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domluszczyszyn/Library/Mobile Documents/com~apple~CloudDocs/Documents/Fantasy Projections/"/>
    </mc:Choice>
  </mc:AlternateContent>
  <xr:revisionPtr revIDLastSave="0" documentId="13_ncr:1_{1D2ED54E-58B7-AC47-8DA0-0D74D8B4F123}" xr6:coauthVersionLast="47" xr6:coauthVersionMax="47" xr10:uidLastSave="{00000000-0000-0000-0000-000000000000}"/>
  <bookViews>
    <workbookView xWindow="0" yWindow="660" windowWidth="26960" windowHeight="18080" xr2:uid="{00000000-000D-0000-FFFF-FFFF00000000}"/>
  </bookViews>
  <sheets>
    <sheet name="Settings" sheetId="1" r:id="rId1"/>
    <sheet name="The List" sheetId="2" r:id="rId2"/>
    <sheet name="Team Comparison" sheetId="3" r:id="rId3"/>
    <sheet name="F" sheetId="4" r:id="rId4"/>
    <sheet name="C" sheetId="5" r:id="rId5"/>
    <sheet name="LW" sheetId="6" r:id="rId6"/>
    <sheet name="RW" sheetId="7" r:id="rId7"/>
    <sheet name="D" sheetId="8" r:id="rId8"/>
    <sheet name="G" sheetId="9" r:id="rId9"/>
    <sheet name="ADP" sheetId="10" r:id="rId10"/>
    <sheet name="Player Data" sheetId="11" r:id="rId11"/>
    <sheet name="Standard Deviations" sheetId="12" r:id="rId12"/>
  </sheets>
  <definedNames>
    <definedName name="_xlnm._FilterDatabase" localSheetId="1" hidden="1">'The List'!$A$1:$AR$671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2" i="12" l="1" a="1"/>
  <c r="B672" i="12" s="1"/>
  <c r="B671" i="12" a="1"/>
  <c r="B671" i="12" s="1"/>
  <c r="B670" i="12" a="1"/>
  <c r="B670" i="12" s="1"/>
  <c r="B669" i="12" a="1"/>
  <c r="B669" i="12"/>
  <c r="B668" i="12" a="1"/>
  <c r="B668" i="12"/>
  <c r="B667" i="12" a="1"/>
  <c r="B667" i="12" s="1"/>
  <c r="B666" i="12" a="1"/>
  <c r="B666" i="12" s="1"/>
  <c r="B665" i="12" a="1"/>
  <c r="B665" i="12" s="1"/>
  <c r="B664" i="12" a="1"/>
  <c r="B664" i="12"/>
  <c r="B663" i="12" a="1"/>
  <c r="B663" i="12"/>
  <c r="B662" i="12" a="1"/>
  <c r="B662" i="12" s="1"/>
  <c r="B661" i="12" a="1"/>
  <c r="B661" i="12" s="1"/>
  <c r="B660" i="12" a="1"/>
  <c r="B660" i="12" s="1"/>
  <c r="B659" i="12" a="1"/>
  <c r="B659" i="12"/>
  <c r="B658" i="12" a="1"/>
  <c r="B658" i="12"/>
  <c r="B657" i="12" a="1"/>
  <c r="B657" i="12"/>
  <c r="B656" i="12" a="1"/>
  <c r="B656" i="12"/>
  <c r="B655" i="12" a="1"/>
  <c r="B655" i="12"/>
  <c r="B654" i="12" a="1"/>
  <c r="B654" i="12"/>
  <c r="B653" i="12" a="1"/>
  <c r="B653" i="12"/>
  <c r="B652" i="12" a="1"/>
  <c r="B652" i="12"/>
  <c r="B651" i="12" a="1"/>
  <c r="B651" i="12"/>
  <c r="B650" i="12" a="1"/>
  <c r="B650" i="12"/>
  <c r="B649" i="12" a="1"/>
  <c r="B649" i="12"/>
  <c r="B648" i="12" a="1"/>
  <c r="B648" i="12"/>
  <c r="B647" i="12" a="1"/>
  <c r="B647" i="12" s="1"/>
  <c r="B646" i="12" a="1"/>
  <c r="B646" i="12" s="1"/>
  <c r="B645" i="12" a="1"/>
  <c r="B645" i="12" s="1"/>
  <c r="B644" i="12" a="1"/>
  <c r="B644" i="12"/>
  <c r="B643" i="12" a="1"/>
  <c r="B643" i="12"/>
  <c r="B642" i="12" a="1"/>
  <c r="B642" i="12" s="1"/>
  <c r="B641" i="12" a="1"/>
  <c r="B641" i="12" s="1"/>
  <c r="B640" i="12" a="1"/>
  <c r="B640" i="12" s="1"/>
  <c r="B639" i="12" a="1"/>
  <c r="B639" i="12"/>
  <c r="B638" i="12" a="1"/>
  <c r="B638" i="12" s="1"/>
  <c r="B636" i="12" a="1"/>
  <c r="B636" i="12" s="1"/>
  <c r="B635" i="12" a="1"/>
  <c r="B635" i="12"/>
  <c r="B634" i="12" a="1"/>
  <c r="B634" i="12" s="1"/>
  <c r="B633" i="12" a="1"/>
  <c r="B633" i="12" s="1"/>
  <c r="B632" i="12" a="1"/>
  <c r="B632" i="12" s="1"/>
  <c r="B631" i="12" a="1"/>
  <c r="B631" i="12" s="1"/>
  <c r="B630" i="12" a="1"/>
  <c r="B630" i="12"/>
  <c r="B629" i="12" a="1"/>
  <c r="B629" i="12" s="1"/>
  <c r="B628" i="12" a="1"/>
  <c r="B628" i="12" s="1"/>
  <c r="B627" i="12" a="1"/>
  <c r="B627" i="12" s="1"/>
  <c r="B626" i="12" a="1"/>
  <c r="B626" i="12" s="1"/>
  <c r="B625" i="12" a="1"/>
  <c r="B625" i="12" s="1"/>
  <c r="B624" i="12" a="1"/>
  <c r="B624" i="12" s="1"/>
  <c r="B623" i="12" a="1"/>
  <c r="B623" i="12" s="1"/>
  <c r="B622" i="12" a="1"/>
  <c r="B622" i="12" s="1"/>
  <c r="B621" i="12" a="1"/>
  <c r="B621" i="12" s="1"/>
  <c r="B620" i="12" a="1"/>
  <c r="B620" i="12" s="1"/>
  <c r="B619" i="12" a="1"/>
  <c r="B619" i="12" s="1"/>
  <c r="B618" i="12" a="1"/>
  <c r="B618" i="12"/>
  <c r="B617" i="12" a="1"/>
  <c r="B617" i="12" s="1"/>
  <c r="B616" i="12" a="1"/>
  <c r="B616" i="12"/>
  <c r="B615" i="12" a="1"/>
  <c r="B615" i="12" s="1"/>
  <c r="B614" i="12" a="1"/>
  <c r="B614" i="12" s="1"/>
  <c r="B613" i="12" a="1"/>
  <c r="B613" i="12" s="1"/>
  <c r="B612" i="12" a="1"/>
  <c r="B612" i="12"/>
  <c r="B611" i="12" a="1"/>
  <c r="B611" i="12"/>
  <c r="B610" i="12" a="1"/>
  <c r="B610" i="12"/>
  <c r="B609" i="12" a="1"/>
  <c r="B609" i="12" s="1"/>
  <c r="D607" i="12" a="1"/>
  <c r="D607" i="12" s="1"/>
  <c r="B607" i="12" a="1"/>
  <c r="B607" i="12"/>
  <c r="D606" i="12" a="1"/>
  <c r="D606" i="12" s="1"/>
  <c r="B606" i="12" a="1"/>
  <c r="B606" i="12" s="1"/>
  <c r="D605" i="12" a="1"/>
  <c r="D605" i="12"/>
  <c r="B605" i="12" a="1"/>
  <c r="B605" i="12"/>
  <c r="D604" i="12" a="1"/>
  <c r="D604" i="12" s="1"/>
  <c r="B604" i="12" a="1"/>
  <c r="B604" i="12" s="1"/>
  <c r="D603" i="12" a="1"/>
  <c r="D603" i="12" s="1"/>
  <c r="B603" i="12" a="1"/>
  <c r="B603" i="12" s="1"/>
  <c r="D602" i="12" a="1"/>
  <c r="D602" i="12"/>
  <c r="B602" i="12" a="1"/>
  <c r="B602" i="12" s="1"/>
  <c r="D601" i="12" a="1"/>
  <c r="D601" i="12" s="1"/>
  <c r="B601" i="12" a="1"/>
  <c r="B601" i="12" s="1"/>
  <c r="D600" i="12" a="1"/>
  <c r="D600" i="12" s="1"/>
  <c r="B600" i="12" a="1"/>
  <c r="B600" i="12" s="1"/>
  <c r="D599" i="12" a="1"/>
  <c r="D599" i="12"/>
  <c r="B599" i="12" a="1"/>
  <c r="B599" i="12" s="1"/>
  <c r="D598" i="12" a="1"/>
  <c r="D598" i="12" s="1"/>
  <c r="B598" i="12" a="1"/>
  <c r="B598" i="12" s="1"/>
  <c r="D597" i="12" a="1"/>
  <c r="D597" i="12" s="1"/>
  <c r="B597" i="12" a="1"/>
  <c r="B597" i="12" s="1"/>
  <c r="D596" i="12" a="1"/>
  <c r="D596" i="12" s="1"/>
  <c r="B596" i="12" a="1"/>
  <c r="B596" i="12" s="1"/>
  <c r="D595" i="12" a="1"/>
  <c r="D595" i="12" s="1"/>
  <c r="B595" i="12" a="1"/>
  <c r="B595" i="12" s="1"/>
  <c r="D594" i="12" a="1"/>
  <c r="D594" i="12"/>
  <c r="B594" i="12" a="1"/>
  <c r="B594" i="12"/>
  <c r="D593" i="12" a="1"/>
  <c r="D593" i="12"/>
  <c r="B593" i="12" a="1"/>
  <c r="B593" i="12" s="1"/>
  <c r="D592" i="12" a="1"/>
  <c r="D592" i="12"/>
  <c r="B592" i="12" a="1"/>
  <c r="B592" i="12"/>
  <c r="D591" i="12" a="1"/>
  <c r="D591" i="12"/>
  <c r="B591" i="12" a="1"/>
  <c r="B591" i="12"/>
  <c r="D590" i="12" a="1"/>
  <c r="D590" i="12" s="1"/>
  <c r="B590" i="12" a="1"/>
  <c r="B590" i="12"/>
  <c r="D589" i="12" a="1"/>
  <c r="D589" i="12"/>
  <c r="B589" i="12" a="1"/>
  <c r="B589" i="12" s="1"/>
  <c r="D588" i="12" a="1"/>
  <c r="D588" i="12"/>
  <c r="B588" i="12" a="1"/>
  <c r="B588" i="12"/>
  <c r="D587" i="12" a="1"/>
  <c r="D587" i="12"/>
  <c r="B587" i="12" a="1"/>
  <c r="B587" i="12" s="1"/>
  <c r="D586" i="12" a="1"/>
  <c r="D586" i="12"/>
  <c r="B586" i="12" a="1"/>
  <c r="B586" i="12" s="1"/>
  <c r="D585" i="12" a="1"/>
  <c r="D585" i="12" s="1"/>
  <c r="B585" i="12" a="1"/>
  <c r="B585" i="12" s="1"/>
  <c r="D584" i="12" a="1"/>
  <c r="D584" i="12"/>
  <c r="B584" i="12" a="1"/>
  <c r="B584" i="12" s="1"/>
  <c r="D583" i="12" a="1"/>
  <c r="D583" i="12" s="1"/>
  <c r="B583" i="12" a="1"/>
  <c r="B583" i="12"/>
  <c r="D582" i="12" a="1"/>
  <c r="D582" i="12" s="1"/>
  <c r="B582" i="12" a="1"/>
  <c r="B582" i="12" s="1"/>
  <c r="D581" i="12" a="1"/>
  <c r="D581" i="12" s="1"/>
  <c r="B581" i="12" a="1"/>
  <c r="B581" i="12"/>
  <c r="D580" i="12" a="1"/>
  <c r="D580" i="12" s="1"/>
  <c r="B580" i="12" a="1"/>
  <c r="B580" i="12" s="1"/>
  <c r="D579" i="12" a="1"/>
  <c r="D579" i="12"/>
  <c r="B579" i="12" a="1"/>
  <c r="B579" i="12" s="1"/>
  <c r="D578" i="12" a="1"/>
  <c r="D578" i="12" s="1"/>
  <c r="B578" i="12" a="1"/>
  <c r="B578" i="12"/>
  <c r="D577" i="12" a="1"/>
  <c r="D577" i="12"/>
  <c r="B577" i="12" a="1"/>
  <c r="B577" i="12" s="1"/>
  <c r="D576" i="12" a="1"/>
  <c r="D576" i="12" s="1"/>
  <c r="B576" i="12" a="1"/>
  <c r="B576" i="12"/>
  <c r="D575" i="12" a="1"/>
  <c r="D575" i="12" s="1"/>
  <c r="B575" i="12" a="1"/>
  <c r="B575" i="12" s="1"/>
  <c r="D574" i="12" a="1"/>
  <c r="D574" i="12" s="1"/>
  <c r="B574" i="12" a="1"/>
  <c r="B574" i="12" s="1"/>
  <c r="D573" i="12" a="1"/>
  <c r="D573" i="12" s="1"/>
  <c r="B573" i="12" a="1"/>
  <c r="B573" i="12" s="1"/>
  <c r="D572" i="12" a="1"/>
  <c r="D572" i="12"/>
  <c r="B572" i="12" a="1"/>
  <c r="B572" i="12" s="1"/>
  <c r="D571" i="12" a="1"/>
  <c r="D571" i="12" s="1"/>
  <c r="B571" i="12" a="1"/>
  <c r="B571" i="12"/>
  <c r="D570" i="12" a="1"/>
  <c r="D570" i="12" s="1"/>
  <c r="B570" i="12" a="1"/>
  <c r="B570" i="12" s="1"/>
  <c r="D569" i="12" a="1"/>
  <c r="D569" i="12" s="1"/>
  <c r="B569" i="12" a="1"/>
  <c r="B569" i="12" s="1"/>
  <c r="D568" i="12" a="1"/>
  <c r="D568" i="12"/>
  <c r="B568" i="12" a="1"/>
  <c r="B568" i="12" s="1"/>
  <c r="D567" i="12" a="1"/>
  <c r="D567" i="12"/>
  <c r="B567" i="12" a="1"/>
  <c r="B567" i="12"/>
  <c r="D566" i="12" a="1"/>
  <c r="D566" i="12"/>
  <c r="B566" i="12" a="1"/>
  <c r="B566" i="12" s="1"/>
  <c r="D565" i="12" a="1"/>
  <c r="D565" i="12"/>
  <c r="B565" i="12" a="1"/>
  <c r="B565" i="12"/>
  <c r="D564" i="12" a="1"/>
  <c r="D564" i="12"/>
  <c r="B564" i="12" a="1"/>
  <c r="B564" i="12"/>
  <c r="D563" i="12" a="1"/>
  <c r="D563" i="12"/>
  <c r="B563" i="12" a="1"/>
  <c r="B563" i="12" s="1"/>
  <c r="D562" i="12" a="1"/>
  <c r="D562" i="12" s="1"/>
  <c r="B562" i="12" a="1"/>
  <c r="B562" i="12" s="1"/>
  <c r="D561" i="12" a="1"/>
  <c r="D561" i="12"/>
  <c r="B561" i="12" a="1"/>
  <c r="B561" i="12" s="1"/>
  <c r="D560" i="12" a="1"/>
  <c r="D560" i="12"/>
  <c r="B560" i="12" a="1"/>
  <c r="B560" i="12" s="1"/>
  <c r="D559" i="12" a="1"/>
  <c r="D559" i="12"/>
  <c r="B559" i="12" a="1"/>
  <c r="B559" i="12"/>
  <c r="D558" i="12" a="1"/>
  <c r="D558" i="12"/>
  <c r="B558" i="12" a="1"/>
  <c r="B558" i="12" s="1"/>
  <c r="D557" i="12" a="1"/>
  <c r="D557" i="12" s="1"/>
  <c r="B557" i="12" a="1"/>
  <c r="B557" i="12" s="1"/>
  <c r="D556" i="12" a="1"/>
  <c r="D556" i="12" s="1"/>
  <c r="B556" i="12" a="1"/>
  <c r="B556" i="12" s="1"/>
  <c r="D555" i="12" a="1"/>
  <c r="D555" i="12"/>
  <c r="B555" i="12" a="1"/>
  <c r="B555" i="12" s="1"/>
  <c r="D554" i="12" a="1"/>
  <c r="D554" i="12"/>
  <c r="B554" i="12" a="1"/>
  <c r="B554" i="12" s="1"/>
  <c r="D553" i="12" a="1"/>
  <c r="D553" i="12"/>
  <c r="B553" i="12" a="1"/>
  <c r="B553" i="12" s="1"/>
  <c r="D552" i="12" a="1"/>
  <c r="D552" i="12" s="1"/>
  <c r="B552" i="12" a="1"/>
  <c r="B552" i="12" s="1"/>
  <c r="D551" i="12" a="1"/>
  <c r="D551" i="12"/>
  <c r="B551" i="12" a="1"/>
  <c r="B551" i="12"/>
  <c r="D550" i="12" a="1"/>
  <c r="D550" i="12"/>
  <c r="B550" i="12" a="1"/>
  <c r="B550" i="12" s="1"/>
  <c r="D549" i="12" a="1"/>
  <c r="D549" i="12"/>
  <c r="B549" i="12" a="1"/>
  <c r="B549" i="12"/>
  <c r="D548" i="12" a="1"/>
  <c r="D548" i="12" s="1"/>
  <c r="B548" i="12" a="1"/>
  <c r="B548" i="12"/>
  <c r="D547" i="12" a="1"/>
  <c r="D547" i="12" s="1"/>
  <c r="B547" i="12" a="1"/>
  <c r="B547" i="12"/>
  <c r="D546" i="12" a="1"/>
  <c r="D546" i="12"/>
  <c r="B546" i="12" a="1"/>
  <c r="B546" i="12" s="1"/>
  <c r="D545" i="12" a="1"/>
  <c r="D545" i="12"/>
  <c r="B545" i="12" a="1"/>
  <c r="B545" i="12" s="1"/>
  <c r="D544" i="12" a="1"/>
  <c r="D544" i="12"/>
  <c r="B544" i="12" a="1"/>
  <c r="B544" i="12"/>
  <c r="D543" i="12" a="1"/>
  <c r="D543" i="12" s="1"/>
  <c r="B543" i="12" a="1"/>
  <c r="B543" i="12"/>
  <c r="D542" i="12" a="1"/>
  <c r="D542" i="12" s="1"/>
  <c r="B542" i="12" a="1"/>
  <c r="B542" i="12"/>
  <c r="D541" i="12" a="1"/>
  <c r="D541" i="12"/>
  <c r="B541" i="12" a="1"/>
  <c r="B541" i="12" s="1"/>
  <c r="D540" i="12" a="1"/>
  <c r="D540" i="12"/>
  <c r="B540" i="12" a="1"/>
  <c r="B540" i="12" s="1"/>
  <c r="D539" i="12" a="1"/>
  <c r="D539" i="12"/>
  <c r="B539" i="12" a="1"/>
  <c r="B539" i="12"/>
  <c r="D538" i="12" a="1"/>
  <c r="D538" i="12"/>
  <c r="B538" i="12" a="1"/>
  <c r="B538" i="12"/>
  <c r="D537" i="12" a="1"/>
  <c r="D537" i="12"/>
  <c r="B537" i="12" a="1"/>
  <c r="B537" i="12"/>
  <c r="D536" i="12" a="1"/>
  <c r="D536" i="12"/>
  <c r="B536" i="12" a="1"/>
  <c r="B536" i="12"/>
  <c r="D535" i="12" a="1"/>
  <c r="D535" i="12"/>
  <c r="B535" i="12" a="1"/>
  <c r="B535" i="12"/>
  <c r="D534" i="12" a="1"/>
  <c r="D534" i="12"/>
  <c r="B534" i="12" a="1"/>
  <c r="B534" i="12"/>
  <c r="D533" i="12" a="1"/>
  <c r="D533" i="12"/>
  <c r="B533" i="12" a="1"/>
  <c r="B533" i="12"/>
  <c r="D532" i="12" a="1"/>
  <c r="D532" i="12"/>
  <c r="B532" i="12" a="1"/>
  <c r="B532" i="12"/>
  <c r="D531" i="12" a="1"/>
  <c r="D531" i="12"/>
  <c r="B531" i="12" a="1"/>
  <c r="B531" i="12"/>
  <c r="D530" i="12" a="1"/>
  <c r="D530" i="12"/>
  <c r="B530" i="12" a="1"/>
  <c r="B530" i="12"/>
  <c r="D529" i="12" a="1"/>
  <c r="D529" i="12"/>
  <c r="B529" i="12" a="1"/>
  <c r="B529" i="12"/>
  <c r="D528" i="12" a="1"/>
  <c r="D528" i="12"/>
  <c r="B528" i="12" a="1"/>
  <c r="B528" i="12"/>
  <c r="D527" i="12" a="1"/>
  <c r="D527" i="12"/>
  <c r="B527" i="12" a="1"/>
  <c r="B527" i="12" s="1"/>
  <c r="D526" i="12" a="1"/>
  <c r="D526" i="12"/>
  <c r="B526" i="12" a="1"/>
  <c r="B526" i="12"/>
  <c r="D525" i="12" a="1"/>
  <c r="D525" i="12"/>
  <c r="B525" i="12" a="1"/>
  <c r="B525" i="12" s="1"/>
  <c r="D524" i="12" a="1"/>
  <c r="D524" i="12"/>
  <c r="B524" i="12" a="1"/>
  <c r="B524" i="12" s="1"/>
  <c r="D523" i="12" a="1"/>
  <c r="D523" i="12"/>
  <c r="B523" i="12" a="1"/>
  <c r="B523" i="12" s="1"/>
  <c r="D522" i="12" a="1"/>
  <c r="D522" i="12"/>
  <c r="B522" i="12" a="1"/>
  <c r="B522" i="12" s="1"/>
  <c r="D521" i="12" a="1"/>
  <c r="D521" i="12"/>
  <c r="B521" i="12" a="1"/>
  <c r="B521" i="12"/>
  <c r="D520" i="12" a="1"/>
  <c r="D520" i="12" s="1"/>
  <c r="B520" i="12" a="1"/>
  <c r="B520" i="12" s="1"/>
  <c r="D519" i="12" a="1"/>
  <c r="D519" i="12"/>
  <c r="B519" i="12" a="1"/>
  <c r="B519" i="12"/>
  <c r="D518" i="12" a="1"/>
  <c r="D518" i="12" s="1"/>
  <c r="B518" i="12" a="1"/>
  <c r="B518" i="12" s="1"/>
  <c r="D517" i="12" a="1"/>
  <c r="D517" i="12"/>
  <c r="B517" i="12" a="1"/>
  <c r="B517" i="12" s="1"/>
  <c r="D516" i="12" a="1"/>
  <c r="D516" i="12" s="1"/>
  <c r="B516" i="12" a="1"/>
  <c r="B516" i="12"/>
  <c r="D515" i="12" a="1"/>
  <c r="D515" i="12" s="1"/>
  <c r="B515" i="12" a="1"/>
  <c r="B515" i="12" s="1"/>
  <c r="D514" i="12" a="1"/>
  <c r="D514" i="12"/>
  <c r="B514" i="12" a="1"/>
  <c r="B514" i="12" s="1"/>
  <c r="D513" i="12" a="1"/>
  <c r="D513" i="12"/>
  <c r="B513" i="12" a="1"/>
  <c r="B513" i="12" s="1"/>
  <c r="D512" i="12" a="1"/>
  <c r="D512" i="12" s="1"/>
  <c r="B512" i="12" a="1"/>
  <c r="B512" i="12" s="1"/>
  <c r="D511" i="12" a="1"/>
  <c r="D511" i="12" s="1"/>
  <c r="B511" i="12" a="1"/>
  <c r="B511" i="12" s="1"/>
  <c r="D510" i="12" a="1"/>
  <c r="D510" i="12" s="1"/>
  <c r="B510" i="12" a="1"/>
  <c r="B510" i="12" s="1"/>
  <c r="D509" i="12" a="1"/>
  <c r="D509" i="12" s="1"/>
  <c r="B509" i="12" a="1"/>
  <c r="B509" i="12"/>
  <c r="D508" i="12" a="1"/>
  <c r="D508" i="12"/>
  <c r="B508" i="12" a="1"/>
  <c r="B508" i="12" s="1"/>
  <c r="D507" i="12" a="1"/>
  <c r="D507" i="12" s="1"/>
  <c r="B507" i="12" a="1"/>
  <c r="B507" i="12" s="1"/>
  <c r="D506" i="12" a="1"/>
  <c r="D506" i="12"/>
  <c r="B506" i="12" a="1"/>
  <c r="B506" i="12" s="1"/>
  <c r="D505" i="12" a="1"/>
  <c r="D505" i="12"/>
  <c r="B505" i="12" a="1"/>
  <c r="B505" i="12" s="1"/>
  <c r="D504" i="12" a="1"/>
  <c r="D504" i="12"/>
  <c r="B504" i="12" a="1"/>
  <c r="B504" i="12" s="1"/>
  <c r="D503" i="12" a="1"/>
  <c r="D503" i="12"/>
  <c r="B503" i="12" a="1"/>
  <c r="B503" i="12" s="1"/>
  <c r="D502" i="12" a="1"/>
  <c r="D502" i="12" s="1"/>
  <c r="B502" i="12" a="1"/>
  <c r="B502" i="12"/>
  <c r="D501" i="12" a="1"/>
  <c r="D501" i="12"/>
  <c r="B501" i="12" a="1"/>
  <c r="B501" i="12"/>
  <c r="D500" i="12" a="1"/>
  <c r="D500" i="12" s="1"/>
  <c r="B500" i="12" a="1"/>
  <c r="B500" i="12"/>
  <c r="D499" i="12" a="1"/>
  <c r="D499" i="12"/>
  <c r="B499" i="12" a="1"/>
  <c r="B499" i="12"/>
  <c r="D498" i="12" a="1"/>
  <c r="D498" i="12"/>
  <c r="B498" i="12" a="1"/>
  <c r="B498" i="12"/>
  <c r="D497" i="12" a="1"/>
  <c r="D497" i="12" s="1"/>
  <c r="B497" i="12" a="1"/>
  <c r="B497" i="12"/>
  <c r="D496" i="12" a="1"/>
  <c r="D496" i="12" s="1"/>
  <c r="B496" i="12" a="1"/>
  <c r="B496" i="12"/>
  <c r="D495" i="12" a="1"/>
  <c r="D495" i="12"/>
  <c r="B495" i="12" a="1"/>
  <c r="B495" i="12"/>
  <c r="D494" i="12" a="1"/>
  <c r="D494" i="12" s="1"/>
  <c r="B494" i="12" a="1"/>
  <c r="B494" i="12"/>
  <c r="D493" i="12" a="1"/>
  <c r="D493" i="12"/>
  <c r="B493" i="12" a="1"/>
  <c r="B493" i="12"/>
  <c r="D492" i="12" a="1"/>
  <c r="D492" i="12"/>
  <c r="B492" i="12" a="1"/>
  <c r="B492" i="12" s="1"/>
  <c r="D491" i="12" a="1"/>
  <c r="D491" i="12" s="1"/>
  <c r="B491" i="12" a="1"/>
  <c r="B491" i="12"/>
  <c r="D490" i="12" a="1"/>
  <c r="D490" i="12"/>
  <c r="B490" i="12" a="1"/>
  <c r="B490" i="12"/>
  <c r="D489" i="12" a="1"/>
  <c r="D489" i="12"/>
  <c r="B489" i="12" a="1"/>
  <c r="B489" i="12"/>
  <c r="D488" i="12" a="1"/>
  <c r="D488" i="12"/>
  <c r="B488" i="12" a="1"/>
  <c r="B488" i="12"/>
  <c r="D487" i="12" a="1"/>
  <c r="D487" i="12" s="1"/>
  <c r="B487" i="12" a="1"/>
  <c r="B487" i="12" s="1"/>
  <c r="D486" i="12" a="1"/>
  <c r="D486" i="12"/>
  <c r="B486" i="12" a="1"/>
  <c r="B486" i="12"/>
  <c r="D485" i="12" a="1"/>
  <c r="D485" i="12"/>
  <c r="B485" i="12" a="1"/>
  <c r="B485" i="12" s="1"/>
  <c r="D484" i="12" a="1"/>
  <c r="D484" i="12"/>
  <c r="B484" i="12" a="1"/>
  <c r="B484" i="12"/>
  <c r="D483" i="12" a="1"/>
  <c r="D483" i="12"/>
  <c r="B483" i="12" a="1"/>
  <c r="B483" i="12" s="1"/>
  <c r="D482" i="12" a="1"/>
  <c r="D482" i="12" s="1"/>
  <c r="B482" i="12" a="1"/>
  <c r="B482" i="12" s="1"/>
  <c r="D481" i="12" a="1"/>
  <c r="D481" i="12"/>
  <c r="B481" i="12" a="1"/>
  <c r="B481" i="12"/>
  <c r="D480" i="12" a="1"/>
  <c r="D480" i="12" s="1"/>
  <c r="B480" i="12" a="1"/>
  <c r="B480" i="12" s="1"/>
  <c r="D479" i="12" a="1"/>
  <c r="D479" i="12"/>
  <c r="B479" i="12" a="1"/>
  <c r="B479" i="12"/>
  <c r="D478" i="12" a="1"/>
  <c r="D478" i="12" s="1"/>
  <c r="B478" i="12" a="1"/>
  <c r="B478" i="12" s="1"/>
  <c r="D477" i="12" a="1"/>
  <c r="D477" i="12" s="1"/>
  <c r="B477" i="12" a="1"/>
  <c r="B477" i="12" s="1"/>
  <c r="D476" i="12" a="1"/>
  <c r="D476" i="12"/>
  <c r="B476" i="12" a="1"/>
  <c r="B476" i="12"/>
  <c r="D475" i="12" a="1"/>
  <c r="D475" i="12" s="1"/>
  <c r="B475" i="12" a="1"/>
  <c r="B475" i="12" s="1"/>
  <c r="D474" i="12" a="1"/>
  <c r="D474" i="12"/>
  <c r="B474" i="12" a="1"/>
  <c r="B474" i="12"/>
  <c r="D473" i="12" a="1"/>
  <c r="D473" i="12" s="1"/>
  <c r="B473" i="12" a="1"/>
  <c r="B473" i="12" s="1"/>
  <c r="D472" i="12" a="1"/>
  <c r="D472" i="12" s="1"/>
  <c r="B472" i="12" a="1"/>
  <c r="B472" i="12" s="1"/>
  <c r="D471" i="12" a="1"/>
  <c r="D471" i="12"/>
  <c r="B471" i="12" a="1"/>
  <c r="B471" i="12"/>
  <c r="D470" i="12" a="1"/>
  <c r="D470" i="12"/>
  <c r="B470" i="12" a="1"/>
  <c r="B470" i="12" s="1"/>
  <c r="D469" i="12" a="1"/>
  <c r="D469" i="12"/>
  <c r="B469" i="12" a="1"/>
  <c r="B469" i="12"/>
  <c r="D468" i="12" a="1"/>
  <c r="D468" i="12"/>
  <c r="B468" i="12" a="1"/>
  <c r="B468" i="12" s="1"/>
  <c r="D467" i="12" a="1"/>
  <c r="D467" i="12" s="1"/>
  <c r="B467" i="12" a="1"/>
  <c r="B467" i="12"/>
  <c r="D466" i="12" a="1"/>
  <c r="D466" i="12"/>
  <c r="B466" i="12" a="1"/>
  <c r="B466" i="12"/>
  <c r="D465" i="12" a="1"/>
  <c r="D465" i="12"/>
  <c r="B465" i="12" a="1"/>
  <c r="B465" i="12"/>
  <c r="D464" i="12" a="1"/>
  <c r="D464" i="12"/>
  <c r="B464" i="12" a="1"/>
  <c r="B464" i="12"/>
  <c r="D463" i="12" a="1"/>
  <c r="D463" i="12"/>
  <c r="B463" i="12" a="1"/>
  <c r="B463" i="12" s="1"/>
  <c r="D462" i="12" a="1"/>
  <c r="D462" i="12" s="1"/>
  <c r="B462" i="12" a="1"/>
  <c r="B462" i="12"/>
  <c r="D461" i="12" a="1"/>
  <c r="D461" i="12"/>
  <c r="B461" i="12" a="1"/>
  <c r="B461" i="12"/>
  <c r="D460" i="12" a="1"/>
  <c r="D460" i="12"/>
  <c r="B460" i="12" a="1"/>
  <c r="B460" i="12"/>
  <c r="D459" i="12" a="1"/>
  <c r="D459" i="12"/>
  <c r="B459" i="12" a="1"/>
  <c r="B459" i="12" s="1"/>
  <c r="D458" i="12" a="1"/>
  <c r="D458" i="12" s="1"/>
  <c r="B458" i="12" a="1"/>
  <c r="B458" i="12" s="1"/>
  <c r="D457" i="12" a="1"/>
  <c r="D457" i="12"/>
  <c r="B457" i="12" a="1"/>
  <c r="B457" i="12"/>
  <c r="D456" i="12" a="1"/>
  <c r="D456" i="12" s="1"/>
  <c r="B456" i="12" a="1"/>
  <c r="B456" i="12"/>
  <c r="D455" i="12" a="1"/>
  <c r="D455" i="12"/>
  <c r="B455" i="12" a="1"/>
  <c r="B455" i="12"/>
  <c r="D454" i="12" a="1"/>
  <c r="D454" i="12" s="1"/>
  <c r="B454" i="12" a="1"/>
  <c r="B454" i="12"/>
  <c r="D453" i="12" a="1"/>
  <c r="D453" i="12"/>
  <c r="B453" i="12" a="1"/>
  <c r="B453" i="12"/>
  <c r="D452" i="12" a="1"/>
  <c r="D452" i="12"/>
  <c r="B452" i="12" a="1"/>
  <c r="B452" i="12" s="1"/>
  <c r="D451" i="12" a="1"/>
  <c r="D451" i="12"/>
  <c r="B451" i="12" a="1"/>
  <c r="B451" i="12" s="1"/>
  <c r="D450" i="12" a="1"/>
  <c r="D450" i="12"/>
  <c r="B450" i="12" a="1"/>
  <c r="B450" i="12"/>
  <c r="D449" i="12" a="1"/>
  <c r="D449" i="12"/>
  <c r="B449" i="12" a="1"/>
  <c r="B449" i="12"/>
  <c r="D448" i="12" a="1"/>
  <c r="D448" i="12"/>
  <c r="B448" i="12" a="1"/>
  <c r="B448" i="12"/>
  <c r="D447" i="12" a="1"/>
  <c r="D447" i="12"/>
  <c r="B447" i="12" a="1"/>
  <c r="B447" i="12" s="1"/>
  <c r="D446" i="12" a="1"/>
  <c r="D446" i="12"/>
  <c r="B446" i="12" a="1"/>
  <c r="B446" i="12" s="1"/>
  <c r="D445" i="12" a="1"/>
  <c r="D445" i="12"/>
  <c r="B445" i="12" a="1"/>
  <c r="B445" i="12"/>
  <c r="D444" i="12" a="1"/>
  <c r="D444" i="12"/>
  <c r="B444" i="12" a="1"/>
  <c r="B444" i="12"/>
  <c r="D443" i="12" a="1"/>
  <c r="D443" i="12"/>
  <c r="B443" i="12" a="1"/>
  <c r="B443" i="12" s="1"/>
  <c r="D442" i="12" a="1"/>
  <c r="D442" i="12"/>
  <c r="B442" i="12" a="1"/>
  <c r="B442" i="12" s="1"/>
  <c r="D441" i="12" a="1"/>
  <c r="D441" i="12" s="1"/>
  <c r="B441" i="12" a="1"/>
  <c r="B441" i="12" s="1"/>
  <c r="D440" i="12" a="1"/>
  <c r="D440" i="12"/>
  <c r="B440" i="12" a="1"/>
  <c r="B440" i="12"/>
  <c r="D439" i="12" a="1"/>
  <c r="D439" i="12" s="1"/>
  <c r="B439" i="12" a="1"/>
  <c r="B439" i="12"/>
  <c r="D438" i="12" a="1"/>
  <c r="D438" i="12"/>
  <c r="B438" i="12" a="1"/>
  <c r="B438" i="12"/>
  <c r="D437" i="12" a="1"/>
  <c r="D437" i="12"/>
  <c r="B437" i="12" a="1"/>
  <c r="B437" i="12" s="1"/>
  <c r="D436" i="12" a="1"/>
  <c r="D436" i="12"/>
  <c r="B436" i="12" a="1"/>
  <c r="B436" i="12" s="1"/>
  <c r="D435" i="12" a="1"/>
  <c r="D435" i="12" s="1"/>
  <c r="B435" i="12" a="1"/>
  <c r="B435" i="12" s="1"/>
  <c r="D434" i="12" a="1"/>
  <c r="D434" i="12" s="1"/>
  <c r="B434" i="12" a="1"/>
  <c r="B434" i="12"/>
  <c r="D433" i="12" a="1"/>
  <c r="D433" i="12" s="1"/>
  <c r="B433" i="12" a="1"/>
  <c r="B433" i="12" s="1"/>
  <c r="D432" i="12" a="1"/>
  <c r="D432" i="12" s="1"/>
  <c r="B432" i="12" a="1"/>
  <c r="B432" i="12" s="1"/>
  <c r="D431" i="12" a="1"/>
  <c r="D431" i="12" s="1"/>
  <c r="B431" i="12" a="1"/>
  <c r="B431" i="12" s="1"/>
  <c r="D430" i="12" a="1"/>
  <c r="D430" i="12"/>
  <c r="B430" i="12" a="1"/>
  <c r="B430" i="12" s="1"/>
  <c r="D429" i="12" a="1"/>
  <c r="D429" i="12" s="1"/>
  <c r="B429" i="12" a="1"/>
  <c r="B429" i="12"/>
  <c r="D428" i="12" a="1"/>
  <c r="D428" i="12" s="1"/>
  <c r="B428" i="12" a="1"/>
  <c r="B428" i="12" s="1"/>
  <c r="D427" i="12" a="1"/>
  <c r="D427" i="12" s="1"/>
  <c r="B427" i="12" a="1"/>
  <c r="B427" i="12" s="1"/>
  <c r="D426" i="12" a="1"/>
  <c r="D426" i="12" s="1"/>
  <c r="B426" i="12" a="1"/>
  <c r="B426" i="12" s="1"/>
  <c r="D425" i="12" a="1"/>
  <c r="D425" i="12"/>
  <c r="B425" i="12" a="1"/>
  <c r="B425" i="12" s="1"/>
  <c r="D424" i="12" a="1"/>
  <c r="D424" i="12" s="1"/>
  <c r="B424" i="12" a="1"/>
  <c r="B424" i="12"/>
  <c r="D423" i="12" a="1"/>
  <c r="D423" i="12" s="1"/>
  <c r="B423" i="12" a="1"/>
  <c r="B423" i="12" s="1"/>
  <c r="D422" i="12" a="1"/>
  <c r="D422" i="12" s="1"/>
  <c r="B422" i="12" a="1"/>
  <c r="B422" i="12" s="1"/>
  <c r="D421" i="12" a="1"/>
  <c r="D421" i="12"/>
  <c r="B421" i="12" a="1"/>
  <c r="B421" i="12" s="1"/>
  <c r="D420" i="12" a="1"/>
  <c r="D420" i="12"/>
  <c r="B420" i="12" a="1"/>
  <c r="B420" i="12"/>
  <c r="D419" i="12" a="1"/>
  <c r="D419" i="12" s="1"/>
  <c r="B419" i="12" a="1"/>
  <c r="B419" i="12"/>
  <c r="D418" i="12" a="1"/>
  <c r="D418" i="12" s="1"/>
  <c r="B418" i="12" a="1"/>
  <c r="B418" i="12"/>
  <c r="D417" i="12" a="1"/>
  <c r="D417" i="12" s="1"/>
  <c r="B417" i="12" a="1"/>
  <c r="B417" i="12" s="1"/>
  <c r="D416" i="12" a="1"/>
  <c r="D416" i="12"/>
  <c r="B416" i="12" a="1"/>
  <c r="B416" i="12" s="1"/>
  <c r="D415" i="12" a="1"/>
  <c r="D415" i="12"/>
  <c r="B415" i="12" a="1"/>
  <c r="B415" i="12" s="1"/>
  <c r="D414" i="12" a="1"/>
  <c r="D414" i="12" s="1"/>
  <c r="B414" i="12" a="1"/>
  <c r="B414" i="12"/>
  <c r="D413" i="12" a="1"/>
  <c r="D413" i="12"/>
  <c r="B413" i="12" a="1"/>
  <c r="B413" i="12" s="1"/>
  <c r="D412" i="12" a="1"/>
  <c r="D412" i="12" s="1"/>
  <c r="B412" i="12" a="1"/>
  <c r="B412" i="12"/>
  <c r="D411" i="12" a="1"/>
  <c r="D411" i="12"/>
  <c r="B411" i="12" a="1"/>
  <c r="B411" i="12" s="1"/>
  <c r="D410" i="12" a="1"/>
  <c r="D410" i="12"/>
  <c r="B410" i="12" a="1"/>
  <c r="B410" i="12"/>
  <c r="D409" i="12" a="1"/>
  <c r="D409" i="12" s="1"/>
  <c r="B409" i="12" a="1"/>
  <c r="B409" i="12"/>
  <c r="D408" i="12" a="1"/>
  <c r="D408" i="12"/>
  <c r="B408" i="12" a="1"/>
  <c r="B408" i="12" s="1"/>
  <c r="D407" i="12" a="1"/>
  <c r="D407" i="12" s="1"/>
  <c r="B407" i="12" a="1"/>
  <c r="B407" i="12"/>
  <c r="D406" i="12" a="1"/>
  <c r="D406" i="12" s="1"/>
  <c r="B406" i="12" a="1"/>
  <c r="B406" i="12" s="1"/>
  <c r="D405" i="12" a="1"/>
  <c r="D405" i="12" s="1"/>
  <c r="B405" i="12" a="1"/>
  <c r="B405" i="12"/>
  <c r="D404" i="12" a="1"/>
  <c r="D404" i="12" s="1"/>
  <c r="B404" i="12" a="1"/>
  <c r="B404" i="12"/>
  <c r="D403" i="12" a="1"/>
  <c r="D403" i="12" s="1"/>
  <c r="B403" i="12" a="1"/>
  <c r="B403" i="12"/>
  <c r="D402" i="12" a="1"/>
  <c r="D402" i="12" s="1"/>
  <c r="B402" i="12" a="1"/>
  <c r="B402" i="12"/>
  <c r="D401" i="12" a="1"/>
  <c r="D401" i="12" s="1"/>
  <c r="B401" i="12" a="1"/>
  <c r="B401" i="12"/>
  <c r="D400" i="12" a="1"/>
  <c r="D400" i="12" s="1"/>
  <c r="B400" i="12" a="1"/>
  <c r="B400" i="12"/>
  <c r="D399" i="12" a="1"/>
  <c r="D399" i="12" s="1"/>
  <c r="B399" i="12" a="1"/>
  <c r="B399" i="12"/>
  <c r="D398" i="12" a="1"/>
  <c r="D398" i="12" s="1"/>
  <c r="B398" i="12" a="1"/>
  <c r="B398" i="12"/>
  <c r="D397" i="12" a="1"/>
  <c r="D397" i="12" s="1"/>
  <c r="B397" i="12" a="1"/>
  <c r="B397" i="12" s="1"/>
  <c r="D396" i="12" a="1"/>
  <c r="D396" i="12" s="1"/>
  <c r="B396" i="12" a="1"/>
  <c r="B396" i="12" s="1"/>
  <c r="D395" i="12" a="1"/>
  <c r="D395" i="12" s="1"/>
  <c r="B395" i="12" a="1"/>
  <c r="B395" i="12" s="1"/>
  <c r="D394" i="12" a="1"/>
  <c r="D394" i="12" s="1"/>
  <c r="B394" i="12" a="1"/>
  <c r="B394" i="12"/>
  <c r="D393" i="12" a="1"/>
  <c r="D393" i="12" s="1"/>
  <c r="B393" i="12" a="1"/>
  <c r="B393" i="12" s="1"/>
  <c r="D392" i="12" a="1"/>
  <c r="D392" i="12" s="1"/>
  <c r="B392" i="12" a="1"/>
  <c r="B392" i="12" s="1"/>
  <c r="D391" i="12" a="1"/>
  <c r="D391" i="12" s="1"/>
  <c r="B391" i="12" a="1"/>
  <c r="B391" i="12" s="1"/>
  <c r="D390" i="12" a="1"/>
  <c r="D390" i="12" s="1"/>
  <c r="B390" i="12" a="1"/>
  <c r="B390" i="12" s="1"/>
  <c r="D389" i="12" a="1"/>
  <c r="D389" i="12" s="1"/>
  <c r="B389" i="12" a="1"/>
  <c r="B389" i="12"/>
  <c r="D388" i="12" a="1"/>
  <c r="D388" i="12"/>
  <c r="B388" i="12" a="1"/>
  <c r="B388" i="12" s="1"/>
  <c r="D387" i="12" a="1"/>
  <c r="D387" i="12" s="1"/>
  <c r="B387" i="12" a="1"/>
  <c r="B387" i="12"/>
  <c r="D386" i="12" a="1"/>
  <c r="D386" i="12" s="1"/>
  <c r="B386" i="12" a="1"/>
  <c r="B386" i="12" s="1"/>
  <c r="D385" i="12" a="1"/>
  <c r="D385" i="12" s="1"/>
  <c r="B385" i="12" a="1"/>
  <c r="B385" i="12" s="1"/>
  <c r="D384" i="12" a="1"/>
  <c r="D384" i="12" s="1"/>
  <c r="B384" i="12" a="1"/>
  <c r="B384" i="12" s="1"/>
  <c r="D383" i="12" a="1"/>
  <c r="D383" i="12"/>
  <c r="B383" i="12" a="1"/>
  <c r="B383" i="12" s="1"/>
  <c r="D382" i="12" a="1"/>
  <c r="D382" i="12" s="1"/>
  <c r="B382" i="12" a="1"/>
  <c r="B382" i="12"/>
  <c r="D381" i="12" a="1"/>
  <c r="D381" i="12" s="1"/>
  <c r="B381" i="12" a="1"/>
  <c r="B381" i="12" s="1"/>
  <c r="D380" i="12" a="1"/>
  <c r="D380" i="12" s="1"/>
  <c r="B380" i="12" a="1"/>
  <c r="B380" i="12" s="1"/>
  <c r="D379" i="12" a="1"/>
  <c r="D379" i="12" s="1"/>
  <c r="B379" i="12" a="1"/>
  <c r="B379" i="12" s="1"/>
  <c r="D378" i="12" a="1"/>
  <c r="D378" i="12"/>
  <c r="B378" i="12" a="1"/>
  <c r="B378" i="12" s="1"/>
  <c r="D377" i="12" a="1"/>
  <c r="D377" i="12" s="1"/>
  <c r="B377" i="12" a="1"/>
  <c r="B377" i="12"/>
  <c r="D376" i="12" a="1"/>
  <c r="D376" i="12" s="1"/>
  <c r="B376" i="12" a="1"/>
  <c r="B376" i="12" s="1"/>
  <c r="D375" i="12" a="1"/>
  <c r="D375" i="12" s="1"/>
  <c r="B375" i="12" a="1"/>
  <c r="B375" i="12" s="1"/>
  <c r="D374" i="12" a="1"/>
  <c r="D374" i="12" s="1"/>
  <c r="B374" i="12" a="1"/>
  <c r="B374" i="12" s="1"/>
  <c r="D373" i="12" a="1"/>
  <c r="D373" i="12"/>
  <c r="B373" i="12" a="1"/>
  <c r="B373" i="12" s="1"/>
  <c r="D372" i="12" a="1"/>
  <c r="D372" i="12" s="1"/>
  <c r="B372" i="12" a="1"/>
  <c r="B372" i="12"/>
  <c r="D371" i="12" a="1"/>
  <c r="D371" i="12" s="1"/>
  <c r="B371" i="12" a="1"/>
  <c r="B371" i="12" s="1"/>
  <c r="D370" i="12" a="1"/>
  <c r="D370" i="12" s="1"/>
  <c r="B370" i="12" a="1"/>
  <c r="B370" i="12" s="1"/>
  <c r="D369" i="12" a="1"/>
  <c r="D369" i="12" s="1"/>
  <c r="B369" i="12" a="1"/>
  <c r="B369" i="12" s="1"/>
  <c r="D368" i="12" a="1"/>
  <c r="D368" i="12"/>
  <c r="B368" i="12" a="1"/>
  <c r="B368" i="12" s="1"/>
  <c r="D367" i="12" a="1"/>
  <c r="D367" i="12" s="1"/>
  <c r="B367" i="12" a="1"/>
  <c r="B367" i="12"/>
  <c r="D366" i="12" a="1"/>
  <c r="D366" i="12" s="1"/>
  <c r="B366" i="12" a="1"/>
  <c r="B366" i="12" s="1"/>
  <c r="D365" i="12" a="1"/>
  <c r="D365" i="12" s="1"/>
  <c r="B365" i="12" a="1"/>
  <c r="B365" i="12" s="1"/>
  <c r="D364" i="12" a="1"/>
  <c r="D364" i="12" s="1"/>
  <c r="B364" i="12" a="1"/>
  <c r="B364" i="12" s="1"/>
  <c r="D363" i="12" a="1"/>
  <c r="D363" i="12"/>
  <c r="B363" i="12" a="1"/>
  <c r="B363" i="12" s="1"/>
  <c r="D362" i="12" a="1"/>
  <c r="D362" i="12" s="1"/>
  <c r="B362" i="12" a="1"/>
  <c r="B362" i="12"/>
  <c r="D361" i="12" a="1"/>
  <c r="D361" i="12" s="1"/>
  <c r="B361" i="12" a="1"/>
  <c r="B361" i="12" s="1"/>
  <c r="D360" i="12" a="1"/>
  <c r="D360" i="12" s="1"/>
  <c r="B360" i="12" a="1"/>
  <c r="B360" i="12" s="1"/>
  <c r="D359" i="12" a="1"/>
  <c r="D359" i="12" s="1"/>
  <c r="B359" i="12" a="1"/>
  <c r="B359" i="12" s="1"/>
  <c r="D358" i="12" a="1"/>
  <c r="D358" i="12"/>
  <c r="B358" i="12" a="1"/>
  <c r="B358" i="12" s="1"/>
  <c r="D357" i="12" a="1"/>
  <c r="D357" i="12"/>
  <c r="B357" i="12" a="1"/>
  <c r="B357" i="12"/>
  <c r="D356" i="12" a="1"/>
  <c r="D356" i="12" s="1"/>
  <c r="B356" i="12" a="1"/>
  <c r="B356" i="12"/>
  <c r="D355" i="12" a="1"/>
  <c r="D355" i="12" s="1"/>
  <c r="B355" i="12" a="1"/>
  <c r="B355" i="12" s="1"/>
  <c r="D354" i="12" a="1"/>
  <c r="D354" i="12"/>
  <c r="B354" i="12" a="1"/>
  <c r="B354" i="12" s="1"/>
  <c r="D353" i="12" a="1"/>
  <c r="D353" i="12"/>
  <c r="B353" i="12" a="1"/>
  <c r="B353" i="12"/>
  <c r="D352" i="12" a="1"/>
  <c r="D352" i="12"/>
  <c r="B352" i="12" a="1"/>
  <c r="B352" i="12"/>
  <c r="D351" i="12" a="1"/>
  <c r="D351" i="12"/>
  <c r="B351" i="12" a="1"/>
  <c r="B351" i="12"/>
  <c r="D350" i="12" a="1"/>
  <c r="D350" i="12"/>
  <c r="B350" i="12" a="1"/>
  <c r="B350" i="12"/>
  <c r="D349" i="12" a="1"/>
  <c r="D349" i="12"/>
  <c r="B349" i="12" a="1"/>
  <c r="B349" i="12"/>
  <c r="D348" i="12" a="1"/>
  <c r="D348" i="12"/>
  <c r="B348" i="12" a="1"/>
  <c r="B348" i="12"/>
  <c r="D347" i="12" a="1"/>
  <c r="D347" i="12"/>
  <c r="B347" i="12" a="1"/>
  <c r="B347" i="12"/>
  <c r="D346" i="12" a="1"/>
  <c r="D346" i="12"/>
  <c r="B346" i="12" a="1"/>
  <c r="B346" i="12"/>
  <c r="D345" i="12" a="1"/>
  <c r="D345" i="12"/>
  <c r="B345" i="12" a="1"/>
  <c r="B345" i="12"/>
  <c r="D344" i="12" a="1"/>
  <c r="D344" i="12"/>
  <c r="B344" i="12" a="1"/>
  <c r="B344" i="12"/>
  <c r="D343" i="12" a="1"/>
  <c r="D343" i="12"/>
  <c r="B343" i="12" a="1"/>
  <c r="B343" i="12"/>
  <c r="D342" i="12" a="1"/>
  <c r="D342" i="12"/>
  <c r="B342" i="12" a="1"/>
  <c r="B342" i="12"/>
  <c r="D341" i="12" a="1"/>
  <c r="D341" i="12"/>
  <c r="B341" i="12" a="1"/>
  <c r="B341" i="12"/>
  <c r="D340" i="12" a="1"/>
  <c r="D340" i="12"/>
  <c r="B340" i="12" a="1"/>
  <c r="B340" i="12"/>
  <c r="D339" i="12" a="1"/>
  <c r="D339" i="12"/>
  <c r="B339" i="12" a="1"/>
  <c r="B339" i="12"/>
  <c r="D338" i="12" a="1"/>
  <c r="D338" i="12"/>
  <c r="B338" i="12" a="1"/>
  <c r="B338" i="12"/>
  <c r="D337" i="12" a="1"/>
  <c r="D337" i="12"/>
  <c r="B337" i="12" a="1"/>
  <c r="B337" i="12"/>
  <c r="D336" i="12" a="1"/>
  <c r="D336" i="12"/>
  <c r="B336" i="12" a="1"/>
  <c r="B336" i="12"/>
  <c r="D335" i="12" a="1"/>
  <c r="D335" i="12"/>
  <c r="B335" i="12" a="1"/>
  <c r="B335" i="12"/>
  <c r="D334" i="12" a="1"/>
  <c r="D334" i="12" s="1"/>
  <c r="B334" i="12" a="1"/>
  <c r="B334" i="12"/>
  <c r="D333" i="12" a="1"/>
  <c r="D333" i="12" s="1"/>
  <c r="B333" i="12" a="1"/>
  <c r="B333" i="12"/>
  <c r="D332" i="12" a="1"/>
  <c r="D332" i="12" s="1"/>
  <c r="B332" i="12" a="1"/>
  <c r="B332" i="12"/>
  <c r="D331" i="12" a="1"/>
  <c r="D331" i="12" s="1"/>
  <c r="B331" i="12" a="1"/>
  <c r="B331" i="12"/>
  <c r="D330" i="12" a="1"/>
  <c r="D330" i="12" s="1"/>
  <c r="B330" i="12" a="1"/>
  <c r="B330" i="12"/>
  <c r="D329" i="12" a="1"/>
  <c r="D329" i="12" s="1"/>
  <c r="B329" i="12" a="1"/>
  <c r="B329" i="12"/>
  <c r="D328" i="12" a="1"/>
  <c r="D328" i="12" s="1"/>
  <c r="B328" i="12" a="1"/>
  <c r="B328" i="12"/>
  <c r="D327" i="12" a="1"/>
  <c r="D327" i="12" s="1"/>
  <c r="B327" i="12" a="1"/>
  <c r="B327" i="12"/>
  <c r="D326" i="12" a="1"/>
  <c r="D326" i="12" s="1"/>
  <c r="B326" i="12" a="1"/>
  <c r="B326" i="12" s="1"/>
  <c r="D325" i="12" a="1"/>
  <c r="D325" i="12" s="1"/>
  <c r="B325" i="12" a="1"/>
  <c r="B325" i="12" s="1"/>
  <c r="D324" i="12" a="1"/>
  <c r="D324" i="12" s="1"/>
  <c r="B324" i="12" a="1"/>
  <c r="B324" i="12" s="1"/>
  <c r="D323" i="12" a="1"/>
  <c r="D323" i="12" s="1"/>
  <c r="B323" i="12" a="1"/>
  <c r="B323" i="12"/>
  <c r="D322" i="12" a="1"/>
  <c r="D322" i="12" s="1"/>
  <c r="B322" i="12" a="1"/>
  <c r="B322" i="12" s="1"/>
  <c r="D321" i="12" a="1"/>
  <c r="D321" i="12" s="1"/>
  <c r="B321" i="12" a="1"/>
  <c r="B321" i="12" s="1"/>
  <c r="D320" i="12" a="1"/>
  <c r="D320" i="12" s="1"/>
  <c r="B320" i="12" a="1"/>
  <c r="B320" i="12" s="1"/>
  <c r="D319" i="12" a="1"/>
  <c r="D319" i="12" s="1"/>
  <c r="B319" i="12" a="1"/>
  <c r="B319" i="12"/>
  <c r="D318" i="12" a="1"/>
  <c r="D318" i="12" s="1"/>
  <c r="B318" i="12" a="1"/>
  <c r="B318" i="12"/>
  <c r="D317" i="12" a="1"/>
  <c r="D317" i="12" s="1"/>
  <c r="B317" i="12" a="1"/>
  <c r="B317" i="12" s="1"/>
  <c r="D316" i="12" a="1"/>
  <c r="D316" i="12" s="1"/>
  <c r="B316" i="12" a="1"/>
  <c r="B316" i="12" s="1"/>
  <c r="D315" i="12" a="1"/>
  <c r="D315" i="12" s="1"/>
  <c r="B315" i="12" a="1"/>
  <c r="B315" i="12" s="1"/>
  <c r="D314" i="12" a="1"/>
  <c r="D314" i="12" s="1"/>
  <c r="B314" i="12" a="1"/>
  <c r="B314" i="12"/>
  <c r="D313" i="12" a="1"/>
  <c r="D313" i="12" s="1"/>
  <c r="B313" i="12" a="1"/>
  <c r="B313" i="12"/>
  <c r="D312" i="12" a="1"/>
  <c r="D312" i="12" s="1"/>
  <c r="B312" i="12" a="1"/>
  <c r="B312" i="12" s="1"/>
  <c r="D311" i="12" a="1"/>
  <c r="D311" i="12" s="1"/>
  <c r="B311" i="12" a="1"/>
  <c r="B311" i="12" s="1"/>
  <c r="D310" i="12" a="1"/>
  <c r="D310" i="12" s="1"/>
  <c r="B310" i="12" a="1"/>
  <c r="B310" i="12" s="1"/>
  <c r="D309" i="12" a="1"/>
  <c r="D309" i="12" s="1"/>
  <c r="B309" i="12" a="1"/>
  <c r="B309" i="12"/>
  <c r="D308" i="12" a="1"/>
  <c r="D308" i="12" s="1"/>
  <c r="B308" i="12" a="1"/>
  <c r="B308" i="12"/>
  <c r="D307" i="12" a="1"/>
  <c r="D307" i="12" s="1"/>
  <c r="B307" i="12" a="1"/>
  <c r="B307" i="12" s="1"/>
  <c r="D306" i="12" a="1"/>
  <c r="D306" i="12" s="1"/>
  <c r="B306" i="12" a="1"/>
  <c r="B306" i="12" s="1"/>
  <c r="D305" i="12" a="1"/>
  <c r="D305" i="12" s="1"/>
  <c r="B305" i="12" a="1"/>
  <c r="B305" i="12"/>
  <c r="D304" i="12" a="1"/>
  <c r="D304" i="12" s="1"/>
  <c r="B304" i="12" a="1"/>
  <c r="B304" i="12"/>
  <c r="D303" i="12" a="1"/>
  <c r="D303" i="12" s="1"/>
  <c r="B303" i="12" a="1"/>
  <c r="B303" i="12"/>
  <c r="D302" i="12" a="1"/>
  <c r="D302" i="12" s="1"/>
  <c r="B302" i="12" a="1"/>
  <c r="B302" i="12" s="1"/>
  <c r="D301" i="12" a="1"/>
  <c r="D301" i="12" s="1"/>
  <c r="B301" i="12" a="1"/>
  <c r="B301" i="12" s="1"/>
  <c r="D300" i="12" a="1"/>
  <c r="D300" i="12" s="1"/>
  <c r="B300" i="12" a="1"/>
  <c r="B300" i="12" s="1"/>
  <c r="D299" i="12" a="1"/>
  <c r="D299" i="12" s="1"/>
  <c r="B299" i="12" a="1"/>
  <c r="B299" i="12"/>
  <c r="D298" i="12" a="1"/>
  <c r="D298" i="12" s="1"/>
  <c r="B298" i="12" a="1"/>
  <c r="B298" i="12"/>
  <c r="D297" i="12" a="1"/>
  <c r="D297" i="12" s="1"/>
  <c r="B297" i="12" a="1"/>
  <c r="B297" i="12" s="1"/>
  <c r="D296" i="12" a="1"/>
  <c r="D296" i="12" s="1"/>
  <c r="B296" i="12" a="1"/>
  <c r="B296" i="12" s="1"/>
  <c r="D295" i="12" a="1"/>
  <c r="D295" i="12" s="1"/>
  <c r="B295" i="12" a="1"/>
  <c r="B295" i="12" s="1"/>
  <c r="D294" i="12" a="1"/>
  <c r="D294" i="12" s="1"/>
  <c r="B294" i="12" a="1"/>
  <c r="B294" i="12"/>
  <c r="D293" i="12" a="1"/>
  <c r="D293" i="12" s="1"/>
  <c r="B293" i="12" a="1"/>
  <c r="B293" i="12"/>
  <c r="D292" i="12" a="1"/>
  <c r="D292" i="12" s="1"/>
  <c r="B292" i="12" a="1"/>
  <c r="B292" i="12" s="1"/>
  <c r="D291" i="12" a="1"/>
  <c r="D291" i="12" s="1"/>
  <c r="B291" i="12" a="1"/>
  <c r="B291" i="12" s="1"/>
  <c r="D290" i="12" a="1"/>
  <c r="D290" i="12" s="1"/>
  <c r="B290" i="12" a="1"/>
  <c r="B290" i="12"/>
  <c r="D289" i="12" a="1"/>
  <c r="D289" i="12"/>
  <c r="B289" i="12" a="1"/>
  <c r="B289" i="12"/>
  <c r="D288" i="12" a="1"/>
  <c r="D288" i="12"/>
  <c r="B288" i="12" a="1"/>
  <c r="B288" i="12"/>
  <c r="D287" i="12" a="1"/>
  <c r="D287" i="12"/>
  <c r="B287" i="12" a="1"/>
  <c r="B287" i="12"/>
  <c r="D286" i="12" a="1"/>
  <c r="D286" i="12"/>
  <c r="B286" i="12" a="1"/>
  <c r="B286" i="12"/>
  <c r="D285" i="12" a="1"/>
  <c r="D285" i="12"/>
  <c r="B285" i="12" a="1"/>
  <c r="B285" i="12"/>
  <c r="D284" i="12" a="1"/>
  <c r="D284" i="12"/>
  <c r="B284" i="12" a="1"/>
  <c r="B284" i="12" s="1"/>
  <c r="D283" i="12" a="1"/>
  <c r="D283" i="12"/>
  <c r="B283" i="12" a="1"/>
  <c r="B283" i="12" s="1"/>
  <c r="D282" i="12" a="1"/>
  <c r="D282" i="12" s="1"/>
  <c r="B282" i="12" a="1"/>
  <c r="B282" i="12"/>
  <c r="D281" i="12" a="1"/>
  <c r="D281" i="12" s="1"/>
  <c r="B281" i="12" a="1"/>
  <c r="B281" i="12" s="1"/>
  <c r="D280" i="12" a="1"/>
  <c r="D280" i="12"/>
  <c r="B280" i="12" a="1"/>
  <c r="B280" i="12"/>
  <c r="D279" i="12" a="1"/>
  <c r="D279" i="12" s="1"/>
  <c r="B279" i="12" a="1"/>
  <c r="B279" i="12"/>
  <c r="D278" i="12" a="1"/>
  <c r="D278" i="12"/>
  <c r="B278" i="12" a="1"/>
  <c r="B278" i="12"/>
  <c r="D277" i="12" a="1"/>
  <c r="D277" i="12" s="1"/>
  <c r="B277" i="12" a="1"/>
  <c r="B277" i="12"/>
  <c r="D276" i="12" a="1"/>
  <c r="D276" i="12"/>
  <c r="B276" i="12" a="1"/>
  <c r="B276" i="12" s="1"/>
  <c r="D275" i="12" a="1"/>
  <c r="D275" i="12"/>
  <c r="B275" i="12" a="1"/>
  <c r="B275" i="12"/>
  <c r="D274" i="12" a="1"/>
  <c r="D274" i="12" s="1"/>
  <c r="B274" i="12" a="1"/>
  <c r="B274" i="12"/>
  <c r="D273" i="12" a="1"/>
  <c r="D273" i="12"/>
  <c r="B273" i="12" a="1"/>
  <c r="B273" i="12" s="1"/>
  <c r="D272" i="12" a="1"/>
  <c r="D272" i="12" s="1"/>
  <c r="B272" i="12" a="1"/>
  <c r="B272" i="12" s="1"/>
  <c r="D271" i="12" a="1"/>
  <c r="D271" i="12"/>
  <c r="B271" i="12" a="1"/>
  <c r="B271" i="12" s="1"/>
  <c r="D270" i="12" a="1"/>
  <c r="D270" i="12"/>
  <c r="B270" i="12" a="1"/>
  <c r="B270" i="12"/>
  <c r="D269" i="12" a="1"/>
  <c r="D269" i="12" s="1"/>
  <c r="B269" i="12" a="1"/>
  <c r="B269" i="12" s="1"/>
  <c r="D268" i="12" a="1"/>
  <c r="D268" i="12" s="1"/>
  <c r="B268" i="12" a="1"/>
  <c r="B268" i="12"/>
  <c r="D267" i="12" a="1"/>
  <c r="D267" i="12" s="1"/>
  <c r="B267" i="12" a="1"/>
  <c r="B267" i="12" s="1"/>
  <c r="D266" i="12" a="1"/>
  <c r="D266" i="12"/>
  <c r="B266" i="12" a="1"/>
  <c r="B266" i="12"/>
  <c r="D265" i="12" a="1"/>
  <c r="D265" i="12"/>
  <c r="B265" i="12" a="1"/>
  <c r="B265" i="12"/>
  <c r="D264" i="12" a="1"/>
  <c r="D264" i="12"/>
  <c r="B264" i="12" a="1"/>
  <c r="B264" i="12" s="1"/>
  <c r="D263" i="12" a="1"/>
  <c r="D263" i="12"/>
  <c r="B263" i="12" a="1"/>
  <c r="B263" i="12" s="1"/>
  <c r="D262" i="12" a="1"/>
  <c r="D262" i="12"/>
  <c r="B262" i="12" a="1"/>
  <c r="B262" i="12"/>
  <c r="D261" i="12" a="1"/>
  <c r="D261" i="12"/>
  <c r="B261" i="12" a="1"/>
  <c r="B261" i="12" s="1"/>
  <c r="D260" i="12" a="1"/>
  <c r="D260" i="12"/>
  <c r="B260" i="12" a="1"/>
  <c r="B260" i="12"/>
  <c r="D259" i="12" a="1"/>
  <c r="D259" i="12" s="1"/>
  <c r="B259" i="12" a="1"/>
  <c r="B259" i="12" s="1"/>
  <c r="D258" i="12" a="1"/>
  <c r="D258" i="12" s="1"/>
  <c r="B258" i="12" a="1"/>
  <c r="B258" i="12" s="1"/>
  <c r="D257" i="12" a="1"/>
  <c r="D257" i="12" s="1"/>
  <c r="B257" i="12" a="1"/>
  <c r="B257" i="12" s="1"/>
  <c r="D256" i="12" a="1"/>
  <c r="D256" i="12"/>
  <c r="B256" i="12" a="1"/>
  <c r="B256" i="12" s="1"/>
  <c r="D255" i="12" a="1"/>
  <c r="D255" i="12" s="1"/>
  <c r="B255" i="12" a="1"/>
  <c r="B255" i="12"/>
  <c r="D254" i="12" a="1"/>
  <c r="D254" i="12" s="1"/>
  <c r="B254" i="12" a="1"/>
  <c r="B254" i="12" s="1"/>
  <c r="D253" i="12" a="1"/>
  <c r="D253" i="12" s="1"/>
  <c r="B253" i="12" a="1"/>
  <c r="B253" i="12" s="1"/>
  <c r="D252" i="12" a="1"/>
  <c r="D252" i="12" s="1"/>
  <c r="B252" i="12" a="1"/>
  <c r="B252" i="12" s="1"/>
  <c r="D251" i="12" a="1"/>
  <c r="D251" i="12"/>
  <c r="B251" i="12" a="1"/>
  <c r="B251" i="12" s="1"/>
  <c r="D250" i="12" a="1"/>
  <c r="D250" i="12" s="1"/>
  <c r="B250" i="12" a="1"/>
  <c r="B250" i="12"/>
  <c r="D249" i="12" a="1"/>
  <c r="D249" i="12" s="1"/>
  <c r="B249" i="12" a="1"/>
  <c r="B249" i="12" s="1"/>
  <c r="D248" i="12" a="1"/>
  <c r="D248" i="12" s="1"/>
  <c r="B248" i="12" a="1"/>
  <c r="B248" i="12" s="1"/>
  <c r="D247" i="12" a="1"/>
  <c r="D247" i="12" s="1"/>
  <c r="B247" i="12" a="1"/>
  <c r="B247" i="12" s="1"/>
  <c r="D246" i="12" a="1"/>
  <c r="D246" i="12"/>
  <c r="B246" i="12" a="1"/>
  <c r="B246" i="12" s="1"/>
  <c r="D245" i="12" a="1"/>
  <c r="D245" i="12" s="1"/>
  <c r="B245" i="12" a="1"/>
  <c r="B245" i="12"/>
  <c r="D244" i="12" a="1"/>
  <c r="D244" i="12" s="1"/>
  <c r="B244" i="12" a="1"/>
  <c r="B244" i="12" s="1"/>
  <c r="D243" i="12" a="1"/>
  <c r="D243" i="12" s="1"/>
  <c r="B243" i="12" a="1"/>
  <c r="B243" i="12" s="1"/>
  <c r="D242" i="12" a="1"/>
  <c r="D242" i="12" s="1"/>
  <c r="B242" i="12" a="1"/>
  <c r="B242" i="12" s="1"/>
  <c r="D241" i="12" a="1"/>
  <c r="D241" i="12"/>
  <c r="B241" i="12" a="1"/>
  <c r="B241" i="12" s="1"/>
  <c r="D240" i="12" a="1"/>
  <c r="D240" i="12" s="1"/>
  <c r="B240" i="12" a="1"/>
  <c r="B240" i="12"/>
  <c r="D239" i="12" a="1"/>
  <c r="D239" i="12" s="1"/>
  <c r="B239" i="12" a="1"/>
  <c r="B239" i="12" s="1"/>
  <c r="D238" i="12" a="1"/>
  <c r="D238" i="12" s="1"/>
  <c r="B238" i="12" a="1"/>
  <c r="B238" i="12" s="1"/>
  <c r="D237" i="12" a="1"/>
  <c r="D237" i="12" s="1"/>
  <c r="B237" i="12" a="1"/>
  <c r="B237" i="12" s="1"/>
  <c r="D236" i="12" a="1"/>
  <c r="D236" i="12"/>
  <c r="B236" i="12" a="1"/>
  <c r="B236" i="12" s="1"/>
  <c r="D235" i="12" a="1"/>
  <c r="D235" i="12" s="1"/>
  <c r="B235" i="12" a="1"/>
  <c r="B235" i="12"/>
  <c r="D234" i="12" a="1"/>
  <c r="D234" i="12" s="1"/>
  <c r="B234" i="12" a="1"/>
  <c r="B234" i="12" s="1"/>
  <c r="D233" i="12" a="1"/>
  <c r="D233" i="12" s="1"/>
  <c r="B233" i="12" a="1"/>
  <c r="B233" i="12" s="1"/>
  <c r="D232" i="12" a="1"/>
  <c r="D232" i="12" s="1"/>
  <c r="B232" i="12" a="1"/>
  <c r="B232" i="12" s="1"/>
  <c r="D231" i="12" a="1"/>
  <c r="D231" i="12"/>
  <c r="B231" i="12" a="1"/>
  <c r="B231" i="12"/>
  <c r="D230" i="12" a="1"/>
  <c r="D230" i="12" s="1"/>
  <c r="B230" i="12" a="1"/>
  <c r="B230" i="12"/>
  <c r="D229" i="12" a="1"/>
  <c r="D229" i="12" s="1"/>
  <c r="B229" i="12" a="1"/>
  <c r="B229" i="12" s="1"/>
  <c r="D228" i="12" a="1"/>
  <c r="D228" i="12" s="1"/>
  <c r="B228" i="12" a="1"/>
  <c r="B228" i="12"/>
  <c r="D227" i="12" a="1"/>
  <c r="D227" i="12"/>
  <c r="B227" i="12" a="1"/>
  <c r="B227" i="12" s="1"/>
  <c r="D226" i="12" a="1"/>
  <c r="D226" i="12"/>
  <c r="B226" i="12" a="1"/>
  <c r="B226" i="12" s="1"/>
  <c r="D225" i="12" a="1"/>
  <c r="D225" i="12" s="1"/>
  <c r="B225" i="12" a="1"/>
  <c r="B225" i="12"/>
  <c r="D224" i="12" a="1"/>
  <c r="D224" i="12" s="1"/>
  <c r="B224" i="12" a="1"/>
  <c r="B224" i="12" s="1"/>
  <c r="D223" i="12" a="1"/>
  <c r="D223" i="12" s="1"/>
  <c r="B223" i="12" a="1"/>
  <c r="B223" i="12"/>
  <c r="D222" i="12" a="1"/>
  <c r="D222" i="12"/>
  <c r="B222" i="12" a="1"/>
  <c r="B222" i="12" s="1"/>
  <c r="D221" i="12" a="1"/>
  <c r="D221" i="12" s="1"/>
  <c r="B221" i="12" a="1"/>
  <c r="B221" i="12"/>
  <c r="D220" i="12" a="1"/>
  <c r="D220" i="12" s="1"/>
  <c r="B220" i="12" a="1"/>
  <c r="B220" i="12" s="1"/>
  <c r="D219" i="12" a="1"/>
  <c r="D219" i="12" s="1"/>
  <c r="B219" i="12" a="1"/>
  <c r="B219" i="12" s="1"/>
  <c r="D218" i="12" a="1"/>
  <c r="D218" i="12" s="1"/>
  <c r="B218" i="12" a="1"/>
  <c r="B218" i="12"/>
  <c r="D217" i="12" a="1"/>
  <c r="D217" i="12"/>
  <c r="B217" i="12" a="1"/>
  <c r="B217" i="12" s="1"/>
  <c r="D216" i="12" a="1"/>
  <c r="D216" i="12" s="1"/>
  <c r="B216" i="12" a="1"/>
  <c r="B216" i="12"/>
  <c r="D215" i="12" a="1"/>
  <c r="D215" i="12" s="1"/>
  <c r="B215" i="12" a="1"/>
  <c r="B215" i="12" s="1"/>
  <c r="D214" i="12" a="1"/>
  <c r="D214" i="12"/>
  <c r="B214" i="12" a="1"/>
  <c r="B214" i="12" s="1"/>
  <c r="D213" i="12" a="1"/>
  <c r="D213" i="12" s="1"/>
  <c r="B213" i="12" a="1"/>
  <c r="B213" i="12"/>
  <c r="D212" i="12" a="1"/>
  <c r="D212" i="12"/>
  <c r="B212" i="12" a="1"/>
  <c r="B212" i="12" s="1"/>
  <c r="D211" i="12" a="1"/>
  <c r="D211" i="12" s="1"/>
  <c r="B211" i="12" a="1"/>
  <c r="B211" i="12"/>
  <c r="D210" i="12" a="1"/>
  <c r="D210" i="12" s="1"/>
  <c r="B210" i="12" a="1"/>
  <c r="B210" i="12"/>
  <c r="D209" i="12" a="1"/>
  <c r="D209" i="12" s="1"/>
  <c r="B209" i="12" a="1"/>
  <c r="B209" i="12"/>
  <c r="D208" i="12" a="1"/>
  <c r="D208" i="12" s="1"/>
  <c r="B208" i="12" a="1"/>
  <c r="B208" i="12"/>
  <c r="D207" i="12" a="1"/>
  <c r="D207" i="12"/>
  <c r="B207" i="12" a="1"/>
  <c r="B207" i="12"/>
  <c r="D206" i="12" a="1"/>
  <c r="D206" i="12"/>
  <c r="B206" i="12" a="1"/>
  <c r="B206" i="12"/>
  <c r="D205" i="12" a="1"/>
  <c r="D205" i="12"/>
  <c r="B205" i="12" a="1"/>
  <c r="B205" i="12"/>
  <c r="D204" i="12" a="1"/>
  <c r="D204" i="12" s="1"/>
  <c r="B204" i="12" a="1"/>
  <c r="B204" i="12"/>
  <c r="D203" i="12" a="1"/>
  <c r="D203" i="12"/>
  <c r="B203" i="12" a="1"/>
  <c r="B203" i="12" s="1"/>
  <c r="D202" i="12" a="1"/>
  <c r="D202" i="12"/>
  <c r="B202" i="12" a="1"/>
  <c r="B202" i="12"/>
  <c r="D201" i="12" a="1"/>
  <c r="D201" i="12"/>
  <c r="B201" i="12" a="1"/>
  <c r="B201" i="12"/>
  <c r="D200" i="12" a="1"/>
  <c r="D200" i="12"/>
  <c r="B200" i="12" a="1"/>
  <c r="B200" i="12"/>
  <c r="D199" i="12" a="1"/>
  <c r="D199" i="12" s="1"/>
  <c r="B199" i="12" a="1"/>
  <c r="B199" i="12"/>
  <c r="D198" i="12" a="1"/>
  <c r="D198" i="12"/>
  <c r="B198" i="12" a="1"/>
  <c r="B198" i="12" s="1"/>
  <c r="D197" i="12" a="1"/>
  <c r="D197" i="12"/>
  <c r="B197" i="12" a="1"/>
  <c r="B197" i="12"/>
  <c r="D196" i="12" a="1"/>
  <c r="D196" i="12"/>
  <c r="B196" i="12" a="1"/>
  <c r="B196" i="12"/>
  <c r="D195" i="12" a="1"/>
  <c r="D195" i="12"/>
  <c r="B195" i="12" a="1"/>
  <c r="B195" i="12"/>
  <c r="D194" i="12" a="1"/>
  <c r="D194" i="12" s="1"/>
  <c r="B194" i="12" a="1"/>
  <c r="B194" i="12"/>
  <c r="D193" i="12" a="1"/>
  <c r="D193" i="12"/>
  <c r="B193" i="12" a="1"/>
  <c r="B193" i="12"/>
  <c r="D192" i="12" a="1"/>
  <c r="D192" i="12"/>
  <c r="B192" i="12" a="1"/>
  <c r="B192" i="12"/>
  <c r="D191" i="12" a="1"/>
  <c r="D191" i="12"/>
  <c r="B191" i="12" a="1"/>
  <c r="B191" i="12"/>
  <c r="D190" i="12" a="1"/>
  <c r="D190" i="12" s="1"/>
  <c r="B190" i="12" a="1"/>
  <c r="B190" i="12"/>
  <c r="D189" i="12" a="1"/>
  <c r="D189" i="12" s="1"/>
  <c r="B189" i="12" a="1"/>
  <c r="B189" i="12"/>
  <c r="D188" i="12" a="1"/>
  <c r="D188" i="12" s="1"/>
  <c r="B188" i="12" a="1"/>
  <c r="B188" i="12"/>
  <c r="D187" i="12" a="1"/>
  <c r="D187" i="12" s="1"/>
  <c r="B187" i="12" a="1"/>
  <c r="B187" i="12"/>
  <c r="D186" i="12" a="1"/>
  <c r="D186" i="12" s="1"/>
  <c r="B186" i="12" a="1"/>
  <c r="B186" i="12" s="1"/>
  <c r="D185" i="12" a="1"/>
  <c r="D185" i="12" s="1"/>
  <c r="B185" i="12" a="1"/>
  <c r="B185" i="12" s="1"/>
  <c r="D184" i="12" a="1"/>
  <c r="D184" i="12" s="1"/>
  <c r="B184" i="12" a="1"/>
  <c r="B184" i="12"/>
  <c r="D183" i="12" a="1"/>
  <c r="D183" i="12" s="1"/>
  <c r="B183" i="12" a="1"/>
  <c r="B183" i="12"/>
  <c r="D182" i="12" a="1"/>
  <c r="D182" i="12" s="1"/>
  <c r="B182" i="12" a="1"/>
  <c r="B182" i="12"/>
  <c r="D181" i="12" a="1"/>
  <c r="D181" i="12" s="1"/>
  <c r="B181" i="12" a="1"/>
  <c r="B181" i="12" s="1"/>
  <c r="D180" i="12" a="1"/>
  <c r="D180" i="12" s="1"/>
  <c r="B180" i="12" a="1"/>
  <c r="B180" i="12" s="1"/>
  <c r="D179" i="12" a="1"/>
  <c r="D179" i="12" s="1"/>
  <c r="B179" i="12" a="1"/>
  <c r="B179" i="12"/>
  <c r="D178" i="12" a="1"/>
  <c r="D178" i="12" s="1"/>
  <c r="B178" i="12" a="1"/>
  <c r="B178" i="12" s="1"/>
  <c r="D177" i="12" a="1"/>
  <c r="D177" i="12" s="1"/>
  <c r="B177" i="12" a="1"/>
  <c r="B177" i="12"/>
  <c r="D176" i="12" a="1"/>
  <c r="D176" i="12" s="1"/>
  <c r="B176" i="12" a="1"/>
  <c r="B176" i="12" s="1"/>
  <c r="D175" i="12" a="1"/>
  <c r="D175" i="12" s="1"/>
  <c r="B175" i="12" a="1"/>
  <c r="B175" i="12"/>
  <c r="D174" i="12" a="1"/>
  <c r="D174" i="12" s="1"/>
  <c r="B174" i="12" a="1"/>
  <c r="B174" i="12"/>
  <c r="D173" i="12" a="1"/>
  <c r="D173" i="12" s="1"/>
  <c r="B173" i="12" a="1"/>
  <c r="B173" i="12" s="1"/>
  <c r="D172" i="12" a="1"/>
  <c r="D172" i="12" s="1"/>
  <c r="B172" i="12" a="1"/>
  <c r="B172" i="12" s="1"/>
  <c r="D171" i="12" a="1"/>
  <c r="D171" i="12" s="1"/>
  <c r="B171" i="12" a="1"/>
  <c r="B171" i="12" s="1"/>
  <c r="D170" i="12" a="1"/>
  <c r="D170" i="12" s="1"/>
  <c r="B170" i="12" a="1"/>
  <c r="B170" i="12"/>
  <c r="D169" i="12" a="1"/>
  <c r="D169" i="12" s="1"/>
  <c r="B169" i="12" a="1"/>
  <c r="B169" i="12"/>
  <c r="D168" i="12" a="1"/>
  <c r="D168" i="12" s="1"/>
  <c r="B168" i="12" a="1"/>
  <c r="B168" i="12" s="1"/>
  <c r="D167" i="12" a="1"/>
  <c r="D167" i="12" s="1"/>
  <c r="B167" i="12" a="1"/>
  <c r="B167" i="12" s="1"/>
  <c r="D166" i="12" a="1"/>
  <c r="D166" i="12" s="1"/>
  <c r="B166" i="12" a="1"/>
  <c r="B166" i="12" s="1"/>
  <c r="D165" i="12" a="1"/>
  <c r="D165" i="12" s="1"/>
  <c r="B165" i="12" a="1"/>
  <c r="B165" i="12"/>
  <c r="D164" i="12" a="1"/>
  <c r="D164" i="12" s="1"/>
  <c r="B164" i="12" a="1"/>
  <c r="B164" i="12"/>
  <c r="D163" i="12" a="1"/>
  <c r="D163" i="12" s="1"/>
  <c r="B163" i="12" a="1"/>
  <c r="B163" i="12" s="1"/>
  <c r="D162" i="12" a="1"/>
  <c r="D162" i="12" s="1"/>
  <c r="B162" i="12" a="1"/>
  <c r="B162" i="12" s="1"/>
  <c r="D161" i="12" a="1"/>
  <c r="D161" i="12" s="1"/>
  <c r="B161" i="12" a="1"/>
  <c r="B161" i="12" s="1"/>
  <c r="D160" i="12" a="1"/>
  <c r="D160" i="12" s="1"/>
  <c r="B160" i="12" a="1"/>
  <c r="B160" i="12"/>
  <c r="D159" i="12" a="1"/>
  <c r="D159" i="12" s="1"/>
  <c r="B159" i="12" a="1"/>
  <c r="B159" i="12"/>
  <c r="D158" i="12" a="1"/>
  <c r="D158" i="12" s="1"/>
  <c r="B158" i="12" a="1"/>
  <c r="B158" i="12" s="1"/>
  <c r="D157" i="12" a="1"/>
  <c r="D157" i="12" s="1"/>
  <c r="B157" i="12" a="1"/>
  <c r="B157" i="12" s="1"/>
  <c r="D156" i="12" a="1"/>
  <c r="D156" i="12" s="1"/>
  <c r="B156" i="12" a="1"/>
  <c r="B156" i="12" s="1"/>
  <c r="D155" i="12" a="1"/>
  <c r="D155" i="12" s="1"/>
  <c r="B155" i="12" a="1"/>
  <c r="B155" i="12"/>
  <c r="D154" i="12" a="1"/>
  <c r="D154" i="12" s="1"/>
  <c r="B154" i="12" a="1"/>
  <c r="B154" i="12"/>
  <c r="D153" i="12" a="1"/>
  <c r="D153" i="12" s="1"/>
  <c r="B153" i="12" a="1"/>
  <c r="B153" i="12" s="1"/>
  <c r="D152" i="12" a="1"/>
  <c r="D152" i="12" s="1"/>
  <c r="B152" i="12" a="1"/>
  <c r="B152" i="12" s="1"/>
  <c r="D151" i="12" a="1"/>
  <c r="D151" i="12" s="1"/>
  <c r="B151" i="12" a="1"/>
  <c r="B151" i="12" s="1"/>
  <c r="D150" i="12" a="1"/>
  <c r="D150" i="12" s="1"/>
  <c r="B150" i="12" a="1"/>
  <c r="B150" i="12"/>
  <c r="D149" i="12" a="1"/>
  <c r="D149" i="12" s="1"/>
  <c r="B149" i="12" a="1"/>
  <c r="B149" i="12"/>
  <c r="D148" i="12" a="1"/>
  <c r="D148" i="12" s="1"/>
  <c r="B148" i="12" a="1"/>
  <c r="B148" i="12" s="1"/>
  <c r="D147" i="12" a="1"/>
  <c r="D147" i="12" s="1"/>
  <c r="B147" i="12" a="1"/>
  <c r="B147" i="12" s="1"/>
  <c r="D146" i="12" a="1"/>
  <c r="D146" i="12" s="1"/>
  <c r="B146" i="12" a="1"/>
  <c r="B146" i="12" s="1"/>
  <c r="D145" i="12" a="1"/>
  <c r="D145" i="12" s="1"/>
  <c r="B145" i="12" a="1"/>
  <c r="B145" i="12"/>
  <c r="D144" i="12" a="1"/>
  <c r="D144" i="12" s="1"/>
  <c r="B144" i="12" a="1"/>
  <c r="B144" i="12"/>
  <c r="D143" i="12" a="1"/>
  <c r="D143" i="12" s="1"/>
  <c r="B143" i="12" a="1"/>
  <c r="B143" i="12"/>
  <c r="D142" i="12" a="1"/>
  <c r="D142" i="12" s="1"/>
  <c r="B142" i="12" a="1"/>
  <c r="B142" i="12"/>
  <c r="D141" i="12" a="1"/>
  <c r="D141" i="12" s="1"/>
  <c r="B141" i="12" a="1"/>
  <c r="B141" i="12" s="1"/>
  <c r="D140" i="12" a="1"/>
  <c r="D140" i="12" s="1"/>
  <c r="B140" i="12" a="1"/>
  <c r="B140" i="12"/>
  <c r="D139" i="12" a="1"/>
  <c r="D139" i="12" s="1"/>
  <c r="B139" i="12" a="1"/>
  <c r="B139" i="12"/>
  <c r="D138" i="12" a="1"/>
  <c r="D138" i="12" s="1"/>
  <c r="B138" i="12" a="1"/>
  <c r="B138" i="12"/>
  <c r="D137" i="12" a="1"/>
  <c r="D137" i="12" s="1"/>
  <c r="B137" i="12" a="1"/>
  <c r="B137" i="12"/>
  <c r="D136" i="12" a="1"/>
  <c r="D136" i="12" s="1"/>
  <c r="B136" i="12" a="1"/>
  <c r="B136" i="12" s="1"/>
  <c r="D135" i="12" a="1"/>
  <c r="D135" i="12" s="1"/>
  <c r="B135" i="12" a="1"/>
  <c r="B135" i="12"/>
  <c r="D134" i="12" a="1"/>
  <c r="D134" i="12" s="1"/>
  <c r="B134" i="12" a="1"/>
  <c r="B134" i="12"/>
  <c r="D133" i="12" a="1"/>
  <c r="D133" i="12" s="1"/>
  <c r="B133" i="12" a="1"/>
  <c r="B133" i="12"/>
  <c r="D132" i="12" a="1"/>
  <c r="D132" i="12" s="1"/>
  <c r="B132" i="12" a="1"/>
  <c r="B132" i="12"/>
  <c r="D131" i="12" a="1"/>
  <c r="D131" i="12" s="1"/>
  <c r="B131" i="12" a="1"/>
  <c r="B131" i="12" s="1"/>
  <c r="D130" i="12" a="1"/>
  <c r="D130" i="12" s="1"/>
  <c r="B130" i="12" a="1"/>
  <c r="B130" i="12"/>
  <c r="D129" i="12" a="1"/>
  <c r="D129" i="12"/>
  <c r="B129" i="12" a="1"/>
  <c r="B129" i="12" s="1"/>
  <c r="D128" i="12" a="1"/>
  <c r="D128" i="12" s="1"/>
  <c r="B128" i="12" a="1"/>
  <c r="B128" i="12"/>
  <c r="D127" i="12" a="1"/>
  <c r="D127" i="12" s="1"/>
  <c r="B127" i="12" a="1"/>
  <c r="B127" i="12" s="1"/>
  <c r="D126" i="12" a="1"/>
  <c r="D126" i="12"/>
  <c r="B126" i="12" a="1"/>
  <c r="B126" i="12"/>
  <c r="D125" i="12" a="1"/>
  <c r="D125" i="12" s="1"/>
  <c r="B125" i="12" a="1"/>
  <c r="B125" i="12" s="1"/>
  <c r="D124" i="12" a="1"/>
  <c r="D124" i="12"/>
  <c r="B124" i="12" a="1"/>
  <c r="B124" i="12" s="1"/>
  <c r="D123" i="12" a="1"/>
  <c r="D123" i="12" s="1"/>
  <c r="B123" i="12" a="1"/>
  <c r="B123" i="12" s="1"/>
  <c r="D122" i="12" a="1"/>
  <c r="D122" i="12"/>
  <c r="B122" i="12" a="1"/>
  <c r="B122" i="12" s="1"/>
  <c r="D121" i="12" a="1"/>
  <c r="D121" i="12"/>
  <c r="B121" i="12" a="1"/>
  <c r="B121" i="12"/>
  <c r="D120" i="12" a="1"/>
  <c r="D120" i="12"/>
  <c r="B120" i="12" a="1"/>
  <c r="B120" i="12"/>
  <c r="D119" i="12" a="1"/>
  <c r="D119" i="12"/>
  <c r="B119" i="12" a="1"/>
  <c r="B119" i="12"/>
  <c r="D118" i="12" a="1"/>
  <c r="D118" i="12"/>
  <c r="B118" i="12" a="1"/>
  <c r="B118" i="12"/>
  <c r="D117" i="12" a="1"/>
  <c r="D117" i="12"/>
  <c r="B117" i="12" a="1"/>
  <c r="B117" i="12" s="1"/>
  <c r="D116" i="12" a="1"/>
  <c r="D116" i="12" s="1"/>
  <c r="B116" i="12" a="1"/>
  <c r="B116" i="12"/>
  <c r="D115" i="12" a="1"/>
  <c r="D115" i="12" s="1"/>
  <c r="B115" i="12" a="1"/>
  <c r="B115" i="12" s="1"/>
  <c r="D114" i="12" a="1"/>
  <c r="D114" i="12" s="1"/>
  <c r="B114" i="12" a="1"/>
  <c r="B114" i="12" s="1"/>
  <c r="D113" i="12" a="1"/>
  <c r="D113" i="12" s="1"/>
  <c r="B113" i="12" a="1"/>
  <c r="B113" i="12" s="1"/>
  <c r="D112" i="12" a="1"/>
  <c r="D112" i="12"/>
  <c r="B112" i="12" a="1"/>
  <c r="B112" i="12" s="1"/>
  <c r="D111" i="12" a="1"/>
  <c r="D111" i="12" s="1"/>
  <c r="B111" i="12" a="1"/>
  <c r="B111" i="12"/>
  <c r="D110" i="12" a="1"/>
  <c r="D110" i="12" s="1"/>
  <c r="B110" i="12" a="1"/>
  <c r="B110" i="12" s="1"/>
  <c r="D109" i="12" a="1"/>
  <c r="D109" i="12" s="1"/>
  <c r="B109" i="12" a="1"/>
  <c r="B109" i="12" s="1"/>
  <c r="D108" i="12" a="1"/>
  <c r="D108" i="12" s="1"/>
  <c r="B108" i="12" a="1"/>
  <c r="B108" i="12" s="1"/>
  <c r="D107" i="12" a="1"/>
  <c r="D107" i="12"/>
  <c r="B107" i="12" a="1"/>
  <c r="B107" i="12" s="1"/>
  <c r="D106" i="12" a="1"/>
  <c r="D106" i="12" s="1"/>
  <c r="B106" i="12" a="1"/>
  <c r="B106" i="12"/>
  <c r="D105" i="12" a="1"/>
  <c r="D105" i="12" s="1"/>
  <c r="B105" i="12" a="1"/>
  <c r="B105" i="12" s="1"/>
  <c r="D104" i="12" a="1"/>
  <c r="D104" i="12" s="1"/>
  <c r="B104" i="12" a="1"/>
  <c r="B104" i="12" s="1"/>
  <c r="D103" i="12" a="1"/>
  <c r="D103" i="12" s="1"/>
  <c r="B103" i="12" a="1"/>
  <c r="B103" i="12" s="1"/>
  <c r="D102" i="12" a="1"/>
  <c r="D102" i="12"/>
  <c r="B102" i="12" a="1"/>
  <c r="B102" i="12" s="1"/>
  <c r="D101" i="12" a="1"/>
  <c r="D101" i="12" s="1"/>
  <c r="B101" i="12" a="1"/>
  <c r="B101" i="12"/>
  <c r="D100" i="12" a="1"/>
  <c r="D100" i="12" s="1"/>
  <c r="B100" i="12" a="1"/>
  <c r="B100" i="12" s="1"/>
  <c r="D99" i="12" a="1"/>
  <c r="D99" i="12" s="1"/>
  <c r="B99" i="12" a="1"/>
  <c r="B99" i="12" s="1"/>
  <c r="D98" i="12" a="1"/>
  <c r="D98" i="12" s="1"/>
  <c r="B98" i="12" a="1"/>
  <c r="B98" i="12" s="1"/>
  <c r="D97" i="12" a="1"/>
  <c r="D97" i="12"/>
  <c r="B97" i="12" a="1"/>
  <c r="B97" i="12" s="1"/>
  <c r="D96" i="12" a="1"/>
  <c r="D96" i="12" s="1"/>
  <c r="B96" i="12" a="1"/>
  <c r="B96" i="12"/>
  <c r="D95" i="12" a="1"/>
  <c r="D95" i="12" s="1"/>
  <c r="B95" i="12" a="1"/>
  <c r="B95" i="12" s="1"/>
  <c r="D94" i="12" a="1"/>
  <c r="D94" i="12" s="1"/>
  <c r="B94" i="12" a="1"/>
  <c r="B94" i="12" s="1"/>
  <c r="D93" i="12" a="1"/>
  <c r="D93" i="12" s="1"/>
  <c r="B93" i="12" a="1"/>
  <c r="B93" i="12" s="1"/>
  <c r="D92" i="12" a="1"/>
  <c r="D92" i="12"/>
  <c r="B92" i="12" a="1"/>
  <c r="B92" i="12" s="1"/>
  <c r="D91" i="12" a="1"/>
  <c r="D91" i="12" s="1"/>
  <c r="B91" i="12" a="1"/>
  <c r="B91" i="12"/>
  <c r="D90" i="12" a="1"/>
  <c r="D90" i="12"/>
  <c r="B90" i="12" a="1"/>
  <c r="B90" i="12" s="1"/>
  <c r="D89" i="12" a="1"/>
  <c r="D89" i="12" s="1"/>
  <c r="B89" i="12" a="1"/>
  <c r="B89" i="12" s="1"/>
  <c r="D88" i="12" a="1"/>
  <c r="D88" i="12" s="1"/>
  <c r="B88" i="12" a="1"/>
  <c r="B88" i="12" s="1"/>
  <c r="D87" i="12" a="1"/>
  <c r="D87" i="12"/>
  <c r="B87" i="12" a="1"/>
  <c r="B87" i="12" s="1"/>
  <c r="D86" i="12" a="1"/>
  <c r="D86" i="12" s="1"/>
  <c r="B86" i="12" a="1"/>
  <c r="B86" i="12"/>
  <c r="D85" i="12" a="1"/>
  <c r="D85" i="12" s="1"/>
  <c r="B85" i="12" a="1"/>
  <c r="B85" i="12" s="1"/>
  <c r="D84" i="12" a="1"/>
  <c r="D84" i="12" s="1"/>
  <c r="B84" i="12" a="1"/>
  <c r="B84" i="12" s="1"/>
  <c r="D83" i="12" a="1"/>
  <c r="D83" i="12" s="1"/>
  <c r="B83" i="12" a="1"/>
  <c r="B83" i="12" s="1"/>
  <c r="D82" i="12" a="1"/>
  <c r="D82" i="12"/>
  <c r="B82" i="12" a="1"/>
  <c r="B82" i="12" s="1"/>
  <c r="D81" i="12" a="1"/>
  <c r="D81" i="12" s="1"/>
  <c r="B81" i="12" a="1"/>
  <c r="B81" i="12"/>
  <c r="D80" i="12" a="1"/>
  <c r="D80" i="12" s="1"/>
  <c r="B80" i="12" a="1"/>
  <c r="B80" i="12" s="1"/>
  <c r="D79" i="12" a="1"/>
  <c r="D79" i="12" s="1"/>
  <c r="B79" i="12" a="1"/>
  <c r="B79" i="12" s="1"/>
  <c r="D78" i="12" a="1"/>
  <c r="D78" i="12" s="1"/>
  <c r="B78" i="12" a="1"/>
  <c r="B78" i="12" s="1"/>
  <c r="D77" i="12" a="1"/>
  <c r="D77" i="12"/>
  <c r="B77" i="12" a="1"/>
  <c r="B77" i="12" s="1"/>
  <c r="D76" i="12" a="1"/>
  <c r="D76" i="12" s="1"/>
  <c r="B76" i="12" a="1"/>
  <c r="B76" i="12"/>
  <c r="D75" i="12" a="1"/>
  <c r="D75" i="12" s="1"/>
  <c r="B75" i="12" a="1"/>
  <c r="B75" i="12" s="1"/>
  <c r="D74" i="12" a="1"/>
  <c r="D74" i="12" s="1"/>
  <c r="B74" i="12" a="1"/>
  <c r="B74" i="12" s="1"/>
  <c r="D73" i="12" a="1"/>
  <c r="D73" i="12" s="1"/>
  <c r="B73" i="12" a="1"/>
  <c r="B73" i="12" s="1"/>
  <c r="D72" i="12" a="1"/>
  <c r="D72" i="12"/>
  <c r="B72" i="12" a="1"/>
  <c r="B72" i="12" s="1"/>
  <c r="D71" i="12" a="1"/>
  <c r="D71" i="12" s="1"/>
  <c r="B71" i="12" a="1"/>
  <c r="B71" i="12"/>
  <c r="D70" i="12" a="1"/>
  <c r="D70" i="12" s="1"/>
  <c r="B70" i="12" a="1"/>
  <c r="B70" i="12" s="1"/>
  <c r="D69" i="12" a="1"/>
  <c r="D69" i="12" s="1"/>
  <c r="B69" i="12" a="1"/>
  <c r="B69" i="12" s="1"/>
  <c r="D68" i="12" a="1"/>
  <c r="D68" i="12" s="1"/>
  <c r="B68" i="12" a="1"/>
  <c r="B68" i="12" s="1"/>
  <c r="D67" i="12" a="1"/>
  <c r="D67" i="12"/>
  <c r="B67" i="12" a="1"/>
  <c r="B67" i="12" s="1"/>
  <c r="D66" i="12" a="1"/>
  <c r="D66" i="12" s="1"/>
  <c r="B66" i="12" a="1"/>
  <c r="B66" i="12" s="1"/>
  <c r="D65" i="12" a="1"/>
  <c r="D65" i="12"/>
  <c r="B65" i="12" a="1"/>
  <c r="B65" i="12" s="1"/>
  <c r="D64" i="12" a="1"/>
  <c r="D64" i="12"/>
  <c r="B64" i="12" a="1"/>
  <c r="B64" i="12"/>
  <c r="D63" i="12" a="1"/>
  <c r="D63" i="12"/>
  <c r="B63" i="12" a="1"/>
  <c r="B63" i="12"/>
  <c r="D62" i="12" a="1"/>
  <c r="D62" i="12" s="1"/>
  <c r="B62" i="12" a="1"/>
  <c r="B62" i="12" s="1"/>
  <c r="D61" i="12" a="1"/>
  <c r="D61" i="12" s="1"/>
  <c r="B61" i="12" a="1"/>
  <c r="B61" i="12"/>
  <c r="D60" i="12" a="1"/>
  <c r="D60" i="12"/>
  <c r="B60" i="12" a="1"/>
  <c r="B60" i="12" s="1"/>
  <c r="D59" i="12" a="1"/>
  <c r="D59" i="12"/>
  <c r="B59" i="12" a="1"/>
  <c r="B59" i="12"/>
  <c r="D58" i="12" a="1"/>
  <c r="D58" i="12" s="1"/>
  <c r="B58" i="12" a="1"/>
  <c r="B58" i="12"/>
  <c r="D57" i="12" a="1"/>
  <c r="D57" i="12"/>
  <c r="B57" i="12" a="1"/>
  <c r="B57" i="12"/>
  <c r="D56" i="12" a="1"/>
  <c r="D56" i="12" s="1"/>
  <c r="B56" i="12" a="1"/>
  <c r="B56" i="12"/>
  <c r="D55" i="12" a="1"/>
  <c r="D55" i="12"/>
  <c r="B55" i="12" a="1"/>
  <c r="B55" i="12"/>
  <c r="D54" i="12" a="1"/>
  <c r="D54" i="12" s="1"/>
  <c r="B54" i="12" a="1"/>
  <c r="B54" i="12"/>
  <c r="D53" i="12" a="1"/>
  <c r="D53" i="12" s="1"/>
  <c r="B53" i="12" a="1"/>
  <c r="B53" i="12"/>
  <c r="D52" i="12" a="1"/>
  <c r="D52" i="12"/>
  <c r="B52" i="12" a="1"/>
  <c r="B52" i="12" s="1"/>
  <c r="D51" i="12" a="1"/>
  <c r="D51" i="12" s="1"/>
  <c r="B51" i="12" a="1"/>
  <c r="B51" i="12"/>
  <c r="D50" i="12" a="1"/>
  <c r="D50" i="12"/>
  <c r="B50" i="12" a="1"/>
  <c r="B50" i="12"/>
  <c r="D49" i="12" a="1"/>
  <c r="D49" i="12" s="1"/>
  <c r="B49" i="12" a="1"/>
  <c r="B49" i="12"/>
  <c r="D48" i="12" a="1"/>
  <c r="D48" i="12" s="1"/>
  <c r="B48" i="12" a="1"/>
  <c r="B48" i="12"/>
  <c r="D47" i="12" a="1"/>
  <c r="D47" i="12"/>
  <c r="B47" i="12" a="1"/>
  <c r="B47" i="12" s="1"/>
  <c r="D46" i="12" a="1"/>
  <c r="D46" i="12" s="1"/>
  <c r="B46" i="12" a="1"/>
  <c r="B46" i="12"/>
  <c r="D45" i="12" a="1"/>
  <c r="D45" i="12"/>
  <c r="B45" i="12" a="1"/>
  <c r="B45" i="12"/>
  <c r="D44" i="12" a="1"/>
  <c r="D44" i="12" s="1"/>
  <c r="B44" i="12" a="1"/>
  <c r="B44" i="12"/>
  <c r="D43" i="12" a="1"/>
  <c r="D43" i="12" s="1"/>
  <c r="B43" i="12" a="1"/>
  <c r="B43" i="12"/>
  <c r="D42" i="12" a="1"/>
  <c r="D42" i="12"/>
  <c r="B42" i="12" a="1"/>
  <c r="B42" i="12" s="1"/>
  <c r="D41" i="12" a="1"/>
  <c r="D41" i="12" s="1"/>
  <c r="B41" i="12" a="1"/>
  <c r="B41" i="12"/>
  <c r="D40" i="12" a="1"/>
  <c r="D40" i="12" s="1"/>
  <c r="B40" i="12" a="1"/>
  <c r="B40" i="12"/>
  <c r="D39" i="12" a="1"/>
  <c r="D39" i="12" s="1"/>
  <c r="B39" i="12" a="1"/>
  <c r="B39" i="12"/>
  <c r="D38" i="12" a="1"/>
  <c r="D38" i="12"/>
  <c r="B38" i="12" a="1"/>
  <c r="B38" i="12"/>
  <c r="D37" i="12" a="1"/>
  <c r="D37" i="12"/>
  <c r="B37" i="12" a="1"/>
  <c r="B37" i="12"/>
  <c r="D36" i="12" a="1"/>
  <c r="D36" i="12" s="1"/>
  <c r="B36" i="12" a="1"/>
  <c r="B36" i="12" s="1"/>
  <c r="D35" i="12" a="1"/>
  <c r="D35" i="12" s="1"/>
  <c r="B35" i="12" a="1"/>
  <c r="B35" i="12" s="1"/>
  <c r="D34" i="12" a="1"/>
  <c r="D34" i="12" s="1"/>
  <c r="B34" i="12" a="1"/>
  <c r="B34" i="12" s="1"/>
  <c r="D33" i="12" a="1"/>
  <c r="D33" i="12" s="1"/>
  <c r="B33" i="12" a="1"/>
  <c r="B33" i="12" s="1"/>
  <c r="D32" i="12" a="1"/>
  <c r="D32" i="12" s="1"/>
  <c r="B32" i="12" a="1"/>
  <c r="B32" i="12" s="1"/>
  <c r="D31" i="12" a="1"/>
  <c r="D31" i="12" s="1"/>
  <c r="B31" i="12" a="1"/>
  <c r="B31" i="12" s="1"/>
  <c r="D30" i="12" a="1"/>
  <c r="D30" i="12" s="1"/>
  <c r="B30" i="12" a="1"/>
  <c r="B30" i="12"/>
  <c r="D29" i="12" a="1"/>
  <c r="D29" i="12" s="1"/>
  <c r="B29" i="12" a="1"/>
  <c r="B29" i="12"/>
  <c r="D28" i="12" a="1"/>
  <c r="D28" i="12" s="1"/>
  <c r="B28" i="12" a="1"/>
  <c r="B28" i="12"/>
  <c r="D27" i="12" a="1"/>
  <c r="D27" i="12" s="1"/>
  <c r="B27" i="12" a="1"/>
  <c r="B27" i="12"/>
  <c r="D26" i="12" a="1"/>
  <c r="D26" i="12" s="1"/>
  <c r="B26" i="12" a="1"/>
  <c r="B26" i="12"/>
  <c r="D25" i="12" a="1"/>
  <c r="D25" i="12" s="1"/>
  <c r="B25" i="12" a="1"/>
  <c r="B25" i="12"/>
  <c r="D24" i="12" a="1"/>
  <c r="D24" i="12" s="1"/>
  <c r="B24" i="12" a="1"/>
  <c r="B24" i="12" s="1"/>
  <c r="D23" i="12" a="1"/>
  <c r="D23" i="12" s="1"/>
  <c r="B23" i="12" a="1"/>
  <c r="B23" i="12"/>
  <c r="D22" i="12" a="1"/>
  <c r="D22" i="12" s="1"/>
  <c r="B22" i="12" a="1"/>
  <c r="B22" i="12"/>
  <c r="D21" i="12" a="1"/>
  <c r="D21" i="12" s="1"/>
  <c r="B21" i="12" a="1"/>
  <c r="B21" i="12"/>
  <c r="D20" i="12" a="1"/>
  <c r="D20" i="12" s="1"/>
  <c r="B20" i="12" a="1"/>
  <c r="B20" i="12"/>
  <c r="D19" i="12" a="1"/>
  <c r="D19" i="12" s="1"/>
  <c r="B19" i="12" a="1"/>
  <c r="B19" i="12" s="1"/>
  <c r="D18" i="12" a="1"/>
  <c r="D18" i="12" s="1"/>
  <c r="B18" i="12" a="1"/>
  <c r="B18" i="12"/>
  <c r="D17" i="12" a="1"/>
  <c r="D17" i="12" s="1"/>
  <c r="B17" i="12" a="1"/>
  <c r="B17" i="12"/>
  <c r="D16" i="12" a="1"/>
  <c r="D16" i="12" s="1"/>
  <c r="B16" i="12" a="1"/>
  <c r="B16" i="12"/>
  <c r="D15" i="12" a="1"/>
  <c r="D15" i="12" s="1"/>
  <c r="B15" i="12" a="1"/>
  <c r="B15" i="12"/>
  <c r="D14" i="12" a="1"/>
  <c r="D14" i="12" s="1"/>
  <c r="B14" i="12" a="1"/>
  <c r="B14" i="12" s="1"/>
  <c r="D13" i="12" a="1"/>
  <c r="D13" i="12" s="1"/>
  <c r="B13" i="12" a="1"/>
  <c r="B13" i="12" s="1"/>
  <c r="D12" i="12" a="1"/>
  <c r="D12" i="12" s="1"/>
  <c r="B12" i="12" a="1"/>
  <c r="B12" i="12" s="1"/>
  <c r="D11" i="12" a="1"/>
  <c r="D11" i="12" s="1"/>
  <c r="B11" i="12" a="1"/>
  <c r="B11" i="12" s="1"/>
  <c r="D10" i="12" a="1"/>
  <c r="D10" i="12" s="1"/>
  <c r="B10" i="12" a="1"/>
  <c r="B10" i="12" s="1"/>
  <c r="D9" i="12" a="1"/>
  <c r="D9" i="12" s="1"/>
  <c r="B9" i="12" a="1"/>
  <c r="B9" i="12" s="1"/>
  <c r="D8" i="12" a="1"/>
  <c r="D8" i="12" s="1"/>
  <c r="B8" i="12" a="1"/>
  <c r="B8" i="12" s="1"/>
  <c r="D7" i="12" a="1"/>
  <c r="D7" i="12" s="1"/>
  <c r="B7" i="12" a="1"/>
  <c r="B7" i="12" s="1"/>
  <c r="D6" i="12" a="1"/>
  <c r="D6" i="12" s="1"/>
  <c r="B6" i="12" a="1"/>
  <c r="B6" i="12" s="1"/>
  <c r="D5" i="12" a="1"/>
  <c r="D5" i="12" s="1"/>
  <c r="B5" i="12" a="1"/>
  <c r="B5" i="12" s="1"/>
  <c r="D4" i="12" a="1"/>
  <c r="D4" i="12" s="1"/>
  <c r="B4" i="12" a="1"/>
  <c r="B4" i="12" s="1"/>
  <c r="D3" i="12" a="1"/>
  <c r="D3" i="12" s="1"/>
  <c r="B3" i="12" a="1"/>
  <c r="B3" i="12" s="1"/>
  <c r="D2" i="12" a="1"/>
  <c r="D2" i="12" s="1"/>
  <c r="B2" i="12" a="1"/>
  <c r="B2" i="12" s="1"/>
  <c r="D670" i="10" a="1"/>
  <c r="D670" i="10" s="1"/>
  <c r="D669" i="10" a="1"/>
  <c r="D669" i="10" s="1"/>
  <c r="D668" i="10" a="1"/>
  <c r="D668" i="10" s="1"/>
  <c r="D667" i="10" a="1"/>
  <c r="D667" i="10" s="1"/>
  <c r="D666" i="10" a="1"/>
  <c r="D666" i="10" s="1"/>
  <c r="D665" i="10" a="1"/>
  <c r="D665" i="10" s="1"/>
  <c r="D664" i="10" a="1"/>
  <c r="D664" i="10" s="1"/>
  <c r="D663" i="10" a="1"/>
  <c r="D663" i="10" s="1"/>
  <c r="D662" i="10" a="1"/>
  <c r="D662" i="10" s="1"/>
  <c r="D661" i="10" a="1"/>
  <c r="D661" i="10" s="1"/>
  <c r="D660" i="10" a="1"/>
  <c r="D660" i="10" s="1"/>
  <c r="D659" i="10" a="1"/>
  <c r="D659" i="10" s="1"/>
  <c r="D658" i="10" a="1"/>
  <c r="D658" i="10" s="1"/>
  <c r="D657" i="10" a="1"/>
  <c r="D657" i="10" s="1"/>
  <c r="D656" i="10" a="1"/>
  <c r="D656" i="10" s="1"/>
  <c r="D655" i="10" a="1"/>
  <c r="D655" i="10" s="1"/>
  <c r="D654" i="10" a="1"/>
  <c r="D654" i="10" s="1"/>
  <c r="D653" i="10" a="1"/>
  <c r="D653" i="10" s="1"/>
  <c r="D652" i="10" a="1"/>
  <c r="D652" i="10" s="1"/>
  <c r="D651" i="10" a="1"/>
  <c r="D651" i="10" s="1"/>
  <c r="D650" i="10" a="1"/>
  <c r="D650" i="10" s="1"/>
  <c r="D649" i="10" a="1"/>
  <c r="D649" i="10" s="1"/>
  <c r="D648" i="10" a="1"/>
  <c r="D648" i="10" s="1"/>
  <c r="D647" i="10" a="1"/>
  <c r="D647" i="10" s="1"/>
  <c r="D646" i="10" a="1"/>
  <c r="D646" i="10" s="1"/>
  <c r="D645" i="10" a="1"/>
  <c r="D645" i="10" s="1"/>
  <c r="D644" i="10" a="1"/>
  <c r="D644" i="10" s="1"/>
  <c r="D643" i="10" a="1"/>
  <c r="D643" i="10" s="1"/>
  <c r="D641" i="10" a="1"/>
  <c r="D641" i="10" s="1"/>
  <c r="D640" i="10" a="1"/>
  <c r="D640" i="10" s="1"/>
  <c r="D639" i="10" a="1"/>
  <c r="D639" i="10" s="1"/>
  <c r="D638" i="10" a="1"/>
  <c r="D638" i="10" s="1"/>
  <c r="D637" i="10" a="1"/>
  <c r="D637" i="10" s="1"/>
  <c r="D636" i="10" a="1"/>
  <c r="D636" i="10" s="1"/>
  <c r="D635" i="10" a="1"/>
  <c r="D635" i="10" s="1"/>
  <c r="D634" i="10" a="1"/>
  <c r="D634" i="10" s="1"/>
  <c r="D633" i="10" a="1"/>
  <c r="D633" i="10" s="1"/>
  <c r="D632" i="10" a="1"/>
  <c r="D632" i="10" s="1"/>
  <c r="D631" i="10" a="1"/>
  <c r="D631" i="10" s="1"/>
  <c r="D630" i="10" a="1"/>
  <c r="D630" i="10" s="1"/>
  <c r="D629" i="10" a="1"/>
  <c r="D629" i="10" s="1"/>
  <c r="D628" i="10" a="1"/>
  <c r="D628" i="10" s="1"/>
  <c r="D627" i="10" a="1"/>
  <c r="D627" i="10" s="1"/>
  <c r="D626" i="10" a="1"/>
  <c r="D626" i="10" s="1"/>
  <c r="D625" i="10" a="1"/>
  <c r="D625" i="10" s="1"/>
  <c r="D624" i="10" a="1"/>
  <c r="D624" i="10" s="1"/>
  <c r="D623" i="10" a="1"/>
  <c r="D623" i="10" s="1"/>
  <c r="D622" i="10" a="1"/>
  <c r="D622" i="10" s="1"/>
  <c r="D621" i="10" a="1"/>
  <c r="D621" i="10" s="1"/>
  <c r="D620" i="10" a="1"/>
  <c r="D620" i="10" s="1"/>
  <c r="D619" i="10" a="1"/>
  <c r="D619" i="10" s="1"/>
  <c r="D618" i="10" a="1"/>
  <c r="D618" i="10" s="1"/>
  <c r="D617" i="10" a="1"/>
  <c r="D617" i="10" s="1"/>
  <c r="D616" i="10" a="1"/>
  <c r="D616" i="10" s="1"/>
  <c r="D615" i="10" a="1"/>
  <c r="D615" i="10" s="1"/>
  <c r="D614" i="10" a="1"/>
  <c r="D614" i="10" s="1"/>
  <c r="D613" i="10" a="1"/>
  <c r="D613" i="10" s="1"/>
  <c r="D612" i="10" a="1"/>
  <c r="D612" i="10" s="1"/>
  <c r="D611" i="10" a="1"/>
  <c r="D611" i="10"/>
  <c r="D610" i="10" a="1"/>
  <c r="D610" i="10"/>
  <c r="D609" i="10" a="1"/>
  <c r="D609" i="10"/>
  <c r="D608" i="10" a="1"/>
  <c r="D608" i="10"/>
  <c r="D607" i="10" a="1"/>
  <c r="D607" i="10" s="1"/>
  <c r="D606" i="10" a="1"/>
  <c r="D606" i="10" s="1"/>
  <c r="D605" i="10" a="1"/>
  <c r="D605" i="10" s="1"/>
  <c r="D604" i="10" a="1"/>
  <c r="D604" i="10" s="1"/>
  <c r="D602" i="10" a="1"/>
  <c r="D602" i="10" s="1"/>
  <c r="D601" i="10" a="1"/>
  <c r="D601" i="10" s="1"/>
  <c r="D600" i="10" a="1"/>
  <c r="D600" i="10"/>
  <c r="D599" i="10" a="1"/>
  <c r="D599" i="10"/>
  <c r="D598" i="10" a="1"/>
  <c r="D598" i="10"/>
  <c r="D597" i="10" a="1"/>
  <c r="D597" i="10"/>
  <c r="D596" i="10" a="1"/>
  <c r="D596" i="10" s="1"/>
  <c r="D595" i="10" a="1"/>
  <c r="D595" i="10" s="1"/>
  <c r="D594" i="10" a="1"/>
  <c r="D594" i="10" s="1"/>
  <c r="D593" i="10" a="1"/>
  <c r="D593" i="10" s="1"/>
  <c r="D592" i="10" a="1"/>
  <c r="D592" i="10" s="1"/>
  <c r="D591" i="10" a="1"/>
  <c r="D591" i="10" s="1"/>
  <c r="D590" i="10" a="1"/>
  <c r="D590" i="10"/>
  <c r="D589" i="10" a="1"/>
  <c r="D589" i="10"/>
  <c r="D588" i="10" a="1"/>
  <c r="D588" i="10"/>
  <c r="D587" i="10" a="1"/>
  <c r="D587" i="10"/>
  <c r="D586" i="10" a="1"/>
  <c r="D586" i="10" s="1"/>
  <c r="D585" i="10" a="1"/>
  <c r="D585" i="10" s="1"/>
  <c r="D584" i="10" a="1"/>
  <c r="D584" i="10" s="1"/>
  <c r="D583" i="10" a="1"/>
  <c r="D583" i="10" s="1"/>
  <c r="D582" i="10" a="1"/>
  <c r="D582" i="10" s="1"/>
  <c r="D581" i="10" a="1"/>
  <c r="D581" i="10" s="1"/>
  <c r="D580" i="10" a="1"/>
  <c r="D580" i="10"/>
  <c r="D579" i="10" a="1"/>
  <c r="D579" i="10"/>
  <c r="D578" i="10" a="1"/>
  <c r="D578" i="10"/>
  <c r="D577" i="10" a="1"/>
  <c r="D577" i="10"/>
  <c r="D576" i="10" a="1"/>
  <c r="D576" i="10" s="1"/>
  <c r="D575" i="10" a="1"/>
  <c r="D575" i="10" s="1"/>
  <c r="D574" i="10" a="1"/>
  <c r="D574" i="10" s="1"/>
  <c r="D573" i="10" a="1"/>
  <c r="D573" i="10" s="1"/>
  <c r="D572" i="10" a="1"/>
  <c r="D572" i="10" s="1"/>
  <c r="D571" i="10" a="1"/>
  <c r="D571" i="10" s="1"/>
  <c r="D570" i="10" a="1"/>
  <c r="D570" i="10"/>
  <c r="D569" i="10" a="1"/>
  <c r="D569" i="10"/>
  <c r="D568" i="10" a="1"/>
  <c r="D568" i="10"/>
  <c r="D567" i="10" a="1"/>
  <c r="D567" i="10"/>
  <c r="D566" i="10" a="1"/>
  <c r="D566" i="10" s="1"/>
  <c r="D565" i="10" a="1"/>
  <c r="D565" i="10" s="1"/>
  <c r="D564" i="10" a="1"/>
  <c r="D564" i="10" s="1"/>
  <c r="D563" i="10" a="1"/>
  <c r="D563" i="10" s="1"/>
  <c r="D562" i="10" a="1"/>
  <c r="D562" i="10" s="1"/>
  <c r="D561" i="10" a="1"/>
  <c r="D561" i="10" s="1"/>
  <c r="D560" i="10" a="1"/>
  <c r="D560" i="10"/>
  <c r="D559" i="10" a="1"/>
  <c r="D559" i="10"/>
  <c r="D558" i="10" a="1"/>
  <c r="D558" i="10"/>
  <c r="D557" i="10" a="1"/>
  <c r="D557" i="10"/>
  <c r="D556" i="10" a="1"/>
  <c r="D556" i="10" s="1"/>
  <c r="D555" i="10" a="1"/>
  <c r="D555" i="10" s="1"/>
  <c r="D554" i="10" a="1"/>
  <c r="D554" i="10" s="1"/>
  <c r="D553" i="10" a="1"/>
  <c r="D553" i="10" s="1"/>
  <c r="D552" i="10" a="1"/>
  <c r="D552" i="10" s="1"/>
  <c r="D551" i="10" a="1"/>
  <c r="D551" i="10" s="1"/>
  <c r="D550" i="10" a="1"/>
  <c r="D550" i="10"/>
  <c r="D549" i="10" a="1"/>
  <c r="D549" i="10"/>
  <c r="D548" i="10" a="1"/>
  <c r="D548" i="10"/>
  <c r="D547" i="10" a="1"/>
  <c r="D547" i="10"/>
  <c r="D546" i="10" a="1"/>
  <c r="D546" i="10" s="1"/>
  <c r="D545" i="10" a="1"/>
  <c r="D545" i="10" s="1"/>
  <c r="D544" i="10" a="1"/>
  <c r="D544" i="10" s="1"/>
  <c r="D543" i="10" a="1"/>
  <c r="D543" i="10" s="1"/>
  <c r="D542" i="10" a="1"/>
  <c r="D542" i="10" s="1"/>
  <c r="D541" i="10" a="1"/>
  <c r="D541" i="10" s="1"/>
  <c r="D540" i="10" a="1"/>
  <c r="D540" i="10"/>
  <c r="D539" i="10" a="1"/>
  <c r="D539" i="10"/>
  <c r="D538" i="10" a="1"/>
  <c r="D538" i="10"/>
  <c r="D537" i="10" a="1"/>
  <c r="D537" i="10"/>
  <c r="D536" i="10" a="1"/>
  <c r="D536" i="10" s="1"/>
  <c r="D535" i="10" a="1"/>
  <c r="D535" i="10" s="1"/>
  <c r="D534" i="10" a="1"/>
  <c r="D534" i="10" s="1"/>
  <c r="D533" i="10" a="1"/>
  <c r="D533" i="10" s="1"/>
  <c r="D532" i="10" a="1"/>
  <c r="D532" i="10" s="1"/>
  <c r="D531" i="10" a="1"/>
  <c r="D531" i="10" s="1"/>
  <c r="D530" i="10" a="1"/>
  <c r="D530" i="10"/>
  <c r="D529" i="10" a="1"/>
  <c r="D529" i="10"/>
  <c r="D528" i="10" a="1"/>
  <c r="D528" i="10"/>
  <c r="D527" i="10" a="1"/>
  <c r="D527" i="10"/>
  <c r="D526" i="10" a="1"/>
  <c r="D526" i="10" s="1"/>
  <c r="D525" i="10" a="1"/>
  <c r="D525" i="10" s="1"/>
  <c r="D524" i="10" a="1"/>
  <c r="D524" i="10" s="1"/>
  <c r="D523" i="10" a="1"/>
  <c r="D523" i="10" s="1"/>
  <c r="D522" i="10" a="1"/>
  <c r="D522" i="10" s="1"/>
  <c r="D521" i="10" a="1"/>
  <c r="D521" i="10" s="1"/>
  <c r="D520" i="10" a="1"/>
  <c r="D520" i="10"/>
  <c r="D519" i="10" a="1"/>
  <c r="D519" i="10"/>
  <c r="D518" i="10" a="1"/>
  <c r="D518" i="10"/>
  <c r="D517" i="10" a="1"/>
  <c r="D517" i="10"/>
  <c r="D516" i="10" a="1"/>
  <c r="D516" i="10" s="1"/>
  <c r="D515" i="10" a="1"/>
  <c r="D515" i="10" s="1"/>
  <c r="D514" i="10" a="1"/>
  <c r="D514" i="10" s="1"/>
  <c r="D513" i="10" a="1"/>
  <c r="D513" i="10" s="1"/>
  <c r="D512" i="10" a="1"/>
  <c r="D512" i="10" s="1"/>
  <c r="D511" i="10" a="1"/>
  <c r="D511" i="10" s="1"/>
  <c r="D510" i="10" a="1"/>
  <c r="D510" i="10"/>
  <c r="D509" i="10" a="1"/>
  <c r="D509" i="10"/>
  <c r="D508" i="10" a="1"/>
  <c r="D508" i="10"/>
  <c r="D507" i="10" a="1"/>
  <c r="D507" i="10"/>
  <c r="D506" i="10" a="1"/>
  <c r="D506" i="10" s="1"/>
  <c r="D505" i="10" a="1"/>
  <c r="D505" i="10" s="1"/>
  <c r="D504" i="10" a="1"/>
  <c r="D504" i="10" s="1"/>
  <c r="D503" i="10" a="1"/>
  <c r="D503" i="10" s="1"/>
  <c r="D502" i="10" a="1"/>
  <c r="D502" i="10" s="1"/>
  <c r="D501" i="10" a="1"/>
  <c r="D501" i="10" s="1"/>
  <c r="D500" i="10" a="1"/>
  <c r="D500" i="10"/>
  <c r="D499" i="10" a="1"/>
  <c r="D499" i="10"/>
  <c r="D498" i="10" a="1"/>
  <c r="D498" i="10"/>
  <c r="D497" i="10" a="1"/>
  <c r="D497" i="10"/>
  <c r="D496" i="10" a="1"/>
  <c r="D496" i="10" s="1"/>
  <c r="D495" i="10" a="1"/>
  <c r="D495" i="10" s="1"/>
  <c r="D494" i="10" a="1"/>
  <c r="D494" i="10" s="1"/>
  <c r="D493" i="10" a="1"/>
  <c r="D493" i="10" s="1"/>
  <c r="D492" i="10" a="1"/>
  <c r="D492" i="10" s="1"/>
  <c r="D491" i="10" a="1"/>
  <c r="D491" i="10" s="1"/>
  <c r="D490" i="10" a="1"/>
  <c r="D490" i="10"/>
  <c r="D489" i="10" a="1"/>
  <c r="D489" i="10"/>
  <c r="D488" i="10" a="1"/>
  <c r="D488" i="10"/>
  <c r="D487" i="10" a="1"/>
  <c r="D487" i="10"/>
  <c r="D486" i="10" a="1"/>
  <c r="D486" i="10" s="1"/>
  <c r="D485" i="10" a="1"/>
  <c r="D485" i="10" s="1"/>
  <c r="D484" i="10" a="1"/>
  <c r="D484" i="10" s="1"/>
  <c r="D483" i="10" a="1"/>
  <c r="D483" i="10" s="1"/>
  <c r="D482" i="10" a="1"/>
  <c r="D482" i="10" s="1"/>
  <c r="D481" i="10" a="1"/>
  <c r="D481" i="10" s="1"/>
  <c r="D480" i="10" a="1"/>
  <c r="D480" i="10"/>
  <c r="D479" i="10" a="1"/>
  <c r="D479" i="10"/>
  <c r="D478" i="10" a="1"/>
  <c r="D478" i="10"/>
  <c r="D477" i="10" a="1"/>
  <c r="D477" i="10"/>
  <c r="D476" i="10" a="1"/>
  <c r="D476" i="10" s="1"/>
  <c r="D475" i="10" a="1"/>
  <c r="D475" i="10" s="1"/>
  <c r="D474" i="10" a="1"/>
  <c r="D474" i="10" s="1"/>
  <c r="D473" i="10" a="1"/>
  <c r="D473" i="10" s="1"/>
  <c r="D472" i="10" a="1"/>
  <c r="D472" i="10" s="1"/>
  <c r="D471" i="10" a="1"/>
  <c r="D471" i="10" s="1"/>
  <c r="D470" i="10" a="1"/>
  <c r="D470" i="10"/>
  <c r="D469" i="10" a="1"/>
  <c r="D469" i="10"/>
  <c r="D468" i="10" a="1"/>
  <c r="D468" i="10"/>
  <c r="D467" i="10" a="1"/>
  <c r="D467" i="10"/>
  <c r="D466" i="10" a="1"/>
  <c r="D466" i="10" s="1"/>
  <c r="D465" i="10" a="1"/>
  <c r="D465" i="10" s="1"/>
  <c r="D464" i="10" a="1"/>
  <c r="D464" i="10" s="1"/>
  <c r="D463" i="10" a="1"/>
  <c r="D463" i="10" s="1"/>
  <c r="D462" i="10" a="1"/>
  <c r="D462" i="10" s="1"/>
  <c r="D461" i="10" a="1"/>
  <c r="D461" i="10" s="1"/>
  <c r="D460" i="10" a="1"/>
  <c r="D460" i="10"/>
  <c r="D459" i="10" a="1"/>
  <c r="D459" i="10"/>
  <c r="D458" i="10" a="1"/>
  <c r="D458" i="10"/>
  <c r="D457" i="10" a="1"/>
  <c r="D457" i="10"/>
  <c r="D456" i="10" a="1"/>
  <c r="D456" i="10" s="1"/>
  <c r="D455" i="10" a="1"/>
  <c r="D455" i="10" s="1"/>
  <c r="D454" i="10" a="1"/>
  <c r="D454" i="10" s="1"/>
  <c r="D453" i="10" a="1"/>
  <c r="D453" i="10" s="1"/>
  <c r="D452" i="10" a="1"/>
  <c r="D452" i="10" s="1"/>
  <c r="D451" i="10" a="1"/>
  <c r="D451" i="10" s="1"/>
  <c r="D450" i="10" a="1"/>
  <c r="D450" i="10"/>
  <c r="D449" i="10" a="1"/>
  <c r="D449" i="10"/>
  <c r="D448" i="10" a="1"/>
  <c r="D448" i="10"/>
  <c r="D447" i="10" a="1"/>
  <c r="D447" i="10"/>
  <c r="D446" i="10" a="1"/>
  <c r="D446" i="10" s="1"/>
  <c r="D445" i="10" a="1"/>
  <c r="D445" i="10" s="1"/>
  <c r="D444" i="10" a="1"/>
  <c r="D444" i="10" s="1"/>
  <c r="D443" i="10" a="1"/>
  <c r="D443" i="10" s="1"/>
  <c r="D442" i="10" a="1"/>
  <c r="D442" i="10" s="1"/>
  <c r="D441" i="10" a="1"/>
  <c r="D441" i="10" s="1"/>
  <c r="D440" i="10" a="1"/>
  <c r="D440" i="10"/>
  <c r="D439" i="10" a="1"/>
  <c r="D439" i="10"/>
  <c r="D438" i="10" a="1"/>
  <c r="D438" i="10"/>
  <c r="D437" i="10" a="1"/>
  <c r="D437" i="10"/>
  <c r="D436" i="10" a="1"/>
  <c r="D436" i="10" s="1"/>
  <c r="D435" i="10" a="1"/>
  <c r="D435" i="10" s="1"/>
  <c r="D434" i="10" a="1"/>
  <c r="D434" i="10" s="1"/>
  <c r="D433" i="10" a="1"/>
  <c r="D433" i="10" s="1"/>
  <c r="D432" i="10" a="1"/>
  <c r="D432" i="10" s="1"/>
  <c r="D431" i="10" a="1"/>
  <c r="D431" i="10" s="1"/>
  <c r="D430" i="10" a="1"/>
  <c r="D430" i="10"/>
  <c r="D429" i="10" a="1"/>
  <c r="D429" i="10"/>
  <c r="D428" i="10" a="1"/>
  <c r="D428" i="10"/>
  <c r="D427" i="10" a="1"/>
  <c r="D427" i="10"/>
  <c r="D426" i="10" a="1"/>
  <c r="D426" i="10" s="1"/>
  <c r="D425" i="10" a="1"/>
  <c r="D425" i="10" s="1"/>
  <c r="D424" i="10" a="1"/>
  <c r="D424" i="10" s="1"/>
  <c r="D423" i="10" a="1"/>
  <c r="D423" i="10" s="1"/>
  <c r="D422" i="10" a="1"/>
  <c r="D422" i="10" s="1"/>
  <c r="D421" i="10" a="1"/>
  <c r="D421" i="10" s="1"/>
  <c r="D420" i="10" a="1"/>
  <c r="D420" i="10"/>
  <c r="D419" i="10" a="1"/>
  <c r="D419" i="10"/>
  <c r="D418" i="10" a="1"/>
  <c r="D418" i="10"/>
  <c r="D417" i="10" a="1"/>
  <c r="D417" i="10"/>
  <c r="D416" i="10" a="1"/>
  <c r="D416" i="10" s="1"/>
  <c r="D415" i="10" a="1"/>
  <c r="D415" i="10" s="1"/>
  <c r="D414" i="10" a="1"/>
  <c r="D414" i="10" s="1"/>
  <c r="D413" i="10" a="1"/>
  <c r="D413" i="10" s="1"/>
  <c r="D412" i="10" a="1"/>
  <c r="D412" i="10" s="1"/>
  <c r="D411" i="10" a="1"/>
  <c r="D411" i="10" s="1"/>
  <c r="D410" i="10" a="1"/>
  <c r="D410" i="10"/>
  <c r="D409" i="10" a="1"/>
  <c r="D409" i="10"/>
  <c r="D408" i="10" a="1"/>
  <c r="D408" i="10"/>
  <c r="D407" i="10" a="1"/>
  <c r="D407" i="10"/>
  <c r="D406" i="10" a="1"/>
  <c r="D406" i="10" s="1"/>
  <c r="D405" i="10" a="1"/>
  <c r="D405" i="10" s="1"/>
  <c r="D404" i="10" a="1"/>
  <c r="D404" i="10" s="1"/>
  <c r="D403" i="10" a="1"/>
  <c r="D403" i="10" s="1"/>
  <c r="D402" i="10" a="1"/>
  <c r="D402" i="10" s="1"/>
  <c r="D401" i="10" a="1"/>
  <c r="D401" i="10" s="1"/>
  <c r="D400" i="10" a="1"/>
  <c r="D400" i="10"/>
  <c r="D399" i="10" a="1"/>
  <c r="D399" i="10"/>
  <c r="D398" i="10" a="1"/>
  <c r="D398" i="10"/>
  <c r="D397" i="10" a="1"/>
  <c r="D397" i="10"/>
  <c r="D396" i="10" a="1"/>
  <c r="D396" i="10" s="1"/>
  <c r="D395" i="10" a="1"/>
  <c r="D395" i="10" s="1"/>
  <c r="D394" i="10" a="1"/>
  <c r="D394" i="10" s="1"/>
  <c r="D393" i="10" a="1"/>
  <c r="D393" i="10" s="1"/>
  <c r="D392" i="10" a="1"/>
  <c r="D392" i="10" s="1"/>
  <c r="D391" i="10" a="1"/>
  <c r="D391" i="10" s="1"/>
  <c r="D390" i="10" a="1"/>
  <c r="D390" i="10"/>
  <c r="D389" i="10" a="1"/>
  <c r="D389" i="10"/>
  <c r="D388" i="10" a="1"/>
  <c r="D388" i="10"/>
  <c r="D387" i="10" a="1"/>
  <c r="D387" i="10"/>
  <c r="D386" i="10" a="1"/>
  <c r="D386" i="10" s="1"/>
  <c r="D385" i="10" a="1"/>
  <c r="D385" i="10" s="1"/>
  <c r="D384" i="10" a="1"/>
  <c r="D384" i="10" s="1"/>
  <c r="D383" i="10" a="1"/>
  <c r="D383" i="10" s="1"/>
  <c r="D382" i="10" a="1"/>
  <c r="D382" i="10" s="1"/>
  <c r="D381" i="10" a="1"/>
  <c r="D381" i="10" s="1"/>
  <c r="D380" i="10" a="1"/>
  <c r="D380" i="10"/>
  <c r="D379" i="10" a="1"/>
  <c r="D379" i="10"/>
  <c r="D378" i="10" a="1"/>
  <c r="D378" i="10"/>
  <c r="D377" i="10" a="1"/>
  <c r="D377" i="10"/>
  <c r="D376" i="10" a="1"/>
  <c r="D376" i="10" s="1"/>
  <c r="D375" i="10" a="1"/>
  <c r="D375" i="10" s="1"/>
  <c r="D374" i="10" a="1"/>
  <c r="D374" i="10" s="1"/>
  <c r="D373" i="10" a="1"/>
  <c r="D373" i="10" s="1"/>
  <c r="D372" i="10" a="1"/>
  <c r="D372" i="10" s="1"/>
  <c r="D371" i="10" a="1"/>
  <c r="D371" i="10" s="1"/>
  <c r="D370" i="10" a="1"/>
  <c r="D370" i="10"/>
  <c r="D369" i="10" a="1"/>
  <c r="D369" i="10"/>
  <c r="D368" i="10" a="1"/>
  <c r="D368" i="10"/>
  <c r="D367" i="10" a="1"/>
  <c r="D367" i="10"/>
  <c r="D366" i="10" a="1"/>
  <c r="D366" i="10" s="1"/>
  <c r="D365" i="10" a="1"/>
  <c r="D365" i="10" s="1"/>
  <c r="D364" i="10" a="1"/>
  <c r="D364" i="10" s="1"/>
  <c r="D363" i="10" a="1"/>
  <c r="D363" i="10" s="1"/>
  <c r="D362" i="10" a="1"/>
  <c r="D362" i="10" s="1"/>
  <c r="D361" i="10" a="1"/>
  <c r="D361" i="10" s="1"/>
  <c r="D360" i="10" a="1"/>
  <c r="D360" i="10"/>
  <c r="D359" i="10" a="1"/>
  <c r="D359" i="10"/>
  <c r="D358" i="10" a="1"/>
  <c r="D358" i="10"/>
  <c r="D357" i="10" a="1"/>
  <c r="D357" i="10"/>
  <c r="D356" i="10" a="1"/>
  <c r="D356" i="10" s="1"/>
  <c r="D355" i="10" a="1"/>
  <c r="D355" i="10" s="1"/>
  <c r="D354" i="10" a="1"/>
  <c r="D354" i="10" s="1"/>
  <c r="D353" i="10" a="1"/>
  <c r="D353" i="10" s="1"/>
  <c r="D352" i="10" a="1"/>
  <c r="D352" i="10" s="1"/>
  <c r="D351" i="10" a="1"/>
  <c r="D351" i="10" s="1"/>
  <c r="D350" i="10" a="1"/>
  <c r="D350" i="10"/>
  <c r="D349" i="10" a="1"/>
  <c r="D349" i="10"/>
  <c r="D348" i="10" a="1"/>
  <c r="D348" i="10"/>
  <c r="D347" i="10" a="1"/>
  <c r="D347" i="10"/>
  <c r="D346" i="10" a="1"/>
  <c r="D346" i="10" s="1"/>
  <c r="D345" i="10" a="1"/>
  <c r="D345" i="10" s="1"/>
  <c r="D344" i="10" a="1"/>
  <c r="D344" i="10" s="1"/>
  <c r="D343" i="10" a="1"/>
  <c r="D343" i="10" s="1"/>
  <c r="D342" i="10" a="1"/>
  <c r="D342" i="10" s="1"/>
  <c r="D341" i="10" a="1"/>
  <c r="D341" i="10" s="1"/>
  <c r="D340" i="10" a="1"/>
  <c r="D340" i="10"/>
  <c r="D339" i="10" a="1"/>
  <c r="D339" i="10"/>
  <c r="D338" i="10" a="1"/>
  <c r="D338" i="10"/>
  <c r="D337" i="10" a="1"/>
  <c r="D337" i="10"/>
  <c r="D336" i="10" a="1"/>
  <c r="D336" i="10" s="1"/>
  <c r="D335" i="10" a="1"/>
  <c r="D335" i="10" s="1"/>
  <c r="D334" i="10" a="1"/>
  <c r="D334" i="10" s="1"/>
  <c r="D333" i="10" a="1"/>
  <c r="D333" i="10" s="1"/>
  <c r="D332" i="10" a="1"/>
  <c r="D332" i="10" s="1"/>
  <c r="D331" i="10" a="1"/>
  <c r="D331" i="10" s="1"/>
  <c r="D330" i="10" a="1"/>
  <c r="D330" i="10"/>
  <c r="D329" i="10" a="1"/>
  <c r="D329" i="10"/>
  <c r="D328" i="10" a="1"/>
  <c r="D328" i="10"/>
  <c r="D327" i="10" a="1"/>
  <c r="D327" i="10"/>
  <c r="D326" i="10" a="1"/>
  <c r="D326" i="10" s="1"/>
  <c r="D325" i="10" a="1"/>
  <c r="D325" i="10" s="1"/>
  <c r="D324" i="10" a="1"/>
  <c r="D324" i="10" s="1"/>
  <c r="D323" i="10" a="1"/>
  <c r="D323" i="10" s="1"/>
  <c r="D322" i="10" a="1"/>
  <c r="D322" i="10" s="1"/>
  <c r="D321" i="10" a="1"/>
  <c r="D321" i="10" s="1"/>
  <c r="D320" i="10" a="1"/>
  <c r="D320" i="10"/>
  <c r="D319" i="10" a="1"/>
  <c r="D319" i="10"/>
  <c r="D318" i="10" a="1"/>
  <c r="D318" i="10"/>
  <c r="D317" i="10" a="1"/>
  <c r="D317" i="10"/>
  <c r="D316" i="10" a="1"/>
  <c r="D316" i="10" s="1"/>
  <c r="D315" i="10" a="1"/>
  <c r="D315" i="10" s="1"/>
  <c r="D314" i="10" a="1"/>
  <c r="D314" i="10" s="1"/>
  <c r="D313" i="10" a="1"/>
  <c r="D313" i="10" s="1"/>
  <c r="D312" i="10" a="1"/>
  <c r="D312" i="10" s="1"/>
  <c r="D311" i="10" a="1"/>
  <c r="D311" i="10" s="1"/>
  <c r="D310" i="10" a="1"/>
  <c r="D310" i="10"/>
  <c r="D309" i="10" a="1"/>
  <c r="D309" i="10"/>
  <c r="D308" i="10" a="1"/>
  <c r="D308" i="10"/>
  <c r="D307" i="10" a="1"/>
  <c r="D307" i="10"/>
  <c r="D306" i="10" a="1"/>
  <c r="D306" i="10" s="1"/>
  <c r="D305" i="10" a="1"/>
  <c r="D305" i="10" s="1"/>
  <c r="D304" i="10" a="1"/>
  <c r="D304" i="10" s="1"/>
  <c r="D303" i="10" a="1"/>
  <c r="D303" i="10" s="1"/>
  <c r="D302" i="10" a="1"/>
  <c r="D302" i="10" s="1"/>
  <c r="D301" i="10" a="1"/>
  <c r="D301" i="10" s="1"/>
  <c r="D300" i="10" a="1"/>
  <c r="D300" i="10"/>
  <c r="D299" i="10" a="1"/>
  <c r="D299" i="10"/>
  <c r="D298" i="10" a="1"/>
  <c r="D298" i="10"/>
  <c r="D297" i="10" a="1"/>
  <c r="D297" i="10"/>
  <c r="D296" i="10" a="1"/>
  <c r="D296" i="10" s="1"/>
  <c r="D295" i="10" a="1"/>
  <c r="D295" i="10" s="1"/>
  <c r="D294" i="10" a="1"/>
  <c r="D294" i="10" s="1"/>
  <c r="D293" i="10" a="1"/>
  <c r="D293" i="10" s="1"/>
  <c r="D292" i="10" a="1"/>
  <c r="D292" i="10" s="1"/>
  <c r="D291" i="10" a="1"/>
  <c r="D291" i="10" s="1"/>
  <c r="D290" i="10" a="1"/>
  <c r="D290" i="10"/>
  <c r="D289" i="10" a="1"/>
  <c r="D289" i="10"/>
  <c r="D288" i="10" a="1"/>
  <c r="D288" i="10"/>
  <c r="D287" i="10" a="1"/>
  <c r="D287" i="10"/>
  <c r="D286" i="10" a="1"/>
  <c r="D286" i="10" s="1"/>
  <c r="D285" i="10" a="1"/>
  <c r="D285" i="10" s="1"/>
  <c r="D284" i="10" a="1"/>
  <c r="D284" i="10" s="1"/>
  <c r="D283" i="10" a="1"/>
  <c r="D283" i="10" s="1"/>
  <c r="D282" i="10" a="1"/>
  <c r="D282" i="10" s="1"/>
  <c r="D281" i="10" a="1"/>
  <c r="D281" i="10" s="1"/>
  <c r="D280" i="10" a="1"/>
  <c r="D280" i="10"/>
  <c r="D279" i="10" a="1"/>
  <c r="D279" i="10"/>
  <c r="D278" i="10" a="1"/>
  <c r="D278" i="10"/>
  <c r="D277" i="10" a="1"/>
  <c r="D277" i="10"/>
  <c r="D276" i="10" a="1"/>
  <c r="D276" i="10" s="1"/>
  <c r="D275" i="10" a="1"/>
  <c r="D275" i="10" s="1"/>
  <c r="D274" i="10" a="1"/>
  <c r="D274" i="10" s="1"/>
  <c r="D273" i="10" a="1"/>
  <c r="D273" i="10" s="1"/>
  <c r="D272" i="10" a="1"/>
  <c r="D272" i="10" s="1"/>
  <c r="D271" i="10" a="1"/>
  <c r="D271" i="10" s="1"/>
  <c r="D270" i="10" a="1"/>
  <c r="D270" i="10"/>
  <c r="D269" i="10" a="1"/>
  <c r="D269" i="10"/>
  <c r="D268" i="10" a="1"/>
  <c r="D268" i="10"/>
  <c r="D267" i="10" a="1"/>
  <c r="D267" i="10"/>
  <c r="D266" i="10" a="1"/>
  <c r="D266" i="10" s="1"/>
  <c r="D265" i="10" a="1"/>
  <c r="D265" i="10" s="1"/>
  <c r="D264" i="10" a="1"/>
  <c r="D264" i="10" s="1"/>
  <c r="D263" i="10" a="1"/>
  <c r="D263" i="10" s="1"/>
  <c r="D262" i="10" a="1"/>
  <c r="D262" i="10" s="1"/>
  <c r="D261" i="10" a="1"/>
  <c r="D261" i="10" s="1"/>
  <c r="D260" i="10" a="1"/>
  <c r="D260" i="10"/>
  <c r="D259" i="10" a="1"/>
  <c r="D259" i="10"/>
  <c r="D258" i="10" a="1"/>
  <c r="D258" i="10"/>
  <c r="D257" i="10" a="1"/>
  <c r="D257" i="10"/>
  <c r="D256" i="10" a="1"/>
  <c r="D256" i="10" s="1"/>
  <c r="D255" i="10" a="1"/>
  <c r="D255" i="10" s="1"/>
  <c r="D254" i="10" a="1"/>
  <c r="D254" i="10" s="1"/>
  <c r="D253" i="10" a="1"/>
  <c r="D253" i="10" s="1"/>
  <c r="D252" i="10" a="1"/>
  <c r="D252" i="10" s="1"/>
  <c r="D251" i="10" a="1"/>
  <c r="D251" i="10" s="1"/>
  <c r="D250" i="10" a="1"/>
  <c r="D250" i="10"/>
  <c r="D249" i="10" a="1"/>
  <c r="D249" i="10"/>
  <c r="D248" i="10" a="1"/>
  <c r="D248" i="10"/>
  <c r="D247" i="10" a="1"/>
  <c r="D247" i="10"/>
  <c r="D246" i="10" a="1"/>
  <c r="D246" i="10" s="1"/>
  <c r="D245" i="10" a="1"/>
  <c r="D245" i="10" s="1"/>
  <c r="D244" i="10" a="1"/>
  <c r="D244" i="10" s="1"/>
  <c r="D243" i="10" a="1"/>
  <c r="D243" i="10" s="1"/>
  <c r="D242" i="10" a="1"/>
  <c r="D242" i="10" s="1"/>
  <c r="D241" i="10" a="1"/>
  <c r="D241" i="10" s="1"/>
  <c r="D240" i="10" a="1"/>
  <c r="D240" i="10"/>
  <c r="D239" i="10" a="1"/>
  <c r="D239" i="10"/>
  <c r="D238" i="10" a="1"/>
  <c r="D238" i="10"/>
  <c r="D237" i="10" a="1"/>
  <c r="D237" i="10"/>
  <c r="D236" i="10" a="1"/>
  <c r="D236" i="10" s="1"/>
  <c r="D235" i="10" a="1"/>
  <c r="D235" i="10" s="1"/>
  <c r="D234" i="10" a="1"/>
  <c r="D234" i="10" s="1"/>
  <c r="D233" i="10" a="1"/>
  <c r="D233" i="10" s="1"/>
  <c r="D232" i="10" a="1"/>
  <c r="D232" i="10" s="1"/>
  <c r="D231" i="10" a="1"/>
  <c r="D231" i="10" s="1"/>
  <c r="D230" i="10" a="1"/>
  <c r="D230" i="10"/>
  <c r="D229" i="10" a="1"/>
  <c r="D229" i="10"/>
  <c r="D228" i="10" a="1"/>
  <c r="D228" i="10"/>
  <c r="D227" i="10" a="1"/>
  <c r="D227" i="10"/>
  <c r="D226" i="10" a="1"/>
  <c r="D226" i="10" s="1"/>
  <c r="D225" i="10" a="1"/>
  <c r="D225" i="10" s="1"/>
  <c r="D224" i="10" a="1"/>
  <c r="D224" i="10" s="1"/>
  <c r="D223" i="10" a="1"/>
  <c r="D223" i="10" s="1"/>
  <c r="D222" i="10" a="1"/>
  <c r="D222" i="10" s="1"/>
  <c r="D221" i="10" a="1"/>
  <c r="D221" i="10" s="1"/>
  <c r="D220" i="10" a="1"/>
  <c r="D220" i="10"/>
  <c r="D219" i="10" a="1"/>
  <c r="D219" i="10"/>
  <c r="D218" i="10" a="1"/>
  <c r="D218" i="10"/>
  <c r="D217" i="10" a="1"/>
  <c r="D217" i="10"/>
  <c r="D216" i="10" a="1"/>
  <c r="D216" i="10" s="1"/>
  <c r="D215" i="10" a="1"/>
  <c r="D215" i="10" s="1"/>
  <c r="D214" i="10" a="1"/>
  <c r="D214" i="10" s="1"/>
  <c r="D213" i="10" a="1"/>
  <c r="D213" i="10" s="1"/>
  <c r="D212" i="10" a="1"/>
  <c r="D212" i="10" s="1"/>
  <c r="D211" i="10" a="1"/>
  <c r="D211" i="10" s="1"/>
  <c r="D210" i="10" a="1"/>
  <c r="D210" i="10"/>
  <c r="D209" i="10" a="1"/>
  <c r="D209" i="10"/>
  <c r="D208" i="10" a="1"/>
  <c r="D208" i="10"/>
  <c r="D207" i="10" a="1"/>
  <c r="D207" i="10"/>
  <c r="D206" i="10" a="1"/>
  <c r="D206" i="10" s="1"/>
  <c r="D205" i="10" a="1"/>
  <c r="D205" i="10" s="1"/>
  <c r="D204" i="10" a="1"/>
  <c r="D204" i="10" s="1"/>
  <c r="D203" i="10" a="1"/>
  <c r="D203" i="10" s="1"/>
  <c r="D202" i="10" a="1"/>
  <c r="D202" i="10" s="1"/>
  <c r="D201" i="10" a="1"/>
  <c r="D201" i="10" s="1"/>
  <c r="D200" i="10" a="1"/>
  <c r="D200" i="10"/>
  <c r="D199" i="10" a="1"/>
  <c r="D199" i="10"/>
  <c r="D198" i="10" a="1"/>
  <c r="D198" i="10"/>
  <c r="D197" i="10" a="1"/>
  <c r="D197" i="10"/>
  <c r="D196" i="10" a="1"/>
  <c r="D196" i="10" s="1"/>
  <c r="D195" i="10" a="1"/>
  <c r="D195" i="10" s="1"/>
  <c r="D194" i="10" a="1"/>
  <c r="D194" i="10" s="1"/>
  <c r="D193" i="10" a="1"/>
  <c r="D193" i="10" s="1"/>
  <c r="D192" i="10" a="1"/>
  <c r="D192" i="10" s="1"/>
  <c r="D191" i="10" a="1"/>
  <c r="D191" i="10" s="1"/>
  <c r="D190" i="10" a="1"/>
  <c r="D190" i="10"/>
  <c r="D189" i="10" a="1"/>
  <c r="D189" i="10"/>
  <c r="D188" i="10" a="1"/>
  <c r="D188" i="10"/>
  <c r="D187" i="10" a="1"/>
  <c r="D187" i="10"/>
  <c r="D186" i="10" a="1"/>
  <c r="D186" i="10" s="1"/>
  <c r="D185" i="10" a="1"/>
  <c r="D185" i="10" s="1"/>
  <c r="D184" i="10" a="1"/>
  <c r="D184" i="10" s="1"/>
  <c r="D183" i="10" a="1"/>
  <c r="D183" i="10" s="1"/>
  <c r="D182" i="10" a="1"/>
  <c r="D182" i="10" s="1"/>
  <c r="D181" i="10" a="1"/>
  <c r="D181" i="10" s="1"/>
  <c r="D180" i="10" a="1"/>
  <c r="D180" i="10"/>
  <c r="D179" i="10" a="1"/>
  <c r="D179" i="10"/>
  <c r="D178" i="10" a="1"/>
  <c r="D178" i="10"/>
  <c r="D177" i="10" a="1"/>
  <c r="D177" i="10"/>
  <c r="D176" i="10" a="1"/>
  <c r="D176" i="10" s="1"/>
  <c r="D175" i="10" a="1"/>
  <c r="D175" i="10" s="1"/>
  <c r="D174" i="10" a="1"/>
  <c r="D174" i="10" s="1"/>
  <c r="D173" i="10" a="1"/>
  <c r="D173" i="10" s="1"/>
  <c r="D172" i="10" a="1"/>
  <c r="D172" i="10" s="1"/>
  <c r="D171" i="10" a="1"/>
  <c r="D171" i="10" s="1"/>
  <c r="D170" i="10" a="1"/>
  <c r="D170" i="10"/>
  <c r="D169" i="10" a="1"/>
  <c r="D169" i="10"/>
  <c r="D168" i="10" a="1"/>
  <c r="D168" i="10"/>
  <c r="D167" i="10" a="1"/>
  <c r="D167" i="10"/>
  <c r="D166" i="10" a="1"/>
  <c r="D166" i="10" s="1"/>
  <c r="D165" i="10" a="1"/>
  <c r="D165" i="10" s="1"/>
  <c r="D164" i="10" a="1"/>
  <c r="D164" i="10" s="1"/>
  <c r="D163" i="10" a="1"/>
  <c r="D163" i="10" s="1"/>
  <c r="D162" i="10" a="1"/>
  <c r="D162" i="10" s="1"/>
  <c r="D161" i="10" a="1"/>
  <c r="D161" i="10" s="1"/>
  <c r="D160" i="10" a="1"/>
  <c r="D160" i="10"/>
  <c r="D159" i="10" a="1"/>
  <c r="D159" i="10"/>
  <c r="D158" i="10" a="1"/>
  <c r="D158" i="10"/>
  <c r="D157" i="10" a="1"/>
  <c r="D157" i="10"/>
  <c r="D156" i="10" a="1"/>
  <c r="D156" i="10" s="1"/>
  <c r="D155" i="10" a="1"/>
  <c r="D155" i="10" s="1"/>
  <c r="D154" i="10" a="1"/>
  <c r="D154" i="10" s="1"/>
  <c r="D153" i="10" a="1"/>
  <c r="D153" i="10" s="1"/>
  <c r="D152" i="10" a="1"/>
  <c r="D152" i="10" s="1"/>
  <c r="D151" i="10" a="1"/>
  <c r="D151" i="10" s="1"/>
  <c r="D150" i="10" a="1"/>
  <c r="D150" i="10"/>
  <c r="D149" i="10" a="1"/>
  <c r="D149" i="10"/>
  <c r="D148" i="10" a="1"/>
  <c r="D148" i="10"/>
  <c r="D147" i="10" a="1"/>
  <c r="D147" i="10"/>
  <c r="D146" i="10" a="1"/>
  <c r="D146" i="10" s="1"/>
  <c r="D145" i="10" a="1"/>
  <c r="D145" i="10" s="1"/>
  <c r="D144" i="10" a="1"/>
  <c r="D144" i="10" s="1"/>
  <c r="D143" i="10" a="1"/>
  <c r="D143" i="10" s="1"/>
  <c r="D142" i="10" a="1"/>
  <c r="D142" i="10" s="1"/>
  <c r="D141" i="10" a="1"/>
  <c r="D141" i="10" s="1"/>
  <c r="D140" i="10" a="1"/>
  <c r="D140" i="10"/>
  <c r="D139" i="10" a="1"/>
  <c r="D139" i="10"/>
  <c r="D138" i="10" a="1"/>
  <c r="D138" i="10"/>
  <c r="D137" i="10" a="1"/>
  <c r="D137" i="10"/>
  <c r="D136" i="10" a="1"/>
  <c r="D136" i="10" s="1"/>
  <c r="D135" i="10" a="1"/>
  <c r="D135" i="10" s="1"/>
  <c r="D134" i="10" a="1"/>
  <c r="D134" i="10" s="1"/>
  <c r="D133" i="10" a="1"/>
  <c r="D133" i="10" s="1"/>
  <c r="D132" i="10" a="1"/>
  <c r="D132" i="10" s="1"/>
  <c r="D131" i="10" a="1"/>
  <c r="D131" i="10" s="1"/>
  <c r="D130" i="10" a="1"/>
  <c r="D130" i="10"/>
  <c r="D129" i="10" a="1"/>
  <c r="D129" i="10"/>
  <c r="D128" i="10" a="1"/>
  <c r="D128" i="10"/>
  <c r="D127" i="10" a="1"/>
  <c r="D127" i="10"/>
  <c r="D126" i="10" a="1"/>
  <c r="D126" i="10" s="1"/>
  <c r="D125" i="10" a="1"/>
  <c r="D125" i="10" s="1"/>
  <c r="D124" i="10" a="1"/>
  <c r="D124" i="10" s="1"/>
  <c r="D123" i="10" a="1"/>
  <c r="D123" i="10" s="1"/>
  <c r="D122" i="10" a="1"/>
  <c r="D122" i="10" s="1"/>
  <c r="D121" i="10" a="1"/>
  <c r="D121" i="10" s="1"/>
  <c r="D120" i="10" a="1"/>
  <c r="D120" i="10"/>
  <c r="D119" i="10" a="1"/>
  <c r="D119" i="10"/>
  <c r="D118" i="10" a="1"/>
  <c r="D118" i="10"/>
  <c r="D117" i="10" a="1"/>
  <c r="D117" i="10"/>
  <c r="D116" i="10" a="1"/>
  <c r="D116" i="10" s="1"/>
  <c r="D115" i="10" a="1"/>
  <c r="D115" i="10" s="1"/>
  <c r="D114" i="10" a="1"/>
  <c r="D114" i="10" s="1"/>
  <c r="D113" i="10" a="1"/>
  <c r="D113" i="10" s="1"/>
  <c r="D112" i="10" a="1"/>
  <c r="D112" i="10" s="1"/>
  <c r="D111" i="10" a="1"/>
  <c r="D111" i="10" s="1"/>
  <c r="D110" i="10" a="1"/>
  <c r="D110" i="10"/>
  <c r="D109" i="10" a="1"/>
  <c r="D109" i="10"/>
  <c r="D108" i="10" a="1"/>
  <c r="D108" i="10"/>
  <c r="D107" i="10" a="1"/>
  <c r="D107" i="10"/>
  <c r="D106" i="10" a="1"/>
  <c r="D106" i="10" s="1"/>
  <c r="D105" i="10" a="1"/>
  <c r="D105" i="10" s="1"/>
  <c r="D104" i="10" a="1"/>
  <c r="D104" i="10" s="1"/>
  <c r="D103" i="10" a="1"/>
  <c r="D103" i="10" s="1"/>
  <c r="D102" i="10" a="1"/>
  <c r="D102" i="10" s="1"/>
  <c r="D101" i="10" a="1"/>
  <c r="D101" i="10" s="1"/>
  <c r="D100" i="10" a="1"/>
  <c r="D100" i="10"/>
  <c r="D99" i="10" a="1"/>
  <c r="D99" i="10"/>
  <c r="D98" i="10" a="1"/>
  <c r="D98" i="10"/>
  <c r="D97" i="10" a="1"/>
  <c r="D97" i="10"/>
  <c r="D96" i="10" a="1"/>
  <c r="D96" i="10" s="1"/>
  <c r="D95" i="10" a="1"/>
  <c r="D95" i="10" s="1"/>
  <c r="D94" i="10" a="1"/>
  <c r="D94" i="10" s="1"/>
  <c r="D93" i="10" a="1"/>
  <c r="D93" i="10" s="1"/>
  <c r="D92" i="10" a="1"/>
  <c r="D92" i="10" s="1"/>
  <c r="D91" i="10" a="1"/>
  <c r="D91" i="10" s="1"/>
  <c r="D90" i="10" a="1"/>
  <c r="D90" i="10"/>
  <c r="D89" i="10" a="1"/>
  <c r="D89" i="10"/>
  <c r="D88" i="10" a="1"/>
  <c r="D88" i="10"/>
  <c r="D87" i="10" a="1"/>
  <c r="D87" i="10"/>
  <c r="D86" i="10" a="1"/>
  <c r="D86" i="10" s="1"/>
  <c r="D85" i="10" a="1"/>
  <c r="D85" i="10" s="1"/>
  <c r="D84" i="10" a="1"/>
  <c r="D84" i="10" s="1"/>
  <c r="D83" i="10" a="1"/>
  <c r="D83" i="10" s="1"/>
  <c r="D82" i="10" a="1"/>
  <c r="D82" i="10" s="1"/>
  <c r="D81" i="10" a="1"/>
  <c r="D81" i="10" s="1"/>
  <c r="D80" i="10" a="1"/>
  <c r="D80" i="10"/>
  <c r="D79" i="10" a="1"/>
  <c r="D79" i="10"/>
  <c r="D78" i="10" a="1"/>
  <c r="D78" i="10"/>
  <c r="D77" i="10" a="1"/>
  <c r="D77" i="10"/>
  <c r="D76" i="10" a="1"/>
  <c r="D76" i="10" s="1"/>
  <c r="D75" i="10" a="1"/>
  <c r="D75" i="10" s="1"/>
  <c r="D74" i="10" a="1"/>
  <c r="D74" i="10" s="1"/>
  <c r="D73" i="10" a="1"/>
  <c r="D73" i="10" s="1"/>
  <c r="D72" i="10" a="1"/>
  <c r="D72" i="10" s="1"/>
  <c r="D71" i="10" a="1"/>
  <c r="D71" i="10" s="1"/>
  <c r="D70" i="10" a="1"/>
  <c r="D70" i="10"/>
  <c r="D69" i="10" a="1"/>
  <c r="D69" i="10"/>
  <c r="D68" i="10" a="1"/>
  <c r="D68" i="10"/>
  <c r="D67" i="10" a="1"/>
  <c r="D67" i="10"/>
  <c r="D66" i="10" a="1"/>
  <c r="D66" i="10" s="1"/>
  <c r="D65" i="10" a="1"/>
  <c r="D65" i="10" s="1"/>
  <c r="D64" i="10" a="1"/>
  <c r="D64" i="10" s="1"/>
  <c r="D63" i="10" a="1"/>
  <c r="D63" i="10" s="1"/>
  <c r="D62" i="10" a="1"/>
  <c r="D62" i="10" s="1"/>
  <c r="D61" i="10" a="1"/>
  <c r="D61" i="10" s="1"/>
  <c r="D60" i="10" a="1"/>
  <c r="D60" i="10" s="1"/>
  <c r="D59" i="10" a="1"/>
  <c r="D59" i="10"/>
  <c r="D58" i="10" a="1"/>
  <c r="D58" i="10"/>
  <c r="D57" i="10" a="1"/>
  <c r="D57" i="10"/>
  <c r="D56" i="10" a="1"/>
  <c r="D56" i="10" s="1"/>
  <c r="D55" i="10" a="1"/>
  <c r="D55" i="10" s="1"/>
  <c r="D54" i="10" a="1"/>
  <c r="D54" i="10" s="1"/>
  <c r="D53" i="10" a="1"/>
  <c r="D53" i="10" s="1"/>
  <c r="D52" i="10" a="1"/>
  <c r="D52" i="10" s="1"/>
  <c r="D51" i="10" a="1"/>
  <c r="D51" i="10" s="1"/>
  <c r="D50" i="10" a="1"/>
  <c r="D50" i="10"/>
  <c r="D49" i="10" a="1"/>
  <c r="D49" i="10" s="1"/>
  <c r="D48" i="10" a="1"/>
  <c r="D48" i="10"/>
  <c r="D47" i="10" a="1"/>
  <c r="D47" i="10"/>
  <c r="D46" i="10" a="1"/>
  <c r="D46" i="10" s="1"/>
  <c r="D45" i="10" a="1"/>
  <c r="D45" i="10" s="1"/>
  <c r="D44" i="10" a="1"/>
  <c r="D44" i="10" s="1"/>
  <c r="D43" i="10" a="1"/>
  <c r="D43" i="10" s="1"/>
  <c r="D42" i="10" a="1"/>
  <c r="D42" i="10" s="1"/>
  <c r="D41" i="10" a="1"/>
  <c r="D41" i="10" s="1"/>
  <c r="D40" i="10" a="1"/>
  <c r="D40" i="10"/>
  <c r="D39" i="10" a="1"/>
  <c r="D39" i="10"/>
  <c r="D38" i="10" a="1"/>
  <c r="D38" i="10" s="1"/>
  <c r="D37" i="10" a="1"/>
  <c r="D37" i="10"/>
  <c r="D36" i="10" a="1"/>
  <c r="D36" i="10" s="1"/>
  <c r="D35" i="10" a="1"/>
  <c r="D35" i="10" s="1"/>
  <c r="D34" i="10" a="1"/>
  <c r="D34" i="10" s="1"/>
  <c r="D33" i="10" a="1"/>
  <c r="D33" i="10" s="1"/>
  <c r="D32" i="10" a="1"/>
  <c r="D32" i="10" s="1"/>
  <c r="D31" i="10" a="1"/>
  <c r="D31" i="10" s="1"/>
  <c r="D30" i="10" a="1"/>
  <c r="D30" i="10"/>
  <c r="D29" i="10" a="1"/>
  <c r="D29" i="10"/>
  <c r="D28" i="10" a="1"/>
  <c r="D28" i="10"/>
  <c r="D27" i="10" a="1"/>
  <c r="D27" i="10" s="1"/>
  <c r="D26" i="10" a="1"/>
  <c r="D26" i="10" s="1"/>
  <c r="D25" i="10" a="1"/>
  <c r="D25" i="10" s="1"/>
  <c r="D24" i="10" a="1"/>
  <c r="D24" i="10" s="1"/>
  <c r="D23" i="10" a="1"/>
  <c r="D23" i="10" s="1"/>
  <c r="D22" i="10" a="1"/>
  <c r="D22" i="10" s="1"/>
  <c r="D21" i="10" a="1"/>
  <c r="D21" i="10" s="1"/>
  <c r="D20" i="10" a="1"/>
  <c r="D20" i="10"/>
  <c r="D19" i="10" a="1"/>
  <c r="D19" i="10"/>
  <c r="D18" i="10" a="1"/>
  <c r="D18" i="10"/>
  <c r="D17" i="10" a="1"/>
  <c r="D17" i="10"/>
  <c r="D16" i="10" a="1"/>
  <c r="D16" i="10" s="1"/>
  <c r="D15" i="10" a="1"/>
  <c r="D15" i="10" s="1"/>
  <c r="D14" i="10" a="1"/>
  <c r="D14" i="10" s="1"/>
  <c r="D13" i="10" a="1"/>
  <c r="D13" i="10" s="1"/>
  <c r="D12" i="10" a="1"/>
  <c r="D12" i="10" s="1"/>
  <c r="D11" i="10" a="1"/>
  <c r="D11" i="10" s="1"/>
  <c r="D10" i="10" a="1"/>
  <c r="D10" i="10" s="1"/>
  <c r="D9" i="10" a="1"/>
  <c r="D9" i="10"/>
  <c r="D8" i="10" a="1"/>
  <c r="D8" i="10"/>
  <c r="D7" i="10" a="1"/>
  <c r="D7" i="10"/>
  <c r="D6" i="10" a="1"/>
  <c r="D6" i="10" s="1"/>
  <c r="D5" i="10" a="1"/>
  <c r="D5" i="10" s="1"/>
  <c r="D4" i="10" a="1"/>
  <c r="D4" i="10" s="1"/>
  <c r="D3" i="10" a="1"/>
  <c r="D3" i="10" s="1"/>
  <c r="D2" i="10" a="1"/>
  <c r="D2" i="10" s="1"/>
  <c r="Q462" i="3" a="1"/>
  <c r="Q462" i="3" s="1"/>
  <c r="P462" i="3" a="1"/>
  <c r="P462" i="3" s="1"/>
  <c r="O462" i="3" a="1"/>
  <c r="O462" i="3" s="1"/>
  <c r="N462" i="3" a="1"/>
  <c r="N462" i="3" s="1"/>
  <c r="M462" i="3" a="1"/>
  <c r="M462" i="3" s="1"/>
  <c r="L462" i="3" a="1"/>
  <c r="L462" i="3" s="1"/>
  <c r="K462" i="3" a="1"/>
  <c r="K462" i="3" s="1"/>
  <c r="J462" i="3" a="1"/>
  <c r="J462" i="3" s="1"/>
  <c r="I462" i="3" a="1"/>
  <c r="I462" i="3" s="1"/>
  <c r="G462" i="3" a="1"/>
  <c r="G462" i="3" s="1"/>
  <c r="F462" i="3" a="1"/>
  <c r="F462" i="3" s="1"/>
  <c r="E462" i="3" a="1"/>
  <c r="E462" i="3" s="1"/>
  <c r="D462" i="3" a="1"/>
  <c r="D462" i="3" s="1"/>
  <c r="C462" i="3" a="1"/>
  <c r="C462" i="3" s="1"/>
  <c r="B462" i="3" a="1"/>
  <c r="B462" i="3" s="1"/>
  <c r="Q461" i="3" a="1"/>
  <c r="Q461" i="3" s="1"/>
  <c r="P461" i="3" a="1"/>
  <c r="P461" i="3" s="1"/>
  <c r="O461" i="3" a="1"/>
  <c r="O461" i="3" s="1"/>
  <c r="N461" i="3" a="1"/>
  <c r="N461" i="3" s="1"/>
  <c r="M461" i="3" a="1"/>
  <c r="M461" i="3" s="1"/>
  <c r="L461" i="3" a="1"/>
  <c r="L461" i="3" s="1"/>
  <c r="K461" i="3" a="1"/>
  <c r="K461" i="3" s="1"/>
  <c r="J461" i="3" a="1"/>
  <c r="J461" i="3" s="1"/>
  <c r="I461" i="3" a="1"/>
  <c r="I461" i="3" s="1"/>
  <c r="G461" i="3" a="1"/>
  <c r="G461" i="3" s="1"/>
  <c r="F461" i="3" a="1"/>
  <c r="F461" i="3" s="1"/>
  <c r="E461" i="3" a="1"/>
  <c r="E461" i="3" s="1"/>
  <c r="D461" i="3" a="1"/>
  <c r="D461" i="3" s="1"/>
  <c r="C461" i="3" a="1"/>
  <c r="C461" i="3" s="1"/>
  <c r="B461" i="3" a="1"/>
  <c r="B461" i="3" s="1"/>
  <c r="T460" i="3" a="1"/>
  <c r="T460" i="3"/>
  <c r="Q460" i="3" a="1"/>
  <c r="Q460" i="3" s="1"/>
  <c r="P460" i="3" a="1"/>
  <c r="P460" i="3" s="1"/>
  <c r="O460" i="3" a="1"/>
  <c r="O460" i="3" s="1"/>
  <c r="N460" i="3" a="1"/>
  <c r="N460" i="3" s="1"/>
  <c r="M460" i="3" a="1"/>
  <c r="M460" i="3" s="1"/>
  <c r="L460" i="3" a="1"/>
  <c r="L460" i="3" s="1"/>
  <c r="K460" i="3" a="1"/>
  <c r="K460" i="3" s="1"/>
  <c r="J460" i="3" a="1"/>
  <c r="J460" i="3" s="1"/>
  <c r="I460" i="3" a="1"/>
  <c r="I460" i="3" s="1"/>
  <c r="G460" i="3" a="1"/>
  <c r="G460" i="3" s="1"/>
  <c r="F460" i="3" a="1"/>
  <c r="F460" i="3" s="1"/>
  <c r="E460" i="3" a="1"/>
  <c r="E460" i="3" s="1"/>
  <c r="D460" i="3" a="1"/>
  <c r="D460" i="3" s="1"/>
  <c r="C460" i="3" a="1"/>
  <c r="C460" i="3" s="1"/>
  <c r="B460" i="3" a="1"/>
  <c r="B460" i="3" s="1"/>
  <c r="Z456" i="3" a="1"/>
  <c r="Z456" i="3" s="1"/>
  <c r="Y456" i="3" a="1"/>
  <c r="Y456" i="3" s="1"/>
  <c r="X456" i="3" a="1"/>
  <c r="X456" i="3" s="1"/>
  <c r="W456" i="3" a="1"/>
  <c r="W456" i="3" s="1"/>
  <c r="V456" i="3" a="1"/>
  <c r="V456" i="3" s="1"/>
  <c r="U456" i="3" a="1"/>
  <c r="U456" i="3" s="1"/>
  <c r="T456" i="3" a="1"/>
  <c r="T456" i="3" s="1"/>
  <c r="S456" i="3" a="1"/>
  <c r="S456" i="3" s="1"/>
  <c r="R456" i="3" a="1"/>
  <c r="R456" i="3" s="1"/>
  <c r="Q456" i="3" a="1"/>
  <c r="Q456" i="3" s="1"/>
  <c r="P456" i="3" a="1"/>
  <c r="P456" i="3" s="1"/>
  <c r="O456" i="3" a="1"/>
  <c r="O456" i="3" s="1"/>
  <c r="N456" i="3" a="1"/>
  <c r="N456" i="3" s="1"/>
  <c r="M456" i="3" a="1"/>
  <c r="M456" i="3" s="1"/>
  <c r="L456" i="3" a="1"/>
  <c r="L456" i="3" s="1"/>
  <c r="K456" i="3" a="1"/>
  <c r="K456" i="3" s="1"/>
  <c r="J456" i="3" a="1"/>
  <c r="J456" i="3" s="1"/>
  <c r="I456" i="3" a="1"/>
  <c r="I456" i="3" s="1"/>
  <c r="G456" i="3" a="1"/>
  <c r="G456" i="3" s="1"/>
  <c r="F456" i="3" a="1"/>
  <c r="F456" i="3" s="1"/>
  <c r="E456" i="3" a="1"/>
  <c r="E456" i="3" s="1"/>
  <c r="D456" i="3" a="1"/>
  <c r="D456" i="3" s="1"/>
  <c r="C456" i="3" a="1"/>
  <c r="C456" i="3" s="1"/>
  <c r="B456" i="3" a="1"/>
  <c r="B456" i="3" s="1"/>
  <c r="Z455" i="3" a="1"/>
  <c r="Z455" i="3" s="1"/>
  <c r="Y455" i="3" a="1"/>
  <c r="Y455" i="3" s="1"/>
  <c r="X455" i="3" a="1"/>
  <c r="X455" i="3" s="1"/>
  <c r="W455" i="3" a="1"/>
  <c r="W455" i="3" s="1"/>
  <c r="V455" i="3" a="1"/>
  <c r="V455" i="3" s="1"/>
  <c r="U455" i="3" a="1"/>
  <c r="U455" i="3" s="1"/>
  <c r="T455" i="3" a="1"/>
  <c r="T455" i="3" s="1"/>
  <c r="S455" i="3" a="1"/>
  <c r="S455" i="3" s="1"/>
  <c r="R455" i="3" a="1"/>
  <c r="R455" i="3" s="1"/>
  <c r="Q455" i="3" a="1"/>
  <c r="Q455" i="3" s="1"/>
  <c r="P455" i="3" a="1"/>
  <c r="P455" i="3" s="1"/>
  <c r="O455" i="3" a="1"/>
  <c r="O455" i="3" s="1"/>
  <c r="N455" i="3" a="1"/>
  <c r="N455" i="3" s="1"/>
  <c r="M455" i="3" a="1"/>
  <c r="M455" i="3" s="1"/>
  <c r="L455" i="3" a="1"/>
  <c r="L455" i="3" s="1"/>
  <c r="K455" i="3" a="1"/>
  <c r="K455" i="3" s="1"/>
  <c r="J455" i="3" a="1"/>
  <c r="J455" i="3" s="1"/>
  <c r="I455" i="3" a="1"/>
  <c r="I455" i="3" s="1"/>
  <c r="G455" i="3" a="1"/>
  <c r="G455" i="3" s="1"/>
  <c r="F455" i="3" a="1"/>
  <c r="F455" i="3" s="1"/>
  <c r="E455" i="3" a="1"/>
  <c r="E455" i="3" s="1"/>
  <c r="D455" i="3" a="1"/>
  <c r="D455" i="3" s="1"/>
  <c r="C455" i="3" a="1"/>
  <c r="C455" i="3" s="1"/>
  <c r="B455" i="3" a="1"/>
  <c r="B455" i="3" s="1"/>
  <c r="Z454" i="3" a="1"/>
  <c r="Z454" i="3" s="1"/>
  <c r="Y454" i="3" a="1"/>
  <c r="Y454" i="3" s="1"/>
  <c r="X454" i="3" a="1"/>
  <c r="X454" i="3" s="1"/>
  <c r="W454" i="3" a="1"/>
  <c r="W454" i="3" s="1"/>
  <c r="V454" i="3" a="1"/>
  <c r="V454" i="3" s="1"/>
  <c r="U454" i="3" a="1"/>
  <c r="U454" i="3" s="1"/>
  <c r="T454" i="3" a="1"/>
  <c r="T454" i="3" s="1"/>
  <c r="S454" i="3" a="1"/>
  <c r="S454" i="3" s="1"/>
  <c r="R454" i="3" a="1"/>
  <c r="R454" i="3" s="1"/>
  <c r="Q454" i="3" a="1"/>
  <c r="Q454" i="3" s="1"/>
  <c r="P454" i="3" a="1"/>
  <c r="P454" i="3" s="1"/>
  <c r="O454" i="3" a="1"/>
  <c r="O454" i="3" s="1"/>
  <c r="N454" i="3" a="1"/>
  <c r="N454" i="3" s="1"/>
  <c r="M454" i="3" a="1"/>
  <c r="M454" i="3" s="1"/>
  <c r="L454" i="3" a="1"/>
  <c r="L454" i="3" s="1"/>
  <c r="K454" i="3" a="1"/>
  <c r="K454" i="3" s="1"/>
  <c r="J454" i="3" a="1"/>
  <c r="J454" i="3" s="1"/>
  <c r="I454" i="3" a="1"/>
  <c r="I454" i="3" s="1"/>
  <c r="G454" i="3" a="1"/>
  <c r="G454" i="3" s="1"/>
  <c r="F454" i="3" a="1"/>
  <c r="F454" i="3" s="1"/>
  <c r="E454" i="3" a="1"/>
  <c r="E454" i="3" s="1"/>
  <c r="D454" i="3" a="1"/>
  <c r="D454" i="3" s="1"/>
  <c r="C454" i="3" a="1"/>
  <c r="C454" i="3" s="1"/>
  <c r="B454" i="3" a="1"/>
  <c r="B454" i="3" s="1"/>
  <c r="Z453" i="3" a="1"/>
  <c r="Z453" i="3" s="1"/>
  <c r="Y453" i="3" a="1"/>
  <c r="Y453" i="3" s="1"/>
  <c r="X453" i="3" a="1"/>
  <c r="X453" i="3" s="1"/>
  <c r="W453" i="3" a="1"/>
  <c r="W453" i="3" s="1"/>
  <c r="V453" i="3" a="1"/>
  <c r="V453" i="3" s="1"/>
  <c r="U453" i="3" a="1"/>
  <c r="U453" i="3" s="1"/>
  <c r="T453" i="3" a="1"/>
  <c r="T453" i="3" s="1"/>
  <c r="S453" i="3" a="1"/>
  <c r="S453" i="3" s="1"/>
  <c r="R453" i="3" a="1"/>
  <c r="R453" i="3" s="1"/>
  <c r="Q453" i="3" a="1"/>
  <c r="Q453" i="3" s="1"/>
  <c r="P453" i="3" a="1"/>
  <c r="P453" i="3" s="1"/>
  <c r="O453" i="3" a="1"/>
  <c r="O453" i="3" s="1"/>
  <c r="N453" i="3" a="1"/>
  <c r="N453" i="3" s="1"/>
  <c r="M453" i="3" a="1"/>
  <c r="M453" i="3" s="1"/>
  <c r="L453" i="3" a="1"/>
  <c r="L453" i="3" s="1"/>
  <c r="K453" i="3" a="1"/>
  <c r="K453" i="3" s="1"/>
  <c r="J453" i="3" a="1"/>
  <c r="J453" i="3" s="1"/>
  <c r="I453" i="3" a="1"/>
  <c r="I453" i="3" s="1"/>
  <c r="G453" i="3" a="1"/>
  <c r="G453" i="3" s="1"/>
  <c r="F453" i="3" a="1"/>
  <c r="F453" i="3" s="1"/>
  <c r="E453" i="3" a="1"/>
  <c r="E453" i="3" s="1"/>
  <c r="D453" i="3" a="1"/>
  <c r="D453" i="3" s="1"/>
  <c r="C453" i="3" a="1"/>
  <c r="C453" i="3" s="1"/>
  <c r="B453" i="3" a="1"/>
  <c r="B453" i="3" s="1"/>
  <c r="Z452" i="3" a="1"/>
  <c r="Z452" i="3" s="1"/>
  <c r="Y452" i="3" a="1"/>
  <c r="Y452" i="3" s="1"/>
  <c r="X452" i="3" a="1"/>
  <c r="X452" i="3" s="1"/>
  <c r="W452" i="3" a="1"/>
  <c r="W452" i="3" s="1"/>
  <c r="V452" i="3" a="1"/>
  <c r="V452" i="3" s="1"/>
  <c r="U452" i="3" a="1"/>
  <c r="U452" i="3" s="1"/>
  <c r="T452" i="3" a="1"/>
  <c r="T452" i="3" s="1"/>
  <c r="S452" i="3" a="1"/>
  <c r="S452" i="3" s="1"/>
  <c r="R452" i="3" a="1"/>
  <c r="R452" i="3" s="1"/>
  <c r="Q452" i="3" a="1"/>
  <c r="Q452" i="3" s="1"/>
  <c r="P452" i="3" a="1"/>
  <c r="P452" i="3" s="1"/>
  <c r="O452" i="3" a="1"/>
  <c r="O452" i="3" s="1"/>
  <c r="N452" i="3" a="1"/>
  <c r="N452" i="3" s="1"/>
  <c r="M452" i="3" a="1"/>
  <c r="M452" i="3" s="1"/>
  <c r="L452" i="3" a="1"/>
  <c r="L452" i="3" s="1"/>
  <c r="K452" i="3" a="1"/>
  <c r="K452" i="3" s="1"/>
  <c r="J452" i="3" a="1"/>
  <c r="J452" i="3" s="1"/>
  <c r="I452" i="3" a="1"/>
  <c r="I452" i="3" s="1"/>
  <c r="G452" i="3" a="1"/>
  <c r="G452" i="3" s="1"/>
  <c r="F452" i="3" a="1"/>
  <c r="F452" i="3" s="1"/>
  <c r="E452" i="3" a="1"/>
  <c r="E452" i="3" s="1"/>
  <c r="D452" i="3" a="1"/>
  <c r="D452" i="3" s="1"/>
  <c r="C452" i="3" a="1"/>
  <c r="C452" i="3" s="1"/>
  <c r="B452" i="3" a="1"/>
  <c r="B452" i="3" s="1"/>
  <c r="Z451" i="3" a="1"/>
  <c r="Z451" i="3" s="1"/>
  <c r="Y451" i="3" a="1"/>
  <c r="Y451" i="3" s="1"/>
  <c r="X451" i="3" a="1"/>
  <c r="X451" i="3" s="1"/>
  <c r="W451" i="3" a="1"/>
  <c r="W451" i="3" s="1"/>
  <c r="V451" i="3" a="1"/>
  <c r="V451" i="3" s="1"/>
  <c r="U451" i="3" a="1"/>
  <c r="U451" i="3" s="1"/>
  <c r="T451" i="3" a="1"/>
  <c r="T451" i="3" s="1"/>
  <c r="S451" i="3" a="1"/>
  <c r="S451" i="3" s="1"/>
  <c r="R451" i="3" a="1"/>
  <c r="R451" i="3" s="1"/>
  <c r="Q451" i="3" a="1"/>
  <c r="Q451" i="3" s="1"/>
  <c r="P451" i="3" a="1"/>
  <c r="P451" i="3" s="1"/>
  <c r="O451" i="3" a="1"/>
  <c r="O451" i="3" s="1"/>
  <c r="N451" i="3" a="1"/>
  <c r="N451" i="3" s="1"/>
  <c r="M451" i="3" a="1"/>
  <c r="M451" i="3" s="1"/>
  <c r="L451" i="3" a="1"/>
  <c r="L451" i="3" s="1"/>
  <c r="K451" i="3" a="1"/>
  <c r="K451" i="3" s="1"/>
  <c r="J451" i="3" a="1"/>
  <c r="J451" i="3" s="1"/>
  <c r="I451" i="3" a="1"/>
  <c r="I451" i="3" s="1"/>
  <c r="G451" i="3" a="1"/>
  <c r="G451" i="3" s="1"/>
  <c r="F451" i="3" a="1"/>
  <c r="F451" i="3" s="1"/>
  <c r="E451" i="3" a="1"/>
  <c r="E451" i="3" s="1"/>
  <c r="D451" i="3" a="1"/>
  <c r="D451" i="3" s="1"/>
  <c r="C451" i="3" a="1"/>
  <c r="C451" i="3" s="1"/>
  <c r="B451" i="3" a="1"/>
  <c r="B451" i="3" s="1"/>
  <c r="Z450" i="3" a="1"/>
  <c r="Z450" i="3" s="1"/>
  <c r="Y450" i="3" a="1"/>
  <c r="Y450" i="3" s="1"/>
  <c r="X450" i="3" a="1"/>
  <c r="X450" i="3" s="1"/>
  <c r="W450" i="3" a="1"/>
  <c r="W450" i="3" s="1"/>
  <c r="V450" i="3" a="1"/>
  <c r="V450" i="3" s="1"/>
  <c r="U450" i="3" a="1"/>
  <c r="U450" i="3" s="1"/>
  <c r="T450" i="3" a="1"/>
  <c r="T450" i="3" s="1"/>
  <c r="S450" i="3" a="1"/>
  <c r="S450" i="3" s="1"/>
  <c r="R450" i="3" a="1"/>
  <c r="R450" i="3" s="1"/>
  <c r="Q450" i="3" a="1"/>
  <c r="Q450" i="3" s="1"/>
  <c r="P450" i="3" a="1"/>
  <c r="P450" i="3" s="1"/>
  <c r="O450" i="3" a="1"/>
  <c r="O450" i="3" s="1"/>
  <c r="N450" i="3" a="1"/>
  <c r="N450" i="3" s="1"/>
  <c r="M450" i="3" a="1"/>
  <c r="M450" i="3" s="1"/>
  <c r="L450" i="3" a="1"/>
  <c r="L450" i="3" s="1"/>
  <c r="K450" i="3" a="1"/>
  <c r="K450" i="3" s="1"/>
  <c r="J450" i="3" a="1"/>
  <c r="J450" i="3" s="1"/>
  <c r="I450" i="3" a="1"/>
  <c r="I450" i="3" s="1"/>
  <c r="G450" i="3" a="1"/>
  <c r="G450" i="3" s="1"/>
  <c r="F450" i="3" a="1"/>
  <c r="F450" i="3" s="1"/>
  <c r="E450" i="3" a="1"/>
  <c r="E450" i="3" s="1"/>
  <c r="D450" i="3" a="1"/>
  <c r="D450" i="3" s="1"/>
  <c r="C450" i="3" a="1"/>
  <c r="C450" i="3" s="1"/>
  <c r="B450" i="3" a="1"/>
  <c r="B450" i="3" s="1"/>
  <c r="Z449" i="3" a="1"/>
  <c r="Z449" i="3" s="1"/>
  <c r="Y449" i="3" a="1"/>
  <c r="Y449" i="3" s="1"/>
  <c r="X449" i="3" a="1"/>
  <c r="X449" i="3" s="1"/>
  <c r="W449" i="3" a="1"/>
  <c r="W449" i="3" s="1"/>
  <c r="V449" i="3" a="1"/>
  <c r="V449" i="3" s="1"/>
  <c r="U449" i="3" a="1"/>
  <c r="U449" i="3" s="1"/>
  <c r="T449" i="3" a="1"/>
  <c r="T449" i="3" s="1"/>
  <c r="S449" i="3" a="1"/>
  <c r="S449" i="3" s="1"/>
  <c r="R449" i="3" a="1"/>
  <c r="R449" i="3" s="1"/>
  <c r="Q449" i="3" a="1"/>
  <c r="Q449" i="3" s="1"/>
  <c r="P449" i="3" a="1"/>
  <c r="P449" i="3" s="1"/>
  <c r="O449" i="3" a="1"/>
  <c r="O449" i="3" s="1"/>
  <c r="N449" i="3" a="1"/>
  <c r="N449" i="3" s="1"/>
  <c r="M449" i="3" a="1"/>
  <c r="M449" i="3" s="1"/>
  <c r="L449" i="3" a="1"/>
  <c r="L449" i="3" s="1"/>
  <c r="K449" i="3" a="1"/>
  <c r="K449" i="3" s="1"/>
  <c r="J449" i="3" a="1"/>
  <c r="J449" i="3" s="1"/>
  <c r="I449" i="3" a="1"/>
  <c r="I449" i="3" s="1"/>
  <c r="G449" i="3" a="1"/>
  <c r="G449" i="3" s="1"/>
  <c r="F449" i="3" a="1"/>
  <c r="F449" i="3" s="1"/>
  <c r="E449" i="3" a="1"/>
  <c r="E449" i="3" s="1"/>
  <c r="D449" i="3" a="1"/>
  <c r="D449" i="3" s="1"/>
  <c r="C449" i="3" a="1"/>
  <c r="C449" i="3" s="1"/>
  <c r="B449" i="3" a="1"/>
  <c r="B449" i="3" s="1"/>
  <c r="Z448" i="3" a="1"/>
  <c r="Z448" i="3" s="1"/>
  <c r="Y448" i="3" a="1"/>
  <c r="Y448" i="3" s="1"/>
  <c r="X448" i="3" a="1"/>
  <c r="X448" i="3" s="1"/>
  <c r="W448" i="3" a="1"/>
  <c r="W448" i="3" s="1"/>
  <c r="V448" i="3" a="1"/>
  <c r="V448" i="3" s="1"/>
  <c r="U448" i="3" a="1"/>
  <c r="U448" i="3" s="1"/>
  <c r="T448" i="3" a="1"/>
  <c r="T448" i="3" s="1"/>
  <c r="S448" i="3" a="1"/>
  <c r="S448" i="3" s="1"/>
  <c r="R448" i="3" a="1"/>
  <c r="R448" i="3" s="1"/>
  <c r="Q448" i="3" a="1"/>
  <c r="Q448" i="3" s="1"/>
  <c r="P448" i="3" a="1"/>
  <c r="P448" i="3" s="1"/>
  <c r="O448" i="3" a="1"/>
  <c r="O448" i="3" s="1"/>
  <c r="N448" i="3" a="1"/>
  <c r="N448" i="3" s="1"/>
  <c r="M448" i="3" a="1"/>
  <c r="M448" i="3" s="1"/>
  <c r="L448" i="3" a="1"/>
  <c r="L448" i="3" s="1"/>
  <c r="K448" i="3" a="1"/>
  <c r="K448" i="3" s="1"/>
  <c r="J448" i="3" a="1"/>
  <c r="J448" i="3" s="1"/>
  <c r="I448" i="3" a="1"/>
  <c r="I448" i="3" s="1"/>
  <c r="G448" i="3" a="1"/>
  <c r="G448" i="3" s="1"/>
  <c r="F448" i="3" a="1"/>
  <c r="F448" i="3" s="1"/>
  <c r="E448" i="3" a="1"/>
  <c r="E448" i="3" s="1"/>
  <c r="D448" i="3" a="1"/>
  <c r="D448" i="3" s="1"/>
  <c r="C448" i="3" a="1"/>
  <c r="C448" i="3" s="1"/>
  <c r="B448" i="3" a="1"/>
  <c r="B448" i="3" s="1"/>
  <c r="Z447" i="3" a="1"/>
  <c r="Z447" i="3" s="1"/>
  <c r="Y447" i="3" a="1"/>
  <c r="Y447" i="3" s="1"/>
  <c r="X447" i="3" a="1"/>
  <c r="X447" i="3" s="1"/>
  <c r="W447" i="3" a="1"/>
  <c r="W447" i="3" s="1"/>
  <c r="V447" i="3" a="1"/>
  <c r="V447" i="3" s="1"/>
  <c r="U447" i="3" a="1"/>
  <c r="U447" i="3" s="1"/>
  <c r="T447" i="3" a="1"/>
  <c r="T447" i="3" s="1"/>
  <c r="S447" i="3" a="1"/>
  <c r="S447" i="3" s="1"/>
  <c r="R447" i="3" a="1"/>
  <c r="R447" i="3" s="1"/>
  <c r="Q447" i="3" a="1"/>
  <c r="Q447" i="3" s="1"/>
  <c r="P447" i="3" a="1"/>
  <c r="P447" i="3" s="1"/>
  <c r="O447" i="3" a="1"/>
  <c r="O447" i="3" s="1"/>
  <c r="N447" i="3" a="1"/>
  <c r="N447" i="3" s="1"/>
  <c r="M447" i="3" a="1"/>
  <c r="M447" i="3" s="1"/>
  <c r="L447" i="3" a="1"/>
  <c r="L447" i="3" s="1"/>
  <c r="K447" i="3" a="1"/>
  <c r="K447" i="3" s="1"/>
  <c r="J447" i="3" a="1"/>
  <c r="J447" i="3" s="1"/>
  <c r="I447" i="3" a="1"/>
  <c r="I447" i="3" s="1"/>
  <c r="G447" i="3" a="1"/>
  <c r="G447" i="3" s="1"/>
  <c r="F447" i="3" a="1"/>
  <c r="F447" i="3" s="1"/>
  <c r="E447" i="3" a="1"/>
  <c r="E447" i="3" s="1"/>
  <c r="D447" i="3" a="1"/>
  <c r="D447" i="3" s="1"/>
  <c r="C447" i="3" a="1"/>
  <c r="C447" i="3" s="1"/>
  <c r="B447" i="3" a="1"/>
  <c r="B447" i="3" s="1"/>
  <c r="Z446" i="3" a="1"/>
  <c r="Z446" i="3" s="1"/>
  <c r="Y446" i="3" a="1"/>
  <c r="Y446" i="3" s="1"/>
  <c r="X446" i="3" a="1"/>
  <c r="X446" i="3" s="1"/>
  <c r="W446" i="3" a="1"/>
  <c r="W446" i="3" s="1"/>
  <c r="V446" i="3" a="1"/>
  <c r="V446" i="3" s="1"/>
  <c r="U446" i="3" a="1"/>
  <c r="U446" i="3" s="1"/>
  <c r="T446" i="3" a="1"/>
  <c r="T446" i="3" s="1"/>
  <c r="S446" i="3" a="1"/>
  <c r="S446" i="3" s="1"/>
  <c r="R446" i="3" a="1"/>
  <c r="R446" i="3" s="1"/>
  <c r="Q446" i="3" a="1"/>
  <c r="Q446" i="3" s="1"/>
  <c r="P446" i="3" a="1"/>
  <c r="P446" i="3" s="1"/>
  <c r="O446" i="3" a="1"/>
  <c r="O446" i="3" s="1"/>
  <c r="N446" i="3" a="1"/>
  <c r="N446" i="3" s="1"/>
  <c r="M446" i="3" a="1"/>
  <c r="M446" i="3" s="1"/>
  <c r="L446" i="3" a="1"/>
  <c r="L446" i="3" s="1"/>
  <c r="K446" i="3" a="1"/>
  <c r="K446" i="3" s="1"/>
  <c r="J446" i="3" a="1"/>
  <c r="J446" i="3" s="1"/>
  <c r="I446" i="3" a="1"/>
  <c r="I446" i="3" s="1"/>
  <c r="G446" i="3" a="1"/>
  <c r="G446" i="3" s="1"/>
  <c r="F446" i="3" a="1"/>
  <c r="F446" i="3" s="1"/>
  <c r="E446" i="3" a="1"/>
  <c r="E446" i="3" s="1"/>
  <c r="D446" i="3" a="1"/>
  <c r="D446" i="3" s="1"/>
  <c r="C446" i="3" a="1"/>
  <c r="C446" i="3" s="1"/>
  <c r="B446" i="3" a="1"/>
  <c r="B446" i="3" s="1"/>
  <c r="Z445" i="3" a="1"/>
  <c r="Z445" i="3" s="1"/>
  <c r="Y445" i="3" a="1"/>
  <c r="Y445" i="3" s="1"/>
  <c r="X445" i="3" a="1"/>
  <c r="X445" i="3" s="1"/>
  <c r="W445" i="3" a="1"/>
  <c r="W445" i="3" s="1"/>
  <c r="V445" i="3" a="1"/>
  <c r="V445" i="3" s="1"/>
  <c r="U445" i="3" a="1"/>
  <c r="U445" i="3" s="1"/>
  <c r="T445" i="3" a="1"/>
  <c r="T445" i="3" s="1"/>
  <c r="S445" i="3" a="1"/>
  <c r="S445" i="3" s="1"/>
  <c r="R445" i="3" a="1"/>
  <c r="R445" i="3" s="1"/>
  <c r="Q445" i="3" a="1"/>
  <c r="Q445" i="3" s="1"/>
  <c r="P445" i="3" a="1"/>
  <c r="P445" i="3" s="1"/>
  <c r="O445" i="3" a="1"/>
  <c r="O445" i="3" s="1"/>
  <c r="N445" i="3" a="1"/>
  <c r="N445" i="3" s="1"/>
  <c r="M445" i="3" a="1"/>
  <c r="M445" i="3" s="1"/>
  <c r="L445" i="3" a="1"/>
  <c r="L445" i="3" s="1"/>
  <c r="K445" i="3" a="1"/>
  <c r="K445" i="3" s="1"/>
  <c r="J445" i="3" a="1"/>
  <c r="J445" i="3" s="1"/>
  <c r="I445" i="3" a="1"/>
  <c r="I445" i="3" s="1"/>
  <c r="G445" i="3" a="1"/>
  <c r="G445" i="3" s="1"/>
  <c r="F445" i="3" a="1"/>
  <c r="F445" i="3" s="1"/>
  <c r="E445" i="3" a="1"/>
  <c r="E445" i="3" s="1"/>
  <c r="D445" i="3" a="1"/>
  <c r="D445" i="3" s="1"/>
  <c r="C445" i="3" a="1"/>
  <c r="C445" i="3" s="1"/>
  <c r="B445" i="3" a="1"/>
  <c r="B445" i="3" s="1"/>
  <c r="Z444" i="3" a="1"/>
  <c r="Z444" i="3" s="1"/>
  <c r="Y444" i="3" a="1"/>
  <c r="Y444" i="3" s="1"/>
  <c r="X444" i="3" a="1"/>
  <c r="X444" i="3" s="1"/>
  <c r="W444" i="3" a="1"/>
  <c r="W444" i="3" s="1"/>
  <c r="V444" i="3" a="1"/>
  <c r="V444" i="3" s="1"/>
  <c r="U444" i="3" a="1"/>
  <c r="U444" i="3" s="1"/>
  <c r="T444" i="3" a="1"/>
  <c r="T444" i="3" s="1"/>
  <c r="S444" i="3" a="1"/>
  <c r="S444" i="3" s="1"/>
  <c r="R444" i="3" a="1"/>
  <c r="R444" i="3" s="1"/>
  <c r="Q444" i="3" a="1"/>
  <c r="Q444" i="3" s="1"/>
  <c r="P444" i="3" a="1"/>
  <c r="P444" i="3" s="1"/>
  <c r="O444" i="3" a="1"/>
  <c r="O444" i="3" s="1"/>
  <c r="N444" i="3" a="1"/>
  <c r="N444" i="3" s="1"/>
  <c r="M444" i="3" a="1"/>
  <c r="M444" i="3" s="1"/>
  <c r="L444" i="3" a="1"/>
  <c r="L444" i="3" s="1"/>
  <c r="K444" i="3" a="1"/>
  <c r="K444" i="3" s="1"/>
  <c r="J444" i="3" a="1"/>
  <c r="J444" i="3" s="1"/>
  <c r="I444" i="3" a="1"/>
  <c r="I444" i="3" s="1"/>
  <c r="G444" i="3" a="1"/>
  <c r="G444" i="3" s="1"/>
  <c r="F444" i="3" a="1"/>
  <c r="F444" i="3" s="1"/>
  <c r="E444" i="3" a="1"/>
  <c r="E444" i="3" s="1"/>
  <c r="D444" i="3" a="1"/>
  <c r="D444" i="3" s="1"/>
  <c r="C444" i="3" a="1"/>
  <c r="C444" i="3" s="1"/>
  <c r="B444" i="3" a="1"/>
  <c r="B444" i="3" s="1"/>
  <c r="Z443" i="3" a="1"/>
  <c r="Z443" i="3" s="1"/>
  <c r="Y443" i="3" a="1"/>
  <c r="Y443" i="3" s="1"/>
  <c r="X443" i="3" a="1"/>
  <c r="X443" i="3" s="1"/>
  <c r="W443" i="3" a="1"/>
  <c r="W443" i="3" s="1"/>
  <c r="V443" i="3" a="1"/>
  <c r="V443" i="3" s="1"/>
  <c r="U443" i="3" a="1"/>
  <c r="U443" i="3" s="1"/>
  <c r="T443" i="3" a="1"/>
  <c r="T443" i="3" s="1"/>
  <c r="S443" i="3" a="1"/>
  <c r="S443" i="3" s="1"/>
  <c r="R443" i="3" a="1"/>
  <c r="R443" i="3" s="1"/>
  <c r="Q443" i="3" a="1"/>
  <c r="Q443" i="3" s="1"/>
  <c r="P443" i="3" a="1"/>
  <c r="P443" i="3" s="1"/>
  <c r="O443" i="3" a="1"/>
  <c r="O443" i="3" s="1"/>
  <c r="N443" i="3" a="1"/>
  <c r="N443" i="3" s="1"/>
  <c r="M443" i="3" a="1"/>
  <c r="M443" i="3" s="1"/>
  <c r="L443" i="3" a="1"/>
  <c r="L443" i="3" s="1"/>
  <c r="K443" i="3" a="1"/>
  <c r="K443" i="3" s="1"/>
  <c r="J443" i="3" a="1"/>
  <c r="J443" i="3" s="1"/>
  <c r="I443" i="3" a="1"/>
  <c r="I443" i="3" s="1"/>
  <c r="G443" i="3" a="1"/>
  <c r="G443" i="3" s="1"/>
  <c r="F443" i="3" a="1"/>
  <c r="F443" i="3" s="1"/>
  <c r="E443" i="3" a="1"/>
  <c r="E443" i="3" s="1"/>
  <c r="D443" i="3" a="1"/>
  <c r="D443" i="3" s="1"/>
  <c r="C443" i="3" a="1"/>
  <c r="C443" i="3" s="1"/>
  <c r="B443" i="3" a="1"/>
  <c r="B443" i="3" s="1"/>
  <c r="Z442" i="3" a="1"/>
  <c r="Z442" i="3" s="1"/>
  <c r="Y442" i="3" a="1"/>
  <c r="Y442" i="3" s="1"/>
  <c r="X442" i="3" a="1"/>
  <c r="X442" i="3" s="1"/>
  <c r="W442" i="3" a="1"/>
  <c r="W442" i="3" s="1"/>
  <c r="V442" i="3" a="1"/>
  <c r="V442" i="3" s="1"/>
  <c r="U442" i="3" a="1"/>
  <c r="U442" i="3" s="1"/>
  <c r="T442" i="3" a="1"/>
  <c r="T442" i="3" s="1"/>
  <c r="S442" i="3" a="1"/>
  <c r="S442" i="3" s="1"/>
  <c r="R442" i="3" a="1"/>
  <c r="R442" i="3" s="1"/>
  <c r="Q442" i="3" a="1"/>
  <c r="Q442" i="3" s="1"/>
  <c r="P442" i="3" a="1"/>
  <c r="P442" i="3" s="1"/>
  <c r="O442" i="3" a="1"/>
  <c r="O442" i="3" s="1"/>
  <c r="N442" i="3" a="1"/>
  <c r="N442" i="3" s="1"/>
  <c r="M442" i="3" a="1"/>
  <c r="M442" i="3" s="1"/>
  <c r="L442" i="3" a="1"/>
  <c r="L442" i="3" s="1"/>
  <c r="K442" i="3" a="1"/>
  <c r="K442" i="3" s="1"/>
  <c r="J442" i="3" a="1"/>
  <c r="J442" i="3" s="1"/>
  <c r="I442" i="3" a="1"/>
  <c r="I442" i="3" s="1"/>
  <c r="G442" i="3" a="1"/>
  <c r="G442" i="3" s="1"/>
  <c r="F442" i="3" a="1"/>
  <c r="F442" i="3" s="1"/>
  <c r="E442" i="3" a="1"/>
  <c r="E442" i="3" s="1"/>
  <c r="D442" i="3" a="1"/>
  <c r="D442" i="3" s="1"/>
  <c r="C442" i="3" a="1"/>
  <c r="C442" i="3" s="1"/>
  <c r="B442" i="3" a="1"/>
  <c r="B442" i="3" s="1"/>
  <c r="Z441" i="3" a="1"/>
  <c r="Z441" i="3" s="1"/>
  <c r="Y441" i="3" a="1"/>
  <c r="Y441" i="3" s="1"/>
  <c r="X441" i="3" a="1"/>
  <c r="X441" i="3" s="1"/>
  <c r="W441" i="3" a="1"/>
  <c r="W441" i="3" s="1"/>
  <c r="V441" i="3" a="1"/>
  <c r="V441" i="3" s="1"/>
  <c r="U441" i="3" a="1"/>
  <c r="U441" i="3" s="1"/>
  <c r="T441" i="3" a="1"/>
  <c r="T441" i="3" s="1"/>
  <c r="S441" i="3" a="1"/>
  <c r="S441" i="3" s="1"/>
  <c r="R441" i="3" a="1"/>
  <c r="R441" i="3" s="1"/>
  <c r="Q441" i="3" a="1"/>
  <c r="Q441" i="3" s="1"/>
  <c r="P441" i="3" a="1"/>
  <c r="P441" i="3" s="1"/>
  <c r="O441" i="3" a="1"/>
  <c r="O441" i="3" s="1"/>
  <c r="N441" i="3" a="1"/>
  <c r="N441" i="3" s="1"/>
  <c r="M441" i="3" a="1"/>
  <c r="M441" i="3" s="1"/>
  <c r="L441" i="3" a="1"/>
  <c r="L441" i="3" s="1"/>
  <c r="K441" i="3" a="1"/>
  <c r="K441" i="3" s="1"/>
  <c r="J441" i="3" a="1"/>
  <c r="J441" i="3" s="1"/>
  <c r="I441" i="3" a="1"/>
  <c r="I441" i="3" s="1"/>
  <c r="G441" i="3" a="1"/>
  <c r="G441" i="3" s="1"/>
  <c r="F441" i="3" a="1"/>
  <c r="F441" i="3" s="1"/>
  <c r="E441" i="3" a="1"/>
  <c r="E441" i="3" s="1"/>
  <c r="D441" i="3" a="1"/>
  <c r="D441" i="3" s="1"/>
  <c r="C441" i="3" a="1"/>
  <c r="C441" i="3" s="1"/>
  <c r="B441" i="3" a="1"/>
  <c r="B441" i="3" s="1"/>
  <c r="Z440" i="3" a="1"/>
  <c r="Z440" i="3" s="1"/>
  <c r="Y440" i="3" a="1"/>
  <c r="Y440" i="3" s="1"/>
  <c r="X440" i="3" a="1"/>
  <c r="X440" i="3" s="1"/>
  <c r="W440" i="3" a="1"/>
  <c r="W440" i="3" s="1"/>
  <c r="V440" i="3" a="1"/>
  <c r="V440" i="3" s="1"/>
  <c r="U440" i="3" a="1"/>
  <c r="U440" i="3" s="1"/>
  <c r="T440" i="3" a="1"/>
  <c r="T440" i="3" s="1"/>
  <c r="S440" i="3" a="1"/>
  <c r="S440" i="3" s="1"/>
  <c r="R440" i="3" a="1"/>
  <c r="R440" i="3" s="1"/>
  <c r="Q440" i="3" a="1"/>
  <c r="Q440" i="3" s="1"/>
  <c r="P440" i="3" a="1"/>
  <c r="P440" i="3" s="1"/>
  <c r="O440" i="3" a="1"/>
  <c r="O440" i="3" s="1"/>
  <c r="N440" i="3" a="1"/>
  <c r="N440" i="3" s="1"/>
  <c r="M440" i="3" a="1"/>
  <c r="M440" i="3" s="1"/>
  <c r="L440" i="3" a="1"/>
  <c r="L440" i="3" s="1"/>
  <c r="K440" i="3" a="1"/>
  <c r="K440" i="3" s="1"/>
  <c r="J440" i="3" a="1"/>
  <c r="J440" i="3" s="1"/>
  <c r="I440" i="3" a="1"/>
  <c r="I440" i="3" s="1"/>
  <c r="G440" i="3" a="1"/>
  <c r="G440" i="3" s="1"/>
  <c r="F440" i="3" a="1"/>
  <c r="F440" i="3" s="1"/>
  <c r="E440" i="3" a="1"/>
  <c r="E440" i="3" s="1"/>
  <c r="D440" i="3" a="1"/>
  <c r="D440" i="3" s="1"/>
  <c r="C440" i="3" a="1"/>
  <c r="C440" i="3" s="1"/>
  <c r="B440" i="3" a="1"/>
  <c r="B440" i="3" s="1"/>
  <c r="Z439" i="3" a="1"/>
  <c r="Z439" i="3" s="1"/>
  <c r="Y439" i="3" a="1"/>
  <c r="Y439" i="3" s="1"/>
  <c r="X439" i="3" a="1"/>
  <c r="X439" i="3" s="1"/>
  <c r="W439" i="3" a="1"/>
  <c r="W439" i="3" s="1"/>
  <c r="V439" i="3" a="1"/>
  <c r="V439" i="3" s="1"/>
  <c r="U439" i="3" a="1"/>
  <c r="U439" i="3" s="1"/>
  <c r="T439" i="3" a="1"/>
  <c r="T439" i="3" s="1"/>
  <c r="S439" i="3" a="1"/>
  <c r="S439" i="3" s="1"/>
  <c r="R439" i="3" a="1"/>
  <c r="R439" i="3" s="1"/>
  <c r="Q439" i="3" a="1"/>
  <c r="Q439" i="3" s="1"/>
  <c r="P439" i="3" a="1"/>
  <c r="P439" i="3" s="1"/>
  <c r="O439" i="3" a="1"/>
  <c r="O439" i="3" s="1"/>
  <c r="N439" i="3" a="1"/>
  <c r="N439" i="3" s="1"/>
  <c r="M439" i="3" a="1"/>
  <c r="M439" i="3" s="1"/>
  <c r="L439" i="3" a="1"/>
  <c r="L439" i="3" s="1"/>
  <c r="K439" i="3" a="1"/>
  <c r="K439" i="3" s="1"/>
  <c r="J439" i="3" a="1"/>
  <c r="J439" i="3" s="1"/>
  <c r="I439" i="3" a="1"/>
  <c r="I439" i="3" s="1"/>
  <c r="G439" i="3" a="1"/>
  <c r="G439" i="3" s="1"/>
  <c r="F439" i="3" a="1"/>
  <c r="F439" i="3" s="1"/>
  <c r="E439" i="3" a="1"/>
  <c r="E439" i="3" s="1"/>
  <c r="D439" i="3" a="1"/>
  <c r="D439" i="3" s="1"/>
  <c r="C439" i="3" a="1"/>
  <c r="C439" i="3" s="1"/>
  <c r="B439" i="3" a="1"/>
  <c r="B439" i="3" s="1"/>
  <c r="Z438" i="3" a="1"/>
  <c r="Z438" i="3" s="1"/>
  <c r="Y438" i="3" a="1"/>
  <c r="Y438" i="3" s="1"/>
  <c r="X438" i="3" a="1"/>
  <c r="X438" i="3" s="1"/>
  <c r="W438" i="3" a="1"/>
  <c r="W438" i="3" s="1"/>
  <c r="V438" i="3" a="1"/>
  <c r="V438" i="3" s="1"/>
  <c r="U438" i="3" a="1"/>
  <c r="U438" i="3" s="1"/>
  <c r="T438" i="3" a="1"/>
  <c r="T438" i="3" s="1"/>
  <c r="S438" i="3" a="1"/>
  <c r="S438" i="3" s="1"/>
  <c r="R438" i="3" a="1"/>
  <c r="R438" i="3" s="1"/>
  <c r="Q438" i="3" a="1"/>
  <c r="Q438" i="3" s="1"/>
  <c r="P438" i="3" a="1"/>
  <c r="P438" i="3" s="1"/>
  <c r="O438" i="3" a="1"/>
  <c r="O438" i="3" s="1"/>
  <c r="N438" i="3" a="1"/>
  <c r="N438" i="3" s="1"/>
  <c r="M438" i="3" a="1"/>
  <c r="M438" i="3" s="1"/>
  <c r="L438" i="3" a="1"/>
  <c r="L438" i="3" s="1"/>
  <c r="K438" i="3" a="1"/>
  <c r="K438" i="3" s="1"/>
  <c r="J438" i="3" a="1"/>
  <c r="J438" i="3" s="1"/>
  <c r="I438" i="3" a="1"/>
  <c r="I438" i="3" s="1"/>
  <c r="G438" i="3" a="1"/>
  <c r="G438" i="3" s="1"/>
  <c r="F438" i="3" a="1"/>
  <c r="F438" i="3" s="1"/>
  <c r="E438" i="3" a="1"/>
  <c r="E438" i="3" s="1"/>
  <c r="D438" i="3" a="1"/>
  <c r="D438" i="3" s="1"/>
  <c r="C438" i="3" a="1"/>
  <c r="C438" i="3" s="1"/>
  <c r="B438" i="3" a="1"/>
  <c r="B438" i="3" s="1"/>
  <c r="Z437" i="3" a="1"/>
  <c r="Z437" i="3" s="1"/>
  <c r="Y437" i="3" a="1"/>
  <c r="Y437" i="3" s="1"/>
  <c r="X437" i="3" a="1"/>
  <c r="X437" i="3" s="1"/>
  <c r="W437" i="3" a="1"/>
  <c r="W437" i="3" s="1"/>
  <c r="V437" i="3" a="1"/>
  <c r="V437" i="3" s="1"/>
  <c r="U437" i="3" a="1"/>
  <c r="U437" i="3" s="1"/>
  <c r="T437" i="3" a="1"/>
  <c r="T437" i="3" s="1"/>
  <c r="S437" i="3" a="1"/>
  <c r="S437" i="3" s="1"/>
  <c r="R437" i="3" a="1"/>
  <c r="R437" i="3" s="1"/>
  <c r="Q437" i="3" a="1"/>
  <c r="Q437" i="3" s="1"/>
  <c r="P437" i="3" a="1"/>
  <c r="P437" i="3" s="1"/>
  <c r="O437" i="3" a="1"/>
  <c r="O437" i="3" s="1"/>
  <c r="N437" i="3" a="1"/>
  <c r="N437" i="3" s="1"/>
  <c r="M437" i="3" a="1"/>
  <c r="M437" i="3" s="1"/>
  <c r="L437" i="3" a="1"/>
  <c r="L437" i="3" s="1"/>
  <c r="K437" i="3" a="1"/>
  <c r="K437" i="3" s="1"/>
  <c r="J437" i="3" a="1"/>
  <c r="J437" i="3" s="1"/>
  <c r="I437" i="3" a="1"/>
  <c r="I437" i="3" s="1"/>
  <c r="G437" i="3" a="1"/>
  <c r="G437" i="3" s="1"/>
  <c r="F437" i="3" a="1"/>
  <c r="F437" i="3" s="1"/>
  <c r="E437" i="3" a="1"/>
  <c r="E437" i="3" s="1"/>
  <c r="D437" i="3" a="1"/>
  <c r="D437" i="3" s="1"/>
  <c r="C437" i="3" a="1"/>
  <c r="C437" i="3" s="1"/>
  <c r="B437" i="3" a="1"/>
  <c r="B437" i="3" s="1"/>
  <c r="Q433" i="3" a="1"/>
  <c r="Q433" i="3" s="1"/>
  <c r="P433" i="3" a="1"/>
  <c r="P433" i="3" s="1"/>
  <c r="O433" i="3" a="1"/>
  <c r="O433" i="3" s="1"/>
  <c r="N433" i="3" a="1"/>
  <c r="N433" i="3" s="1"/>
  <c r="M433" i="3" a="1"/>
  <c r="M433" i="3" s="1"/>
  <c r="L433" i="3" a="1"/>
  <c r="L433" i="3" s="1"/>
  <c r="K433" i="3" a="1"/>
  <c r="K433" i="3" s="1"/>
  <c r="J433" i="3" a="1"/>
  <c r="J433" i="3" s="1"/>
  <c r="I433" i="3" a="1"/>
  <c r="I433" i="3" s="1"/>
  <c r="G433" i="3" a="1"/>
  <c r="G433" i="3" s="1"/>
  <c r="F433" i="3" a="1"/>
  <c r="F433" i="3" s="1"/>
  <c r="E433" i="3" a="1"/>
  <c r="E433" i="3" s="1"/>
  <c r="D433" i="3" a="1"/>
  <c r="D433" i="3" s="1"/>
  <c r="C433" i="3" a="1"/>
  <c r="C433" i="3" s="1"/>
  <c r="B433" i="3" a="1"/>
  <c r="B433" i="3" s="1"/>
  <c r="Q432" i="3" a="1"/>
  <c r="Q432" i="3" s="1"/>
  <c r="P432" i="3" a="1"/>
  <c r="P432" i="3" s="1"/>
  <c r="O432" i="3" a="1"/>
  <c r="O432" i="3" s="1"/>
  <c r="N432" i="3" a="1"/>
  <c r="N432" i="3" s="1"/>
  <c r="M432" i="3" a="1"/>
  <c r="M432" i="3" s="1"/>
  <c r="L432" i="3" a="1"/>
  <c r="L432" i="3" s="1"/>
  <c r="K432" i="3" a="1"/>
  <c r="K432" i="3" s="1"/>
  <c r="J432" i="3" a="1"/>
  <c r="J432" i="3" s="1"/>
  <c r="I432" i="3" a="1"/>
  <c r="I432" i="3" s="1"/>
  <c r="G432" i="3" a="1"/>
  <c r="G432" i="3" s="1"/>
  <c r="F432" i="3" a="1"/>
  <c r="F432" i="3" s="1"/>
  <c r="E432" i="3" a="1"/>
  <c r="E432" i="3" s="1"/>
  <c r="D432" i="3" a="1"/>
  <c r="D432" i="3" s="1"/>
  <c r="C432" i="3" a="1"/>
  <c r="C432" i="3" s="1"/>
  <c r="B432" i="3" a="1"/>
  <c r="B432" i="3" s="1"/>
  <c r="T431" i="3" a="1"/>
  <c r="T431" i="3" s="1"/>
  <c r="Q431" i="3" a="1"/>
  <c r="Q431" i="3" s="1"/>
  <c r="P431" i="3" a="1"/>
  <c r="P431" i="3" s="1"/>
  <c r="O431" i="3" a="1"/>
  <c r="O431" i="3" s="1"/>
  <c r="N431" i="3" a="1"/>
  <c r="N431" i="3" s="1"/>
  <c r="M431" i="3" a="1"/>
  <c r="M431" i="3" s="1"/>
  <c r="L431" i="3" a="1"/>
  <c r="L431" i="3" s="1"/>
  <c r="K431" i="3" a="1"/>
  <c r="K431" i="3" s="1"/>
  <c r="J431" i="3" a="1"/>
  <c r="J431" i="3" s="1"/>
  <c r="I431" i="3" a="1"/>
  <c r="I431" i="3" s="1"/>
  <c r="G431" i="3" a="1"/>
  <c r="G431" i="3" s="1"/>
  <c r="F431" i="3" a="1"/>
  <c r="F431" i="3" s="1"/>
  <c r="E431" i="3" a="1"/>
  <c r="E431" i="3" s="1"/>
  <c r="D431" i="3" a="1"/>
  <c r="D431" i="3" s="1"/>
  <c r="C431" i="3" a="1"/>
  <c r="C431" i="3" s="1"/>
  <c r="B431" i="3" a="1"/>
  <c r="B431" i="3" s="1"/>
  <c r="Z427" i="3" a="1"/>
  <c r="Z427" i="3" s="1"/>
  <c r="Y427" i="3" a="1"/>
  <c r="Y427" i="3" s="1"/>
  <c r="X427" i="3" a="1"/>
  <c r="X427" i="3" s="1"/>
  <c r="W427" i="3" a="1"/>
  <c r="W427" i="3" s="1"/>
  <c r="V427" i="3" a="1"/>
  <c r="V427" i="3" s="1"/>
  <c r="U427" i="3" a="1"/>
  <c r="U427" i="3" s="1"/>
  <c r="T427" i="3" a="1"/>
  <c r="T427" i="3" s="1"/>
  <c r="S427" i="3" a="1"/>
  <c r="S427" i="3" s="1"/>
  <c r="R427" i="3" a="1"/>
  <c r="R427" i="3" s="1"/>
  <c r="Q427" i="3" a="1"/>
  <c r="Q427" i="3" s="1"/>
  <c r="P427" i="3" a="1"/>
  <c r="P427" i="3" s="1"/>
  <c r="O427" i="3" a="1"/>
  <c r="O427" i="3" s="1"/>
  <c r="N427" i="3" a="1"/>
  <c r="N427" i="3" s="1"/>
  <c r="M427" i="3" a="1"/>
  <c r="M427" i="3" s="1"/>
  <c r="L427" i="3" a="1"/>
  <c r="L427" i="3" s="1"/>
  <c r="K427" i="3" a="1"/>
  <c r="K427" i="3" s="1"/>
  <c r="J427" i="3" a="1"/>
  <c r="J427" i="3" s="1"/>
  <c r="I427" i="3" a="1"/>
  <c r="I427" i="3" s="1"/>
  <c r="G427" i="3" a="1"/>
  <c r="G427" i="3" s="1"/>
  <c r="F427" i="3" a="1"/>
  <c r="F427" i="3" s="1"/>
  <c r="E427" i="3" a="1"/>
  <c r="E427" i="3" s="1"/>
  <c r="D427" i="3" a="1"/>
  <c r="D427" i="3" s="1"/>
  <c r="C427" i="3" a="1"/>
  <c r="C427" i="3" s="1"/>
  <c r="B427" i="3" a="1"/>
  <c r="B427" i="3" s="1"/>
  <c r="Z426" i="3" a="1"/>
  <c r="Z426" i="3" s="1"/>
  <c r="Y426" i="3" a="1"/>
  <c r="Y426" i="3" s="1"/>
  <c r="X426" i="3" a="1"/>
  <c r="X426" i="3" s="1"/>
  <c r="W426" i="3" a="1"/>
  <c r="W426" i="3" s="1"/>
  <c r="V426" i="3" a="1"/>
  <c r="V426" i="3" s="1"/>
  <c r="U426" i="3" a="1"/>
  <c r="U426" i="3" s="1"/>
  <c r="T426" i="3" a="1"/>
  <c r="T426" i="3" s="1"/>
  <c r="S426" i="3" a="1"/>
  <c r="S426" i="3" s="1"/>
  <c r="R426" i="3" a="1"/>
  <c r="R426" i="3" s="1"/>
  <c r="Q426" i="3" a="1"/>
  <c r="Q426" i="3" s="1"/>
  <c r="P426" i="3" a="1"/>
  <c r="P426" i="3" s="1"/>
  <c r="O426" i="3" a="1"/>
  <c r="O426" i="3" s="1"/>
  <c r="N426" i="3" a="1"/>
  <c r="N426" i="3" s="1"/>
  <c r="M426" i="3" a="1"/>
  <c r="M426" i="3" s="1"/>
  <c r="L426" i="3" a="1"/>
  <c r="L426" i="3" s="1"/>
  <c r="K426" i="3" a="1"/>
  <c r="K426" i="3" s="1"/>
  <c r="J426" i="3" a="1"/>
  <c r="J426" i="3" s="1"/>
  <c r="I426" i="3" a="1"/>
  <c r="I426" i="3" s="1"/>
  <c r="G426" i="3" a="1"/>
  <c r="G426" i="3" s="1"/>
  <c r="F426" i="3" a="1"/>
  <c r="F426" i="3" s="1"/>
  <c r="E426" i="3" a="1"/>
  <c r="E426" i="3" s="1"/>
  <c r="D426" i="3" a="1"/>
  <c r="D426" i="3" s="1"/>
  <c r="C426" i="3" a="1"/>
  <c r="C426" i="3" s="1"/>
  <c r="B426" i="3" a="1"/>
  <c r="B426" i="3" s="1"/>
  <c r="Z425" i="3" a="1"/>
  <c r="Z425" i="3" s="1"/>
  <c r="Y425" i="3" a="1"/>
  <c r="Y425" i="3" s="1"/>
  <c r="X425" i="3" a="1"/>
  <c r="X425" i="3" s="1"/>
  <c r="W425" i="3" a="1"/>
  <c r="W425" i="3" s="1"/>
  <c r="V425" i="3" a="1"/>
  <c r="V425" i="3" s="1"/>
  <c r="U425" i="3" a="1"/>
  <c r="U425" i="3" s="1"/>
  <c r="T425" i="3" a="1"/>
  <c r="T425" i="3" s="1"/>
  <c r="S425" i="3" a="1"/>
  <c r="S425" i="3" s="1"/>
  <c r="R425" i="3" a="1"/>
  <c r="R425" i="3" s="1"/>
  <c r="Q425" i="3" a="1"/>
  <c r="Q425" i="3" s="1"/>
  <c r="P425" i="3" a="1"/>
  <c r="P425" i="3" s="1"/>
  <c r="O425" i="3" a="1"/>
  <c r="O425" i="3" s="1"/>
  <c r="N425" i="3" a="1"/>
  <c r="N425" i="3" s="1"/>
  <c r="M425" i="3" a="1"/>
  <c r="M425" i="3" s="1"/>
  <c r="L425" i="3" a="1"/>
  <c r="L425" i="3" s="1"/>
  <c r="K425" i="3" a="1"/>
  <c r="K425" i="3" s="1"/>
  <c r="J425" i="3" a="1"/>
  <c r="J425" i="3" s="1"/>
  <c r="I425" i="3" a="1"/>
  <c r="I425" i="3" s="1"/>
  <c r="G425" i="3" a="1"/>
  <c r="G425" i="3" s="1"/>
  <c r="F425" i="3" a="1"/>
  <c r="F425" i="3" s="1"/>
  <c r="E425" i="3" a="1"/>
  <c r="E425" i="3" s="1"/>
  <c r="D425" i="3" a="1"/>
  <c r="D425" i="3" s="1"/>
  <c r="C425" i="3" a="1"/>
  <c r="C425" i="3" s="1"/>
  <c r="B425" i="3" a="1"/>
  <c r="B425" i="3" s="1"/>
  <c r="Z424" i="3" a="1"/>
  <c r="Z424" i="3" s="1"/>
  <c r="Y424" i="3" a="1"/>
  <c r="Y424" i="3" s="1"/>
  <c r="X424" i="3" a="1"/>
  <c r="X424" i="3" s="1"/>
  <c r="W424" i="3" a="1"/>
  <c r="W424" i="3" s="1"/>
  <c r="V424" i="3" a="1"/>
  <c r="V424" i="3" s="1"/>
  <c r="U424" i="3" a="1"/>
  <c r="U424" i="3" s="1"/>
  <c r="T424" i="3" a="1"/>
  <c r="T424" i="3" s="1"/>
  <c r="S424" i="3" a="1"/>
  <c r="S424" i="3" s="1"/>
  <c r="R424" i="3" a="1"/>
  <c r="R424" i="3" s="1"/>
  <c r="Q424" i="3" a="1"/>
  <c r="Q424" i="3" s="1"/>
  <c r="P424" i="3" a="1"/>
  <c r="P424" i="3" s="1"/>
  <c r="O424" i="3" a="1"/>
  <c r="O424" i="3" s="1"/>
  <c r="N424" i="3" a="1"/>
  <c r="N424" i="3" s="1"/>
  <c r="M424" i="3" a="1"/>
  <c r="M424" i="3" s="1"/>
  <c r="L424" i="3" a="1"/>
  <c r="L424" i="3" s="1"/>
  <c r="K424" i="3" a="1"/>
  <c r="K424" i="3" s="1"/>
  <c r="J424" i="3" a="1"/>
  <c r="J424" i="3" s="1"/>
  <c r="I424" i="3" a="1"/>
  <c r="I424" i="3" s="1"/>
  <c r="G424" i="3" a="1"/>
  <c r="G424" i="3" s="1"/>
  <c r="F424" i="3" a="1"/>
  <c r="F424" i="3" s="1"/>
  <c r="E424" i="3" a="1"/>
  <c r="E424" i="3" s="1"/>
  <c r="D424" i="3" a="1"/>
  <c r="D424" i="3" s="1"/>
  <c r="C424" i="3" a="1"/>
  <c r="C424" i="3" s="1"/>
  <c r="B424" i="3" a="1"/>
  <c r="B424" i="3" s="1"/>
  <c r="Z423" i="3" a="1"/>
  <c r="Z423" i="3" s="1"/>
  <c r="Y423" i="3" a="1"/>
  <c r="Y423" i="3" s="1"/>
  <c r="X423" i="3" a="1"/>
  <c r="X423" i="3" s="1"/>
  <c r="W423" i="3" a="1"/>
  <c r="W423" i="3" s="1"/>
  <c r="V423" i="3" a="1"/>
  <c r="V423" i="3" s="1"/>
  <c r="U423" i="3" a="1"/>
  <c r="U423" i="3" s="1"/>
  <c r="T423" i="3" a="1"/>
  <c r="T423" i="3" s="1"/>
  <c r="S423" i="3" a="1"/>
  <c r="S423" i="3" s="1"/>
  <c r="R423" i="3" a="1"/>
  <c r="R423" i="3" s="1"/>
  <c r="Q423" i="3" a="1"/>
  <c r="Q423" i="3" s="1"/>
  <c r="P423" i="3" a="1"/>
  <c r="P423" i="3" s="1"/>
  <c r="O423" i="3" a="1"/>
  <c r="O423" i="3" s="1"/>
  <c r="N423" i="3" a="1"/>
  <c r="N423" i="3" s="1"/>
  <c r="M423" i="3" a="1"/>
  <c r="M423" i="3" s="1"/>
  <c r="L423" i="3" a="1"/>
  <c r="L423" i="3" s="1"/>
  <c r="K423" i="3" a="1"/>
  <c r="K423" i="3" s="1"/>
  <c r="J423" i="3" a="1"/>
  <c r="J423" i="3" s="1"/>
  <c r="I423" i="3" a="1"/>
  <c r="I423" i="3" s="1"/>
  <c r="G423" i="3" a="1"/>
  <c r="G423" i="3" s="1"/>
  <c r="F423" i="3" a="1"/>
  <c r="F423" i="3" s="1"/>
  <c r="E423" i="3" a="1"/>
  <c r="E423" i="3" s="1"/>
  <c r="D423" i="3" a="1"/>
  <c r="D423" i="3" s="1"/>
  <c r="C423" i="3" a="1"/>
  <c r="C423" i="3" s="1"/>
  <c r="B423" i="3" a="1"/>
  <c r="B423" i="3" s="1"/>
  <c r="Z422" i="3" a="1"/>
  <c r="Z422" i="3" s="1"/>
  <c r="Y422" i="3" a="1"/>
  <c r="Y422" i="3" s="1"/>
  <c r="X422" i="3" a="1"/>
  <c r="X422" i="3" s="1"/>
  <c r="W422" i="3" a="1"/>
  <c r="W422" i="3" s="1"/>
  <c r="V422" i="3" a="1"/>
  <c r="V422" i="3" s="1"/>
  <c r="U422" i="3" a="1"/>
  <c r="U422" i="3" s="1"/>
  <c r="T422" i="3" a="1"/>
  <c r="T422" i="3" s="1"/>
  <c r="S422" i="3" a="1"/>
  <c r="S422" i="3" s="1"/>
  <c r="R422" i="3" a="1"/>
  <c r="R422" i="3" s="1"/>
  <c r="Q422" i="3" a="1"/>
  <c r="Q422" i="3" s="1"/>
  <c r="P422" i="3" a="1"/>
  <c r="P422" i="3" s="1"/>
  <c r="O422" i="3" a="1"/>
  <c r="O422" i="3" s="1"/>
  <c r="N422" i="3" a="1"/>
  <c r="N422" i="3" s="1"/>
  <c r="M422" i="3" a="1"/>
  <c r="M422" i="3" s="1"/>
  <c r="L422" i="3" a="1"/>
  <c r="L422" i="3" s="1"/>
  <c r="K422" i="3" a="1"/>
  <c r="K422" i="3" s="1"/>
  <c r="J422" i="3" a="1"/>
  <c r="J422" i="3" s="1"/>
  <c r="I422" i="3" a="1"/>
  <c r="I422" i="3" s="1"/>
  <c r="G422" i="3" a="1"/>
  <c r="G422" i="3" s="1"/>
  <c r="F422" i="3" a="1"/>
  <c r="F422" i="3" s="1"/>
  <c r="E422" i="3" a="1"/>
  <c r="E422" i="3" s="1"/>
  <c r="D422" i="3" a="1"/>
  <c r="D422" i="3" s="1"/>
  <c r="C422" i="3" a="1"/>
  <c r="C422" i="3" s="1"/>
  <c r="B422" i="3" a="1"/>
  <c r="B422" i="3" s="1"/>
  <c r="Z421" i="3" a="1"/>
  <c r="Z421" i="3" s="1"/>
  <c r="Y421" i="3" a="1"/>
  <c r="Y421" i="3" s="1"/>
  <c r="X421" i="3" a="1"/>
  <c r="X421" i="3" s="1"/>
  <c r="W421" i="3" a="1"/>
  <c r="W421" i="3" s="1"/>
  <c r="V421" i="3" a="1"/>
  <c r="V421" i="3" s="1"/>
  <c r="U421" i="3" a="1"/>
  <c r="U421" i="3" s="1"/>
  <c r="T421" i="3" a="1"/>
  <c r="T421" i="3" s="1"/>
  <c r="S421" i="3" a="1"/>
  <c r="S421" i="3" s="1"/>
  <c r="R421" i="3" a="1"/>
  <c r="R421" i="3" s="1"/>
  <c r="Q421" i="3" a="1"/>
  <c r="Q421" i="3" s="1"/>
  <c r="P421" i="3" a="1"/>
  <c r="P421" i="3" s="1"/>
  <c r="O421" i="3" a="1"/>
  <c r="O421" i="3" s="1"/>
  <c r="N421" i="3" a="1"/>
  <c r="N421" i="3" s="1"/>
  <c r="M421" i="3" a="1"/>
  <c r="M421" i="3" s="1"/>
  <c r="L421" i="3" a="1"/>
  <c r="L421" i="3" s="1"/>
  <c r="K421" i="3" a="1"/>
  <c r="K421" i="3" s="1"/>
  <c r="J421" i="3" a="1"/>
  <c r="J421" i="3" s="1"/>
  <c r="I421" i="3" a="1"/>
  <c r="I421" i="3" s="1"/>
  <c r="G421" i="3" a="1"/>
  <c r="G421" i="3" s="1"/>
  <c r="F421" i="3" a="1"/>
  <c r="F421" i="3" s="1"/>
  <c r="E421" i="3" a="1"/>
  <c r="E421" i="3" s="1"/>
  <c r="D421" i="3" a="1"/>
  <c r="D421" i="3" s="1"/>
  <c r="C421" i="3" a="1"/>
  <c r="C421" i="3" s="1"/>
  <c r="B421" i="3" a="1"/>
  <c r="B421" i="3" s="1"/>
  <c r="Z420" i="3" a="1"/>
  <c r="Z420" i="3" s="1"/>
  <c r="Y420" i="3" a="1"/>
  <c r="Y420" i="3" s="1"/>
  <c r="X420" i="3" a="1"/>
  <c r="X420" i="3" s="1"/>
  <c r="W420" i="3" a="1"/>
  <c r="W420" i="3" s="1"/>
  <c r="V420" i="3" a="1"/>
  <c r="V420" i="3" s="1"/>
  <c r="U420" i="3" a="1"/>
  <c r="U420" i="3" s="1"/>
  <c r="T420" i="3" a="1"/>
  <c r="T420" i="3" s="1"/>
  <c r="S420" i="3" a="1"/>
  <c r="S420" i="3" s="1"/>
  <c r="R420" i="3" a="1"/>
  <c r="R420" i="3" s="1"/>
  <c r="Q420" i="3" a="1"/>
  <c r="Q420" i="3" s="1"/>
  <c r="P420" i="3" a="1"/>
  <c r="P420" i="3" s="1"/>
  <c r="O420" i="3" a="1"/>
  <c r="O420" i="3" s="1"/>
  <c r="N420" i="3" a="1"/>
  <c r="N420" i="3" s="1"/>
  <c r="M420" i="3" a="1"/>
  <c r="M420" i="3" s="1"/>
  <c r="L420" i="3" a="1"/>
  <c r="L420" i="3" s="1"/>
  <c r="K420" i="3" a="1"/>
  <c r="K420" i="3" s="1"/>
  <c r="J420" i="3" a="1"/>
  <c r="J420" i="3" s="1"/>
  <c r="I420" i="3" a="1"/>
  <c r="I420" i="3" s="1"/>
  <c r="G420" i="3" a="1"/>
  <c r="G420" i="3" s="1"/>
  <c r="F420" i="3" a="1"/>
  <c r="F420" i="3" s="1"/>
  <c r="E420" i="3" a="1"/>
  <c r="E420" i="3" s="1"/>
  <c r="D420" i="3" a="1"/>
  <c r="D420" i="3" s="1"/>
  <c r="C420" i="3" a="1"/>
  <c r="C420" i="3" s="1"/>
  <c r="B420" i="3" a="1"/>
  <c r="B420" i="3" s="1"/>
  <c r="Z419" i="3" a="1"/>
  <c r="Z419" i="3" s="1"/>
  <c r="Y419" i="3" a="1"/>
  <c r="Y419" i="3" s="1"/>
  <c r="X419" i="3" a="1"/>
  <c r="X419" i="3" s="1"/>
  <c r="W419" i="3" a="1"/>
  <c r="W419" i="3" s="1"/>
  <c r="V419" i="3" a="1"/>
  <c r="V419" i="3" s="1"/>
  <c r="U419" i="3" a="1"/>
  <c r="U419" i="3" s="1"/>
  <c r="T419" i="3" a="1"/>
  <c r="T419" i="3" s="1"/>
  <c r="S419" i="3" a="1"/>
  <c r="S419" i="3" s="1"/>
  <c r="R419" i="3" a="1"/>
  <c r="R419" i="3" s="1"/>
  <c r="Q419" i="3" a="1"/>
  <c r="Q419" i="3" s="1"/>
  <c r="P419" i="3" a="1"/>
  <c r="P419" i="3" s="1"/>
  <c r="O419" i="3" a="1"/>
  <c r="O419" i="3" s="1"/>
  <c r="N419" i="3" a="1"/>
  <c r="N419" i="3" s="1"/>
  <c r="M419" i="3" a="1"/>
  <c r="M419" i="3" s="1"/>
  <c r="L419" i="3" a="1"/>
  <c r="L419" i="3" s="1"/>
  <c r="K419" i="3" a="1"/>
  <c r="K419" i="3" s="1"/>
  <c r="J419" i="3" a="1"/>
  <c r="J419" i="3" s="1"/>
  <c r="I419" i="3" a="1"/>
  <c r="I419" i="3" s="1"/>
  <c r="G419" i="3" a="1"/>
  <c r="G419" i="3" s="1"/>
  <c r="F419" i="3" a="1"/>
  <c r="F419" i="3" s="1"/>
  <c r="E419" i="3" a="1"/>
  <c r="E419" i="3" s="1"/>
  <c r="D419" i="3" a="1"/>
  <c r="D419" i="3" s="1"/>
  <c r="C419" i="3" a="1"/>
  <c r="C419" i="3" s="1"/>
  <c r="B419" i="3" a="1"/>
  <c r="B419" i="3" s="1"/>
  <c r="Z418" i="3" a="1"/>
  <c r="Z418" i="3" s="1"/>
  <c r="Y418" i="3" a="1"/>
  <c r="Y418" i="3" s="1"/>
  <c r="X418" i="3" a="1"/>
  <c r="X418" i="3" s="1"/>
  <c r="W418" i="3" a="1"/>
  <c r="W418" i="3" s="1"/>
  <c r="V418" i="3" a="1"/>
  <c r="V418" i="3" s="1"/>
  <c r="U418" i="3" a="1"/>
  <c r="U418" i="3" s="1"/>
  <c r="T418" i="3" a="1"/>
  <c r="T418" i="3" s="1"/>
  <c r="S418" i="3" a="1"/>
  <c r="S418" i="3" s="1"/>
  <c r="R418" i="3" a="1"/>
  <c r="R418" i="3" s="1"/>
  <c r="Q418" i="3" a="1"/>
  <c r="Q418" i="3" s="1"/>
  <c r="P418" i="3" a="1"/>
  <c r="P418" i="3" s="1"/>
  <c r="O418" i="3" a="1"/>
  <c r="O418" i="3" s="1"/>
  <c r="N418" i="3" a="1"/>
  <c r="N418" i="3" s="1"/>
  <c r="M418" i="3" a="1"/>
  <c r="M418" i="3" s="1"/>
  <c r="L418" i="3" a="1"/>
  <c r="L418" i="3" s="1"/>
  <c r="K418" i="3" a="1"/>
  <c r="K418" i="3" s="1"/>
  <c r="J418" i="3" a="1"/>
  <c r="J418" i="3" s="1"/>
  <c r="I418" i="3" a="1"/>
  <c r="I418" i="3" s="1"/>
  <c r="G418" i="3" a="1"/>
  <c r="G418" i="3" s="1"/>
  <c r="F418" i="3" a="1"/>
  <c r="F418" i="3" s="1"/>
  <c r="E418" i="3" a="1"/>
  <c r="E418" i="3" s="1"/>
  <c r="D418" i="3" a="1"/>
  <c r="D418" i="3" s="1"/>
  <c r="C418" i="3" a="1"/>
  <c r="C418" i="3" s="1"/>
  <c r="B418" i="3" a="1"/>
  <c r="B418" i="3" s="1"/>
  <c r="Z417" i="3" a="1"/>
  <c r="Z417" i="3" s="1"/>
  <c r="Y417" i="3" a="1"/>
  <c r="Y417" i="3" s="1"/>
  <c r="X417" i="3" a="1"/>
  <c r="X417" i="3" s="1"/>
  <c r="W417" i="3" a="1"/>
  <c r="W417" i="3" s="1"/>
  <c r="V417" i="3" a="1"/>
  <c r="V417" i="3" s="1"/>
  <c r="U417" i="3" a="1"/>
  <c r="U417" i="3" s="1"/>
  <c r="T417" i="3" a="1"/>
  <c r="T417" i="3" s="1"/>
  <c r="S417" i="3" a="1"/>
  <c r="S417" i="3" s="1"/>
  <c r="R417" i="3" a="1"/>
  <c r="R417" i="3" s="1"/>
  <c r="Q417" i="3" a="1"/>
  <c r="Q417" i="3" s="1"/>
  <c r="P417" i="3" a="1"/>
  <c r="P417" i="3" s="1"/>
  <c r="O417" i="3" a="1"/>
  <c r="O417" i="3" s="1"/>
  <c r="N417" i="3" a="1"/>
  <c r="N417" i="3" s="1"/>
  <c r="M417" i="3" a="1"/>
  <c r="M417" i="3" s="1"/>
  <c r="L417" i="3" a="1"/>
  <c r="L417" i="3" s="1"/>
  <c r="K417" i="3" a="1"/>
  <c r="K417" i="3" s="1"/>
  <c r="J417" i="3" a="1"/>
  <c r="J417" i="3" s="1"/>
  <c r="I417" i="3" a="1"/>
  <c r="I417" i="3" s="1"/>
  <c r="G417" i="3" a="1"/>
  <c r="G417" i="3" s="1"/>
  <c r="F417" i="3" a="1"/>
  <c r="F417" i="3" s="1"/>
  <c r="E417" i="3" a="1"/>
  <c r="E417" i="3" s="1"/>
  <c r="D417" i="3" a="1"/>
  <c r="D417" i="3" s="1"/>
  <c r="C417" i="3" a="1"/>
  <c r="C417" i="3" s="1"/>
  <c r="B417" i="3" a="1"/>
  <c r="B417" i="3" s="1"/>
  <c r="Z416" i="3" a="1"/>
  <c r="Z416" i="3" s="1"/>
  <c r="Y416" i="3" a="1"/>
  <c r="Y416" i="3" s="1"/>
  <c r="X416" i="3" a="1"/>
  <c r="X416" i="3" s="1"/>
  <c r="W416" i="3" a="1"/>
  <c r="W416" i="3" s="1"/>
  <c r="V416" i="3" a="1"/>
  <c r="V416" i="3" s="1"/>
  <c r="U416" i="3" a="1"/>
  <c r="U416" i="3" s="1"/>
  <c r="T416" i="3" a="1"/>
  <c r="T416" i="3" s="1"/>
  <c r="S416" i="3" a="1"/>
  <c r="S416" i="3" s="1"/>
  <c r="R416" i="3" a="1"/>
  <c r="R416" i="3" s="1"/>
  <c r="Q416" i="3" a="1"/>
  <c r="Q416" i="3" s="1"/>
  <c r="P416" i="3" a="1"/>
  <c r="P416" i="3" s="1"/>
  <c r="O416" i="3" a="1"/>
  <c r="O416" i="3" s="1"/>
  <c r="N416" i="3" a="1"/>
  <c r="N416" i="3" s="1"/>
  <c r="M416" i="3" a="1"/>
  <c r="M416" i="3" s="1"/>
  <c r="L416" i="3" a="1"/>
  <c r="L416" i="3" s="1"/>
  <c r="K416" i="3" a="1"/>
  <c r="K416" i="3" s="1"/>
  <c r="J416" i="3" a="1"/>
  <c r="J416" i="3" s="1"/>
  <c r="I416" i="3" a="1"/>
  <c r="I416" i="3" s="1"/>
  <c r="G416" i="3" a="1"/>
  <c r="G416" i="3" s="1"/>
  <c r="F416" i="3" a="1"/>
  <c r="F416" i="3" s="1"/>
  <c r="E416" i="3" a="1"/>
  <c r="E416" i="3" s="1"/>
  <c r="D416" i="3" a="1"/>
  <c r="D416" i="3" s="1"/>
  <c r="C416" i="3" a="1"/>
  <c r="C416" i="3" s="1"/>
  <c r="B416" i="3" a="1"/>
  <c r="B416" i="3" s="1"/>
  <c r="Z415" i="3" a="1"/>
  <c r="Z415" i="3" s="1"/>
  <c r="Y415" i="3" a="1"/>
  <c r="Y415" i="3" s="1"/>
  <c r="X415" i="3" a="1"/>
  <c r="X415" i="3" s="1"/>
  <c r="W415" i="3" a="1"/>
  <c r="W415" i="3" s="1"/>
  <c r="V415" i="3" a="1"/>
  <c r="V415" i="3" s="1"/>
  <c r="U415" i="3" a="1"/>
  <c r="U415" i="3" s="1"/>
  <c r="T415" i="3" a="1"/>
  <c r="T415" i="3" s="1"/>
  <c r="S415" i="3" a="1"/>
  <c r="S415" i="3" s="1"/>
  <c r="R415" i="3" a="1"/>
  <c r="R415" i="3" s="1"/>
  <c r="Q415" i="3" a="1"/>
  <c r="Q415" i="3" s="1"/>
  <c r="P415" i="3" a="1"/>
  <c r="P415" i="3" s="1"/>
  <c r="O415" i="3" a="1"/>
  <c r="O415" i="3" s="1"/>
  <c r="N415" i="3" a="1"/>
  <c r="N415" i="3" s="1"/>
  <c r="M415" i="3" a="1"/>
  <c r="M415" i="3" s="1"/>
  <c r="L415" i="3" a="1"/>
  <c r="L415" i="3" s="1"/>
  <c r="K415" i="3" a="1"/>
  <c r="K415" i="3" s="1"/>
  <c r="J415" i="3" a="1"/>
  <c r="J415" i="3" s="1"/>
  <c r="I415" i="3" a="1"/>
  <c r="I415" i="3" s="1"/>
  <c r="G415" i="3" a="1"/>
  <c r="G415" i="3" s="1"/>
  <c r="F415" i="3" a="1"/>
  <c r="F415" i="3" s="1"/>
  <c r="E415" i="3" a="1"/>
  <c r="E415" i="3" s="1"/>
  <c r="D415" i="3" a="1"/>
  <c r="D415" i="3" s="1"/>
  <c r="C415" i="3" a="1"/>
  <c r="C415" i="3" s="1"/>
  <c r="B415" i="3" a="1"/>
  <c r="B415" i="3" s="1"/>
  <c r="Z414" i="3" a="1"/>
  <c r="Z414" i="3" s="1"/>
  <c r="Y414" i="3" a="1"/>
  <c r="Y414" i="3" s="1"/>
  <c r="X414" i="3" a="1"/>
  <c r="X414" i="3" s="1"/>
  <c r="W414" i="3" a="1"/>
  <c r="W414" i="3" s="1"/>
  <c r="V414" i="3" a="1"/>
  <c r="V414" i="3" s="1"/>
  <c r="U414" i="3" a="1"/>
  <c r="U414" i="3" s="1"/>
  <c r="T414" i="3" a="1"/>
  <c r="T414" i="3" s="1"/>
  <c r="S414" i="3" a="1"/>
  <c r="S414" i="3" s="1"/>
  <c r="R414" i="3" a="1"/>
  <c r="R414" i="3" s="1"/>
  <c r="Q414" i="3" a="1"/>
  <c r="Q414" i="3" s="1"/>
  <c r="P414" i="3" a="1"/>
  <c r="P414" i="3" s="1"/>
  <c r="O414" i="3" a="1"/>
  <c r="O414" i="3" s="1"/>
  <c r="N414" i="3" a="1"/>
  <c r="N414" i="3" s="1"/>
  <c r="M414" i="3" a="1"/>
  <c r="M414" i="3" s="1"/>
  <c r="L414" i="3" a="1"/>
  <c r="L414" i="3" s="1"/>
  <c r="K414" i="3" a="1"/>
  <c r="K414" i="3" s="1"/>
  <c r="J414" i="3" a="1"/>
  <c r="J414" i="3" s="1"/>
  <c r="I414" i="3" a="1"/>
  <c r="I414" i="3" s="1"/>
  <c r="G414" i="3" a="1"/>
  <c r="G414" i="3" s="1"/>
  <c r="F414" i="3" a="1"/>
  <c r="F414" i="3" s="1"/>
  <c r="E414" i="3" a="1"/>
  <c r="E414" i="3" s="1"/>
  <c r="D414" i="3" a="1"/>
  <c r="D414" i="3" s="1"/>
  <c r="C414" i="3" a="1"/>
  <c r="C414" i="3" s="1"/>
  <c r="B414" i="3" a="1"/>
  <c r="B414" i="3" s="1"/>
  <c r="Z413" i="3" a="1"/>
  <c r="Z413" i="3" s="1"/>
  <c r="Y413" i="3" a="1"/>
  <c r="Y413" i="3" s="1"/>
  <c r="X413" i="3" a="1"/>
  <c r="X413" i="3" s="1"/>
  <c r="W413" i="3" a="1"/>
  <c r="W413" i="3" s="1"/>
  <c r="V413" i="3" a="1"/>
  <c r="V413" i="3" s="1"/>
  <c r="U413" i="3" a="1"/>
  <c r="U413" i="3" s="1"/>
  <c r="T413" i="3" a="1"/>
  <c r="T413" i="3" s="1"/>
  <c r="S413" i="3" a="1"/>
  <c r="S413" i="3" s="1"/>
  <c r="R413" i="3" a="1"/>
  <c r="R413" i="3" s="1"/>
  <c r="Q413" i="3" a="1"/>
  <c r="Q413" i="3" s="1"/>
  <c r="P413" i="3" a="1"/>
  <c r="P413" i="3" s="1"/>
  <c r="O413" i="3" a="1"/>
  <c r="O413" i="3" s="1"/>
  <c r="N413" i="3" a="1"/>
  <c r="N413" i="3" s="1"/>
  <c r="M413" i="3" a="1"/>
  <c r="M413" i="3" s="1"/>
  <c r="L413" i="3" a="1"/>
  <c r="L413" i="3" s="1"/>
  <c r="K413" i="3" a="1"/>
  <c r="K413" i="3" s="1"/>
  <c r="J413" i="3" a="1"/>
  <c r="J413" i="3" s="1"/>
  <c r="I413" i="3" a="1"/>
  <c r="I413" i="3" s="1"/>
  <c r="G413" i="3" a="1"/>
  <c r="G413" i="3" s="1"/>
  <c r="F413" i="3" a="1"/>
  <c r="F413" i="3" s="1"/>
  <c r="E413" i="3" a="1"/>
  <c r="E413" i="3" s="1"/>
  <c r="D413" i="3" a="1"/>
  <c r="D413" i="3" s="1"/>
  <c r="C413" i="3" a="1"/>
  <c r="C413" i="3" s="1"/>
  <c r="B413" i="3" a="1"/>
  <c r="B413" i="3" s="1"/>
  <c r="Z412" i="3" a="1"/>
  <c r="Z412" i="3" s="1"/>
  <c r="Y412" i="3" a="1"/>
  <c r="Y412" i="3" s="1"/>
  <c r="X412" i="3" a="1"/>
  <c r="X412" i="3" s="1"/>
  <c r="W412" i="3" a="1"/>
  <c r="W412" i="3" s="1"/>
  <c r="V412" i="3" a="1"/>
  <c r="V412" i="3" s="1"/>
  <c r="U412" i="3" a="1"/>
  <c r="U412" i="3" s="1"/>
  <c r="T412" i="3" a="1"/>
  <c r="T412" i="3" s="1"/>
  <c r="S412" i="3" a="1"/>
  <c r="S412" i="3" s="1"/>
  <c r="R412" i="3" a="1"/>
  <c r="R412" i="3" s="1"/>
  <c r="Q412" i="3" a="1"/>
  <c r="Q412" i="3" s="1"/>
  <c r="P412" i="3" a="1"/>
  <c r="P412" i="3" s="1"/>
  <c r="O412" i="3" a="1"/>
  <c r="O412" i="3" s="1"/>
  <c r="N412" i="3" a="1"/>
  <c r="N412" i="3" s="1"/>
  <c r="M412" i="3" a="1"/>
  <c r="M412" i="3" s="1"/>
  <c r="L412" i="3" a="1"/>
  <c r="L412" i="3" s="1"/>
  <c r="K412" i="3" a="1"/>
  <c r="K412" i="3" s="1"/>
  <c r="J412" i="3" a="1"/>
  <c r="J412" i="3" s="1"/>
  <c r="I412" i="3" a="1"/>
  <c r="I412" i="3" s="1"/>
  <c r="G412" i="3" a="1"/>
  <c r="G412" i="3" s="1"/>
  <c r="F412" i="3" a="1"/>
  <c r="F412" i="3" s="1"/>
  <c r="E412" i="3" a="1"/>
  <c r="E412" i="3" s="1"/>
  <c r="D412" i="3" a="1"/>
  <c r="D412" i="3" s="1"/>
  <c r="C412" i="3" a="1"/>
  <c r="C412" i="3" s="1"/>
  <c r="B412" i="3" a="1"/>
  <c r="B412" i="3" s="1"/>
  <c r="Z411" i="3" a="1"/>
  <c r="Z411" i="3" s="1"/>
  <c r="Y411" i="3" a="1"/>
  <c r="Y411" i="3" s="1"/>
  <c r="X411" i="3" a="1"/>
  <c r="X411" i="3" s="1"/>
  <c r="W411" i="3" a="1"/>
  <c r="W411" i="3" s="1"/>
  <c r="V411" i="3" a="1"/>
  <c r="V411" i="3" s="1"/>
  <c r="U411" i="3" a="1"/>
  <c r="U411" i="3" s="1"/>
  <c r="T411" i="3" a="1"/>
  <c r="T411" i="3" s="1"/>
  <c r="S411" i="3" a="1"/>
  <c r="S411" i="3" s="1"/>
  <c r="R411" i="3" a="1"/>
  <c r="R411" i="3" s="1"/>
  <c r="Q411" i="3" a="1"/>
  <c r="Q411" i="3" s="1"/>
  <c r="P411" i="3" a="1"/>
  <c r="P411" i="3" s="1"/>
  <c r="O411" i="3" a="1"/>
  <c r="O411" i="3" s="1"/>
  <c r="N411" i="3" a="1"/>
  <c r="N411" i="3" s="1"/>
  <c r="M411" i="3" a="1"/>
  <c r="M411" i="3" s="1"/>
  <c r="L411" i="3" a="1"/>
  <c r="L411" i="3" s="1"/>
  <c r="K411" i="3" a="1"/>
  <c r="K411" i="3" s="1"/>
  <c r="J411" i="3" a="1"/>
  <c r="J411" i="3" s="1"/>
  <c r="I411" i="3" a="1"/>
  <c r="I411" i="3" s="1"/>
  <c r="G411" i="3" a="1"/>
  <c r="G411" i="3" s="1"/>
  <c r="F411" i="3" a="1"/>
  <c r="F411" i="3" s="1"/>
  <c r="E411" i="3" a="1"/>
  <c r="E411" i="3" s="1"/>
  <c r="D411" i="3" a="1"/>
  <c r="D411" i="3" s="1"/>
  <c r="C411" i="3" a="1"/>
  <c r="C411" i="3" s="1"/>
  <c r="B411" i="3" a="1"/>
  <c r="B411" i="3" s="1"/>
  <c r="Z410" i="3" a="1"/>
  <c r="Z410" i="3" s="1"/>
  <c r="Y410" i="3" a="1"/>
  <c r="Y410" i="3" s="1"/>
  <c r="X410" i="3" a="1"/>
  <c r="X410" i="3" s="1"/>
  <c r="W410" i="3" a="1"/>
  <c r="W410" i="3" s="1"/>
  <c r="V410" i="3" a="1"/>
  <c r="V410" i="3" s="1"/>
  <c r="U410" i="3" a="1"/>
  <c r="U410" i="3" s="1"/>
  <c r="T410" i="3" a="1"/>
  <c r="T410" i="3" s="1"/>
  <c r="S410" i="3" a="1"/>
  <c r="S410" i="3" s="1"/>
  <c r="R410" i="3" a="1"/>
  <c r="R410" i="3" s="1"/>
  <c r="Q410" i="3" a="1"/>
  <c r="Q410" i="3" s="1"/>
  <c r="P410" i="3" a="1"/>
  <c r="P410" i="3" s="1"/>
  <c r="O410" i="3" a="1"/>
  <c r="O410" i="3" s="1"/>
  <c r="N410" i="3" a="1"/>
  <c r="N410" i="3" s="1"/>
  <c r="M410" i="3" a="1"/>
  <c r="M410" i="3" s="1"/>
  <c r="L410" i="3" a="1"/>
  <c r="L410" i="3" s="1"/>
  <c r="K410" i="3" a="1"/>
  <c r="K410" i="3" s="1"/>
  <c r="J410" i="3" a="1"/>
  <c r="J410" i="3" s="1"/>
  <c r="I410" i="3" a="1"/>
  <c r="I410" i="3" s="1"/>
  <c r="G410" i="3" a="1"/>
  <c r="G410" i="3" s="1"/>
  <c r="F410" i="3" a="1"/>
  <c r="F410" i="3" s="1"/>
  <c r="E410" i="3" a="1"/>
  <c r="E410" i="3" s="1"/>
  <c r="D410" i="3" a="1"/>
  <c r="D410" i="3" s="1"/>
  <c r="C410" i="3" a="1"/>
  <c r="C410" i="3" s="1"/>
  <c r="B410" i="3" a="1"/>
  <c r="B410" i="3" s="1"/>
  <c r="Z409" i="3" a="1"/>
  <c r="Z409" i="3" s="1"/>
  <c r="Y409" i="3" a="1"/>
  <c r="Y409" i="3" s="1"/>
  <c r="X409" i="3" a="1"/>
  <c r="X409" i="3" s="1"/>
  <c r="W409" i="3" a="1"/>
  <c r="W409" i="3" s="1"/>
  <c r="V409" i="3" a="1"/>
  <c r="V409" i="3" s="1"/>
  <c r="U409" i="3" a="1"/>
  <c r="U409" i="3" s="1"/>
  <c r="T409" i="3" a="1"/>
  <c r="T409" i="3" s="1"/>
  <c r="S409" i="3" a="1"/>
  <c r="S409" i="3" s="1"/>
  <c r="R409" i="3" a="1"/>
  <c r="R409" i="3" s="1"/>
  <c r="Q409" i="3" a="1"/>
  <c r="Q409" i="3" s="1"/>
  <c r="P409" i="3" a="1"/>
  <c r="P409" i="3" s="1"/>
  <c r="O409" i="3" a="1"/>
  <c r="O409" i="3" s="1"/>
  <c r="N409" i="3" a="1"/>
  <c r="N409" i="3" s="1"/>
  <c r="M409" i="3" a="1"/>
  <c r="M409" i="3" s="1"/>
  <c r="L409" i="3" a="1"/>
  <c r="L409" i="3" s="1"/>
  <c r="K409" i="3" a="1"/>
  <c r="K409" i="3" s="1"/>
  <c r="J409" i="3" a="1"/>
  <c r="J409" i="3" s="1"/>
  <c r="I409" i="3" a="1"/>
  <c r="I409" i="3" s="1"/>
  <c r="G409" i="3" a="1"/>
  <c r="G409" i="3" s="1"/>
  <c r="F409" i="3" a="1"/>
  <c r="F409" i="3" s="1"/>
  <c r="E409" i="3" a="1"/>
  <c r="E409" i="3" s="1"/>
  <c r="D409" i="3" a="1"/>
  <c r="D409" i="3" s="1"/>
  <c r="C409" i="3" a="1"/>
  <c r="C409" i="3" s="1"/>
  <c r="B409" i="3" a="1"/>
  <c r="B409" i="3" s="1"/>
  <c r="Z408" i="3" a="1"/>
  <c r="Z408" i="3" s="1"/>
  <c r="Y408" i="3" a="1"/>
  <c r="Y408" i="3" s="1"/>
  <c r="X408" i="3" a="1"/>
  <c r="X408" i="3" s="1"/>
  <c r="W408" i="3" a="1"/>
  <c r="W408" i="3" s="1"/>
  <c r="V408" i="3" a="1"/>
  <c r="V408" i="3" s="1"/>
  <c r="U408" i="3" a="1"/>
  <c r="U408" i="3" s="1"/>
  <c r="T408" i="3" a="1"/>
  <c r="T408" i="3" s="1"/>
  <c r="S408" i="3" a="1"/>
  <c r="S408" i="3" s="1"/>
  <c r="R408" i="3" a="1"/>
  <c r="R408" i="3" s="1"/>
  <c r="Q408" i="3" a="1"/>
  <c r="Q408" i="3" s="1"/>
  <c r="P408" i="3" a="1"/>
  <c r="P408" i="3" s="1"/>
  <c r="O408" i="3" a="1"/>
  <c r="O408" i="3" s="1"/>
  <c r="N408" i="3" a="1"/>
  <c r="N408" i="3" s="1"/>
  <c r="M408" i="3" a="1"/>
  <c r="M408" i="3" s="1"/>
  <c r="L408" i="3" a="1"/>
  <c r="L408" i="3" s="1"/>
  <c r="K408" i="3" a="1"/>
  <c r="K408" i="3" s="1"/>
  <c r="J408" i="3" a="1"/>
  <c r="J408" i="3" s="1"/>
  <c r="I408" i="3" a="1"/>
  <c r="I408" i="3" s="1"/>
  <c r="G408" i="3" a="1"/>
  <c r="G408" i="3" s="1"/>
  <c r="F408" i="3" a="1"/>
  <c r="F408" i="3" s="1"/>
  <c r="E408" i="3" a="1"/>
  <c r="E408" i="3" s="1"/>
  <c r="D408" i="3" a="1"/>
  <c r="D408" i="3" s="1"/>
  <c r="C408" i="3" a="1"/>
  <c r="C408" i="3" s="1"/>
  <c r="B408" i="3" a="1"/>
  <c r="B408" i="3" s="1"/>
  <c r="Q404" i="3" a="1"/>
  <c r="Q404" i="3" s="1"/>
  <c r="P404" i="3" a="1"/>
  <c r="P404" i="3" s="1"/>
  <c r="O404" i="3" a="1"/>
  <c r="O404" i="3" s="1"/>
  <c r="N404" i="3" a="1"/>
  <c r="N404" i="3" s="1"/>
  <c r="M404" i="3" a="1"/>
  <c r="M404" i="3" s="1"/>
  <c r="L404" i="3" a="1"/>
  <c r="L404" i="3" s="1"/>
  <c r="K404" i="3" a="1"/>
  <c r="K404" i="3" s="1"/>
  <c r="J404" i="3" a="1"/>
  <c r="J404" i="3" s="1"/>
  <c r="I404" i="3" a="1"/>
  <c r="I404" i="3" s="1"/>
  <c r="G404" i="3" a="1"/>
  <c r="G404" i="3" s="1"/>
  <c r="F404" i="3" a="1"/>
  <c r="F404" i="3" s="1"/>
  <c r="E404" i="3" a="1"/>
  <c r="E404" i="3" s="1"/>
  <c r="D404" i="3" a="1"/>
  <c r="D404" i="3" s="1"/>
  <c r="C404" i="3" a="1"/>
  <c r="C404" i="3" s="1"/>
  <c r="B404" i="3" a="1"/>
  <c r="B404" i="3" s="1"/>
  <c r="Q403" i="3" a="1"/>
  <c r="Q403" i="3" s="1"/>
  <c r="P403" i="3" a="1"/>
  <c r="P403" i="3" s="1"/>
  <c r="O403" i="3" a="1"/>
  <c r="O403" i="3" s="1"/>
  <c r="N403" i="3" a="1"/>
  <c r="N403" i="3" s="1"/>
  <c r="M403" i="3" a="1"/>
  <c r="M403" i="3" s="1"/>
  <c r="L403" i="3" a="1"/>
  <c r="L403" i="3" s="1"/>
  <c r="K403" i="3" a="1"/>
  <c r="K403" i="3" s="1"/>
  <c r="J403" i="3" a="1"/>
  <c r="J403" i="3" s="1"/>
  <c r="I403" i="3" a="1"/>
  <c r="I403" i="3" s="1"/>
  <c r="G403" i="3" a="1"/>
  <c r="G403" i="3" s="1"/>
  <c r="F403" i="3" a="1"/>
  <c r="F403" i="3" s="1"/>
  <c r="E403" i="3" a="1"/>
  <c r="E403" i="3" s="1"/>
  <c r="D403" i="3" a="1"/>
  <c r="D403" i="3" s="1"/>
  <c r="C403" i="3" a="1"/>
  <c r="C403" i="3" s="1"/>
  <c r="B403" i="3" a="1"/>
  <c r="B403" i="3" s="1"/>
  <c r="T402" i="3" a="1"/>
  <c r="T402" i="3" s="1"/>
  <c r="Q402" i="3" a="1"/>
  <c r="Q402" i="3" s="1"/>
  <c r="P402" i="3" a="1"/>
  <c r="P402" i="3" s="1"/>
  <c r="O402" i="3" a="1"/>
  <c r="O402" i="3" s="1"/>
  <c r="N402" i="3" a="1"/>
  <c r="N402" i="3" s="1"/>
  <c r="M402" i="3" a="1"/>
  <c r="M402" i="3" s="1"/>
  <c r="L402" i="3" a="1"/>
  <c r="L402" i="3" s="1"/>
  <c r="K402" i="3" a="1"/>
  <c r="K402" i="3" s="1"/>
  <c r="J402" i="3" a="1"/>
  <c r="J402" i="3" s="1"/>
  <c r="I402" i="3" a="1"/>
  <c r="I402" i="3" s="1"/>
  <c r="G402" i="3" a="1"/>
  <c r="G402" i="3" s="1"/>
  <c r="F402" i="3" a="1"/>
  <c r="F402" i="3" s="1"/>
  <c r="E402" i="3" a="1"/>
  <c r="E402" i="3" s="1"/>
  <c r="D402" i="3" a="1"/>
  <c r="D402" i="3" s="1"/>
  <c r="C402" i="3" a="1"/>
  <c r="C402" i="3" s="1"/>
  <c r="B402" i="3" a="1"/>
  <c r="B402" i="3" s="1"/>
  <c r="Z398" i="3" a="1"/>
  <c r="Z398" i="3" s="1"/>
  <c r="Y398" i="3" a="1"/>
  <c r="Y398" i="3" s="1"/>
  <c r="X398" i="3" a="1"/>
  <c r="X398" i="3" s="1"/>
  <c r="W398" i="3" a="1"/>
  <c r="W398" i="3" s="1"/>
  <c r="V398" i="3" a="1"/>
  <c r="V398" i="3" s="1"/>
  <c r="U398" i="3" a="1"/>
  <c r="U398" i="3" s="1"/>
  <c r="T398" i="3" a="1"/>
  <c r="T398" i="3" s="1"/>
  <c r="S398" i="3" a="1"/>
  <c r="S398" i="3" s="1"/>
  <c r="R398" i="3" a="1"/>
  <c r="R398" i="3" s="1"/>
  <c r="Q398" i="3" a="1"/>
  <c r="Q398" i="3" s="1"/>
  <c r="P398" i="3" a="1"/>
  <c r="P398" i="3" s="1"/>
  <c r="O398" i="3" a="1"/>
  <c r="O398" i="3" s="1"/>
  <c r="N398" i="3" a="1"/>
  <c r="N398" i="3" s="1"/>
  <c r="M398" i="3" a="1"/>
  <c r="M398" i="3" s="1"/>
  <c r="L398" i="3" a="1"/>
  <c r="L398" i="3" s="1"/>
  <c r="K398" i="3" a="1"/>
  <c r="K398" i="3" s="1"/>
  <c r="J398" i="3" a="1"/>
  <c r="J398" i="3" s="1"/>
  <c r="I398" i="3" a="1"/>
  <c r="I398" i="3" s="1"/>
  <c r="G398" i="3" a="1"/>
  <c r="G398" i="3" s="1"/>
  <c r="F398" i="3" a="1"/>
  <c r="F398" i="3" s="1"/>
  <c r="E398" i="3" a="1"/>
  <c r="E398" i="3" s="1"/>
  <c r="D398" i="3" a="1"/>
  <c r="D398" i="3" s="1"/>
  <c r="C398" i="3" a="1"/>
  <c r="C398" i="3" s="1"/>
  <c r="B398" i="3" a="1"/>
  <c r="B398" i="3" s="1"/>
  <c r="Z397" i="3" a="1"/>
  <c r="Z397" i="3" s="1"/>
  <c r="Y397" i="3" a="1"/>
  <c r="Y397" i="3" s="1"/>
  <c r="X397" i="3" a="1"/>
  <c r="X397" i="3" s="1"/>
  <c r="W397" i="3" a="1"/>
  <c r="W397" i="3" s="1"/>
  <c r="V397" i="3" a="1"/>
  <c r="V397" i="3" s="1"/>
  <c r="U397" i="3" a="1"/>
  <c r="U397" i="3" s="1"/>
  <c r="T397" i="3" a="1"/>
  <c r="T397" i="3" s="1"/>
  <c r="S397" i="3" a="1"/>
  <c r="S397" i="3" s="1"/>
  <c r="R397" i="3" a="1"/>
  <c r="R397" i="3" s="1"/>
  <c r="Q397" i="3" a="1"/>
  <c r="Q397" i="3" s="1"/>
  <c r="P397" i="3" a="1"/>
  <c r="P397" i="3" s="1"/>
  <c r="O397" i="3" a="1"/>
  <c r="O397" i="3" s="1"/>
  <c r="N397" i="3" a="1"/>
  <c r="N397" i="3" s="1"/>
  <c r="M397" i="3" a="1"/>
  <c r="M397" i="3" s="1"/>
  <c r="L397" i="3" a="1"/>
  <c r="L397" i="3" s="1"/>
  <c r="K397" i="3" a="1"/>
  <c r="K397" i="3" s="1"/>
  <c r="J397" i="3" a="1"/>
  <c r="J397" i="3" s="1"/>
  <c r="I397" i="3" a="1"/>
  <c r="I397" i="3" s="1"/>
  <c r="G397" i="3" a="1"/>
  <c r="G397" i="3" s="1"/>
  <c r="F397" i="3" a="1"/>
  <c r="F397" i="3" s="1"/>
  <c r="E397" i="3" a="1"/>
  <c r="E397" i="3" s="1"/>
  <c r="D397" i="3" a="1"/>
  <c r="D397" i="3" s="1"/>
  <c r="C397" i="3" a="1"/>
  <c r="C397" i="3" s="1"/>
  <c r="B397" i="3" a="1"/>
  <c r="B397" i="3" s="1"/>
  <c r="Z396" i="3" a="1"/>
  <c r="Z396" i="3" s="1"/>
  <c r="Y396" i="3" a="1"/>
  <c r="Y396" i="3" s="1"/>
  <c r="X396" i="3" a="1"/>
  <c r="X396" i="3" s="1"/>
  <c r="W396" i="3" a="1"/>
  <c r="W396" i="3" s="1"/>
  <c r="V396" i="3" a="1"/>
  <c r="V396" i="3" s="1"/>
  <c r="U396" i="3" a="1"/>
  <c r="U396" i="3" s="1"/>
  <c r="T396" i="3" a="1"/>
  <c r="T396" i="3" s="1"/>
  <c r="S396" i="3" a="1"/>
  <c r="S396" i="3" s="1"/>
  <c r="R396" i="3" a="1"/>
  <c r="R396" i="3" s="1"/>
  <c r="Q396" i="3" a="1"/>
  <c r="Q396" i="3" s="1"/>
  <c r="P396" i="3" a="1"/>
  <c r="P396" i="3" s="1"/>
  <c r="O396" i="3" a="1"/>
  <c r="O396" i="3" s="1"/>
  <c r="N396" i="3" a="1"/>
  <c r="N396" i="3" s="1"/>
  <c r="M396" i="3" a="1"/>
  <c r="M396" i="3" s="1"/>
  <c r="L396" i="3" a="1"/>
  <c r="L396" i="3" s="1"/>
  <c r="K396" i="3" a="1"/>
  <c r="K396" i="3" s="1"/>
  <c r="J396" i="3" a="1"/>
  <c r="J396" i="3" s="1"/>
  <c r="I396" i="3" a="1"/>
  <c r="I396" i="3" s="1"/>
  <c r="G396" i="3" a="1"/>
  <c r="G396" i="3" s="1"/>
  <c r="F396" i="3" a="1"/>
  <c r="F396" i="3" s="1"/>
  <c r="E396" i="3" a="1"/>
  <c r="E396" i="3" s="1"/>
  <c r="D396" i="3" a="1"/>
  <c r="D396" i="3" s="1"/>
  <c r="C396" i="3" a="1"/>
  <c r="C396" i="3" s="1"/>
  <c r="B396" i="3" a="1"/>
  <c r="B396" i="3" s="1"/>
  <c r="Z395" i="3" a="1"/>
  <c r="Z395" i="3" s="1"/>
  <c r="Y395" i="3" a="1"/>
  <c r="Y395" i="3" s="1"/>
  <c r="X395" i="3" a="1"/>
  <c r="X395" i="3" s="1"/>
  <c r="W395" i="3" a="1"/>
  <c r="W395" i="3" s="1"/>
  <c r="V395" i="3" a="1"/>
  <c r="V395" i="3" s="1"/>
  <c r="U395" i="3" a="1"/>
  <c r="U395" i="3" s="1"/>
  <c r="T395" i="3" a="1"/>
  <c r="T395" i="3" s="1"/>
  <c r="S395" i="3" a="1"/>
  <c r="S395" i="3" s="1"/>
  <c r="R395" i="3" a="1"/>
  <c r="R395" i="3" s="1"/>
  <c r="Q395" i="3" a="1"/>
  <c r="Q395" i="3" s="1"/>
  <c r="P395" i="3" a="1"/>
  <c r="P395" i="3" s="1"/>
  <c r="O395" i="3" a="1"/>
  <c r="O395" i="3" s="1"/>
  <c r="N395" i="3" a="1"/>
  <c r="N395" i="3" s="1"/>
  <c r="M395" i="3" a="1"/>
  <c r="M395" i="3" s="1"/>
  <c r="L395" i="3" a="1"/>
  <c r="L395" i="3" s="1"/>
  <c r="K395" i="3" a="1"/>
  <c r="K395" i="3" s="1"/>
  <c r="J395" i="3" a="1"/>
  <c r="J395" i="3" s="1"/>
  <c r="I395" i="3" a="1"/>
  <c r="I395" i="3" s="1"/>
  <c r="G395" i="3" a="1"/>
  <c r="G395" i="3" s="1"/>
  <c r="F395" i="3" a="1"/>
  <c r="F395" i="3" s="1"/>
  <c r="E395" i="3" a="1"/>
  <c r="E395" i="3" s="1"/>
  <c r="D395" i="3" a="1"/>
  <c r="D395" i="3" s="1"/>
  <c r="C395" i="3" a="1"/>
  <c r="C395" i="3" s="1"/>
  <c r="B395" i="3" a="1"/>
  <c r="B395" i="3" s="1"/>
  <c r="Z394" i="3" a="1"/>
  <c r="Z394" i="3" s="1"/>
  <c r="Y394" i="3" a="1"/>
  <c r="Y394" i="3" s="1"/>
  <c r="X394" i="3" a="1"/>
  <c r="X394" i="3" s="1"/>
  <c r="W394" i="3" a="1"/>
  <c r="W394" i="3" s="1"/>
  <c r="V394" i="3" a="1"/>
  <c r="V394" i="3" s="1"/>
  <c r="U394" i="3" a="1"/>
  <c r="U394" i="3" s="1"/>
  <c r="T394" i="3" a="1"/>
  <c r="T394" i="3" s="1"/>
  <c r="S394" i="3" a="1"/>
  <c r="S394" i="3" s="1"/>
  <c r="R394" i="3" a="1"/>
  <c r="R394" i="3" s="1"/>
  <c r="Q394" i="3" a="1"/>
  <c r="Q394" i="3" s="1"/>
  <c r="P394" i="3" a="1"/>
  <c r="P394" i="3" s="1"/>
  <c r="O394" i="3" a="1"/>
  <c r="O394" i="3" s="1"/>
  <c r="N394" i="3" a="1"/>
  <c r="N394" i="3" s="1"/>
  <c r="M394" i="3" a="1"/>
  <c r="M394" i="3" s="1"/>
  <c r="L394" i="3" a="1"/>
  <c r="L394" i="3" s="1"/>
  <c r="K394" i="3" a="1"/>
  <c r="K394" i="3" s="1"/>
  <c r="J394" i="3" a="1"/>
  <c r="J394" i="3" s="1"/>
  <c r="I394" i="3" a="1"/>
  <c r="I394" i="3" s="1"/>
  <c r="G394" i="3" a="1"/>
  <c r="G394" i="3" s="1"/>
  <c r="F394" i="3" a="1"/>
  <c r="F394" i="3" s="1"/>
  <c r="E394" i="3" a="1"/>
  <c r="E394" i="3" s="1"/>
  <c r="D394" i="3" a="1"/>
  <c r="D394" i="3" s="1"/>
  <c r="C394" i="3" a="1"/>
  <c r="C394" i="3" s="1"/>
  <c r="B394" i="3" a="1"/>
  <c r="B394" i="3" s="1"/>
  <c r="Z393" i="3" a="1"/>
  <c r="Z393" i="3" s="1"/>
  <c r="Y393" i="3" a="1"/>
  <c r="Y393" i="3" s="1"/>
  <c r="X393" i="3" a="1"/>
  <c r="X393" i="3" s="1"/>
  <c r="W393" i="3" a="1"/>
  <c r="W393" i="3" s="1"/>
  <c r="V393" i="3" a="1"/>
  <c r="V393" i="3" s="1"/>
  <c r="U393" i="3" a="1"/>
  <c r="U393" i="3" s="1"/>
  <c r="T393" i="3" a="1"/>
  <c r="T393" i="3" s="1"/>
  <c r="S393" i="3" a="1"/>
  <c r="S393" i="3" s="1"/>
  <c r="R393" i="3" a="1"/>
  <c r="R393" i="3" s="1"/>
  <c r="Q393" i="3" a="1"/>
  <c r="Q393" i="3" s="1"/>
  <c r="P393" i="3" a="1"/>
  <c r="P393" i="3" s="1"/>
  <c r="O393" i="3" a="1"/>
  <c r="O393" i="3" s="1"/>
  <c r="N393" i="3" a="1"/>
  <c r="N393" i="3" s="1"/>
  <c r="M393" i="3" a="1"/>
  <c r="M393" i="3" s="1"/>
  <c r="L393" i="3" a="1"/>
  <c r="L393" i="3" s="1"/>
  <c r="K393" i="3" a="1"/>
  <c r="K393" i="3" s="1"/>
  <c r="J393" i="3" a="1"/>
  <c r="J393" i="3" s="1"/>
  <c r="I393" i="3" a="1"/>
  <c r="I393" i="3" s="1"/>
  <c r="G393" i="3" a="1"/>
  <c r="G393" i="3" s="1"/>
  <c r="F393" i="3" a="1"/>
  <c r="F393" i="3" s="1"/>
  <c r="E393" i="3" a="1"/>
  <c r="E393" i="3" s="1"/>
  <c r="D393" i="3" a="1"/>
  <c r="D393" i="3" s="1"/>
  <c r="C393" i="3" a="1"/>
  <c r="C393" i="3" s="1"/>
  <c r="B393" i="3" a="1"/>
  <c r="B393" i="3" s="1"/>
  <c r="Z392" i="3" a="1"/>
  <c r="Z392" i="3" s="1"/>
  <c r="Y392" i="3" a="1"/>
  <c r="Y392" i="3" s="1"/>
  <c r="X392" i="3" a="1"/>
  <c r="X392" i="3" s="1"/>
  <c r="W392" i="3" a="1"/>
  <c r="W392" i="3" s="1"/>
  <c r="V392" i="3" a="1"/>
  <c r="V392" i="3" s="1"/>
  <c r="U392" i="3" a="1"/>
  <c r="U392" i="3" s="1"/>
  <c r="T392" i="3" a="1"/>
  <c r="T392" i="3" s="1"/>
  <c r="S392" i="3" a="1"/>
  <c r="S392" i="3" s="1"/>
  <c r="R392" i="3" a="1"/>
  <c r="R392" i="3" s="1"/>
  <c r="Q392" i="3" a="1"/>
  <c r="Q392" i="3" s="1"/>
  <c r="P392" i="3" a="1"/>
  <c r="P392" i="3" s="1"/>
  <c r="O392" i="3" a="1"/>
  <c r="O392" i="3" s="1"/>
  <c r="N392" i="3" a="1"/>
  <c r="N392" i="3" s="1"/>
  <c r="M392" i="3" a="1"/>
  <c r="M392" i="3" s="1"/>
  <c r="L392" i="3" a="1"/>
  <c r="L392" i="3" s="1"/>
  <c r="K392" i="3" a="1"/>
  <c r="K392" i="3" s="1"/>
  <c r="J392" i="3" a="1"/>
  <c r="J392" i="3" s="1"/>
  <c r="I392" i="3" a="1"/>
  <c r="I392" i="3" s="1"/>
  <c r="G392" i="3" a="1"/>
  <c r="G392" i="3" s="1"/>
  <c r="F392" i="3" a="1"/>
  <c r="F392" i="3" s="1"/>
  <c r="E392" i="3" a="1"/>
  <c r="E392" i="3" s="1"/>
  <c r="D392" i="3" a="1"/>
  <c r="D392" i="3" s="1"/>
  <c r="C392" i="3" a="1"/>
  <c r="C392" i="3" s="1"/>
  <c r="B392" i="3" a="1"/>
  <c r="B392" i="3" s="1"/>
  <c r="Z391" i="3" a="1"/>
  <c r="Z391" i="3" s="1"/>
  <c r="Y391" i="3" a="1"/>
  <c r="Y391" i="3" s="1"/>
  <c r="X391" i="3" a="1"/>
  <c r="X391" i="3" s="1"/>
  <c r="W391" i="3" a="1"/>
  <c r="W391" i="3" s="1"/>
  <c r="V391" i="3" a="1"/>
  <c r="V391" i="3" s="1"/>
  <c r="U391" i="3" a="1"/>
  <c r="U391" i="3" s="1"/>
  <c r="T391" i="3" a="1"/>
  <c r="T391" i="3" s="1"/>
  <c r="S391" i="3" a="1"/>
  <c r="S391" i="3" s="1"/>
  <c r="R391" i="3" a="1"/>
  <c r="R391" i="3" s="1"/>
  <c r="Q391" i="3" a="1"/>
  <c r="Q391" i="3" s="1"/>
  <c r="P391" i="3" a="1"/>
  <c r="P391" i="3" s="1"/>
  <c r="O391" i="3" a="1"/>
  <c r="O391" i="3" s="1"/>
  <c r="N391" i="3" a="1"/>
  <c r="N391" i="3" s="1"/>
  <c r="M391" i="3" a="1"/>
  <c r="M391" i="3" s="1"/>
  <c r="L391" i="3" a="1"/>
  <c r="L391" i="3" s="1"/>
  <c r="K391" i="3" a="1"/>
  <c r="K391" i="3" s="1"/>
  <c r="J391" i="3" a="1"/>
  <c r="J391" i="3" s="1"/>
  <c r="I391" i="3" a="1"/>
  <c r="I391" i="3" s="1"/>
  <c r="G391" i="3" a="1"/>
  <c r="G391" i="3" s="1"/>
  <c r="F391" i="3" a="1"/>
  <c r="F391" i="3" s="1"/>
  <c r="E391" i="3" a="1"/>
  <c r="E391" i="3" s="1"/>
  <c r="D391" i="3" a="1"/>
  <c r="D391" i="3" s="1"/>
  <c r="C391" i="3" a="1"/>
  <c r="C391" i="3" s="1"/>
  <c r="B391" i="3" a="1"/>
  <c r="B391" i="3" s="1"/>
  <c r="Z390" i="3" a="1"/>
  <c r="Z390" i="3" s="1"/>
  <c r="Y390" i="3" a="1"/>
  <c r="Y390" i="3" s="1"/>
  <c r="X390" i="3" a="1"/>
  <c r="X390" i="3" s="1"/>
  <c r="W390" i="3" a="1"/>
  <c r="W390" i="3" s="1"/>
  <c r="V390" i="3" a="1"/>
  <c r="V390" i="3" s="1"/>
  <c r="U390" i="3" a="1"/>
  <c r="U390" i="3" s="1"/>
  <c r="T390" i="3" a="1"/>
  <c r="T390" i="3" s="1"/>
  <c r="S390" i="3" a="1"/>
  <c r="S390" i="3" s="1"/>
  <c r="R390" i="3" a="1"/>
  <c r="R390" i="3" s="1"/>
  <c r="Q390" i="3" a="1"/>
  <c r="Q390" i="3" s="1"/>
  <c r="P390" i="3" a="1"/>
  <c r="P390" i="3" s="1"/>
  <c r="O390" i="3" a="1"/>
  <c r="O390" i="3" s="1"/>
  <c r="N390" i="3" a="1"/>
  <c r="N390" i="3" s="1"/>
  <c r="M390" i="3" a="1"/>
  <c r="M390" i="3" s="1"/>
  <c r="L390" i="3" a="1"/>
  <c r="L390" i="3" s="1"/>
  <c r="K390" i="3" a="1"/>
  <c r="K390" i="3" s="1"/>
  <c r="J390" i="3" a="1"/>
  <c r="J390" i="3" s="1"/>
  <c r="I390" i="3" a="1"/>
  <c r="I390" i="3" s="1"/>
  <c r="G390" i="3" a="1"/>
  <c r="G390" i="3" s="1"/>
  <c r="F390" i="3" a="1"/>
  <c r="F390" i="3" s="1"/>
  <c r="E390" i="3" a="1"/>
  <c r="E390" i="3" s="1"/>
  <c r="D390" i="3" a="1"/>
  <c r="D390" i="3" s="1"/>
  <c r="C390" i="3" a="1"/>
  <c r="C390" i="3" s="1"/>
  <c r="B390" i="3" a="1"/>
  <c r="B390" i="3" s="1"/>
  <c r="Z389" i="3" a="1"/>
  <c r="Z389" i="3" s="1"/>
  <c r="Y389" i="3" a="1"/>
  <c r="Y389" i="3" s="1"/>
  <c r="X389" i="3" a="1"/>
  <c r="X389" i="3" s="1"/>
  <c r="W389" i="3" a="1"/>
  <c r="W389" i="3" s="1"/>
  <c r="V389" i="3" a="1"/>
  <c r="V389" i="3" s="1"/>
  <c r="U389" i="3" a="1"/>
  <c r="U389" i="3" s="1"/>
  <c r="T389" i="3" a="1"/>
  <c r="T389" i="3" s="1"/>
  <c r="S389" i="3" a="1"/>
  <c r="S389" i="3" s="1"/>
  <c r="R389" i="3" a="1"/>
  <c r="R389" i="3" s="1"/>
  <c r="Q389" i="3" a="1"/>
  <c r="Q389" i="3" s="1"/>
  <c r="P389" i="3" a="1"/>
  <c r="P389" i="3" s="1"/>
  <c r="O389" i="3" a="1"/>
  <c r="O389" i="3" s="1"/>
  <c r="N389" i="3" a="1"/>
  <c r="N389" i="3" s="1"/>
  <c r="M389" i="3" a="1"/>
  <c r="M389" i="3" s="1"/>
  <c r="L389" i="3" a="1"/>
  <c r="L389" i="3" s="1"/>
  <c r="K389" i="3" a="1"/>
  <c r="K389" i="3" s="1"/>
  <c r="J389" i="3" a="1"/>
  <c r="J389" i="3" s="1"/>
  <c r="I389" i="3" a="1"/>
  <c r="I389" i="3" s="1"/>
  <c r="G389" i="3" a="1"/>
  <c r="G389" i="3" s="1"/>
  <c r="F389" i="3" a="1"/>
  <c r="F389" i="3" s="1"/>
  <c r="E389" i="3" a="1"/>
  <c r="E389" i="3" s="1"/>
  <c r="D389" i="3" a="1"/>
  <c r="D389" i="3" s="1"/>
  <c r="C389" i="3" a="1"/>
  <c r="C389" i="3" s="1"/>
  <c r="B389" i="3" a="1"/>
  <c r="B389" i="3" s="1"/>
  <c r="Z388" i="3" a="1"/>
  <c r="Z388" i="3" s="1"/>
  <c r="Y388" i="3" a="1"/>
  <c r="Y388" i="3" s="1"/>
  <c r="X388" i="3" a="1"/>
  <c r="X388" i="3" s="1"/>
  <c r="W388" i="3" a="1"/>
  <c r="W388" i="3" s="1"/>
  <c r="V388" i="3" a="1"/>
  <c r="V388" i="3" s="1"/>
  <c r="U388" i="3" a="1"/>
  <c r="U388" i="3" s="1"/>
  <c r="T388" i="3" a="1"/>
  <c r="T388" i="3" s="1"/>
  <c r="S388" i="3" a="1"/>
  <c r="S388" i="3" s="1"/>
  <c r="R388" i="3" a="1"/>
  <c r="R388" i="3" s="1"/>
  <c r="Q388" i="3" a="1"/>
  <c r="Q388" i="3" s="1"/>
  <c r="P388" i="3" a="1"/>
  <c r="P388" i="3" s="1"/>
  <c r="O388" i="3" a="1"/>
  <c r="O388" i="3" s="1"/>
  <c r="N388" i="3" a="1"/>
  <c r="N388" i="3" s="1"/>
  <c r="M388" i="3" a="1"/>
  <c r="M388" i="3" s="1"/>
  <c r="L388" i="3" a="1"/>
  <c r="L388" i="3" s="1"/>
  <c r="K388" i="3" a="1"/>
  <c r="K388" i="3" s="1"/>
  <c r="J388" i="3" a="1"/>
  <c r="J388" i="3" s="1"/>
  <c r="I388" i="3" a="1"/>
  <c r="I388" i="3" s="1"/>
  <c r="G388" i="3" a="1"/>
  <c r="G388" i="3" s="1"/>
  <c r="F388" i="3" a="1"/>
  <c r="F388" i="3" s="1"/>
  <c r="E388" i="3" a="1"/>
  <c r="E388" i="3" s="1"/>
  <c r="D388" i="3" a="1"/>
  <c r="D388" i="3" s="1"/>
  <c r="C388" i="3" a="1"/>
  <c r="C388" i="3" s="1"/>
  <c r="B388" i="3" a="1"/>
  <c r="B388" i="3" s="1"/>
  <c r="Z387" i="3" a="1"/>
  <c r="Z387" i="3" s="1"/>
  <c r="Y387" i="3" a="1"/>
  <c r="Y387" i="3" s="1"/>
  <c r="X387" i="3" a="1"/>
  <c r="X387" i="3" s="1"/>
  <c r="W387" i="3" a="1"/>
  <c r="W387" i="3" s="1"/>
  <c r="V387" i="3" a="1"/>
  <c r="V387" i="3" s="1"/>
  <c r="U387" i="3" a="1"/>
  <c r="U387" i="3" s="1"/>
  <c r="T387" i="3" a="1"/>
  <c r="T387" i="3" s="1"/>
  <c r="S387" i="3" a="1"/>
  <c r="S387" i="3" s="1"/>
  <c r="R387" i="3" a="1"/>
  <c r="R387" i="3" s="1"/>
  <c r="Q387" i="3" a="1"/>
  <c r="Q387" i="3" s="1"/>
  <c r="P387" i="3" a="1"/>
  <c r="P387" i="3" s="1"/>
  <c r="O387" i="3" a="1"/>
  <c r="O387" i="3" s="1"/>
  <c r="N387" i="3" a="1"/>
  <c r="N387" i="3" s="1"/>
  <c r="M387" i="3" a="1"/>
  <c r="M387" i="3" s="1"/>
  <c r="L387" i="3" a="1"/>
  <c r="L387" i="3" s="1"/>
  <c r="K387" i="3" a="1"/>
  <c r="K387" i="3" s="1"/>
  <c r="J387" i="3" a="1"/>
  <c r="J387" i="3" s="1"/>
  <c r="I387" i="3" a="1"/>
  <c r="I387" i="3" s="1"/>
  <c r="G387" i="3" a="1"/>
  <c r="G387" i="3" s="1"/>
  <c r="F387" i="3" a="1"/>
  <c r="F387" i="3" s="1"/>
  <c r="E387" i="3" a="1"/>
  <c r="E387" i="3" s="1"/>
  <c r="D387" i="3" a="1"/>
  <c r="D387" i="3" s="1"/>
  <c r="C387" i="3" a="1"/>
  <c r="C387" i="3" s="1"/>
  <c r="B387" i="3" a="1"/>
  <c r="B387" i="3" s="1"/>
  <c r="Z386" i="3" a="1"/>
  <c r="Z386" i="3" s="1"/>
  <c r="Y386" i="3" a="1"/>
  <c r="Y386" i="3" s="1"/>
  <c r="X386" i="3" a="1"/>
  <c r="X386" i="3" s="1"/>
  <c r="W386" i="3" a="1"/>
  <c r="W386" i="3" s="1"/>
  <c r="V386" i="3" a="1"/>
  <c r="V386" i="3" s="1"/>
  <c r="U386" i="3" a="1"/>
  <c r="U386" i="3" s="1"/>
  <c r="T386" i="3" a="1"/>
  <c r="T386" i="3" s="1"/>
  <c r="S386" i="3" a="1"/>
  <c r="S386" i="3" s="1"/>
  <c r="R386" i="3" a="1"/>
  <c r="R386" i="3" s="1"/>
  <c r="Q386" i="3" a="1"/>
  <c r="Q386" i="3" s="1"/>
  <c r="P386" i="3" a="1"/>
  <c r="P386" i="3" s="1"/>
  <c r="O386" i="3" a="1"/>
  <c r="O386" i="3" s="1"/>
  <c r="N386" i="3" a="1"/>
  <c r="N386" i="3" s="1"/>
  <c r="M386" i="3" a="1"/>
  <c r="M386" i="3" s="1"/>
  <c r="L386" i="3" a="1"/>
  <c r="L386" i="3" s="1"/>
  <c r="K386" i="3" a="1"/>
  <c r="K386" i="3" s="1"/>
  <c r="J386" i="3" a="1"/>
  <c r="J386" i="3" s="1"/>
  <c r="I386" i="3" a="1"/>
  <c r="I386" i="3" s="1"/>
  <c r="G386" i="3" a="1"/>
  <c r="G386" i="3" s="1"/>
  <c r="F386" i="3" a="1"/>
  <c r="F386" i="3" s="1"/>
  <c r="E386" i="3" a="1"/>
  <c r="E386" i="3" s="1"/>
  <c r="D386" i="3" a="1"/>
  <c r="D386" i="3" s="1"/>
  <c r="C386" i="3" a="1"/>
  <c r="C386" i="3" s="1"/>
  <c r="B386" i="3" a="1"/>
  <c r="B386" i="3" s="1"/>
  <c r="Z385" i="3" a="1"/>
  <c r="Z385" i="3" s="1"/>
  <c r="Y385" i="3" a="1"/>
  <c r="Y385" i="3" s="1"/>
  <c r="X385" i="3" a="1"/>
  <c r="X385" i="3" s="1"/>
  <c r="W385" i="3" a="1"/>
  <c r="W385" i="3" s="1"/>
  <c r="V385" i="3" a="1"/>
  <c r="V385" i="3" s="1"/>
  <c r="U385" i="3" a="1"/>
  <c r="U385" i="3" s="1"/>
  <c r="T385" i="3" a="1"/>
  <c r="T385" i="3" s="1"/>
  <c r="S385" i="3" a="1"/>
  <c r="S385" i="3" s="1"/>
  <c r="R385" i="3" a="1"/>
  <c r="R385" i="3" s="1"/>
  <c r="Q385" i="3" a="1"/>
  <c r="Q385" i="3" s="1"/>
  <c r="P385" i="3" a="1"/>
  <c r="P385" i="3" s="1"/>
  <c r="O385" i="3" a="1"/>
  <c r="O385" i="3" s="1"/>
  <c r="N385" i="3" a="1"/>
  <c r="N385" i="3" s="1"/>
  <c r="M385" i="3" a="1"/>
  <c r="M385" i="3" s="1"/>
  <c r="L385" i="3" a="1"/>
  <c r="L385" i="3" s="1"/>
  <c r="K385" i="3" a="1"/>
  <c r="K385" i="3" s="1"/>
  <c r="J385" i="3" a="1"/>
  <c r="J385" i="3" s="1"/>
  <c r="I385" i="3" a="1"/>
  <c r="I385" i="3" s="1"/>
  <c r="G385" i="3" a="1"/>
  <c r="G385" i="3" s="1"/>
  <c r="F385" i="3" a="1"/>
  <c r="F385" i="3" s="1"/>
  <c r="E385" i="3" a="1"/>
  <c r="E385" i="3" s="1"/>
  <c r="D385" i="3" a="1"/>
  <c r="D385" i="3" s="1"/>
  <c r="C385" i="3" a="1"/>
  <c r="C385" i="3" s="1"/>
  <c r="B385" i="3" a="1"/>
  <c r="B385" i="3" s="1"/>
  <c r="Z384" i="3" a="1"/>
  <c r="Z384" i="3" s="1"/>
  <c r="Y384" i="3" a="1"/>
  <c r="Y384" i="3" s="1"/>
  <c r="X384" i="3" a="1"/>
  <c r="X384" i="3" s="1"/>
  <c r="W384" i="3" a="1"/>
  <c r="W384" i="3" s="1"/>
  <c r="V384" i="3" a="1"/>
  <c r="V384" i="3" s="1"/>
  <c r="U384" i="3" a="1"/>
  <c r="U384" i="3" s="1"/>
  <c r="T384" i="3" a="1"/>
  <c r="T384" i="3" s="1"/>
  <c r="S384" i="3" a="1"/>
  <c r="S384" i="3" s="1"/>
  <c r="R384" i="3" a="1"/>
  <c r="R384" i="3" s="1"/>
  <c r="Q384" i="3" a="1"/>
  <c r="Q384" i="3" s="1"/>
  <c r="P384" i="3" a="1"/>
  <c r="P384" i="3" s="1"/>
  <c r="O384" i="3" a="1"/>
  <c r="O384" i="3" s="1"/>
  <c r="N384" i="3" a="1"/>
  <c r="N384" i="3" s="1"/>
  <c r="M384" i="3" a="1"/>
  <c r="M384" i="3" s="1"/>
  <c r="L384" i="3" a="1"/>
  <c r="L384" i="3" s="1"/>
  <c r="K384" i="3" a="1"/>
  <c r="K384" i="3" s="1"/>
  <c r="J384" i="3" a="1"/>
  <c r="J384" i="3" s="1"/>
  <c r="I384" i="3" a="1"/>
  <c r="I384" i="3" s="1"/>
  <c r="G384" i="3" a="1"/>
  <c r="G384" i="3" s="1"/>
  <c r="F384" i="3" a="1"/>
  <c r="F384" i="3" s="1"/>
  <c r="E384" i="3" a="1"/>
  <c r="E384" i="3" s="1"/>
  <c r="D384" i="3" a="1"/>
  <c r="D384" i="3" s="1"/>
  <c r="C384" i="3" a="1"/>
  <c r="C384" i="3" s="1"/>
  <c r="B384" i="3" a="1"/>
  <c r="B384" i="3" s="1"/>
  <c r="Z383" i="3" a="1"/>
  <c r="Z383" i="3" s="1"/>
  <c r="Y383" i="3" a="1"/>
  <c r="Y383" i="3" s="1"/>
  <c r="X383" i="3" a="1"/>
  <c r="X383" i="3" s="1"/>
  <c r="W383" i="3" a="1"/>
  <c r="W383" i="3" s="1"/>
  <c r="V383" i="3" a="1"/>
  <c r="V383" i="3" s="1"/>
  <c r="U383" i="3" a="1"/>
  <c r="U383" i="3" s="1"/>
  <c r="T383" i="3" a="1"/>
  <c r="T383" i="3" s="1"/>
  <c r="S383" i="3" a="1"/>
  <c r="S383" i="3" s="1"/>
  <c r="R383" i="3" a="1"/>
  <c r="R383" i="3" s="1"/>
  <c r="Q383" i="3" a="1"/>
  <c r="Q383" i="3" s="1"/>
  <c r="P383" i="3" a="1"/>
  <c r="P383" i="3" s="1"/>
  <c r="O383" i="3" a="1"/>
  <c r="O383" i="3" s="1"/>
  <c r="N383" i="3" a="1"/>
  <c r="N383" i="3" s="1"/>
  <c r="M383" i="3" a="1"/>
  <c r="M383" i="3" s="1"/>
  <c r="L383" i="3" a="1"/>
  <c r="L383" i="3" s="1"/>
  <c r="K383" i="3" a="1"/>
  <c r="K383" i="3" s="1"/>
  <c r="J383" i="3" a="1"/>
  <c r="J383" i="3" s="1"/>
  <c r="I383" i="3" a="1"/>
  <c r="I383" i="3" s="1"/>
  <c r="G383" i="3" a="1"/>
  <c r="G383" i="3" s="1"/>
  <c r="F383" i="3" a="1"/>
  <c r="F383" i="3" s="1"/>
  <c r="E383" i="3" a="1"/>
  <c r="E383" i="3" s="1"/>
  <c r="D383" i="3" a="1"/>
  <c r="D383" i="3" s="1"/>
  <c r="C383" i="3" a="1"/>
  <c r="C383" i="3" s="1"/>
  <c r="B383" i="3" a="1"/>
  <c r="B383" i="3" s="1"/>
  <c r="Z382" i="3" a="1"/>
  <c r="Z382" i="3" s="1"/>
  <c r="Y382" i="3" a="1"/>
  <c r="Y382" i="3" s="1"/>
  <c r="X382" i="3" a="1"/>
  <c r="X382" i="3" s="1"/>
  <c r="W382" i="3" a="1"/>
  <c r="W382" i="3" s="1"/>
  <c r="V382" i="3" a="1"/>
  <c r="V382" i="3" s="1"/>
  <c r="U382" i="3" a="1"/>
  <c r="U382" i="3" s="1"/>
  <c r="T382" i="3" a="1"/>
  <c r="T382" i="3" s="1"/>
  <c r="S382" i="3" a="1"/>
  <c r="S382" i="3" s="1"/>
  <c r="R382" i="3" a="1"/>
  <c r="R382" i="3" s="1"/>
  <c r="Q382" i="3" a="1"/>
  <c r="Q382" i="3" s="1"/>
  <c r="P382" i="3" a="1"/>
  <c r="P382" i="3" s="1"/>
  <c r="O382" i="3" a="1"/>
  <c r="O382" i="3" s="1"/>
  <c r="N382" i="3" a="1"/>
  <c r="N382" i="3" s="1"/>
  <c r="M382" i="3" a="1"/>
  <c r="M382" i="3" s="1"/>
  <c r="L382" i="3" a="1"/>
  <c r="L382" i="3" s="1"/>
  <c r="K382" i="3" a="1"/>
  <c r="K382" i="3" s="1"/>
  <c r="J382" i="3" a="1"/>
  <c r="J382" i="3" s="1"/>
  <c r="I382" i="3" a="1"/>
  <c r="I382" i="3" s="1"/>
  <c r="G382" i="3" a="1"/>
  <c r="G382" i="3" s="1"/>
  <c r="F382" i="3" a="1"/>
  <c r="F382" i="3" s="1"/>
  <c r="E382" i="3" a="1"/>
  <c r="E382" i="3" s="1"/>
  <c r="D382" i="3" a="1"/>
  <c r="D382" i="3" s="1"/>
  <c r="C382" i="3" a="1"/>
  <c r="C382" i="3" s="1"/>
  <c r="B382" i="3" a="1"/>
  <c r="B382" i="3" s="1"/>
  <c r="Z381" i="3" a="1"/>
  <c r="Z381" i="3" s="1"/>
  <c r="Y381" i="3" a="1"/>
  <c r="Y381" i="3" s="1"/>
  <c r="X381" i="3" a="1"/>
  <c r="X381" i="3" s="1"/>
  <c r="W381" i="3" a="1"/>
  <c r="W381" i="3" s="1"/>
  <c r="V381" i="3" a="1"/>
  <c r="V381" i="3" s="1"/>
  <c r="U381" i="3" a="1"/>
  <c r="U381" i="3" s="1"/>
  <c r="T381" i="3" a="1"/>
  <c r="T381" i="3" s="1"/>
  <c r="S381" i="3" a="1"/>
  <c r="S381" i="3" s="1"/>
  <c r="R381" i="3" a="1"/>
  <c r="R381" i="3" s="1"/>
  <c r="Q381" i="3" a="1"/>
  <c r="Q381" i="3" s="1"/>
  <c r="P381" i="3" a="1"/>
  <c r="P381" i="3" s="1"/>
  <c r="O381" i="3" a="1"/>
  <c r="O381" i="3" s="1"/>
  <c r="N381" i="3" a="1"/>
  <c r="N381" i="3" s="1"/>
  <c r="M381" i="3" a="1"/>
  <c r="M381" i="3" s="1"/>
  <c r="L381" i="3" a="1"/>
  <c r="L381" i="3" s="1"/>
  <c r="K381" i="3" a="1"/>
  <c r="K381" i="3" s="1"/>
  <c r="J381" i="3" a="1"/>
  <c r="J381" i="3" s="1"/>
  <c r="I381" i="3" a="1"/>
  <c r="I381" i="3" s="1"/>
  <c r="G381" i="3" a="1"/>
  <c r="G381" i="3" s="1"/>
  <c r="F381" i="3" a="1"/>
  <c r="F381" i="3" s="1"/>
  <c r="E381" i="3" a="1"/>
  <c r="E381" i="3" s="1"/>
  <c r="D381" i="3" a="1"/>
  <c r="D381" i="3" s="1"/>
  <c r="C381" i="3" a="1"/>
  <c r="C381" i="3" s="1"/>
  <c r="B381" i="3" a="1"/>
  <c r="B381" i="3" s="1"/>
  <c r="Z380" i="3" a="1"/>
  <c r="Z380" i="3" s="1"/>
  <c r="Y380" i="3" a="1"/>
  <c r="Y380" i="3" s="1"/>
  <c r="X380" i="3" a="1"/>
  <c r="X380" i="3" s="1"/>
  <c r="W380" i="3" a="1"/>
  <c r="W380" i="3" s="1"/>
  <c r="V380" i="3" a="1"/>
  <c r="V380" i="3" s="1"/>
  <c r="U380" i="3" a="1"/>
  <c r="U380" i="3" s="1"/>
  <c r="T380" i="3" a="1"/>
  <c r="T380" i="3" s="1"/>
  <c r="S380" i="3" a="1"/>
  <c r="S380" i="3" s="1"/>
  <c r="R380" i="3" a="1"/>
  <c r="R380" i="3" s="1"/>
  <c r="Q380" i="3" a="1"/>
  <c r="Q380" i="3" s="1"/>
  <c r="P380" i="3" a="1"/>
  <c r="P380" i="3" s="1"/>
  <c r="O380" i="3" a="1"/>
  <c r="O380" i="3" s="1"/>
  <c r="N380" i="3" a="1"/>
  <c r="N380" i="3" s="1"/>
  <c r="M380" i="3" a="1"/>
  <c r="M380" i="3" s="1"/>
  <c r="L380" i="3" a="1"/>
  <c r="L380" i="3" s="1"/>
  <c r="K380" i="3" a="1"/>
  <c r="K380" i="3" s="1"/>
  <c r="J380" i="3" a="1"/>
  <c r="J380" i="3" s="1"/>
  <c r="I380" i="3" a="1"/>
  <c r="I380" i="3" s="1"/>
  <c r="G380" i="3" a="1"/>
  <c r="G380" i="3" s="1"/>
  <c r="F380" i="3" a="1"/>
  <c r="F380" i="3" s="1"/>
  <c r="E380" i="3" a="1"/>
  <c r="E380" i="3" s="1"/>
  <c r="D380" i="3" a="1"/>
  <c r="D380" i="3" s="1"/>
  <c r="C380" i="3" a="1"/>
  <c r="C380" i="3" s="1"/>
  <c r="B380" i="3" a="1"/>
  <c r="B380" i="3" s="1"/>
  <c r="Z379" i="3" a="1"/>
  <c r="Z379" i="3" s="1"/>
  <c r="Y379" i="3" a="1"/>
  <c r="Y379" i="3" s="1"/>
  <c r="X379" i="3" a="1"/>
  <c r="X379" i="3" s="1"/>
  <c r="W379" i="3" a="1"/>
  <c r="W379" i="3" s="1"/>
  <c r="V379" i="3" a="1"/>
  <c r="V379" i="3" s="1"/>
  <c r="U379" i="3" a="1"/>
  <c r="U379" i="3" s="1"/>
  <c r="T379" i="3" a="1"/>
  <c r="T379" i="3" s="1"/>
  <c r="S379" i="3" a="1"/>
  <c r="S379" i="3" s="1"/>
  <c r="R379" i="3" a="1"/>
  <c r="R379" i="3" s="1"/>
  <c r="Q379" i="3" a="1"/>
  <c r="Q379" i="3" s="1"/>
  <c r="P379" i="3" a="1"/>
  <c r="P379" i="3" s="1"/>
  <c r="O379" i="3" a="1"/>
  <c r="O379" i="3" s="1"/>
  <c r="N379" i="3" a="1"/>
  <c r="N379" i="3" s="1"/>
  <c r="M379" i="3" a="1"/>
  <c r="M379" i="3" s="1"/>
  <c r="L379" i="3" a="1"/>
  <c r="L379" i="3" s="1"/>
  <c r="K379" i="3" a="1"/>
  <c r="K379" i="3" s="1"/>
  <c r="J379" i="3" a="1"/>
  <c r="J379" i="3" s="1"/>
  <c r="I379" i="3" a="1"/>
  <c r="I379" i="3" s="1"/>
  <c r="G379" i="3" a="1"/>
  <c r="G379" i="3" s="1"/>
  <c r="F379" i="3" a="1"/>
  <c r="F379" i="3" s="1"/>
  <c r="E379" i="3" a="1"/>
  <c r="E379" i="3" s="1"/>
  <c r="D379" i="3" a="1"/>
  <c r="D379" i="3" s="1"/>
  <c r="C379" i="3" a="1"/>
  <c r="C379" i="3" s="1"/>
  <c r="B379" i="3" a="1"/>
  <c r="B379" i="3" s="1"/>
  <c r="Q375" i="3" a="1"/>
  <c r="Q375" i="3" s="1"/>
  <c r="P375" i="3" a="1"/>
  <c r="P375" i="3" s="1"/>
  <c r="O375" i="3" a="1"/>
  <c r="O375" i="3" s="1"/>
  <c r="N375" i="3" a="1"/>
  <c r="N375" i="3" s="1"/>
  <c r="M375" i="3" a="1"/>
  <c r="M375" i="3" s="1"/>
  <c r="L375" i="3" a="1"/>
  <c r="L375" i="3" s="1"/>
  <c r="K375" i="3" a="1"/>
  <c r="K375" i="3" s="1"/>
  <c r="J375" i="3" a="1"/>
  <c r="J375" i="3" s="1"/>
  <c r="I375" i="3" a="1"/>
  <c r="I375" i="3" s="1"/>
  <c r="G375" i="3" a="1"/>
  <c r="G375" i="3" s="1"/>
  <c r="F375" i="3" a="1"/>
  <c r="F375" i="3" s="1"/>
  <c r="E375" i="3" a="1"/>
  <c r="E375" i="3" s="1"/>
  <c r="D375" i="3" a="1"/>
  <c r="D375" i="3" s="1"/>
  <c r="C375" i="3" a="1"/>
  <c r="C375" i="3" s="1"/>
  <c r="B375" i="3" a="1"/>
  <c r="B375" i="3" s="1"/>
  <c r="Q374" i="3" a="1"/>
  <c r="Q374" i="3" s="1"/>
  <c r="P374" i="3" a="1"/>
  <c r="P374" i="3" s="1"/>
  <c r="O374" i="3" a="1"/>
  <c r="O374" i="3" s="1"/>
  <c r="N374" i="3" a="1"/>
  <c r="N374" i="3" s="1"/>
  <c r="M374" i="3" a="1"/>
  <c r="M374" i="3" s="1"/>
  <c r="L374" i="3" a="1"/>
  <c r="L374" i="3" s="1"/>
  <c r="K374" i="3" a="1"/>
  <c r="K374" i="3" s="1"/>
  <c r="J374" i="3" a="1"/>
  <c r="J374" i="3" s="1"/>
  <c r="I374" i="3" a="1"/>
  <c r="I374" i="3" s="1"/>
  <c r="G374" i="3" a="1"/>
  <c r="G374" i="3" s="1"/>
  <c r="F374" i="3" a="1"/>
  <c r="F374" i="3" s="1"/>
  <c r="E374" i="3" a="1"/>
  <c r="E374" i="3" s="1"/>
  <c r="D374" i="3" a="1"/>
  <c r="D374" i="3" s="1"/>
  <c r="C374" i="3" a="1"/>
  <c r="C374" i="3" s="1"/>
  <c r="B374" i="3" a="1"/>
  <c r="B374" i="3" s="1"/>
  <c r="T373" i="3" a="1"/>
  <c r="T373" i="3" s="1"/>
  <c r="Q373" i="3" a="1"/>
  <c r="Q373" i="3" s="1"/>
  <c r="P373" i="3" a="1"/>
  <c r="P373" i="3" s="1"/>
  <c r="O373" i="3" a="1"/>
  <c r="O373" i="3" s="1"/>
  <c r="N373" i="3" a="1"/>
  <c r="N373" i="3" s="1"/>
  <c r="M373" i="3" a="1"/>
  <c r="M373" i="3" s="1"/>
  <c r="L373" i="3" a="1"/>
  <c r="L373" i="3" s="1"/>
  <c r="K373" i="3" a="1"/>
  <c r="K373" i="3" s="1"/>
  <c r="J373" i="3" a="1"/>
  <c r="J373" i="3" s="1"/>
  <c r="I373" i="3" a="1"/>
  <c r="I373" i="3" s="1"/>
  <c r="G373" i="3" a="1"/>
  <c r="G373" i="3" s="1"/>
  <c r="F373" i="3" a="1"/>
  <c r="F373" i="3" s="1"/>
  <c r="E373" i="3" a="1"/>
  <c r="E373" i="3" s="1"/>
  <c r="D373" i="3" a="1"/>
  <c r="D373" i="3" s="1"/>
  <c r="C373" i="3" a="1"/>
  <c r="C373" i="3" s="1"/>
  <c r="B373" i="3" a="1"/>
  <c r="B373" i="3" s="1"/>
  <c r="Z369" i="3" a="1"/>
  <c r="Z369" i="3" s="1"/>
  <c r="Y369" i="3" a="1"/>
  <c r="Y369" i="3" s="1"/>
  <c r="X369" i="3" a="1"/>
  <c r="X369" i="3" s="1"/>
  <c r="W369" i="3" a="1"/>
  <c r="W369" i="3" s="1"/>
  <c r="V369" i="3" a="1"/>
  <c r="V369" i="3" s="1"/>
  <c r="U369" i="3" a="1"/>
  <c r="U369" i="3" s="1"/>
  <c r="T369" i="3" a="1"/>
  <c r="T369" i="3" s="1"/>
  <c r="S369" i="3" a="1"/>
  <c r="S369" i="3" s="1"/>
  <c r="R369" i="3" a="1"/>
  <c r="R369" i="3" s="1"/>
  <c r="Q369" i="3" a="1"/>
  <c r="Q369" i="3" s="1"/>
  <c r="P369" i="3" a="1"/>
  <c r="P369" i="3" s="1"/>
  <c r="O369" i="3" a="1"/>
  <c r="O369" i="3" s="1"/>
  <c r="N369" i="3" a="1"/>
  <c r="N369" i="3" s="1"/>
  <c r="M369" i="3" a="1"/>
  <c r="M369" i="3" s="1"/>
  <c r="L369" i="3" a="1"/>
  <c r="L369" i="3" s="1"/>
  <c r="K369" i="3" a="1"/>
  <c r="K369" i="3" s="1"/>
  <c r="J369" i="3" a="1"/>
  <c r="J369" i="3" s="1"/>
  <c r="I369" i="3" a="1"/>
  <c r="I369" i="3" s="1"/>
  <c r="G369" i="3" a="1"/>
  <c r="G369" i="3" s="1"/>
  <c r="F369" i="3" a="1"/>
  <c r="F369" i="3" s="1"/>
  <c r="E369" i="3" a="1"/>
  <c r="E369" i="3" s="1"/>
  <c r="D369" i="3" a="1"/>
  <c r="D369" i="3" s="1"/>
  <c r="C369" i="3" a="1"/>
  <c r="C369" i="3" s="1"/>
  <c r="B369" i="3" a="1"/>
  <c r="B369" i="3" s="1"/>
  <c r="Z368" i="3" a="1"/>
  <c r="Z368" i="3" s="1"/>
  <c r="Y368" i="3" a="1"/>
  <c r="Y368" i="3" s="1"/>
  <c r="X368" i="3" a="1"/>
  <c r="X368" i="3" s="1"/>
  <c r="W368" i="3" a="1"/>
  <c r="W368" i="3" s="1"/>
  <c r="V368" i="3" a="1"/>
  <c r="V368" i="3" s="1"/>
  <c r="U368" i="3" a="1"/>
  <c r="U368" i="3" s="1"/>
  <c r="T368" i="3" a="1"/>
  <c r="T368" i="3" s="1"/>
  <c r="S368" i="3" a="1"/>
  <c r="S368" i="3" s="1"/>
  <c r="R368" i="3" a="1"/>
  <c r="R368" i="3" s="1"/>
  <c r="Q368" i="3" a="1"/>
  <c r="Q368" i="3" s="1"/>
  <c r="P368" i="3" a="1"/>
  <c r="P368" i="3" s="1"/>
  <c r="O368" i="3" a="1"/>
  <c r="O368" i="3" s="1"/>
  <c r="N368" i="3" a="1"/>
  <c r="N368" i="3" s="1"/>
  <c r="M368" i="3" a="1"/>
  <c r="M368" i="3" s="1"/>
  <c r="L368" i="3" a="1"/>
  <c r="L368" i="3" s="1"/>
  <c r="K368" i="3" a="1"/>
  <c r="K368" i="3" s="1"/>
  <c r="J368" i="3" a="1"/>
  <c r="J368" i="3" s="1"/>
  <c r="I368" i="3" a="1"/>
  <c r="I368" i="3" s="1"/>
  <c r="G368" i="3" a="1"/>
  <c r="G368" i="3" s="1"/>
  <c r="F368" i="3" a="1"/>
  <c r="F368" i="3" s="1"/>
  <c r="E368" i="3" a="1"/>
  <c r="E368" i="3" s="1"/>
  <c r="D368" i="3" a="1"/>
  <c r="D368" i="3" s="1"/>
  <c r="C368" i="3" a="1"/>
  <c r="C368" i="3" s="1"/>
  <c r="B368" i="3" a="1"/>
  <c r="B368" i="3" s="1"/>
  <c r="Z367" i="3" a="1"/>
  <c r="Z367" i="3" s="1"/>
  <c r="Y367" i="3" a="1"/>
  <c r="Y367" i="3" s="1"/>
  <c r="X367" i="3" a="1"/>
  <c r="X367" i="3" s="1"/>
  <c r="W367" i="3" a="1"/>
  <c r="W367" i="3" s="1"/>
  <c r="V367" i="3" a="1"/>
  <c r="V367" i="3" s="1"/>
  <c r="U367" i="3" a="1"/>
  <c r="U367" i="3" s="1"/>
  <c r="T367" i="3" a="1"/>
  <c r="T367" i="3" s="1"/>
  <c r="S367" i="3" a="1"/>
  <c r="S367" i="3" s="1"/>
  <c r="R367" i="3" a="1"/>
  <c r="R367" i="3" s="1"/>
  <c r="Q367" i="3" a="1"/>
  <c r="Q367" i="3" s="1"/>
  <c r="P367" i="3" a="1"/>
  <c r="P367" i="3" s="1"/>
  <c r="O367" i="3" a="1"/>
  <c r="O367" i="3" s="1"/>
  <c r="N367" i="3" a="1"/>
  <c r="N367" i="3" s="1"/>
  <c r="M367" i="3" a="1"/>
  <c r="M367" i="3" s="1"/>
  <c r="L367" i="3" a="1"/>
  <c r="L367" i="3" s="1"/>
  <c r="K367" i="3" a="1"/>
  <c r="K367" i="3" s="1"/>
  <c r="J367" i="3" a="1"/>
  <c r="J367" i="3" s="1"/>
  <c r="I367" i="3" a="1"/>
  <c r="I367" i="3" s="1"/>
  <c r="G367" i="3" a="1"/>
  <c r="G367" i="3" s="1"/>
  <c r="F367" i="3" a="1"/>
  <c r="F367" i="3" s="1"/>
  <c r="E367" i="3" a="1"/>
  <c r="E367" i="3" s="1"/>
  <c r="D367" i="3" a="1"/>
  <c r="D367" i="3" s="1"/>
  <c r="C367" i="3" a="1"/>
  <c r="C367" i="3" s="1"/>
  <c r="B367" i="3" a="1"/>
  <c r="B367" i="3" s="1"/>
  <c r="Z366" i="3" a="1"/>
  <c r="Z366" i="3" s="1"/>
  <c r="Y366" i="3" a="1"/>
  <c r="Y366" i="3" s="1"/>
  <c r="X366" i="3" a="1"/>
  <c r="X366" i="3" s="1"/>
  <c r="W366" i="3" a="1"/>
  <c r="W366" i="3" s="1"/>
  <c r="V366" i="3" a="1"/>
  <c r="V366" i="3" s="1"/>
  <c r="U366" i="3" a="1"/>
  <c r="U366" i="3" s="1"/>
  <c r="T366" i="3" a="1"/>
  <c r="T366" i="3" s="1"/>
  <c r="S366" i="3" a="1"/>
  <c r="S366" i="3" s="1"/>
  <c r="R366" i="3" a="1"/>
  <c r="R366" i="3" s="1"/>
  <c r="Q366" i="3" a="1"/>
  <c r="Q366" i="3" s="1"/>
  <c r="P366" i="3" a="1"/>
  <c r="P366" i="3" s="1"/>
  <c r="O366" i="3" a="1"/>
  <c r="O366" i="3" s="1"/>
  <c r="N366" i="3" a="1"/>
  <c r="N366" i="3" s="1"/>
  <c r="M366" i="3" a="1"/>
  <c r="M366" i="3" s="1"/>
  <c r="L366" i="3" a="1"/>
  <c r="L366" i="3" s="1"/>
  <c r="K366" i="3" a="1"/>
  <c r="K366" i="3" s="1"/>
  <c r="J366" i="3" a="1"/>
  <c r="J366" i="3" s="1"/>
  <c r="I366" i="3" a="1"/>
  <c r="I366" i="3" s="1"/>
  <c r="G366" i="3" a="1"/>
  <c r="G366" i="3" s="1"/>
  <c r="F366" i="3" a="1"/>
  <c r="F366" i="3" s="1"/>
  <c r="E366" i="3" a="1"/>
  <c r="E366" i="3" s="1"/>
  <c r="D366" i="3" a="1"/>
  <c r="D366" i="3" s="1"/>
  <c r="C366" i="3" a="1"/>
  <c r="C366" i="3" s="1"/>
  <c r="B366" i="3" a="1"/>
  <c r="B366" i="3" s="1"/>
  <c r="Z365" i="3" a="1"/>
  <c r="Z365" i="3" s="1"/>
  <c r="Y365" i="3" a="1"/>
  <c r="Y365" i="3" s="1"/>
  <c r="X365" i="3" a="1"/>
  <c r="X365" i="3" s="1"/>
  <c r="W365" i="3" a="1"/>
  <c r="W365" i="3" s="1"/>
  <c r="V365" i="3" a="1"/>
  <c r="V365" i="3" s="1"/>
  <c r="U365" i="3" a="1"/>
  <c r="U365" i="3" s="1"/>
  <c r="T365" i="3" a="1"/>
  <c r="T365" i="3" s="1"/>
  <c r="S365" i="3" a="1"/>
  <c r="S365" i="3" s="1"/>
  <c r="R365" i="3" a="1"/>
  <c r="R365" i="3" s="1"/>
  <c r="Q365" i="3" a="1"/>
  <c r="Q365" i="3" s="1"/>
  <c r="P365" i="3" a="1"/>
  <c r="P365" i="3" s="1"/>
  <c r="O365" i="3" a="1"/>
  <c r="O365" i="3" s="1"/>
  <c r="N365" i="3" a="1"/>
  <c r="N365" i="3" s="1"/>
  <c r="M365" i="3" a="1"/>
  <c r="M365" i="3" s="1"/>
  <c r="L365" i="3" a="1"/>
  <c r="L365" i="3" s="1"/>
  <c r="K365" i="3" a="1"/>
  <c r="K365" i="3" s="1"/>
  <c r="J365" i="3" a="1"/>
  <c r="J365" i="3" s="1"/>
  <c r="I365" i="3" a="1"/>
  <c r="I365" i="3" s="1"/>
  <c r="G365" i="3" a="1"/>
  <c r="G365" i="3" s="1"/>
  <c r="F365" i="3" a="1"/>
  <c r="F365" i="3" s="1"/>
  <c r="E365" i="3" a="1"/>
  <c r="E365" i="3" s="1"/>
  <c r="D365" i="3" a="1"/>
  <c r="D365" i="3" s="1"/>
  <c r="C365" i="3" a="1"/>
  <c r="C365" i="3" s="1"/>
  <c r="B365" i="3" a="1"/>
  <c r="B365" i="3" s="1"/>
  <c r="Z364" i="3" a="1"/>
  <c r="Z364" i="3" s="1"/>
  <c r="Y364" i="3" a="1"/>
  <c r="Y364" i="3" s="1"/>
  <c r="X364" i="3" a="1"/>
  <c r="X364" i="3" s="1"/>
  <c r="W364" i="3" a="1"/>
  <c r="W364" i="3" s="1"/>
  <c r="V364" i="3" a="1"/>
  <c r="V364" i="3" s="1"/>
  <c r="U364" i="3" a="1"/>
  <c r="U364" i="3" s="1"/>
  <c r="T364" i="3" a="1"/>
  <c r="T364" i="3" s="1"/>
  <c r="S364" i="3" a="1"/>
  <c r="S364" i="3" s="1"/>
  <c r="R364" i="3" a="1"/>
  <c r="R364" i="3" s="1"/>
  <c r="Q364" i="3" a="1"/>
  <c r="Q364" i="3" s="1"/>
  <c r="P364" i="3" a="1"/>
  <c r="P364" i="3" s="1"/>
  <c r="O364" i="3" a="1"/>
  <c r="O364" i="3" s="1"/>
  <c r="N364" i="3" a="1"/>
  <c r="N364" i="3" s="1"/>
  <c r="M364" i="3" a="1"/>
  <c r="M364" i="3" s="1"/>
  <c r="L364" i="3" a="1"/>
  <c r="L364" i="3" s="1"/>
  <c r="K364" i="3" a="1"/>
  <c r="K364" i="3" s="1"/>
  <c r="J364" i="3" a="1"/>
  <c r="J364" i="3" s="1"/>
  <c r="I364" i="3" a="1"/>
  <c r="I364" i="3" s="1"/>
  <c r="G364" i="3" a="1"/>
  <c r="G364" i="3" s="1"/>
  <c r="F364" i="3" a="1"/>
  <c r="F364" i="3" s="1"/>
  <c r="E364" i="3" a="1"/>
  <c r="E364" i="3" s="1"/>
  <c r="D364" i="3" a="1"/>
  <c r="D364" i="3" s="1"/>
  <c r="C364" i="3" a="1"/>
  <c r="C364" i="3" s="1"/>
  <c r="B364" i="3" a="1"/>
  <c r="B364" i="3" s="1"/>
  <c r="Z363" i="3" a="1"/>
  <c r="Z363" i="3" s="1"/>
  <c r="Y363" i="3" a="1"/>
  <c r="Y363" i="3" s="1"/>
  <c r="X363" i="3" a="1"/>
  <c r="X363" i="3" s="1"/>
  <c r="W363" i="3" a="1"/>
  <c r="W363" i="3" s="1"/>
  <c r="V363" i="3" a="1"/>
  <c r="V363" i="3" s="1"/>
  <c r="U363" i="3" a="1"/>
  <c r="U363" i="3" s="1"/>
  <c r="T363" i="3" a="1"/>
  <c r="T363" i="3" s="1"/>
  <c r="S363" i="3" a="1"/>
  <c r="S363" i="3" s="1"/>
  <c r="R363" i="3" a="1"/>
  <c r="R363" i="3" s="1"/>
  <c r="Q363" i="3" a="1"/>
  <c r="Q363" i="3" s="1"/>
  <c r="P363" i="3" a="1"/>
  <c r="P363" i="3" s="1"/>
  <c r="O363" i="3" a="1"/>
  <c r="O363" i="3" s="1"/>
  <c r="N363" i="3" a="1"/>
  <c r="N363" i="3" s="1"/>
  <c r="M363" i="3" a="1"/>
  <c r="M363" i="3" s="1"/>
  <c r="L363" i="3" a="1"/>
  <c r="L363" i="3" s="1"/>
  <c r="K363" i="3" a="1"/>
  <c r="K363" i="3" s="1"/>
  <c r="J363" i="3" a="1"/>
  <c r="J363" i="3" s="1"/>
  <c r="I363" i="3" a="1"/>
  <c r="I363" i="3" s="1"/>
  <c r="G363" i="3" a="1"/>
  <c r="G363" i="3" s="1"/>
  <c r="F363" i="3" a="1"/>
  <c r="F363" i="3" s="1"/>
  <c r="E363" i="3" a="1"/>
  <c r="E363" i="3" s="1"/>
  <c r="D363" i="3" a="1"/>
  <c r="D363" i="3" s="1"/>
  <c r="C363" i="3" a="1"/>
  <c r="C363" i="3" s="1"/>
  <c r="B363" i="3" a="1"/>
  <c r="B363" i="3" s="1"/>
  <c r="Z362" i="3" a="1"/>
  <c r="Z362" i="3" s="1"/>
  <c r="Y362" i="3" a="1"/>
  <c r="Y362" i="3" s="1"/>
  <c r="X362" i="3" a="1"/>
  <c r="X362" i="3" s="1"/>
  <c r="W362" i="3" a="1"/>
  <c r="W362" i="3" s="1"/>
  <c r="V362" i="3" a="1"/>
  <c r="V362" i="3" s="1"/>
  <c r="U362" i="3" a="1"/>
  <c r="U362" i="3" s="1"/>
  <c r="T362" i="3" a="1"/>
  <c r="T362" i="3" s="1"/>
  <c r="S362" i="3" a="1"/>
  <c r="S362" i="3" s="1"/>
  <c r="R362" i="3" a="1"/>
  <c r="R362" i="3" s="1"/>
  <c r="Q362" i="3" a="1"/>
  <c r="Q362" i="3" s="1"/>
  <c r="P362" i="3" a="1"/>
  <c r="P362" i="3" s="1"/>
  <c r="O362" i="3" a="1"/>
  <c r="O362" i="3" s="1"/>
  <c r="N362" i="3" a="1"/>
  <c r="N362" i="3" s="1"/>
  <c r="M362" i="3" a="1"/>
  <c r="M362" i="3" s="1"/>
  <c r="L362" i="3" a="1"/>
  <c r="L362" i="3" s="1"/>
  <c r="K362" i="3" a="1"/>
  <c r="K362" i="3" s="1"/>
  <c r="J362" i="3" a="1"/>
  <c r="J362" i="3" s="1"/>
  <c r="I362" i="3" a="1"/>
  <c r="I362" i="3" s="1"/>
  <c r="G362" i="3" a="1"/>
  <c r="G362" i="3" s="1"/>
  <c r="F362" i="3" a="1"/>
  <c r="F362" i="3" s="1"/>
  <c r="E362" i="3" a="1"/>
  <c r="E362" i="3" s="1"/>
  <c r="D362" i="3" a="1"/>
  <c r="D362" i="3" s="1"/>
  <c r="C362" i="3" a="1"/>
  <c r="C362" i="3" s="1"/>
  <c r="B362" i="3" a="1"/>
  <c r="B362" i="3" s="1"/>
  <c r="Z361" i="3" a="1"/>
  <c r="Z361" i="3" s="1"/>
  <c r="Y361" i="3" a="1"/>
  <c r="Y361" i="3" s="1"/>
  <c r="X361" i="3" a="1"/>
  <c r="X361" i="3" s="1"/>
  <c r="W361" i="3" a="1"/>
  <c r="W361" i="3" s="1"/>
  <c r="V361" i="3" a="1"/>
  <c r="V361" i="3" s="1"/>
  <c r="U361" i="3" a="1"/>
  <c r="U361" i="3" s="1"/>
  <c r="T361" i="3" a="1"/>
  <c r="T361" i="3" s="1"/>
  <c r="S361" i="3" a="1"/>
  <c r="S361" i="3" s="1"/>
  <c r="R361" i="3" a="1"/>
  <c r="R361" i="3" s="1"/>
  <c r="Q361" i="3" a="1"/>
  <c r="Q361" i="3" s="1"/>
  <c r="P361" i="3" a="1"/>
  <c r="P361" i="3" s="1"/>
  <c r="O361" i="3" a="1"/>
  <c r="O361" i="3" s="1"/>
  <c r="N361" i="3" a="1"/>
  <c r="N361" i="3" s="1"/>
  <c r="M361" i="3" a="1"/>
  <c r="M361" i="3" s="1"/>
  <c r="L361" i="3" a="1"/>
  <c r="L361" i="3" s="1"/>
  <c r="K361" i="3" a="1"/>
  <c r="K361" i="3" s="1"/>
  <c r="J361" i="3" a="1"/>
  <c r="J361" i="3" s="1"/>
  <c r="I361" i="3" a="1"/>
  <c r="I361" i="3" s="1"/>
  <c r="G361" i="3" a="1"/>
  <c r="G361" i="3" s="1"/>
  <c r="F361" i="3" a="1"/>
  <c r="F361" i="3" s="1"/>
  <c r="E361" i="3" a="1"/>
  <c r="E361" i="3" s="1"/>
  <c r="D361" i="3" a="1"/>
  <c r="D361" i="3" s="1"/>
  <c r="C361" i="3" a="1"/>
  <c r="C361" i="3" s="1"/>
  <c r="B361" i="3" a="1"/>
  <c r="B361" i="3" s="1"/>
  <c r="Z360" i="3" a="1"/>
  <c r="Z360" i="3" s="1"/>
  <c r="Y360" i="3" a="1"/>
  <c r="Y360" i="3" s="1"/>
  <c r="X360" i="3" a="1"/>
  <c r="X360" i="3" s="1"/>
  <c r="W360" i="3" a="1"/>
  <c r="W360" i="3" s="1"/>
  <c r="V360" i="3" a="1"/>
  <c r="V360" i="3" s="1"/>
  <c r="U360" i="3" a="1"/>
  <c r="U360" i="3" s="1"/>
  <c r="T360" i="3" a="1"/>
  <c r="T360" i="3" s="1"/>
  <c r="S360" i="3" a="1"/>
  <c r="S360" i="3" s="1"/>
  <c r="R360" i="3" a="1"/>
  <c r="R360" i="3" s="1"/>
  <c r="Q360" i="3" a="1"/>
  <c r="Q360" i="3" s="1"/>
  <c r="P360" i="3" a="1"/>
  <c r="P360" i="3" s="1"/>
  <c r="O360" i="3" a="1"/>
  <c r="O360" i="3" s="1"/>
  <c r="N360" i="3" a="1"/>
  <c r="N360" i="3" s="1"/>
  <c r="M360" i="3" a="1"/>
  <c r="M360" i="3" s="1"/>
  <c r="L360" i="3" a="1"/>
  <c r="L360" i="3" s="1"/>
  <c r="K360" i="3" a="1"/>
  <c r="K360" i="3" s="1"/>
  <c r="J360" i="3" a="1"/>
  <c r="J360" i="3" s="1"/>
  <c r="I360" i="3" a="1"/>
  <c r="I360" i="3" s="1"/>
  <c r="G360" i="3" a="1"/>
  <c r="G360" i="3" s="1"/>
  <c r="F360" i="3" a="1"/>
  <c r="F360" i="3" s="1"/>
  <c r="E360" i="3" a="1"/>
  <c r="E360" i="3" s="1"/>
  <c r="D360" i="3" a="1"/>
  <c r="D360" i="3" s="1"/>
  <c r="C360" i="3" a="1"/>
  <c r="C360" i="3" s="1"/>
  <c r="B360" i="3" a="1"/>
  <c r="B360" i="3" s="1"/>
  <c r="Z359" i="3" a="1"/>
  <c r="Z359" i="3" s="1"/>
  <c r="Y359" i="3" a="1"/>
  <c r="Y359" i="3" s="1"/>
  <c r="X359" i="3" a="1"/>
  <c r="X359" i="3" s="1"/>
  <c r="W359" i="3" a="1"/>
  <c r="W359" i="3" s="1"/>
  <c r="V359" i="3" a="1"/>
  <c r="V359" i="3" s="1"/>
  <c r="U359" i="3" a="1"/>
  <c r="U359" i="3" s="1"/>
  <c r="T359" i="3" a="1"/>
  <c r="T359" i="3" s="1"/>
  <c r="S359" i="3" a="1"/>
  <c r="S359" i="3" s="1"/>
  <c r="R359" i="3" a="1"/>
  <c r="R359" i="3" s="1"/>
  <c r="Q359" i="3" a="1"/>
  <c r="Q359" i="3" s="1"/>
  <c r="P359" i="3" a="1"/>
  <c r="P359" i="3" s="1"/>
  <c r="O359" i="3" a="1"/>
  <c r="O359" i="3" s="1"/>
  <c r="N359" i="3" a="1"/>
  <c r="N359" i="3" s="1"/>
  <c r="M359" i="3" a="1"/>
  <c r="M359" i="3" s="1"/>
  <c r="L359" i="3" a="1"/>
  <c r="L359" i="3" s="1"/>
  <c r="K359" i="3" a="1"/>
  <c r="K359" i="3" s="1"/>
  <c r="J359" i="3" a="1"/>
  <c r="J359" i="3" s="1"/>
  <c r="I359" i="3" a="1"/>
  <c r="I359" i="3" s="1"/>
  <c r="G359" i="3" a="1"/>
  <c r="G359" i="3" s="1"/>
  <c r="F359" i="3" a="1"/>
  <c r="F359" i="3" s="1"/>
  <c r="E359" i="3" a="1"/>
  <c r="E359" i="3" s="1"/>
  <c r="D359" i="3" a="1"/>
  <c r="D359" i="3" s="1"/>
  <c r="C359" i="3" a="1"/>
  <c r="C359" i="3" s="1"/>
  <c r="B359" i="3" a="1"/>
  <c r="B359" i="3" s="1"/>
  <c r="Z358" i="3" a="1"/>
  <c r="Z358" i="3" s="1"/>
  <c r="Y358" i="3" a="1"/>
  <c r="Y358" i="3" s="1"/>
  <c r="X358" i="3" a="1"/>
  <c r="X358" i="3" s="1"/>
  <c r="W358" i="3" a="1"/>
  <c r="W358" i="3" s="1"/>
  <c r="V358" i="3" a="1"/>
  <c r="V358" i="3" s="1"/>
  <c r="U358" i="3" a="1"/>
  <c r="U358" i="3" s="1"/>
  <c r="T358" i="3" a="1"/>
  <c r="T358" i="3" s="1"/>
  <c r="S358" i="3" a="1"/>
  <c r="S358" i="3" s="1"/>
  <c r="R358" i="3" a="1"/>
  <c r="R358" i="3" s="1"/>
  <c r="Q358" i="3" a="1"/>
  <c r="Q358" i="3" s="1"/>
  <c r="P358" i="3" a="1"/>
  <c r="P358" i="3" s="1"/>
  <c r="O358" i="3" a="1"/>
  <c r="O358" i="3" s="1"/>
  <c r="N358" i="3" a="1"/>
  <c r="N358" i="3" s="1"/>
  <c r="M358" i="3" a="1"/>
  <c r="M358" i="3" s="1"/>
  <c r="L358" i="3" a="1"/>
  <c r="L358" i="3" s="1"/>
  <c r="K358" i="3" a="1"/>
  <c r="K358" i="3" s="1"/>
  <c r="J358" i="3" a="1"/>
  <c r="J358" i="3" s="1"/>
  <c r="I358" i="3" a="1"/>
  <c r="I358" i="3" s="1"/>
  <c r="G358" i="3" a="1"/>
  <c r="G358" i="3" s="1"/>
  <c r="F358" i="3" a="1"/>
  <c r="F358" i="3" s="1"/>
  <c r="E358" i="3" a="1"/>
  <c r="E358" i="3" s="1"/>
  <c r="D358" i="3" a="1"/>
  <c r="D358" i="3" s="1"/>
  <c r="C358" i="3" a="1"/>
  <c r="C358" i="3" s="1"/>
  <c r="B358" i="3" a="1"/>
  <c r="B358" i="3" s="1"/>
  <c r="Z357" i="3" a="1"/>
  <c r="Z357" i="3" s="1"/>
  <c r="Y357" i="3" a="1"/>
  <c r="Y357" i="3" s="1"/>
  <c r="X357" i="3" a="1"/>
  <c r="X357" i="3" s="1"/>
  <c r="W357" i="3" a="1"/>
  <c r="W357" i="3" s="1"/>
  <c r="V357" i="3" a="1"/>
  <c r="V357" i="3" s="1"/>
  <c r="U357" i="3" a="1"/>
  <c r="U357" i="3" s="1"/>
  <c r="T357" i="3" a="1"/>
  <c r="T357" i="3" s="1"/>
  <c r="S357" i="3" a="1"/>
  <c r="S357" i="3" s="1"/>
  <c r="R357" i="3" a="1"/>
  <c r="R357" i="3" s="1"/>
  <c r="Q357" i="3" a="1"/>
  <c r="Q357" i="3" s="1"/>
  <c r="P357" i="3" a="1"/>
  <c r="P357" i="3" s="1"/>
  <c r="O357" i="3" a="1"/>
  <c r="O357" i="3" s="1"/>
  <c r="N357" i="3" a="1"/>
  <c r="N357" i="3" s="1"/>
  <c r="M357" i="3" a="1"/>
  <c r="M357" i="3" s="1"/>
  <c r="L357" i="3" a="1"/>
  <c r="L357" i="3" s="1"/>
  <c r="K357" i="3" a="1"/>
  <c r="K357" i="3" s="1"/>
  <c r="J357" i="3" a="1"/>
  <c r="J357" i="3" s="1"/>
  <c r="I357" i="3" a="1"/>
  <c r="I357" i="3" s="1"/>
  <c r="G357" i="3" a="1"/>
  <c r="G357" i="3" s="1"/>
  <c r="F357" i="3" a="1"/>
  <c r="F357" i="3" s="1"/>
  <c r="E357" i="3" a="1"/>
  <c r="E357" i="3" s="1"/>
  <c r="D357" i="3" a="1"/>
  <c r="D357" i="3" s="1"/>
  <c r="C357" i="3" a="1"/>
  <c r="C357" i="3" s="1"/>
  <c r="B357" i="3" a="1"/>
  <c r="B357" i="3" s="1"/>
  <c r="Z356" i="3" a="1"/>
  <c r="Z356" i="3" s="1"/>
  <c r="Y356" i="3" a="1"/>
  <c r="Y356" i="3" s="1"/>
  <c r="X356" i="3" a="1"/>
  <c r="X356" i="3" s="1"/>
  <c r="W356" i="3" a="1"/>
  <c r="W356" i="3" s="1"/>
  <c r="V356" i="3" a="1"/>
  <c r="V356" i="3" s="1"/>
  <c r="U356" i="3" a="1"/>
  <c r="U356" i="3" s="1"/>
  <c r="T356" i="3" a="1"/>
  <c r="T356" i="3" s="1"/>
  <c r="S356" i="3" a="1"/>
  <c r="S356" i="3" s="1"/>
  <c r="R356" i="3" a="1"/>
  <c r="R356" i="3" s="1"/>
  <c r="Q356" i="3" a="1"/>
  <c r="Q356" i="3" s="1"/>
  <c r="P356" i="3" a="1"/>
  <c r="P356" i="3" s="1"/>
  <c r="O356" i="3" a="1"/>
  <c r="O356" i="3" s="1"/>
  <c r="N356" i="3" a="1"/>
  <c r="N356" i="3" s="1"/>
  <c r="M356" i="3" a="1"/>
  <c r="M356" i="3" s="1"/>
  <c r="L356" i="3" a="1"/>
  <c r="L356" i="3" s="1"/>
  <c r="K356" i="3" a="1"/>
  <c r="K356" i="3" s="1"/>
  <c r="J356" i="3" a="1"/>
  <c r="J356" i="3" s="1"/>
  <c r="I356" i="3" a="1"/>
  <c r="I356" i="3" s="1"/>
  <c r="G356" i="3" a="1"/>
  <c r="G356" i="3" s="1"/>
  <c r="F356" i="3" a="1"/>
  <c r="F356" i="3" s="1"/>
  <c r="E356" i="3" a="1"/>
  <c r="E356" i="3" s="1"/>
  <c r="D356" i="3" a="1"/>
  <c r="D356" i="3" s="1"/>
  <c r="C356" i="3" a="1"/>
  <c r="C356" i="3" s="1"/>
  <c r="B356" i="3" a="1"/>
  <c r="B356" i="3" s="1"/>
  <c r="Z355" i="3" a="1"/>
  <c r="Z355" i="3" s="1"/>
  <c r="Y355" i="3" a="1"/>
  <c r="Y355" i="3" s="1"/>
  <c r="X355" i="3" a="1"/>
  <c r="X355" i="3" s="1"/>
  <c r="W355" i="3" a="1"/>
  <c r="W355" i="3" s="1"/>
  <c r="V355" i="3" a="1"/>
  <c r="V355" i="3" s="1"/>
  <c r="U355" i="3" a="1"/>
  <c r="U355" i="3" s="1"/>
  <c r="T355" i="3" a="1"/>
  <c r="T355" i="3" s="1"/>
  <c r="S355" i="3" a="1"/>
  <c r="S355" i="3" s="1"/>
  <c r="R355" i="3" a="1"/>
  <c r="R355" i="3" s="1"/>
  <c r="Q355" i="3" a="1"/>
  <c r="Q355" i="3" s="1"/>
  <c r="P355" i="3" a="1"/>
  <c r="P355" i="3" s="1"/>
  <c r="O355" i="3" a="1"/>
  <c r="O355" i="3" s="1"/>
  <c r="N355" i="3" a="1"/>
  <c r="N355" i="3" s="1"/>
  <c r="M355" i="3" a="1"/>
  <c r="M355" i="3" s="1"/>
  <c r="L355" i="3" a="1"/>
  <c r="L355" i="3" s="1"/>
  <c r="K355" i="3" a="1"/>
  <c r="K355" i="3" s="1"/>
  <c r="J355" i="3" a="1"/>
  <c r="J355" i="3" s="1"/>
  <c r="I355" i="3" a="1"/>
  <c r="I355" i="3" s="1"/>
  <c r="G355" i="3" a="1"/>
  <c r="G355" i="3" s="1"/>
  <c r="F355" i="3" a="1"/>
  <c r="F355" i="3" s="1"/>
  <c r="E355" i="3" a="1"/>
  <c r="E355" i="3" s="1"/>
  <c r="D355" i="3" a="1"/>
  <c r="D355" i="3" s="1"/>
  <c r="C355" i="3" a="1"/>
  <c r="C355" i="3" s="1"/>
  <c r="B355" i="3" a="1"/>
  <c r="B355" i="3" s="1"/>
  <c r="Z354" i="3" a="1"/>
  <c r="Z354" i="3" s="1"/>
  <c r="Y354" i="3" a="1"/>
  <c r="Y354" i="3" s="1"/>
  <c r="X354" i="3" a="1"/>
  <c r="X354" i="3" s="1"/>
  <c r="W354" i="3" a="1"/>
  <c r="W354" i="3" s="1"/>
  <c r="V354" i="3" a="1"/>
  <c r="V354" i="3" s="1"/>
  <c r="U354" i="3" a="1"/>
  <c r="U354" i="3" s="1"/>
  <c r="T354" i="3" a="1"/>
  <c r="T354" i="3" s="1"/>
  <c r="S354" i="3" a="1"/>
  <c r="S354" i="3" s="1"/>
  <c r="R354" i="3" a="1"/>
  <c r="R354" i="3" s="1"/>
  <c r="Q354" i="3" a="1"/>
  <c r="Q354" i="3" s="1"/>
  <c r="P354" i="3" a="1"/>
  <c r="P354" i="3" s="1"/>
  <c r="O354" i="3" a="1"/>
  <c r="O354" i="3" s="1"/>
  <c r="N354" i="3" a="1"/>
  <c r="N354" i="3" s="1"/>
  <c r="M354" i="3" a="1"/>
  <c r="M354" i="3" s="1"/>
  <c r="L354" i="3" a="1"/>
  <c r="L354" i="3" s="1"/>
  <c r="K354" i="3" a="1"/>
  <c r="K354" i="3" s="1"/>
  <c r="J354" i="3" a="1"/>
  <c r="J354" i="3" s="1"/>
  <c r="I354" i="3" a="1"/>
  <c r="I354" i="3" s="1"/>
  <c r="G354" i="3" a="1"/>
  <c r="G354" i="3" s="1"/>
  <c r="F354" i="3" a="1"/>
  <c r="F354" i="3" s="1"/>
  <c r="E354" i="3" a="1"/>
  <c r="E354" i="3" s="1"/>
  <c r="D354" i="3" a="1"/>
  <c r="D354" i="3" s="1"/>
  <c r="C354" i="3" a="1"/>
  <c r="C354" i="3" s="1"/>
  <c r="B354" i="3" a="1"/>
  <c r="B354" i="3" s="1"/>
  <c r="Z353" i="3" a="1"/>
  <c r="Z353" i="3" s="1"/>
  <c r="Y353" i="3" a="1"/>
  <c r="Y353" i="3" s="1"/>
  <c r="X353" i="3" a="1"/>
  <c r="X353" i="3" s="1"/>
  <c r="W353" i="3" a="1"/>
  <c r="W353" i="3" s="1"/>
  <c r="V353" i="3" a="1"/>
  <c r="V353" i="3" s="1"/>
  <c r="U353" i="3" a="1"/>
  <c r="U353" i="3" s="1"/>
  <c r="T353" i="3" a="1"/>
  <c r="T353" i="3" s="1"/>
  <c r="S353" i="3" a="1"/>
  <c r="S353" i="3" s="1"/>
  <c r="R353" i="3" a="1"/>
  <c r="R353" i="3" s="1"/>
  <c r="Q353" i="3" a="1"/>
  <c r="Q353" i="3" s="1"/>
  <c r="P353" i="3" a="1"/>
  <c r="P353" i="3" s="1"/>
  <c r="O353" i="3" a="1"/>
  <c r="O353" i="3" s="1"/>
  <c r="N353" i="3" a="1"/>
  <c r="N353" i="3" s="1"/>
  <c r="M353" i="3" a="1"/>
  <c r="M353" i="3" s="1"/>
  <c r="L353" i="3" a="1"/>
  <c r="L353" i="3" s="1"/>
  <c r="K353" i="3" a="1"/>
  <c r="K353" i="3" s="1"/>
  <c r="J353" i="3" a="1"/>
  <c r="J353" i="3" s="1"/>
  <c r="I353" i="3" a="1"/>
  <c r="I353" i="3" s="1"/>
  <c r="G353" i="3" a="1"/>
  <c r="G353" i="3" s="1"/>
  <c r="F353" i="3" a="1"/>
  <c r="F353" i="3" s="1"/>
  <c r="E353" i="3" a="1"/>
  <c r="E353" i="3" s="1"/>
  <c r="D353" i="3" a="1"/>
  <c r="D353" i="3" s="1"/>
  <c r="C353" i="3" a="1"/>
  <c r="C353" i="3" s="1"/>
  <c r="B353" i="3" a="1"/>
  <c r="B353" i="3" s="1"/>
  <c r="Z352" i="3" a="1"/>
  <c r="Z352" i="3" s="1"/>
  <c r="Y352" i="3" a="1"/>
  <c r="Y352" i="3" s="1"/>
  <c r="X352" i="3" a="1"/>
  <c r="X352" i="3" s="1"/>
  <c r="W352" i="3" a="1"/>
  <c r="W352" i="3" s="1"/>
  <c r="V352" i="3" a="1"/>
  <c r="V352" i="3" s="1"/>
  <c r="U352" i="3" a="1"/>
  <c r="U352" i="3" s="1"/>
  <c r="T352" i="3" a="1"/>
  <c r="T352" i="3" s="1"/>
  <c r="S352" i="3" a="1"/>
  <c r="S352" i="3" s="1"/>
  <c r="R352" i="3" a="1"/>
  <c r="R352" i="3" s="1"/>
  <c r="Q352" i="3" a="1"/>
  <c r="Q352" i="3" s="1"/>
  <c r="P352" i="3" a="1"/>
  <c r="P352" i="3" s="1"/>
  <c r="O352" i="3" a="1"/>
  <c r="O352" i="3" s="1"/>
  <c r="N352" i="3" a="1"/>
  <c r="N352" i="3" s="1"/>
  <c r="M352" i="3" a="1"/>
  <c r="M352" i="3" s="1"/>
  <c r="L352" i="3" a="1"/>
  <c r="L352" i="3" s="1"/>
  <c r="K352" i="3" a="1"/>
  <c r="K352" i="3" s="1"/>
  <c r="J352" i="3" a="1"/>
  <c r="J352" i="3" s="1"/>
  <c r="I352" i="3" a="1"/>
  <c r="I352" i="3" s="1"/>
  <c r="G352" i="3" a="1"/>
  <c r="G352" i="3" s="1"/>
  <c r="F352" i="3" a="1"/>
  <c r="F352" i="3" s="1"/>
  <c r="E352" i="3" a="1"/>
  <c r="E352" i="3" s="1"/>
  <c r="D352" i="3" a="1"/>
  <c r="D352" i="3" s="1"/>
  <c r="C352" i="3" a="1"/>
  <c r="C352" i="3" s="1"/>
  <c r="B352" i="3" a="1"/>
  <c r="B352" i="3" s="1"/>
  <c r="Z351" i="3" a="1"/>
  <c r="Z351" i="3" s="1"/>
  <c r="Y351" i="3" a="1"/>
  <c r="Y351" i="3" s="1"/>
  <c r="X351" i="3" a="1"/>
  <c r="X351" i="3" s="1"/>
  <c r="W351" i="3" a="1"/>
  <c r="W351" i="3" s="1"/>
  <c r="V351" i="3" a="1"/>
  <c r="V351" i="3" s="1"/>
  <c r="U351" i="3" a="1"/>
  <c r="U351" i="3" s="1"/>
  <c r="T351" i="3" a="1"/>
  <c r="T351" i="3" s="1"/>
  <c r="S351" i="3" a="1"/>
  <c r="S351" i="3" s="1"/>
  <c r="R351" i="3" a="1"/>
  <c r="R351" i="3" s="1"/>
  <c r="Q351" i="3" a="1"/>
  <c r="Q351" i="3" s="1"/>
  <c r="P351" i="3" a="1"/>
  <c r="P351" i="3" s="1"/>
  <c r="O351" i="3" a="1"/>
  <c r="O351" i="3" s="1"/>
  <c r="N351" i="3" a="1"/>
  <c r="N351" i="3" s="1"/>
  <c r="M351" i="3" a="1"/>
  <c r="M351" i="3" s="1"/>
  <c r="L351" i="3" a="1"/>
  <c r="L351" i="3" s="1"/>
  <c r="K351" i="3" a="1"/>
  <c r="K351" i="3" s="1"/>
  <c r="J351" i="3" a="1"/>
  <c r="J351" i="3" s="1"/>
  <c r="I351" i="3" a="1"/>
  <c r="I351" i="3" s="1"/>
  <c r="G351" i="3" a="1"/>
  <c r="G351" i="3" s="1"/>
  <c r="F351" i="3" a="1"/>
  <c r="F351" i="3" s="1"/>
  <c r="E351" i="3" a="1"/>
  <c r="E351" i="3" s="1"/>
  <c r="D351" i="3" a="1"/>
  <c r="D351" i="3" s="1"/>
  <c r="C351" i="3" a="1"/>
  <c r="C351" i="3" s="1"/>
  <c r="B351" i="3" a="1"/>
  <c r="B351" i="3" s="1"/>
  <c r="Z350" i="3" a="1"/>
  <c r="Z350" i="3" s="1"/>
  <c r="Y350" i="3" a="1"/>
  <c r="Y350" i="3" s="1"/>
  <c r="X350" i="3" a="1"/>
  <c r="X350" i="3" s="1"/>
  <c r="W350" i="3" a="1"/>
  <c r="W350" i="3" s="1"/>
  <c r="V350" i="3" a="1"/>
  <c r="V350" i="3" s="1"/>
  <c r="U350" i="3" a="1"/>
  <c r="U350" i="3" s="1"/>
  <c r="T350" i="3" a="1"/>
  <c r="T350" i="3" s="1"/>
  <c r="S350" i="3" a="1"/>
  <c r="S350" i="3" s="1"/>
  <c r="R350" i="3" a="1"/>
  <c r="R350" i="3" s="1"/>
  <c r="Q350" i="3" a="1"/>
  <c r="Q350" i="3" s="1"/>
  <c r="P350" i="3" a="1"/>
  <c r="P350" i="3" s="1"/>
  <c r="O350" i="3" a="1"/>
  <c r="O350" i="3" s="1"/>
  <c r="N350" i="3" a="1"/>
  <c r="N350" i="3" s="1"/>
  <c r="M350" i="3" a="1"/>
  <c r="M350" i="3" s="1"/>
  <c r="L350" i="3" a="1"/>
  <c r="L350" i="3" s="1"/>
  <c r="K350" i="3" a="1"/>
  <c r="K350" i="3" s="1"/>
  <c r="J350" i="3" a="1"/>
  <c r="J350" i="3" s="1"/>
  <c r="I350" i="3" a="1"/>
  <c r="I350" i="3" s="1"/>
  <c r="G350" i="3" a="1"/>
  <c r="G350" i="3" s="1"/>
  <c r="F350" i="3" a="1"/>
  <c r="F350" i="3" s="1"/>
  <c r="E350" i="3" a="1"/>
  <c r="E350" i="3" s="1"/>
  <c r="D350" i="3" a="1"/>
  <c r="D350" i="3" s="1"/>
  <c r="C350" i="3" a="1"/>
  <c r="C350" i="3" s="1"/>
  <c r="B350" i="3" a="1"/>
  <c r="B350" i="3" s="1"/>
  <c r="Q346" i="3" a="1"/>
  <c r="Q346" i="3" s="1"/>
  <c r="P346" i="3" a="1"/>
  <c r="P346" i="3" s="1"/>
  <c r="O346" i="3" a="1"/>
  <c r="O346" i="3" s="1"/>
  <c r="N346" i="3" a="1"/>
  <c r="N346" i="3" s="1"/>
  <c r="M346" i="3" a="1"/>
  <c r="M346" i="3" s="1"/>
  <c r="L346" i="3" a="1"/>
  <c r="L346" i="3" s="1"/>
  <c r="K346" i="3" a="1"/>
  <c r="K346" i="3" s="1"/>
  <c r="J346" i="3" a="1"/>
  <c r="J346" i="3" s="1"/>
  <c r="I346" i="3" a="1"/>
  <c r="I346" i="3" s="1"/>
  <c r="G346" i="3" a="1"/>
  <c r="G346" i="3" s="1"/>
  <c r="F346" i="3" a="1"/>
  <c r="F346" i="3" s="1"/>
  <c r="E346" i="3" a="1"/>
  <c r="E346" i="3" s="1"/>
  <c r="D346" i="3" a="1"/>
  <c r="D346" i="3" s="1"/>
  <c r="C346" i="3" a="1"/>
  <c r="C346" i="3" s="1"/>
  <c r="B346" i="3" a="1"/>
  <c r="B346" i="3" s="1"/>
  <c r="Q345" i="3" a="1"/>
  <c r="Q345" i="3" s="1"/>
  <c r="P345" i="3" a="1"/>
  <c r="P345" i="3" s="1"/>
  <c r="O345" i="3" a="1"/>
  <c r="O345" i="3" s="1"/>
  <c r="N345" i="3" a="1"/>
  <c r="N345" i="3" s="1"/>
  <c r="M345" i="3" a="1"/>
  <c r="M345" i="3" s="1"/>
  <c r="L345" i="3" a="1"/>
  <c r="L345" i="3" s="1"/>
  <c r="K345" i="3" a="1"/>
  <c r="K345" i="3" s="1"/>
  <c r="J345" i="3" a="1"/>
  <c r="J345" i="3" s="1"/>
  <c r="I345" i="3" a="1"/>
  <c r="I345" i="3" s="1"/>
  <c r="G345" i="3" a="1"/>
  <c r="G345" i="3" s="1"/>
  <c r="F345" i="3" a="1"/>
  <c r="F345" i="3" s="1"/>
  <c r="E345" i="3" a="1"/>
  <c r="E345" i="3" s="1"/>
  <c r="D345" i="3" a="1"/>
  <c r="D345" i="3" s="1"/>
  <c r="C345" i="3" a="1"/>
  <c r="C345" i="3" s="1"/>
  <c r="B345" i="3" a="1"/>
  <c r="B345" i="3" s="1"/>
  <c r="T344" i="3" a="1"/>
  <c r="T344" i="3" s="1"/>
  <c r="Q344" i="3" a="1"/>
  <c r="Q344" i="3" s="1"/>
  <c r="P344" i="3" a="1"/>
  <c r="P344" i="3" s="1"/>
  <c r="O344" i="3" a="1"/>
  <c r="O344" i="3" s="1"/>
  <c r="N344" i="3" a="1"/>
  <c r="N344" i="3" s="1"/>
  <c r="M344" i="3" a="1"/>
  <c r="M344" i="3" s="1"/>
  <c r="L344" i="3" a="1"/>
  <c r="L344" i="3" s="1"/>
  <c r="K344" i="3" a="1"/>
  <c r="K344" i="3" s="1"/>
  <c r="J344" i="3" a="1"/>
  <c r="J344" i="3" s="1"/>
  <c r="I344" i="3" a="1"/>
  <c r="I344" i="3" s="1"/>
  <c r="G344" i="3" a="1"/>
  <c r="G344" i="3" s="1"/>
  <c r="F344" i="3" a="1"/>
  <c r="F344" i="3" s="1"/>
  <c r="E344" i="3" a="1"/>
  <c r="E344" i="3" s="1"/>
  <c r="D344" i="3" a="1"/>
  <c r="D344" i="3" s="1"/>
  <c r="C344" i="3" a="1"/>
  <c r="C344" i="3" s="1"/>
  <c r="B344" i="3" a="1"/>
  <c r="B344" i="3" s="1"/>
  <c r="Z340" i="3" a="1"/>
  <c r="Z340" i="3" s="1"/>
  <c r="Y340" i="3" a="1"/>
  <c r="Y340" i="3" s="1"/>
  <c r="X340" i="3" a="1"/>
  <c r="X340" i="3" s="1"/>
  <c r="W340" i="3" a="1"/>
  <c r="W340" i="3" s="1"/>
  <c r="V340" i="3" a="1"/>
  <c r="V340" i="3" s="1"/>
  <c r="U340" i="3" a="1"/>
  <c r="U340" i="3" s="1"/>
  <c r="T340" i="3" a="1"/>
  <c r="T340" i="3" s="1"/>
  <c r="S340" i="3" a="1"/>
  <c r="S340" i="3" s="1"/>
  <c r="R340" i="3" a="1"/>
  <c r="R340" i="3" s="1"/>
  <c r="Q340" i="3" a="1"/>
  <c r="Q340" i="3" s="1"/>
  <c r="P340" i="3" a="1"/>
  <c r="P340" i="3" s="1"/>
  <c r="O340" i="3" a="1"/>
  <c r="O340" i="3" s="1"/>
  <c r="N340" i="3" a="1"/>
  <c r="N340" i="3" s="1"/>
  <c r="M340" i="3" a="1"/>
  <c r="M340" i="3" s="1"/>
  <c r="L340" i="3" a="1"/>
  <c r="L340" i="3" s="1"/>
  <c r="K340" i="3" a="1"/>
  <c r="K340" i="3" s="1"/>
  <c r="J340" i="3" a="1"/>
  <c r="J340" i="3" s="1"/>
  <c r="I340" i="3" a="1"/>
  <c r="I340" i="3" s="1"/>
  <c r="G340" i="3" a="1"/>
  <c r="G340" i="3" s="1"/>
  <c r="F340" i="3" a="1"/>
  <c r="F340" i="3" s="1"/>
  <c r="E340" i="3" a="1"/>
  <c r="E340" i="3" s="1"/>
  <c r="D340" i="3" a="1"/>
  <c r="D340" i="3" s="1"/>
  <c r="C340" i="3" a="1"/>
  <c r="C340" i="3" s="1"/>
  <c r="B340" i="3" a="1"/>
  <c r="B340" i="3" s="1"/>
  <c r="Z339" i="3" a="1"/>
  <c r="Z339" i="3" s="1"/>
  <c r="Y339" i="3" a="1"/>
  <c r="Y339" i="3" s="1"/>
  <c r="X339" i="3" a="1"/>
  <c r="X339" i="3" s="1"/>
  <c r="W339" i="3" a="1"/>
  <c r="W339" i="3" s="1"/>
  <c r="V339" i="3" a="1"/>
  <c r="V339" i="3" s="1"/>
  <c r="U339" i="3" a="1"/>
  <c r="U339" i="3" s="1"/>
  <c r="T339" i="3" a="1"/>
  <c r="T339" i="3" s="1"/>
  <c r="S339" i="3" a="1"/>
  <c r="S339" i="3" s="1"/>
  <c r="R339" i="3" a="1"/>
  <c r="R339" i="3" s="1"/>
  <c r="Q339" i="3" a="1"/>
  <c r="Q339" i="3" s="1"/>
  <c r="P339" i="3" a="1"/>
  <c r="P339" i="3" s="1"/>
  <c r="O339" i="3" a="1"/>
  <c r="O339" i="3" s="1"/>
  <c r="N339" i="3" a="1"/>
  <c r="N339" i="3" s="1"/>
  <c r="M339" i="3" a="1"/>
  <c r="M339" i="3" s="1"/>
  <c r="L339" i="3" a="1"/>
  <c r="L339" i="3" s="1"/>
  <c r="K339" i="3" a="1"/>
  <c r="K339" i="3" s="1"/>
  <c r="J339" i="3" a="1"/>
  <c r="J339" i="3" s="1"/>
  <c r="I339" i="3" a="1"/>
  <c r="I339" i="3" s="1"/>
  <c r="G339" i="3" a="1"/>
  <c r="G339" i="3" s="1"/>
  <c r="F339" i="3" a="1"/>
  <c r="F339" i="3" s="1"/>
  <c r="E339" i="3" a="1"/>
  <c r="E339" i="3" s="1"/>
  <c r="D339" i="3" a="1"/>
  <c r="D339" i="3" s="1"/>
  <c r="C339" i="3" a="1"/>
  <c r="C339" i="3" s="1"/>
  <c r="B339" i="3" a="1"/>
  <c r="B339" i="3" s="1"/>
  <c r="Z338" i="3" a="1"/>
  <c r="Z338" i="3" s="1"/>
  <c r="Y338" i="3" a="1"/>
  <c r="Y338" i="3" s="1"/>
  <c r="X338" i="3" a="1"/>
  <c r="X338" i="3" s="1"/>
  <c r="W338" i="3" a="1"/>
  <c r="W338" i="3" s="1"/>
  <c r="V338" i="3" a="1"/>
  <c r="V338" i="3" s="1"/>
  <c r="U338" i="3" a="1"/>
  <c r="U338" i="3" s="1"/>
  <c r="T338" i="3" a="1"/>
  <c r="T338" i="3" s="1"/>
  <c r="S338" i="3" a="1"/>
  <c r="S338" i="3" s="1"/>
  <c r="R338" i="3" a="1"/>
  <c r="R338" i="3" s="1"/>
  <c r="Q338" i="3" a="1"/>
  <c r="Q338" i="3" s="1"/>
  <c r="P338" i="3" a="1"/>
  <c r="P338" i="3" s="1"/>
  <c r="O338" i="3" a="1"/>
  <c r="O338" i="3" s="1"/>
  <c r="N338" i="3" a="1"/>
  <c r="N338" i="3" s="1"/>
  <c r="M338" i="3" a="1"/>
  <c r="M338" i="3" s="1"/>
  <c r="L338" i="3" a="1"/>
  <c r="L338" i="3" s="1"/>
  <c r="K338" i="3" a="1"/>
  <c r="K338" i="3" s="1"/>
  <c r="J338" i="3" a="1"/>
  <c r="J338" i="3" s="1"/>
  <c r="I338" i="3" a="1"/>
  <c r="I338" i="3" s="1"/>
  <c r="G338" i="3" a="1"/>
  <c r="G338" i="3" s="1"/>
  <c r="F338" i="3" a="1"/>
  <c r="F338" i="3" s="1"/>
  <c r="E338" i="3" a="1"/>
  <c r="E338" i="3" s="1"/>
  <c r="D338" i="3" a="1"/>
  <c r="D338" i="3" s="1"/>
  <c r="C338" i="3" a="1"/>
  <c r="C338" i="3" s="1"/>
  <c r="B338" i="3" a="1"/>
  <c r="B338" i="3" s="1"/>
  <c r="Z337" i="3" a="1"/>
  <c r="Z337" i="3" s="1"/>
  <c r="Y337" i="3" a="1"/>
  <c r="Y337" i="3" s="1"/>
  <c r="X337" i="3" a="1"/>
  <c r="X337" i="3" s="1"/>
  <c r="W337" i="3" a="1"/>
  <c r="W337" i="3" s="1"/>
  <c r="V337" i="3" a="1"/>
  <c r="V337" i="3" s="1"/>
  <c r="U337" i="3" a="1"/>
  <c r="U337" i="3" s="1"/>
  <c r="T337" i="3" a="1"/>
  <c r="T337" i="3" s="1"/>
  <c r="S337" i="3" a="1"/>
  <c r="S337" i="3" s="1"/>
  <c r="R337" i="3" a="1"/>
  <c r="R337" i="3" s="1"/>
  <c r="Q337" i="3" a="1"/>
  <c r="Q337" i="3" s="1"/>
  <c r="P337" i="3" a="1"/>
  <c r="P337" i="3" s="1"/>
  <c r="O337" i="3" a="1"/>
  <c r="O337" i="3" s="1"/>
  <c r="N337" i="3" a="1"/>
  <c r="N337" i="3" s="1"/>
  <c r="M337" i="3" a="1"/>
  <c r="M337" i="3" s="1"/>
  <c r="L337" i="3" a="1"/>
  <c r="L337" i="3" s="1"/>
  <c r="K337" i="3" a="1"/>
  <c r="K337" i="3" s="1"/>
  <c r="J337" i="3" a="1"/>
  <c r="J337" i="3" s="1"/>
  <c r="I337" i="3" a="1"/>
  <c r="I337" i="3" s="1"/>
  <c r="G337" i="3" a="1"/>
  <c r="G337" i="3" s="1"/>
  <c r="F337" i="3" a="1"/>
  <c r="F337" i="3" s="1"/>
  <c r="E337" i="3" a="1"/>
  <c r="E337" i="3" s="1"/>
  <c r="D337" i="3" a="1"/>
  <c r="D337" i="3" s="1"/>
  <c r="C337" i="3" a="1"/>
  <c r="C337" i="3" s="1"/>
  <c r="B337" i="3" a="1"/>
  <c r="B337" i="3" s="1"/>
  <c r="Z336" i="3" a="1"/>
  <c r="Z336" i="3" s="1"/>
  <c r="Y336" i="3" a="1"/>
  <c r="Y336" i="3" s="1"/>
  <c r="X336" i="3" a="1"/>
  <c r="X336" i="3" s="1"/>
  <c r="W336" i="3" a="1"/>
  <c r="W336" i="3" s="1"/>
  <c r="V336" i="3" a="1"/>
  <c r="V336" i="3" s="1"/>
  <c r="U336" i="3" a="1"/>
  <c r="U336" i="3" s="1"/>
  <c r="T336" i="3" a="1"/>
  <c r="T336" i="3" s="1"/>
  <c r="S336" i="3" a="1"/>
  <c r="S336" i="3" s="1"/>
  <c r="R336" i="3" a="1"/>
  <c r="R336" i="3" s="1"/>
  <c r="Q336" i="3" a="1"/>
  <c r="Q336" i="3" s="1"/>
  <c r="P336" i="3" a="1"/>
  <c r="P336" i="3" s="1"/>
  <c r="O336" i="3" a="1"/>
  <c r="O336" i="3" s="1"/>
  <c r="N336" i="3" a="1"/>
  <c r="N336" i="3" s="1"/>
  <c r="M336" i="3" a="1"/>
  <c r="M336" i="3" s="1"/>
  <c r="L336" i="3" a="1"/>
  <c r="L336" i="3" s="1"/>
  <c r="K336" i="3" a="1"/>
  <c r="K336" i="3" s="1"/>
  <c r="J336" i="3" a="1"/>
  <c r="J336" i="3" s="1"/>
  <c r="I336" i="3" a="1"/>
  <c r="I336" i="3" s="1"/>
  <c r="G336" i="3" a="1"/>
  <c r="G336" i="3" s="1"/>
  <c r="F336" i="3" a="1"/>
  <c r="F336" i="3" s="1"/>
  <c r="E336" i="3" a="1"/>
  <c r="E336" i="3" s="1"/>
  <c r="D336" i="3" a="1"/>
  <c r="D336" i="3" s="1"/>
  <c r="C336" i="3" a="1"/>
  <c r="C336" i="3" s="1"/>
  <c r="B336" i="3" a="1"/>
  <c r="B336" i="3" s="1"/>
  <c r="Z335" i="3" a="1"/>
  <c r="Z335" i="3" s="1"/>
  <c r="Y335" i="3" a="1"/>
  <c r="Y335" i="3" s="1"/>
  <c r="X335" i="3" a="1"/>
  <c r="X335" i="3" s="1"/>
  <c r="W335" i="3" a="1"/>
  <c r="W335" i="3" s="1"/>
  <c r="V335" i="3" a="1"/>
  <c r="V335" i="3" s="1"/>
  <c r="U335" i="3" a="1"/>
  <c r="U335" i="3" s="1"/>
  <c r="T335" i="3" a="1"/>
  <c r="T335" i="3" s="1"/>
  <c r="S335" i="3" a="1"/>
  <c r="S335" i="3" s="1"/>
  <c r="R335" i="3" a="1"/>
  <c r="R335" i="3" s="1"/>
  <c r="Q335" i="3" a="1"/>
  <c r="Q335" i="3" s="1"/>
  <c r="P335" i="3" a="1"/>
  <c r="P335" i="3" s="1"/>
  <c r="O335" i="3" a="1"/>
  <c r="O335" i="3" s="1"/>
  <c r="N335" i="3" a="1"/>
  <c r="N335" i="3" s="1"/>
  <c r="M335" i="3" a="1"/>
  <c r="M335" i="3" s="1"/>
  <c r="L335" i="3" a="1"/>
  <c r="L335" i="3" s="1"/>
  <c r="K335" i="3" a="1"/>
  <c r="K335" i="3" s="1"/>
  <c r="J335" i="3" a="1"/>
  <c r="J335" i="3" s="1"/>
  <c r="I335" i="3" a="1"/>
  <c r="I335" i="3" s="1"/>
  <c r="G335" i="3" a="1"/>
  <c r="G335" i="3" s="1"/>
  <c r="F335" i="3" a="1"/>
  <c r="F335" i="3" s="1"/>
  <c r="E335" i="3" a="1"/>
  <c r="E335" i="3" s="1"/>
  <c r="D335" i="3" a="1"/>
  <c r="D335" i="3" s="1"/>
  <c r="C335" i="3" a="1"/>
  <c r="C335" i="3" s="1"/>
  <c r="B335" i="3" a="1"/>
  <c r="B335" i="3" s="1"/>
  <c r="Z334" i="3" a="1"/>
  <c r="Z334" i="3" s="1"/>
  <c r="Y334" i="3" a="1"/>
  <c r="Y334" i="3" s="1"/>
  <c r="X334" i="3" a="1"/>
  <c r="X334" i="3" s="1"/>
  <c r="W334" i="3" a="1"/>
  <c r="W334" i="3" s="1"/>
  <c r="V334" i="3" a="1"/>
  <c r="V334" i="3" s="1"/>
  <c r="U334" i="3" a="1"/>
  <c r="U334" i="3" s="1"/>
  <c r="T334" i="3" a="1"/>
  <c r="T334" i="3" s="1"/>
  <c r="S334" i="3" a="1"/>
  <c r="S334" i="3" s="1"/>
  <c r="R334" i="3" a="1"/>
  <c r="R334" i="3" s="1"/>
  <c r="Q334" i="3" a="1"/>
  <c r="Q334" i="3" s="1"/>
  <c r="P334" i="3" a="1"/>
  <c r="P334" i="3" s="1"/>
  <c r="O334" i="3" a="1"/>
  <c r="O334" i="3" s="1"/>
  <c r="N334" i="3" a="1"/>
  <c r="N334" i="3" s="1"/>
  <c r="M334" i="3" a="1"/>
  <c r="M334" i="3" s="1"/>
  <c r="L334" i="3" a="1"/>
  <c r="L334" i="3" s="1"/>
  <c r="K334" i="3" a="1"/>
  <c r="K334" i="3" s="1"/>
  <c r="J334" i="3" a="1"/>
  <c r="J334" i="3" s="1"/>
  <c r="I334" i="3" a="1"/>
  <c r="I334" i="3" s="1"/>
  <c r="G334" i="3" a="1"/>
  <c r="G334" i="3" s="1"/>
  <c r="F334" i="3" a="1"/>
  <c r="F334" i="3" s="1"/>
  <c r="E334" i="3" a="1"/>
  <c r="E334" i="3" s="1"/>
  <c r="D334" i="3" a="1"/>
  <c r="D334" i="3" s="1"/>
  <c r="C334" i="3" a="1"/>
  <c r="C334" i="3" s="1"/>
  <c r="B334" i="3" a="1"/>
  <c r="B334" i="3" s="1"/>
  <c r="Z333" i="3" a="1"/>
  <c r="Z333" i="3" s="1"/>
  <c r="Y333" i="3" a="1"/>
  <c r="Y333" i="3" s="1"/>
  <c r="X333" i="3" a="1"/>
  <c r="X333" i="3" s="1"/>
  <c r="W333" i="3" a="1"/>
  <c r="W333" i="3" s="1"/>
  <c r="V333" i="3" a="1"/>
  <c r="V333" i="3" s="1"/>
  <c r="U333" i="3" a="1"/>
  <c r="U333" i="3" s="1"/>
  <c r="T333" i="3" a="1"/>
  <c r="T333" i="3" s="1"/>
  <c r="S333" i="3" a="1"/>
  <c r="S333" i="3" s="1"/>
  <c r="R333" i="3" a="1"/>
  <c r="R333" i="3" s="1"/>
  <c r="Q333" i="3" a="1"/>
  <c r="Q333" i="3" s="1"/>
  <c r="P333" i="3" a="1"/>
  <c r="P333" i="3" s="1"/>
  <c r="O333" i="3" a="1"/>
  <c r="O333" i="3" s="1"/>
  <c r="N333" i="3" a="1"/>
  <c r="N333" i="3" s="1"/>
  <c r="M333" i="3" a="1"/>
  <c r="M333" i="3" s="1"/>
  <c r="L333" i="3" a="1"/>
  <c r="L333" i="3" s="1"/>
  <c r="K333" i="3" a="1"/>
  <c r="K333" i="3" s="1"/>
  <c r="J333" i="3" a="1"/>
  <c r="J333" i="3" s="1"/>
  <c r="I333" i="3" a="1"/>
  <c r="I333" i="3" s="1"/>
  <c r="G333" i="3" a="1"/>
  <c r="G333" i="3" s="1"/>
  <c r="F333" i="3" a="1"/>
  <c r="F333" i="3" s="1"/>
  <c r="E333" i="3" a="1"/>
  <c r="E333" i="3" s="1"/>
  <c r="D333" i="3" a="1"/>
  <c r="D333" i="3" s="1"/>
  <c r="C333" i="3" a="1"/>
  <c r="C333" i="3" s="1"/>
  <c r="B333" i="3" a="1"/>
  <c r="B333" i="3" s="1"/>
  <c r="Z332" i="3" a="1"/>
  <c r="Z332" i="3" s="1"/>
  <c r="Y332" i="3" a="1"/>
  <c r="Y332" i="3" s="1"/>
  <c r="X332" i="3" a="1"/>
  <c r="X332" i="3" s="1"/>
  <c r="W332" i="3" a="1"/>
  <c r="W332" i="3" s="1"/>
  <c r="V332" i="3" a="1"/>
  <c r="V332" i="3" s="1"/>
  <c r="U332" i="3" a="1"/>
  <c r="U332" i="3" s="1"/>
  <c r="T332" i="3" a="1"/>
  <c r="T332" i="3" s="1"/>
  <c r="S332" i="3" a="1"/>
  <c r="S332" i="3" s="1"/>
  <c r="R332" i="3" a="1"/>
  <c r="R332" i="3" s="1"/>
  <c r="Q332" i="3" a="1"/>
  <c r="Q332" i="3" s="1"/>
  <c r="P332" i="3" a="1"/>
  <c r="P332" i="3" s="1"/>
  <c r="O332" i="3" a="1"/>
  <c r="O332" i="3" s="1"/>
  <c r="N332" i="3" a="1"/>
  <c r="N332" i="3" s="1"/>
  <c r="M332" i="3" a="1"/>
  <c r="M332" i="3" s="1"/>
  <c r="L332" i="3" a="1"/>
  <c r="L332" i="3" s="1"/>
  <c r="K332" i="3" a="1"/>
  <c r="K332" i="3" s="1"/>
  <c r="J332" i="3" a="1"/>
  <c r="J332" i="3" s="1"/>
  <c r="I332" i="3" a="1"/>
  <c r="I332" i="3" s="1"/>
  <c r="G332" i="3" a="1"/>
  <c r="G332" i="3" s="1"/>
  <c r="F332" i="3" a="1"/>
  <c r="F332" i="3" s="1"/>
  <c r="E332" i="3" a="1"/>
  <c r="E332" i="3" s="1"/>
  <c r="D332" i="3" a="1"/>
  <c r="D332" i="3" s="1"/>
  <c r="C332" i="3" a="1"/>
  <c r="C332" i="3" s="1"/>
  <c r="B332" i="3" a="1"/>
  <c r="B332" i="3" s="1"/>
  <c r="Z331" i="3" a="1"/>
  <c r="Z331" i="3" s="1"/>
  <c r="Y331" i="3" a="1"/>
  <c r="Y331" i="3" s="1"/>
  <c r="X331" i="3" a="1"/>
  <c r="X331" i="3" s="1"/>
  <c r="W331" i="3" a="1"/>
  <c r="W331" i="3" s="1"/>
  <c r="V331" i="3" a="1"/>
  <c r="V331" i="3" s="1"/>
  <c r="U331" i="3" a="1"/>
  <c r="U331" i="3" s="1"/>
  <c r="T331" i="3" a="1"/>
  <c r="T331" i="3" s="1"/>
  <c r="S331" i="3" a="1"/>
  <c r="S331" i="3" s="1"/>
  <c r="R331" i="3" a="1"/>
  <c r="R331" i="3" s="1"/>
  <c r="Q331" i="3" a="1"/>
  <c r="Q331" i="3" s="1"/>
  <c r="P331" i="3" a="1"/>
  <c r="P331" i="3" s="1"/>
  <c r="O331" i="3" a="1"/>
  <c r="O331" i="3" s="1"/>
  <c r="N331" i="3" a="1"/>
  <c r="N331" i="3" s="1"/>
  <c r="M331" i="3" a="1"/>
  <c r="M331" i="3" s="1"/>
  <c r="L331" i="3" a="1"/>
  <c r="L331" i="3" s="1"/>
  <c r="K331" i="3" a="1"/>
  <c r="K331" i="3" s="1"/>
  <c r="J331" i="3" a="1"/>
  <c r="J331" i="3" s="1"/>
  <c r="I331" i="3" a="1"/>
  <c r="I331" i="3" s="1"/>
  <c r="G331" i="3" a="1"/>
  <c r="G331" i="3" s="1"/>
  <c r="F331" i="3" a="1"/>
  <c r="F331" i="3" s="1"/>
  <c r="E331" i="3" a="1"/>
  <c r="E331" i="3" s="1"/>
  <c r="D331" i="3" a="1"/>
  <c r="D331" i="3" s="1"/>
  <c r="C331" i="3" a="1"/>
  <c r="C331" i="3" s="1"/>
  <c r="B331" i="3" a="1"/>
  <c r="B331" i="3" s="1"/>
  <c r="Z330" i="3" a="1"/>
  <c r="Z330" i="3" s="1"/>
  <c r="Y330" i="3" a="1"/>
  <c r="Y330" i="3" s="1"/>
  <c r="X330" i="3" a="1"/>
  <c r="X330" i="3" s="1"/>
  <c r="W330" i="3" a="1"/>
  <c r="W330" i="3" s="1"/>
  <c r="V330" i="3" a="1"/>
  <c r="V330" i="3" s="1"/>
  <c r="U330" i="3" a="1"/>
  <c r="U330" i="3" s="1"/>
  <c r="T330" i="3" a="1"/>
  <c r="T330" i="3" s="1"/>
  <c r="S330" i="3" a="1"/>
  <c r="S330" i="3" s="1"/>
  <c r="R330" i="3" a="1"/>
  <c r="R330" i="3" s="1"/>
  <c r="Q330" i="3" a="1"/>
  <c r="Q330" i="3" s="1"/>
  <c r="P330" i="3" a="1"/>
  <c r="P330" i="3" s="1"/>
  <c r="O330" i="3" a="1"/>
  <c r="O330" i="3" s="1"/>
  <c r="N330" i="3" a="1"/>
  <c r="N330" i="3" s="1"/>
  <c r="M330" i="3" a="1"/>
  <c r="M330" i="3" s="1"/>
  <c r="L330" i="3" a="1"/>
  <c r="L330" i="3" s="1"/>
  <c r="K330" i="3" a="1"/>
  <c r="K330" i="3" s="1"/>
  <c r="J330" i="3" a="1"/>
  <c r="J330" i="3" s="1"/>
  <c r="I330" i="3" a="1"/>
  <c r="I330" i="3" s="1"/>
  <c r="G330" i="3" a="1"/>
  <c r="G330" i="3" s="1"/>
  <c r="F330" i="3" a="1"/>
  <c r="F330" i="3" s="1"/>
  <c r="E330" i="3" a="1"/>
  <c r="E330" i="3" s="1"/>
  <c r="D330" i="3" a="1"/>
  <c r="D330" i="3" s="1"/>
  <c r="C330" i="3" a="1"/>
  <c r="C330" i="3" s="1"/>
  <c r="B330" i="3" a="1"/>
  <c r="B330" i="3" s="1"/>
  <c r="Z329" i="3" a="1"/>
  <c r="Z329" i="3" s="1"/>
  <c r="Y329" i="3" a="1"/>
  <c r="Y329" i="3" s="1"/>
  <c r="X329" i="3" a="1"/>
  <c r="X329" i="3" s="1"/>
  <c r="W329" i="3" a="1"/>
  <c r="W329" i="3" s="1"/>
  <c r="V329" i="3" a="1"/>
  <c r="V329" i="3" s="1"/>
  <c r="U329" i="3" a="1"/>
  <c r="U329" i="3" s="1"/>
  <c r="T329" i="3" a="1"/>
  <c r="T329" i="3" s="1"/>
  <c r="S329" i="3" a="1"/>
  <c r="S329" i="3" s="1"/>
  <c r="R329" i="3" a="1"/>
  <c r="R329" i="3" s="1"/>
  <c r="Q329" i="3" a="1"/>
  <c r="Q329" i="3" s="1"/>
  <c r="P329" i="3" a="1"/>
  <c r="P329" i="3" s="1"/>
  <c r="O329" i="3" a="1"/>
  <c r="O329" i="3" s="1"/>
  <c r="N329" i="3" a="1"/>
  <c r="N329" i="3" s="1"/>
  <c r="M329" i="3" a="1"/>
  <c r="M329" i="3" s="1"/>
  <c r="L329" i="3" a="1"/>
  <c r="L329" i="3" s="1"/>
  <c r="K329" i="3" a="1"/>
  <c r="K329" i="3" s="1"/>
  <c r="J329" i="3" a="1"/>
  <c r="J329" i="3" s="1"/>
  <c r="I329" i="3" a="1"/>
  <c r="I329" i="3" s="1"/>
  <c r="G329" i="3" a="1"/>
  <c r="G329" i="3" s="1"/>
  <c r="F329" i="3" a="1"/>
  <c r="F329" i="3" s="1"/>
  <c r="E329" i="3" a="1"/>
  <c r="E329" i="3" s="1"/>
  <c r="D329" i="3" a="1"/>
  <c r="D329" i="3" s="1"/>
  <c r="C329" i="3" a="1"/>
  <c r="C329" i="3" s="1"/>
  <c r="B329" i="3" a="1"/>
  <c r="B329" i="3" s="1"/>
  <c r="Z328" i="3" a="1"/>
  <c r="Z328" i="3" s="1"/>
  <c r="Y328" i="3" a="1"/>
  <c r="Y328" i="3" s="1"/>
  <c r="X328" i="3" a="1"/>
  <c r="X328" i="3" s="1"/>
  <c r="W328" i="3" a="1"/>
  <c r="W328" i="3" s="1"/>
  <c r="V328" i="3" a="1"/>
  <c r="V328" i="3" s="1"/>
  <c r="U328" i="3" a="1"/>
  <c r="U328" i="3" s="1"/>
  <c r="T328" i="3" a="1"/>
  <c r="T328" i="3" s="1"/>
  <c r="S328" i="3" a="1"/>
  <c r="S328" i="3" s="1"/>
  <c r="R328" i="3" a="1"/>
  <c r="R328" i="3" s="1"/>
  <c r="Q328" i="3" a="1"/>
  <c r="Q328" i="3" s="1"/>
  <c r="P328" i="3" a="1"/>
  <c r="P328" i="3" s="1"/>
  <c r="O328" i="3" a="1"/>
  <c r="O328" i="3" s="1"/>
  <c r="N328" i="3" a="1"/>
  <c r="N328" i="3" s="1"/>
  <c r="M328" i="3" a="1"/>
  <c r="M328" i="3" s="1"/>
  <c r="L328" i="3" a="1"/>
  <c r="L328" i="3" s="1"/>
  <c r="K328" i="3" a="1"/>
  <c r="K328" i="3" s="1"/>
  <c r="J328" i="3" a="1"/>
  <c r="J328" i="3" s="1"/>
  <c r="I328" i="3" a="1"/>
  <c r="I328" i="3" s="1"/>
  <c r="G328" i="3" a="1"/>
  <c r="G328" i="3" s="1"/>
  <c r="F328" i="3" a="1"/>
  <c r="F328" i="3" s="1"/>
  <c r="E328" i="3" a="1"/>
  <c r="E328" i="3" s="1"/>
  <c r="D328" i="3" a="1"/>
  <c r="D328" i="3" s="1"/>
  <c r="C328" i="3" a="1"/>
  <c r="C328" i="3" s="1"/>
  <c r="B328" i="3" a="1"/>
  <c r="B328" i="3" s="1"/>
  <c r="Z327" i="3" a="1"/>
  <c r="Z327" i="3" s="1"/>
  <c r="Y327" i="3" a="1"/>
  <c r="Y327" i="3" s="1"/>
  <c r="X327" i="3" a="1"/>
  <c r="X327" i="3" s="1"/>
  <c r="W327" i="3" a="1"/>
  <c r="W327" i="3" s="1"/>
  <c r="V327" i="3" a="1"/>
  <c r="V327" i="3" s="1"/>
  <c r="U327" i="3" a="1"/>
  <c r="U327" i="3" s="1"/>
  <c r="T327" i="3" a="1"/>
  <c r="T327" i="3" s="1"/>
  <c r="S327" i="3" a="1"/>
  <c r="S327" i="3" s="1"/>
  <c r="R327" i="3" a="1"/>
  <c r="R327" i="3" s="1"/>
  <c r="Q327" i="3" a="1"/>
  <c r="Q327" i="3" s="1"/>
  <c r="P327" i="3" a="1"/>
  <c r="P327" i="3" s="1"/>
  <c r="O327" i="3" a="1"/>
  <c r="O327" i="3" s="1"/>
  <c r="N327" i="3" a="1"/>
  <c r="N327" i="3" s="1"/>
  <c r="M327" i="3" a="1"/>
  <c r="M327" i="3" s="1"/>
  <c r="L327" i="3" a="1"/>
  <c r="L327" i="3" s="1"/>
  <c r="K327" i="3" a="1"/>
  <c r="K327" i="3" s="1"/>
  <c r="J327" i="3" a="1"/>
  <c r="J327" i="3" s="1"/>
  <c r="I327" i="3" a="1"/>
  <c r="I327" i="3" s="1"/>
  <c r="G327" i="3" a="1"/>
  <c r="G327" i="3" s="1"/>
  <c r="F327" i="3" a="1"/>
  <c r="F327" i="3" s="1"/>
  <c r="E327" i="3" a="1"/>
  <c r="E327" i="3" s="1"/>
  <c r="D327" i="3" a="1"/>
  <c r="D327" i="3" s="1"/>
  <c r="C327" i="3" a="1"/>
  <c r="C327" i="3" s="1"/>
  <c r="B327" i="3" a="1"/>
  <c r="B327" i="3" s="1"/>
  <c r="Z326" i="3" a="1"/>
  <c r="Z326" i="3" s="1"/>
  <c r="Y326" i="3" a="1"/>
  <c r="Y326" i="3" s="1"/>
  <c r="X326" i="3" a="1"/>
  <c r="X326" i="3" s="1"/>
  <c r="W326" i="3" a="1"/>
  <c r="W326" i="3" s="1"/>
  <c r="V326" i="3" a="1"/>
  <c r="V326" i="3" s="1"/>
  <c r="U326" i="3" a="1"/>
  <c r="U326" i="3" s="1"/>
  <c r="T326" i="3" a="1"/>
  <c r="T326" i="3" s="1"/>
  <c r="S326" i="3" a="1"/>
  <c r="S326" i="3" s="1"/>
  <c r="R326" i="3" a="1"/>
  <c r="R326" i="3" s="1"/>
  <c r="Q326" i="3" a="1"/>
  <c r="Q326" i="3" s="1"/>
  <c r="P326" i="3" a="1"/>
  <c r="P326" i="3" s="1"/>
  <c r="O326" i="3" a="1"/>
  <c r="O326" i="3" s="1"/>
  <c r="N326" i="3" a="1"/>
  <c r="N326" i="3" s="1"/>
  <c r="M326" i="3" a="1"/>
  <c r="M326" i="3" s="1"/>
  <c r="L326" i="3" a="1"/>
  <c r="L326" i="3" s="1"/>
  <c r="K326" i="3" a="1"/>
  <c r="K326" i="3" s="1"/>
  <c r="J326" i="3" a="1"/>
  <c r="J326" i="3" s="1"/>
  <c r="I326" i="3" a="1"/>
  <c r="I326" i="3" s="1"/>
  <c r="G326" i="3" a="1"/>
  <c r="G326" i="3" s="1"/>
  <c r="F326" i="3" a="1"/>
  <c r="F326" i="3" s="1"/>
  <c r="E326" i="3" a="1"/>
  <c r="E326" i="3" s="1"/>
  <c r="D326" i="3" a="1"/>
  <c r="D326" i="3" s="1"/>
  <c r="C326" i="3" a="1"/>
  <c r="C326" i="3" s="1"/>
  <c r="B326" i="3" a="1"/>
  <c r="B326" i="3" s="1"/>
  <c r="Z325" i="3" a="1"/>
  <c r="Z325" i="3" s="1"/>
  <c r="Y325" i="3" a="1"/>
  <c r="Y325" i="3" s="1"/>
  <c r="X325" i="3" a="1"/>
  <c r="X325" i="3" s="1"/>
  <c r="W325" i="3" a="1"/>
  <c r="W325" i="3" s="1"/>
  <c r="V325" i="3" a="1"/>
  <c r="V325" i="3" s="1"/>
  <c r="U325" i="3" a="1"/>
  <c r="U325" i="3" s="1"/>
  <c r="T325" i="3" a="1"/>
  <c r="T325" i="3" s="1"/>
  <c r="S325" i="3" a="1"/>
  <c r="S325" i="3" s="1"/>
  <c r="R325" i="3" a="1"/>
  <c r="R325" i="3" s="1"/>
  <c r="Q325" i="3" a="1"/>
  <c r="Q325" i="3" s="1"/>
  <c r="P325" i="3" a="1"/>
  <c r="P325" i="3" s="1"/>
  <c r="O325" i="3" a="1"/>
  <c r="O325" i="3" s="1"/>
  <c r="N325" i="3" a="1"/>
  <c r="N325" i="3" s="1"/>
  <c r="M325" i="3" a="1"/>
  <c r="M325" i="3" s="1"/>
  <c r="L325" i="3" a="1"/>
  <c r="L325" i="3" s="1"/>
  <c r="K325" i="3" a="1"/>
  <c r="K325" i="3" s="1"/>
  <c r="J325" i="3" a="1"/>
  <c r="J325" i="3" s="1"/>
  <c r="I325" i="3" a="1"/>
  <c r="I325" i="3" s="1"/>
  <c r="G325" i="3" a="1"/>
  <c r="G325" i="3" s="1"/>
  <c r="F325" i="3" a="1"/>
  <c r="F325" i="3" s="1"/>
  <c r="E325" i="3" a="1"/>
  <c r="E325" i="3" s="1"/>
  <c r="D325" i="3" a="1"/>
  <c r="D325" i="3" s="1"/>
  <c r="C325" i="3" a="1"/>
  <c r="C325" i="3" s="1"/>
  <c r="B325" i="3" a="1"/>
  <c r="B325" i="3" s="1"/>
  <c r="Z324" i="3" a="1"/>
  <c r="Z324" i="3" s="1"/>
  <c r="Y324" i="3" a="1"/>
  <c r="Y324" i="3" s="1"/>
  <c r="X324" i="3" a="1"/>
  <c r="X324" i="3" s="1"/>
  <c r="W324" i="3" a="1"/>
  <c r="W324" i="3" s="1"/>
  <c r="V324" i="3" a="1"/>
  <c r="V324" i="3" s="1"/>
  <c r="U324" i="3" a="1"/>
  <c r="U324" i="3" s="1"/>
  <c r="T324" i="3" a="1"/>
  <c r="T324" i="3" s="1"/>
  <c r="S324" i="3" a="1"/>
  <c r="S324" i="3" s="1"/>
  <c r="R324" i="3" a="1"/>
  <c r="R324" i="3" s="1"/>
  <c r="Q324" i="3" a="1"/>
  <c r="Q324" i="3" s="1"/>
  <c r="P324" i="3" a="1"/>
  <c r="P324" i="3" s="1"/>
  <c r="O324" i="3" a="1"/>
  <c r="O324" i="3" s="1"/>
  <c r="N324" i="3" a="1"/>
  <c r="N324" i="3" s="1"/>
  <c r="M324" i="3" a="1"/>
  <c r="M324" i="3" s="1"/>
  <c r="L324" i="3" a="1"/>
  <c r="L324" i="3" s="1"/>
  <c r="K324" i="3" a="1"/>
  <c r="K324" i="3" s="1"/>
  <c r="J324" i="3" a="1"/>
  <c r="J324" i="3" s="1"/>
  <c r="I324" i="3" a="1"/>
  <c r="I324" i="3" s="1"/>
  <c r="G324" i="3" a="1"/>
  <c r="G324" i="3" s="1"/>
  <c r="F324" i="3" a="1"/>
  <c r="F324" i="3" s="1"/>
  <c r="E324" i="3" a="1"/>
  <c r="E324" i="3" s="1"/>
  <c r="D324" i="3" a="1"/>
  <c r="D324" i="3" s="1"/>
  <c r="C324" i="3" a="1"/>
  <c r="C324" i="3" s="1"/>
  <c r="B324" i="3" a="1"/>
  <c r="B324" i="3" s="1"/>
  <c r="Z323" i="3" a="1"/>
  <c r="Z323" i="3" s="1"/>
  <c r="Y323" i="3" a="1"/>
  <c r="Y323" i="3" s="1"/>
  <c r="X323" i="3" a="1"/>
  <c r="X323" i="3" s="1"/>
  <c r="W323" i="3" a="1"/>
  <c r="W323" i="3" s="1"/>
  <c r="V323" i="3" a="1"/>
  <c r="V323" i="3" s="1"/>
  <c r="U323" i="3" a="1"/>
  <c r="U323" i="3" s="1"/>
  <c r="T323" i="3" a="1"/>
  <c r="T323" i="3" s="1"/>
  <c r="S323" i="3" a="1"/>
  <c r="S323" i="3" s="1"/>
  <c r="R323" i="3" a="1"/>
  <c r="R323" i="3" s="1"/>
  <c r="Q323" i="3" a="1"/>
  <c r="Q323" i="3" s="1"/>
  <c r="P323" i="3" a="1"/>
  <c r="P323" i="3" s="1"/>
  <c r="O323" i="3" a="1"/>
  <c r="O323" i="3" s="1"/>
  <c r="N323" i="3" a="1"/>
  <c r="N323" i="3" s="1"/>
  <c r="M323" i="3" a="1"/>
  <c r="M323" i="3" s="1"/>
  <c r="L323" i="3" a="1"/>
  <c r="L323" i="3" s="1"/>
  <c r="K323" i="3" a="1"/>
  <c r="K323" i="3" s="1"/>
  <c r="J323" i="3" a="1"/>
  <c r="J323" i="3" s="1"/>
  <c r="I323" i="3" a="1"/>
  <c r="I323" i="3" s="1"/>
  <c r="G323" i="3" a="1"/>
  <c r="G323" i="3" s="1"/>
  <c r="F323" i="3" a="1"/>
  <c r="F323" i="3" s="1"/>
  <c r="E323" i="3" a="1"/>
  <c r="E323" i="3" s="1"/>
  <c r="D323" i="3" a="1"/>
  <c r="D323" i="3" s="1"/>
  <c r="C323" i="3" a="1"/>
  <c r="C323" i="3" s="1"/>
  <c r="B323" i="3" a="1"/>
  <c r="B323" i="3" s="1"/>
  <c r="Z322" i="3" a="1"/>
  <c r="Z322" i="3" s="1"/>
  <c r="Y322" i="3" a="1"/>
  <c r="Y322" i="3" s="1"/>
  <c r="X322" i="3" a="1"/>
  <c r="X322" i="3" s="1"/>
  <c r="W322" i="3" a="1"/>
  <c r="W322" i="3" s="1"/>
  <c r="V322" i="3" a="1"/>
  <c r="V322" i="3" s="1"/>
  <c r="U322" i="3" a="1"/>
  <c r="U322" i="3" s="1"/>
  <c r="T322" i="3" a="1"/>
  <c r="T322" i="3" s="1"/>
  <c r="S322" i="3" a="1"/>
  <c r="S322" i="3" s="1"/>
  <c r="R322" i="3" a="1"/>
  <c r="R322" i="3" s="1"/>
  <c r="Q322" i="3" a="1"/>
  <c r="Q322" i="3" s="1"/>
  <c r="P322" i="3" a="1"/>
  <c r="P322" i="3" s="1"/>
  <c r="O322" i="3" a="1"/>
  <c r="O322" i="3" s="1"/>
  <c r="N322" i="3" a="1"/>
  <c r="N322" i="3" s="1"/>
  <c r="M322" i="3" a="1"/>
  <c r="M322" i="3" s="1"/>
  <c r="L322" i="3" a="1"/>
  <c r="L322" i="3" s="1"/>
  <c r="K322" i="3" a="1"/>
  <c r="K322" i="3" s="1"/>
  <c r="J322" i="3" a="1"/>
  <c r="J322" i="3" s="1"/>
  <c r="I322" i="3" a="1"/>
  <c r="I322" i="3" s="1"/>
  <c r="G322" i="3" a="1"/>
  <c r="G322" i="3" s="1"/>
  <c r="F322" i="3" a="1"/>
  <c r="F322" i="3" s="1"/>
  <c r="E322" i="3" a="1"/>
  <c r="E322" i="3" s="1"/>
  <c r="D322" i="3" a="1"/>
  <c r="D322" i="3" s="1"/>
  <c r="C322" i="3" a="1"/>
  <c r="C322" i="3" s="1"/>
  <c r="B322" i="3" a="1"/>
  <c r="B322" i="3" s="1"/>
  <c r="Z321" i="3" a="1"/>
  <c r="Z321" i="3" s="1"/>
  <c r="Y321" i="3" a="1"/>
  <c r="Y321" i="3" s="1"/>
  <c r="X321" i="3" a="1"/>
  <c r="X321" i="3" s="1"/>
  <c r="W321" i="3" a="1"/>
  <c r="W321" i="3" s="1"/>
  <c r="V321" i="3" a="1"/>
  <c r="V321" i="3" s="1"/>
  <c r="U321" i="3" a="1"/>
  <c r="U321" i="3" s="1"/>
  <c r="T321" i="3" a="1"/>
  <c r="T321" i="3" s="1"/>
  <c r="S321" i="3" a="1"/>
  <c r="S321" i="3" s="1"/>
  <c r="R321" i="3" a="1"/>
  <c r="R321" i="3" s="1"/>
  <c r="Q321" i="3" a="1"/>
  <c r="Q321" i="3" s="1"/>
  <c r="P321" i="3" a="1"/>
  <c r="P321" i="3" s="1"/>
  <c r="O321" i="3" a="1"/>
  <c r="O321" i="3" s="1"/>
  <c r="N321" i="3" a="1"/>
  <c r="N321" i="3" s="1"/>
  <c r="M321" i="3" a="1"/>
  <c r="M321" i="3" s="1"/>
  <c r="L321" i="3" a="1"/>
  <c r="L321" i="3" s="1"/>
  <c r="K321" i="3" a="1"/>
  <c r="K321" i="3" s="1"/>
  <c r="J321" i="3" a="1"/>
  <c r="J321" i="3" s="1"/>
  <c r="I321" i="3" a="1"/>
  <c r="I321" i="3" s="1"/>
  <c r="G321" i="3" a="1"/>
  <c r="G321" i="3" s="1"/>
  <c r="F321" i="3" a="1"/>
  <c r="F321" i="3" s="1"/>
  <c r="E321" i="3" a="1"/>
  <c r="E321" i="3" s="1"/>
  <c r="D321" i="3" a="1"/>
  <c r="D321" i="3" s="1"/>
  <c r="C321" i="3" a="1"/>
  <c r="C321" i="3" s="1"/>
  <c r="B321" i="3" a="1"/>
  <c r="B321" i="3" s="1"/>
  <c r="Q317" i="3" a="1"/>
  <c r="Q317" i="3" s="1"/>
  <c r="P317" i="3" a="1"/>
  <c r="P317" i="3" s="1"/>
  <c r="O317" i="3" a="1"/>
  <c r="O317" i="3" s="1"/>
  <c r="N317" i="3" a="1"/>
  <c r="N317" i="3" s="1"/>
  <c r="M317" i="3" a="1"/>
  <c r="M317" i="3" s="1"/>
  <c r="L317" i="3" a="1"/>
  <c r="L317" i="3" s="1"/>
  <c r="K317" i="3" a="1"/>
  <c r="K317" i="3" s="1"/>
  <c r="J317" i="3" a="1"/>
  <c r="J317" i="3" s="1"/>
  <c r="I317" i="3" a="1"/>
  <c r="I317" i="3" s="1"/>
  <c r="G317" i="3" a="1"/>
  <c r="G317" i="3" s="1"/>
  <c r="F317" i="3" a="1"/>
  <c r="F317" i="3" s="1"/>
  <c r="E317" i="3" a="1"/>
  <c r="E317" i="3" s="1"/>
  <c r="D317" i="3" a="1"/>
  <c r="D317" i="3" s="1"/>
  <c r="C317" i="3" a="1"/>
  <c r="C317" i="3" s="1"/>
  <c r="B317" i="3" a="1"/>
  <c r="B317" i="3" s="1"/>
  <c r="Q316" i="3" a="1"/>
  <c r="Q316" i="3" s="1"/>
  <c r="P316" i="3" a="1"/>
  <c r="P316" i="3" s="1"/>
  <c r="O316" i="3" a="1"/>
  <c r="O316" i="3" s="1"/>
  <c r="N316" i="3" a="1"/>
  <c r="N316" i="3" s="1"/>
  <c r="M316" i="3" a="1"/>
  <c r="M316" i="3" s="1"/>
  <c r="L316" i="3" a="1"/>
  <c r="L316" i="3" s="1"/>
  <c r="K316" i="3" a="1"/>
  <c r="K316" i="3" s="1"/>
  <c r="J316" i="3" a="1"/>
  <c r="J316" i="3" s="1"/>
  <c r="I316" i="3" a="1"/>
  <c r="I316" i="3" s="1"/>
  <c r="G316" i="3" a="1"/>
  <c r="G316" i="3" s="1"/>
  <c r="F316" i="3" a="1"/>
  <c r="F316" i="3" s="1"/>
  <c r="E316" i="3" a="1"/>
  <c r="E316" i="3" s="1"/>
  <c r="D316" i="3" a="1"/>
  <c r="D316" i="3" s="1"/>
  <c r="C316" i="3" a="1"/>
  <c r="C316" i="3" s="1"/>
  <c r="B316" i="3" a="1"/>
  <c r="B316" i="3" s="1"/>
  <c r="T315" i="3" a="1"/>
  <c r="T315" i="3" s="1"/>
  <c r="Q315" i="3" a="1"/>
  <c r="Q315" i="3" s="1"/>
  <c r="P315" i="3" a="1"/>
  <c r="P315" i="3" s="1"/>
  <c r="O315" i="3" a="1"/>
  <c r="O315" i="3" s="1"/>
  <c r="N315" i="3" a="1"/>
  <c r="N315" i="3" s="1"/>
  <c r="M315" i="3" a="1"/>
  <c r="M315" i="3" s="1"/>
  <c r="L315" i="3" a="1"/>
  <c r="L315" i="3" s="1"/>
  <c r="K315" i="3" a="1"/>
  <c r="K315" i="3" s="1"/>
  <c r="J315" i="3" a="1"/>
  <c r="J315" i="3" s="1"/>
  <c r="I315" i="3" a="1"/>
  <c r="I315" i="3" s="1"/>
  <c r="G315" i="3" a="1"/>
  <c r="G315" i="3" s="1"/>
  <c r="F315" i="3" a="1"/>
  <c r="F315" i="3" s="1"/>
  <c r="E315" i="3" a="1"/>
  <c r="E315" i="3" s="1"/>
  <c r="D315" i="3" a="1"/>
  <c r="D315" i="3" s="1"/>
  <c r="C315" i="3" a="1"/>
  <c r="C315" i="3" s="1"/>
  <c r="B315" i="3" a="1"/>
  <c r="B315" i="3" s="1"/>
  <c r="Z311" i="3" a="1"/>
  <c r="Z311" i="3" s="1"/>
  <c r="Y311" i="3" a="1"/>
  <c r="Y311" i="3" s="1"/>
  <c r="X311" i="3" a="1"/>
  <c r="X311" i="3" s="1"/>
  <c r="W311" i="3" a="1"/>
  <c r="W311" i="3" s="1"/>
  <c r="V311" i="3" a="1"/>
  <c r="V311" i="3" s="1"/>
  <c r="U311" i="3" a="1"/>
  <c r="U311" i="3" s="1"/>
  <c r="T311" i="3" a="1"/>
  <c r="T311" i="3" s="1"/>
  <c r="S311" i="3" a="1"/>
  <c r="S311" i="3" s="1"/>
  <c r="R311" i="3" a="1"/>
  <c r="R311" i="3" s="1"/>
  <c r="Q311" i="3" a="1"/>
  <c r="Q311" i="3" s="1"/>
  <c r="P311" i="3" a="1"/>
  <c r="P311" i="3" s="1"/>
  <c r="O311" i="3" a="1"/>
  <c r="O311" i="3" s="1"/>
  <c r="N311" i="3" a="1"/>
  <c r="N311" i="3" s="1"/>
  <c r="M311" i="3" a="1"/>
  <c r="M311" i="3" s="1"/>
  <c r="L311" i="3" a="1"/>
  <c r="L311" i="3" s="1"/>
  <c r="K311" i="3" a="1"/>
  <c r="K311" i="3" s="1"/>
  <c r="J311" i="3" a="1"/>
  <c r="J311" i="3" s="1"/>
  <c r="I311" i="3" a="1"/>
  <c r="I311" i="3" s="1"/>
  <c r="G311" i="3" a="1"/>
  <c r="G311" i="3" s="1"/>
  <c r="F311" i="3" a="1"/>
  <c r="F311" i="3" s="1"/>
  <c r="E311" i="3" a="1"/>
  <c r="E311" i="3" s="1"/>
  <c r="D311" i="3" a="1"/>
  <c r="D311" i="3" s="1"/>
  <c r="C311" i="3" a="1"/>
  <c r="C311" i="3" s="1"/>
  <c r="B311" i="3" a="1"/>
  <c r="B311" i="3" s="1"/>
  <c r="Z310" i="3" a="1"/>
  <c r="Z310" i="3" s="1"/>
  <c r="Y310" i="3" a="1"/>
  <c r="Y310" i="3" s="1"/>
  <c r="X310" i="3" a="1"/>
  <c r="X310" i="3" s="1"/>
  <c r="W310" i="3" a="1"/>
  <c r="W310" i="3" s="1"/>
  <c r="V310" i="3" a="1"/>
  <c r="V310" i="3" s="1"/>
  <c r="U310" i="3" a="1"/>
  <c r="U310" i="3" s="1"/>
  <c r="T310" i="3" a="1"/>
  <c r="T310" i="3" s="1"/>
  <c r="S310" i="3" a="1"/>
  <c r="S310" i="3" s="1"/>
  <c r="R310" i="3" a="1"/>
  <c r="R310" i="3" s="1"/>
  <c r="Q310" i="3" a="1"/>
  <c r="Q310" i="3" s="1"/>
  <c r="P310" i="3" a="1"/>
  <c r="P310" i="3" s="1"/>
  <c r="O310" i="3" a="1"/>
  <c r="O310" i="3" s="1"/>
  <c r="N310" i="3" a="1"/>
  <c r="N310" i="3" s="1"/>
  <c r="M310" i="3" a="1"/>
  <c r="M310" i="3" s="1"/>
  <c r="L310" i="3" a="1"/>
  <c r="L310" i="3" s="1"/>
  <c r="K310" i="3" a="1"/>
  <c r="K310" i="3" s="1"/>
  <c r="J310" i="3" a="1"/>
  <c r="J310" i="3" s="1"/>
  <c r="I310" i="3" a="1"/>
  <c r="I310" i="3" s="1"/>
  <c r="G310" i="3" a="1"/>
  <c r="G310" i="3" s="1"/>
  <c r="F310" i="3" a="1"/>
  <c r="F310" i="3" s="1"/>
  <c r="E310" i="3" a="1"/>
  <c r="E310" i="3" s="1"/>
  <c r="D310" i="3" a="1"/>
  <c r="D310" i="3" s="1"/>
  <c r="C310" i="3" a="1"/>
  <c r="C310" i="3" s="1"/>
  <c r="B310" i="3" a="1"/>
  <c r="B310" i="3" s="1"/>
  <c r="Z309" i="3" a="1"/>
  <c r="Z309" i="3" s="1"/>
  <c r="Y309" i="3" a="1"/>
  <c r="Y309" i="3" s="1"/>
  <c r="X309" i="3" a="1"/>
  <c r="X309" i="3" s="1"/>
  <c r="W309" i="3" a="1"/>
  <c r="W309" i="3" s="1"/>
  <c r="V309" i="3" a="1"/>
  <c r="V309" i="3" s="1"/>
  <c r="U309" i="3" a="1"/>
  <c r="U309" i="3" s="1"/>
  <c r="T309" i="3" a="1"/>
  <c r="T309" i="3" s="1"/>
  <c r="S309" i="3" a="1"/>
  <c r="S309" i="3" s="1"/>
  <c r="R309" i="3" a="1"/>
  <c r="R309" i="3" s="1"/>
  <c r="Q309" i="3" a="1"/>
  <c r="Q309" i="3" s="1"/>
  <c r="P309" i="3" a="1"/>
  <c r="P309" i="3" s="1"/>
  <c r="O309" i="3" a="1"/>
  <c r="O309" i="3" s="1"/>
  <c r="N309" i="3" a="1"/>
  <c r="N309" i="3" s="1"/>
  <c r="M309" i="3" a="1"/>
  <c r="M309" i="3" s="1"/>
  <c r="L309" i="3" a="1"/>
  <c r="L309" i="3" s="1"/>
  <c r="K309" i="3" a="1"/>
  <c r="K309" i="3" s="1"/>
  <c r="J309" i="3" a="1"/>
  <c r="J309" i="3" s="1"/>
  <c r="I309" i="3" a="1"/>
  <c r="I309" i="3" s="1"/>
  <c r="G309" i="3" a="1"/>
  <c r="G309" i="3" s="1"/>
  <c r="F309" i="3" a="1"/>
  <c r="F309" i="3" s="1"/>
  <c r="E309" i="3" a="1"/>
  <c r="E309" i="3" s="1"/>
  <c r="D309" i="3" a="1"/>
  <c r="D309" i="3" s="1"/>
  <c r="C309" i="3" a="1"/>
  <c r="C309" i="3" s="1"/>
  <c r="B309" i="3" a="1"/>
  <c r="B309" i="3" s="1"/>
  <c r="Z308" i="3" a="1"/>
  <c r="Z308" i="3" s="1"/>
  <c r="Y308" i="3" a="1"/>
  <c r="Y308" i="3" s="1"/>
  <c r="X308" i="3" a="1"/>
  <c r="X308" i="3" s="1"/>
  <c r="W308" i="3" a="1"/>
  <c r="W308" i="3" s="1"/>
  <c r="V308" i="3" a="1"/>
  <c r="V308" i="3" s="1"/>
  <c r="U308" i="3" a="1"/>
  <c r="U308" i="3" s="1"/>
  <c r="T308" i="3" a="1"/>
  <c r="T308" i="3" s="1"/>
  <c r="S308" i="3" a="1"/>
  <c r="S308" i="3" s="1"/>
  <c r="R308" i="3" a="1"/>
  <c r="R308" i="3" s="1"/>
  <c r="Q308" i="3" a="1"/>
  <c r="Q308" i="3" s="1"/>
  <c r="P308" i="3" a="1"/>
  <c r="P308" i="3" s="1"/>
  <c r="O308" i="3" a="1"/>
  <c r="O308" i="3" s="1"/>
  <c r="N308" i="3" a="1"/>
  <c r="N308" i="3" s="1"/>
  <c r="M308" i="3" a="1"/>
  <c r="M308" i="3" s="1"/>
  <c r="L308" i="3" a="1"/>
  <c r="L308" i="3" s="1"/>
  <c r="K308" i="3" a="1"/>
  <c r="K308" i="3" s="1"/>
  <c r="J308" i="3" a="1"/>
  <c r="J308" i="3" s="1"/>
  <c r="I308" i="3" a="1"/>
  <c r="I308" i="3" s="1"/>
  <c r="G308" i="3" a="1"/>
  <c r="G308" i="3" s="1"/>
  <c r="F308" i="3" a="1"/>
  <c r="F308" i="3" s="1"/>
  <c r="E308" i="3" a="1"/>
  <c r="E308" i="3" s="1"/>
  <c r="D308" i="3" a="1"/>
  <c r="D308" i="3" s="1"/>
  <c r="C308" i="3" a="1"/>
  <c r="C308" i="3" s="1"/>
  <c r="B308" i="3" a="1"/>
  <c r="B308" i="3" s="1"/>
  <c r="Z307" i="3" a="1"/>
  <c r="Z307" i="3" s="1"/>
  <c r="Y307" i="3" a="1"/>
  <c r="Y307" i="3" s="1"/>
  <c r="X307" i="3" a="1"/>
  <c r="X307" i="3" s="1"/>
  <c r="W307" i="3" a="1"/>
  <c r="W307" i="3" s="1"/>
  <c r="V307" i="3" a="1"/>
  <c r="V307" i="3" s="1"/>
  <c r="U307" i="3" a="1"/>
  <c r="U307" i="3" s="1"/>
  <c r="T307" i="3" a="1"/>
  <c r="T307" i="3" s="1"/>
  <c r="S307" i="3" a="1"/>
  <c r="S307" i="3" s="1"/>
  <c r="R307" i="3" a="1"/>
  <c r="R307" i="3" s="1"/>
  <c r="Q307" i="3" a="1"/>
  <c r="Q307" i="3" s="1"/>
  <c r="P307" i="3" a="1"/>
  <c r="P307" i="3" s="1"/>
  <c r="O307" i="3" a="1"/>
  <c r="O307" i="3" s="1"/>
  <c r="N307" i="3" a="1"/>
  <c r="N307" i="3" s="1"/>
  <c r="M307" i="3" a="1"/>
  <c r="M307" i="3" s="1"/>
  <c r="L307" i="3" a="1"/>
  <c r="L307" i="3" s="1"/>
  <c r="K307" i="3" a="1"/>
  <c r="K307" i="3" s="1"/>
  <c r="J307" i="3" a="1"/>
  <c r="J307" i="3" s="1"/>
  <c r="I307" i="3" a="1"/>
  <c r="I307" i="3" s="1"/>
  <c r="G307" i="3" a="1"/>
  <c r="G307" i="3" s="1"/>
  <c r="F307" i="3" a="1"/>
  <c r="F307" i="3" s="1"/>
  <c r="E307" i="3" a="1"/>
  <c r="E307" i="3" s="1"/>
  <c r="D307" i="3" a="1"/>
  <c r="D307" i="3" s="1"/>
  <c r="C307" i="3" a="1"/>
  <c r="C307" i="3" s="1"/>
  <c r="B307" i="3" a="1"/>
  <c r="B307" i="3" s="1"/>
  <c r="Z306" i="3" a="1"/>
  <c r="Z306" i="3" s="1"/>
  <c r="Y306" i="3" a="1"/>
  <c r="Y306" i="3" s="1"/>
  <c r="X306" i="3" a="1"/>
  <c r="X306" i="3" s="1"/>
  <c r="W306" i="3" a="1"/>
  <c r="W306" i="3" s="1"/>
  <c r="V306" i="3" a="1"/>
  <c r="V306" i="3" s="1"/>
  <c r="U306" i="3" a="1"/>
  <c r="U306" i="3" s="1"/>
  <c r="T306" i="3" a="1"/>
  <c r="T306" i="3" s="1"/>
  <c r="S306" i="3" a="1"/>
  <c r="S306" i="3" s="1"/>
  <c r="R306" i="3" a="1"/>
  <c r="R306" i="3" s="1"/>
  <c r="Q306" i="3" a="1"/>
  <c r="Q306" i="3" s="1"/>
  <c r="P306" i="3" a="1"/>
  <c r="P306" i="3" s="1"/>
  <c r="O306" i="3" a="1"/>
  <c r="O306" i="3" s="1"/>
  <c r="N306" i="3" a="1"/>
  <c r="N306" i="3" s="1"/>
  <c r="M306" i="3" a="1"/>
  <c r="M306" i="3" s="1"/>
  <c r="L306" i="3" a="1"/>
  <c r="L306" i="3" s="1"/>
  <c r="K306" i="3" a="1"/>
  <c r="K306" i="3" s="1"/>
  <c r="J306" i="3" a="1"/>
  <c r="J306" i="3" s="1"/>
  <c r="I306" i="3" a="1"/>
  <c r="I306" i="3" s="1"/>
  <c r="G306" i="3" a="1"/>
  <c r="G306" i="3" s="1"/>
  <c r="F306" i="3" a="1"/>
  <c r="F306" i="3" s="1"/>
  <c r="E306" i="3" a="1"/>
  <c r="E306" i="3" s="1"/>
  <c r="D306" i="3" a="1"/>
  <c r="D306" i="3" s="1"/>
  <c r="C306" i="3" a="1"/>
  <c r="C306" i="3" s="1"/>
  <c r="B306" i="3" a="1"/>
  <c r="B306" i="3" s="1"/>
  <c r="Z305" i="3" a="1"/>
  <c r="Z305" i="3" s="1"/>
  <c r="Y305" i="3" a="1"/>
  <c r="Y305" i="3" s="1"/>
  <c r="X305" i="3" a="1"/>
  <c r="X305" i="3" s="1"/>
  <c r="W305" i="3" a="1"/>
  <c r="W305" i="3" s="1"/>
  <c r="V305" i="3" a="1"/>
  <c r="V305" i="3" s="1"/>
  <c r="U305" i="3" a="1"/>
  <c r="U305" i="3" s="1"/>
  <c r="T305" i="3" a="1"/>
  <c r="T305" i="3" s="1"/>
  <c r="S305" i="3" a="1"/>
  <c r="S305" i="3" s="1"/>
  <c r="R305" i="3" a="1"/>
  <c r="R305" i="3" s="1"/>
  <c r="Q305" i="3" a="1"/>
  <c r="Q305" i="3" s="1"/>
  <c r="P305" i="3" a="1"/>
  <c r="P305" i="3" s="1"/>
  <c r="O305" i="3" a="1"/>
  <c r="O305" i="3" s="1"/>
  <c r="N305" i="3" a="1"/>
  <c r="N305" i="3" s="1"/>
  <c r="M305" i="3" a="1"/>
  <c r="M305" i="3" s="1"/>
  <c r="L305" i="3" a="1"/>
  <c r="L305" i="3" s="1"/>
  <c r="K305" i="3" a="1"/>
  <c r="K305" i="3" s="1"/>
  <c r="J305" i="3" a="1"/>
  <c r="J305" i="3" s="1"/>
  <c r="I305" i="3" a="1"/>
  <c r="I305" i="3" s="1"/>
  <c r="G305" i="3" a="1"/>
  <c r="G305" i="3" s="1"/>
  <c r="F305" i="3" a="1"/>
  <c r="F305" i="3" s="1"/>
  <c r="E305" i="3" a="1"/>
  <c r="E305" i="3" s="1"/>
  <c r="D305" i="3" a="1"/>
  <c r="D305" i="3" s="1"/>
  <c r="C305" i="3" a="1"/>
  <c r="C305" i="3" s="1"/>
  <c r="B305" i="3" a="1"/>
  <c r="B305" i="3" s="1"/>
  <c r="Z304" i="3" a="1"/>
  <c r="Z304" i="3" s="1"/>
  <c r="Y304" i="3" a="1"/>
  <c r="Y304" i="3" s="1"/>
  <c r="X304" i="3" a="1"/>
  <c r="X304" i="3" s="1"/>
  <c r="W304" i="3" a="1"/>
  <c r="W304" i="3" s="1"/>
  <c r="V304" i="3" a="1"/>
  <c r="V304" i="3" s="1"/>
  <c r="U304" i="3" a="1"/>
  <c r="U304" i="3" s="1"/>
  <c r="T304" i="3" a="1"/>
  <c r="T304" i="3" s="1"/>
  <c r="S304" i="3" a="1"/>
  <c r="S304" i="3" s="1"/>
  <c r="R304" i="3" a="1"/>
  <c r="R304" i="3" s="1"/>
  <c r="Q304" i="3" a="1"/>
  <c r="Q304" i="3" s="1"/>
  <c r="P304" i="3" a="1"/>
  <c r="P304" i="3" s="1"/>
  <c r="O304" i="3" a="1"/>
  <c r="O304" i="3" s="1"/>
  <c r="N304" i="3" a="1"/>
  <c r="N304" i="3" s="1"/>
  <c r="M304" i="3" a="1"/>
  <c r="M304" i="3" s="1"/>
  <c r="L304" i="3" a="1"/>
  <c r="L304" i="3" s="1"/>
  <c r="K304" i="3" a="1"/>
  <c r="K304" i="3" s="1"/>
  <c r="J304" i="3" a="1"/>
  <c r="J304" i="3" s="1"/>
  <c r="I304" i="3" a="1"/>
  <c r="I304" i="3" s="1"/>
  <c r="G304" i="3" a="1"/>
  <c r="G304" i="3" s="1"/>
  <c r="F304" i="3" a="1"/>
  <c r="F304" i="3" s="1"/>
  <c r="E304" i="3" a="1"/>
  <c r="E304" i="3" s="1"/>
  <c r="D304" i="3" a="1"/>
  <c r="D304" i="3" s="1"/>
  <c r="C304" i="3" a="1"/>
  <c r="C304" i="3" s="1"/>
  <c r="B304" i="3" a="1"/>
  <c r="B304" i="3" s="1"/>
  <c r="Z303" i="3" a="1"/>
  <c r="Z303" i="3" s="1"/>
  <c r="Y303" i="3" a="1"/>
  <c r="Y303" i="3" s="1"/>
  <c r="X303" i="3" a="1"/>
  <c r="X303" i="3" s="1"/>
  <c r="W303" i="3" a="1"/>
  <c r="W303" i="3" s="1"/>
  <c r="V303" i="3" a="1"/>
  <c r="V303" i="3" s="1"/>
  <c r="U303" i="3" a="1"/>
  <c r="U303" i="3" s="1"/>
  <c r="T303" i="3" a="1"/>
  <c r="T303" i="3" s="1"/>
  <c r="S303" i="3" a="1"/>
  <c r="S303" i="3" s="1"/>
  <c r="R303" i="3" a="1"/>
  <c r="R303" i="3" s="1"/>
  <c r="Q303" i="3" a="1"/>
  <c r="Q303" i="3" s="1"/>
  <c r="P303" i="3" a="1"/>
  <c r="P303" i="3" s="1"/>
  <c r="O303" i="3" a="1"/>
  <c r="O303" i="3" s="1"/>
  <c r="N303" i="3" a="1"/>
  <c r="N303" i="3" s="1"/>
  <c r="M303" i="3" a="1"/>
  <c r="M303" i="3" s="1"/>
  <c r="L303" i="3" a="1"/>
  <c r="L303" i="3" s="1"/>
  <c r="K303" i="3" a="1"/>
  <c r="K303" i="3" s="1"/>
  <c r="J303" i="3" a="1"/>
  <c r="J303" i="3" s="1"/>
  <c r="I303" i="3" a="1"/>
  <c r="I303" i="3" s="1"/>
  <c r="G303" i="3" a="1"/>
  <c r="G303" i="3" s="1"/>
  <c r="F303" i="3" a="1"/>
  <c r="F303" i="3" s="1"/>
  <c r="E303" i="3" a="1"/>
  <c r="E303" i="3" s="1"/>
  <c r="D303" i="3" a="1"/>
  <c r="D303" i="3" s="1"/>
  <c r="C303" i="3" a="1"/>
  <c r="C303" i="3" s="1"/>
  <c r="B303" i="3" a="1"/>
  <c r="B303" i="3" s="1"/>
  <c r="Z302" i="3" a="1"/>
  <c r="Z302" i="3" s="1"/>
  <c r="Y302" i="3" a="1"/>
  <c r="Y302" i="3" s="1"/>
  <c r="X302" i="3" a="1"/>
  <c r="X302" i="3" s="1"/>
  <c r="W302" i="3" a="1"/>
  <c r="W302" i="3" s="1"/>
  <c r="V302" i="3" a="1"/>
  <c r="V302" i="3" s="1"/>
  <c r="U302" i="3" a="1"/>
  <c r="U302" i="3" s="1"/>
  <c r="T302" i="3" a="1"/>
  <c r="T302" i="3" s="1"/>
  <c r="S302" i="3" a="1"/>
  <c r="S302" i="3" s="1"/>
  <c r="R302" i="3" a="1"/>
  <c r="R302" i="3" s="1"/>
  <c r="Q302" i="3" a="1"/>
  <c r="Q302" i="3" s="1"/>
  <c r="P302" i="3" a="1"/>
  <c r="P302" i="3" s="1"/>
  <c r="O302" i="3" a="1"/>
  <c r="O302" i="3" s="1"/>
  <c r="N302" i="3" a="1"/>
  <c r="N302" i="3" s="1"/>
  <c r="M302" i="3" a="1"/>
  <c r="M302" i="3" s="1"/>
  <c r="L302" i="3" a="1"/>
  <c r="L302" i="3" s="1"/>
  <c r="K302" i="3" a="1"/>
  <c r="K302" i="3" s="1"/>
  <c r="J302" i="3" a="1"/>
  <c r="J302" i="3" s="1"/>
  <c r="I302" i="3" a="1"/>
  <c r="I302" i="3" s="1"/>
  <c r="G302" i="3" a="1"/>
  <c r="G302" i="3" s="1"/>
  <c r="F302" i="3" a="1"/>
  <c r="F302" i="3" s="1"/>
  <c r="E302" i="3" a="1"/>
  <c r="E302" i="3" s="1"/>
  <c r="D302" i="3" a="1"/>
  <c r="D302" i="3" s="1"/>
  <c r="C302" i="3" a="1"/>
  <c r="C302" i="3" s="1"/>
  <c r="B302" i="3" a="1"/>
  <c r="B302" i="3" s="1"/>
  <c r="Z301" i="3" a="1"/>
  <c r="Z301" i="3" s="1"/>
  <c r="Y301" i="3" a="1"/>
  <c r="Y301" i="3" s="1"/>
  <c r="X301" i="3" a="1"/>
  <c r="X301" i="3" s="1"/>
  <c r="W301" i="3" a="1"/>
  <c r="W301" i="3" s="1"/>
  <c r="V301" i="3" a="1"/>
  <c r="V301" i="3" s="1"/>
  <c r="U301" i="3" a="1"/>
  <c r="U301" i="3" s="1"/>
  <c r="T301" i="3" a="1"/>
  <c r="T301" i="3" s="1"/>
  <c r="S301" i="3" a="1"/>
  <c r="S301" i="3" s="1"/>
  <c r="R301" i="3" a="1"/>
  <c r="R301" i="3" s="1"/>
  <c r="Q301" i="3" a="1"/>
  <c r="Q301" i="3" s="1"/>
  <c r="P301" i="3" a="1"/>
  <c r="P301" i="3" s="1"/>
  <c r="O301" i="3" a="1"/>
  <c r="O301" i="3" s="1"/>
  <c r="N301" i="3" a="1"/>
  <c r="N301" i="3" s="1"/>
  <c r="M301" i="3" a="1"/>
  <c r="M301" i="3" s="1"/>
  <c r="L301" i="3" a="1"/>
  <c r="L301" i="3" s="1"/>
  <c r="K301" i="3" a="1"/>
  <c r="K301" i="3" s="1"/>
  <c r="J301" i="3" a="1"/>
  <c r="J301" i="3" s="1"/>
  <c r="I301" i="3" a="1"/>
  <c r="I301" i="3" s="1"/>
  <c r="G301" i="3" a="1"/>
  <c r="G301" i="3" s="1"/>
  <c r="F301" i="3" a="1"/>
  <c r="F301" i="3" s="1"/>
  <c r="E301" i="3" a="1"/>
  <c r="E301" i="3" s="1"/>
  <c r="D301" i="3" a="1"/>
  <c r="D301" i="3" s="1"/>
  <c r="C301" i="3" a="1"/>
  <c r="C301" i="3" s="1"/>
  <c r="B301" i="3" a="1"/>
  <c r="B301" i="3" s="1"/>
  <c r="Z300" i="3" a="1"/>
  <c r="Z300" i="3" s="1"/>
  <c r="Y300" i="3" a="1"/>
  <c r="Y300" i="3" s="1"/>
  <c r="X300" i="3" a="1"/>
  <c r="X300" i="3" s="1"/>
  <c r="W300" i="3" a="1"/>
  <c r="W300" i="3" s="1"/>
  <c r="V300" i="3" a="1"/>
  <c r="V300" i="3" s="1"/>
  <c r="U300" i="3" a="1"/>
  <c r="U300" i="3" s="1"/>
  <c r="T300" i="3" a="1"/>
  <c r="T300" i="3" s="1"/>
  <c r="S300" i="3" a="1"/>
  <c r="S300" i="3" s="1"/>
  <c r="R300" i="3" a="1"/>
  <c r="R300" i="3" s="1"/>
  <c r="Q300" i="3" a="1"/>
  <c r="Q300" i="3" s="1"/>
  <c r="P300" i="3" a="1"/>
  <c r="P300" i="3" s="1"/>
  <c r="O300" i="3" a="1"/>
  <c r="O300" i="3" s="1"/>
  <c r="N300" i="3" a="1"/>
  <c r="N300" i="3" s="1"/>
  <c r="M300" i="3" a="1"/>
  <c r="M300" i="3" s="1"/>
  <c r="L300" i="3" a="1"/>
  <c r="L300" i="3" s="1"/>
  <c r="K300" i="3" a="1"/>
  <c r="K300" i="3" s="1"/>
  <c r="J300" i="3" a="1"/>
  <c r="J300" i="3" s="1"/>
  <c r="I300" i="3" a="1"/>
  <c r="I300" i="3" s="1"/>
  <c r="G300" i="3" a="1"/>
  <c r="G300" i="3" s="1"/>
  <c r="F300" i="3" a="1"/>
  <c r="F300" i="3" s="1"/>
  <c r="E300" i="3" a="1"/>
  <c r="E300" i="3" s="1"/>
  <c r="D300" i="3" a="1"/>
  <c r="D300" i="3" s="1"/>
  <c r="C300" i="3" a="1"/>
  <c r="C300" i="3" s="1"/>
  <c r="B300" i="3" a="1"/>
  <c r="B300" i="3" s="1"/>
  <c r="Z299" i="3" a="1"/>
  <c r="Z299" i="3" s="1"/>
  <c r="Y299" i="3" a="1"/>
  <c r="Y299" i="3" s="1"/>
  <c r="X299" i="3" a="1"/>
  <c r="X299" i="3" s="1"/>
  <c r="W299" i="3" a="1"/>
  <c r="W299" i="3" s="1"/>
  <c r="V299" i="3" a="1"/>
  <c r="V299" i="3" s="1"/>
  <c r="U299" i="3" a="1"/>
  <c r="U299" i="3" s="1"/>
  <c r="T299" i="3" a="1"/>
  <c r="T299" i="3" s="1"/>
  <c r="S299" i="3" a="1"/>
  <c r="S299" i="3" s="1"/>
  <c r="R299" i="3" a="1"/>
  <c r="R299" i="3" s="1"/>
  <c r="Q299" i="3" a="1"/>
  <c r="Q299" i="3" s="1"/>
  <c r="P299" i="3" a="1"/>
  <c r="P299" i="3" s="1"/>
  <c r="O299" i="3" a="1"/>
  <c r="O299" i="3" s="1"/>
  <c r="N299" i="3" a="1"/>
  <c r="N299" i="3" s="1"/>
  <c r="M299" i="3" a="1"/>
  <c r="M299" i="3" s="1"/>
  <c r="L299" i="3" a="1"/>
  <c r="L299" i="3" s="1"/>
  <c r="K299" i="3" a="1"/>
  <c r="K299" i="3" s="1"/>
  <c r="J299" i="3" a="1"/>
  <c r="J299" i="3" s="1"/>
  <c r="I299" i="3" a="1"/>
  <c r="I299" i="3" s="1"/>
  <c r="G299" i="3" a="1"/>
  <c r="G299" i="3" s="1"/>
  <c r="F299" i="3" a="1"/>
  <c r="F299" i="3" s="1"/>
  <c r="E299" i="3" a="1"/>
  <c r="E299" i="3" s="1"/>
  <c r="D299" i="3" a="1"/>
  <c r="D299" i="3" s="1"/>
  <c r="C299" i="3" a="1"/>
  <c r="C299" i="3" s="1"/>
  <c r="B299" i="3" a="1"/>
  <c r="B299" i="3" s="1"/>
  <c r="Z298" i="3" a="1"/>
  <c r="Z298" i="3" s="1"/>
  <c r="Y298" i="3" a="1"/>
  <c r="Y298" i="3" s="1"/>
  <c r="X298" i="3" a="1"/>
  <c r="X298" i="3" s="1"/>
  <c r="W298" i="3" a="1"/>
  <c r="W298" i="3" s="1"/>
  <c r="V298" i="3" a="1"/>
  <c r="V298" i="3" s="1"/>
  <c r="U298" i="3" a="1"/>
  <c r="U298" i="3" s="1"/>
  <c r="T298" i="3" a="1"/>
  <c r="T298" i="3" s="1"/>
  <c r="S298" i="3" a="1"/>
  <c r="S298" i="3" s="1"/>
  <c r="R298" i="3" a="1"/>
  <c r="R298" i="3" s="1"/>
  <c r="Q298" i="3" a="1"/>
  <c r="Q298" i="3" s="1"/>
  <c r="P298" i="3" a="1"/>
  <c r="P298" i="3" s="1"/>
  <c r="O298" i="3" a="1"/>
  <c r="O298" i="3" s="1"/>
  <c r="N298" i="3" a="1"/>
  <c r="N298" i="3" s="1"/>
  <c r="M298" i="3" a="1"/>
  <c r="M298" i="3" s="1"/>
  <c r="L298" i="3" a="1"/>
  <c r="L298" i="3" s="1"/>
  <c r="K298" i="3" a="1"/>
  <c r="K298" i="3" s="1"/>
  <c r="J298" i="3" a="1"/>
  <c r="J298" i="3" s="1"/>
  <c r="I298" i="3" a="1"/>
  <c r="I298" i="3" s="1"/>
  <c r="G298" i="3" a="1"/>
  <c r="G298" i="3" s="1"/>
  <c r="F298" i="3" a="1"/>
  <c r="F298" i="3" s="1"/>
  <c r="E298" i="3" a="1"/>
  <c r="E298" i="3" s="1"/>
  <c r="D298" i="3" a="1"/>
  <c r="D298" i="3" s="1"/>
  <c r="C298" i="3" a="1"/>
  <c r="C298" i="3" s="1"/>
  <c r="B298" i="3" a="1"/>
  <c r="B298" i="3" s="1"/>
  <c r="Z297" i="3" a="1"/>
  <c r="Z297" i="3" s="1"/>
  <c r="Y297" i="3" a="1"/>
  <c r="Y297" i="3" s="1"/>
  <c r="X297" i="3" a="1"/>
  <c r="X297" i="3" s="1"/>
  <c r="W297" i="3" a="1"/>
  <c r="W297" i="3" s="1"/>
  <c r="V297" i="3" a="1"/>
  <c r="V297" i="3" s="1"/>
  <c r="U297" i="3" a="1"/>
  <c r="U297" i="3" s="1"/>
  <c r="T297" i="3" a="1"/>
  <c r="T297" i="3" s="1"/>
  <c r="S297" i="3" a="1"/>
  <c r="S297" i="3" s="1"/>
  <c r="R297" i="3" a="1"/>
  <c r="R297" i="3" s="1"/>
  <c r="Q297" i="3" a="1"/>
  <c r="Q297" i="3" s="1"/>
  <c r="P297" i="3" a="1"/>
  <c r="P297" i="3" s="1"/>
  <c r="O297" i="3" a="1"/>
  <c r="O297" i="3" s="1"/>
  <c r="N297" i="3" a="1"/>
  <c r="N297" i="3" s="1"/>
  <c r="M297" i="3" a="1"/>
  <c r="M297" i="3" s="1"/>
  <c r="L297" i="3" a="1"/>
  <c r="L297" i="3" s="1"/>
  <c r="K297" i="3" a="1"/>
  <c r="K297" i="3" s="1"/>
  <c r="J297" i="3" a="1"/>
  <c r="J297" i="3" s="1"/>
  <c r="I297" i="3" a="1"/>
  <c r="I297" i="3" s="1"/>
  <c r="G297" i="3" a="1"/>
  <c r="G297" i="3" s="1"/>
  <c r="F297" i="3" a="1"/>
  <c r="F297" i="3" s="1"/>
  <c r="E297" i="3" a="1"/>
  <c r="E297" i="3" s="1"/>
  <c r="D297" i="3" a="1"/>
  <c r="D297" i="3" s="1"/>
  <c r="C297" i="3" a="1"/>
  <c r="C297" i="3" s="1"/>
  <c r="B297" i="3" a="1"/>
  <c r="B297" i="3" s="1"/>
  <c r="Z296" i="3" a="1"/>
  <c r="Z296" i="3" s="1"/>
  <c r="Y296" i="3" a="1"/>
  <c r="Y296" i="3" s="1"/>
  <c r="X296" i="3" a="1"/>
  <c r="X296" i="3" s="1"/>
  <c r="W296" i="3" a="1"/>
  <c r="W296" i="3" s="1"/>
  <c r="V296" i="3" a="1"/>
  <c r="V296" i="3" s="1"/>
  <c r="U296" i="3" a="1"/>
  <c r="U296" i="3" s="1"/>
  <c r="T296" i="3" a="1"/>
  <c r="T296" i="3" s="1"/>
  <c r="S296" i="3" a="1"/>
  <c r="S296" i="3" s="1"/>
  <c r="R296" i="3" a="1"/>
  <c r="R296" i="3" s="1"/>
  <c r="Q296" i="3" a="1"/>
  <c r="Q296" i="3" s="1"/>
  <c r="P296" i="3" a="1"/>
  <c r="P296" i="3" s="1"/>
  <c r="O296" i="3" a="1"/>
  <c r="O296" i="3" s="1"/>
  <c r="N296" i="3" a="1"/>
  <c r="N296" i="3" s="1"/>
  <c r="M296" i="3" a="1"/>
  <c r="M296" i="3" s="1"/>
  <c r="L296" i="3" a="1"/>
  <c r="L296" i="3" s="1"/>
  <c r="K296" i="3" a="1"/>
  <c r="K296" i="3" s="1"/>
  <c r="J296" i="3" a="1"/>
  <c r="J296" i="3" s="1"/>
  <c r="I296" i="3" a="1"/>
  <c r="I296" i="3" s="1"/>
  <c r="G296" i="3" a="1"/>
  <c r="G296" i="3" s="1"/>
  <c r="F296" i="3" a="1"/>
  <c r="F296" i="3" s="1"/>
  <c r="E296" i="3" a="1"/>
  <c r="E296" i="3" s="1"/>
  <c r="D296" i="3" a="1"/>
  <c r="D296" i="3" s="1"/>
  <c r="C296" i="3" a="1"/>
  <c r="C296" i="3" s="1"/>
  <c r="B296" i="3" a="1"/>
  <c r="B296" i="3" s="1"/>
  <c r="Z295" i="3" a="1"/>
  <c r="Z295" i="3" s="1"/>
  <c r="Y295" i="3" a="1"/>
  <c r="Y295" i="3" s="1"/>
  <c r="X295" i="3" a="1"/>
  <c r="X295" i="3" s="1"/>
  <c r="W295" i="3" a="1"/>
  <c r="W295" i="3" s="1"/>
  <c r="V295" i="3" a="1"/>
  <c r="V295" i="3" s="1"/>
  <c r="U295" i="3" a="1"/>
  <c r="U295" i="3" s="1"/>
  <c r="T295" i="3" a="1"/>
  <c r="T295" i="3" s="1"/>
  <c r="S295" i="3" a="1"/>
  <c r="S295" i="3" s="1"/>
  <c r="R295" i="3" a="1"/>
  <c r="R295" i="3" s="1"/>
  <c r="Q295" i="3" a="1"/>
  <c r="Q295" i="3" s="1"/>
  <c r="P295" i="3" a="1"/>
  <c r="P295" i="3" s="1"/>
  <c r="O295" i="3" a="1"/>
  <c r="O295" i="3" s="1"/>
  <c r="N295" i="3" a="1"/>
  <c r="N295" i="3" s="1"/>
  <c r="M295" i="3" a="1"/>
  <c r="M295" i="3" s="1"/>
  <c r="L295" i="3" a="1"/>
  <c r="L295" i="3" s="1"/>
  <c r="K295" i="3" a="1"/>
  <c r="K295" i="3" s="1"/>
  <c r="J295" i="3" a="1"/>
  <c r="J295" i="3" s="1"/>
  <c r="I295" i="3" a="1"/>
  <c r="I295" i="3" s="1"/>
  <c r="G295" i="3" a="1"/>
  <c r="G295" i="3" s="1"/>
  <c r="F295" i="3" a="1"/>
  <c r="F295" i="3" s="1"/>
  <c r="E295" i="3" a="1"/>
  <c r="E295" i="3" s="1"/>
  <c r="D295" i="3" a="1"/>
  <c r="D295" i="3" s="1"/>
  <c r="C295" i="3" a="1"/>
  <c r="C295" i="3" s="1"/>
  <c r="B295" i="3" a="1"/>
  <c r="B295" i="3" s="1"/>
  <c r="Z294" i="3" a="1"/>
  <c r="Z294" i="3" s="1"/>
  <c r="Y294" i="3" a="1"/>
  <c r="Y294" i="3" s="1"/>
  <c r="X294" i="3" a="1"/>
  <c r="X294" i="3" s="1"/>
  <c r="W294" i="3" a="1"/>
  <c r="W294" i="3" s="1"/>
  <c r="V294" i="3" a="1"/>
  <c r="V294" i="3" s="1"/>
  <c r="U294" i="3" a="1"/>
  <c r="U294" i="3" s="1"/>
  <c r="T294" i="3" a="1"/>
  <c r="T294" i="3" s="1"/>
  <c r="S294" i="3" a="1"/>
  <c r="S294" i="3" s="1"/>
  <c r="R294" i="3" a="1"/>
  <c r="R294" i="3" s="1"/>
  <c r="Q294" i="3" a="1"/>
  <c r="Q294" i="3" s="1"/>
  <c r="P294" i="3" a="1"/>
  <c r="P294" i="3" s="1"/>
  <c r="O294" i="3" a="1"/>
  <c r="O294" i="3" s="1"/>
  <c r="N294" i="3" a="1"/>
  <c r="N294" i="3" s="1"/>
  <c r="M294" i="3" a="1"/>
  <c r="M294" i="3" s="1"/>
  <c r="L294" i="3" a="1"/>
  <c r="L294" i="3" s="1"/>
  <c r="K294" i="3" a="1"/>
  <c r="K294" i="3" s="1"/>
  <c r="J294" i="3" a="1"/>
  <c r="J294" i="3" s="1"/>
  <c r="I294" i="3" a="1"/>
  <c r="I294" i="3" s="1"/>
  <c r="G294" i="3" a="1"/>
  <c r="G294" i="3" s="1"/>
  <c r="F294" i="3" a="1"/>
  <c r="F294" i="3" s="1"/>
  <c r="E294" i="3" a="1"/>
  <c r="E294" i="3" s="1"/>
  <c r="D294" i="3" a="1"/>
  <c r="D294" i="3" s="1"/>
  <c r="C294" i="3" a="1"/>
  <c r="C294" i="3" s="1"/>
  <c r="B294" i="3" a="1"/>
  <c r="B294" i="3" s="1"/>
  <c r="Z293" i="3" a="1"/>
  <c r="Z293" i="3" s="1"/>
  <c r="Y293" i="3" a="1"/>
  <c r="Y293" i="3" s="1"/>
  <c r="X293" i="3" a="1"/>
  <c r="X293" i="3" s="1"/>
  <c r="W293" i="3" a="1"/>
  <c r="W293" i="3" s="1"/>
  <c r="V293" i="3" a="1"/>
  <c r="V293" i="3" s="1"/>
  <c r="U293" i="3" a="1"/>
  <c r="U293" i="3" s="1"/>
  <c r="T293" i="3" a="1"/>
  <c r="T293" i="3" s="1"/>
  <c r="S293" i="3" a="1"/>
  <c r="S293" i="3" s="1"/>
  <c r="R293" i="3" a="1"/>
  <c r="R293" i="3" s="1"/>
  <c r="Q293" i="3" a="1"/>
  <c r="Q293" i="3" s="1"/>
  <c r="P293" i="3" a="1"/>
  <c r="P293" i="3" s="1"/>
  <c r="O293" i="3" a="1"/>
  <c r="O293" i="3" s="1"/>
  <c r="N293" i="3" a="1"/>
  <c r="N293" i="3" s="1"/>
  <c r="M293" i="3" a="1"/>
  <c r="M293" i="3" s="1"/>
  <c r="L293" i="3" a="1"/>
  <c r="L293" i="3" s="1"/>
  <c r="K293" i="3" a="1"/>
  <c r="K293" i="3" s="1"/>
  <c r="J293" i="3" a="1"/>
  <c r="J293" i="3" s="1"/>
  <c r="I293" i="3" a="1"/>
  <c r="I293" i="3" s="1"/>
  <c r="G293" i="3" a="1"/>
  <c r="G293" i="3" s="1"/>
  <c r="F293" i="3" a="1"/>
  <c r="F293" i="3" s="1"/>
  <c r="E293" i="3" a="1"/>
  <c r="E293" i="3" s="1"/>
  <c r="D293" i="3" a="1"/>
  <c r="D293" i="3" s="1"/>
  <c r="C293" i="3" a="1"/>
  <c r="C293" i="3" s="1"/>
  <c r="B293" i="3" a="1"/>
  <c r="B293" i="3" s="1"/>
  <c r="Z292" i="3" a="1"/>
  <c r="Z292" i="3" s="1"/>
  <c r="Y292" i="3" a="1"/>
  <c r="Y292" i="3" s="1"/>
  <c r="X292" i="3" a="1"/>
  <c r="X292" i="3" s="1"/>
  <c r="W292" i="3" a="1"/>
  <c r="W292" i="3" s="1"/>
  <c r="V292" i="3" a="1"/>
  <c r="V292" i="3" s="1"/>
  <c r="U292" i="3" a="1"/>
  <c r="U292" i="3" s="1"/>
  <c r="T292" i="3" a="1"/>
  <c r="T292" i="3" s="1"/>
  <c r="S292" i="3" a="1"/>
  <c r="S292" i="3" s="1"/>
  <c r="R292" i="3" a="1"/>
  <c r="R292" i="3" s="1"/>
  <c r="Q292" i="3" a="1"/>
  <c r="Q292" i="3" s="1"/>
  <c r="P292" i="3" a="1"/>
  <c r="P292" i="3" s="1"/>
  <c r="O292" i="3" a="1"/>
  <c r="O292" i="3" s="1"/>
  <c r="N292" i="3" a="1"/>
  <c r="N292" i="3" s="1"/>
  <c r="M292" i="3" a="1"/>
  <c r="M292" i="3" s="1"/>
  <c r="L292" i="3" a="1"/>
  <c r="L292" i="3" s="1"/>
  <c r="K292" i="3" a="1"/>
  <c r="K292" i="3" s="1"/>
  <c r="J292" i="3" a="1"/>
  <c r="J292" i="3" s="1"/>
  <c r="I292" i="3" a="1"/>
  <c r="I292" i="3" s="1"/>
  <c r="G292" i="3" a="1"/>
  <c r="G292" i="3" s="1"/>
  <c r="F292" i="3" a="1"/>
  <c r="F292" i="3" s="1"/>
  <c r="E292" i="3" a="1"/>
  <c r="E292" i="3" s="1"/>
  <c r="D292" i="3" a="1"/>
  <c r="D292" i="3" s="1"/>
  <c r="C292" i="3" a="1"/>
  <c r="C292" i="3" s="1"/>
  <c r="B292" i="3" a="1"/>
  <c r="B292" i="3" s="1"/>
  <c r="Q288" i="3" a="1"/>
  <c r="Q288" i="3" s="1"/>
  <c r="P288" i="3" a="1"/>
  <c r="P288" i="3" s="1"/>
  <c r="O288" i="3" a="1"/>
  <c r="O288" i="3" s="1"/>
  <c r="N288" i="3" a="1"/>
  <c r="N288" i="3" s="1"/>
  <c r="M288" i="3" a="1"/>
  <c r="M288" i="3" s="1"/>
  <c r="L288" i="3" a="1"/>
  <c r="L288" i="3" s="1"/>
  <c r="K288" i="3" a="1"/>
  <c r="K288" i="3" s="1"/>
  <c r="J288" i="3" a="1"/>
  <c r="J288" i="3" s="1"/>
  <c r="I288" i="3" a="1"/>
  <c r="I288" i="3" s="1"/>
  <c r="G288" i="3" a="1"/>
  <c r="G288" i="3" s="1"/>
  <c r="F288" i="3" a="1"/>
  <c r="F288" i="3" s="1"/>
  <c r="E288" i="3" a="1"/>
  <c r="E288" i="3" s="1"/>
  <c r="D288" i="3" a="1"/>
  <c r="D288" i="3" s="1"/>
  <c r="C288" i="3" a="1"/>
  <c r="C288" i="3" s="1"/>
  <c r="B288" i="3" a="1"/>
  <c r="B288" i="3" s="1"/>
  <c r="Q287" i="3" a="1"/>
  <c r="Q287" i="3" s="1"/>
  <c r="P287" i="3" a="1"/>
  <c r="P287" i="3" s="1"/>
  <c r="O287" i="3" a="1"/>
  <c r="O287" i="3" s="1"/>
  <c r="N287" i="3" a="1"/>
  <c r="N287" i="3" s="1"/>
  <c r="M287" i="3" a="1"/>
  <c r="M287" i="3" s="1"/>
  <c r="L287" i="3" a="1"/>
  <c r="L287" i="3" s="1"/>
  <c r="K287" i="3" a="1"/>
  <c r="K287" i="3" s="1"/>
  <c r="J287" i="3" a="1"/>
  <c r="J287" i="3" s="1"/>
  <c r="I287" i="3" a="1"/>
  <c r="I287" i="3" s="1"/>
  <c r="G287" i="3" a="1"/>
  <c r="G287" i="3" s="1"/>
  <c r="F287" i="3" a="1"/>
  <c r="F287" i="3" s="1"/>
  <c r="E287" i="3" a="1"/>
  <c r="E287" i="3" s="1"/>
  <c r="D287" i="3" a="1"/>
  <c r="D287" i="3" s="1"/>
  <c r="C287" i="3" a="1"/>
  <c r="C287" i="3" s="1"/>
  <c r="B287" i="3" a="1"/>
  <c r="B287" i="3" s="1"/>
  <c r="T286" i="3" a="1"/>
  <c r="T286" i="3" s="1"/>
  <c r="Q286" i="3" a="1"/>
  <c r="Q286" i="3" s="1"/>
  <c r="P286" i="3" a="1"/>
  <c r="P286" i="3" s="1"/>
  <c r="O286" i="3" a="1"/>
  <c r="O286" i="3" s="1"/>
  <c r="N286" i="3" a="1"/>
  <c r="N286" i="3" s="1"/>
  <c r="M286" i="3" a="1"/>
  <c r="M286" i="3" s="1"/>
  <c r="L286" i="3" a="1"/>
  <c r="L286" i="3" s="1"/>
  <c r="K286" i="3" a="1"/>
  <c r="K286" i="3" s="1"/>
  <c r="J286" i="3" a="1"/>
  <c r="J286" i="3" s="1"/>
  <c r="I286" i="3" a="1"/>
  <c r="I286" i="3" s="1"/>
  <c r="G286" i="3" a="1"/>
  <c r="G286" i="3" s="1"/>
  <c r="F286" i="3" a="1"/>
  <c r="F286" i="3" s="1"/>
  <c r="E286" i="3" a="1"/>
  <c r="E286" i="3" s="1"/>
  <c r="D286" i="3" a="1"/>
  <c r="D286" i="3" s="1"/>
  <c r="C286" i="3" a="1"/>
  <c r="C286" i="3" s="1"/>
  <c r="B286" i="3" a="1"/>
  <c r="B286" i="3" s="1"/>
  <c r="Z282" i="3" a="1"/>
  <c r="Z282" i="3" s="1"/>
  <c r="Y282" i="3" a="1"/>
  <c r="Y282" i="3" s="1"/>
  <c r="X282" i="3" a="1"/>
  <c r="X282" i="3" s="1"/>
  <c r="W282" i="3" a="1"/>
  <c r="W282" i="3" s="1"/>
  <c r="V282" i="3" a="1"/>
  <c r="V282" i="3" s="1"/>
  <c r="U282" i="3" a="1"/>
  <c r="U282" i="3" s="1"/>
  <c r="T282" i="3" a="1"/>
  <c r="T282" i="3" s="1"/>
  <c r="S282" i="3" a="1"/>
  <c r="S282" i="3" s="1"/>
  <c r="R282" i="3" a="1"/>
  <c r="R282" i="3" s="1"/>
  <c r="Q282" i="3" a="1"/>
  <c r="Q282" i="3" s="1"/>
  <c r="P282" i="3" a="1"/>
  <c r="P282" i="3" s="1"/>
  <c r="O282" i="3" a="1"/>
  <c r="O282" i="3" s="1"/>
  <c r="N282" i="3" a="1"/>
  <c r="N282" i="3" s="1"/>
  <c r="M282" i="3" a="1"/>
  <c r="M282" i="3" s="1"/>
  <c r="L282" i="3" a="1"/>
  <c r="L282" i="3" s="1"/>
  <c r="K282" i="3" a="1"/>
  <c r="K282" i="3" s="1"/>
  <c r="J282" i="3" a="1"/>
  <c r="J282" i="3" s="1"/>
  <c r="I282" i="3" a="1"/>
  <c r="I282" i="3" s="1"/>
  <c r="G282" i="3" a="1"/>
  <c r="G282" i="3" s="1"/>
  <c r="F282" i="3" a="1"/>
  <c r="F282" i="3" s="1"/>
  <c r="E282" i="3" a="1"/>
  <c r="E282" i="3" s="1"/>
  <c r="D282" i="3" a="1"/>
  <c r="D282" i="3" s="1"/>
  <c r="C282" i="3" a="1"/>
  <c r="C282" i="3" s="1"/>
  <c r="B282" i="3" a="1"/>
  <c r="B282" i="3" s="1"/>
  <c r="Z281" i="3" a="1"/>
  <c r="Z281" i="3" s="1"/>
  <c r="Y281" i="3" a="1"/>
  <c r="Y281" i="3" s="1"/>
  <c r="X281" i="3" a="1"/>
  <c r="X281" i="3" s="1"/>
  <c r="W281" i="3" a="1"/>
  <c r="W281" i="3" s="1"/>
  <c r="V281" i="3" a="1"/>
  <c r="V281" i="3" s="1"/>
  <c r="U281" i="3" a="1"/>
  <c r="U281" i="3" s="1"/>
  <c r="T281" i="3" a="1"/>
  <c r="T281" i="3" s="1"/>
  <c r="S281" i="3" a="1"/>
  <c r="S281" i="3" s="1"/>
  <c r="R281" i="3" a="1"/>
  <c r="R281" i="3" s="1"/>
  <c r="Q281" i="3" a="1"/>
  <c r="Q281" i="3" s="1"/>
  <c r="P281" i="3" a="1"/>
  <c r="P281" i="3" s="1"/>
  <c r="O281" i="3" a="1"/>
  <c r="O281" i="3" s="1"/>
  <c r="N281" i="3" a="1"/>
  <c r="N281" i="3" s="1"/>
  <c r="M281" i="3" a="1"/>
  <c r="M281" i="3" s="1"/>
  <c r="L281" i="3" a="1"/>
  <c r="L281" i="3" s="1"/>
  <c r="K281" i="3" a="1"/>
  <c r="K281" i="3" s="1"/>
  <c r="J281" i="3" a="1"/>
  <c r="J281" i="3" s="1"/>
  <c r="I281" i="3" a="1"/>
  <c r="I281" i="3" s="1"/>
  <c r="G281" i="3" a="1"/>
  <c r="G281" i="3" s="1"/>
  <c r="F281" i="3" a="1"/>
  <c r="F281" i="3" s="1"/>
  <c r="E281" i="3" a="1"/>
  <c r="E281" i="3" s="1"/>
  <c r="D281" i="3" a="1"/>
  <c r="D281" i="3" s="1"/>
  <c r="C281" i="3" a="1"/>
  <c r="C281" i="3" s="1"/>
  <c r="B281" i="3" a="1"/>
  <c r="B281" i="3" s="1"/>
  <c r="Z280" i="3" a="1"/>
  <c r="Z280" i="3" s="1"/>
  <c r="Y280" i="3" a="1"/>
  <c r="Y280" i="3" s="1"/>
  <c r="X280" i="3" a="1"/>
  <c r="X280" i="3" s="1"/>
  <c r="W280" i="3" a="1"/>
  <c r="W280" i="3" s="1"/>
  <c r="V280" i="3" a="1"/>
  <c r="V280" i="3" s="1"/>
  <c r="U280" i="3" a="1"/>
  <c r="U280" i="3" s="1"/>
  <c r="T280" i="3" a="1"/>
  <c r="T280" i="3" s="1"/>
  <c r="S280" i="3" a="1"/>
  <c r="S280" i="3" s="1"/>
  <c r="R280" i="3" a="1"/>
  <c r="R280" i="3" s="1"/>
  <c r="Q280" i="3" a="1"/>
  <c r="Q280" i="3" s="1"/>
  <c r="P280" i="3" a="1"/>
  <c r="P280" i="3" s="1"/>
  <c r="O280" i="3" a="1"/>
  <c r="O280" i="3" s="1"/>
  <c r="N280" i="3" a="1"/>
  <c r="N280" i="3" s="1"/>
  <c r="M280" i="3" a="1"/>
  <c r="M280" i="3" s="1"/>
  <c r="L280" i="3" a="1"/>
  <c r="L280" i="3" s="1"/>
  <c r="K280" i="3" a="1"/>
  <c r="K280" i="3" s="1"/>
  <c r="J280" i="3" a="1"/>
  <c r="J280" i="3" s="1"/>
  <c r="I280" i="3" a="1"/>
  <c r="I280" i="3" s="1"/>
  <c r="G280" i="3" a="1"/>
  <c r="G280" i="3" s="1"/>
  <c r="F280" i="3" a="1"/>
  <c r="F280" i="3" s="1"/>
  <c r="E280" i="3" a="1"/>
  <c r="E280" i="3" s="1"/>
  <c r="D280" i="3" a="1"/>
  <c r="D280" i="3" s="1"/>
  <c r="C280" i="3" a="1"/>
  <c r="C280" i="3" s="1"/>
  <c r="B280" i="3" a="1"/>
  <c r="B280" i="3" s="1"/>
  <c r="Z279" i="3" a="1"/>
  <c r="Z279" i="3" s="1"/>
  <c r="Y279" i="3" a="1"/>
  <c r="Y279" i="3" s="1"/>
  <c r="X279" i="3" a="1"/>
  <c r="X279" i="3" s="1"/>
  <c r="W279" i="3" a="1"/>
  <c r="W279" i="3" s="1"/>
  <c r="V279" i="3" a="1"/>
  <c r="V279" i="3" s="1"/>
  <c r="U279" i="3" a="1"/>
  <c r="U279" i="3" s="1"/>
  <c r="T279" i="3" a="1"/>
  <c r="T279" i="3" s="1"/>
  <c r="S279" i="3" a="1"/>
  <c r="S279" i="3" s="1"/>
  <c r="R279" i="3" a="1"/>
  <c r="R279" i="3" s="1"/>
  <c r="Q279" i="3" a="1"/>
  <c r="Q279" i="3" s="1"/>
  <c r="P279" i="3" a="1"/>
  <c r="P279" i="3" s="1"/>
  <c r="O279" i="3" a="1"/>
  <c r="O279" i="3" s="1"/>
  <c r="N279" i="3" a="1"/>
  <c r="N279" i="3" s="1"/>
  <c r="M279" i="3" a="1"/>
  <c r="M279" i="3" s="1"/>
  <c r="L279" i="3" a="1"/>
  <c r="L279" i="3" s="1"/>
  <c r="K279" i="3" a="1"/>
  <c r="K279" i="3" s="1"/>
  <c r="J279" i="3" a="1"/>
  <c r="J279" i="3" s="1"/>
  <c r="I279" i="3" a="1"/>
  <c r="I279" i="3" s="1"/>
  <c r="G279" i="3" a="1"/>
  <c r="G279" i="3" s="1"/>
  <c r="F279" i="3" a="1"/>
  <c r="F279" i="3" s="1"/>
  <c r="E279" i="3" a="1"/>
  <c r="E279" i="3" s="1"/>
  <c r="D279" i="3" a="1"/>
  <c r="D279" i="3" s="1"/>
  <c r="C279" i="3" a="1"/>
  <c r="C279" i="3" s="1"/>
  <c r="B279" i="3" a="1"/>
  <c r="B279" i="3" s="1"/>
  <c r="Z278" i="3" a="1"/>
  <c r="Z278" i="3" s="1"/>
  <c r="Y278" i="3" a="1"/>
  <c r="Y278" i="3" s="1"/>
  <c r="X278" i="3" a="1"/>
  <c r="X278" i="3" s="1"/>
  <c r="W278" i="3" a="1"/>
  <c r="W278" i="3" s="1"/>
  <c r="V278" i="3" a="1"/>
  <c r="V278" i="3" s="1"/>
  <c r="U278" i="3" a="1"/>
  <c r="U278" i="3" s="1"/>
  <c r="T278" i="3" a="1"/>
  <c r="T278" i="3" s="1"/>
  <c r="S278" i="3" a="1"/>
  <c r="S278" i="3" s="1"/>
  <c r="R278" i="3" a="1"/>
  <c r="R278" i="3" s="1"/>
  <c r="Q278" i="3" a="1"/>
  <c r="Q278" i="3" s="1"/>
  <c r="P278" i="3" a="1"/>
  <c r="P278" i="3" s="1"/>
  <c r="O278" i="3" a="1"/>
  <c r="O278" i="3" s="1"/>
  <c r="N278" i="3" a="1"/>
  <c r="N278" i="3" s="1"/>
  <c r="M278" i="3" a="1"/>
  <c r="M278" i="3" s="1"/>
  <c r="L278" i="3" a="1"/>
  <c r="L278" i="3" s="1"/>
  <c r="K278" i="3" a="1"/>
  <c r="K278" i="3" s="1"/>
  <c r="J278" i="3" a="1"/>
  <c r="J278" i="3" s="1"/>
  <c r="I278" i="3" a="1"/>
  <c r="I278" i="3" s="1"/>
  <c r="G278" i="3" a="1"/>
  <c r="G278" i="3" s="1"/>
  <c r="F278" i="3" a="1"/>
  <c r="F278" i="3" s="1"/>
  <c r="E278" i="3" a="1"/>
  <c r="E278" i="3" s="1"/>
  <c r="D278" i="3" a="1"/>
  <c r="D278" i="3" s="1"/>
  <c r="C278" i="3" a="1"/>
  <c r="C278" i="3" s="1"/>
  <c r="B278" i="3" a="1"/>
  <c r="B278" i="3" s="1"/>
  <c r="Z277" i="3" a="1"/>
  <c r="Z277" i="3" s="1"/>
  <c r="Y277" i="3" a="1"/>
  <c r="Y277" i="3" s="1"/>
  <c r="X277" i="3" a="1"/>
  <c r="X277" i="3" s="1"/>
  <c r="W277" i="3" a="1"/>
  <c r="W277" i="3" s="1"/>
  <c r="V277" i="3" a="1"/>
  <c r="V277" i="3" s="1"/>
  <c r="U277" i="3" a="1"/>
  <c r="U277" i="3" s="1"/>
  <c r="T277" i="3" a="1"/>
  <c r="T277" i="3" s="1"/>
  <c r="S277" i="3" a="1"/>
  <c r="S277" i="3" s="1"/>
  <c r="R277" i="3" a="1"/>
  <c r="R277" i="3" s="1"/>
  <c r="Q277" i="3" a="1"/>
  <c r="Q277" i="3" s="1"/>
  <c r="P277" i="3" a="1"/>
  <c r="P277" i="3" s="1"/>
  <c r="O277" i="3" a="1"/>
  <c r="O277" i="3" s="1"/>
  <c r="N277" i="3" a="1"/>
  <c r="N277" i="3" s="1"/>
  <c r="M277" i="3" a="1"/>
  <c r="M277" i="3" s="1"/>
  <c r="L277" i="3" a="1"/>
  <c r="L277" i="3" s="1"/>
  <c r="K277" i="3" a="1"/>
  <c r="K277" i="3" s="1"/>
  <c r="J277" i="3" a="1"/>
  <c r="J277" i="3" s="1"/>
  <c r="I277" i="3" a="1"/>
  <c r="I277" i="3" s="1"/>
  <c r="G277" i="3" a="1"/>
  <c r="G277" i="3" s="1"/>
  <c r="F277" i="3" a="1"/>
  <c r="F277" i="3" s="1"/>
  <c r="E277" i="3" a="1"/>
  <c r="E277" i="3" s="1"/>
  <c r="D277" i="3" a="1"/>
  <c r="D277" i="3" s="1"/>
  <c r="C277" i="3" a="1"/>
  <c r="C277" i="3" s="1"/>
  <c r="B277" i="3" a="1"/>
  <c r="B277" i="3" s="1"/>
  <c r="Z276" i="3" a="1"/>
  <c r="Z276" i="3" s="1"/>
  <c r="Y276" i="3" a="1"/>
  <c r="Y276" i="3" s="1"/>
  <c r="X276" i="3" a="1"/>
  <c r="X276" i="3" s="1"/>
  <c r="W276" i="3" a="1"/>
  <c r="W276" i="3" s="1"/>
  <c r="V276" i="3" a="1"/>
  <c r="V276" i="3" s="1"/>
  <c r="U276" i="3" a="1"/>
  <c r="U276" i="3" s="1"/>
  <c r="T276" i="3" a="1"/>
  <c r="T276" i="3" s="1"/>
  <c r="S276" i="3" a="1"/>
  <c r="S276" i="3" s="1"/>
  <c r="R276" i="3" a="1"/>
  <c r="R276" i="3" s="1"/>
  <c r="Q276" i="3" a="1"/>
  <c r="Q276" i="3" s="1"/>
  <c r="P276" i="3" a="1"/>
  <c r="P276" i="3" s="1"/>
  <c r="O276" i="3" a="1"/>
  <c r="O276" i="3" s="1"/>
  <c r="N276" i="3" a="1"/>
  <c r="N276" i="3" s="1"/>
  <c r="M276" i="3" a="1"/>
  <c r="M276" i="3" s="1"/>
  <c r="L276" i="3" a="1"/>
  <c r="L276" i="3" s="1"/>
  <c r="K276" i="3" a="1"/>
  <c r="K276" i="3" s="1"/>
  <c r="J276" i="3" a="1"/>
  <c r="J276" i="3" s="1"/>
  <c r="I276" i="3" a="1"/>
  <c r="I276" i="3" s="1"/>
  <c r="G276" i="3" a="1"/>
  <c r="G276" i="3" s="1"/>
  <c r="F276" i="3" a="1"/>
  <c r="F276" i="3" s="1"/>
  <c r="E276" i="3" a="1"/>
  <c r="E276" i="3" s="1"/>
  <c r="D276" i="3" a="1"/>
  <c r="D276" i="3" s="1"/>
  <c r="C276" i="3" a="1"/>
  <c r="C276" i="3" s="1"/>
  <c r="B276" i="3" a="1"/>
  <c r="B276" i="3" s="1"/>
  <c r="Z275" i="3" a="1"/>
  <c r="Z275" i="3" s="1"/>
  <c r="Y275" i="3" a="1"/>
  <c r="Y275" i="3" s="1"/>
  <c r="X275" i="3" a="1"/>
  <c r="X275" i="3" s="1"/>
  <c r="W275" i="3" a="1"/>
  <c r="W275" i="3" s="1"/>
  <c r="V275" i="3" a="1"/>
  <c r="V275" i="3" s="1"/>
  <c r="U275" i="3" a="1"/>
  <c r="U275" i="3" s="1"/>
  <c r="T275" i="3" a="1"/>
  <c r="T275" i="3" s="1"/>
  <c r="S275" i="3" a="1"/>
  <c r="S275" i="3" s="1"/>
  <c r="R275" i="3" a="1"/>
  <c r="R275" i="3" s="1"/>
  <c r="Q275" i="3" a="1"/>
  <c r="Q275" i="3" s="1"/>
  <c r="P275" i="3" a="1"/>
  <c r="P275" i="3" s="1"/>
  <c r="O275" i="3" a="1"/>
  <c r="O275" i="3" s="1"/>
  <c r="N275" i="3" a="1"/>
  <c r="N275" i="3" s="1"/>
  <c r="M275" i="3" a="1"/>
  <c r="M275" i="3" s="1"/>
  <c r="L275" i="3" a="1"/>
  <c r="L275" i="3" s="1"/>
  <c r="K275" i="3" a="1"/>
  <c r="K275" i="3" s="1"/>
  <c r="J275" i="3" a="1"/>
  <c r="J275" i="3" s="1"/>
  <c r="I275" i="3" a="1"/>
  <c r="I275" i="3" s="1"/>
  <c r="G275" i="3" a="1"/>
  <c r="G275" i="3" s="1"/>
  <c r="F275" i="3" a="1"/>
  <c r="F275" i="3" s="1"/>
  <c r="E275" i="3" a="1"/>
  <c r="E275" i="3" s="1"/>
  <c r="D275" i="3" a="1"/>
  <c r="D275" i="3" s="1"/>
  <c r="C275" i="3" a="1"/>
  <c r="C275" i="3" s="1"/>
  <c r="B275" i="3" a="1"/>
  <c r="B275" i="3" s="1"/>
  <c r="Z274" i="3" a="1"/>
  <c r="Z274" i="3" s="1"/>
  <c r="Y274" i="3" a="1"/>
  <c r="Y274" i="3" s="1"/>
  <c r="X274" i="3" a="1"/>
  <c r="X274" i="3" s="1"/>
  <c r="W274" i="3" a="1"/>
  <c r="W274" i="3" s="1"/>
  <c r="V274" i="3" a="1"/>
  <c r="V274" i="3" s="1"/>
  <c r="U274" i="3" a="1"/>
  <c r="U274" i="3" s="1"/>
  <c r="T274" i="3" a="1"/>
  <c r="T274" i="3" s="1"/>
  <c r="S274" i="3" a="1"/>
  <c r="S274" i="3" s="1"/>
  <c r="R274" i="3" a="1"/>
  <c r="R274" i="3" s="1"/>
  <c r="Q274" i="3" a="1"/>
  <c r="Q274" i="3" s="1"/>
  <c r="P274" i="3" a="1"/>
  <c r="P274" i="3" s="1"/>
  <c r="O274" i="3" a="1"/>
  <c r="O274" i="3" s="1"/>
  <c r="N274" i="3" a="1"/>
  <c r="N274" i="3" s="1"/>
  <c r="M274" i="3" a="1"/>
  <c r="M274" i="3" s="1"/>
  <c r="L274" i="3" a="1"/>
  <c r="L274" i="3" s="1"/>
  <c r="K274" i="3" a="1"/>
  <c r="K274" i="3" s="1"/>
  <c r="J274" i="3" a="1"/>
  <c r="J274" i="3" s="1"/>
  <c r="I274" i="3" a="1"/>
  <c r="I274" i="3" s="1"/>
  <c r="G274" i="3" a="1"/>
  <c r="G274" i="3" s="1"/>
  <c r="F274" i="3" a="1"/>
  <c r="F274" i="3" s="1"/>
  <c r="E274" i="3" a="1"/>
  <c r="E274" i="3" s="1"/>
  <c r="D274" i="3" a="1"/>
  <c r="D274" i="3" s="1"/>
  <c r="C274" i="3" a="1"/>
  <c r="C274" i="3" s="1"/>
  <c r="B274" i="3" a="1"/>
  <c r="B274" i="3" s="1"/>
  <c r="Z273" i="3" a="1"/>
  <c r="Z273" i="3" s="1"/>
  <c r="Y273" i="3" a="1"/>
  <c r="Y273" i="3" s="1"/>
  <c r="X273" i="3" a="1"/>
  <c r="X273" i="3" s="1"/>
  <c r="W273" i="3" a="1"/>
  <c r="W273" i="3" s="1"/>
  <c r="V273" i="3" a="1"/>
  <c r="V273" i="3" s="1"/>
  <c r="U273" i="3" a="1"/>
  <c r="U273" i="3" s="1"/>
  <c r="T273" i="3" a="1"/>
  <c r="T273" i="3" s="1"/>
  <c r="S273" i="3" a="1"/>
  <c r="S273" i="3" s="1"/>
  <c r="R273" i="3" a="1"/>
  <c r="R273" i="3" s="1"/>
  <c r="Q273" i="3" a="1"/>
  <c r="Q273" i="3" s="1"/>
  <c r="P273" i="3" a="1"/>
  <c r="P273" i="3" s="1"/>
  <c r="O273" i="3" a="1"/>
  <c r="O273" i="3" s="1"/>
  <c r="N273" i="3" a="1"/>
  <c r="N273" i="3" s="1"/>
  <c r="M273" i="3" a="1"/>
  <c r="M273" i="3" s="1"/>
  <c r="L273" i="3" a="1"/>
  <c r="L273" i="3" s="1"/>
  <c r="K273" i="3" a="1"/>
  <c r="K273" i="3" s="1"/>
  <c r="J273" i="3" a="1"/>
  <c r="J273" i="3" s="1"/>
  <c r="I273" i="3" a="1"/>
  <c r="I273" i="3" s="1"/>
  <c r="G273" i="3" a="1"/>
  <c r="G273" i="3" s="1"/>
  <c r="F273" i="3" a="1"/>
  <c r="F273" i="3" s="1"/>
  <c r="E273" i="3" a="1"/>
  <c r="E273" i="3" s="1"/>
  <c r="D273" i="3" a="1"/>
  <c r="D273" i="3" s="1"/>
  <c r="C273" i="3" a="1"/>
  <c r="C273" i="3" s="1"/>
  <c r="B273" i="3" a="1"/>
  <c r="B273" i="3" s="1"/>
  <c r="Z272" i="3" a="1"/>
  <c r="Z272" i="3" s="1"/>
  <c r="Y272" i="3" a="1"/>
  <c r="Y272" i="3" s="1"/>
  <c r="X272" i="3" a="1"/>
  <c r="X272" i="3" s="1"/>
  <c r="W272" i="3" a="1"/>
  <c r="W272" i="3" s="1"/>
  <c r="V272" i="3" a="1"/>
  <c r="V272" i="3" s="1"/>
  <c r="U272" i="3" a="1"/>
  <c r="U272" i="3" s="1"/>
  <c r="T272" i="3" a="1"/>
  <c r="T272" i="3" s="1"/>
  <c r="S272" i="3" a="1"/>
  <c r="S272" i="3" s="1"/>
  <c r="R272" i="3" a="1"/>
  <c r="R272" i="3" s="1"/>
  <c r="Q272" i="3" a="1"/>
  <c r="Q272" i="3" s="1"/>
  <c r="P272" i="3" a="1"/>
  <c r="P272" i="3" s="1"/>
  <c r="O272" i="3" a="1"/>
  <c r="O272" i="3" s="1"/>
  <c r="N272" i="3" a="1"/>
  <c r="N272" i="3" s="1"/>
  <c r="M272" i="3" a="1"/>
  <c r="M272" i="3" s="1"/>
  <c r="L272" i="3" a="1"/>
  <c r="L272" i="3" s="1"/>
  <c r="K272" i="3" a="1"/>
  <c r="K272" i="3" s="1"/>
  <c r="J272" i="3" a="1"/>
  <c r="J272" i="3" s="1"/>
  <c r="I272" i="3" a="1"/>
  <c r="I272" i="3" s="1"/>
  <c r="G272" i="3" a="1"/>
  <c r="G272" i="3" s="1"/>
  <c r="F272" i="3" a="1"/>
  <c r="F272" i="3" s="1"/>
  <c r="E272" i="3" a="1"/>
  <c r="E272" i="3" s="1"/>
  <c r="D272" i="3" a="1"/>
  <c r="D272" i="3" s="1"/>
  <c r="C272" i="3" a="1"/>
  <c r="C272" i="3" s="1"/>
  <c r="B272" i="3" a="1"/>
  <c r="B272" i="3" s="1"/>
  <c r="Z271" i="3" a="1"/>
  <c r="Z271" i="3" s="1"/>
  <c r="Y271" i="3" a="1"/>
  <c r="Y271" i="3" s="1"/>
  <c r="X271" i="3" a="1"/>
  <c r="X271" i="3" s="1"/>
  <c r="W271" i="3" a="1"/>
  <c r="W271" i="3" s="1"/>
  <c r="V271" i="3" a="1"/>
  <c r="V271" i="3" s="1"/>
  <c r="U271" i="3" a="1"/>
  <c r="U271" i="3" s="1"/>
  <c r="T271" i="3" a="1"/>
  <c r="T271" i="3" s="1"/>
  <c r="S271" i="3" a="1"/>
  <c r="S271" i="3" s="1"/>
  <c r="R271" i="3" a="1"/>
  <c r="R271" i="3" s="1"/>
  <c r="Q271" i="3" a="1"/>
  <c r="Q271" i="3" s="1"/>
  <c r="P271" i="3" a="1"/>
  <c r="P271" i="3" s="1"/>
  <c r="O271" i="3" a="1"/>
  <c r="O271" i="3" s="1"/>
  <c r="N271" i="3" a="1"/>
  <c r="N271" i="3" s="1"/>
  <c r="M271" i="3" a="1"/>
  <c r="M271" i="3" s="1"/>
  <c r="L271" i="3" a="1"/>
  <c r="L271" i="3" s="1"/>
  <c r="K271" i="3" a="1"/>
  <c r="K271" i="3" s="1"/>
  <c r="J271" i="3" a="1"/>
  <c r="J271" i="3" s="1"/>
  <c r="I271" i="3" a="1"/>
  <c r="I271" i="3" s="1"/>
  <c r="G271" i="3" a="1"/>
  <c r="G271" i="3" s="1"/>
  <c r="F271" i="3" a="1"/>
  <c r="F271" i="3" s="1"/>
  <c r="E271" i="3" a="1"/>
  <c r="E271" i="3" s="1"/>
  <c r="D271" i="3" a="1"/>
  <c r="D271" i="3" s="1"/>
  <c r="C271" i="3" a="1"/>
  <c r="C271" i="3" s="1"/>
  <c r="B271" i="3" a="1"/>
  <c r="B271" i="3" s="1"/>
  <c r="Z270" i="3" a="1"/>
  <c r="Z270" i="3" s="1"/>
  <c r="Y270" i="3" a="1"/>
  <c r="Y270" i="3" s="1"/>
  <c r="X270" i="3" a="1"/>
  <c r="X270" i="3" s="1"/>
  <c r="W270" i="3" a="1"/>
  <c r="W270" i="3" s="1"/>
  <c r="V270" i="3" a="1"/>
  <c r="V270" i="3" s="1"/>
  <c r="U270" i="3" a="1"/>
  <c r="U270" i="3" s="1"/>
  <c r="T270" i="3" a="1"/>
  <c r="T270" i="3" s="1"/>
  <c r="S270" i="3" a="1"/>
  <c r="S270" i="3" s="1"/>
  <c r="R270" i="3" a="1"/>
  <c r="R270" i="3" s="1"/>
  <c r="Q270" i="3" a="1"/>
  <c r="Q270" i="3" s="1"/>
  <c r="P270" i="3" a="1"/>
  <c r="P270" i="3" s="1"/>
  <c r="O270" i="3" a="1"/>
  <c r="O270" i="3" s="1"/>
  <c r="N270" i="3" a="1"/>
  <c r="N270" i="3" s="1"/>
  <c r="M270" i="3" a="1"/>
  <c r="M270" i="3" s="1"/>
  <c r="L270" i="3" a="1"/>
  <c r="L270" i="3" s="1"/>
  <c r="K270" i="3" a="1"/>
  <c r="K270" i="3" s="1"/>
  <c r="J270" i="3" a="1"/>
  <c r="J270" i="3" s="1"/>
  <c r="I270" i="3" a="1"/>
  <c r="I270" i="3" s="1"/>
  <c r="G270" i="3" a="1"/>
  <c r="G270" i="3" s="1"/>
  <c r="F270" i="3" a="1"/>
  <c r="F270" i="3" s="1"/>
  <c r="E270" i="3" a="1"/>
  <c r="E270" i="3" s="1"/>
  <c r="D270" i="3" a="1"/>
  <c r="D270" i="3" s="1"/>
  <c r="C270" i="3" a="1"/>
  <c r="C270" i="3" s="1"/>
  <c r="B270" i="3" a="1"/>
  <c r="B270" i="3" s="1"/>
  <c r="Z269" i="3" a="1"/>
  <c r="Z269" i="3" s="1"/>
  <c r="Y269" i="3" a="1"/>
  <c r="Y269" i="3" s="1"/>
  <c r="X269" i="3" a="1"/>
  <c r="X269" i="3" s="1"/>
  <c r="W269" i="3" a="1"/>
  <c r="W269" i="3" s="1"/>
  <c r="V269" i="3" a="1"/>
  <c r="V269" i="3" s="1"/>
  <c r="U269" i="3" a="1"/>
  <c r="U269" i="3" s="1"/>
  <c r="T269" i="3" a="1"/>
  <c r="T269" i="3" s="1"/>
  <c r="S269" i="3" a="1"/>
  <c r="S269" i="3" s="1"/>
  <c r="R269" i="3" a="1"/>
  <c r="R269" i="3" s="1"/>
  <c r="Q269" i="3" a="1"/>
  <c r="Q269" i="3" s="1"/>
  <c r="P269" i="3" a="1"/>
  <c r="P269" i="3" s="1"/>
  <c r="O269" i="3" a="1"/>
  <c r="O269" i="3" s="1"/>
  <c r="N269" i="3" a="1"/>
  <c r="N269" i="3" s="1"/>
  <c r="M269" i="3" a="1"/>
  <c r="M269" i="3" s="1"/>
  <c r="L269" i="3" a="1"/>
  <c r="L269" i="3" s="1"/>
  <c r="K269" i="3" a="1"/>
  <c r="K269" i="3" s="1"/>
  <c r="J269" i="3" a="1"/>
  <c r="J269" i="3" s="1"/>
  <c r="I269" i="3" a="1"/>
  <c r="I269" i="3" s="1"/>
  <c r="G269" i="3" a="1"/>
  <c r="G269" i="3" s="1"/>
  <c r="F269" i="3" a="1"/>
  <c r="F269" i="3" s="1"/>
  <c r="E269" i="3" a="1"/>
  <c r="E269" i="3" s="1"/>
  <c r="D269" i="3" a="1"/>
  <c r="D269" i="3" s="1"/>
  <c r="C269" i="3" a="1"/>
  <c r="C269" i="3" s="1"/>
  <c r="B269" i="3" a="1"/>
  <c r="B269" i="3" s="1"/>
  <c r="Z268" i="3" a="1"/>
  <c r="Z268" i="3" s="1"/>
  <c r="Y268" i="3" a="1"/>
  <c r="Y268" i="3" s="1"/>
  <c r="X268" i="3" a="1"/>
  <c r="X268" i="3" s="1"/>
  <c r="W268" i="3" a="1"/>
  <c r="W268" i="3" s="1"/>
  <c r="V268" i="3" a="1"/>
  <c r="V268" i="3" s="1"/>
  <c r="U268" i="3" a="1"/>
  <c r="U268" i="3" s="1"/>
  <c r="T268" i="3" a="1"/>
  <c r="T268" i="3" s="1"/>
  <c r="S268" i="3" a="1"/>
  <c r="S268" i="3" s="1"/>
  <c r="R268" i="3" a="1"/>
  <c r="R268" i="3" s="1"/>
  <c r="Q268" i="3" a="1"/>
  <c r="Q268" i="3" s="1"/>
  <c r="P268" i="3" a="1"/>
  <c r="P268" i="3" s="1"/>
  <c r="O268" i="3" a="1"/>
  <c r="O268" i="3" s="1"/>
  <c r="N268" i="3" a="1"/>
  <c r="N268" i="3" s="1"/>
  <c r="M268" i="3" a="1"/>
  <c r="M268" i="3" s="1"/>
  <c r="L268" i="3" a="1"/>
  <c r="L268" i="3" s="1"/>
  <c r="K268" i="3" a="1"/>
  <c r="K268" i="3" s="1"/>
  <c r="J268" i="3" a="1"/>
  <c r="J268" i="3" s="1"/>
  <c r="I268" i="3" a="1"/>
  <c r="I268" i="3" s="1"/>
  <c r="G268" i="3" a="1"/>
  <c r="G268" i="3" s="1"/>
  <c r="F268" i="3" a="1"/>
  <c r="F268" i="3" s="1"/>
  <c r="E268" i="3" a="1"/>
  <c r="E268" i="3" s="1"/>
  <c r="D268" i="3" a="1"/>
  <c r="D268" i="3" s="1"/>
  <c r="C268" i="3" a="1"/>
  <c r="C268" i="3" s="1"/>
  <c r="B268" i="3" a="1"/>
  <c r="B268" i="3" s="1"/>
  <c r="Z267" i="3" a="1"/>
  <c r="Z267" i="3" s="1"/>
  <c r="Y267" i="3" a="1"/>
  <c r="Y267" i="3" s="1"/>
  <c r="X267" i="3" a="1"/>
  <c r="X267" i="3" s="1"/>
  <c r="W267" i="3" a="1"/>
  <c r="W267" i="3" s="1"/>
  <c r="V267" i="3" a="1"/>
  <c r="V267" i="3" s="1"/>
  <c r="U267" i="3" a="1"/>
  <c r="U267" i="3" s="1"/>
  <c r="T267" i="3" a="1"/>
  <c r="T267" i="3" s="1"/>
  <c r="S267" i="3" a="1"/>
  <c r="S267" i="3" s="1"/>
  <c r="R267" i="3" a="1"/>
  <c r="R267" i="3" s="1"/>
  <c r="Q267" i="3" a="1"/>
  <c r="Q267" i="3" s="1"/>
  <c r="P267" i="3" a="1"/>
  <c r="P267" i="3" s="1"/>
  <c r="O267" i="3" a="1"/>
  <c r="O267" i="3" s="1"/>
  <c r="N267" i="3" a="1"/>
  <c r="N267" i="3" s="1"/>
  <c r="M267" i="3" a="1"/>
  <c r="M267" i="3" s="1"/>
  <c r="L267" i="3" a="1"/>
  <c r="L267" i="3" s="1"/>
  <c r="K267" i="3" a="1"/>
  <c r="K267" i="3" s="1"/>
  <c r="J267" i="3" a="1"/>
  <c r="J267" i="3" s="1"/>
  <c r="I267" i="3" a="1"/>
  <c r="I267" i="3" s="1"/>
  <c r="G267" i="3" a="1"/>
  <c r="G267" i="3" s="1"/>
  <c r="F267" i="3" a="1"/>
  <c r="F267" i="3" s="1"/>
  <c r="E267" i="3" a="1"/>
  <c r="E267" i="3" s="1"/>
  <c r="D267" i="3" a="1"/>
  <c r="D267" i="3" s="1"/>
  <c r="C267" i="3" a="1"/>
  <c r="C267" i="3" s="1"/>
  <c r="B267" i="3" a="1"/>
  <c r="B267" i="3" s="1"/>
  <c r="Z266" i="3" a="1"/>
  <c r="Z266" i="3" s="1"/>
  <c r="Y266" i="3" a="1"/>
  <c r="Y266" i="3" s="1"/>
  <c r="X266" i="3" a="1"/>
  <c r="X266" i="3" s="1"/>
  <c r="W266" i="3" a="1"/>
  <c r="W266" i="3" s="1"/>
  <c r="V266" i="3" a="1"/>
  <c r="V266" i="3" s="1"/>
  <c r="U266" i="3" a="1"/>
  <c r="U266" i="3" s="1"/>
  <c r="T266" i="3" a="1"/>
  <c r="T266" i="3" s="1"/>
  <c r="S266" i="3" a="1"/>
  <c r="S266" i="3" s="1"/>
  <c r="R266" i="3" a="1"/>
  <c r="R266" i="3" s="1"/>
  <c r="Q266" i="3" a="1"/>
  <c r="Q266" i="3" s="1"/>
  <c r="P266" i="3" a="1"/>
  <c r="P266" i="3" s="1"/>
  <c r="O266" i="3" a="1"/>
  <c r="O266" i="3" s="1"/>
  <c r="N266" i="3" a="1"/>
  <c r="N266" i="3" s="1"/>
  <c r="M266" i="3" a="1"/>
  <c r="M266" i="3" s="1"/>
  <c r="L266" i="3" a="1"/>
  <c r="L266" i="3" s="1"/>
  <c r="K266" i="3" a="1"/>
  <c r="K266" i="3" s="1"/>
  <c r="J266" i="3" a="1"/>
  <c r="J266" i="3" s="1"/>
  <c r="I266" i="3" a="1"/>
  <c r="I266" i="3" s="1"/>
  <c r="G266" i="3" a="1"/>
  <c r="G266" i="3" s="1"/>
  <c r="F266" i="3" a="1"/>
  <c r="F266" i="3" s="1"/>
  <c r="E266" i="3" a="1"/>
  <c r="E266" i="3" s="1"/>
  <c r="D266" i="3" a="1"/>
  <c r="D266" i="3" s="1"/>
  <c r="C266" i="3" a="1"/>
  <c r="C266" i="3" s="1"/>
  <c r="B266" i="3" a="1"/>
  <c r="B266" i="3" s="1"/>
  <c r="Z265" i="3" a="1"/>
  <c r="Z265" i="3" s="1"/>
  <c r="Y265" i="3" a="1"/>
  <c r="Y265" i="3" s="1"/>
  <c r="X265" i="3" a="1"/>
  <c r="X265" i="3" s="1"/>
  <c r="W265" i="3" a="1"/>
  <c r="W265" i="3" s="1"/>
  <c r="V265" i="3" a="1"/>
  <c r="V265" i="3" s="1"/>
  <c r="U265" i="3" a="1"/>
  <c r="U265" i="3" s="1"/>
  <c r="T265" i="3" a="1"/>
  <c r="T265" i="3" s="1"/>
  <c r="S265" i="3" a="1"/>
  <c r="S265" i="3" s="1"/>
  <c r="R265" i="3" a="1"/>
  <c r="R265" i="3" s="1"/>
  <c r="Q265" i="3" a="1"/>
  <c r="Q265" i="3" s="1"/>
  <c r="P265" i="3" a="1"/>
  <c r="P265" i="3" s="1"/>
  <c r="O265" i="3" a="1"/>
  <c r="O265" i="3" s="1"/>
  <c r="N265" i="3" a="1"/>
  <c r="N265" i="3" s="1"/>
  <c r="M265" i="3" a="1"/>
  <c r="M265" i="3" s="1"/>
  <c r="L265" i="3" a="1"/>
  <c r="L265" i="3" s="1"/>
  <c r="K265" i="3" a="1"/>
  <c r="K265" i="3" s="1"/>
  <c r="J265" i="3" a="1"/>
  <c r="J265" i="3" s="1"/>
  <c r="I265" i="3" a="1"/>
  <c r="I265" i="3" s="1"/>
  <c r="G265" i="3" a="1"/>
  <c r="G265" i="3" s="1"/>
  <c r="F265" i="3" a="1"/>
  <c r="F265" i="3" s="1"/>
  <c r="E265" i="3" a="1"/>
  <c r="E265" i="3" s="1"/>
  <c r="D265" i="3" a="1"/>
  <c r="D265" i="3" s="1"/>
  <c r="C265" i="3" a="1"/>
  <c r="C265" i="3" s="1"/>
  <c r="B265" i="3" a="1"/>
  <c r="B265" i="3" s="1"/>
  <c r="Z264" i="3" a="1"/>
  <c r="Z264" i="3" s="1"/>
  <c r="Y264" i="3" a="1"/>
  <c r="Y264" i="3" s="1"/>
  <c r="X264" i="3" a="1"/>
  <c r="X264" i="3" s="1"/>
  <c r="W264" i="3" a="1"/>
  <c r="W264" i="3" s="1"/>
  <c r="V264" i="3" a="1"/>
  <c r="V264" i="3" s="1"/>
  <c r="U264" i="3" a="1"/>
  <c r="U264" i="3" s="1"/>
  <c r="T264" i="3" a="1"/>
  <c r="T264" i="3" s="1"/>
  <c r="S264" i="3" a="1"/>
  <c r="S264" i="3" s="1"/>
  <c r="R264" i="3" a="1"/>
  <c r="R264" i="3" s="1"/>
  <c r="Q264" i="3" a="1"/>
  <c r="Q264" i="3" s="1"/>
  <c r="P264" i="3" a="1"/>
  <c r="P264" i="3" s="1"/>
  <c r="O264" i="3" a="1"/>
  <c r="O264" i="3" s="1"/>
  <c r="N264" i="3" a="1"/>
  <c r="N264" i="3" s="1"/>
  <c r="M264" i="3" a="1"/>
  <c r="M264" i="3" s="1"/>
  <c r="L264" i="3" a="1"/>
  <c r="L264" i="3" s="1"/>
  <c r="K264" i="3" a="1"/>
  <c r="K264" i="3" s="1"/>
  <c r="J264" i="3" a="1"/>
  <c r="J264" i="3" s="1"/>
  <c r="I264" i="3" a="1"/>
  <c r="I264" i="3" s="1"/>
  <c r="G264" i="3" a="1"/>
  <c r="G264" i="3" s="1"/>
  <c r="F264" i="3" a="1"/>
  <c r="F264" i="3" s="1"/>
  <c r="E264" i="3" a="1"/>
  <c r="E264" i="3" s="1"/>
  <c r="D264" i="3" a="1"/>
  <c r="D264" i="3" s="1"/>
  <c r="C264" i="3" a="1"/>
  <c r="C264" i="3" s="1"/>
  <c r="B264" i="3" a="1"/>
  <c r="B264" i="3" s="1"/>
  <c r="Z263" i="3" a="1"/>
  <c r="Z263" i="3" s="1"/>
  <c r="Y263" i="3" a="1"/>
  <c r="Y263" i="3" s="1"/>
  <c r="X263" i="3" a="1"/>
  <c r="X263" i="3" s="1"/>
  <c r="W263" i="3" a="1"/>
  <c r="W263" i="3" s="1"/>
  <c r="V263" i="3" a="1"/>
  <c r="V263" i="3" s="1"/>
  <c r="U263" i="3" a="1"/>
  <c r="U263" i="3" s="1"/>
  <c r="T263" i="3" a="1"/>
  <c r="T263" i="3" s="1"/>
  <c r="S263" i="3" a="1"/>
  <c r="S263" i="3" s="1"/>
  <c r="R263" i="3" a="1"/>
  <c r="R263" i="3" s="1"/>
  <c r="Q263" i="3" a="1"/>
  <c r="Q263" i="3" s="1"/>
  <c r="P263" i="3" a="1"/>
  <c r="P263" i="3" s="1"/>
  <c r="O263" i="3" a="1"/>
  <c r="O263" i="3" s="1"/>
  <c r="N263" i="3" a="1"/>
  <c r="N263" i="3" s="1"/>
  <c r="M263" i="3" a="1"/>
  <c r="M263" i="3" s="1"/>
  <c r="L263" i="3" a="1"/>
  <c r="L263" i="3" s="1"/>
  <c r="K263" i="3" a="1"/>
  <c r="K263" i="3" s="1"/>
  <c r="J263" i="3" a="1"/>
  <c r="J263" i="3" s="1"/>
  <c r="I263" i="3" a="1"/>
  <c r="I263" i="3" s="1"/>
  <c r="G263" i="3" a="1"/>
  <c r="G263" i="3" s="1"/>
  <c r="F263" i="3" a="1"/>
  <c r="F263" i="3" s="1"/>
  <c r="E263" i="3" a="1"/>
  <c r="E263" i="3" s="1"/>
  <c r="D263" i="3" a="1"/>
  <c r="D263" i="3" s="1"/>
  <c r="C263" i="3" a="1"/>
  <c r="C263" i="3" s="1"/>
  <c r="B263" i="3" a="1"/>
  <c r="B263" i="3" s="1"/>
  <c r="Q259" i="3" a="1"/>
  <c r="Q259" i="3" s="1"/>
  <c r="P259" i="3" a="1"/>
  <c r="P259" i="3" s="1"/>
  <c r="O259" i="3" a="1"/>
  <c r="O259" i="3" s="1"/>
  <c r="N259" i="3" a="1"/>
  <c r="N259" i="3" s="1"/>
  <c r="M259" i="3" a="1"/>
  <c r="M259" i="3" s="1"/>
  <c r="L259" i="3" a="1"/>
  <c r="L259" i="3" s="1"/>
  <c r="K259" i="3" a="1"/>
  <c r="K259" i="3" s="1"/>
  <c r="J259" i="3" a="1"/>
  <c r="J259" i="3" s="1"/>
  <c r="I259" i="3" a="1"/>
  <c r="I259" i="3" s="1"/>
  <c r="G259" i="3" a="1"/>
  <c r="G259" i="3" s="1"/>
  <c r="F259" i="3" a="1"/>
  <c r="F259" i="3" s="1"/>
  <c r="E259" i="3" a="1"/>
  <c r="E259" i="3" s="1"/>
  <c r="D259" i="3" a="1"/>
  <c r="D259" i="3" s="1"/>
  <c r="C259" i="3" a="1"/>
  <c r="C259" i="3" s="1"/>
  <c r="B259" i="3" a="1"/>
  <c r="B259" i="3" s="1"/>
  <c r="Q258" i="3" a="1"/>
  <c r="Q258" i="3" s="1"/>
  <c r="P258" i="3" a="1"/>
  <c r="P258" i="3" s="1"/>
  <c r="O258" i="3" a="1"/>
  <c r="O258" i="3" s="1"/>
  <c r="N258" i="3" a="1"/>
  <c r="N258" i="3" s="1"/>
  <c r="M258" i="3" a="1"/>
  <c r="M258" i="3" s="1"/>
  <c r="L258" i="3" a="1"/>
  <c r="L258" i="3" s="1"/>
  <c r="K258" i="3" a="1"/>
  <c r="K258" i="3" s="1"/>
  <c r="J258" i="3" a="1"/>
  <c r="J258" i="3" s="1"/>
  <c r="I258" i="3" a="1"/>
  <c r="I258" i="3" s="1"/>
  <c r="G258" i="3" a="1"/>
  <c r="G258" i="3" s="1"/>
  <c r="F258" i="3" a="1"/>
  <c r="F258" i="3" s="1"/>
  <c r="E258" i="3" a="1"/>
  <c r="E258" i="3" s="1"/>
  <c r="D258" i="3" a="1"/>
  <c r="D258" i="3" s="1"/>
  <c r="C258" i="3" a="1"/>
  <c r="C258" i="3" s="1"/>
  <c r="B258" i="3" a="1"/>
  <c r="B258" i="3" s="1"/>
  <c r="T257" i="3" a="1"/>
  <c r="T257" i="3" s="1"/>
  <c r="Q257" i="3" a="1"/>
  <c r="Q257" i="3" s="1"/>
  <c r="P257" i="3" a="1"/>
  <c r="P257" i="3" s="1"/>
  <c r="O257" i="3" a="1"/>
  <c r="O257" i="3" s="1"/>
  <c r="N257" i="3" a="1"/>
  <c r="N257" i="3" s="1"/>
  <c r="M257" i="3" a="1"/>
  <c r="M257" i="3" s="1"/>
  <c r="L257" i="3" a="1"/>
  <c r="L257" i="3" s="1"/>
  <c r="K257" i="3" a="1"/>
  <c r="K257" i="3" s="1"/>
  <c r="J257" i="3" a="1"/>
  <c r="J257" i="3" s="1"/>
  <c r="I257" i="3" a="1"/>
  <c r="I257" i="3" s="1"/>
  <c r="G257" i="3" a="1"/>
  <c r="G257" i="3" s="1"/>
  <c r="F257" i="3" a="1"/>
  <c r="F257" i="3" s="1"/>
  <c r="E257" i="3" a="1"/>
  <c r="E257" i="3" s="1"/>
  <c r="D257" i="3" a="1"/>
  <c r="D257" i="3" s="1"/>
  <c r="C257" i="3" a="1"/>
  <c r="C257" i="3" s="1"/>
  <c r="B257" i="3" a="1"/>
  <c r="B257" i="3" s="1"/>
  <c r="Z253" i="3" a="1"/>
  <c r="Z253" i="3" s="1"/>
  <c r="Y253" i="3" a="1"/>
  <c r="Y253" i="3" s="1"/>
  <c r="X253" i="3" a="1"/>
  <c r="X253" i="3" s="1"/>
  <c r="W253" i="3" a="1"/>
  <c r="W253" i="3" s="1"/>
  <c r="V253" i="3" a="1"/>
  <c r="V253" i="3" s="1"/>
  <c r="U253" i="3" a="1"/>
  <c r="U253" i="3" s="1"/>
  <c r="T253" i="3" a="1"/>
  <c r="T253" i="3" s="1"/>
  <c r="S253" i="3" a="1"/>
  <c r="S253" i="3" s="1"/>
  <c r="R253" i="3" a="1"/>
  <c r="R253" i="3" s="1"/>
  <c r="Q253" i="3" a="1"/>
  <c r="Q253" i="3" s="1"/>
  <c r="P253" i="3" a="1"/>
  <c r="P253" i="3" s="1"/>
  <c r="O253" i="3" a="1"/>
  <c r="O253" i="3" s="1"/>
  <c r="N253" i="3" a="1"/>
  <c r="N253" i="3" s="1"/>
  <c r="M253" i="3" a="1"/>
  <c r="M253" i="3" s="1"/>
  <c r="L253" i="3" a="1"/>
  <c r="L253" i="3" s="1"/>
  <c r="K253" i="3" a="1"/>
  <c r="K253" i="3" s="1"/>
  <c r="J253" i="3" a="1"/>
  <c r="J253" i="3" s="1"/>
  <c r="I253" i="3" a="1"/>
  <c r="I253" i="3" s="1"/>
  <c r="G253" i="3" a="1"/>
  <c r="G253" i="3" s="1"/>
  <c r="F253" i="3" a="1"/>
  <c r="F253" i="3" s="1"/>
  <c r="E253" i="3" a="1"/>
  <c r="E253" i="3" s="1"/>
  <c r="D253" i="3" a="1"/>
  <c r="D253" i="3" s="1"/>
  <c r="C253" i="3" a="1"/>
  <c r="C253" i="3" s="1"/>
  <c r="B253" i="3" a="1"/>
  <c r="B253" i="3" s="1"/>
  <c r="Z252" i="3" a="1"/>
  <c r="Z252" i="3" s="1"/>
  <c r="Y252" i="3" a="1"/>
  <c r="Y252" i="3" s="1"/>
  <c r="X252" i="3" a="1"/>
  <c r="X252" i="3" s="1"/>
  <c r="W252" i="3" a="1"/>
  <c r="W252" i="3" s="1"/>
  <c r="V252" i="3" a="1"/>
  <c r="V252" i="3" s="1"/>
  <c r="U252" i="3" a="1"/>
  <c r="U252" i="3" s="1"/>
  <c r="T252" i="3" a="1"/>
  <c r="T252" i="3" s="1"/>
  <c r="S252" i="3" a="1"/>
  <c r="S252" i="3" s="1"/>
  <c r="R252" i="3" a="1"/>
  <c r="R252" i="3" s="1"/>
  <c r="Q252" i="3" a="1"/>
  <c r="Q252" i="3" s="1"/>
  <c r="P252" i="3" a="1"/>
  <c r="P252" i="3" s="1"/>
  <c r="O252" i="3" a="1"/>
  <c r="O252" i="3" s="1"/>
  <c r="N252" i="3" a="1"/>
  <c r="N252" i="3" s="1"/>
  <c r="M252" i="3" a="1"/>
  <c r="M252" i="3" s="1"/>
  <c r="L252" i="3" a="1"/>
  <c r="L252" i="3" s="1"/>
  <c r="K252" i="3" a="1"/>
  <c r="K252" i="3" s="1"/>
  <c r="J252" i="3" a="1"/>
  <c r="J252" i="3" s="1"/>
  <c r="I252" i="3" a="1"/>
  <c r="I252" i="3" s="1"/>
  <c r="G252" i="3" a="1"/>
  <c r="G252" i="3" s="1"/>
  <c r="F252" i="3" a="1"/>
  <c r="F252" i="3" s="1"/>
  <c r="E252" i="3" a="1"/>
  <c r="E252" i="3" s="1"/>
  <c r="D252" i="3" a="1"/>
  <c r="D252" i="3" s="1"/>
  <c r="C252" i="3" a="1"/>
  <c r="C252" i="3" s="1"/>
  <c r="B252" i="3" a="1"/>
  <c r="B252" i="3" s="1"/>
  <c r="Z251" i="3" a="1"/>
  <c r="Z251" i="3" s="1"/>
  <c r="Y251" i="3" a="1"/>
  <c r="Y251" i="3" s="1"/>
  <c r="X251" i="3" a="1"/>
  <c r="X251" i="3" s="1"/>
  <c r="W251" i="3" a="1"/>
  <c r="W251" i="3" s="1"/>
  <c r="V251" i="3" a="1"/>
  <c r="V251" i="3" s="1"/>
  <c r="U251" i="3" a="1"/>
  <c r="U251" i="3" s="1"/>
  <c r="T251" i="3" a="1"/>
  <c r="T251" i="3" s="1"/>
  <c r="S251" i="3" a="1"/>
  <c r="S251" i="3" s="1"/>
  <c r="R251" i="3" a="1"/>
  <c r="R251" i="3" s="1"/>
  <c r="Q251" i="3" a="1"/>
  <c r="Q251" i="3" s="1"/>
  <c r="P251" i="3" a="1"/>
  <c r="P251" i="3" s="1"/>
  <c r="O251" i="3" a="1"/>
  <c r="O251" i="3" s="1"/>
  <c r="N251" i="3" a="1"/>
  <c r="N251" i="3" s="1"/>
  <c r="M251" i="3" a="1"/>
  <c r="M251" i="3" s="1"/>
  <c r="L251" i="3" a="1"/>
  <c r="L251" i="3" s="1"/>
  <c r="K251" i="3" a="1"/>
  <c r="K251" i="3" s="1"/>
  <c r="J251" i="3" a="1"/>
  <c r="J251" i="3" s="1"/>
  <c r="I251" i="3" a="1"/>
  <c r="I251" i="3" s="1"/>
  <c r="G251" i="3" a="1"/>
  <c r="G251" i="3" s="1"/>
  <c r="F251" i="3" a="1"/>
  <c r="F251" i="3" s="1"/>
  <c r="E251" i="3" a="1"/>
  <c r="E251" i="3" s="1"/>
  <c r="D251" i="3" a="1"/>
  <c r="D251" i="3" s="1"/>
  <c r="C251" i="3" a="1"/>
  <c r="C251" i="3" s="1"/>
  <c r="B251" i="3" a="1"/>
  <c r="B251" i="3" s="1"/>
  <c r="Z250" i="3" a="1"/>
  <c r="Z250" i="3" s="1"/>
  <c r="Y250" i="3" a="1"/>
  <c r="Y250" i="3" s="1"/>
  <c r="X250" i="3" a="1"/>
  <c r="X250" i="3" s="1"/>
  <c r="W250" i="3" a="1"/>
  <c r="W250" i="3" s="1"/>
  <c r="V250" i="3" a="1"/>
  <c r="V250" i="3" s="1"/>
  <c r="U250" i="3" a="1"/>
  <c r="U250" i="3" s="1"/>
  <c r="T250" i="3" a="1"/>
  <c r="T250" i="3" s="1"/>
  <c r="S250" i="3" a="1"/>
  <c r="S250" i="3" s="1"/>
  <c r="R250" i="3" a="1"/>
  <c r="R250" i="3" s="1"/>
  <c r="Q250" i="3" a="1"/>
  <c r="Q250" i="3" s="1"/>
  <c r="P250" i="3" a="1"/>
  <c r="P250" i="3" s="1"/>
  <c r="O250" i="3" a="1"/>
  <c r="O250" i="3" s="1"/>
  <c r="N250" i="3" a="1"/>
  <c r="N250" i="3" s="1"/>
  <c r="M250" i="3" a="1"/>
  <c r="M250" i="3" s="1"/>
  <c r="L250" i="3" a="1"/>
  <c r="L250" i="3" s="1"/>
  <c r="K250" i="3" a="1"/>
  <c r="K250" i="3" s="1"/>
  <c r="J250" i="3" a="1"/>
  <c r="J250" i="3" s="1"/>
  <c r="I250" i="3" a="1"/>
  <c r="I250" i="3" s="1"/>
  <c r="G250" i="3" a="1"/>
  <c r="G250" i="3" s="1"/>
  <c r="F250" i="3" a="1"/>
  <c r="F250" i="3" s="1"/>
  <c r="E250" i="3" a="1"/>
  <c r="E250" i="3" s="1"/>
  <c r="D250" i="3" a="1"/>
  <c r="D250" i="3" s="1"/>
  <c r="C250" i="3" a="1"/>
  <c r="C250" i="3" s="1"/>
  <c r="B250" i="3" a="1"/>
  <c r="B250" i="3" s="1"/>
  <c r="Z249" i="3" a="1"/>
  <c r="Z249" i="3" s="1"/>
  <c r="Y249" i="3" a="1"/>
  <c r="Y249" i="3" s="1"/>
  <c r="X249" i="3" a="1"/>
  <c r="X249" i="3" s="1"/>
  <c r="W249" i="3" a="1"/>
  <c r="W249" i="3" s="1"/>
  <c r="V249" i="3" a="1"/>
  <c r="V249" i="3" s="1"/>
  <c r="U249" i="3" a="1"/>
  <c r="U249" i="3" s="1"/>
  <c r="T249" i="3" a="1"/>
  <c r="T249" i="3" s="1"/>
  <c r="S249" i="3" a="1"/>
  <c r="S249" i="3" s="1"/>
  <c r="R249" i="3" a="1"/>
  <c r="R249" i="3" s="1"/>
  <c r="Q249" i="3" a="1"/>
  <c r="Q249" i="3" s="1"/>
  <c r="P249" i="3" a="1"/>
  <c r="P249" i="3" s="1"/>
  <c r="O249" i="3" a="1"/>
  <c r="O249" i="3" s="1"/>
  <c r="N249" i="3" a="1"/>
  <c r="N249" i="3" s="1"/>
  <c r="M249" i="3" a="1"/>
  <c r="M249" i="3" s="1"/>
  <c r="L249" i="3" a="1"/>
  <c r="L249" i="3" s="1"/>
  <c r="K249" i="3" a="1"/>
  <c r="K249" i="3" s="1"/>
  <c r="J249" i="3" a="1"/>
  <c r="J249" i="3" s="1"/>
  <c r="I249" i="3" a="1"/>
  <c r="I249" i="3" s="1"/>
  <c r="G249" i="3" a="1"/>
  <c r="G249" i="3" s="1"/>
  <c r="F249" i="3" a="1"/>
  <c r="F249" i="3" s="1"/>
  <c r="E249" i="3" a="1"/>
  <c r="E249" i="3" s="1"/>
  <c r="D249" i="3" a="1"/>
  <c r="D249" i="3" s="1"/>
  <c r="C249" i="3" a="1"/>
  <c r="C249" i="3" s="1"/>
  <c r="B249" i="3" a="1"/>
  <c r="B249" i="3" s="1"/>
  <c r="Z248" i="3" a="1"/>
  <c r="Z248" i="3" s="1"/>
  <c r="Y248" i="3" a="1"/>
  <c r="Y248" i="3" s="1"/>
  <c r="X248" i="3" a="1"/>
  <c r="X248" i="3" s="1"/>
  <c r="W248" i="3" a="1"/>
  <c r="W248" i="3" s="1"/>
  <c r="V248" i="3" a="1"/>
  <c r="V248" i="3" s="1"/>
  <c r="U248" i="3" a="1"/>
  <c r="U248" i="3" s="1"/>
  <c r="T248" i="3" a="1"/>
  <c r="T248" i="3" s="1"/>
  <c r="S248" i="3" a="1"/>
  <c r="S248" i="3" s="1"/>
  <c r="R248" i="3" a="1"/>
  <c r="R248" i="3" s="1"/>
  <c r="Q248" i="3" a="1"/>
  <c r="Q248" i="3" s="1"/>
  <c r="P248" i="3" a="1"/>
  <c r="P248" i="3" s="1"/>
  <c r="O248" i="3" a="1"/>
  <c r="O248" i="3" s="1"/>
  <c r="N248" i="3" a="1"/>
  <c r="N248" i="3" s="1"/>
  <c r="M248" i="3" a="1"/>
  <c r="M248" i="3" s="1"/>
  <c r="L248" i="3" a="1"/>
  <c r="L248" i="3" s="1"/>
  <c r="K248" i="3" a="1"/>
  <c r="K248" i="3" s="1"/>
  <c r="J248" i="3" a="1"/>
  <c r="J248" i="3" s="1"/>
  <c r="I248" i="3" a="1"/>
  <c r="I248" i="3" s="1"/>
  <c r="G248" i="3" a="1"/>
  <c r="G248" i="3" s="1"/>
  <c r="F248" i="3" a="1"/>
  <c r="F248" i="3" s="1"/>
  <c r="E248" i="3" a="1"/>
  <c r="E248" i="3" s="1"/>
  <c r="D248" i="3" a="1"/>
  <c r="D248" i="3" s="1"/>
  <c r="C248" i="3" a="1"/>
  <c r="C248" i="3" s="1"/>
  <c r="B248" i="3" a="1"/>
  <c r="B248" i="3" s="1"/>
  <c r="Z247" i="3" a="1"/>
  <c r="Z247" i="3" s="1"/>
  <c r="Y247" i="3" a="1"/>
  <c r="Y247" i="3" s="1"/>
  <c r="X247" i="3" a="1"/>
  <c r="X247" i="3" s="1"/>
  <c r="W247" i="3" a="1"/>
  <c r="W247" i="3" s="1"/>
  <c r="V247" i="3" a="1"/>
  <c r="V247" i="3" s="1"/>
  <c r="U247" i="3" a="1"/>
  <c r="U247" i="3" s="1"/>
  <c r="T247" i="3" a="1"/>
  <c r="T247" i="3" s="1"/>
  <c r="S247" i="3" a="1"/>
  <c r="S247" i="3" s="1"/>
  <c r="R247" i="3" a="1"/>
  <c r="R247" i="3" s="1"/>
  <c r="Q247" i="3" a="1"/>
  <c r="Q247" i="3" s="1"/>
  <c r="P247" i="3" a="1"/>
  <c r="P247" i="3" s="1"/>
  <c r="O247" i="3" a="1"/>
  <c r="O247" i="3" s="1"/>
  <c r="N247" i="3" a="1"/>
  <c r="N247" i="3" s="1"/>
  <c r="M247" i="3" a="1"/>
  <c r="M247" i="3" s="1"/>
  <c r="L247" i="3" a="1"/>
  <c r="L247" i="3" s="1"/>
  <c r="K247" i="3" a="1"/>
  <c r="K247" i="3" s="1"/>
  <c r="J247" i="3" a="1"/>
  <c r="J247" i="3" s="1"/>
  <c r="I247" i="3" a="1"/>
  <c r="I247" i="3" s="1"/>
  <c r="G247" i="3" a="1"/>
  <c r="G247" i="3" s="1"/>
  <c r="F247" i="3" a="1"/>
  <c r="F247" i="3" s="1"/>
  <c r="E247" i="3" a="1"/>
  <c r="E247" i="3" s="1"/>
  <c r="D247" i="3" a="1"/>
  <c r="D247" i="3" s="1"/>
  <c r="C247" i="3" a="1"/>
  <c r="C247" i="3" s="1"/>
  <c r="B247" i="3" a="1"/>
  <c r="B247" i="3" s="1"/>
  <c r="Z246" i="3" a="1"/>
  <c r="Z246" i="3" s="1"/>
  <c r="Y246" i="3" a="1"/>
  <c r="Y246" i="3" s="1"/>
  <c r="X246" i="3" a="1"/>
  <c r="X246" i="3" s="1"/>
  <c r="W246" i="3" a="1"/>
  <c r="W246" i="3" s="1"/>
  <c r="V246" i="3" a="1"/>
  <c r="V246" i="3" s="1"/>
  <c r="U246" i="3" a="1"/>
  <c r="U246" i="3" s="1"/>
  <c r="T246" i="3" a="1"/>
  <c r="T246" i="3" s="1"/>
  <c r="S246" i="3" a="1"/>
  <c r="S246" i="3" s="1"/>
  <c r="R246" i="3" a="1"/>
  <c r="R246" i="3" s="1"/>
  <c r="Q246" i="3" a="1"/>
  <c r="Q246" i="3" s="1"/>
  <c r="P246" i="3" a="1"/>
  <c r="P246" i="3" s="1"/>
  <c r="O246" i="3" a="1"/>
  <c r="O246" i="3" s="1"/>
  <c r="N246" i="3" a="1"/>
  <c r="N246" i="3" s="1"/>
  <c r="M246" i="3" a="1"/>
  <c r="M246" i="3" s="1"/>
  <c r="L246" i="3" a="1"/>
  <c r="L246" i="3" s="1"/>
  <c r="K246" i="3" a="1"/>
  <c r="K246" i="3" s="1"/>
  <c r="J246" i="3" a="1"/>
  <c r="J246" i="3" s="1"/>
  <c r="I246" i="3" a="1"/>
  <c r="I246" i="3" s="1"/>
  <c r="G246" i="3" a="1"/>
  <c r="G246" i="3" s="1"/>
  <c r="F246" i="3" a="1"/>
  <c r="F246" i="3" s="1"/>
  <c r="E246" i="3" a="1"/>
  <c r="E246" i="3" s="1"/>
  <c r="D246" i="3" a="1"/>
  <c r="D246" i="3" s="1"/>
  <c r="C246" i="3" a="1"/>
  <c r="C246" i="3" s="1"/>
  <c r="B246" i="3" a="1"/>
  <c r="B246" i="3" s="1"/>
  <c r="Z245" i="3" a="1"/>
  <c r="Z245" i="3" s="1"/>
  <c r="Y245" i="3" a="1"/>
  <c r="Y245" i="3" s="1"/>
  <c r="X245" i="3" a="1"/>
  <c r="X245" i="3" s="1"/>
  <c r="W245" i="3" a="1"/>
  <c r="W245" i="3" s="1"/>
  <c r="V245" i="3" a="1"/>
  <c r="V245" i="3" s="1"/>
  <c r="U245" i="3" a="1"/>
  <c r="U245" i="3" s="1"/>
  <c r="T245" i="3" a="1"/>
  <c r="T245" i="3" s="1"/>
  <c r="S245" i="3" a="1"/>
  <c r="S245" i="3" s="1"/>
  <c r="R245" i="3" a="1"/>
  <c r="R245" i="3" s="1"/>
  <c r="Q245" i="3" a="1"/>
  <c r="Q245" i="3" s="1"/>
  <c r="P245" i="3" a="1"/>
  <c r="P245" i="3" s="1"/>
  <c r="O245" i="3" a="1"/>
  <c r="O245" i="3" s="1"/>
  <c r="N245" i="3" a="1"/>
  <c r="N245" i="3" s="1"/>
  <c r="M245" i="3" a="1"/>
  <c r="M245" i="3" s="1"/>
  <c r="L245" i="3" a="1"/>
  <c r="L245" i="3" s="1"/>
  <c r="K245" i="3" a="1"/>
  <c r="K245" i="3" s="1"/>
  <c r="J245" i="3" a="1"/>
  <c r="J245" i="3" s="1"/>
  <c r="I245" i="3" a="1"/>
  <c r="I245" i="3" s="1"/>
  <c r="G245" i="3" a="1"/>
  <c r="G245" i="3" s="1"/>
  <c r="F245" i="3" a="1"/>
  <c r="F245" i="3" s="1"/>
  <c r="E245" i="3" a="1"/>
  <c r="E245" i="3" s="1"/>
  <c r="D245" i="3" a="1"/>
  <c r="D245" i="3" s="1"/>
  <c r="C245" i="3" a="1"/>
  <c r="C245" i="3" s="1"/>
  <c r="B245" i="3" a="1"/>
  <c r="B245" i="3" s="1"/>
  <c r="Z244" i="3" a="1"/>
  <c r="Z244" i="3" s="1"/>
  <c r="Y244" i="3" a="1"/>
  <c r="Y244" i="3" s="1"/>
  <c r="X244" i="3" a="1"/>
  <c r="X244" i="3" s="1"/>
  <c r="W244" i="3" a="1"/>
  <c r="W244" i="3" s="1"/>
  <c r="V244" i="3" a="1"/>
  <c r="V244" i="3" s="1"/>
  <c r="U244" i="3" a="1"/>
  <c r="U244" i="3" s="1"/>
  <c r="T244" i="3" a="1"/>
  <c r="T244" i="3" s="1"/>
  <c r="S244" i="3" a="1"/>
  <c r="S244" i="3" s="1"/>
  <c r="R244" i="3" a="1"/>
  <c r="R244" i="3" s="1"/>
  <c r="Q244" i="3" a="1"/>
  <c r="Q244" i="3" s="1"/>
  <c r="P244" i="3" a="1"/>
  <c r="P244" i="3" s="1"/>
  <c r="O244" i="3" a="1"/>
  <c r="O244" i="3" s="1"/>
  <c r="N244" i="3" a="1"/>
  <c r="N244" i="3" s="1"/>
  <c r="M244" i="3" a="1"/>
  <c r="M244" i="3" s="1"/>
  <c r="L244" i="3" a="1"/>
  <c r="L244" i="3" s="1"/>
  <c r="K244" i="3" a="1"/>
  <c r="K244" i="3" s="1"/>
  <c r="J244" i="3" a="1"/>
  <c r="J244" i="3" s="1"/>
  <c r="I244" i="3" a="1"/>
  <c r="I244" i="3" s="1"/>
  <c r="G244" i="3" a="1"/>
  <c r="G244" i="3" s="1"/>
  <c r="F244" i="3" a="1"/>
  <c r="F244" i="3" s="1"/>
  <c r="E244" i="3" a="1"/>
  <c r="E244" i="3" s="1"/>
  <c r="D244" i="3" a="1"/>
  <c r="D244" i="3" s="1"/>
  <c r="C244" i="3" a="1"/>
  <c r="C244" i="3" s="1"/>
  <c r="B244" i="3" a="1"/>
  <c r="B244" i="3" s="1"/>
  <c r="Z243" i="3" a="1"/>
  <c r="Z243" i="3" s="1"/>
  <c r="Y243" i="3" a="1"/>
  <c r="Y243" i="3" s="1"/>
  <c r="X243" i="3" a="1"/>
  <c r="X243" i="3" s="1"/>
  <c r="W243" i="3" a="1"/>
  <c r="W243" i="3" s="1"/>
  <c r="V243" i="3" a="1"/>
  <c r="V243" i="3" s="1"/>
  <c r="U243" i="3" a="1"/>
  <c r="U243" i="3" s="1"/>
  <c r="T243" i="3" a="1"/>
  <c r="T243" i="3" s="1"/>
  <c r="S243" i="3" a="1"/>
  <c r="S243" i="3" s="1"/>
  <c r="R243" i="3" a="1"/>
  <c r="R243" i="3" s="1"/>
  <c r="Q243" i="3" a="1"/>
  <c r="Q243" i="3" s="1"/>
  <c r="P243" i="3" a="1"/>
  <c r="P243" i="3" s="1"/>
  <c r="O243" i="3" a="1"/>
  <c r="O243" i="3" s="1"/>
  <c r="N243" i="3" a="1"/>
  <c r="N243" i="3" s="1"/>
  <c r="M243" i="3" a="1"/>
  <c r="M243" i="3" s="1"/>
  <c r="L243" i="3" a="1"/>
  <c r="L243" i="3" s="1"/>
  <c r="K243" i="3" a="1"/>
  <c r="K243" i="3" s="1"/>
  <c r="J243" i="3" a="1"/>
  <c r="J243" i="3" s="1"/>
  <c r="I243" i="3" a="1"/>
  <c r="I243" i="3" s="1"/>
  <c r="G243" i="3" a="1"/>
  <c r="G243" i="3" s="1"/>
  <c r="F243" i="3" a="1"/>
  <c r="F243" i="3" s="1"/>
  <c r="E243" i="3" a="1"/>
  <c r="E243" i="3" s="1"/>
  <c r="D243" i="3" a="1"/>
  <c r="D243" i="3" s="1"/>
  <c r="C243" i="3" a="1"/>
  <c r="C243" i="3" s="1"/>
  <c r="B243" i="3" a="1"/>
  <c r="B243" i="3" s="1"/>
  <c r="Z242" i="3" a="1"/>
  <c r="Z242" i="3" s="1"/>
  <c r="Y242" i="3" a="1"/>
  <c r="Y242" i="3" s="1"/>
  <c r="X242" i="3" a="1"/>
  <c r="X242" i="3" s="1"/>
  <c r="W242" i="3" a="1"/>
  <c r="W242" i="3" s="1"/>
  <c r="V242" i="3" a="1"/>
  <c r="V242" i="3" s="1"/>
  <c r="U242" i="3" a="1"/>
  <c r="U242" i="3" s="1"/>
  <c r="T242" i="3" a="1"/>
  <c r="T242" i="3" s="1"/>
  <c r="S242" i="3" a="1"/>
  <c r="S242" i="3" s="1"/>
  <c r="R242" i="3" a="1"/>
  <c r="R242" i="3" s="1"/>
  <c r="Q242" i="3" a="1"/>
  <c r="Q242" i="3" s="1"/>
  <c r="P242" i="3" a="1"/>
  <c r="P242" i="3" s="1"/>
  <c r="O242" i="3" a="1"/>
  <c r="O242" i="3" s="1"/>
  <c r="N242" i="3" a="1"/>
  <c r="N242" i="3" s="1"/>
  <c r="M242" i="3" a="1"/>
  <c r="M242" i="3" s="1"/>
  <c r="L242" i="3" a="1"/>
  <c r="L242" i="3" s="1"/>
  <c r="K242" i="3" a="1"/>
  <c r="K242" i="3" s="1"/>
  <c r="J242" i="3" a="1"/>
  <c r="J242" i="3" s="1"/>
  <c r="I242" i="3" a="1"/>
  <c r="I242" i="3" s="1"/>
  <c r="G242" i="3" a="1"/>
  <c r="G242" i="3" s="1"/>
  <c r="F242" i="3" a="1"/>
  <c r="F242" i="3" s="1"/>
  <c r="E242" i="3" a="1"/>
  <c r="E242" i="3" s="1"/>
  <c r="D242" i="3" a="1"/>
  <c r="D242" i="3" s="1"/>
  <c r="C242" i="3" a="1"/>
  <c r="C242" i="3" s="1"/>
  <c r="B242" i="3" a="1"/>
  <c r="B242" i="3" s="1"/>
  <c r="Z241" i="3" a="1"/>
  <c r="Z241" i="3" s="1"/>
  <c r="Y241" i="3" a="1"/>
  <c r="Y241" i="3" s="1"/>
  <c r="X241" i="3" a="1"/>
  <c r="X241" i="3" s="1"/>
  <c r="W241" i="3" a="1"/>
  <c r="W241" i="3" s="1"/>
  <c r="V241" i="3" a="1"/>
  <c r="V241" i="3" s="1"/>
  <c r="U241" i="3" a="1"/>
  <c r="U241" i="3" s="1"/>
  <c r="T241" i="3" a="1"/>
  <c r="T241" i="3" s="1"/>
  <c r="S241" i="3" a="1"/>
  <c r="S241" i="3" s="1"/>
  <c r="R241" i="3" a="1"/>
  <c r="R241" i="3" s="1"/>
  <c r="Q241" i="3" a="1"/>
  <c r="Q241" i="3" s="1"/>
  <c r="P241" i="3" a="1"/>
  <c r="P241" i="3" s="1"/>
  <c r="O241" i="3" a="1"/>
  <c r="O241" i="3" s="1"/>
  <c r="N241" i="3" a="1"/>
  <c r="N241" i="3" s="1"/>
  <c r="M241" i="3" a="1"/>
  <c r="M241" i="3" s="1"/>
  <c r="L241" i="3" a="1"/>
  <c r="L241" i="3" s="1"/>
  <c r="K241" i="3" a="1"/>
  <c r="K241" i="3" s="1"/>
  <c r="J241" i="3" a="1"/>
  <c r="J241" i="3" s="1"/>
  <c r="I241" i="3" a="1"/>
  <c r="I241" i="3" s="1"/>
  <c r="G241" i="3" a="1"/>
  <c r="G241" i="3" s="1"/>
  <c r="F241" i="3" a="1"/>
  <c r="F241" i="3" s="1"/>
  <c r="E241" i="3" a="1"/>
  <c r="E241" i="3" s="1"/>
  <c r="D241" i="3" a="1"/>
  <c r="D241" i="3" s="1"/>
  <c r="C241" i="3" a="1"/>
  <c r="C241" i="3" s="1"/>
  <c r="B241" i="3" a="1"/>
  <c r="B241" i="3" s="1"/>
  <c r="Z240" i="3" a="1"/>
  <c r="Z240" i="3" s="1"/>
  <c r="Y240" i="3" a="1"/>
  <c r="Y240" i="3" s="1"/>
  <c r="X240" i="3" a="1"/>
  <c r="X240" i="3" s="1"/>
  <c r="W240" i="3" a="1"/>
  <c r="W240" i="3" s="1"/>
  <c r="V240" i="3" a="1"/>
  <c r="V240" i="3" s="1"/>
  <c r="U240" i="3" a="1"/>
  <c r="U240" i="3" s="1"/>
  <c r="T240" i="3" a="1"/>
  <c r="T240" i="3" s="1"/>
  <c r="S240" i="3" a="1"/>
  <c r="S240" i="3" s="1"/>
  <c r="R240" i="3" a="1"/>
  <c r="R240" i="3" s="1"/>
  <c r="Q240" i="3" a="1"/>
  <c r="Q240" i="3" s="1"/>
  <c r="P240" i="3" a="1"/>
  <c r="P240" i="3" s="1"/>
  <c r="O240" i="3" a="1"/>
  <c r="O240" i="3" s="1"/>
  <c r="N240" i="3" a="1"/>
  <c r="N240" i="3" s="1"/>
  <c r="M240" i="3" a="1"/>
  <c r="M240" i="3" s="1"/>
  <c r="L240" i="3" a="1"/>
  <c r="L240" i="3" s="1"/>
  <c r="K240" i="3" a="1"/>
  <c r="K240" i="3" s="1"/>
  <c r="J240" i="3" a="1"/>
  <c r="J240" i="3" s="1"/>
  <c r="I240" i="3" a="1"/>
  <c r="I240" i="3" s="1"/>
  <c r="G240" i="3" a="1"/>
  <c r="G240" i="3" s="1"/>
  <c r="F240" i="3" a="1"/>
  <c r="F240" i="3" s="1"/>
  <c r="E240" i="3" a="1"/>
  <c r="E240" i="3" s="1"/>
  <c r="D240" i="3" a="1"/>
  <c r="D240" i="3" s="1"/>
  <c r="C240" i="3" a="1"/>
  <c r="C240" i="3" s="1"/>
  <c r="B240" i="3" a="1"/>
  <c r="B240" i="3" s="1"/>
  <c r="Z239" i="3" a="1"/>
  <c r="Z239" i="3" s="1"/>
  <c r="Y239" i="3" a="1"/>
  <c r="Y239" i="3" s="1"/>
  <c r="X239" i="3" a="1"/>
  <c r="X239" i="3" s="1"/>
  <c r="W239" i="3" a="1"/>
  <c r="W239" i="3" s="1"/>
  <c r="V239" i="3" a="1"/>
  <c r="V239" i="3" s="1"/>
  <c r="U239" i="3" a="1"/>
  <c r="U239" i="3" s="1"/>
  <c r="T239" i="3" a="1"/>
  <c r="T239" i="3" s="1"/>
  <c r="S239" i="3" a="1"/>
  <c r="S239" i="3" s="1"/>
  <c r="R239" i="3" a="1"/>
  <c r="R239" i="3" s="1"/>
  <c r="Q239" i="3" a="1"/>
  <c r="Q239" i="3" s="1"/>
  <c r="P239" i="3" a="1"/>
  <c r="P239" i="3" s="1"/>
  <c r="O239" i="3" a="1"/>
  <c r="O239" i="3" s="1"/>
  <c r="N239" i="3" a="1"/>
  <c r="N239" i="3" s="1"/>
  <c r="M239" i="3" a="1"/>
  <c r="M239" i="3" s="1"/>
  <c r="L239" i="3" a="1"/>
  <c r="L239" i="3" s="1"/>
  <c r="K239" i="3" a="1"/>
  <c r="K239" i="3" s="1"/>
  <c r="J239" i="3" a="1"/>
  <c r="J239" i="3" s="1"/>
  <c r="I239" i="3" a="1"/>
  <c r="I239" i="3" s="1"/>
  <c r="G239" i="3" a="1"/>
  <c r="G239" i="3" s="1"/>
  <c r="F239" i="3" a="1"/>
  <c r="F239" i="3" s="1"/>
  <c r="E239" i="3" a="1"/>
  <c r="E239" i="3" s="1"/>
  <c r="D239" i="3" a="1"/>
  <c r="D239" i="3" s="1"/>
  <c r="C239" i="3" a="1"/>
  <c r="C239" i="3" s="1"/>
  <c r="B239" i="3" a="1"/>
  <c r="B239" i="3" s="1"/>
  <c r="Z238" i="3" a="1"/>
  <c r="Z238" i="3" s="1"/>
  <c r="Y238" i="3" a="1"/>
  <c r="Y238" i="3" s="1"/>
  <c r="X238" i="3" a="1"/>
  <c r="X238" i="3" s="1"/>
  <c r="W238" i="3" a="1"/>
  <c r="W238" i="3" s="1"/>
  <c r="V238" i="3" a="1"/>
  <c r="V238" i="3" s="1"/>
  <c r="U238" i="3" a="1"/>
  <c r="U238" i="3" s="1"/>
  <c r="T238" i="3" a="1"/>
  <c r="T238" i="3" s="1"/>
  <c r="S238" i="3" a="1"/>
  <c r="S238" i="3" s="1"/>
  <c r="R238" i="3" a="1"/>
  <c r="R238" i="3" s="1"/>
  <c r="Q238" i="3" a="1"/>
  <c r="Q238" i="3" s="1"/>
  <c r="P238" i="3" a="1"/>
  <c r="P238" i="3" s="1"/>
  <c r="O238" i="3" a="1"/>
  <c r="O238" i="3" s="1"/>
  <c r="N238" i="3" a="1"/>
  <c r="N238" i="3" s="1"/>
  <c r="M238" i="3" a="1"/>
  <c r="M238" i="3" s="1"/>
  <c r="L238" i="3" a="1"/>
  <c r="L238" i="3" s="1"/>
  <c r="K238" i="3" a="1"/>
  <c r="K238" i="3" s="1"/>
  <c r="J238" i="3" a="1"/>
  <c r="J238" i="3" s="1"/>
  <c r="I238" i="3" a="1"/>
  <c r="I238" i="3" s="1"/>
  <c r="G238" i="3" a="1"/>
  <c r="G238" i="3" s="1"/>
  <c r="F238" i="3" a="1"/>
  <c r="F238" i="3" s="1"/>
  <c r="E238" i="3" a="1"/>
  <c r="E238" i="3" s="1"/>
  <c r="D238" i="3" a="1"/>
  <c r="D238" i="3" s="1"/>
  <c r="C238" i="3" a="1"/>
  <c r="C238" i="3" s="1"/>
  <c r="B238" i="3" a="1"/>
  <c r="B238" i="3" s="1"/>
  <c r="Z237" i="3" a="1"/>
  <c r="Z237" i="3" s="1"/>
  <c r="Y237" i="3" a="1"/>
  <c r="Y237" i="3" s="1"/>
  <c r="X237" i="3" a="1"/>
  <c r="X237" i="3" s="1"/>
  <c r="W237" i="3" a="1"/>
  <c r="W237" i="3" s="1"/>
  <c r="V237" i="3" a="1"/>
  <c r="V237" i="3" s="1"/>
  <c r="U237" i="3" a="1"/>
  <c r="U237" i="3" s="1"/>
  <c r="T237" i="3" a="1"/>
  <c r="T237" i="3" s="1"/>
  <c r="S237" i="3" a="1"/>
  <c r="S237" i="3" s="1"/>
  <c r="R237" i="3" a="1"/>
  <c r="R237" i="3" s="1"/>
  <c r="Q237" i="3" a="1"/>
  <c r="Q237" i="3" s="1"/>
  <c r="P237" i="3" a="1"/>
  <c r="P237" i="3" s="1"/>
  <c r="O237" i="3" a="1"/>
  <c r="O237" i="3" s="1"/>
  <c r="N237" i="3" a="1"/>
  <c r="N237" i="3" s="1"/>
  <c r="M237" i="3" a="1"/>
  <c r="M237" i="3" s="1"/>
  <c r="L237" i="3" a="1"/>
  <c r="L237" i="3" s="1"/>
  <c r="K237" i="3" a="1"/>
  <c r="K237" i="3" s="1"/>
  <c r="J237" i="3" a="1"/>
  <c r="J237" i="3" s="1"/>
  <c r="I237" i="3" a="1"/>
  <c r="I237" i="3" s="1"/>
  <c r="G237" i="3" a="1"/>
  <c r="G237" i="3" s="1"/>
  <c r="F237" i="3" a="1"/>
  <c r="F237" i="3" s="1"/>
  <c r="E237" i="3" a="1"/>
  <c r="E237" i="3" s="1"/>
  <c r="D237" i="3" a="1"/>
  <c r="D237" i="3" s="1"/>
  <c r="C237" i="3" a="1"/>
  <c r="C237" i="3" s="1"/>
  <c r="B237" i="3" a="1"/>
  <c r="B237" i="3" s="1"/>
  <c r="Z236" i="3" a="1"/>
  <c r="Z236" i="3" s="1"/>
  <c r="Y236" i="3" a="1"/>
  <c r="Y236" i="3" s="1"/>
  <c r="X236" i="3" a="1"/>
  <c r="X236" i="3" s="1"/>
  <c r="W236" i="3" a="1"/>
  <c r="W236" i="3" s="1"/>
  <c r="V236" i="3" a="1"/>
  <c r="V236" i="3" s="1"/>
  <c r="U236" i="3" a="1"/>
  <c r="U236" i="3" s="1"/>
  <c r="T236" i="3" a="1"/>
  <c r="T236" i="3" s="1"/>
  <c r="S236" i="3" a="1"/>
  <c r="S236" i="3" s="1"/>
  <c r="R236" i="3" a="1"/>
  <c r="R236" i="3" s="1"/>
  <c r="Q236" i="3" a="1"/>
  <c r="Q236" i="3" s="1"/>
  <c r="P236" i="3" a="1"/>
  <c r="P236" i="3" s="1"/>
  <c r="O236" i="3" a="1"/>
  <c r="O236" i="3" s="1"/>
  <c r="N236" i="3" a="1"/>
  <c r="N236" i="3" s="1"/>
  <c r="M236" i="3" a="1"/>
  <c r="M236" i="3" s="1"/>
  <c r="L236" i="3" a="1"/>
  <c r="L236" i="3" s="1"/>
  <c r="K236" i="3" a="1"/>
  <c r="K236" i="3" s="1"/>
  <c r="J236" i="3" a="1"/>
  <c r="J236" i="3" s="1"/>
  <c r="I236" i="3" a="1"/>
  <c r="I236" i="3" s="1"/>
  <c r="G236" i="3" a="1"/>
  <c r="G236" i="3" s="1"/>
  <c r="F236" i="3" a="1"/>
  <c r="F236" i="3" s="1"/>
  <c r="E236" i="3" a="1"/>
  <c r="E236" i="3" s="1"/>
  <c r="D236" i="3" a="1"/>
  <c r="D236" i="3" s="1"/>
  <c r="C236" i="3" a="1"/>
  <c r="C236" i="3" s="1"/>
  <c r="B236" i="3" a="1"/>
  <c r="B236" i="3" s="1"/>
  <c r="Z235" i="3" a="1"/>
  <c r="Z235" i="3" s="1"/>
  <c r="Y235" i="3" a="1"/>
  <c r="Y235" i="3" s="1"/>
  <c r="X235" i="3" a="1"/>
  <c r="X235" i="3" s="1"/>
  <c r="W235" i="3" a="1"/>
  <c r="W235" i="3" s="1"/>
  <c r="V235" i="3" a="1"/>
  <c r="V235" i="3" s="1"/>
  <c r="U235" i="3" a="1"/>
  <c r="U235" i="3" s="1"/>
  <c r="T235" i="3" a="1"/>
  <c r="T235" i="3" s="1"/>
  <c r="S235" i="3" a="1"/>
  <c r="S235" i="3" s="1"/>
  <c r="R235" i="3" a="1"/>
  <c r="R235" i="3" s="1"/>
  <c r="Q235" i="3" a="1"/>
  <c r="Q235" i="3" s="1"/>
  <c r="P235" i="3" a="1"/>
  <c r="P235" i="3" s="1"/>
  <c r="O235" i="3" a="1"/>
  <c r="O235" i="3" s="1"/>
  <c r="N235" i="3" a="1"/>
  <c r="N235" i="3" s="1"/>
  <c r="M235" i="3" a="1"/>
  <c r="M235" i="3" s="1"/>
  <c r="L235" i="3" a="1"/>
  <c r="L235" i="3" s="1"/>
  <c r="K235" i="3" a="1"/>
  <c r="K235" i="3" s="1"/>
  <c r="J235" i="3" a="1"/>
  <c r="J235" i="3" s="1"/>
  <c r="I235" i="3" a="1"/>
  <c r="I235" i="3" s="1"/>
  <c r="G235" i="3" a="1"/>
  <c r="G235" i="3" s="1"/>
  <c r="F235" i="3" a="1"/>
  <c r="F235" i="3" s="1"/>
  <c r="E235" i="3" a="1"/>
  <c r="E235" i="3" s="1"/>
  <c r="D235" i="3" a="1"/>
  <c r="D235" i="3" s="1"/>
  <c r="C235" i="3" a="1"/>
  <c r="C235" i="3" s="1"/>
  <c r="B235" i="3" a="1"/>
  <c r="B235" i="3" s="1"/>
  <c r="Z234" i="3" a="1"/>
  <c r="Z234" i="3" s="1"/>
  <c r="Y234" i="3" a="1"/>
  <c r="Y234" i="3" s="1"/>
  <c r="X234" i="3" a="1"/>
  <c r="X234" i="3" s="1"/>
  <c r="W234" i="3" a="1"/>
  <c r="W234" i="3" s="1"/>
  <c r="V234" i="3" a="1"/>
  <c r="V234" i="3" s="1"/>
  <c r="U234" i="3" a="1"/>
  <c r="U234" i="3" s="1"/>
  <c r="T234" i="3" a="1"/>
  <c r="T234" i="3" s="1"/>
  <c r="S234" i="3" a="1"/>
  <c r="S234" i="3" s="1"/>
  <c r="R234" i="3" a="1"/>
  <c r="R234" i="3" s="1"/>
  <c r="Q234" i="3" a="1"/>
  <c r="Q234" i="3" s="1"/>
  <c r="P234" i="3" a="1"/>
  <c r="P234" i="3" s="1"/>
  <c r="O234" i="3" a="1"/>
  <c r="O234" i="3" s="1"/>
  <c r="N234" i="3" a="1"/>
  <c r="N234" i="3" s="1"/>
  <c r="M234" i="3" a="1"/>
  <c r="M234" i="3" s="1"/>
  <c r="L234" i="3" a="1"/>
  <c r="L234" i="3" s="1"/>
  <c r="K234" i="3" a="1"/>
  <c r="K234" i="3" s="1"/>
  <c r="J234" i="3" a="1"/>
  <c r="J234" i="3" s="1"/>
  <c r="I234" i="3" a="1"/>
  <c r="I234" i="3" s="1"/>
  <c r="G234" i="3" a="1"/>
  <c r="G234" i="3" s="1"/>
  <c r="F234" i="3" a="1"/>
  <c r="F234" i="3" s="1"/>
  <c r="E234" i="3" a="1"/>
  <c r="E234" i="3" s="1"/>
  <c r="D234" i="3" a="1"/>
  <c r="D234" i="3" s="1"/>
  <c r="C234" i="3" a="1"/>
  <c r="C234" i="3" s="1"/>
  <c r="B234" i="3" a="1"/>
  <c r="B234" i="3" s="1"/>
  <c r="Q230" i="3" a="1"/>
  <c r="Q230" i="3" s="1"/>
  <c r="P230" i="3" a="1"/>
  <c r="P230" i="3" s="1"/>
  <c r="O230" i="3" a="1"/>
  <c r="O230" i="3" s="1"/>
  <c r="N230" i="3" a="1"/>
  <c r="N230" i="3" s="1"/>
  <c r="M230" i="3" a="1"/>
  <c r="M230" i="3" s="1"/>
  <c r="L230" i="3" a="1"/>
  <c r="L230" i="3" s="1"/>
  <c r="K230" i="3" a="1"/>
  <c r="K230" i="3" s="1"/>
  <c r="J230" i="3" a="1"/>
  <c r="J230" i="3" s="1"/>
  <c r="I230" i="3" a="1"/>
  <c r="I230" i="3" s="1"/>
  <c r="G230" i="3" a="1"/>
  <c r="G230" i="3" s="1"/>
  <c r="F230" i="3" a="1"/>
  <c r="F230" i="3" s="1"/>
  <c r="E230" i="3" a="1"/>
  <c r="E230" i="3" s="1"/>
  <c r="D230" i="3" a="1"/>
  <c r="D230" i="3" s="1"/>
  <c r="C230" i="3" a="1"/>
  <c r="C230" i="3" s="1"/>
  <c r="B230" i="3" a="1"/>
  <c r="B230" i="3" s="1"/>
  <c r="Q229" i="3" a="1"/>
  <c r="Q229" i="3" s="1"/>
  <c r="P229" i="3" a="1"/>
  <c r="P229" i="3" s="1"/>
  <c r="O229" i="3" a="1"/>
  <c r="O229" i="3" s="1"/>
  <c r="N229" i="3" a="1"/>
  <c r="N229" i="3" s="1"/>
  <c r="M229" i="3" a="1"/>
  <c r="M229" i="3" s="1"/>
  <c r="L229" i="3" a="1"/>
  <c r="L229" i="3" s="1"/>
  <c r="K229" i="3" a="1"/>
  <c r="K229" i="3" s="1"/>
  <c r="J229" i="3" a="1"/>
  <c r="J229" i="3" s="1"/>
  <c r="I229" i="3" a="1"/>
  <c r="I229" i="3" s="1"/>
  <c r="G229" i="3" a="1"/>
  <c r="G229" i="3" s="1"/>
  <c r="F229" i="3" a="1"/>
  <c r="F229" i="3" s="1"/>
  <c r="E229" i="3" a="1"/>
  <c r="E229" i="3" s="1"/>
  <c r="D229" i="3" a="1"/>
  <c r="D229" i="3" s="1"/>
  <c r="C229" i="3" a="1"/>
  <c r="C229" i="3" s="1"/>
  <c r="B229" i="3" a="1"/>
  <c r="B229" i="3" s="1"/>
  <c r="T228" i="3" a="1"/>
  <c r="T228" i="3" s="1"/>
  <c r="Q228" i="3" a="1"/>
  <c r="Q228" i="3" s="1"/>
  <c r="P228" i="3" a="1"/>
  <c r="P228" i="3" s="1"/>
  <c r="O228" i="3" a="1"/>
  <c r="O228" i="3" s="1"/>
  <c r="N228" i="3" a="1"/>
  <c r="N228" i="3" s="1"/>
  <c r="M228" i="3" a="1"/>
  <c r="M228" i="3" s="1"/>
  <c r="L228" i="3" a="1"/>
  <c r="L228" i="3" s="1"/>
  <c r="K228" i="3" a="1"/>
  <c r="K228" i="3" s="1"/>
  <c r="J228" i="3" a="1"/>
  <c r="J228" i="3" s="1"/>
  <c r="I228" i="3" a="1"/>
  <c r="I228" i="3" s="1"/>
  <c r="G228" i="3" a="1"/>
  <c r="G228" i="3" s="1"/>
  <c r="F228" i="3" a="1"/>
  <c r="F228" i="3" s="1"/>
  <c r="E228" i="3" a="1"/>
  <c r="E228" i="3" s="1"/>
  <c r="D228" i="3" a="1"/>
  <c r="D228" i="3" s="1"/>
  <c r="C228" i="3" a="1"/>
  <c r="C228" i="3" s="1"/>
  <c r="B228" i="3" a="1"/>
  <c r="B228" i="3" s="1"/>
  <c r="Z224" i="3" a="1"/>
  <c r="Z224" i="3" s="1"/>
  <c r="Y224" i="3" a="1"/>
  <c r="Y224" i="3" s="1"/>
  <c r="X224" i="3" a="1"/>
  <c r="X224" i="3" s="1"/>
  <c r="W224" i="3" a="1"/>
  <c r="W224" i="3" s="1"/>
  <c r="V224" i="3" a="1"/>
  <c r="V224" i="3" s="1"/>
  <c r="U224" i="3" a="1"/>
  <c r="U224" i="3" s="1"/>
  <c r="T224" i="3" a="1"/>
  <c r="T224" i="3" s="1"/>
  <c r="S224" i="3" a="1"/>
  <c r="S224" i="3" s="1"/>
  <c r="R224" i="3" a="1"/>
  <c r="R224" i="3" s="1"/>
  <c r="Q224" i="3" a="1"/>
  <c r="Q224" i="3" s="1"/>
  <c r="P224" i="3" a="1"/>
  <c r="P224" i="3" s="1"/>
  <c r="O224" i="3" a="1"/>
  <c r="O224" i="3" s="1"/>
  <c r="N224" i="3" a="1"/>
  <c r="N224" i="3" s="1"/>
  <c r="M224" i="3" a="1"/>
  <c r="M224" i="3" s="1"/>
  <c r="L224" i="3" a="1"/>
  <c r="L224" i="3" s="1"/>
  <c r="K224" i="3" a="1"/>
  <c r="K224" i="3" s="1"/>
  <c r="J224" i="3" a="1"/>
  <c r="J224" i="3" s="1"/>
  <c r="I224" i="3" a="1"/>
  <c r="I224" i="3" s="1"/>
  <c r="G224" i="3" a="1"/>
  <c r="G224" i="3" s="1"/>
  <c r="F224" i="3" a="1"/>
  <c r="F224" i="3" s="1"/>
  <c r="E224" i="3" a="1"/>
  <c r="E224" i="3" s="1"/>
  <c r="D224" i="3" a="1"/>
  <c r="D224" i="3" s="1"/>
  <c r="C224" i="3" a="1"/>
  <c r="C224" i="3" s="1"/>
  <c r="B224" i="3" a="1"/>
  <c r="B224" i="3" s="1"/>
  <c r="Z223" i="3" a="1"/>
  <c r="Z223" i="3" s="1"/>
  <c r="Y223" i="3" a="1"/>
  <c r="Y223" i="3" s="1"/>
  <c r="X223" i="3" a="1"/>
  <c r="X223" i="3" s="1"/>
  <c r="W223" i="3" a="1"/>
  <c r="W223" i="3" s="1"/>
  <c r="V223" i="3" a="1"/>
  <c r="V223" i="3" s="1"/>
  <c r="U223" i="3" a="1"/>
  <c r="U223" i="3" s="1"/>
  <c r="T223" i="3" a="1"/>
  <c r="T223" i="3" s="1"/>
  <c r="S223" i="3" a="1"/>
  <c r="S223" i="3" s="1"/>
  <c r="R223" i="3" a="1"/>
  <c r="R223" i="3" s="1"/>
  <c r="Q223" i="3" a="1"/>
  <c r="Q223" i="3" s="1"/>
  <c r="P223" i="3" a="1"/>
  <c r="P223" i="3" s="1"/>
  <c r="O223" i="3" a="1"/>
  <c r="O223" i="3" s="1"/>
  <c r="N223" i="3" a="1"/>
  <c r="N223" i="3" s="1"/>
  <c r="M223" i="3" a="1"/>
  <c r="M223" i="3" s="1"/>
  <c r="L223" i="3" a="1"/>
  <c r="L223" i="3" s="1"/>
  <c r="K223" i="3" a="1"/>
  <c r="K223" i="3" s="1"/>
  <c r="J223" i="3" a="1"/>
  <c r="J223" i="3" s="1"/>
  <c r="I223" i="3" a="1"/>
  <c r="I223" i="3" s="1"/>
  <c r="G223" i="3" a="1"/>
  <c r="G223" i="3" s="1"/>
  <c r="F223" i="3" a="1"/>
  <c r="F223" i="3" s="1"/>
  <c r="E223" i="3" a="1"/>
  <c r="E223" i="3" s="1"/>
  <c r="D223" i="3" a="1"/>
  <c r="D223" i="3" s="1"/>
  <c r="C223" i="3" a="1"/>
  <c r="C223" i="3" s="1"/>
  <c r="B223" i="3" a="1"/>
  <c r="B223" i="3" s="1"/>
  <c r="Z222" i="3" a="1"/>
  <c r="Z222" i="3" s="1"/>
  <c r="Y222" i="3" a="1"/>
  <c r="Y222" i="3" s="1"/>
  <c r="X222" i="3" a="1"/>
  <c r="X222" i="3" s="1"/>
  <c r="W222" i="3" a="1"/>
  <c r="W222" i="3" s="1"/>
  <c r="V222" i="3" a="1"/>
  <c r="V222" i="3" s="1"/>
  <c r="U222" i="3" a="1"/>
  <c r="U222" i="3" s="1"/>
  <c r="T222" i="3" a="1"/>
  <c r="T222" i="3" s="1"/>
  <c r="S222" i="3" a="1"/>
  <c r="S222" i="3" s="1"/>
  <c r="R222" i="3" a="1"/>
  <c r="R222" i="3" s="1"/>
  <c r="Q222" i="3" a="1"/>
  <c r="Q222" i="3" s="1"/>
  <c r="P222" i="3" a="1"/>
  <c r="P222" i="3" s="1"/>
  <c r="O222" i="3" a="1"/>
  <c r="O222" i="3" s="1"/>
  <c r="N222" i="3" a="1"/>
  <c r="N222" i="3" s="1"/>
  <c r="M222" i="3" a="1"/>
  <c r="M222" i="3" s="1"/>
  <c r="L222" i="3" a="1"/>
  <c r="L222" i="3" s="1"/>
  <c r="K222" i="3" a="1"/>
  <c r="K222" i="3" s="1"/>
  <c r="J222" i="3" a="1"/>
  <c r="J222" i="3" s="1"/>
  <c r="I222" i="3" a="1"/>
  <c r="I222" i="3" s="1"/>
  <c r="G222" i="3" a="1"/>
  <c r="G222" i="3" s="1"/>
  <c r="F222" i="3" a="1"/>
  <c r="F222" i="3" s="1"/>
  <c r="E222" i="3" a="1"/>
  <c r="E222" i="3" s="1"/>
  <c r="D222" i="3" a="1"/>
  <c r="D222" i="3" s="1"/>
  <c r="C222" i="3" a="1"/>
  <c r="C222" i="3" s="1"/>
  <c r="B222" i="3" a="1"/>
  <c r="B222" i="3" s="1"/>
  <c r="Z221" i="3" a="1"/>
  <c r="Z221" i="3" s="1"/>
  <c r="Y221" i="3" a="1"/>
  <c r="Y221" i="3" s="1"/>
  <c r="X221" i="3" a="1"/>
  <c r="X221" i="3" s="1"/>
  <c r="W221" i="3" a="1"/>
  <c r="W221" i="3" s="1"/>
  <c r="V221" i="3" a="1"/>
  <c r="V221" i="3" s="1"/>
  <c r="U221" i="3" a="1"/>
  <c r="U221" i="3" s="1"/>
  <c r="T221" i="3" a="1"/>
  <c r="T221" i="3" s="1"/>
  <c r="S221" i="3" a="1"/>
  <c r="S221" i="3" s="1"/>
  <c r="R221" i="3" a="1"/>
  <c r="R221" i="3" s="1"/>
  <c r="Q221" i="3" a="1"/>
  <c r="Q221" i="3" s="1"/>
  <c r="P221" i="3" a="1"/>
  <c r="P221" i="3" s="1"/>
  <c r="O221" i="3" a="1"/>
  <c r="O221" i="3" s="1"/>
  <c r="N221" i="3" a="1"/>
  <c r="N221" i="3" s="1"/>
  <c r="M221" i="3" a="1"/>
  <c r="M221" i="3" s="1"/>
  <c r="L221" i="3" a="1"/>
  <c r="L221" i="3" s="1"/>
  <c r="K221" i="3" a="1"/>
  <c r="K221" i="3" s="1"/>
  <c r="J221" i="3" a="1"/>
  <c r="J221" i="3" s="1"/>
  <c r="I221" i="3" a="1"/>
  <c r="I221" i="3" s="1"/>
  <c r="G221" i="3" a="1"/>
  <c r="G221" i="3" s="1"/>
  <c r="F221" i="3" a="1"/>
  <c r="F221" i="3" s="1"/>
  <c r="E221" i="3" a="1"/>
  <c r="E221" i="3" s="1"/>
  <c r="D221" i="3" a="1"/>
  <c r="D221" i="3" s="1"/>
  <c r="C221" i="3" a="1"/>
  <c r="C221" i="3" s="1"/>
  <c r="B221" i="3" a="1"/>
  <c r="B221" i="3" s="1"/>
  <c r="Z220" i="3" a="1"/>
  <c r="Z220" i="3" s="1"/>
  <c r="Y220" i="3" a="1"/>
  <c r="Y220" i="3" s="1"/>
  <c r="X220" i="3" a="1"/>
  <c r="X220" i="3" s="1"/>
  <c r="W220" i="3" a="1"/>
  <c r="W220" i="3" s="1"/>
  <c r="V220" i="3" a="1"/>
  <c r="V220" i="3" s="1"/>
  <c r="U220" i="3" a="1"/>
  <c r="U220" i="3" s="1"/>
  <c r="T220" i="3" a="1"/>
  <c r="T220" i="3" s="1"/>
  <c r="S220" i="3" a="1"/>
  <c r="S220" i="3" s="1"/>
  <c r="R220" i="3" a="1"/>
  <c r="R220" i="3" s="1"/>
  <c r="Q220" i="3" a="1"/>
  <c r="Q220" i="3" s="1"/>
  <c r="P220" i="3" a="1"/>
  <c r="P220" i="3" s="1"/>
  <c r="O220" i="3" a="1"/>
  <c r="O220" i="3" s="1"/>
  <c r="N220" i="3" a="1"/>
  <c r="N220" i="3" s="1"/>
  <c r="M220" i="3" a="1"/>
  <c r="M220" i="3" s="1"/>
  <c r="L220" i="3" a="1"/>
  <c r="L220" i="3" s="1"/>
  <c r="K220" i="3" a="1"/>
  <c r="K220" i="3" s="1"/>
  <c r="J220" i="3" a="1"/>
  <c r="J220" i="3" s="1"/>
  <c r="I220" i="3" a="1"/>
  <c r="I220" i="3" s="1"/>
  <c r="G220" i="3" a="1"/>
  <c r="G220" i="3" s="1"/>
  <c r="F220" i="3" a="1"/>
  <c r="F220" i="3" s="1"/>
  <c r="E220" i="3" a="1"/>
  <c r="E220" i="3" s="1"/>
  <c r="D220" i="3" a="1"/>
  <c r="D220" i="3" s="1"/>
  <c r="C220" i="3" a="1"/>
  <c r="C220" i="3" s="1"/>
  <c r="B220" i="3" a="1"/>
  <c r="B220" i="3" s="1"/>
  <c r="Z219" i="3" a="1"/>
  <c r="Z219" i="3" s="1"/>
  <c r="Y219" i="3" a="1"/>
  <c r="Y219" i="3" s="1"/>
  <c r="X219" i="3" a="1"/>
  <c r="X219" i="3" s="1"/>
  <c r="W219" i="3" a="1"/>
  <c r="W219" i="3" s="1"/>
  <c r="V219" i="3" a="1"/>
  <c r="V219" i="3" s="1"/>
  <c r="U219" i="3" a="1"/>
  <c r="U219" i="3" s="1"/>
  <c r="T219" i="3" a="1"/>
  <c r="T219" i="3" s="1"/>
  <c r="S219" i="3" a="1"/>
  <c r="S219" i="3" s="1"/>
  <c r="R219" i="3" a="1"/>
  <c r="R219" i="3" s="1"/>
  <c r="Q219" i="3" a="1"/>
  <c r="Q219" i="3" s="1"/>
  <c r="P219" i="3" a="1"/>
  <c r="P219" i="3" s="1"/>
  <c r="O219" i="3" a="1"/>
  <c r="O219" i="3" s="1"/>
  <c r="N219" i="3" a="1"/>
  <c r="N219" i="3" s="1"/>
  <c r="M219" i="3" a="1"/>
  <c r="M219" i="3" s="1"/>
  <c r="L219" i="3" a="1"/>
  <c r="L219" i="3" s="1"/>
  <c r="K219" i="3" a="1"/>
  <c r="K219" i="3" s="1"/>
  <c r="J219" i="3" a="1"/>
  <c r="J219" i="3" s="1"/>
  <c r="I219" i="3" a="1"/>
  <c r="I219" i="3" s="1"/>
  <c r="G219" i="3" a="1"/>
  <c r="G219" i="3" s="1"/>
  <c r="F219" i="3" a="1"/>
  <c r="F219" i="3" s="1"/>
  <c r="E219" i="3" a="1"/>
  <c r="E219" i="3" s="1"/>
  <c r="D219" i="3" a="1"/>
  <c r="D219" i="3" s="1"/>
  <c r="C219" i="3" a="1"/>
  <c r="C219" i="3" s="1"/>
  <c r="B219" i="3" a="1"/>
  <c r="B219" i="3" s="1"/>
  <c r="Z218" i="3" a="1"/>
  <c r="Z218" i="3" s="1"/>
  <c r="Y218" i="3" a="1"/>
  <c r="Y218" i="3" s="1"/>
  <c r="X218" i="3" a="1"/>
  <c r="X218" i="3" s="1"/>
  <c r="W218" i="3" a="1"/>
  <c r="W218" i="3" s="1"/>
  <c r="V218" i="3" a="1"/>
  <c r="V218" i="3" s="1"/>
  <c r="U218" i="3" a="1"/>
  <c r="U218" i="3" s="1"/>
  <c r="T218" i="3" a="1"/>
  <c r="T218" i="3" s="1"/>
  <c r="S218" i="3" a="1"/>
  <c r="S218" i="3" s="1"/>
  <c r="R218" i="3" a="1"/>
  <c r="R218" i="3" s="1"/>
  <c r="Q218" i="3" a="1"/>
  <c r="Q218" i="3" s="1"/>
  <c r="P218" i="3" a="1"/>
  <c r="P218" i="3" s="1"/>
  <c r="O218" i="3" a="1"/>
  <c r="O218" i="3" s="1"/>
  <c r="N218" i="3" a="1"/>
  <c r="N218" i="3" s="1"/>
  <c r="M218" i="3" a="1"/>
  <c r="M218" i="3" s="1"/>
  <c r="L218" i="3" a="1"/>
  <c r="L218" i="3" s="1"/>
  <c r="K218" i="3" a="1"/>
  <c r="K218" i="3" s="1"/>
  <c r="J218" i="3" a="1"/>
  <c r="J218" i="3" s="1"/>
  <c r="I218" i="3" a="1"/>
  <c r="I218" i="3" s="1"/>
  <c r="G218" i="3" a="1"/>
  <c r="G218" i="3" s="1"/>
  <c r="F218" i="3" a="1"/>
  <c r="F218" i="3" s="1"/>
  <c r="E218" i="3" a="1"/>
  <c r="E218" i="3" s="1"/>
  <c r="D218" i="3" a="1"/>
  <c r="D218" i="3" s="1"/>
  <c r="C218" i="3" a="1"/>
  <c r="C218" i="3" s="1"/>
  <c r="B218" i="3" a="1"/>
  <c r="B218" i="3" s="1"/>
  <c r="Z217" i="3" a="1"/>
  <c r="Z217" i="3" s="1"/>
  <c r="Y217" i="3" a="1"/>
  <c r="Y217" i="3" s="1"/>
  <c r="X217" i="3" a="1"/>
  <c r="X217" i="3" s="1"/>
  <c r="W217" i="3" a="1"/>
  <c r="W217" i="3" s="1"/>
  <c r="V217" i="3" a="1"/>
  <c r="V217" i="3" s="1"/>
  <c r="U217" i="3" a="1"/>
  <c r="U217" i="3" s="1"/>
  <c r="T217" i="3" a="1"/>
  <c r="T217" i="3" s="1"/>
  <c r="S217" i="3" a="1"/>
  <c r="S217" i="3" s="1"/>
  <c r="R217" i="3" a="1"/>
  <c r="R217" i="3" s="1"/>
  <c r="Q217" i="3" a="1"/>
  <c r="Q217" i="3" s="1"/>
  <c r="P217" i="3" a="1"/>
  <c r="P217" i="3" s="1"/>
  <c r="O217" i="3" a="1"/>
  <c r="O217" i="3" s="1"/>
  <c r="N217" i="3" a="1"/>
  <c r="N217" i="3" s="1"/>
  <c r="M217" i="3" a="1"/>
  <c r="M217" i="3" s="1"/>
  <c r="L217" i="3" a="1"/>
  <c r="L217" i="3" s="1"/>
  <c r="K217" i="3" a="1"/>
  <c r="K217" i="3" s="1"/>
  <c r="J217" i="3" a="1"/>
  <c r="J217" i="3" s="1"/>
  <c r="I217" i="3" a="1"/>
  <c r="I217" i="3" s="1"/>
  <c r="G217" i="3" a="1"/>
  <c r="G217" i="3" s="1"/>
  <c r="F217" i="3" a="1"/>
  <c r="F217" i="3" s="1"/>
  <c r="E217" i="3" a="1"/>
  <c r="E217" i="3" s="1"/>
  <c r="D217" i="3" a="1"/>
  <c r="D217" i="3" s="1"/>
  <c r="C217" i="3" a="1"/>
  <c r="C217" i="3" s="1"/>
  <c r="B217" i="3" a="1"/>
  <c r="B217" i="3" s="1"/>
  <c r="Z216" i="3" a="1"/>
  <c r="Z216" i="3" s="1"/>
  <c r="Y216" i="3" a="1"/>
  <c r="Y216" i="3" s="1"/>
  <c r="X216" i="3" a="1"/>
  <c r="X216" i="3" s="1"/>
  <c r="W216" i="3" a="1"/>
  <c r="W216" i="3" s="1"/>
  <c r="V216" i="3" a="1"/>
  <c r="V216" i="3" s="1"/>
  <c r="U216" i="3" a="1"/>
  <c r="U216" i="3" s="1"/>
  <c r="T216" i="3" a="1"/>
  <c r="T216" i="3" s="1"/>
  <c r="S216" i="3" a="1"/>
  <c r="S216" i="3" s="1"/>
  <c r="R216" i="3" a="1"/>
  <c r="R216" i="3" s="1"/>
  <c r="Q216" i="3" a="1"/>
  <c r="Q216" i="3" s="1"/>
  <c r="P216" i="3" a="1"/>
  <c r="P216" i="3" s="1"/>
  <c r="O216" i="3" a="1"/>
  <c r="O216" i="3" s="1"/>
  <c r="N216" i="3" a="1"/>
  <c r="N216" i="3" s="1"/>
  <c r="M216" i="3" a="1"/>
  <c r="M216" i="3" s="1"/>
  <c r="L216" i="3" a="1"/>
  <c r="L216" i="3" s="1"/>
  <c r="K216" i="3" a="1"/>
  <c r="K216" i="3" s="1"/>
  <c r="J216" i="3" a="1"/>
  <c r="J216" i="3" s="1"/>
  <c r="I216" i="3" a="1"/>
  <c r="I216" i="3" s="1"/>
  <c r="G216" i="3" a="1"/>
  <c r="G216" i="3" s="1"/>
  <c r="F216" i="3" a="1"/>
  <c r="F216" i="3" s="1"/>
  <c r="E216" i="3" a="1"/>
  <c r="E216" i="3" s="1"/>
  <c r="D216" i="3" a="1"/>
  <c r="D216" i="3" s="1"/>
  <c r="C216" i="3" a="1"/>
  <c r="C216" i="3" s="1"/>
  <c r="B216" i="3" a="1"/>
  <c r="B216" i="3" s="1"/>
  <c r="Z215" i="3" a="1"/>
  <c r="Z215" i="3" s="1"/>
  <c r="Y215" i="3" a="1"/>
  <c r="Y215" i="3" s="1"/>
  <c r="X215" i="3" a="1"/>
  <c r="X215" i="3" s="1"/>
  <c r="W215" i="3" a="1"/>
  <c r="W215" i="3" s="1"/>
  <c r="V215" i="3" a="1"/>
  <c r="V215" i="3" s="1"/>
  <c r="U215" i="3" a="1"/>
  <c r="U215" i="3" s="1"/>
  <c r="T215" i="3" a="1"/>
  <c r="T215" i="3" s="1"/>
  <c r="S215" i="3" a="1"/>
  <c r="S215" i="3" s="1"/>
  <c r="R215" i="3" a="1"/>
  <c r="R215" i="3" s="1"/>
  <c r="Q215" i="3" a="1"/>
  <c r="Q215" i="3" s="1"/>
  <c r="P215" i="3" a="1"/>
  <c r="P215" i="3" s="1"/>
  <c r="O215" i="3" a="1"/>
  <c r="O215" i="3" s="1"/>
  <c r="N215" i="3" a="1"/>
  <c r="N215" i="3" s="1"/>
  <c r="M215" i="3" a="1"/>
  <c r="M215" i="3" s="1"/>
  <c r="L215" i="3" a="1"/>
  <c r="L215" i="3" s="1"/>
  <c r="K215" i="3" a="1"/>
  <c r="K215" i="3" s="1"/>
  <c r="J215" i="3" a="1"/>
  <c r="J215" i="3" s="1"/>
  <c r="I215" i="3" a="1"/>
  <c r="I215" i="3" s="1"/>
  <c r="G215" i="3" a="1"/>
  <c r="G215" i="3" s="1"/>
  <c r="F215" i="3" a="1"/>
  <c r="F215" i="3" s="1"/>
  <c r="E215" i="3" a="1"/>
  <c r="E215" i="3" s="1"/>
  <c r="D215" i="3" a="1"/>
  <c r="D215" i="3" s="1"/>
  <c r="C215" i="3" a="1"/>
  <c r="C215" i="3" s="1"/>
  <c r="B215" i="3" a="1"/>
  <c r="B215" i="3" s="1"/>
  <c r="Z214" i="3" a="1"/>
  <c r="Z214" i="3" s="1"/>
  <c r="Y214" i="3" a="1"/>
  <c r="Y214" i="3" s="1"/>
  <c r="X214" i="3" a="1"/>
  <c r="X214" i="3" s="1"/>
  <c r="W214" i="3" a="1"/>
  <c r="W214" i="3" s="1"/>
  <c r="V214" i="3" a="1"/>
  <c r="V214" i="3" s="1"/>
  <c r="U214" i="3" a="1"/>
  <c r="U214" i="3" s="1"/>
  <c r="T214" i="3" a="1"/>
  <c r="T214" i="3" s="1"/>
  <c r="S214" i="3" a="1"/>
  <c r="S214" i="3" s="1"/>
  <c r="R214" i="3" a="1"/>
  <c r="R214" i="3" s="1"/>
  <c r="Q214" i="3" a="1"/>
  <c r="Q214" i="3" s="1"/>
  <c r="P214" i="3" a="1"/>
  <c r="P214" i="3" s="1"/>
  <c r="O214" i="3" a="1"/>
  <c r="O214" i="3" s="1"/>
  <c r="N214" i="3" a="1"/>
  <c r="N214" i="3" s="1"/>
  <c r="M214" i="3" a="1"/>
  <c r="M214" i="3" s="1"/>
  <c r="L214" i="3" a="1"/>
  <c r="L214" i="3" s="1"/>
  <c r="K214" i="3" a="1"/>
  <c r="K214" i="3" s="1"/>
  <c r="J214" i="3" a="1"/>
  <c r="J214" i="3" s="1"/>
  <c r="I214" i="3" a="1"/>
  <c r="I214" i="3" s="1"/>
  <c r="G214" i="3" a="1"/>
  <c r="G214" i="3" s="1"/>
  <c r="F214" i="3" a="1"/>
  <c r="F214" i="3" s="1"/>
  <c r="E214" i="3" a="1"/>
  <c r="E214" i="3" s="1"/>
  <c r="D214" i="3" a="1"/>
  <c r="D214" i="3" s="1"/>
  <c r="C214" i="3" a="1"/>
  <c r="C214" i="3" s="1"/>
  <c r="B214" i="3" a="1"/>
  <c r="B214" i="3" s="1"/>
  <c r="Z213" i="3" a="1"/>
  <c r="Z213" i="3" s="1"/>
  <c r="Y213" i="3" a="1"/>
  <c r="Y213" i="3" s="1"/>
  <c r="X213" i="3" a="1"/>
  <c r="X213" i="3" s="1"/>
  <c r="W213" i="3" a="1"/>
  <c r="W213" i="3" s="1"/>
  <c r="V213" i="3" a="1"/>
  <c r="V213" i="3" s="1"/>
  <c r="U213" i="3" a="1"/>
  <c r="U213" i="3" s="1"/>
  <c r="T213" i="3" a="1"/>
  <c r="T213" i="3" s="1"/>
  <c r="S213" i="3" a="1"/>
  <c r="S213" i="3" s="1"/>
  <c r="R213" i="3" a="1"/>
  <c r="R213" i="3" s="1"/>
  <c r="Q213" i="3" a="1"/>
  <c r="Q213" i="3" s="1"/>
  <c r="P213" i="3" a="1"/>
  <c r="P213" i="3" s="1"/>
  <c r="O213" i="3" a="1"/>
  <c r="O213" i="3" s="1"/>
  <c r="N213" i="3" a="1"/>
  <c r="N213" i="3" s="1"/>
  <c r="M213" i="3" a="1"/>
  <c r="M213" i="3" s="1"/>
  <c r="L213" i="3" a="1"/>
  <c r="L213" i="3" s="1"/>
  <c r="K213" i="3" a="1"/>
  <c r="K213" i="3" s="1"/>
  <c r="J213" i="3" a="1"/>
  <c r="J213" i="3" s="1"/>
  <c r="I213" i="3" a="1"/>
  <c r="I213" i="3" s="1"/>
  <c r="G213" i="3" a="1"/>
  <c r="G213" i="3" s="1"/>
  <c r="F213" i="3" a="1"/>
  <c r="F213" i="3" s="1"/>
  <c r="E213" i="3" a="1"/>
  <c r="E213" i="3" s="1"/>
  <c r="D213" i="3" a="1"/>
  <c r="D213" i="3" s="1"/>
  <c r="C213" i="3" a="1"/>
  <c r="C213" i="3" s="1"/>
  <c r="B213" i="3" a="1"/>
  <c r="B213" i="3" s="1"/>
  <c r="Z212" i="3" a="1"/>
  <c r="Z212" i="3" s="1"/>
  <c r="Y212" i="3" a="1"/>
  <c r="Y212" i="3" s="1"/>
  <c r="X212" i="3" a="1"/>
  <c r="X212" i="3" s="1"/>
  <c r="W212" i="3" a="1"/>
  <c r="W212" i="3" s="1"/>
  <c r="V212" i="3" a="1"/>
  <c r="V212" i="3" s="1"/>
  <c r="U212" i="3" a="1"/>
  <c r="U212" i="3" s="1"/>
  <c r="T212" i="3" a="1"/>
  <c r="T212" i="3" s="1"/>
  <c r="S212" i="3" a="1"/>
  <c r="S212" i="3" s="1"/>
  <c r="R212" i="3" a="1"/>
  <c r="R212" i="3" s="1"/>
  <c r="Q212" i="3" a="1"/>
  <c r="Q212" i="3" s="1"/>
  <c r="P212" i="3" a="1"/>
  <c r="P212" i="3" s="1"/>
  <c r="O212" i="3" a="1"/>
  <c r="O212" i="3" s="1"/>
  <c r="N212" i="3" a="1"/>
  <c r="N212" i="3" s="1"/>
  <c r="M212" i="3" a="1"/>
  <c r="M212" i="3" s="1"/>
  <c r="L212" i="3" a="1"/>
  <c r="L212" i="3" s="1"/>
  <c r="K212" i="3" a="1"/>
  <c r="K212" i="3" s="1"/>
  <c r="J212" i="3" a="1"/>
  <c r="J212" i="3" s="1"/>
  <c r="I212" i="3" a="1"/>
  <c r="I212" i="3" s="1"/>
  <c r="G212" i="3" a="1"/>
  <c r="G212" i="3" s="1"/>
  <c r="F212" i="3" a="1"/>
  <c r="F212" i="3" s="1"/>
  <c r="E212" i="3" a="1"/>
  <c r="E212" i="3" s="1"/>
  <c r="D212" i="3" a="1"/>
  <c r="D212" i="3" s="1"/>
  <c r="C212" i="3" a="1"/>
  <c r="C212" i="3" s="1"/>
  <c r="B212" i="3" a="1"/>
  <c r="B212" i="3" s="1"/>
  <c r="Z211" i="3" a="1"/>
  <c r="Z211" i="3" s="1"/>
  <c r="Y211" i="3" a="1"/>
  <c r="Y211" i="3" s="1"/>
  <c r="X211" i="3" a="1"/>
  <c r="X211" i="3" s="1"/>
  <c r="W211" i="3" a="1"/>
  <c r="W211" i="3" s="1"/>
  <c r="V211" i="3" a="1"/>
  <c r="V211" i="3" s="1"/>
  <c r="U211" i="3" a="1"/>
  <c r="U211" i="3" s="1"/>
  <c r="T211" i="3" a="1"/>
  <c r="T211" i="3" s="1"/>
  <c r="S211" i="3" a="1"/>
  <c r="S211" i="3" s="1"/>
  <c r="R211" i="3" a="1"/>
  <c r="R211" i="3" s="1"/>
  <c r="Q211" i="3" a="1"/>
  <c r="Q211" i="3" s="1"/>
  <c r="P211" i="3" a="1"/>
  <c r="P211" i="3" s="1"/>
  <c r="O211" i="3" a="1"/>
  <c r="O211" i="3" s="1"/>
  <c r="N211" i="3" a="1"/>
  <c r="N211" i="3" s="1"/>
  <c r="M211" i="3" a="1"/>
  <c r="M211" i="3" s="1"/>
  <c r="L211" i="3" a="1"/>
  <c r="L211" i="3" s="1"/>
  <c r="K211" i="3" a="1"/>
  <c r="K211" i="3" s="1"/>
  <c r="J211" i="3" a="1"/>
  <c r="J211" i="3" s="1"/>
  <c r="I211" i="3" a="1"/>
  <c r="I211" i="3" s="1"/>
  <c r="G211" i="3" a="1"/>
  <c r="G211" i="3" s="1"/>
  <c r="F211" i="3" a="1"/>
  <c r="F211" i="3" s="1"/>
  <c r="E211" i="3" a="1"/>
  <c r="E211" i="3" s="1"/>
  <c r="D211" i="3" a="1"/>
  <c r="D211" i="3" s="1"/>
  <c r="C211" i="3" a="1"/>
  <c r="C211" i="3" s="1"/>
  <c r="B211" i="3" a="1"/>
  <c r="B211" i="3" s="1"/>
  <c r="Z210" i="3" a="1"/>
  <c r="Z210" i="3" s="1"/>
  <c r="Y210" i="3" a="1"/>
  <c r="Y210" i="3" s="1"/>
  <c r="X210" i="3" a="1"/>
  <c r="X210" i="3" s="1"/>
  <c r="W210" i="3" a="1"/>
  <c r="W210" i="3" s="1"/>
  <c r="V210" i="3" a="1"/>
  <c r="V210" i="3" s="1"/>
  <c r="U210" i="3" a="1"/>
  <c r="U210" i="3" s="1"/>
  <c r="T210" i="3" a="1"/>
  <c r="T210" i="3" s="1"/>
  <c r="S210" i="3" a="1"/>
  <c r="S210" i="3" s="1"/>
  <c r="R210" i="3" a="1"/>
  <c r="R210" i="3" s="1"/>
  <c r="Q210" i="3" a="1"/>
  <c r="Q210" i="3" s="1"/>
  <c r="P210" i="3" a="1"/>
  <c r="P210" i="3" s="1"/>
  <c r="O210" i="3" a="1"/>
  <c r="O210" i="3" s="1"/>
  <c r="N210" i="3" a="1"/>
  <c r="N210" i="3" s="1"/>
  <c r="M210" i="3" a="1"/>
  <c r="M210" i="3" s="1"/>
  <c r="L210" i="3" a="1"/>
  <c r="L210" i="3" s="1"/>
  <c r="K210" i="3" a="1"/>
  <c r="K210" i="3" s="1"/>
  <c r="J210" i="3" a="1"/>
  <c r="J210" i="3" s="1"/>
  <c r="I210" i="3" a="1"/>
  <c r="I210" i="3" s="1"/>
  <c r="G210" i="3" a="1"/>
  <c r="G210" i="3" s="1"/>
  <c r="F210" i="3" a="1"/>
  <c r="F210" i="3" s="1"/>
  <c r="E210" i="3" a="1"/>
  <c r="E210" i="3" s="1"/>
  <c r="D210" i="3" a="1"/>
  <c r="D210" i="3" s="1"/>
  <c r="C210" i="3" a="1"/>
  <c r="C210" i="3" s="1"/>
  <c r="B210" i="3" a="1"/>
  <c r="B210" i="3" s="1"/>
  <c r="Z209" i="3" a="1"/>
  <c r="Z209" i="3" s="1"/>
  <c r="Y209" i="3" a="1"/>
  <c r="Y209" i="3" s="1"/>
  <c r="X209" i="3" a="1"/>
  <c r="X209" i="3" s="1"/>
  <c r="W209" i="3" a="1"/>
  <c r="W209" i="3" s="1"/>
  <c r="V209" i="3" a="1"/>
  <c r="V209" i="3" s="1"/>
  <c r="U209" i="3" a="1"/>
  <c r="U209" i="3" s="1"/>
  <c r="T209" i="3" a="1"/>
  <c r="T209" i="3" s="1"/>
  <c r="S209" i="3" a="1"/>
  <c r="S209" i="3" s="1"/>
  <c r="R209" i="3" a="1"/>
  <c r="R209" i="3" s="1"/>
  <c r="Q209" i="3" a="1"/>
  <c r="Q209" i="3" s="1"/>
  <c r="P209" i="3" a="1"/>
  <c r="P209" i="3" s="1"/>
  <c r="O209" i="3" a="1"/>
  <c r="O209" i="3" s="1"/>
  <c r="N209" i="3" a="1"/>
  <c r="N209" i="3" s="1"/>
  <c r="M209" i="3" a="1"/>
  <c r="M209" i="3" s="1"/>
  <c r="L209" i="3" a="1"/>
  <c r="L209" i="3" s="1"/>
  <c r="K209" i="3" a="1"/>
  <c r="K209" i="3" s="1"/>
  <c r="J209" i="3" a="1"/>
  <c r="J209" i="3" s="1"/>
  <c r="I209" i="3" a="1"/>
  <c r="I209" i="3" s="1"/>
  <c r="G209" i="3" a="1"/>
  <c r="G209" i="3" s="1"/>
  <c r="F209" i="3" a="1"/>
  <c r="F209" i="3" s="1"/>
  <c r="E209" i="3" a="1"/>
  <c r="E209" i="3" s="1"/>
  <c r="D209" i="3" a="1"/>
  <c r="D209" i="3" s="1"/>
  <c r="C209" i="3" a="1"/>
  <c r="C209" i="3" s="1"/>
  <c r="B209" i="3" a="1"/>
  <c r="B209" i="3" s="1"/>
  <c r="Z208" i="3" a="1"/>
  <c r="Z208" i="3" s="1"/>
  <c r="Y208" i="3" a="1"/>
  <c r="Y208" i="3" s="1"/>
  <c r="X208" i="3" a="1"/>
  <c r="X208" i="3" s="1"/>
  <c r="W208" i="3" a="1"/>
  <c r="W208" i="3" s="1"/>
  <c r="V208" i="3" a="1"/>
  <c r="V208" i="3" s="1"/>
  <c r="U208" i="3" a="1"/>
  <c r="U208" i="3" s="1"/>
  <c r="T208" i="3" a="1"/>
  <c r="T208" i="3" s="1"/>
  <c r="S208" i="3" a="1"/>
  <c r="S208" i="3" s="1"/>
  <c r="R208" i="3" a="1"/>
  <c r="R208" i="3" s="1"/>
  <c r="Q208" i="3" a="1"/>
  <c r="Q208" i="3" s="1"/>
  <c r="P208" i="3" a="1"/>
  <c r="P208" i="3" s="1"/>
  <c r="O208" i="3" a="1"/>
  <c r="O208" i="3" s="1"/>
  <c r="N208" i="3" a="1"/>
  <c r="N208" i="3" s="1"/>
  <c r="M208" i="3" a="1"/>
  <c r="M208" i="3" s="1"/>
  <c r="L208" i="3" a="1"/>
  <c r="L208" i="3" s="1"/>
  <c r="K208" i="3" a="1"/>
  <c r="K208" i="3" s="1"/>
  <c r="J208" i="3" a="1"/>
  <c r="J208" i="3" s="1"/>
  <c r="I208" i="3" a="1"/>
  <c r="I208" i="3" s="1"/>
  <c r="G208" i="3" a="1"/>
  <c r="G208" i="3" s="1"/>
  <c r="F208" i="3" a="1"/>
  <c r="F208" i="3" s="1"/>
  <c r="E208" i="3" a="1"/>
  <c r="E208" i="3" s="1"/>
  <c r="D208" i="3" a="1"/>
  <c r="D208" i="3" s="1"/>
  <c r="C208" i="3" a="1"/>
  <c r="C208" i="3" s="1"/>
  <c r="B208" i="3" a="1"/>
  <c r="B208" i="3" s="1"/>
  <c r="Z207" i="3" a="1"/>
  <c r="Z207" i="3" s="1"/>
  <c r="Y207" i="3" a="1"/>
  <c r="Y207" i="3" s="1"/>
  <c r="X207" i="3" a="1"/>
  <c r="X207" i="3" s="1"/>
  <c r="W207" i="3" a="1"/>
  <c r="W207" i="3" s="1"/>
  <c r="V207" i="3" a="1"/>
  <c r="V207" i="3" s="1"/>
  <c r="U207" i="3" a="1"/>
  <c r="U207" i="3" s="1"/>
  <c r="T207" i="3" a="1"/>
  <c r="T207" i="3" s="1"/>
  <c r="S207" i="3" a="1"/>
  <c r="S207" i="3" s="1"/>
  <c r="R207" i="3" a="1"/>
  <c r="R207" i="3" s="1"/>
  <c r="Q207" i="3" a="1"/>
  <c r="Q207" i="3" s="1"/>
  <c r="P207" i="3" a="1"/>
  <c r="P207" i="3" s="1"/>
  <c r="O207" i="3" a="1"/>
  <c r="O207" i="3" s="1"/>
  <c r="N207" i="3" a="1"/>
  <c r="N207" i="3" s="1"/>
  <c r="M207" i="3" a="1"/>
  <c r="M207" i="3" s="1"/>
  <c r="L207" i="3" a="1"/>
  <c r="L207" i="3" s="1"/>
  <c r="K207" i="3" a="1"/>
  <c r="K207" i="3" s="1"/>
  <c r="J207" i="3" a="1"/>
  <c r="J207" i="3" s="1"/>
  <c r="I207" i="3" a="1"/>
  <c r="I207" i="3" s="1"/>
  <c r="G207" i="3" a="1"/>
  <c r="G207" i="3" s="1"/>
  <c r="F207" i="3" a="1"/>
  <c r="F207" i="3" s="1"/>
  <c r="E207" i="3" a="1"/>
  <c r="E207" i="3" s="1"/>
  <c r="D207" i="3" a="1"/>
  <c r="D207" i="3" s="1"/>
  <c r="C207" i="3" a="1"/>
  <c r="C207" i="3" s="1"/>
  <c r="B207" i="3" a="1"/>
  <c r="B207" i="3" s="1"/>
  <c r="Z206" i="3" a="1"/>
  <c r="Z206" i="3" s="1"/>
  <c r="Y206" i="3" a="1"/>
  <c r="Y206" i="3" s="1"/>
  <c r="X206" i="3" a="1"/>
  <c r="X206" i="3" s="1"/>
  <c r="W206" i="3" a="1"/>
  <c r="W206" i="3" s="1"/>
  <c r="V206" i="3" a="1"/>
  <c r="V206" i="3" s="1"/>
  <c r="U206" i="3" a="1"/>
  <c r="U206" i="3" s="1"/>
  <c r="T206" i="3" a="1"/>
  <c r="T206" i="3" s="1"/>
  <c r="S206" i="3" a="1"/>
  <c r="S206" i="3" s="1"/>
  <c r="R206" i="3" a="1"/>
  <c r="R206" i="3" s="1"/>
  <c r="Q206" i="3" a="1"/>
  <c r="Q206" i="3" s="1"/>
  <c r="P206" i="3" a="1"/>
  <c r="P206" i="3" s="1"/>
  <c r="O206" i="3" a="1"/>
  <c r="O206" i="3" s="1"/>
  <c r="N206" i="3" a="1"/>
  <c r="N206" i="3" s="1"/>
  <c r="M206" i="3" a="1"/>
  <c r="M206" i="3" s="1"/>
  <c r="L206" i="3" a="1"/>
  <c r="L206" i="3" s="1"/>
  <c r="K206" i="3" a="1"/>
  <c r="K206" i="3" s="1"/>
  <c r="J206" i="3" a="1"/>
  <c r="J206" i="3" s="1"/>
  <c r="I206" i="3" a="1"/>
  <c r="I206" i="3" s="1"/>
  <c r="G206" i="3" a="1"/>
  <c r="G206" i="3" s="1"/>
  <c r="F206" i="3" a="1"/>
  <c r="F206" i="3" s="1"/>
  <c r="E206" i="3" a="1"/>
  <c r="E206" i="3" s="1"/>
  <c r="D206" i="3" a="1"/>
  <c r="D206" i="3" s="1"/>
  <c r="C206" i="3" a="1"/>
  <c r="C206" i="3" s="1"/>
  <c r="B206" i="3" a="1"/>
  <c r="B206" i="3" s="1"/>
  <c r="Z205" i="3" a="1"/>
  <c r="Z205" i="3" s="1"/>
  <c r="Y205" i="3" a="1"/>
  <c r="Y205" i="3" s="1"/>
  <c r="X205" i="3" a="1"/>
  <c r="X205" i="3" s="1"/>
  <c r="W205" i="3" a="1"/>
  <c r="W205" i="3" s="1"/>
  <c r="V205" i="3" a="1"/>
  <c r="V205" i="3" s="1"/>
  <c r="U205" i="3" a="1"/>
  <c r="U205" i="3" s="1"/>
  <c r="T205" i="3" a="1"/>
  <c r="T205" i="3" s="1"/>
  <c r="S205" i="3" a="1"/>
  <c r="S205" i="3" s="1"/>
  <c r="R205" i="3" a="1"/>
  <c r="R205" i="3" s="1"/>
  <c r="Q205" i="3" a="1"/>
  <c r="Q205" i="3" s="1"/>
  <c r="P205" i="3" a="1"/>
  <c r="P205" i="3" s="1"/>
  <c r="O205" i="3" a="1"/>
  <c r="O205" i="3" s="1"/>
  <c r="N205" i="3" a="1"/>
  <c r="N205" i="3" s="1"/>
  <c r="M205" i="3" a="1"/>
  <c r="M205" i="3" s="1"/>
  <c r="L205" i="3" a="1"/>
  <c r="L205" i="3" s="1"/>
  <c r="K205" i="3" a="1"/>
  <c r="K205" i="3" s="1"/>
  <c r="J205" i="3" a="1"/>
  <c r="J205" i="3" s="1"/>
  <c r="I205" i="3" a="1"/>
  <c r="I205" i="3" s="1"/>
  <c r="G205" i="3" a="1"/>
  <c r="G205" i="3" s="1"/>
  <c r="F205" i="3" a="1"/>
  <c r="F205" i="3" s="1"/>
  <c r="E205" i="3" a="1"/>
  <c r="E205" i="3" s="1"/>
  <c r="D205" i="3" a="1"/>
  <c r="D205" i="3" s="1"/>
  <c r="C205" i="3" a="1"/>
  <c r="C205" i="3" s="1"/>
  <c r="B205" i="3" a="1"/>
  <c r="B205" i="3" s="1"/>
  <c r="Q201" i="3" a="1"/>
  <c r="Q201" i="3" s="1"/>
  <c r="P201" i="3" a="1"/>
  <c r="P201" i="3" s="1"/>
  <c r="O201" i="3" a="1"/>
  <c r="O201" i="3" s="1"/>
  <c r="N201" i="3" a="1"/>
  <c r="N201" i="3" s="1"/>
  <c r="M201" i="3" a="1"/>
  <c r="M201" i="3" s="1"/>
  <c r="L201" i="3" a="1"/>
  <c r="L201" i="3" s="1"/>
  <c r="K201" i="3" a="1"/>
  <c r="K201" i="3" s="1"/>
  <c r="J201" i="3" a="1"/>
  <c r="J201" i="3" s="1"/>
  <c r="I201" i="3" a="1"/>
  <c r="I201" i="3" s="1"/>
  <c r="G201" i="3" a="1"/>
  <c r="G201" i="3" s="1"/>
  <c r="F201" i="3" a="1"/>
  <c r="F201" i="3" s="1"/>
  <c r="E201" i="3" a="1"/>
  <c r="E201" i="3" s="1"/>
  <c r="D201" i="3" a="1"/>
  <c r="D201" i="3" s="1"/>
  <c r="C201" i="3" a="1"/>
  <c r="C201" i="3" s="1"/>
  <c r="B201" i="3" a="1"/>
  <c r="B201" i="3" s="1"/>
  <c r="Q200" i="3" a="1"/>
  <c r="Q200" i="3" s="1"/>
  <c r="P200" i="3" a="1"/>
  <c r="P200" i="3" s="1"/>
  <c r="O200" i="3" a="1"/>
  <c r="O200" i="3" s="1"/>
  <c r="N200" i="3" a="1"/>
  <c r="N200" i="3" s="1"/>
  <c r="M200" i="3" a="1"/>
  <c r="M200" i="3" s="1"/>
  <c r="L200" i="3" a="1"/>
  <c r="L200" i="3" s="1"/>
  <c r="K200" i="3" a="1"/>
  <c r="K200" i="3" s="1"/>
  <c r="J200" i="3" a="1"/>
  <c r="J200" i="3" s="1"/>
  <c r="I200" i="3" a="1"/>
  <c r="I200" i="3" s="1"/>
  <c r="G200" i="3" a="1"/>
  <c r="G200" i="3" s="1"/>
  <c r="F200" i="3" a="1"/>
  <c r="F200" i="3" s="1"/>
  <c r="E200" i="3" a="1"/>
  <c r="E200" i="3" s="1"/>
  <c r="D200" i="3" a="1"/>
  <c r="D200" i="3" s="1"/>
  <c r="C200" i="3" a="1"/>
  <c r="C200" i="3" s="1"/>
  <c r="B200" i="3" a="1"/>
  <c r="B200" i="3" s="1"/>
  <c r="T199" i="3" a="1"/>
  <c r="T199" i="3" s="1"/>
  <c r="Q199" i="3" a="1"/>
  <c r="Q199" i="3" s="1"/>
  <c r="P199" i="3" a="1"/>
  <c r="P199" i="3" s="1"/>
  <c r="O199" i="3" a="1"/>
  <c r="O199" i="3" s="1"/>
  <c r="N199" i="3" a="1"/>
  <c r="N199" i="3" s="1"/>
  <c r="M199" i="3" a="1"/>
  <c r="M199" i="3" s="1"/>
  <c r="L199" i="3" a="1"/>
  <c r="L199" i="3" s="1"/>
  <c r="K199" i="3" a="1"/>
  <c r="K199" i="3" s="1"/>
  <c r="J199" i="3" a="1"/>
  <c r="J199" i="3" s="1"/>
  <c r="I199" i="3" a="1"/>
  <c r="I199" i="3" s="1"/>
  <c r="G199" i="3" a="1"/>
  <c r="G199" i="3" s="1"/>
  <c r="F199" i="3" a="1"/>
  <c r="F199" i="3" s="1"/>
  <c r="E199" i="3" a="1"/>
  <c r="E199" i="3" s="1"/>
  <c r="D199" i="3" a="1"/>
  <c r="D199" i="3" s="1"/>
  <c r="C199" i="3" a="1"/>
  <c r="C199" i="3" s="1"/>
  <c r="B199" i="3" a="1"/>
  <c r="B199" i="3" s="1"/>
  <c r="Z195" i="3" a="1"/>
  <c r="Z195" i="3" s="1"/>
  <c r="Y195" i="3" a="1"/>
  <c r="Y195" i="3" s="1"/>
  <c r="X195" i="3" a="1"/>
  <c r="X195" i="3" s="1"/>
  <c r="W195" i="3" a="1"/>
  <c r="W195" i="3" s="1"/>
  <c r="V195" i="3" a="1"/>
  <c r="V195" i="3" s="1"/>
  <c r="U195" i="3" a="1"/>
  <c r="U195" i="3" s="1"/>
  <c r="T195" i="3" a="1"/>
  <c r="T195" i="3" s="1"/>
  <c r="S195" i="3" a="1"/>
  <c r="S195" i="3" s="1"/>
  <c r="R195" i="3" a="1"/>
  <c r="R195" i="3" s="1"/>
  <c r="Q195" i="3" a="1"/>
  <c r="Q195" i="3" s="1"/>
  <c r="P195" i="3" a="1"/>
  <c r="P195" i="3" s="1"/>
  <c r="O195" i="3" a="1"/>
  <c r="O195" i="3" s="1"/>
  <c r="N195" i="3" a="1"/>
  <c r="N195" i="3" s="1"/>
  <c r="M195" i="3" a="1"/>
  <c r="M195" i="3" s="1"/>
  <c r="L195" i="3" a="1"/>
  <c r="L195" i="3" s="1"/>
  <c r="K195" i="3" a="1"/>
  <c r="K195" i="3" s="1"/>
  <c r="J195" i="3" a="1"/>
  <c r="J195" i="3" s="1"/>
  <c r="I195" i="3" a="1"/>
  <c r="I195" i="3" s="1"/>
  <c r="G195" i="3" a="1"/>
  <c r="G195" i="3" s="1"/>
  <c r="F195" i="3" a="1"/>
  <c r="F195" i="3" s="1"/>
  <c r="E195" i="3" a="1"/>
  <c r="E195" i="3" s="1"/>
  <c r="D195" i="3" a="1"/>
  <c r="D195" i="3" s="1"/>
  <c r="C195" i="3" a="1"/>
  <c r="C195" i="3" s="1"/>
  <c r="B195" i="3" a="1"/>
  <c r="B195" i="3" s="1"/>
  <c r="Z194" i="3" a="1"/>
  <c r="Z194" i="3" s="1"/>
  <c r="Y194" i="3" a="1"/>
  <c r="Y194" i="3" s="1"/>
  <c r="X194" i="3" a="1"/>
  <c r="X194" i="3" s="1"/>
  <c r="W194" i="3" a="1"/>
  <c r="W194" i="3" s="1"/>
  <c r="V194" i="3" a="1"/>
  <c r="V194" i="3" s="1"/>
  <c r="U194" i="3" a="1"/>
  <c r="U194" i="3" s="1"/>
  <c r="T194" i="3" a="1"/>
  <c r="T194" i="3" s="1"/>
  <c r="S194" i="3" a="1"/>
  <c r="S194" i="3" s="1"/>
  <c r="R194" i="3" a="1"/>
  <c r="R194" i="3" s="1"/>
  <c r="Q194" i="3" a="1"/>
  <c r="Q194" i="3" s="1"/>
  <c r="P194" i="3" a="1"/>
  <c r="P194" i="3" s="1"/>
  <c r="O194" i="3" a="1"/>
  <c r="O194" i="3" s="1"/>
  <c r="N194" i="3" a="1"/>
  <c r="N194" i="3" s="1"/>
  <c r="M194" i="3" a="1"/>
  <c r="M194" i="3" s="1"/>
  <c r="L194" i="3" a="1"/>
  <c r="L194" i="3" s="1"/>
  <c r="K194" i="3" a="1"/>
  <c r="K194" i="3" s="1"/>
  <c r="J194" i="3" a="1"/>
  <c r="J194" i="3" s="1"/>
  <c r="I194" i="3" a="1"/>
  <c r="I194" i="3" s="1"/>
  <c r="G194" i="3" a="1"/>
  <c r="G194" i="3" s="1"/>
  <c r="F194" i="3" a="1"/>
  <c r="F194" i="3" s="1"/>
  <c r="E194" i="3" a="1"/>
  <c r="E194" i="3" s="1"/>
  <c r="D194" i="3" a="1"/>
  <c r="D194" i="3" s="1"/>
  <c r="C194" i="3" a="1"/>
  <c r="C194" i="3" s="1"/>
  <c r="B194" i="3" a="1"/>
  <c r="B194" i="3" s="1"/>
  <c r="Z193" i="3" a="1"/>
  <c r="Z193" i="3" s="1"/>
  <c r="Y193" i="3" a="1"/>
  <c r="Y193" i="3" s="1"/>
  <c r="X193" i="3" a="1"/>
  <c r="X193" i="3" s="1"/>
  <c r="W193" i="3" a="1"/>
  <c r="W193" i="3" s="1"/>
  <c r="V193" i="3" a="1"/>
  <c r="V193" i="3" s="1"/>
  <c r="U193" i="3" a="1"/>
  <c r="U193" i="3" s="1"/>
  <c r="T193" i="3" a="1"/>
  <c r="T193" i="3" s="1"/>
  <c r="S193" i="3" a="1"/>
  <c r="S193" i="3" s="1"/>
  <c r="R193" i="3" a="1"/>
  <c r="R193" i="3" s="1"/>
  <c r="Q193" i="3" a="1"/>
  <c r="Q193" i="3" s="1"/>
  <c r="P193" i="3" a="1"/>
  <c r="P193" i="3" s="1"/>
  <c r="O193" i="3" a="1"/>
  <c r="O193" i="3" s="1"/>
  <c r="N193" i="3" a="1"/>
  <c r="N193" i="3" s="1"/>
  <c r="M193" i="3" a="1"/>
  <c r="M193" i="3" s="1"/>
  <c r="L193" i="3" a="1"/>
  <c r="L193" i="3" s="1"/>
  <c r="K193" i="3" a="1"/>
  <c r="K193" i="3" s="1"/>
  <c r="J193" i="3" a="1"/>
  <c r="J193" i="3" s="1"/>
  <c r="I193" i="3" a="1"/>
  <c r="I193" i="3" s="1"/>
  <c r="G193" i="3" a="1"/>
  <c r="G193" i="3" s="1"/>
  <c r="F193" i="3" a="1"/>
  <c r="F193" i="3" s="1"/>
  <c r="E193" i="3" a="1"/>
  <c r="E193" i="3" s="1"/>
  <c r="D193" i="3" a="1"/>
  <c r="D193" i="3" s="1"/>
  <c r="C193" i="3" a="1"/>
  <c r="C193" i="3" s="1"/>
  <c r="B193" i="3" a="1"/>
  <c r="B193" i="3" s="1"/>
  <c r="Z192" i="3" a="1"/>
  <c r="Z192" i="3" s="1"/>
  <c r="Y192" i="3" a="1"/>
  <c r="Y192" i="3" s="1"/>
  <c r="X192" i="3" a="1"/>
  <c r="X192" i="3" s="1"/>
  <c r="W192" i="3" a="1"/>
  <c r="W192" i="3" s="1"/>
  <c r="V192" i="3" a="1"/>
  <c r="V192" i="3" s="1"/>
  <c r="U192" i="3" a="1"/>
  <c r="U192" i="3" s="1"/>
  <c r="T192" i="3" a="1"/>
  <c r="T192" i="3" s="1"/>
  <c r="S192" i="3" a="1"/>
  <c r="S192" i="3" s="1"/>
  <c r="R192" i="3" a="1"/>
  <c r="R192" i="3" s="1"/>
  <c r="Q192" i="3" a="1"/>
  <c r="Q192" i="3" s="1"/>
  <c r="P192" i="3" a="1"/>
  <c r="P192" i="3" s="1"/>
  <c r="O192" i="3" a="1"/>
  <c r="O192" i="3" s="1"/>
  <c r="N192" i="3" a="1"/>
  <c r="N192" i="3" s="1"/>
  <c r="M192" i="3" a="1"/>
  <c r="M192" i="3" s="1"/>
  <c r="L192" i="3" a="1"/>
  <c r="L192" i="3" s="1"/>
  <c r="K192" i="3" a="1"/>
  <c r="K192" i="3" s="1"/>
  <c r="J192" i="3" a="1"/>
  <c r="J192" i="3" s="1"/>
  <c r="I192" i="3" a="1"/>
  <c r="I192" i="3" s="1"/>
  <c r="G192" i="3" a="1"/>
  <c r="G192" i="3" s="1"/>
  <c r="F192" i="3" a="1"/>
  <c r="F192" i="3" s="1"/>
  <c r="E192" i="3" a="1"/>
  <c r="E192" i="3" s="1"/>
  <c r="D192" i="3" a="1"/>
  <c r="D192" i="3" s="1"/>
  <c r="C192" i="3" a="1"/>
  <c r="C192" i="3" s="1"/>
  <c r="B192" i="3" a="1"/>
  <c r="B192" i="3" s="1"/>
  <c r="Z191" i="3" a="1"/>
  <c r="Z191" i="3" s="1"/>
  <c r="Y191" i="3" a="1"/>
  <c r="Y191" i="3" s="1"/>
  <c r="X191" i="3" a="1"/>
  <c r="X191" i="3" s="1"/>
  <c r="W191" i="3" a="1"/>
  <c r="W191" i="3" s="1"/>
  <c r="V191" i="3" a="1"/>
  <c r="V191" i="3" s="1"/>
  <c r="U191" i="3" a="1"/>
  <c r="U191" i="3" s="1"/>
  <c r="T191" i="3" a="1"/>
  <c r="T191" i="3" s="1"/>
  <c r="S191" i="3" a="1"/>
  <c r="S191" i="3" s="1"/>
  <c r="R191" i="3" a="1"/>
  <c r="R191" i="3" s="1"/>
  <c r="Q191" i="3" a="1"/>
  <c r="Q191" i="3" s="1"/>
  <c r="P191" i="3" a="1"/>
  <c r="P191" i="3" s="1"/>
  <c r="O191" i="3" a="1"/>
  <c r="O191" i="3" s="1"/>
  <c r="N191" i="3" a="1"/>
  <c r="N191" i="3" s="1"/>
  <c r="M191" i="3" a="1"/>
  <c r="M191" i="3" s="1"/>
  <c r="L191" i="3" a="1"/>
  <c r="L191" i="3" s="1"/>
  <c r="K191" i="3" a="1"/>
  <c r="K191" i="3" s="1"/>
  <c r="J191" i="3" a="1"/>
  <c r="J191" i="3" s="1"/>
  <c r="I191" i="3" a="1"/>
  <c r="I191" i="3" s="1"/>
  <c r="G191" i="3" a="1"/>
  <c r="G191" i="3" s="1"/>
  <c r="F191" i="3" a="1"/>
  <c r="F191" i="3" s="1"/>
  <c r="E191" i="3" a="1"/>
  <c r="E191" i="3" s="1"/>
  <c r="D191" i="3" a="1"/>
  <c r="D191" i="3" s="1"/>
  <c r="C191" i="3" a="1"/>
  <c r="C191" i="3" s="1"/>
  <c r="B191" i="3" a="1"/>
  <c r="B191" i="3" s="1"/>
  <c r="Z190" i="3" a="1"/>
  <c r="Z190" i="3" s="1"/>
  <c r="Y190" i="3" a="1"/>
  <c r="Y190" i="3" s="1"/>
  <c r="X190" i="3" a="1"/>
  <c r="X190" i="3" s="1"/>
  <c r="W190" i="3" a="1"/>
  <c r="W190" i="3" s="1"/>
  <c r="V190" i="3" a="1"/>
  <c r="V190" i="3" s="1"/>
  <c r="U190" i="3" a="1"/>
  <c r="U190" i="3" s="1"/>
  <c r="T190" i="3" a="1"/>
  <c r="T190" i="3" s="1"/>
  <c r="S190" i="3" a="1"/>
  <c r="S190" i="3" s="1"/>
  <c r="R190" i="3" a="1"/>
  <c r="R190" i="3" s="1"/>
  <c r="Q190" i="3" a="1"/>
  <c r="Q190" i="3" s="1"/>
  <c r="P190" i="3" a="1"/>
  <c r="P190" i="3" s="1"/>
  <c r="O190" i="3" a="1"/>
  <c r="O190" i="3" s="1"/>
  <c r="N190" i="3" a="1"/>
  <c r="N190" i="3" s="1"/>
  <c r="M190" i="3" a="1"/>
  <c r="M190" i="3" s="1"/>
  <c r="L190" i="3" a="1"/>
  <c r="L190" i="3" s="1"/>
  <c r="K190" i="3" a="1"/>
  <c r="K190" i="3" s="1"/>
  <c r="J190" i="3" a="1"/>
  <c r="J190" i="3" s="1"/>
  <c r="I190" i="3" a="1"/>
  <c r="I190" i="3" s="1"/>
  <c r="G190" i="3" a="1"/>
  <c r="G190" i="3" s="1"/>
  <c r="F190" i="3" a="1"/>
  <c r="F190" i="3" s="1"/>
  <c r="E190" i="3" a="1"/>
  <c r="E190" i="3" s="1"/>
  <c r="D190" i="3" a="1"/>
  <c r="D190" i="3" s="1"/>
  <c r="C190" i="3" a="1"/>
  <c r="C190" i="3" s="1"/>
  <c r="B190" i="3" a="1"/>
  <c r="B190" i="3" s="1"/>
  <c r="Z189" i="3" a="1"/>
  <c r="Z189" i="3" s="1"/>
  <c r="Y189" i="3" a="1"/>
  <c r="Y189" i="3" s="1"/>
  <c r="X189" i="3" a="1"/>
  <c r="X189" i="3" s="1"/>
  <c r="W189" i="3" a="1"/>
  <c r="W189" i="3" s="1"/>
  <c r="V189" i="3" a="1"/>
  <c r="V189" i="3" s="1"/>
  <c r="U189" i="3" a="1"/>
  <c r="U189" i="3" s="1"/>
  <c r="T189" i="3" a="1"/>
  <c r="T189" i="3" s="1"/>
  <c r="S189" i="3" a="1"/>
  <c r="S189" i="3" s="1"/>
  <c r="R189" i="3" a="1"/>
  <c r="R189" i="3" s="1"/>
  <c r="Q189" i="3" a="1"/>
  <c r="Q189" i="3" s="1"/>
  <c r="P189" i="3" a="1"/>
  <c r="P189" i="3" s="1"/>
  <c r="O189" i="3" a="1"/>
  <c r="O189" i="3" s="1"/>
  <c r="N189" i="3" a="1"/>
  <c r="N189" i="3" s="1"/>
  <c r="M189" i="3" a="1"/>
  <c r="M189" i="3" s="1"/>
  <c r="L189" i="3" a="1"/>
  <c r="L189" i="3" s="1"/>
  <c r="K189" i="3" a="1"/>
  <c r="K189" i="3" s="1"/>
  <c r="J189" i="3" a="1"/>
  <c r="J189" i="3" s="1"/>
  <c r="I189" i="3" a="1"/>
  <c r="I189" i="3" s="1"/>
  <c r="G189" i="3" a="1"/>
  <c r="G189" i="3" s="1"/>
  <c r="F189" i="3" a="1"/>
  <c r="F189" i="3" s="1"/>
  <c r="E189" i="3" a="1"/>
  <c r="E189" i="3" s="1"/>
  <c r="D189" i="3" a="1"/>
  <c r="D189" i="3" s="1"/>
  <c r="C189" i="3" a="1"/>
  <c r="C189" i="3" s="1"/>
  <c r="B189" i="3" a="1"/>
  <c r="B189" i="3" s="1"/>
  <c r="Z188" i="3" a="1"/>
  <c r="Z188" i="3" s="1"/>
  <c r="Y188" i="3" a="1"/>
  <c r="Y188" i="3" s="1"/>
  <c r="X188" i="3" a="1"/>
  <c r="X188" i="3" s="1"/>
  <c r="W188" i="3" a="1"/>
  <c r="W188" i="3" s="1"/>
  <c r="V188" i="3" a="1"/>
  <c r="V188" i="3" s="1"/>
  <c r="U188" i="3" a="1"/>
  <c r="U188" i="3" s="1"/>
  <c r="T188" i="3" a="1"/>
  <c r="T188" i="3" s="1"/>
  <c r="S188" i="3" a="1"/>
  <c r="S188" i="3" s="1"/>
  <c r="R188" i="3" a="1"/>
  <c r="R188" i="3" s="1"/>
  <c r="Q188" i="3" a="1"/>
  <c r="Q188" i="3" s="1"/>
  <c r="P188" i="3" a="1"/>
  <c r="P188" i="3" s="1"/>
  <c r="O188" i="3" a="1"/>
  <c r="O188" i="3" s="1"/>
  <c r="N188" i="3" a="1"/>
  <c r="N188" i="3" s="1"/>
  <c r="M188" i="3" a="1"/>
  <c r="M188" i="3" s="1"/>
  <c r="L188" i="3" a="1"/>
  <c r="L188" i="3" s="1"/>
  <c r="K188" i="3" a="1"/>
  <c r="K188" i="3" s="1"/>
  <c r="J188" i="3" a="1"/>
  <c r="J188" i="3" s="1"/>
  <c r="I188" i="3" a="1"/>
  <c r="I188" i="3" s="1"/>
  <c r="G188" i="3" a="1"/>
  <c r="G188" i="3" s="1"/>
  <c r="F188" i="3" a="1"/>
  <c r="F188" i="3" s="1"/>
  <c r="E188" i="3" a="1"/>
  <c r="E188" i="3" s="1"/>
  <c r="D188" i="3" a="1"/>
  <c r="D188" i="3" s="1"/>
  <c r="C188" i="3" a="1"/>
  <c r="C188" i="3" s="1"/>
  <c r="B188" i="3" a="1"/>
  <c r="B188" i="3" s="1"/>
  <c r="Z187" i="3" a="1"/>
  <c r="Z187" i="3" s="1"/>
  <c r="Y187" i="3" a="1"/>
  <c r="Y187" i="3" s="1"/>
  <c r="X187" i="3" a="1"/>
  <c r="X187" i="3" s="1"/>
  <c r="W187" i="3" a="1"/>
  <c r="W187" i="3" s="1"/>
  <c r="V187" i="3" a="1"/>
  <c r="V187" i="3" s="1"/>
  <c r="U187" i="3" a="1"/>
  <c r="U187" i="3" s="1"/>
  <c r="T187" i="3" a="1"/>
  <c r="T187" i="3" s="1"/>
  <c r="S187" i="3" a="1"/>
  <c r="S187" i="3" s="1"/>
  <c r="R187" i="3" a="1"/>
  <c r="R187" i="3" s="1"/>
  <c r="Q187" i="3" a="1"/>
  <c r="Q187" i="3" s="1"/>
  <c r="P187" i="3" a="1"/>
  <c r="P187" i="3" s="1"/>
  <c r="O187" i="3" a="1"/>
  <c r="O187" i="3" s="1"/>
  <c r="N187" i="3" a="1"/>
  <c r="N187" i="3" s="1"/>
  <c r="M187" i="3" a="1"/>
  <c r="M187" i="3" s="1"/>
  <c r="L187" i="3" a="1"/>
  <c r="L187" i="3" s="1"/>
  <c r="K187" i="3" a="1"/>
  <c r="K187" i="3" s="1"/>
  <c r="J187" i="3" a="1"/>
  <c r="J187" i="3" s="1"/>
  <c r="I187" i="3" a="1"/>
  <c r="I187" i="3" s="1"/>
  <c r="G187" i="3" a="1"/>
  <c r="G187" i="3" s="1"/>
  <c r="F187" i="3" a="1"/>
  <c r="F187" i="3" s="1"/>
  <c r="E187" i="3" a="1"/>
  <c r="E187" i="3" s="1"/>
  <c r="D187" i="3" a="1"/>
  <c r="D187" i="3" s="1"/>
  <c r="C187" i="3" a="1"/>
  <c r="C187" i="3" s="1"/>
  <c r="B187" i="3" a="1"/>
  <c r="B187" i="3" s="1"/>
  <c r="Z186" i="3" a="1"/>
  <c r="Z186" i="3" s="1"/>
  <c r="Y186" i="3" a="1"/>
  <c r="Y186" i="3" s="1"/>
  <c r="X186" i="3" a="1"/>
  <c r="X186" i="3" s="1"/>
  <c r="W186" i="3" a="1"/>
  <c r="W186" i="3" s="1"/>
  <c r="V186" i="3" a="1"/>
  <c r="V186" i="3" s="1"/>
  <c r="U186" i="3" a="1"/>
  <c r="U186" i="3" s="1"/>
  <c r="T186" i="3" a="1"/>
  <c r="T186" i="3" s="1"/>
  <c r="S186" i="3" a="1"/>
  <c r="S186" i="3" s="1"/>
  <c r="R186" i="3" a="1"/>
  <c r="R186" i="3" s="1"/>
  <c r="Q186" i="3" a="1"/>
  <c r="Q186" i="3" s="1"/>
  <c r="P186" i="3" a="1"/>
  <c r="P186" i="3" s="1"/>
  <c r="O186" i="3" a="1"/>
  <c r="O186" i="3" s="1"/>
  <c r="N186" i="3" a="1"/>
  <c r="N186" i="3" s="1"/>
  <c r="M186" i="3" a="1"/>
  <c r="M186" i="3" s="1"/>
  <c r="L186" i="3" a="1"/>
  <c r="L186" i="3" s="1"/>
  <c r="K186" i="3" a="1"/>
  <c r="K186" i="3" s="1"/>
  <c r="J186" i="3" a="1"/>
  <c r="J186" i="3" s="1"/>
  <c r="I186" i="3" a="1"/>
  <c r="I186" i="3" s="1"/>
  <c r="G186" i="3" a="1"/>
  <c r="G186" i="3" s="1"/>
  <c r="F186" i="3" a="1"/>
  <c r="F186" i="3" s="1"/>
  <c r="E186" i="3" a="1"/>
  <c r="E186" i="3" s="1"/>
  <c r="D186" i="3" a="1"/>
  <c r="D186" i="3" s="1"/>
  <c r="C186" i="3" a="1"/>
  <c r="C186" i="3" s="1"/>
  <c r="B186" i="3" a="1"/>
  <c r="B186" i="3" s="1"/>
  <c r="Z185" i="3" a="1"/>
  <c r="Z185" i="3" s="1"/>
  <c r="Y185" i="3" a="1"/>
  <c r="Y185" i="3" s="1"/>
  <c r="X185" i="3" a="1"/>
  <c r="X185" i="3" s="1"/>
  <c r="W185" i="3" a="1"/>
  <c r="W185" i="3" s="1"/>
  <c r="V185" i="3" a="1"/>
  <c r="V185" i="3" s="1"/>
  <c r="U185" i="3" a="1"/>
  <c r="U185" i="3" s="1"/>
  <c r="T185" i="3" a="1"/>
  <c r="T185" i="3" s="1"/>
  <c r="S185" i="3" a="1"/>
  <c r="S185" i="3" s="1"/>
  <c r="R185" i="3" a="1"/>
  <c r="R185" i="3" s="1"/>
  <c r="Q185" i="3" a="1"/>
  <c r="Q185" i="3" s="1"/>
  <c r="P185" i="3" a="1"/>
  <c r="P185" i="3" s="1"/>
  <c r="O185" i="3" a="1"/>
  <c r="O185" i="3" s="1"/>
  <c r="N185" i="3" a="1"/>
  <c r="N185" i="3" s="1"/>
  <c r="M185" i="3" a="1"/>
  <c r="M185" i="3" s="1"/>
  <c r="L185" i="3" a="1"/>
  <c r="L185" i="3" s="1"/>
  <c r="K185" i="3" a="1"/>
  <c r="K185" i="3" s="1"/>
  <c r="J185" i="3" a="1"/>
  <c r="J185" i="3" s="1"/>
  <c r="I185" i="3" a="1"/>
  <c r="I185" i="3" s="1"/>
  <c r="G185" i="3" a="1"/>
  <c r="G185" i="3" s="1"/>
  <c r="F185" i="3" a="1"/>
  <c r="F185" i="3" s="1"/>
  <c r="E185" i="3" a="1"/>
  <c r="E185" i="3" s="1"/>
  <c r="D185" i="3" a="1"/>
  <c r="D185" i="3" s="1"/>
  <c r="C185" i="3" a="1"/>
  <c r="C185" i="3" s="1"/>
  <c r="B185" i="3" a="1"/>
  <c r="B185" i="3" s="1"/>
  <c r="Z184" i="3" a="1"/>
  <c r="Z184" i="3" s="1"/>
  <c r="Y184" i="3" a="1"/>
  <c r="Y184" i="3" s="1"/>
  <c r="X184" i="3" a="1"/>
  <c r="X184" i="3" s="1"/>
  <c r="W184" i="3" a="1"/>
  <c r="W184" i="3" s="1"/>
  <c r="V184" i="3" a="1"/>
  <c r="V184" i="3" s="1"/>
  <c r="U184" i="3" a="1"/>
  <c r="U184" i="3" s="1"/>
  <c r="T184" i="3" a="1"/>
  <c r="T184" i="3" s="1"/>
  <c r="S184" i="3" a="1"/>
  <c r="S184" i="3" s="1"/>
  <c r="R184" i="3" a="1"/>
  <c r="R184" i="3" s="1"/>
  <c r="Q184" i="3" a="1"/>
  <c r="Q184" i="3" s="1"/>
  <c r="P184" i="3" a="1"/>
  <c r="P184" i="3" s="1"/>
  <c r="O184" i="3" a="1"/>
  <c r="O184" i="3" s="1"/>
  <c r="N184" i="3" a="1"/>
  <c r="N184" i="3" s="1"/>
  <c r="M184" i="3" a="1"/>
  <c r="M184" i="3" s="1"/>
  <c r="L184" i="3" a="1"/>
  <c r="L184" i="3" s="1"/>
  <c r="K184" i="3" a="1"/>
  <c r="K184" i="3" s="1"/>
  <c r="J184" i="3" a="1"/>
  <c r="J184" i="3" s="1"/>
  <c r="I184" i="3" a="1"/>
  <c r="I184" i="3" s="1"/>
  <c r="G184" i="3" a="1"/>
  <c r="G184" i="3" s="1"/>
  <c r="F184" i="3" a="1"/>
  <c r="F184" i="3" s="1"/>
  <c r="E184" i="3" a="1"/>
  <c r="E184" i="3" s="1"/>
  <c r="D184" i="3" a="1"/>
  <c r="D184" i="3" s="1"/>
  <c r="C184" i="3" a="1"/>
  <c r="C184" i="3" s="1"/>
  <c r="B184" i="3" a="1"/>
  <c r="B184" i="3" s="1"/>
  <c r="Z183" i="3" a="1"/>
  <c r="Z183" i="3" s="1"/>
  <c r="Y183" i="3" a="1"/>
  <c r="Y183" i="3" s="1"/>
  <c r="X183" i="3" a="1"/>
  <c r="X183" i="3" s="1"/>
  <c r="W183" i="3" a="1"/>
  <c r="W183" i="3" s="1"/>
  <c r="V183" i="3" a="1"/>
  <c r="V183" i="3" s="1"/>
  <c r="U183" i="3" a="1"/>
  <c r="U183" i="3" s="1"/>
  <c r="T183" i="3" a="1"/>
  <c r="T183" i="3" s="1"/>
  <c r="S183" i="3" a="1"/>
  <c r="S183" i="3" s="1"/>
  <c r="R183" i="3" a="1"/>
  <c r="R183" i="3" s="1"/>
  <c r="Q183" i="3" a="1"/>
  <c r="Q183" i="3" s="1"/>
  <c r="P183" i="3" a="1"/>
  <c r="P183" i="3" s="1"/>
  <c r="O183" i="3" a="1"/>
  <c r="O183" i="3" s="1"/>
  <c r="N183" i="3" a="1"/>
  <c r="N183" i="3" s="1"/>
  <c r="M183" i="3" a="1"/>
  <c r="M183" i="3" s="1"/>
  <c r="L183" i="3" a="1"/>
  <c r="L183" i="3" s="1"/>
  <c r="K183" i="3" a="1"/>
  <c r="K183" i="3" s="1"/>
  <c r="J183" i="3" a="1"/>
  <c r="J183" i="3" s="1"/>
  <c r="I183" i="3" a="1"/>
  <c r="I183" i="3" s="1"/>
  <c r="G183" i="3" a="1"/>
  <c r="G183" i="3" s="1"/>
  <c r="F183" i="3" a="1"/>
  <c r="F183" i="3" s="1"/>
  <c r="E183" i="3" a="1"/>
  <c r="E183" i="3" s="1"/>
  <c r="D183" i="3" a="1"/>
  <c r="D183" i="3" s="1"/>
  <c r="C183" i="3" a="1"/>
  <c r="C183" i="3" s="1"/>
  <c r="B183" i="3" a="1"/>
  <c r="B183" i="3" s="1"/>
  <c r="Z182" i="3" a="1"/>
  <c r="Z182" i="3" s="1"/>
  <c r="Y182" i="3" a="1"/>
  <c r="Y182" i="3" s="1"/>
  <c r="X182" i="3" a="1"/>
  <c r="X182" i="3" s="1"/>
  <c r="W182" i="3" a="1"/>
  <c r="W182" i="3" s="1"/>
  <c r="V182" i="3" a="1"/>
  <c r="V182" i="3" s="1"/>
  <c r="U182" i="3" a="1"/>
  <c r="U182" i="3" s="1"/>
  <c r="T182" i="3" a="1"/>
  <c r="T182" i="3" s="1"/>
  <c r="S182" i="3" a="1"/>
  <c r="S182" i="3" s="1"/>
  <c r="R182" i="3" a="1"/>
  <c r="R182" i="3" s="1"/>
  <c r="Q182" i="3" a="1"/>
  <c r="Q182" i="3" s="1"/>
  <c r="P182" i="3" a="1"/>
  <c r="P182" i="3" s="1"/>
  <c r="O182" i="3" a="1"/>
  <c r="O182" i="3" s="1"/>
  <c r="N182" i="3" a="1"/>
  <c r="N182" i="3" s="1"/>
  <c r="M182" i="3" a="1"/>
  <c r="M182" i="3" s="1"/>
  <c r="L182" i="3" a="1"/>
  <c r="L182" i="3" s="1"/>
  <c r="K182" i="3" a="1"/>
  <c r="K182" i="3" s="1"/>
  <c r="J182" i="3" a="1"/>
  <c r="J182" i="3" s="1"/>
  <c r="I182" i="3" a="1"/>
  <c r="I182" i="3" s="1"/>
  <c r="G182" i="3" a="1"/>
  <c r="G182" i="3" s="1"/>
  <c r="F182" i="3" a="1"/>
  <c r="F182" i="3" s="1"/>
  <c r="E182" i="3" a="1"/>
  <c r="E182" i="3" s="1"/>
  <c r="D182" i="3" a="1"/>
  <c r="D182" i="3" s="1"/>
  <c r="C182" i="3" a="1"/>
  <c r="C182" i="3" s="1"/>
  <c r="B182" i="3" a="1"/>
  <c r="B182" i="3" s="1"/>
  <c r="Z181" i="3" a="1"/>
  <c r="Z181" i="3" s="1"/>
  <c r="Y181" i="3" a="1"/>
  <c r="Y181" i="3" s="1"/>
  <c r="X181" i="3" a="1"/>
  <c r="X181" i="3" s="1"/>
  <c r="W181" i="3" a="1"/>
  <c r="W181" i="3" s="1"/>
  <c r="V181" i="3" a="1"/>
  <c r="V181" i="3" s="1"/>
  <c r="U181" i="3" a="1"/>
  <c r="U181" i="3" s="1"/>
  <c r="T181" i="3" a="1"/>
  <c r="T181" i="3" s="1"/>
  <c r="S181" i="3" a="1"/>
  <c r="S181" i="3" s="1"/>
  <c r="R181" i="3" a="1"/>
  <c r="R181" i="3" s="1"/>
  <c r="Q181" i="3" a="1"/>
  <c r="Q181" i="3" s="1"/>
  <c r="P181" i="3" a="1"/>
  <c r="P181" i="3" s="1"/>
  <c r="O181" i="3" a="1"/>
  <c r="O181" i="3" s="1"/>
  <c r="N181" i="3" a="1"/>
  <c r="N181" i="3" s="1"/>
  <c r="M181" i="3" a="1"/>
  <c r="M181" i="3" s="1"/>
  <c r="L181" i="3" a="1"/>
  <c r="L181" i="3" s="1"/>
  <c r="K181" i="3" a="1"/>
  <c r="K181" i="3" s="1"/>
  <c r="J181" i="3" a="1"/>
  <c r="J181" i="3" s="1"/>
  <c r="I181" i="3" a="1"/>
  <c r="I181" i="3" s="1"/>
  <c r="G181" i="3" a="1"/>
  <c r="G181" i="3" s="1"/>
  <c r="F181" i="3" a="1"/>
  <c r="F181" i="3" s="1"/>
  <c r="E181" i="3" a="1"/>
  <c r="E181" i="3" s="1"/>
  <c r="D181" i="3" a="1"/>
  <c r="D181" i="3" s="1"/>
  <c r="C181" i="3" a="1"/>
  <c r="C181" i="3" s="1"/>
  <c r="B181" i="3" a="1"/>
  <c r="B181" i="3" s="1"/>
  <c r="Z180" i="3" a="1"/>
  <c r="Z180" i="3" s="1"/>
  <c r="Y180" i="3" a="1"/>
  <c r="Y180" i="3" s="1"/>
  <c r="X180" i="3" a="1"/>
  <c r="X180" i="3" s="1"/>
  <c r="W180" i="3" a="1"/>
  <c r="W180" i="3" s="1"/>
  <c r="V180" i="3" a="1"/>
  <c r="V180" i="3" s="1"/>
  <c r="U180" i="3" a="1"/>
  <c r="U180" i="3" s="1"/>
  <c r="T180" i="3" a="1"/>
  <c r="T180" i="3" s="1"/>
  <c r="S180" i="3" a="1"/>
  <c r="S180" i="3" s="1"/>
  <c r="R180" i="3" a="1"/>
  <c r="R180" i="3" s="1"/>
  <c r="Q180" i="3" a="1"/>
  <c r="Q180" i="3" s="1"/>
  <c r="P180" i="3" a="1"/>
  <c r="P180" i="3" s="1"/>
  <c r="O180" i="3" a="1"/>
  <c r="O180" i="3" s="1"/>
  <c r="N180" i="3" a="1"/>
  <c r="N180" i="3" s="1"/>
  <c r="M180" i="3" a="1"/>
  <c r="M180" i="3" s="1"/>
  <c r="L180" i="3" a="1"/>
  <c r="L180" i="3" s="1"/>
  <c r="K180" i="3" a="1"/>
  <c r="K180" i="3" s="1"/>
  <c r="J180" i="3" a="1"/>
  <c r="J180" i="3" s="1"/>
  <c r="I180" i="3" a="1"/>
  <c r="I180" i="3" s="1"/>
  <c r="G180" i="3" a="1"/>
  <c r="G180" i="3" s="1"/>
  <c r="F180" i="3" a="1"/>
  <c r="F180" i="3" s="1"/>
  <c r="E180" i="3" a="1"/>
  <c r="E180" i="3" s="1"/>
  <c r="D180" i="3" a="1"/>
  <c r="D180" i="3" s="1"/>
  <c r="C180" i="3" a="1"/>
  <c r="C180" i="3" s="1"/>
  <c r="B180" i="3" a="1"/>
  <c r="B180" i="3" s="1"/>
  <c r="Z179" i="3" a="1"/>
  <c r="Z179" i="3" s="1"/>
  <c r="Y179" i="3" a="1"/>
  <c r="Y179" i="3" s="1"/>
  <c r="X179" i="3" a="1"/>
  <c r="X179" i="3" s="1"/>
  <c r="W179" i="3" a="1"/>
  <c r="W179" i="3" s="1"/>
  <c r="V179" i="3" a="1"/>
  <c r="V179" i="3" s="1"/>
  <c r="U179" i="3" a="1"/>
  <c r="U179" i="3" s="1"/>
  <c r="T179" i="3" a="1"/>
  <c r="T179" i="3" s="1"/>
  <c r="S179" i="3" a="1"/>
  <c r="S179" i="3" s="1"/>
  <c r="R179" i="3" a="1"/>
  <c r="R179" i="3" s="1"/>
  <c r="Q179" i="3" a="1"/>
  <c r="Q179" i="3" s="1"/>
  <c r="P179" i="3" a="1"/>
  <c r="P179" i="3" s="1"/>
  <c r="O179" i="3" a="1"/>
  <c r="O179" i="3" s="1"/>
  <c r="N179" i="3" a="1"/>
  <c r="N179" i="3" s="1"/>
  <c r="M179" i="3" a="1"/>
  <c r="M179" i="3" s="1"/>
  <c r="L179" i="3" a="1"/>
  <c r="L179" i="3" s="1"/>
  <c r="K179" i="3" a="1"/>
  <c r="K179" i="3" s="1"/>
  <c r="J179" i="3" a="1"/>
  <c r="J179" i="3" s="1"/>
  <c r="I179" i="3" a="1"/>
  <c r="I179" i="3" s="1"/>
  <c r="G179" i="3" a="1"/>
  <c r="G179" i="3" s="1"/>
  <c r="F179" i="3" a="1"/>
  <c r="F179" i="3" s="1"/>
  <c r="E179" i="3" a="1"/>
  <c r="E179" i="3" s="1"/>
  <c r="D179" i="3" a="1"/>
  <c r="D179" i="3" s="1"/>
  <c r="C179" i="3" a="1"/>
  <c r="C179" i="3" s="1"/>
  <c r="B179" i="3" a="1"/>
  <c r="B179" i="3" s="1"/>
  <c r="Z178" i="3" a="1"/>
  <c r="Z178" i="3" s="1"/>
  <c r="Y178" i="3" a="1"/>
  <c r="Y178" i="3" s="1"/>
  <c r="X178" i="3" a="1"/>
  <c r="X178" i="3" s="1"/>
  <c r="W178" i="3" a="1"/>
  <c r="W178" i="3" s="1"/>
  <c r="V178" i="3" a="1"/>
  <c r="V178" i="3" s="1"/>
  <c r="U178" i="3" a="1"/>
  <c r="U178" i="3" s="1"/>
  <c r="T178" i="3" a="1"/>
  <c r="T178" i="3" s="1"/>
  <c r="S178" i="3" a="1"/>
  <c r="S178" i="3" s="1"/>
  <c r="R178" i="3" a="1"/>
  <c r="R178" i="3" s="1"/>
  <c r="Q178" i="3" a="1"/>
  <c r="Q178" i="3" s="1"/>
  <c r="P178" i="3" a="1"/>
  <c r="P178" i="3" s="1"/>
  <c r="O178" i="3" a="1"/>
  <c r="O178" i="3" s="1"/>
  <c r="N178" i="3" a="1"/>
  <c r="N178" i="3" s="1"/>
  <c r="M178" i="3" a="1"/>
  <c r="M178" i="3" s="1"/>
  <c r="L178" i="3" a="1"/>
  <c r="L178" i="3" s="1"/>
  <c r="K178" i="3" a="1"/>
  <c r="K178" i="3" s="1"/>
  <c r="J178" i="3" a="1"/>
  <c r="J178" i="3" s="1"/>
  <c r="I178" i="3" a="1"/>
  <c r="I178" i="3" s="1"/>
  <c r="G178" i="3" a="1"/>
  <c r="G178" i="3" s="1"/>
  <c r="F178" i="3" a="1"/>
  <c r="F178" i="3" s="1"/>
  <c r="E178" i="3" a="1"/>
  <c r="E178" i="3" s="1"/>
  <c r="D178" i="3" a="1"/>
  <c r="D178" i="3" s="1"/>
  <c r="C178" i="3" a="1"/>
  <c r="C178" i="3" s="1"/>
  <c r="B178" i="3" a="1"/>
  <c r="B178" i="3" s="1"/>
  <c r="Z177" i="3" a="1"/>
  <c r="Z177" i="3" s="1"/>
  <c r="Y177" i="3" a="1"/>
  <c r="Y177" i="3" s="1"/>
  <c r="X177" i="3" a="1"/>
  <c r="X177" i="3" s="1"/>
  <c r="W177" i="3" a="1"/>
  <c r="W177" i="3" s="1"/>
  <c r="V177" i="3" a="1"/>
  <c r="V177" i="3" s="1"/>
  <c r="U177" i="3" a="1"/>
  <c r="U177" i="3" s="1"/>
  <c r="T177" i="3" a="1"/>
  <c r="T177" i="3" s="1"/>
  <c r="S177" i="3" a="1"/>
  <c r="S177" i="3" s="1"/>
  <c r="R177" i="3" a="1"/>
  <c r="R177" i="3" s="1"/>
  <c r="Q177" i="3" a="1"/>
  <c r="Q177" i="3" s="1"/>
  <c r="P177" i="3" a="1"/>
  <c r="P177" i="3" s="1"/>
  <c r="O177" i="3" a="1"/>
  <c r="O177" i="3" s="1"/>
  <c r="N177" i="3" a="1"/>
  <c r="N177" i="3" s="1"/>
  <c r="M177" i="3" a="1"/>
  <c r="M177" i="3" s="1"/>
  <c r="L177" i="3" a="1"/>
  <c r="L177" i="3" s="1"/>
  <c r="K177" i="3" a="1"/>
  <c r="K177" i="3" s="1"/>
  <c r="J177" i="3" a="1"/>
  <c r="J177" i="3" s="1"/>
  <c r="I177" i="3" a="1"/>
  <c r="I177" i="3" s="1"/>
  <c r="G177" i="3" a="1"/>
  <c r="G177" i="3" s="1"/>
  <c r="F177" i="3" a="1"/>
  <c r="F177" i="3" s="1"/>
  <c r="E177" i="3" a="1"/>
  <c r="E177" i="3" s="1"/>
  <c r="D177" i="3" a="1"/>
  <c r="D177" i="3" s="1"/>
  <c r="C177" i="3" a="1"/>
  <c r="C177" i="3" s="1"/>
  <c r="B177" i="3" a="1"/>
  <c r="B177" i="3" s="1"/>
  <c r="Z176" i="3" a="1"/>
  <c r="Z176" i="3" s="1"/>
  <c r="Y176" i="3" a="1"/>
  <c r="Y176" i="3" s="1"/>
  <c r="X176" i="3" a="1"/>
  <c r="X176" i="3" s="1"/>
  <c r="W176" i="3" a="1"/>
  <c r="W176" i="3" s="1"/>
  <c r="V176" i="3" a="1"/>
  <c r="V176" i="3" s="1"/>
  <c r="U176" i="3" a="1"/>
  <c r="U176" i="3" s="1"/>
  <c r="T176" i="3" a="1"/>
  <c r="T176" i="3" s="1"/>
  <c r="S176" i="3" a="1"/>
  <c r="S176" i="3" s="1"/>
  <c r="R176" i="3" a="1"/>
  <c r="R176" i="3" s="1"/>
  <c r="Q176" i="3" a="1"/>
  <c r="Q176" i="3" s="1"/>
  <c r="P176" i="3" a="1"/>
  <c r="P176" i="3" s="1"/>
  <c r="O176" i="3" a="1"/>
  <c r="O176" i="3" s="1"/>
  <c r="N176" i="3" a="1"/>
  <c r="N176" i="3" s="1"/>
  <c r="M176" i="3" a="1"/>
  <c r="M176" i="3" s="1"/>
  <c r="L176" i="3" a="1"/>
  <c r="L176" i="3" s="1"/>
  <c r="K176" i="3" a="1"/>
  <c r="K176" i="3" s="1"/>
  <c r="J176" i="3" a="1"/>
  <c r="J176" i="3" s="1"/>
  <c r="I176" i="3" a="1"/>
  <c r="I176" i="3" s="1"/>
  <c r="G176" i="3" a="1"/>
  <c r="G176" i="3" s="1"/>
  <c r="F176" i="3" a="1"/>
  <c r="F176" i="3" s="1"/>
  <c r="E176" i="3" a="1"/>
  <c r="E176" i="3" s="1"/>
  <c r="D176" i="3" a="1"/>
  <c r="D176" i="3" s="1"/>
  <c r="C176" i="3" a="1"/>
  <c r="C176" i="3" s="1"/>
  <c r="B176" i="3" a="1"/>
  <c r="B176" i="3" s="1"/>
  <c r="Q172" i="3" a="1"/>
  <c r="Q172" i="3" s="1"/>
  <c r="P172" i="3" a="1"/>
  <c r="P172" i="3" s="1"/>
  <c r="O172" i="3" a="1"/>
  <c r="O172" i="3" s="1"/>
  <c r="N172" i="3" a="1"/>
  <c r="N172" i="3" s="1"/>
  <c r="M172" i="3" a="1"/>
  <c r="M172" i="3" s="1"/>
  <c r="L172" i="3" a="1"/>
  <c r="L172" i="3" s="1"/>
  <c r="K172" i="3" a="1"/>
  <c r="K172" i="3" s="1"/>
  <c r="J172" i="3" a="1"/>
  <c r="J172" i="3" s="1"/>
  <c r="I172" i="3" a="1"/>
  <c r="I172" i="3" s="1"/>
  <c r="G172" i="3" a="1"/>
  <c r="G172" i="3" s="1"/>
  <c r="F172" i="3" a="1"/>
  <c r="F172" i="3" s="1"/>
  <c r="E172" i="3" a="1"/>
  <c r="E172" i="3" s="1"/>
  <c r="D172" i="3" a="1"/>
  <c r="D172" i="3" s="1"/>
  <c r="C172" i="3" a="1"/>
  <c r="C172" i="3" s="1"/>
  <c r="B172" i="3" a="1"/>
  <c r="B172" i="3" s="1"/>
  <c r="Q171" i="3" a="1"/>
  <c r="Q171" i="3" s="1"/>
  <c r="P171" i="3" a="1"/>
  <c r="P171" i="3" s="1"/>
  <c r="O171" i="3" a="1"/>
  <c r="O171" i="3" s="1"/>
  <c r="N171" i="3" a="1"/>
  <c r="N171" i="3" s="1"/>
  <c r="M171" i="3" a="1"/>
  <c r="M171" i="3" s="1"/>
  <c r="L171" i="3" a="1"/>
  <c r="L171" i="3" s="1"/>
  <c r="K171" i="3" a="1"/>
  <c r="K171" i="3" s="1"/>
  <c r="J171" i="3" a="1"/>
  <c r="J171" i="3" s="1"/>
  <c r="I171" i="3" a="1"/>
  <c r="I171" i="3" s="1"/>
  <c r="G171" i="3" a="1"/>
  <c r="G171" i="3" s="1"/>
  <c r="F171" i="3" a="1"/>
  <c r="F171" i="3" s="1"/>
  <c r="E171" i="3" a="1"/>
  <c r="E171" i="3" s="1"/>
  <c r="D171" i="3" a="1"/>
  <c r="D171" i="3" s="1"/>
  <c r="C171" i="3" a="1"/>
  <c r="C171" i="3" s="1"/>
  <c r="B171" i="3" a="1"/>
  <c r="B171" i="3" s="1"/>
  <c r="T170" i="3" a="1"/>
  <c r="T170" i="3"/>
  <c r="Q170" i="3" a="1"/>
  <c r="Q170" i="3" s="1"/>
  <c r="P170" i="3" a="1"/>
  <c r="P170" i="3" s="1"/>
  <c r="O170" i="3" a="1"/>
  <c r="O170" i="3" s="1"/>
  <c r="N170" i="3" a="1"/>
  <c r="N170" i="3" s="1"/>
  <c r="M170" i="3" a="1"/>
  <c r="M170" i="3" s="1"/>
  <c r="L170" i="3" a="1"/>
  <c r="L170" i="3" s="1"/>
  <c r="K170" i="3" a="1"/>
  <c r="K170" i="3" s="1"/>
  <c r="J170" i="3" a="1"/>
  <c r="J170" i="3" s="1"/>
  <c r="I170" i="3" a="1"/>
  <c r="I170" i="3" s="1"/>
  <c r="G170" i="3" a="1"/>
  <c r="G170" i="3" s="1"/>
  <c r="F170" i="3" a="1"/>
  <c r="F170" i="3" s="1"/>
  <c r="E170" i="3" a="1"/>
  <c r="E170" i="3" s="1"/>
  <c r="D170" i="3" a="1"/>
  <c r="D170" i="3" s="1"/>
  <c r="C170" i="3" a="1"/>
  <c r="C170" i="3" s="1"/>
  <c r="B170" i="3" a="1"/>
  <c r="B170" i="3" s="1"/>
  <c r="Z166" i="3" a="1"/>
  <c r="Z166" i="3" s="1"/>
  <c r="Y166" i="3" a="1"/>
  <c r="Y166" i="3" s="1"/>
  <c r="X166" i="3" a="1"/>
  <c r="X166" i="3" s="1"/>
  <c r="W166" i="3" a="1"/>
  <c r="W166" i="3" s="1"/>
  <c r="V166" i="3" a="1"/>
  <c r="V166" i="3" s="1"/>
  <c r="U166" i="3" a="1"/>
  <c r="U166" i="3" s="1"/>
  <c r="T166" i="3" a="1"/>
  <c r="T166" i="3" s="1"/>
  <c r="S166" i="3" a="1"/>
  <c r="S166" i="3" s="1"/>
  <c r="R166" i="3" a="1"/>
  <c r="R166" i="3" s="1"/>
  <c r="Q166" i="3" a="1"/>
  <c r="Q166" i="3" s="1"/>
  <c r="P166" i="3" a="1"/>
  <c r="P166" i="3" s="1"/>
  <c r="O166" i="3" a="1"/>
  <c r="O166" i="3" s="1"/>
  <c r="N166" i="3" a="1"/>
  <c r="N166" i="3" s="1"/>
  <c r="M166" i="3" a="1"/>
  <c r="M166" i="3" s="1"/>
  <c r="L166" i="3" a="1"/>
  <c r="L166" i="3" s="1"/>
  <c r="K166" i="3" a="1"/>
  <c r="K166" i="3" s="1"/>
  <c r="J166" i="3" a="1"/>
  <c r="J166" i="3" s="1"/>
  <c r="I166" i="3" a="1"/>
  <c r="I166" i="3" s="1"/>
  <c r="G166" i="3" a="1"/>
  <c r="G166" i="3" s="1"/>
  <c r="F166" i="3" a="1"/>
  <c r="F166" i="3" s="1"/>
  <c r="E166" i="3" a="1"/>
  <c r="E166" i="3" s="1"/>
  <c r="D166" i="3" a="1"/>
  <c r="D166" i="3" s="1"/>
  <c r="C166" i="3" a="1"/>
  <c r="C166" i="3" s="1"/>
  <c r="B166" i="3" a="1"/>
  <c r="B166" i="3" s="1"/>
  <c r="Z165" i="3" a="1"/>
  <c r="Z165" i="3" s="1"/>
  <c r="Y165" i="3" a="1"/>
  <c r="Y165" i="3" s="1"/>
  <c r="X165" i="3" a="1"/>
  <c r="X165" i="3" s="1"/>
  <c r="W165" i="3" a="1"/>
  <c r="W165" i="3" s="1"/>
  <c r="V165" i="3" a="1"/>
  <c r="V165" i="3" s="1"/>
  <c r="U165" i="3" a="1"/>
  <c r="U165" i="3" s="1"/>
  <c r="T165" i="3" a="1"/>
  <c r="T165" i="3" s="1"/>
  <c r="S165" i="3" a="1"/>
  <c r="S165" i="3" s="1"/>
  <c r="R165" i="3" a="1"/>
  <c r="R165" i="3" s="1"/>
  <c r="Q165" i="3" a="1"/>
  <c r="Q165" i="3" s="1"/>
  <c r="P165" i="3" a="1"/>
  <c r="P165" i="3" s="1"/>
  <c r="O165" i="3" a="1"/>
  <c r="O165" i="3" s="1"/>
  <c r="N165" i="3" a="1"/>
  <c r="N165" i="3" s="1"/>
  <c r="M165" i="3" a="1"/>
  <c r="M165" i="3" s="1"/>
  <c r="L165" i="3" a="1"/>
  <c r="L165" i="3" s="1"/>
  <c r="K165" i="3" a="1"/>
  <c r="K165" i="3" s="1"/>
  <c r="J165" i="3" a="1"/>
  <c r="J165" i="3" s="1"/>
  <c r="I165" i="3" a="1"/>
  <c r="I165" i="3" s="1"/>
  <c r="G165" i="3" a="1"/>
  <c r="G165" i="3" s="1"/>
  <c r="F165" i="3" a="1"/>
  <c r="F165" i="3" s="1"/>
  <c r="E165" i="3" a="1"/>
  <c r="E165" i="3" s="1"/>
  <c r="D165" i="3" a="1"/>
  <c r="D165" i="3" s="1"/>
  <c r="C165" i="3" a="1"/>
  <c r="C165" i="3" s="1"/>
  <c r="B165" i="3" a="1"/>
  <c r="B165" i="3" s="1"/>
  <c r="Z164" i="3" a="1"/>
  <c r="Z164" i="3" s="1"/>
  <c r="Y164" i="3" a="1"/>
  <c r="Y164" i="3" s="1"/>
  <c r="X164" i="3" a="1"/>
  <c r="X164" i="3" s="1"/>
  <c r="W164" i="3" a="1"/>
  <c r="W164" i="3" s="1"/>
  <c r="V164" i="3" a="1"/>
  <c r="V164" i="3" s="1"/>
  <c r="U164" i="3" a="1"/>
  <c r="U164" i="3" s="1"/>
  <c r="T164" i="3" a="1"/>
  <c r="T164" i="3" s="1"/>
  <c r="S164" i="3" a="1"/>
  <c r="S164" i="3" s="1"/>
  <c r="R164" i="3" a="1"/>
  <c r="R164" i="3" s="1"/>
  <c r="Q164" i="3" a="1"/>
  <c r="Q164" i="3" s="1"/>
  <c r="P164" i="3" a="1"/>
  <c r="P164" i="3" s="1"/>
  <c r="O164" i="3" a="1"/>
  <c r="O164" i="3" s="1"/>
  <c r="N164" i="3" a="1"/>
  <c r="N164" i="3" s="1"/>
  <c r="M164" i="3" a="1"/>
  <c r="M164" i="3" s="1"/>
  <c r="L164" i="3" a="1"/>
  <c r="L164" i="3" s="1"/>
  <c r="K164" i="3" a="1"/>
  <c r="K164" i="3" s="1"/>
  <c r="J164" i="3" a="1"/>
  <c r="J164" i="3" s="1"/>
  <c r="I164" i="3" a="1"/>
  <c r="I164" i="3" s="1"/>
  <c r="G164" i="3" a="1"/>
  <c r="G164" i="3" s="1"/>
  <c r="F164" i="3" a="1"/>
  <c r="F164" i="3" s="1"/>
  <c r="E164" i="3" a="1"/>
  <c r="E164" i="3" s="1"/>
  <c r="D164" i="3" a="1"/>
  <c r="D164" i="3" s="1"/>
  <c r="C164" i="3" a="1"/>
  <c r="C164" i="3" s="1"/>
  <c r="B164" i="3" a="1"/>
  <c r="B164" i="3" s="1"/>
  <c r="Z163" i="3" a="1"/>
  <c r="Z163" i="3" s="1"/>
  <c r="Y163" i="3" a="1"/>
  <c r="Y163" i="3" s="1"/>
  <c r="X163" i="3" a="1"/>
  <c r="X163" i="3" s="1"/>
  <c r="W163" i="3" a="1"/>
  <c r="W163" i="3" s="1"/>
  <c r="V163" i="3" a="1"/>
  <c r="V163" i="3" s="1"/>
  <c r="U163" i="3" a="1"/>
  <c r="U163" i="3" s="1"/>
  <c r="T163" i="3" a="1"/>
  <c r="T163" i="3" s="1"/>
  <c r="S163" i="3" a="1"/>
  <c r="S163" i="3" s="1"/>
  <c r="R163" i="3" a="1"/>
  <c r="R163" i="3" s="1"/>
  <c r="Q163" i="3" a="1"/>
  <c r="Q163" i="3" s="1"/>
  <c r="P163" i="3" a="1"/>
  <c r="P163" i="3" s="1"/>
  <c r="O163" i="3" a="1"/>
  <c r="O163" i="3" s="1"/>
  <c r="N163" i="3" a="1"/>
  <c r="N163" i="3" s="1"/>
  <c r="M163" i="3" a="1"/>
  <c r="M163" i="3" s="1"/>
  <c r="L163" i="3" a="1"/>
  <c r="L163" i="3" s="1"/>
  <c r="K163" i="3" a="1"/>
  <c r="K163" i="3" s="1"/>
  <c r="J163" i="3" a="1"/>
  <c r="J163" i="3" s="1"/>
  <c r="I163" i="3" a="1"/>
  <c r="I163" i="3" s="1"/>
  <c r="G163" i="3" a="1"/>
  <c r="G163" i="3" s="1"/>
  <c r="F163" i="3" a="1"/>
  <c r="F163" i="3" s="1"/>
  <c r="E163" i="3" a="1"/>
  <c r="E163" i="3" s="1"/>
  <c r="D163" i="3" a="1"/>
  <c r="D163" i="3" s="1"/>
  <c r="C163" i="3" a="1"/>
  <c r="C163" i="3" s="1"/>
  <c r="B163" i="3" a="1"/>
  <c r="B163" i="3" s="1"/>
  <c r="Z162" i="3" a="1"/>
  <c r="Z162" i="3" s="1"/>
  <c r="Y162" i="3" a="1"/>
  <c r="Y162" i="3" s="1"/>
  <c r="X162" i="3" a="1"/>
  <c r="X162" i="3" s="1"/>
  <c r="W162" i="3" a="1"/>
  <c r="W162" i="3" s="1"/>
  <c r="V162" i="3" a="1"/>
  <c r="V162" i="3" s="1"/>
  <c r="U162" i="3" a="1"/>
  <c r="U162" i="3" s="1"/>
  <c r="T162" i="3" a="1"/>
  <c r="T162" i="3" s="1"/>
  <c r="S162" i="3" a="1"/>
  <c r="S162" i="3" s="1"/>
  <c r="R162" i="3" a="1"/>
  <c r="R162" i="3" s="1"/>
  <c r="Q162" i="3" a="1"/>
  <c r="Q162" i="3" s="1"/>
  <c r="P162" i="3" a="1"/>
  <c r="P162" i="3" s="1"/>
  <c r="O162" i="3" a="1"/>
  <c r="O162" i="3" s="1"/>
  <c r="N162" i="3" a="1"/>
  <c r="N162" i="3" s="1"/>
  <c r="M162" i="3" a="1"/>
  <c r="M162" i="3" s="1"/>
  <c r="L162" i="3" a="1"/>
  <c r="L162" i="3" s="1"/>
  <c r="K162" i="3" a="1"/>
  <c r="K162" i="3" s="1"/>
  <c r="J162" i="3" a="1"/>
  <c r="J162" i="3" s="1"/>
  <c r="I162" i="3" a="1"/>
  <c r="I162" i="3" s="1"/>
  <c r="G162" i="3" a="1"/>
  <c r="G162" i="3" s="1"/>
  <c r="F162" i="3" a="1"/>
  <c r="F162" i="3" s="1"/>
  <c r="E162" i="3" a="1"/>
  <c r="E162" i="3" s="1"/>
  <c r="D162" i="3" a="1"/>
  <c r="D162" i="3" s="1"/>
  <c r="C162" i="3" a="1"/>
  <c r="C162" i="3" s="1"/>
  <c r="B162" i="3" a="1"/>
  <c r="B162" i="3" s="1"/>
  <c r="Z161" i="3" a="1"/>
  <c r="Z161" i="3" s="1"/>
  <c r="Y161" i="3" a="1"/>
  <c r="Y161" i="3" s="1"/>
  <c r="X161" i="3" a="1"/>
  <c r="X161" i="3" s="1"/>
  <c r="W161" i="3" a="1"/>
  <c r="W161" i="3" s="1"/>
  <c r="V161" i="3" a="1"/>
  <c r="V161" i="3" s="1"/>
  <c r="U161" i="3" a="1"/>
  <c r="U161" i="3" s="1"/>
  <c r="T161" i="3" a="1"/>
  <c r="T161" i="3" s="1"/>
  <c r="S161" i="3" a="1"/>
  <c r="S161" i="3" s="1"/>
  <c r="R161" i="3" a="1"/>
  <c r="R161" i="3" s="1"/>
  <c r="Q161" i="3" a="1"/>
  <c r="Q161" i="3" s="1"/>
  <c r="P161" i="3" a="1"/>
  <c r="P161" i="3" s="1"/>
  <c r="O161" i="3" a="1"/>
  <c r="O161" i="3" s="1"/>
  <c r="N161" i="3" a="1"/>
  <c r="N161" i="3" s="1"/>
  <c r="M161" i="3" a="1"/>
  <c r="M161" i="3" s="1"/>
  <c r="L161" i="3" a="1"/>
  <c r="L161" i="3" s="1"/>
  <c r="K161" i="3" a="1"/>
  <c r="K161" i="3" s="1"/>
  <c r="J161" i="3" a="1"/>
  <c r="J161" i="3" s="1"/>
  <c r="I161" i="3" a="1"/>
  <c r="I161" i="3" s="1"/>
  <c r="G161" i="3" a="1"/>
  <c r="G161" i="3" s="1"/>
  <c r="F161" i="3" a="1"/>
  <c r="F161" i="3" s="1"/>
  <c r="E161" i="3" a="1"/>
  <c r="E161" i="3" s="1"/>
  <c r="D161" i="3" a="1"/>
  <c r="D161" i="3" s="1"/>
  <c r="C161" i="3" a="1"/>
  <c r="C161" i="3" s="1"/>
  <c r="B161" i="3" a="1"/>
  <c r="B161" i="3" s="1"/>
  <c r="Z160" i="3" a="1"/>
  <c r="Z160" i="3" s="1"/>
  <c r="Y160" i="3" a="1"/>
  <c r="Y160" i="3" s="1"/>
  <c r="X160" i="3" a="1"/>
  <c r="X160" i="3" s="1"/>
  <c r="W160" i="3" a="1"/>
  <c r="W160" i="3" s="1"/>
  <c r="V160" i="3" a="1"/>
  <c r="V160" i="3" s="1"/>
  <c r="U160" i="3" a="1"/>
  <c r="U160" i="3" s="1"/>
  <c r="T160" i="3" a="1"/>
  <c r="T160" i="3" s="1"/>
  <c r="S160" i="3" a="1"/>
  <c r="S160" i="3" s="1"/>
  <c r="R160" i="3" a="1"/>
  <c r="R160" i="3" s="1"/>
  <c r="Q160" i="3" a="1"/>
  <c r="Q160" i="3" s="1"/>
  <c r="P160" i="3" a="1"/>
  <c r="P160" i="3" s="1"/>
  <c r="O160" i="3" a="1"/>
  <c r="O160" i="3" s="1"/>
  <c r="N160" i="3" a="1"/>
  <c r="N160" i="3" s="1"/>
  <c r="M160" i="3" a="1"/>
  <c r="M160" i="3" s="1"/>
  <c r="L160" i="3" a="1"/>
  <c r="L160" i="3" s="1"/>
  <c r="K160" i="3" a="1"/>
  <c r="K160" i="3" s="1"/>
  <c r="J160" i="3" a="1"/>
  <c r="J160" i="3" s="1"/>
  <c r="I160" i="3" a="1"/>
  <c r="I160" i="3" s="1"/>
  <c r="G160" i="3" a="1"/>
  <c r="G160" i="3" s="1"/>
  <c r="F160" i="3" a="1"/>
  <c r="F160" i="3" s="1"/>
  <c r="E160" i="3" a="1"/>
  <c r="E160" i="3" s="1"/>
  <c r="D160" i="3" a="1"/>
  <c r="D160" i="3" s="1"/>
  <c r="C160" i="3" a="1"/>
  <c r="C160" i="3" s="1"/>
  <c r="B160" i="3" a="1"/>
  <c r="B160" i="3" s="1"/>
  <c r="Z159" i="3" a="1"/>
  <c r="Z159" i="3" s="1"/>
  <c r="Y159" i="3" a="1"/>
  <c r="Y159" i="3" s="1"/>
  <c r="X159" i="3" a="1"/>
  <c r="X159" i="3" s="1"/>
  <c r="W159" i="3" a="1"/>
  <c r="W159" i="3" s="1"/>
  <c r="V159" i="3" a="1"/>
  <c r="V159" i="3" s="1"/>
  <c r="U159" i="3" a="1"/>
  <c r="U159" i="3" s="1"/>
  <c r="T159" i="3" a="1"/>
  <c r="T159" i="3" s="1"/>
  <c r="S159" i="3" a="1"/>
  <c r="S159" i="3" s="1"/>
  <c r="R159" i="3" a="1"/>
  <c r="R159" i="3" s="1"/>
  <c r="Q159" i="3" a="1"/>
  <c r="Q159" i="3" s="1"/>
  <c r="P159" i="3" a="1"/>
  <c r="P159" i="3" s="1"/>
  <c r="O159" i="3" a="1"/>
  <c r="O159" i="3" s="1"/>
  <c r="N159" i="3" a="1"/>
  <c r="N159" i="3" s="1"/>
  <c r="M159" i="3" a="1"/>
  <c r="M159" i="3" s="1"/>
  <c r="L159" i="3" a="1"/>
  <c r="L159" i="3" s="1"/>
  <c r="K159" i="3" a="1"/>
  <c r="K159" i="3" s="1"/>
  <c r="J159" i="3" a="1"/>
  <c r="J159" i="3" s="1"/>
  <c r="I159" i="3" a="1"/>
  <c r="I159" i="3" s="1"/>
  <c r="G159" i="3" a="1"/>
  <c r="G159" i="3" s="1"/>
  <c r="F159" i="3" a="1"/>
  <c r="F159" i="3" s="1"/>
  <c r="E159" i="3" a="1"/>
  <c r="E159" i="3" s="1"/>
  <c r="D159" i="3" a="1"/>
  <c r="D159" i="3" s="1"/>
  <c r="C159" i="3" a="1"/>
  <c r="C159" i="3" s="1"/>
  <c r="B159" i="3" a="1"/>
  <c r="B159" i="3" s="1"/>
  <c r="Z158" i="3" a="1"/>
  <c r="Z158" i="3" s="1"/>
  <c r="Y158" i="3" a="1"/>
  <c r="Y158" i="3" s="1"/>
  <c r="X158" i="3" a="1"/>
  <c r="X158" i="3" s="1"/>
  <c r="W158" i="3" a="1"/>
  <c r="W158" i="3" s="1"/>
  <c r="V158" i="3" a="1"/>
  <c r="V158" i="3" s="1"/>
  <c r="U158" i="3" a="1"/>
  <c r="U158" i="3" s="1"/>
  <c r="T158" i="3" a="1"/>
  <c r="T158" i="3" s="1"/>
  <c r="S158" i="3" a="1"/>
  <c r="S158" i="3" s="1"/>
  <c r="R158" i="3" a="1"/>
  <c r="R158" i="3" s="1"/>
  <c r="Q158" i="3" a="1"/>
  <c r="Q158" i="3" s="1"/>
  <c r="P158" i="3" a="1"/>
  <c r="P158" i="3" s="1"/>
  <c r="O158" i="3" a="1"/>
  <c r="O158" i="3" s="1"/>
  <c r="N158" i="3" a="1"/>
  <c r="N158" i="3" s="1"/>
  <c r="M158" i="3" a="1"/>
  <c r="M158" i="3" s="1"/>
  <c r="L158" i="3" a="1"/>
  <c r="L158" i="3" s="1"/>
  <c r="K158" i="3" a="1"/>
  <c r="K158" i="3" s="1"/>
  <c r="J158" i="3" a="1"/>
  <c r="J158" i="3" s="1"/>
  <c r="I158" i="3" a="1"/>
  <c r="I158" i="3" s="1"/>
  <c r="G158" i="3" a="1"/>
  <c r="G158" i="3" s="1"/>
  <c r="F158" i="3" a="1"/>
  <c r="F158" i="3" s="1"/>
  <c r="E158" i="3" a="1"/>
  <c r="E158" i="3" s="1"/>
  <c r="D158" i="3" a="1"/>
  <c r="D158" i="3" s="1"/>
  <c r="C158" i="3" a="1"/>
  <c r="C158" i="3" s="1"/>
  <c r="B158" i="3" a="1"/>
  <c r="B158" i="3" s="1"/>
  <c r="Z157" i="3" a="1"/>
  <c r="Z157" i="3" s="1"/>
  <c r="Y157" i="3" a="1"/>
  <c r="Y157" i="3" s="1"/>
  <c r="X157" i="3" a="1"/>
  <c r="X157" i="3" s="1"/>
  <c r="W157" i="3" a="1"/>
  <c r="W157" i="3" s="1"/>
  <c r="V157" i="3" a="1"/>
  <c r="V157" i="3" s="1"/>
  <c r="U157" i="3" a="1"/>
  <c r="U157" i="3" s="1"/>
  <c r="T157" i="3" a="1"/>
  <c r="T157" i="3" s="1"/>
  <c r="S157" i="3" a="1"/>
  <c r="S157" i="3" s="1"/>
  <c r="R157" i="3" a="1"/>
  <c r="R157" i="3" s="1"/>
  <c r="Q157" i="3" a="1"/>
  <c r="Q157" i="3" s="1"/>
  <c r="P157" i="3" a="1"/>
  <c r="P157" i="3" s="1"/>
  <c r="O157" i="3" a="1"/>
  <c r="O157" i="3" s="1"/>
  <c r="N157" i="3" a="1"/>
  <c r="N157" i="3" s="1"/>
  <c r="M157" i="3" a="1"/>
  <c r="M157" i="3" s="1"/>
  <c r="L157" i="3" a="1"/>
  <c r="L157" i="3" s="1"/>
  <c r="K157" i="3" a="1"/>
  <c r="K157" i="3" s="1"/>
  <c r="J157" i="3" a="1"/>
  <c r="J157" i="3" s="1"/>
  <c r="I157" i="3" a="1"/>
  <c r="I157" i="3" s="1"/>
  <c r="G157" i="3" a="1"/>
  <c r="G157" i="3" s="1"/>
  <c r="F157" i="3" a="1"/>
  <c r="F157" i="3" s="1"/>
  <c r="E157" i="3" a="1"/>
  <c r="E157" i="3" s="1"/>
  <c r="D157" i="3" a="1"/>
  <c r="D157" i="3" s="1"/>
  <c r="C157" i="3" a="1"/>
  <c r="C157" i="3" s="1"/>
  <c r="B157" i="3" a="1"/>
  <c r="B157" i="3" s="1"/>
  <c r="Z156" i="3" a="1"/>
  <c r="Z156" i="3" s="1"/>
  <c r="Y156" i="3" a="1"/>
  <c r="Y156" i="3" s="1"/>
  <c r="X156" i="3" a="1"/>
  <c r="X156" i="3" s="1"/>
  <c r="W156" i="3" a="1"/>
  <c r="W156" i="3" s="1"/>
  <c r="V156" i="3" a="1"/>
  <c r="V156" i="3" s="1"/>
  <c r="U156" i="3" a="1"/>
  <c r="U156" i="3" s="1"/>
  <c r="T156" i="3" a="1"/>
  <c r="T156" i="3" s="1"/>
  <c r="S156" i="3" a="1"/>
  <c r="S156" i="3" s="1"/>
  <c r="R156" i="3" a="1"/>
  <c r="R156" i="3" s="1"/>
  <c r="Q156" i="3" a="1"/>
  <c r="Q156" i="3" s="1"/>
  <c r="P156" i="3" a="1"/>
  <c r="P156" i="3" s="1"/>
  <c r="O156" i="3" a="1"/>
  <c r="O156" i="3" s="1"/>
  <c r="N156" i="3" a="1"/>
  <c r="N156" i="3" s="1"/>
  <c r="M156" i="3" a="1"/>
  <c r="M156" i="3" s="1"/>
  <c r="L156" i="3" a="1"/>
  <c r="L156" i="3" s="1"/>
  <c r="K156" i="3" a="1"/>
  <c r="K156" i="3" s="1"/>
  <c r="J156" i="3" a="1"/>
  <c r="J156" i="3" s="1"/>
  <c r="I156" i="3" a="1"/>
  <c r="I156" i="3" s="1"/>
  <c r="G156" i="3" a="1"/>
  <c r="G156" i="3" s="1"/>
  <c r="F156" i="3" a="1"/>
  <c r="F156" i="3" s="1"/>
  <c r="E156" i="3" a="1"/>
  <c r="E156" i="3" s="1"/>
  <c r="D156" i="3" a="1"/>
  <c r="D156" i="3" s="1"/>
  <c r="C156" i="3" a="1"/>
  <c r="C156" i="3" s="1"/>
  <c r="B156" i="3" a="1"/>
  <c r="B156" i="3" s="1"/>
  <c r="Z155" i="3" a="1"/>
  <c r="Z155" i="3" s="1"/>
  <c r="Y155" i="3" a="1"/>
  <c r="Y155" i="3" s="1"/>
  <c r="X155" i="3" a="1"/>
  <c r="X155" i="3" s="1"/>
  <c r="W155" i="3" a="1"/>
  <c r="W155" i="3" s="1"/>
  <c r="V155" i="3" a="1"/>
  <c r="V155" i="3" s="1"/>
  <c r="U155" i="3" a="1"/>
  <c r="U155" i="3" s="1"/>
  <c r="T155" i="3" a="1"/>
  <c r="T155" i="3" s="1"/>
  <c r="S155" i="3" a="1"/>
  <c r="S155" i="3" s="1"/>
  <c r="R155" i="3" a="1"/>
  <c r="R155" i="3" s="1"/>
  <c r="Q155" i="3" a="1"/>
  <c r="Q155" i="3" s="1"/>
  <c r="P155" i="3" a="1"/>
  <c r="P155" i="3" s="1"/>
  <c r="O155" i="3" a="1"/>
  <c r="O155" i="3" s="1"/>
  <c r="N155" i="3" a="1"/>
  <c r="N155" i="3" s="1"/>
  <c r="M155" i="3" a="1"/>
  <c r="M155" i="3" s="1"/>
  <c r="L155" i="3" a="1"/>
  <c r="L155" i="3" s="1"/>
  <c r="K155" i="3" a="1"/>
  <c r="K155" i="3" s="1"/>
  <c r="J155" i="3" a="1"/>
  <c r="J155" i="3" s="1"/>
  <c r="I155" i="3" a="1"/>
  <c r="I155" i="3" s="1"/>
  <c r="G155" i="3" a="1"/>
  <c r="G155" i="3" s="1"/>
  <c r="F155" i="3" a="1"/>
  <c r="F155" i="3" s="1"/>
  <c r="E155" i="3" a="1"/>
  <c r="E155" i="3" s="1"/>
  <c r="D155" i="3" a="1"/>
  <c r="D155" i="3" s="1"/>
  <c r="C155" i="3" a="1"/>
  <c r="C155" i="3" s="1"/>
  <c r="B155" i="3" a="1"/>
  <c r="B155" i="3" s="1"/>
  <c r="Z154" i="3" a="1"/>
  <c r="Z154" i="3" s="1"/>
  <c r="Y154" i="3" a="1"/>
  <c r="Y154" i="3" s="1"/>
  <c r="X154" i="3" a="1"/>
  <c r="X154" i="3" s="1"/>
  <c r="W154" i="3" a="1"/>
  <c r="W154" i="3" s="1"/>
  <c r="V154" i="3" a="1"/>
  <c r="V154" i="3" s="1"/>
  <c r="U154" i="3" a="1"/>
  <c r="U154" i="3" s="1"/>
  <c r="T154" i="3" a="1"/>
  <c r="T154" i="3" s="1"/>
  <c r="S154" i="3" a="1"/>
  <c r="S154" i="3" s="1"/>
  <c r="R154" i="3" a="1"/>
  <c r="R154" i="3" s="1"/>
  <c r="Q154" i="3" a="1"/>
  <c r="Q154" i="3" s="1"/>
  <c r="P154" i="3" a="1"/>
  <c r="P154" i="3" s="1"/>
  <c r="O154" i="3" a="1"/>
  <c r="O154" i="3" s="1"/>
  <c r="N154" i="3" a="1"/>
  <c r="N154" i="3" s="1"/>
  <c r="M154" i="3" a="1"/>
  <c r="M154" i="3" s="1"/>
  <c r="L154" i="3" a="1"/>
  <c r="L154" i="3" s="1"/>
  <c r="K154" i="3" a="1"/>
  <c r="K154" i="3" s="1"/>
  <c r="J154" i="3" a="1"/>
  <c r="J154" i="3" s="1"/>
  <c r="I154" i="3" a="1"/>
  <c r="I154" i="3" s="1"/>
  <c r="G154" i="3" a="1"/>
  <c r="G154" i="3" s="1"/>
  <c r="F154" i="3" a="1"/>
  <c r="F154" i="3" s="1"/>
  <c r="E154" i="3" a="1"/>
  <c r="E154" i="3" s="1"/>
  <c r="D154" i="3" a="1"/>
  <c r="D154" i="3" s="1"/>
  <c r="C154" i="3" a="1"/>
  <c r="C154" i="3" s="1"/>
  <c r="B154" i="3" a="1"/>
  <c r="B154" i="3" s="1"/>
  <c r="Z153" i="3" a="1"/>
  <c r="Z153" i="3" s="1"/>
  <c r="Y153" i="3" a="1"/>
  <c r="Y153" i="3" s="1"/>
  <c r="X153" i="3" a="1"/>
  <c r="X153" i="3" s="1"/>
  <c r="W153" i="3" a="1"/>
  <c r="W153" i="3" s="1"/>
  <c r="V153" i="3" a="1"/>
  <c r="V153" i="3" s="1"/>
  <c r="U153" i="3" a="1"/>
  <c r="U153" i="3" s="1"/>
  <c r="T153" i="3" a="1"/>
  <c r="T153" i="3" s="1"/>
  <c r="S153" i="3" a="1"/>
  <c r="S153" i="3" s="1"/>
  <c r="R153" i="3" a="1"/>
  <c r="R153" i="3" s="1"/>
  <c r="Q153" i="3" a="1"/>
  <c r="Q153" i="3" s="1"/>
  <c r="P153" i="3" a="1"/>
  <c r="P153" i="3" s="1"/>
  <c r="O153" i="3" a="1"/>
  <c r="O153" i="3" s="1"/>
  <c r="N153" i="3" a="1"/>
  <c r="N153" i="3" s="1"/>
  <c r="M153" i="3" a="1"/>
  <c r="M153" i="3" s="1"/>
  <c r="L153" i="3" a="1"/>
  <c r="L153" i="3" s="1"/>
  <c r="K153" i="3" a="1"/>
  <c r="K153" i="3" s="1"/>
  <c r="J153" i="3" a="1"/>
  <c r="J153" i="3" s="1"/>
  <c r="I153" i="3" a="1"/>
  <c r="I153" i="3" s="1"/>
  <c r="G153" i="3" a="1"/>
  <c r="G153" i="3" s="1"/>
  <c r="F153" i="3" a="1"/>
  <c r="F153" i="3" s="1"/>
  <c r="E153" i="3" a="1"/>
  <c r="E153" i="3" s="1"/>
  <c r="D153" i="3" a="1"/>
  <c r="D153" i="3" s="1"/>
  <c r="C153" i="3" a="1"/>
  <c r="C153" i="3" s="1"/>
  <c r="B153" i="3" a="1"/>
  <c r="B153" i="3" s="1"/>
  <c r="Z152" i="3" a="1"/>
  <c r="Z152" i="3" s="1"/>
  <c r="Y152" i="3" a="1"/>
  <c r="Y152" i="3" s="1"/>
  <c r="X152" i="3" a="1"/>
  <c r="X152" i="3" s="1"/>
  <c r="W152" i="3" a="1"/>
  <c r="W152" i="3" s="1"/>
  <c r="V152" i="3" a="1"/>
  <c r="V152" i="3" s="1"/>
  <c r="U152" i="3" a="1"/>
  <c r="U152" i="3" s="1"/>
  <c r="T152" i="3" a="1"/>
  <c r="T152" i="3" s="1"/>
  <c r="S152" i="3" a="1"/>
  <c r="S152" i="3" s="1"/>
  <c r="R152" i="3" a="1"/>
  <c r="R152" i="3" s="1"/>
  <c r="Q152" i="3" a="1"/>
  <c r="Q152" i="3" s="1"/>
  <c r="P152" i="3" a="1"/>
  <c r="P152" i="3" s="1"/>
  <c r="O152" i="3" a="1"/>
  <c r="O152" i="3" s="1"/>
  <c r="N152" i="3" a="1"/>
  <c r="N152" i="3" s="1"/>
  <c r="M152" i="3" a="1"/>
  <c r="M152" i="3" s="1"/>
  <c r="L152" i="3" a="1"/>
  <c r="L152" i="3" s="1"/>
  <c r="K152" i="3" a="1"/>
  <c r="K152" i="3" s="1"/>
  <c r="J152" i="3" a="1"/>
  <c r="J152" i="3" s="1"/>
  <c r="I152" i="3" a="1"/>
  <c r="I152" i="3" s="1"/>
  <c r="G152" i="3" a="1"/>
  <c r="G152" i="3" s="1"/>
  <c r="F152" i="3" a="1"/>
  <c r="F152" i="3" s="1"/>
  <c r="E152" i="3" a="1"/>
  <c r="E152" i="3" s="1"/>
  <c r="D152" i="3" a="1"/>
  <c r="D152" i="3" s="1"/>
  <c r="C152" i="3" a="1"/>
  <c r="C152" i="3" s="1"/>
  <c r="B152" i="3" a="1"/>
  <c r="B152" i="3" s="1"/>
  <c r="Z151" i="3" a="1"/>
  <c r="Z151" i="3" s="1"/>
  <c r="Y151" i="3" a="1"/>
  <c r="Y151" i="3" s="1"/>
  <c r="X151" i="3" a="1"/>
  <c r="X151" i="3" s="1"/>
  <c r="W151" i="3" a="1"/>
  <c r="W151" i="3" s="1"/>
  <c r="V151" i="3" a="1"/>
  <c r="V151" i="3" s="1"/>
  <c r="U151" i="3" a="1"/>
  <c r="U151" i="3" s="1"/>
  <c r="T151" i="3" a="1"/>
  <c r="T151" i="3" s="1"/>
  <c r="S151" i="3" a="1"/>
  <c r="S151" i="3" s="1"/>
  <c r="R151" i="3" a="1"/>
  <c r="R151" i="3" s="1"/>
  <c r="Q151" i="3" a="1"/>
  <c r="Q151" i="3" s="1"/>
  <c r="P151" i="3" a="1"/>
  <c r="P151" i="3" s="1"/>
  <c r="O151" i="3" a="1"/>
  <c r="O151" i="3" s="1"/>
  <c r="N151" i="3" a="1"/>
  <c r="N151" i="3" s="1"/>
  <c r="M151" i="3" a="1"/>
  <c r="M151" i="3" s="1"/>
  <c r="L151" i="3" a="1"/>
  <c r="L151" i="3" s="1"/>
  <c r="K151" i="3" a="1"/>
  <c r="K151" i="3" s="1"/>
  <c r="J151" i="3" a="1"/>
  <c r="J151" i="3" s="1"/>
  <c r="I151" i="3" a="1"/>
  <c r="I151" i="3" s="1"/>
  <c r="G151" i="3" a="1"/>
  <c r="G151" i="3" s="1"/>
  <c r="F151" i="3" a="1"/>
  <c r="F151" i="3" s="1"/>
  <c r="E151" i="3" a="1"/>
  <c r="E151" i="3" s="1"/>
  <c r="D151" i="3" a="1"/>
  <c r="D151" i="3" s="1"/>
  <c r="C151" i="3" a="1"/>
  <c r="C151" i="3" s="1"/>
  <c r="B151" i="3" a="1"/>
  <c r="B151" i="3" s="1"/>
  <c r="Z150" i="3" a="1"/>
  <c r="Z150" i="3" s="1"/>
  <c r="Y150" i="3" a="1"/>
  <c r="Y150" i="3" s="1"/>
  <c r="X150" i="3" a="1"/>
  <c r="X150" i="3" s="1"/>
  <c r="W150" i="3" a="1"/>
  <c r="W150" i="3" s="1"/>
  <c r="V150" i="3" a="1"/>
  <c r="V150" i="3" s="1"/>
  <c r="U150" i="3" a="1"/>
  <c r="U150" i="3" s="1"/>
  <c r="T150" i="3" a="1"/>
  <c r="T150" i="3" s="1"/>
  <c r="S150" i="3" a="1"/>
  <c r="S150" i="3" s="1"/>
  <c r="R150" i="3" a="1"/>
  <c r="R150" i="3" s="1"/>
  <c r="Q150" i="3" a="1"/>
  <c r="Q150" i="3" s="1"/>
  <c r="P150" i="3" a="1"/>
  <c r="P150" i="3" s="1"/>
  <c r="O150" i="3" a="1"/>
  <c r="O150" i="3" s="1"/>
  <c r="N150" i="3" a="1"/>
  <c r="N150" i="3" s="1"/>
  <c r="M150" i="3" a="1"/>
  <c r="M150" i="3" s="1"/>
  <c r="L150" i="3" a="1"/>
  <c r="L150" i="3" s="1"/>
  <c r="K150" i="3" a="1"/>
  <c r="K150" i="3" s="1"/>
  <c r="J150" i="3" a="1"/>
  <c r="J150" i="3" s="1"/>
  <c r="I150" i="3" a="1"/>
  <c r="I150" i="3" s="1"/>
  <c r="G150" i="3" a="1"/>
  <c r="G150" i="3" s="1"/>
  <c r="F150" i="3" a="1"/>
  <c r="F150" i="3" s="1"/>
  <c r="E150" i="3" a="1"/>
  <c r="E150" i="3" s="1"/>
  <c r="D150" i="3" a="1"/>
  <c r="D150" i="3" s="1"/>
  <c r="C150" i="3" a="1"/>
  <c r="C150" i="3" s="1"/>
  <c r="B150" i="3" a="1"/>
  <c r="B150" i="3" s="1"/>
  <c r="Z149" i="3" a="1"/>
  <c r="Z149" i="3" s="1"/>
  <c r="Y149" i="3" a="1"/>
  <c r="Y149" i="3" s="1"/>
  <c r="X149" i="3" a="1"/>
  <c r="X149" i="3" s="1"/>
  <c r="W149" i="3" a="1"/>
  <c r="W149" i="3" s="1"/>
  <c r="V149" i="3" a="1"/>
  <c r="V149" i="3" s="1"/>
  <c r="U149" i="3" a="1"/>
  <c r="U149" i="3" s="1"/>
  <c r="T149" i="3" a="1"/>
  <c r="T149" i="3" s="1"/>
  <c r="S149" i="3" a="1"/>
  <c r="S149" i="3" s="1"/>
  <c r="R149" i="3" a="1"/>
  <c r="R149" i="3" s="1"/>
  <c r="Q149" i="3" a="1"/>
  <c r="Q149" i="3" s="1"/>
  <c r="P149" i="3" a="1"/>
  <c r="P149" i="3" s="1"/>
  <c r="O149" i="3" a="1"/>
  <c r="O149" i="3" s="1"/>
  <c r="N149" i="3" a="1"/>
  <c r="N149" i="3" s="1"/>
  <c r="M149" i="3" a="1"/>
  <c r="M149" i="3" s="1"/>
  <c r="L149" i="3" a="1"/>
  <c r="L149" i="3" s="1"/>
  <c r="K149" i="3" a="1"/>
  <c r="K149" i="3" s="1"/>
  <c r="J149" i="3" a="1"/>
  <c r="J149" i="3" s="1"/>
  <c r="I149" i="3" a="1"/>
  <c r="I149" i="3" s="1"/>
  <c r="G149" i="3" a="1"/>
  <c r="G149" i="3" s="1"/>
  <c r="F149" i="3" a="1"/>
  <c r="F149" i="3" s="1"/>
  <c r="E149" i="3" a="1"/>
  <c r="E149" i="3" s="1"/>
  <c r="D149" i="3" a="1"/>
  <c r="D149" i="3" s="1"/>
  <c r="C149" i="3" a="1"/>
  <c r="C149" i="3" s="1"/>
  <c r="B149" i="3" a="1"/>
  <c r="B149" i="3" s="1"/>
  <c r="Z148" i="3" a="1"/>
  <c r="Z148" i="3" s="1"/>
  <c r="Y148" i="3" a="1"/>
  <c r="Y148" i="3" s="1"/>
  <c r="X148" i="3" a="1"/>
  <c r="X148" i="3" s="1"/>
  <c r="W148" i="3" a="1"/>
  <c r="W148" i="3" s="1"/>
  <c r="V148" i="3" a="1"/>
  <c r="V148" i="3" s="1"/>
  <c r="U148" i="3" a="1"/>
  <c r="U148" i="3" s="1"/>
  <c r="T148" i="3" a="1"/>
  <c r="T148" i="3" s="1"/>
  <c r="S148" i="3" a="1"/>
  <c r="S148" i="3" s="1"/>
  <c r="R148" i="3" a="1"/>
  <c r="R148" i="3" s="1"/>
  <c r="Q148" i="3" a="1"/>
  <c r="Q148" i="3" s="1"/>
  <c r="P148" i="3" a="1"/>
  <c r="P148" i="3" s="1"/>
  <c r="O148" i="3" a="1"/>
  <c r="O148" i="3" s="1"/>
  <c r="N148" i="3" a="1"/>
  <c r="N148" i="3" s="1"/>
  <c r="M148" i="3" a="1"/>
  <c r="M148" i="3" s="1"/>
  <c r="L148" i="3" a="1"/>
  <c r="L148" i="3" s="1"/>
  <c r="K148" i="3" a="1"/>
  <c r="K148" i="3" s="1"/>
  <c r="J148" i="3" a="1"/>
  <c r="J148" i="3" s="1"/>
  <c r="I148" i="3" a="1"/>
  <c r="I148" i="3" s="1"/>
  <c r="G148" i="3" a="1"/>
  <c r="G148" i="3" s="1"/>
  <c r="F148" i="3" a="1"/>
  <c r="F148" i="3" s="1"/>
  <c r="E148" i="3" a="1"/>
  <c r="E148" i="3" s="1"/>
  <c r="D148" i="3" a="1"/>
  <c r="D148" i="3" s="1"/>
  <c r="C148" i="3" a="1"/>
  <c r="C148" i="3" s="1"/>
  <c r="B148" i="3" a="1"/>
  <c r="B148" i="3" s="1"/>
  <c r="Z147" i="3" a="1"/>
  <c r="Z147" i="3" s="1"/>
  <c r="Y147" i="3" a="1"/>
  <c r="Y147" i="3" s="1"/>
  <c r="X147" i="3" a="1"/>
  <c r="X147" i="3" s="1"/>
  <c r="W147" i="3" a="1"/>
  <c r="W147" i="3" s="1"/>
  <c r="V147" i="3" a="1"/>
  <c r="V147" i="3" s="1"/>
  <c r="U147" i="3" a="1"/>
  <c r="U147" i="3" s="1"/>
  <c r="T147" i="3" a="1"/>
  <c r="T147" i="3" s="1"/>
  <c r="S147" i="3" a="1"/>
  <c r="S147" i="3" s="1"/>
  <c r="R147" i="3" a="1"/>
  <c r="R147" i="3" s="1"/>
  <c r="Q147" i="3" a="1"/>
  <c r="Q147" i="3" s="1"/>
  <c r="P147" i="3" a="1"/>
  <c r="P147" i="3" s="1"/>
  <c r="O147" i="3" a="1"/>
  <c r="O147" i="3" s="1"/>
  <c r="N147" i="3" a="1"/>
  <c r="N147" i="3" s="1"/>
  <c r="M147" i="3" a="1"/>
  <c r="M147" i="3" s="1"/>
  <c r="L147" i="3" a="1"/>
  <c r="L147" i="3" s="1"/>
  <c r="K147" i="3" a="1"/>
  <c r="K147" i="3" s="1"/>
  <c r="J147" i="3" a="1"/>
  <c r="J147" i="3" s="1"/>
  <c r="I147" i="3" a="1"/>
  <c r="I147" i="3" s="1"/>
  <c r="G147" i="3" a="1"/>
  <c r="G147" i="3" s="1"/>
  <c r="F147" i="3" a="1"/>
  <c r="F147" i="3" s="1"/>
  <c r="E147" i="3" a="1"/>
  <c r="E147" i="3" s="1"/>
  <c r="D147" i="3" a="1"/>
  <c r="D147" i="3" s="1"/>
  <c r="C147" i="3" a="1"/>
  <c r="C147" i="3" s="1"/>
  <c r="B147" i="3" a="1"/>
  <c r="B147" i="3" s="1"/>
  <c r="Q143" i="3" a="1"/>
  <c r="Q143" i="3" s="1"/>
  <c r="P143" i="3" a="1"/>
  <c r="P143" i="3" s="1"/>
  <c r="O143" i="3" a="1"/>
  <c r="O143" i="3" s="1"/>
  <c r="N143" i="3" a="1"/>
  <c r="N143" i="3" s="1"/>
  <c r="M143" i="3" a="1"/>
  <c r="M143" i="3" s="1"/>
  <c r="L143" i="3" a="1"/>
  <c r="L143" i="3" s="1"/>
  <c r="K143" i="3" a="1"/>
  <c r="K143" i="3" s="1"/>
  <c r="J143" i="3" a="1"/>
  <c r="J143" i="3" s="1"/>
  <c r="I143" i="3" a="1"/>
  <c r="I143" i="3" s="1"/>
  <c r="G143" i="3" a="1"/>
  <c r="G143" i="3" s="1"/>
  <c r="F143" i="3" a="1"/>
  <c r="F143" i="3" s="1"/>
  <c r="E143" i="3" a="1"/>
  <c r="E143" i="3" s="1"/>
  <c r="D143" i="3" a="1"/>
  <c r="D143" i="3" s="1"/>
  <c r="C143" i="3" a="1"/>
  <c r="C143" i="3" s="1"/>
  <c r="B143" i="3" a="1"/>
  <c r="B143" i="3" s="1"/>
  <c r="Q142" i="3" a="1"/>
  <c r="Q142" i="3" s="1"/>
  <c r="P142" i="3" a="1"/>
  <c r="P142" i="3" s="1"/>
  <c r="O142" i="3" a="1"/>
  <c r="O142" i="3" s="1"/>
  <c r="N142" i="3" a="1"/>
  <c r="N142" i="3" s="1"/>
  <c r="M142" i="3" a="1"/>
  <c r="M142" i="3" s="1"/>
  <c r="L142" i="3" a="1"/>
  <c r="L142" i="3" s="1"/>
  <c r="K142" i="3" a="1"/>
  <c r="K142" i="3" s="1"/>
  <c r="J142" i="3" a="1"/>
  <c r="J142" i="3" s="1"/>
  <c r="I142" i="3" a="1"/>
  <c r="I142" i="3" s="1"/>
  <c r="G142" i="3" a="1"/>
  <c r="G142" i="3" s="1"/>
  <c r="F142" i="3" a="1"/>
  <c r="F142" i="3" s="1"/>
  <c r="E142" i="3" a="1"/>
  <c r="E142" i="3" s="1"/>
  <c r="D142" i="3" a="1"/>
  <c r="D142" i="3" s="1"/>
  <c r="C142" i="3" a="1"/>
  <c r="C142" i="3" s="1"/>
  <c r="B142" i="3" a="1"/>
  <c r="B142" i="3" s="1"/>
  <c r="T141" i="3" a="1"/>
  <c r="T141" i="3"/>
  <c r="Q141" i="3" a="1"/>
  <c r="Q141" i="3" s="1"/>
  <c r="P141" i="3" a="1"/>
  <c r="P141" i="3" s="1"/>
  <c r="O141" i="3" a="1"/>
  <c r="O141" i="3" s="1"/>
  <c r="N141" i="3" a="1"/>
  <c r="N141" i="3" s="1"/>
  <c r="M141" i="3" a="1"/>
  <c r="M141" i="3" s="1"/>
  <c r="L141" i="3" a="1"/>
  <c r="L141" i="3" s="1"/>
  <c r="K141" i="3" a="1"/>
  <c r="K141" i="3" s="1"/>
  <c r="J141" i="3" a="1"/>
  <c r="J141" i="3" s="1"/>
  <c r="I141" i="3" a="1"/>
  <c r="I141" i="3" s="1"/>
  <c r="G141" i="3" a="1"/>
  <c r="G141" i="3" s="1"/>
  <c r="F141" i="3" a="1"/>
  <c r="F141" i="3" s="1"/>
  <c r="E141" i="3" a="1"/>
  <c r="E141" i="3" s="1"/>
  <c r="D141" i="3" a="1"/>
  <c r="D141" i="3" s="1"/>
  <c r="C141" i="3" a="1"/>
  <c r="C141" i="3" s="1"/>
  <c r="B141" i="3" a="1"/>
  <c r="B141" i="3" s="1"/>
  <c r="Z137" i="3" a="1"/>
  <c r="Z137" i="3" s="1"/>
  <c r="Y137" i="3" a="1"/>
  <c r="Y137" i="3" s="1"/>
  <c r="X137" i="3" a="1"/>
  <c r="X137" i="3" s="1"/>
  <c r="W137" i="3" a="1"/>
  <c r="W137" i="3" s="1"/>
  <c r="V137" i="3" a="1"/>
  <c r="V137" i="3" s="1"/>
  <c r="U137" i="3" a="1"/>
  <c r="U137" i="3" s="1"/>
  <c r="T137" i="3" a="1"/>
  <c r="T137" i="3" s="1"/>
  <c r="S137" i="3" a="1"/>
  <c r="S137" i="3" s="1"/>
  <c r="R137" i="3" a="1"/>
  <c r="R137" i="3" s="1"/>
  <c r="Q137" i="3" a="1"/>
  <c r="Q137" i="3" s="1"/>
  <c r="P137" i="3" a="1"/>
  <c r="P137" i="3" s="1"/>
  <c r="O137" i="3" a="1"/>
  <c r="O137" i="3" s="1"/>
  <c r="N137" i="3" a="1"/>
  <c r="N137" i="3" s="1"/>
  <c r="M137" i="3" a="1"/>
  <c r="M137" i="3" s="1"/>
  <c r="L137" i="3" a="1"/>
  <c r="L137" i="3" s="1"/>
  <c r="K137" i="3" a="1"/>
  <c r="K137" i="3" s="1"/>
  <c r="J137" i="3" a="1"/>
  <c r="J137" i="3" s="1"/>
  <c r="I137" i="3" a="1"/>
  <c r="I137" i="3" s="1"/>
  <c r="G137" i="3" a="1"/>
  <c r="G137" i="3" s="1"/>
  <c r="F137" i="3" a="1"/>
  <c r="F137" i="3" s="1"/>
  <c r="E137" i="3" a="1"/>
  <c r="E137" i="3" s="1"/>
  <c r="D137" i="3" a="1"/>
  <c r="D137" i="3" s="1"/>
  <c r="C137" i="3" a="1"/>
  <c r="C137" i="3" s="1"/>
  <c r="B137" i="3" a="1"/>
  <c r="B137" i="3" s="1"/>
  <c r="Z136" i="3" a="1"/>
  <c r="Z136" i="3" s="1"/>
  <c r="Y136" i="3" a="1"/>
  <c r="Y136" i="3" s="1"/>
  <c r="X136" i="3" a="1"/>
  <c r="X136" i="3" s="1"/>
  <c r="W136" i="3" a="1"/>
  <c r="W136" i="3" s="1"/>
  <c r="V136" i="3" a="1"/>
  <c r="V136" i="3" s="1"/>
  <c r="U136" i="3" a="1"/>
  <c r="U136" i="3" s="1"/>
  <c r="T136" i="3" a="1"/>
  <c r="T136" i="3" s="1"/>
  <c r="S136" i="3" a="1"/>
  <c r="S136" i="3" s="1"/>
  <c r="R136" i="3" a="1"/>
  <c r="R136" i="3" s="1"/>
  <c r="Q136" i="3" a="1"/>
  <c r="Q136" i="3" s="1"/>
  <c r="P136" i="3" a="1"/>
  <c r="P136" i="3" s="1"/>
  <c r="O136" i="3" a="1"/>
  <c r="O136" i="3" s="1"/>
  <c r="N136" i="3" a="1"/>
  <c r="N136" i="3" s="1"/>
  <c r="M136" i="3" a="1"/>
  <c r="M136" i="3" s="1"/>
  <c r="L136" i="3" a="1"/>
  <c r="L136" i="3" s="1"/>
  <c r="K136" i="3" a="1"/>
  <c r="K136" i="3" s="1"/>
  <c r="J136" i="3" a="1"/>
  <c r="J136" i="3" s="1"/>
  <c r="I136" i="3" a="1"/>
  <c r="I136" i="3" s="1"/>
  <c r="G136" i="3" a="1"/>
  <c r="G136" i="3" s="1"/>
  <c r="F136" i="3" a="1"/>
  <c r="F136" i="3" s="1"/>
  <c r="E136" i="3" a="1"/>
  <c r="E136" i="3" s="1"/>
  <c r="D136" i="3" a="1"/>
  <c r="D136" i="3" s="1"/>
  <c r="C136" i="3" a="1"/>
  <c r="C136" i="3" s="1"/>
  <c r="B136" i="3" a="1"/>
  <c r="B136" i="3" s="1"/>
  <c r="Z135" i="3" a="1"/>
  <c r="Z135" i="3" s="1"/>
  <c r="Y135" i="3" a="1"/>
  <c r="Y135" i="3" s="1"/>
  <c r="X135" i="3" a="1"/>
  <c r="X135" i="3" s="1"/>
  <c r="W135" i="3" a="1"/>
  <c r="W135" i="3" s="1"/>
  <c r="V135" i="3" a="1"/>
  <c r="V135" i="3" s="1"/>
  <c r="U135" i="3" a="1"/>
  <c r="U135" i="3" s="1"/>
  <c r="T135" i="3" a="1"/>
  <c r="T135" i="3" s="1"/>
  <c r="S135" i="3" a="1"/>
  <c r="S135" i="3" s="1"/>
  <c r="R135" i="3" a="1"/>
  <c r="R135" i="3" s="1"/>
  <c r="Q135" i="3" a="1"/>
  <c r="Q135" i="3" s="1"/>
  <c r="P135" i="3" a="1"/>
  <c r="P135" i="3" s="1"/>
  <c r="O135" i="3" a="1"/>
  <c r="O135" i="3" s="1"/>
  <c r="N135" i="3" a="1"/>
  <c r="N135" i="3" s="1"/>
  <c r="M135" i="3" a="1"/>
  <c r="M135" i="3" s="1"/>
  <c r="L135" i="3" a="1"/>
  <c r="L135" i="3" s="1"/>
  <c r="K135" i="3" a="1"/>
  <c r="K135" i="3" s="1"/>
  <c r="J135" i="3" a="1"/>
  <c r="J135" i="3" s="1"/>
  <c r="I135" i="3" a="1"/>
  <c r="I135" i="3" s="1"/>
  <c r="G135" i="3" a="1"/>
  <c r="G135" i="3" s="1"/>
  <c r="F135" i="3" a="1"/>
  <c r="F135" i="3" s="1"/>
  <c r="E135" i="3" a="1"/>
  <c r="E135" i="3" s="1"/>
  <c r="D135" i="3" a="1"/>
  <c r="D135" i="3" s="1"/>
  <c r="C135" i="3" a="1"/>
  <c r="C135" i="3" s="1"/>
  <c r="B135" i="3" a="1"/>
  <c r="B135" i="3" s="1"/>
  <c r="Z134" i="3" a="1"/>
  <c r="Z134" i="3" s="1"/>
  <c r="Y134" i="3" a="1"/>
  <c r="Y134" i="3" s="1"/>
  <c r="X134" i="3" a="1"/>
  <c r="X134" i="3" s="1"/>
  <c r="W134" i="3" a="1"/>
  <c r="W134" i="3" s="1"/>
  <c r="V134" i="3" a="1"/>
  <c r="V134" i="3" s="1"/>
  <c r="U134" i="3" a="1"/>
  <c r="U134" i="3" s="1"/>
  <c r="T134" i="3" a="1"/>
  <c r="T134" i="3" s="1"/>
  <c r="S134" i="3" a="1"/>
  <c r="S134" i="3" s="1"/>
  <c r="R134" i="3" a="1"/>
  <c r="R134" i="3" s="1"/>
  <c r="Q134" i="3" a="1"/>
  <c r="Q134" i="3" s="1"/>
  <c r="P134" i="3" a="1"/>
  <c r="P134" i="3" s="1"/>
  <c r="O134" i="3" a="1"/>
  <c r="O134" i="3" s="1"/>
  <c r="N134" i="3" a="1"/>
  <c r="N134" i="3" s="1"/>
  <c r="M134" i="3" a="1"/>
  <c r="M134" i="3" s="1"/>
  <c r="L134" i="3" a="1"/>
  <c r="L134" i="3" s="1"/>
  <c r="K134" i="3" a="1"/>
  <c r="K134" i="3" s="1"/>
  <c r="J134" i="3" a="1"/>
  <c r="J134" i="3" s="1"/>
  <c r="I134" i="3" a="1"/>
  <c r="I134" i="3" s="1"/>
  <c r="G134" i="3" a="1"/>
  <c r="G134" i="3" s="1"/>
  <c r="F134" i="3" a="1"/>
  <c r="F134" i="3" s="1"/>
  <c r="E134" i="3" a="1"/>
  <c r="E134" i="3" s="1"/>
  <c r="D134" i="3" a="1"/>
  <c r="D134" i="3" s="1"/>
  <c r="C134" i="3" a="1"/>
  <c r="C134" i="3" s="1"/>
  <c r="B134" i="3" a="1"/>
  <c r="B134" i="3" s="1"/>
  <c r="Z133" i="3" a="1"/>
  <c r="Z133" i="3" s="1"/>
  <c r="Y133" i="3" a="1"/>
  <c r="Y133" i="3" s="1"/>
  <c r="X133" i="3" a="1"/>
  <c r="X133" i="3" s="1"/>
  <c r="W133" i="3" a="1"/>
  <c r="W133" i="3" s="1"/>
  <c r="V133" i="3" a="1"/>
  <c r="V133" i="3" s="1"/>
  <c r="U133" i="3" a="1"/>
  <c r="U133" i="3" s="1"/>
  <c r="T133" i="3" a="1"/>
  <c r="T133" i="3" s="1"/>
  <c r="S133" i="3" a="1"/>
  <c r="S133" i="3" s="1"/>
  <c r="R133" i="3" a="1"/>
  <c r="R133" i="3" s="1"/>
  <c r="Q133" i="3" a="1"/>
  <c r="Q133" i="3" s="1"/>
  <c r="P133" i="3" a="1"/>
  <c r="P133" i="3" s="1"/>
  <c r="O133" i="3" a="1"/>
  <c r="O133" i="3" s="1"/>
  <c r="N133" i="3" a="1"/>
  <c r="N133" i="3" s="1"/>
  <c r="M133" i="3" a="1"/>
  <c r="M133" i="3" s="1"/>
  <c r="L133" i="3" a="1"/>
  <c r="L133" i="3" s="1"/>
  <c r="K133" i="3" a="1"/>
  <c r="K133" i="3" s="1"/>
  <c r="J133" i="3" a="1"/>
  <c r="J133" i="3" s="1"/>
  <c r="I133" i="3" a="1"/>
  <c r="I133" i="3" s="1"/>
  <c r="G133" i="3" a="1"/>
  <c r="G133" i="3" s="1"/>
  <c r="F133" i="3" a="1"/>
  <c r="F133" i="3" s="1"/>
  <c r="E133" i="3" a="1"/>
  <c r="E133" i="3" s="1"/>
  <c r="D133" i="3" a="1"/>
  <c r="D133" i="3" s="1"/>
  <c r="C133" i="3" a="1"/>
  <c r="C133" i="3" s="1"/>
  <c r="B133" i="3" a="1"/>
  <c r="B133" i="3" s="1"/>
  <c r="Z132" i="3" a="1"/>
  <c r="Z132" i="3" s="1"/>
  <c r="Y132" i="3" a="1"/>
  <c r="Y132" i="3" s="1"/>
  <c r="X132" i="3" a="1"/>
  <c r="X132" i="3" s="1"/>
  <c r="W132" i="3" a="1"/>
  <c r="W132" i="3" s="1"/>
  <c r="V132" i="3" a="1"/>
  <c r="V132" i="3" s="1"/>
  <c r="U132" i="3" a="1"/>
  <c r="U132" i="3" s="1"/>
  <c r="T132" i="3" a="1"/>
  <c r="T132" i="3" s="1"/>
  <c r="S132" i="3" a="1"/>
  <c r="S132" i="3" s="1"/>
  <c r="R132" i="3" a="1"/>
  <c r="R132" i="3" s="1"/>
  <c r="Q132" i="3" a="1"/>
  <c r="Q132" i="3" s="1"/>
  <c r="P132" i="3" a="1"/>
  <c r="P132" i="3" s="1"/>
  <c r="O132" i="3" a="1"/>
  <c r="O132" i="3" s="1"/>
  <c r="N132" i="3" a="1"/>
  <c r="N132" i="3" s="1"/>
  <c r="M132" i="3" a="1"/>
  <c r="M132" i="3" s="1"/>
  <c r="L132" i="3" a="1"/>
  <c r="L132" i="3" s="1"/>
  <c r="K132" i="3" a="1"/>
  <c r="K132" i="3" s="1"/>
  <c r="J132" i="3" a="1"/>
  <c r="J132" i="3" s="1"/>
  <c r="I132" i="3" a="1"/>
  <c r="I132" i="3" s="1"/>
  <c r="G132" i="3" a="1"/>
  <c r="G132" i="3" s="1"/>
  <c r="F132" i="3" a="1"/>
  <c r="F132" i="3" s="1"/>
  <c r="E132" i="3" a="1"/>
  <c r="E132" i="3" s="1"/>
  <c r="D132" i="3" a="1"/>
  <c r="D132" i="3" s="1"/>
  <c r="C132" i="3" a="1"/>
  <c r="C132" i="3" s="1"/>
  <c r="B132" i="3" a="1"/>
  <c r="B132" i="3" s="1"/>
  <c r="Z131" i="3" a="1"/>
  <c r="Z131" i="3" s="1"/>
  <c r="Y131" i="3" a="1"/>
  <c r="Y131" i="3" s="1"/>
  <c r="X131" i="3" a="1"/>
  <c r="X131" i="3" s="1"/>
  <c r="W131" i="3" a="1"/>
  <c r="W131" i="3" s="1"/>
  <c r="V131" i="3" a="1"/>
  <c r="V131" i="3" s="1"/>
  <c r="U131" i="3" a="1"/>
  <c r="U131" i="3" s="1"/>
  <c r="T131" i="3" a="1"/>
  <c r="T131" i="3" s="1"/>
  <c r="S131" i="3" a="1"/>
  <c r="S131" i="3" s="1"/>
  <c r="R131" i="3" a="1"/>
  <c r="R131" i="3" s="1"/>
  <c r="Q131" i="3" a="1"/>
  <c r="Q131" i="3" s="1"/>
  <c r="P131" i="3" a="1"/>
  <c r="P131" i="3" s="1"/>
  <c r="O131" i="3" a="1"/>
  <c r="O131" i="3" s="1"/>
  <c r="N131" i="3" a="1"/>
  <c r="N131" i="3" s="1"/>
  <c r="M131" i="3" a="1"/>
  <c r="M131" i="3" s="1"/>
  <c r="L131" i="3" a="1"/>
  <c r="L131" i="3" s="1"/>
  <c r="K131" i="3" a="1"/>
  <c r="K131" i="3" s="1"/>
  <c r="J131" i="3" a="1"/>
  <c r="J131" i="3" s="1"/>
  <c r="I131" i="3" a="1"/>
  <c r="I131" i="3" s="1"/>
  <c r="G131" i="3" a="1"/>
  <c r="G131" i="3" s="1"/>
  <c r="F131" i="3" a="1"/>
  <c r="F131" i="3" s="1"/>
  <c r="E131" i="3" a="1"/>
  <c r="E131" i="3" s="1"/>
  <c r="D131" i="3" a="1"/>
  <c r="D131" i="3" s="1"/>
  <c r="C131" i="3" a="1"/>
  <c r="C131" i="3" s="1"/>
  <c r="B131" i="3" a="1"/>
  <c r="B131" i="3" s="1"/>
  <c r="Z130" i="3" a="1"/>
  <c r="Z130" i="3" s="1"/>
  <c r="Y130" i="3" a="1"/>
  <c r="Y130" i="3" s="1"/>
  <c r="X130" i="3" a="1"/>
  <c r="X130" i="3" s="1"/>
  <c r="W130" i="3" a="1"/>
  <c r="W130" i="3" s="1"/>
  <c r="V130" i="3" a="1"/>
  <c r="V130" i="3" s="1"/>
  <c r="U130" i="3" a="1"/>
  <c r="U130" i="3" s="1"/>
  <c r="T130" i="3" a="1"/>
  <c r="T130" i="3" s="1"/>
  <c r="S130" i="3" a="1"/>
  <c r="S130" i="3" s="1"/>
  <c r="R130" i="3" a="1"/>
  <c r="R130" i="3" s="1"/>
  <c r="Q130" i="3" a="1"/>
  <c r="Q130" i="3" s="1"/>
  <c r="P130" i="3" a="1"/>
  <c r="P130" i="3" s="1"/>
  <c r="O130" i="3" a="1"/>
  <c r="O130" i="3" s="1"/>
  <c r="N130" i="3" a="1"/>
  <c r="N130" i="3" s="1"/>
  <c r="M130" i="3" a="1"/>
  <c r="M130" i="3" s="1"/>
  <c r="L130" i="3" a="1"/>
  <c r="L130" i="3" s="1"/>
  <c r="K130" i="3" a="1"/>
  <c r="K130" i="3" s="1"/>
  <c r="J130" i="3" a="1"/>
  <c r="J130" i="3" s="1"/>
  <c r="I130" i="3" a="1"/>
  <c r="I130" i="3" s="1"/>
  <c r="G130" i="3" a="1"/>
  <c r="G130" i="3" s="1"/>
  <c r="F130" i="3" a="1"/>
  <c r="F130" i="3" s="1"/>
  <c r="E130" i="3" a="1"/>
  <c r="E130" i="3" s="1"/>
  <c r="D130" i="3" a="1"/>
  <c r="D130" i="3" s="1"/>
  <c r="C130" i="3" a="1"/>
  <c r="C130" i="3" s="1"/>
  <c r="B130" i="3" a="1"/>
  <c r="B130" i="3" s="1"/>
  <c r="Z129" i="3" a="1"/>
  <c r="Z129" i="3" s="1"/>
  <c r="Y129" i="3" a="1"/>
  <c r="Y129" i="3" s="1"/>
  <c r="X129" i="3" a="1"/>
  <c r="X129" i="3" s="1"/>
  <c r="W129" i="3" a="1"/>
  <c r="W129" i="3" s="1"/>
  <c r="V129" i="3" a="1"/>
  <c r="V129" i="3" s="1"/>
  <c r="U129" i="3" a="1"/>
  <c r="U129" i="3" s="1"/>
  <c r="T129" i="3" a="1"/>
  <c r="T129" i="3" s="1"/>
  <c r="S129" i="3" a="1"/>
  <c r="S129" i="3" s="1"/>
  <c r="R129" i="3" a="1"/>
  <c r="R129" i="3" s="1"/>
  <c r="Q129" i="3" a="1"/>
  <c r="Q129" i="3" s="1"/>
  <c r="P129" i="3" a="1"/>
  <c r="P129" i="3" s="1"/>
  <c r="O129" i="3" a="1"/>
  <c r="O129" i="3" s="1"/>
  <c r="N129" i="3" a="1"/>
  <c r="N129" i="3" s="1"/>
  <c r="M129" i="3" a="1"/>
  <c r="M129" i="3" s="1"/>
  <c r="L129" i="3" a="1"/>
  <c r="L129" i="3" s="1"/>
  <c r="K129" i="3" a="1"/>
  <c r="K129" i="3" s="1"/>
  <c r="J129" i="3" a="1"/>
  <c r="J129" i="3" s="1"/>
  <c r="I129" i="3" a="1"/>
  <c r="I129" i="3" s="1"/>
  <c r="G129" i="3" a="1"/>
  <c r="G129" i="3" s="1"/>
  <c r="F129" i="3" a="1"/>
  <c r="F129" i="3" s="1"/>
  <c r="E129" i="3" a="1"/>
  <c r="E129" i="3" s="1"/>
  <c r="D129" i="3" a="1"/>
  <c r="D129" i="3" s="1"/>
  <c r="C129" i="3" a="1"/>
  <c r="C129" i="3" s="1"/>
  <c r="B129" i="3" a="1"/>
  <c r="B129" i="3" s="1"/>
  <c r="Z128" i="3" a="1"/>
  <c r="Z128" i="3" s="1"/>
  <c r="Y128" i="3" a="1"/>
  <c r="Y128" i="3" s="1"/>
  <c r="X128" i="3" a="1"/>
  <c r="X128" i="3" s="1"/>
  <c r="W128" i="3" a="1"/>
  <c r="W128" i="3" s="1"/>
  <c r="V128" i="3" a="1"/>
  <c r="V128" i="3" s="1"/>
  <c r="U128" i="3" a="1"/>
  <c r="U128" i="3" s="1"/>
  <c r="T128" i="3" a="1"/>
  <c r="T128" i="3" s="1"/>
  <c r="S128" i="3" a="1"/>
  <c r="S128" i="3" s="1"/>
  <c r="R128" i="3" a="1"/>
  <c r="R128" i="3" s="1"/>
  <c r="Q128" i="3" a="1"/>
  <c r="Q128" i="3" s="1"/>
  <c r="P128" i="3" a="1"/>
  <c r="P128" i="3" s="1"/>
  <c r="O128" i="3" a="1"/>
  <c r="O128" i="3" s="1"/>
  <c r="N128" i="3" a="1"/>
  <c r="N128" i="3" s="1"/>
  <c r="M128" i="3" a="1"/>
  <c r="M128" i="3" s="1"/>
  <c r="L128" i="3" a="1"/>
  <c r="L128" i="3" s="1"/>
  <c r="K128" i="3" a="1"/>
  <c r="K128" i="3" s="1"/>
  <c r="J128" i="3" a="1"/>
  <c r="J128" i="3" s="1"/>
  <c r="I128" i="3" a="1"/>
  <c r="I128" i="3" s="1"/>
  <c r="G128" i="3" a="1"/>
  <c r="G128" i="3" s="1"/>
  <c r="F128" i="3" a="1"/>
  <c r="F128" i="3" s="1"/>
  <c r="E128" i="3" a="1"/>
  <c r="E128" i="3" s="1"/>
  <c r="D128" i="3" a="1"/>
  <c r="D128" i="3" s="1"/>
  <c r="C128" i="3" a="1"/>
  <c r="C128" i="3" s="1"/>
  <c r="B128" i="3" a="1"/>
  <c r="B128" i="3" s="1"/>
  <c r="Z127" i="3" a="1"/>
  <c r="Z127" i="3" s="1"/>
  <c r="Y127" i="3" a="1"/>
  <c r="Y127" i="3" s="1"/>
  <c r="X127" i="3" a="1"/>
  <c r="X127" i="3" s="1"/>
  <c r="W127" i="3" a="1"/>
  <c r="W127" i="3" s="1"/>
  <c r="V127" i="3" a="1"/>
  <c r="V127" i="3" s="1"/>
  <c r="U127" i="3" a="1"/>
  <c r="U127" i="3" s="1"/>
  <c r="T127" i="3" a="1"/>
  <c r="T127" i="3" s="1"/>
  <c r="S127" i="3" a="1"/>
  <c r="S127" i="3" s="1"/>
  <c r="R127" i="3" a="1"/>
  <c r="R127" i="3" s="1"/>
  <c r="Q127" i="3" a="1"/>
  <c r="Q127" i="3" s="1"/>
  <c r="P127" i="3" a="1"/>
  <c r="P127" i="3" s="1"/>
  <c r="O127" i="3" a="1"/>
  <c r="O127" i="3" s="1"/>
  <c r="N127" i="3" a="1"/>
  <c r="N127" i="3" s="1"/>
  <c r="M127" i="3" a="1"/>
  <c r="M127" i="3" s="1"/>
  <c r="L127" i="3" a="1"/>
  <c r="L127" i="3" s="1"/>
  <c r="K127" i="3" a="1"/>
  <c r="K127" i="3" s="1"/>
  <c r="J127" i="3" a="1"/>
  <c r="J127" i="3" s="1"/>
  <c r="I127" i="3" a="1"/>
  <c r="I127" i="3" s="1"/>
  <c r="G127" i="3" a="1"/>
  <c r="G127" i="3" s="1"/>
  <c r="F127" i="3" a="1"/>
  <c r="F127" i="3" s="1"/>
  <c r="E127" i="3" a="1"/>
  <c r="E127" i="3" s="1"/>
  <c r="D127" i="3" a="1"/>
  <c r="D127" i="3" s="1"/>
  <c r="C127" i="3" a="1"/>
  <c r="C127" i="3" s="1"/>
  <c r="B127" i="3" a="1"/>
  <c r="B127" i="3" s="1"/>
  <c r="Z126" i="3" a="1"/>
  <c r="Z126" i="3" s="1"/>
  <c r="Y126" i="3" a="1"/>
  <c r="Y126" i="3" s="1"/>
  <c r="X126" i="3" a="1"/>
  <c r="X126" i="3" s="1"/>
  <c r="W126" i="3" a="1"/>
  <c r="W126" i="3" s="1"/>
  <c r="V126" i="3" a="1"/>
  <c r="V126" i="3" s="1"/>
  <c r="U126" i="3" a="1"/>
  <c r="U126" i="3" s="1"/>
  <c r="T126" i="3" a="1"/>
  <c r="T126" i="3" s="1"/>
  <c r="S126" i="3" a="1"/>
  <c r="S126" i="3" s="1"/>
  <c r="R126" i="3" a="1"/>
  <c r="R126" i="3" s="1"/>
  <c r="Q126" i="3" a="1"/>
  <c r="Q126" i="3" s="1"/>
  <c r="P126" i="3" a="1"/>
  <c r="P126" i="3" s="1"/>
  <c r="O126" i="3" a="1"/>
  <c r="O126" i="3" s="1"/>
  <c r="N126" i="3" a="1"/>
  <c r="N126" i="3" s="1"/>
  <c r="M126" i="3" a="1"/>
  <c r="M126" i="3" s="1"/>
  <c r="L126" i="3" a="1"/>
  <c r="L126" i="3" s="1"/>
  <c r="K126" i="3" a="1"/>
  <c r="K126" i="3" s="1"/>
  <c r="J126" i="3" a="1"/>
  <c r="J126" i="3" s="1"/>
  <c r="I126" i="3" a="1"/>
  <c r="I126" i="3" s="1"/>
  <c r="G126" i="3" a="1"/>
  <c r="G126" i="3" s="1"/>
  <c r="F126" i="3" a="1"/>
  <c r="F126" i="3" s="1"/>
  <c r="E126" i="3" a="1"/>
  <c r="E126" i="3" s="1"/>
  <c r="D126" i="3" a="1"/>
  <c r="D126" i="3" s="1"/>
  <c r="C126" i="3" a="1"/>
  <c r="C126" i="3" s="1"/>
  <c r="B126" i="3" a="1"/>
  <c r="B126" i="3" s="1"/>
  <c r="Z125" i="3" a="1"/>
  <c r="Z125" i="3" s="1"/>
  <c r="Y125" i="3" a="1"/>
  <c r="Y125" i="3" s="1"/>
  <c r="X125" i="3" a="1"/>
  <c r="X125" i="3" s="1"/>
  <c r="W125" i="3" a="1"/>
  <c r="W125" i="3" s="1"/>
  <c r="V125" i="3" a="1"/>
  <c r="V125" i="3" s="1"/>
  <c r="U125" i="3" a="1"/>
  <c r="U125" i="3" s="1"/>
  <c r="T125" i="3" a="1"/>
  <c r="T125" i="3" s="1"/>
  <c r="S125" i="3" a="1"/>
  <c r="S125" i="3" s="1"/>
  <c r="R125" i="3" a="1"/>
  <c r="R125" i="3" s="1"/>
  <c r="Q125" i="3" a="1"/>
  <c r="Q125" i="3" s="1"/>
  <c r="P125" i="3" a="1"/>
  <c r="P125" i="3" s="1"/>
  <c r="O125" i="3" a="1"/>
  <c r="O125" i="3" s="1"/>
  <c r="N125" i="3" a="1"/>
  <c r="N125" i="3" s="1"/>
  <c r="M125" i="3" a="1"/>
  <c r="M125" i="3" s="1"/>
  <c r="L125" i="3" a="1"/>
  <c r="L125" i="3" s="1"/>
  <c r="K125" i="3" a="1"/>
  <c r="K125" i="3" s="1"/>
  <c r="J125" i="3" a="1"/>
  <c r="J125" i="3" s="1"/>
  <c r="I125" i="3" a="1"/>
  <c r="I125" i="3" s="1"/>
  <c r="G125" i="3" a="1"/>
  <c r="G125" i="3" s="1"/>
  <c r="F125" i="3" a="1"/>
  <c r="F125" i="3" s="1"/>
  <c r="E125" i="3" a="1"/>
  <c r="E125" i="3" s="1"/>
  <c r="D125" i="3" a="1"/>
  <c r="D125" i="3" s="1"/>
  <c r="C125" i="3" a="1"/>
  <c r="C125" i="3" s="1"/>
  <c r="B125" i="3" a="1"/>
  <c r="B125" i="3" s="1"/>
  <c r="Z124" i="3" a="1"/>
  <c r="Z124" i="3" s="1"/>
  <c r="Y124" i="3" a="1"/>
  <c r="Y124" i="3" s="1"/>
  <c r="X124" i="3" a="1"/>
  <c r="X124" i="3" s="1"/>
  <c r="W124" i="3" a="1"/>
  <c r="W124" i="3" s="1"/>
  <c r="V124" i="3" a="1"/>
  <c r="V124" i="3" s="1"/>
  <c r="U124" i="3" a="1"/>
  <c r="U124" i="3" s="1"/>
  <c r="T124" i="3" a="1"/>
  <c r="T124" i="3" s="1"/>
  <c r="S124" i="3" a="1"/>
  <c r="S124" i="3" s="1"/>
  <c r="R124" i="3" a="1"/>
  <c r="R124" i="3" s="1"/>
  <c r="Q124" i="3" a="1"/>
  <c r="Q124" i="3" s="1"/>
  <c r="P124" i="3" a="1"/>
  <c r="P124" i="3" s="1"/>
  <c r="O124" i="3" a="1"/>
  <c r="O124" i="3" s="1"/>
  <c r="N124" i="3" a="1"/>
  <c r="N124" i="3" s="1"/>
  <c r="M124" i="3" a="1"/>
  <c r="M124" i="3" s="1"/>
  <c r="L124" i="3" a="1"/>
  <c r="L124" i="3" s="1"/>
  <c r="K124" i="3" a="1"/>
  <c r="K124" i="3" s="1"/>
  <c r="J124" i="3" a="1"/>
  <c r="J124" i="3" s="1"/>
  <c r="I124" i="3" a="1"/>
  <c r="I124" i="3" s="1"/>
  <c r="G124" i="3" a="1"/>
  <c r="G124" i="3" s="1"/>
  <c r="F124" i="3" a="1"/>
  <c r="F124" i="3" s="1"/>
  <c r="E124" i="3" a="1"/>
  <c r="E124" i="3" s="1"/>
  <c r="D124" i="3" a="1"/>
  <c r="D124" i="3" s="1"/>
  <c r="C124" i="3" a="1"/>
  <c r="C124" i="3" s="1"/>
  <c r="B124" i="3" a="1"/>
  <c r="B124" i="3" s="1"/>
  <c r="Z123" i="3" a="1"/>
  <c r="Z123" i="3" s="1"/>
  <c r="Y123" i="3" a="1"/>
  <c r="Y123" i="3" s="1"/>
  <c r="X123" i="3" a="1"/>
  <c r="X123" i="3" s="1"/>
  <c r="W123" i="3" a="1"/>
  <c r="W123" i="3" s="1"/>
  <c r="V123" i="3" a="1"/>
  <c r="V123" i="3" s="1"/>
  <c r="U123" i="3" a="1"/>
  <c r="U123" i="3" s="1"/>
  <c r="T123" i="3" a="1"/>
  <c r="T123" i="3" s="1"/>
  <c r="S123" i="3" a="1"/>
  <c r="S123" i="3" s="1"/>
  <c r="R123" i="3" a="1"/>
  <c r="R123" i="3" s="1"/>
  <c r="Q123" i="3" a="1"/>
  <c r="Q123" i="3" s="1"/>
  <c r="P123" i="3" a="1"/>
  <c r="P123" i="3" s="1"/>
  <c r="O123" i="3" a="1"/>
  <c r="O123" i="3" s="1"/>
  <c r="N123" i="3" a="1"/>
  <c r="N123" i="3" s="1"/>
  <c r="M123" i="3" a="1"/>
  <c r="M123" i="3" s="1"/>
  <c r="L123" i="3" a="1"/>
  <c r="L123" i="3" s="1"/>
  <c r="K123" i="3" a="1"/>
  <c r="K123" i="3" s="1"/>
  <c r="J123" i="3" a="1"/>
  <c r="J123" i="3" s="1"/>
  <c r="I123" i="3" a="1"/>
  <c r="I123" i="3" s="1"/>
  <c r="G123" i="3" a="1"/>
  <c r="G123" i="3" s="1"/>
  <c r="F123" i="3" a="1"/>
  <c r="F123" i="3" s="1"/>
  <c r="E123" i="3" a="1"/>
  <c r="E123" i="3" s="1"/>
  <c r="D123" i="3" a="1"/>
  <c r="D123" i="3" s="1"/>
  <c r="C123" i="3" a="1"/>
  <c r="C123" i="3" s="1"/>
  <c r="B123" i="3" a="1"/>
  <c r="B123" i="3" s="1"/>
  <c r="Z122" i="3" a="1"/>
  <c r="Z122" i="3" s="1"/>
  <c r="Y122" i="3" a="1"/>
  <c r="Y122" i="3" s="1"/>
  <c r="X122" i="3" a="1"/>
  <c r="X122" i="3" s="1"/>
  <c r="W122" i="3" a="1"/>
  <c r="W122" i="3" s="1"/>
  <c r="V122" i="3" a="1"/>
  <c r="V122" i="3" s="1"/>
  <c r="U122" i="3" a="1"/>
  <c r="U122" i="3" s="1"/>
  <c r="T122" i="3" a="1"/>
  <c r="T122" i="3" s="1"/>
  <c r="S122" i="3" a="1"/>
  <c r="S122" i="3" s="1"/>
  <c r="R122" i="3" a="1"/>
  <c r="R122" i="3" s="1"/>
  <c r="Q122" i="3" a="1"/>
  <c r="Q122" i="3" s="1"/>
  <c r="P122" i="3" a="1"/>
  <c r="P122" i="3" s="1"/>
  <c r="O122" i="3" a="1"/>
  <c r="O122" i="3" s="1"/>
  <c r="N122" i="3" a="1"/>
  <c r="N122" i="3" s="1"/>
  <c r="M122" i="3" a="1"/>
  <c r="M122" i="3" s="1"/>
  <c r="L122" i="3" a="1"/>
  <c r="L122" i="3" s="1"/>
  <c r="K122" i="3" a="1"/>
  <c r="K122" i="3" s="1"/>
  <c r="J122" i="3" a="1"/>
  <c r="J122" i="3" s="1"/>
  <c r="I122" i="3" a="1"/>
  <c r="I122" i="3" s="1"/>
  <c r="G122" i="3" a="1"/>
  <c r="G122" i="3" s="1"/>
  <c r="F122" i="3" a="1"/>
  <c r="F122" i="3" s="1"/>
  <c r="E122" i="3" a="1"/>
  <c r="E122" i="3" s="1"/>
  <c r="D122" i="3" a="1"/>
  <c r="D122" i="3" s="1"/>
  <c r="C122" i="3" a="1"/>
  <c r="C122" i="3" s="1"/>
  <c r="B122" i="3" a="1"/>
  <c r="B122" i="3" s="1"/>
  <c r="Z121" i="3" a="1"/>
  <c r="Z121" i="3" s="1"/>
  <c r="Y121" i="3" a="1"/>
  <c r="Y121" i="3" s="1"/>
  <c r="X121" i="3" a="1"/>
  <c r="X121" i="3" s="1"/>
  <c r="W121" i="3" a="1"/>
  <c r="W121" i="3" s="1"/>
  <c r="V121" i="3" a="1"/>
  <c r="V121" i="3" s="1"/>
  <c r="U121" i="3" a="1"/>
  <c r="U121" i="3" s="1"/>
  <c r="T121" i="3" a="1"/>
  <c r="T121" i="3" s="1"/>
  <c r="S121" i="3" a="1"/>
  <c r="S121" i="3" s="1"/>
  <c r="R121" i="3" a="1"/>
  <c r="R121" i="3" s="1"/>
  <c r="Q121" i="3" a="1"/>
  <c r="Q121" i="3" s="1"/>
  <c r="P121" i="3" a="1"/>
  <c r="P121" i="3" s="1"/>
  <c r="O121" i="3" a="1"/>
  <c r="O121" i="3" s="1"/>
  <c r="N121" i="3" a="1"/>
  <c r="N121" i="3" s="1"/>
  <c r="M121" i="3" a="1"/>
  <c r="M121" i="3" s="1"/>
  <c r="L121" i="3" a="1"/>
  <c r="L121" i="3" s="1"/>
  <c r="K121" i="3" a="1"/>
  <c r="K121" i="3" s="1"/>
  <c r="J121" i="3" a="1"/>
  <c r="J121" i="3" s="1"/>
  <c r="I121" i="3" a="1"/>
  <c r="I121" i="3" s="1"/>
  <c r="G121" i="3" a="1"/>
  <c r="G121" i="3" s="1"/>
  <c r="F121" i="3" a="1"/>
  <c r="F121" i="3" s="1"/>
  <c r="E121" i="3" a="1"/>
  <c r="E121" i="3" s="1"/>
  <c r="D121" i="3" a="1"/>
  <c r="D121" i="3" s="1"/>
  <c r="C121" i="3" a="1"/>
  <c r="C121" i="3" s="1"/>
  <c r="B121" i="3" a="1"/>
  <c r="B121" i="3" s="1"/>
  <c r="Z120" i="3" a="1"/>
  <c r="Z120" i="3" s="1"/>
  <c r="Y120" i="3" a="1"/>
  <c r="Y120" i="3" s="1"/>
  <c r="X120" i="3" a="1"/>
  <c r="X120" i="3" s="1"/>
  <c r="W120" i="3" a="1"/>
  <c r="W120" i="3" s="1"/>
  <c r="V120" i="3" a="1"/>
  <c r="V120" i="3" s="1"/>
  <c r="U120" i="3" a="1"/>
  <c r="U120" i="3" s="1"/>
  <c r="T120" i="3" a="1"/>
  <c r="T120" i="3" s="1"/>
  <c r="S120" i="3" a="1"/>
  <c r="S120" i="3" s="1"/>
  <c r="R120" i="3" a="1"/>
  <c r="R120" i="3" s="1"/>
  <c r="Q120" i="3" a="1"/>
  <c r="Q120" i="3" s="1"/>
  <c r="P120" i="3" a="1"/>
  <c r="P120" i="3" s="1"/>
  <c r="O120" i="3" a="1"/>
  <c r="O120" i="3" s="1"/>
  <c r="N120" i="3" a="1"/>
  <c r="N120" i="3" s="1"/>
  <c r="M120" i="3" a="1"/>
  <c r="M120" i="3" s="1"/>
  <c r="L120" i="3" a="1"/>
  <c r="L120" i="3" s="1"/>
  <c r="K120" i="3" a="1"/>
  <c r="K120" i="3" s="1"/>
  <c r="J120" i="3" a="1"/>
  <c r="J120" i="3" s="1"/>
  <c r="I120" i="3" a="1"/>
  <c r="I120" i="3" s="1"/>
  <c r="G120" i="3" a="1"/>
  <c r="G120" i="3" s="1"/>
  <c r="F120" i="3" a="1"/>
  <c r="F120" i="3" s="1"/>
  <c r="E120" i="3" a="1"/>
  <c r="E120" i="3" s="1"/>
  <c r="D120" i="3" a="1"/>
  <c r="D120" i="3" s="1"/>
  <c r="C120" i="3" a="1"/>
  <c r="C120" i="3" s="1"/>
  <c r="B120" i="3" a="1"/>
  <c r="B120" i="3" s="1"/>
  <c r="Z119" i="3" a="1"/>
  <c r="Z119" i="3" s="1"/>
  <c r="Y119" i="3" a="1"/>
  <c r="Y119" i="3" s="1"/>
  <c r="X119" i="3" a="1"/>
  <c r="X119" i="3" s="1"/>
  <c r="W119" i="3" a="1"/>
  <c r="W119" i="3" s="1"/>
  <c r="V119" i="3" a="1"/>
  <c r="V119" i="3" s="1"/>
  <c r="U119" i="3" a="1"/>
  <c r="U119" i="3" s="1"/>
  <c r="T119" i="3" a="1"/>
  <c r="T119" i="3" s="1"/>
  <c r="S119" i="3" a="1"/>
  <c r="S119" i="3" s="1"/>
  <c r="R119" i="3" a="1"/>
  <c r="R119" i="3" s="1"/>
  <c r="Q119" i="3" a="1"/>
  <c r="Q119" i="3" s="1"/>
  <c r="P119" i="3" a="1"/>
  <c r="P119" i="3" s="1"/>
  <c r="O119" i="3" a="1"/>
  <c r="O119" i="3" s="1"/>
  <c r="N119" i="3" a="1"/>
  <c r="N119" i="3" s="1"/>
  <c r="M119" i="3" a="1"/>
  <c r="M119" i="3" s="1"/>
  <c r="L119" i="3" a="1"/>
  <c r="L119" i="3" s="1"/>
  <c r="K119" i="3" a="1"/>
  <c r="K119" i="3" s="1"/>
  <c r="J119" i="3" a="1"/>
  <c r="J119" i="3" s="1"/>
  <c r="I119" i="3" a="1"/>
  <c r="I119" i="3" s="1"/>
  <c r="G119" i="3" a="1"/>
  <c r="G119" i="3" s="1"/>
  <c r="F119" i="3" a="1"/>
  <c r="F119" i="3" s="1"/>
  <c r="E119" i="3" a="1"/>
  <c r="E119" i="3" s="1"/>
  <c r="D119" i="3" a="1"/>
  <c r="D119" i="3" s="1"/>
  <c r="C119" i="3" a="1"/>
  <c r="C119" i="3" s="1"/>
  <c r="B119" i="3" a="1"/>
  <c r="B119" i="3" s="1"/>
  <c r="Z118" i="3" a="1"/>
  <c r="Z118" i="3" s="1"/>
  <c r="Y118" i="3" a="1"/>
  <c r="Y118" i="3" s="1"/>
  <c r="X118" i="3" a="1"/>
  <c r="X118" i="3" s="1"/>
  <c r="W118" i="3" a="1"/>
  <c r="W118" i="3" s="1"/>
  <c r="V118" i="3" a="1"/>
  <c r="V118" i="3" s="1"/>
  <c r="U118" i="3" a="1"/>
  <c r="U118" i="3" s="1"/>
  <c r="T118" i="3" a="1"/>
  <c r="T118" i="3" s="1"/>
  <c r="S118" i="3" a="1"/>
  <c r="S118" i="3" s="1"/>
  <c r="R118" i="3" a="1"/>
  <c r="R118" i="3" s="1"/>
  <c r="Q118" i="3" a="1"/>
  <c r="Q118" i="3" s="1"/>
  <c r="P118" i="3" a="1"/>
  <c r="P118" i="3" s="1"/>
  <c r="O118" i="3" a="1"/>
  <c r="O118" i="3" s="1"/>
  <c r="N118" i="3" a="1"/>
  <c r="N118" i="3" s="1"/>
  <c r="M118" i="3" a="1"/>
  <c r="M118" i="3" s="1"/>
  <c r="L118" i="3" a="1"/>
  <c r="L118" i="3" s="1"/>
  <c r="K118" i="3" a="1"/>
  <c r="K118" i="3" s="1"/>
  <c r="J118" i="3" a="1"/>
  <c r="J118" i="3" s="1"/>
  <c r="I118" i="3" a="1"/>
  <c r="I118" i="3" s="1"/>
  <c r="G118" i="3" a="1"/>
  <c r="G118" i="3" s="1"/>
  <c r="F118" i="3" a="1"/>
  <c r="F118" i="3" s="1"/>
  <c r="E118" i="3" a="1"/>
  <c r="E118" i="3" s="1"/>
  <c r="D118" i="3" a="1"/>
  <c r="D118" i="3" s="1"/>
  <c r="C118" i="3" a="1"/>
  <c r="C118" i="3" s="1"/>
  <c r="B118" i="3" a="1"/>
  <c r="B118" i="3" s="1"/>
  <c r="Q114" i="3" a="1"/>
  <c r="Q114" i="3" s="1"/>
  <c r="P114" i="3" a="1"/>
  <c r="P114" i="3" s="1"/>
  <c r="O114" i="3" a="1"/>
  <c r="O114" i="3" s="1"/>
  <c r="N114" i="3" a="1"/>
  <c r="N114" i="3" s="1"/>
  <c r="M114" i="3" a="1"/>
  <c r="M114" i="3" s="1"/>
  <c r="L114" i="3" a="1"/>
  <c r="L114" i="3" s="1"/>
  <c r="K114" i="3" a="1"/>
  <c r="K114" i="3" s="1"/>
  <c r="J114" i="3" a="1"/>
  <c r="J114" i="3" s="1"/>
  <c r="I114" i="3" a="1"/>
  <c r="I114" i="3" s="1"/>
  <c r="G114" i="3" a="1"/>
  <c r="G114" i="3" s="1"/>
  <c r="F114" i="3" a="1"/>
  <c r="F114" i="3" s="1"/>
  <c r="E114" i="3" a="1"/>
  <c r="E114" i="3" s="1"/>
  <c r="D114" i="3" a="1"/>
  <c r="D114" i="3" s="1"/>
  <c r="C114" i="3" a="1"/>
  <c r="C114" i="3" s="1"/>
  <c r="B114" i="3" a="1"/>
  <c r="B114" i="3" s="1"/>
  <c r="Q113" i="3" a="1"/>
  <c r="Q113" i="3" s="1"/>
  <c r="P113" i="3" a="1"/>
  <c r="P113" i="3" s="1"/>
  <c r="O113" i="3" a="1"/>
  <c r="O113" i="3" s="1"/>
  <c r="N113" i="3" a="1"/>
  <c r="N113" i="3" s="1"/>
  <c r="M113" i="3" a="1"/>
  <c r="M113" i="3" s="1"/>
  <c r="L113" i="3" a="1"/>
  <c r="L113" i="3" s="1"/>
  <c r="K113" i="3" a="1"/>
  <c r="K113" i="3" s="1"/>
  <c r="J113" i="3" a="1"/>
  <c r="J113" i="3" s="1"/>
  <c r="I113" i="3" a="1"/>
  <c r="I113" i="3" s="1"/>
  <c r="G113" i="3" a="1"/>
  <c r="G113" i="3" s="1"/>
  <c r="F113" i="3" a="1"/>
  <c r="F113" i="3" s="1"/>
  <c r="E113" i="3" a="1"/>
  <c r="E113" i="3" s="1"/>
  <c r="D113" i="3" a="1"/>
  <c r="D113" i="3" s="1"/>
  <c r="C113" i="3" a="1"/>
  <c r="C113" i="3" s="1"/>
  <c r="B113" i="3" a="1"/>
  <c r="B113" i="3" s="1"/>
  <c r="T112" i="3" a="1"/>
  <c r="T112" i="3"/>
  <c r="Q112" i="3" a="1"/>
  <c r="Q112" i="3" s="1"/>
  <c r="P112" i="3" a="1"/>
  <c r="P112" i="3" s="1"/>
  <c r="O112" i="3" a="1"/>
  <c r="O112" i="3" s="1"/>
  <c r="N112" i="3" a="1"/>
  <c r="N112" i="3" s="1"/>
  <c r="M112" i="3" a="1"/>
  <c r="M112" i="3" s="1"/>
  <c r="L112" i="3" a="1"/>
  <c r="L112" i="3" s="1"/>
  <c r="K112" i="3" a="1"/>
  <c r="K112" i="3" s="1"/>
  <c r="J112" i="3" a="1"/>
  <c r="J112" i="3" s="1"/>
  <c r="I112" i="3" a="1"/>
  <c r="I112" i="3" s="1"/>
  <c r="G112" i="3" a="1"/>
  <c r="G112" i="3" s="1"/>
  <c r="F112" i="3" a="1"/>
  <c r="F112" i="3" s="1"/>
  <c r="E112" i="3" a="1"/>
  <c r="E112" i="3" s="1"/>
  <c r="D112" i="3" a="1"/>
  <c r="D112" i="3" s="1"/>
  <c r="C112" i="3" a="1"/>
  <c r="C112" i="3" s="1"/>
  <c r="B112" i="3" a="1"/>
  <c r="B112" i="3" s="1"/>
  <c r="Z108" i="3" a="1"/>
  <c r="Z108" i="3" s="1"/>
  <c r="Y108" i="3" a="1"/>
  <c r="Y108" i="3" s="1"/>
  <c r="X108" i="3" a="1"/>
  <c r="X108" i="3" s="1"/>
  <c r="W108" i="3" a="1"/>
  <c r="W108" i="3" s="1"/>
  <c r="V108" i="3" a="1"/>
  <c r="V108" i="3" s="1"/>
  <c r="U108" i="3" a="1"/>
  <c r="U108" i="3" s="1"/>
  <c r="T108" i="3" a="1"/>
  <c r="T108" i="3" s="1"/>
  <c r="S108" i="3" a="1"/>
  <c r="S108" i="3" s="1"/>
  <c r="R108" i="3" a="1"/>
  <c r="R108" i="3" s="1"/>
  <c r="Q108" i="3" a="1"/>
  <c r="Q108" i="3" s="1"/>
  <c r="P108" i="3" a="1"/>
  <c r="P108" i="3" s="1"/>
  <c r="O108" i="3" a="1"/>
  <c r="O108" i="3" s="1"/>
  <c r="N108" i="3" a="1"/>
  <c r="N108" i="3" s="1"/>
  <c r="M108" i="3" a="1"/>
  <c r="M108" i="3" s="1"/>
  <c r="L108" i="3" a="1"/>
  <c r="L108" i="3" s="1"/>
  <c r="K108" i="3" a="1"/>
  <c r="K108" i="3" s="1"/>
  <c r="J108" i="3" a="1"/>
  <c r="J108" i="3" s="1"/>
  <c r="I108" i="3" a="1"/>
  <c r="I108" i="3" s="1"/>
  <c r="G108" i="3" a="1"/>
  <c r="G108" i="3" s="1"/>
  <c r="F108" i="3" a="1"/>
  <c r="F108" i="3" s="1"/>
  <c r="E108" i="3" a="1"/>
  <c r="E108" i="3" s="1"/>
  <c r="D108" i="3" a="1"/>
  <c r="D108" i="3" s="1"/>
  <c r="C108" i="3" a="1"/>
  <c r="C108" i="3" s="1"/>
  <c r="B108" i="3" a="1"/>
  <c r="B108" i="3" s="1"/>
  <c r="Z107" i="3" a="1"/>
  <c r="Z107" i="3" s="1"/>
  <c r="Y107" i="3" a="1"/>
  <c r="Y107" i="3" s="1"/>
  <c r="X107" i="3" a="1"/>
  <c r="X107" i="3" s="1"/>
  <c r="W107" i="3" a="1"/>
  <c r="W107" i="3" s="1"/>
  <c r="V107" i="3" a="1"/>
  <c r="V107" i="3" s="1"/>
  <c r="U107" i="3" a="1"/>
  <c r="U107" i="3" s="1"/>
  <c r="T107" i="3" a="1"/>
  <c r="T107" i="3" s="1"/>
  <c r="S107" i="3" a="1"/>
  <c r="S107" i="3" s="1"/>
  <c r="R107" i="3" a="1"/>
  <c r="R107" i="3" s="1"/>
  <c r="Q107" i="3" a="1"/>
  <c r="Q107" i="3" s="1"/>
  <c r="P107" i="3" a="1"/>
  <c r="P107" i="3" s="1"/>
  <c r="O107" i="3" a="1"/>
  <c r="O107" i="3" s="1"/>
  <c r="N107" i="3" a="1"/>
  <c r="N107" i="3" s="1"/>
  <c r="M107" i="3" a="1"/>
  <c r="M107" i="3" s="1"/>
  <c r="L107" i="3" a="1"/>
  <c r="L107" i="3" s="1"/>
  <c r="K107" i="3" a="1"/>
  <c r="K107" i="3" s="1"/>
  <c r="J107" i="3" a="1"/>
  <c r="J107" i="3" s="1"/>
  <c r="I107" i="3" a="1"/>
  <c r="I107" i="3" s="1"/>
  <c r="G107" i="3" a="1"/>
  <c r="G107" i="3" s="1"/>
  <c r="F107" i="3" a="1"/>
  <c r="F107" i="3" s="1"/>
  <c r="E107" i="3" a="1"/>
  <c r="E107" i="3" s="1"/>
  <c r="D107" i="3" a="1"/>
  <c r="D107" i="3" s="1"/>
  <c r="C107" i="3" a="1"/>
  <c r="C107" i="3" s="1"/>
  <c r="B107" i="3" a="1"/>
  <c r="B107" i="3" s="1"/>
  <c r="Z106" i="3" a="1"/>
  <c r="Z106" i="3" s="1"/>
  <c r="Y106" i="3" a="1"/>
  <c r="Y106" i="3" s="1"/>
  <c r="X106" i="3" a="1"/>
  <c r="X106" i="3" s="1"/>
  <c r="W106" i="3" a="1"/>
  <c r="W106" i="3" s="1"/>
  <c r="V106" i="3" a="1"/>
  <c r="V106" i="3" s="1"/>
  <c r="U106" i="3" a="1"/>
  <c r="U106" i="3" s="1"/>
  <c r="T106" i="3" a="1"/>
  <c r="T106" i="3" s="1"/>
  <c r="S106" i="3" a="1"/>
  <c r="S106" i="3" s="1"/>
  <c r="R106" i="3" a="1"/>
  <c r="R106" i="3" s="1"/>
  <c r="Q106" i="3" a="1"/>
  <c r="Q106" i="3" s="1"/>
  <c r="P106" i="3" a="1"/>
  <c r="P106" i="3" s="1"/>
  <c r="O106" i="3" a="1"/>
  <c r="O106" i="3" s="1"/>
  <c r="N106" i="3" a="1"/>
  <c r="N106" i="3" s="1"/>
  <c r="M106" i="3" a="1"/>
  <c r="M106" i="3" s="1"/>
  <c r="L106" i="3" a="1"/>
  <c r="L106" i="3" s="1"/>
  <c r="K106" i="3" a="1"/>
  <c r="K106" i="3" s="1"/>
  <c r="J106" i="3" a="1"/>
  <c r="J106" i="3" s="1"/>
  <c r="I106" i="3" a="1"/>
  <c r="I106" i="3" s="1"/>
  <c r="G106" i="3" a="1"/>
  <c r="G106" i="3" s="1"/>
  <c r="F106" i="3" a="1"/>
  <c r="F106" i="3" s="1"/>
  <c r="E106" i="3" a="1"/>
  <c r="E106" i="3" s="1"/>
  <c r="D106" i="3" a="1"/>
  <c r="D106" i="3" s="1"/>
  <c r="C106" i="3" a="1"/>
  <c r="C106" i="3" s="1"/>
  <c r="B106" i="3" a="1"/>
  <c r="B106" i="3" s="1"/>
  <c r="Z105" i="3" a="1"/>
  <c r="Z105" i="3" s="1"/>
  <c r="Y105" i="3" a="1"/>
  <c r="Y105" i="3" s="1"/>
  <c r="X105" i="3" a="1"/>
  <c r="X105" i="3" s="1"/>
  <c r="W105" i="3" a="1"/>
  <c r="W105" i="3" s="1"/>
  <c r="V105" i="3" a="1"/>
  <c r="V105" i="3" s="1"/>
  <c r="U105" i="3" a="1"/>
  <c r="U105" i="3" s="1"/>
  <c r="T105" i="3" a="1"/>
  <c r="T105" i="3" s="1"/>
  <c r="S105" i="3" a="1"/>
  <c r="S105" i="3" s="1"/>
  <c r="R105" i="3" a="1"/>
  <c r="R105" i="3" s="1"/>
  <c r="Q105" i="3" a="1"/>
  <c r="Q105" i="3" s="1"/>
  <c r="P105" i="3" a="1"/>
  <c r="P105" i="3" s="1"/>
  <c r="O105" i="3" a="1"/>
  <c r="O105" i="3" s="1"/>
  <c r="N105" i="3" a="1"/>
  <c r="N105" i="3" s="1"/>
  <c r="M105" i="3" a="1"/>
  <c r="M105" i="3" s="1"/>
  <c r="L105" i="3" a="1"/>
  <c r="L105" i="3" s="1"/>
  <c r="K105" i="3" a="1"/>
  <c r="K105" i="3" s="1"/>
  <c r="J105" i="3" a="1"/>
  <c r="J105" i="3" s="1"/>
  <c r="I105" i="3" a="1"/>
  <c r="I105" i="3" s="1"/>
  <c r="G105" i="3" a="1"/>
  <c r="G105" i="3" s="1"/>
  <c r="F105" i="3" a="1"/>
  <c r="F105" i="3" s="1"/>
  <c r="E105" i="3" a="1"/>
  <c r="E105" i="3" s="1"/>
  <c r="D105" i="3" a="1"/>
  <c r="D105" i="3" s="1"/>
  <c r="C105" i="3" a="1"/>
  <c r="C105" i="3" s="1"/>
  <c r="B105" i="3" a="1"/>
  <c r="B105" i="3" s="1"/>
  <c r="Z104" i="3" a="1"/>
  <c r="Z104" i="3" s="1"/>
  <c r="Y104" i="3" a="1"/>
  <c r="Y104" i="3" s="1"/>
  <c r="X104" i="3" a="1"/>
  <c r="X104" i="3" s="1"/>
  <c r="W104" i="3" a="1"/>
  <c r="W104" i="3" s="1"/>
  <c r="V104" i="3" a="1"/>
  <c r="V104" i="3" s="1"/>
  <c r="U104" i="3" a="1"/>
  <c r="U104" i="3" s="1"/>
  <c r="T104" i="3" a="1"/>
  <c r="T104" i="3" s="1"/>
  <c r="S104" i="3" a="1"/>
  <c r="S104" i="3" s="1"/>
  <c r="R104" i="3" a="1"/>
  <c r="R104" i="3" s="1"/>
  <c r="Q104" i="3" a="1"/>
  <c r="Q104" i="3" s="1"/>
  <c r="P104" i="3" a="1"/>
  <c r="P104" i="3" s="1"/>
  <c r="O104" i="3" a="1"/>
  <c r="O104" i="3" s="1"/>
  <c r="N104" i="3" a="1"/>
  <c r="N104" i="3" s="1"/>
  <c r="M104" i="3" a="1"/>
  <c r="M104" i="3" s="1"/>
  <c r="L104" i="3" a="1"/>
  <c r="L104" i="3" s="1"/>
  <c r="K104" i="3" a="1"/>
  <c r="K104" i="3" s="1"/>
  <c r="J104" i="3" a="1"/>
  <c r="J104" i="3" s="1"/>
  <c r="I104" i="3" a="1"/>
  <c r="I104" i="3" s="1"/>
  <c r="G104" i="3" a="1"/>
  <c r="G104" i="3" s="1"/>
  <c r="F104" i="3" a="1"/>
  <c r="F104" i="3" s="1"/>
  <c r="E104" i="3" a="1"/>
  <c r="E104" i="3" s="1"/>
  <c r="D104" i="3" a="1"/>
  <c r="D104" i="3" s="1"/>
  <c r="C104" i="3" a="1"/>
  <c r="C104" i="3" s="1"/>
  <c r="B104" i="3" a="1"/>
  <c r="B104" i="3" s="1"/>
  <c r="Z103" i="3" a="1"/>
  <c r="Z103" i="3" s="1"/>
  <c r="Y103" i="3" a="1"/>
  <c r="Y103" i="3" s="1"/>
  <c r="X103" i="3" a="1"/>
  <c r="X103" i="3" s="1"/>
  <c r="W103" i="3" a="1"/>
  <c r="W103" i="3" s="1"/>
  <c r="V103" i="3" a="1"/>
  <c r="V103" i="3" s="1"/>
  <c r="U103" i="3" a="1"/>
  <c r="U103" i="3" s="1"/>
  <c r="T103" i="3" a="1"/>
  <c r="T103" i="3" s="1"/>
  <c r="S103" i="3" a="1"/>
  <c r="S103" i="3" s="1"/>
  <c r="R103" i="3" a="1"/>
  <c r="R103" i="3" s="1"/>
  <c r="Q103" i="3" a="1"/>
  <c r="Q103" i="3" s="1"/>
  <c r="P103" i="3" a="1"/>
  <c r="P103" i="3" s="1"/>
  <c r="O103" i="3" a="1"/>
  <c r="O103" i="3" s="1"/>
  <c r="N103" i="3" a="1"/>
  <c r="N103" i="3" s="1"/>
  <c r="M103" i="3" a="1"/>
  <c r="M103" i="3" s="1"/>
  <c r="L103" i="3" a="1"/>
  <c r="L103" i="3" s="1"/>
  <c r="K103" i="3" a="1"/>
  <c r="K103" i="3" s="1"/>
  <c r="J103" i="3" a="1"/>
  <c r="J103" i="3" s="1"/>
  <c r="I103" i="3" a="1"/>
  <c r="I103" i="3" s="1"/>
  <c r="G103" i="3" a="1"/>
  <c r="G103" i="3" s="1"/>
  <c r="F103" i="3" a="1"/>
  <c r="F103" i="3" s="1"/>
  <c r="E103" i="3" a="1"/>
  <c r="E103" i="3" s="1"/>
  <c r="D103" i="3" a="1"/>
  <c r="D103" i="3" s="1"/>
  <c r="C103" i="3" a="1"/>
  <c r="C103" i="3" s="1"/>
  <c r="B103" i="3" a="1"/>
  <c r="B103" i="3" s="1"/>
  <c r="Z102" i="3" a="1"/>
  <c r="Z102" i="3" s="1"/>
  <c r="Y102" i="3" a="1"/>
  <c r="Y102" i="3" s="1"/>
  <c r="X102" i="3" a="1"/>
  <c r="X102" i="3" s="1"/>
  <c r="W102" i="3" a="1"/>
  <c r="W102" i="3" s="1"/>
  <c r="V102" i="3" a="1"/>
  <c r="V102" i="3" s="1"/>
  <c r="U102" i="3" a="1"/>
  <c r="U102" i="3" s="1"/>
  <c r="T102" i="3" a="1"/>
  <c r="T102" i="3" s="1"/>
  <c r="S102" i="3" a="1"/>
  <c r="S102" i="3" s="1"/>
  <c r="R102" i="3" a="1"/>
  <c r="R102" i="3" s="1"/>
  <c r="Q102" i="3" a="1"/>
  <c r="Q102" i="3" s="1"/>
  <c r="P102" i="3" a="1"/>
  <c r="P102" i="3" s="1"/>
  <c r="O102" i="3" a="1"/>
  <c r="O102" i="3" s="1"/>
  <c r="N102" i="3" a="1"/>
  <c r="N102" i="3" s="1"/>
  <c r="M102" i="3" a="1"/>
  <c r="M102" i="3" s="1"/>
  <c r="L102" i="3" a="1"/>
  <c r="L102" i="3" s="1"/>
  <c r="K102" i="3" a="1"/>
  <c r="K102" i="3" s="1"/>
  <c r="J102" i="3" a="1"/>
  <c r="J102" i="3" s="1"/>
  <c r="I102" i="3" a="1"/>
  <c r="I102" i="3" s="1"/>
  <c r="G102" i="3" a="1"/>
  <c r="G102" i="3" s="1"/>
  <c r="F102" i="3" a="1"/>
  <c r="F102" i="3" s="1"/>
  <c r="E102" i="3" a="1"/>
  <c r="E102" i="3" s="1"/>
  <c r="D102" i="3" a="1"/>
  <c r="D102" i="3" s="1"/>
  <c r="C102" i="3" a="1"/>
  <c r="C102" i="3" s="1"/>
  <c r="B102" i="3" a="1"/>
  <c r="B102" i="3" s="1"/>
  <c r="Z101" i="3" a="1"/>
  <c r="Z101" i="3" s="1"/>
  <c r="Y101" i="3" a="1"/>
  <c r="Y101" i="3" s="1"/>
  <c r="X101" i="3" a="1"/>
  <c r="X101" i="3" s="1"/>
  <c r="W101" i="3" a="1"/>
  <c r="W101" i="3" s="1"/>
  <c r="V101" i="3" a="1"/>
  <c r="V101" i="3" s="1"/>
  <c r="U101" i="3" a="1"/>
  <c r="U101" i="3" s="1"/>
  <c r="T101" i="3" a="1"/>
  <c r="T101" i="3" s="1"/>
  <c r="S101" i="3" a="1"/>
  <c r="S101" i="3" s="1"/>
  <c r="R101" i="3" a="1"/>
  <c r="R101" i="3" s="1"/>
  <c r="Q101" i="3" a="1"/>
  <c r="Q101" i="3" s="1"/>
  <c r="P101" i="3" a="1"/>
  <c r="P101" i="3" s="1"/>
  <c r="O101" i="3" a="1"/>
  <c r="O101" i="3" s="1"/>
  <c r="N101" i="3" a="1"/>
  <c r="N101" i="3" s="1"/>
  <c r="M101" i="3" a="1"/>
  <c r="M101" i="3" s="1"/>
  <c r="L101" i="3" a="1"/>
  <c r="L101" i="3" s="1"/>
  <c r="K101" i="3" a="1"/>
  <c r="K101" i="3" s="1"/>
  <c r="J101" i="3" a="1"/>
  <c r="J101" i="3" s="1"/>
  <c r="I101" i="3" a="1"/>
  <c r="I101" i="3" s="1"/>
  <c r="G101" i="3" a="1"/>
  <c r="G101" i="3" s="1"/>
  <c r="F101" i="3" a="1"/>
  <c r="F101" i="3" s="1"/>
  <c r="E101" i="3" a="1"/>
  <c r="E101" i="3" s="1"/>
  <c r="D101" i="3" a="1"/>
  <c r="D101" i="3" s="1"/>
  <c r="C101" i="3" a="1"/>
  <c r="C101" i="3" s="1"/>
  <c r="B101" i="3" a="1"/>
  <c r="B101" i="3" s="1"/>
  <c r="Z100" i="3" a="1"/>
  <c r="Z100" i="3" s="1"/>
  <c r="Y100" i="3" a="1"/>
  <c r="Y100" i="3" s="1"/>
  <c r="X100" i="3" a="1"/>
  <c r="X100" i="3" s="1"/>
  <c r="W100" i="3" a="1"/>
  <c r="W100" i="3" s="1"/>
  <c r="V100" i="3" a="1"/>
  <c r="V100" i="3" s="1"/>
  <c r="U100" i="3" a="1"/>
  <c r="U100" i="3" s="1"/>
  <c r="T100" i="3" a="1"/>
  <c r="T100" i="3" s="1"/>
  <c r="S100" i="3" a="1"/>
  <c r="S100" i="3" s="1"/>
  <c r="R100" i="3" a="1"/>
  <c r="R100" i="3" s="1"/>
  <c r="Q100" i="3" a="1"/>
  <c r="Q100" i="3" s="1"/>
  <c r="P100" i="3" a="1"/>
  <c r="P100" i="3" s="1"/>
  <c r="O100" i="3" a="1"/>
  <c r="O100" i="3" s="1"/>
  <c r="N100" i="3" a="1"/>
  <c r="N100" i="3" s="1"/>
  <c r="M100" i="3" a="1"/>
  <c r="M100" i="3" s="1"/>
  <c r="L100" i="3" a="1"/>
  <c r="L100" i="3" s="1"/>
  <c r="K100" i="3" a="1"/>
  <c r="K100" i="3" s="1"/>
  <c r="J100" i="3" a="1"/>
  <c r="J100" i="3" s="1"/>
  <c r="I100" i="3" a="1"/>
  <c r="I100" i="3" s="1"/>
  <c r="G100" i="3" a="1"/>
  <c r="G100" i="3" s="1"/>
  <c r="F100" i="3" a="1"/>
  <c r="F100" i="3" s="1"/>
  <c r="E100" i="3" a="1"/>
  <c r="E100" i="3" s="1"/>
  <c r="D100" i="3" a="1"/>
  <c r="D100" i="3" s="1"/>
  <c r="C100" i="3" a="1"/>
  <c r="C100" i="3" s="1"/>
  <c r="B100" i="3" a="1"/>
  <c r="B100" i="3" s="1"/>
  <c r="Z99" i="3" a="1"/>
  <c r="Z99" i="3" s="1"/>
  <c r="Y99" i="3" a="1"/>
  <c r="Y99" i="3" s="1"/>
  <c r="X99" i="3" a="1"/>
  <c r="X99" i="3" s="1"/>
  <c r="W99" i="3" a="1"/>
  <c r="W99" i="3" s="1"/>
  <c r="V99" i="3" a="1"/>
  <c r="V99" i="3" s="1"/>
  <c r="U99" i="3" a="1"/>
  <c r="U99" i="3" s="1"/>
  <c r="T99" i="3" a="1"/>
  <c r="T99" i="3" s="1"/>
  <c r="S99" i="3" a="1"/>
  <c r="S99" i="3" s="1"/>
  <c r="R99" i="3" a="1"/>
  <c r="R99" i="3" s="1"/>
  <c r="Q99" i="3" a="1"/>
  <c r="Q99" i="3" s="1"/>
  <c r="P99" i="3" a="1"/>
  <c r="P99" i="3" s="1"/>
  <c r="O99" i="3" a="1"/>
  <c r="O99" i="3" s="1"/>
  <c r="N99" i="3" a="1"/>
  <c r="N99" i="3" s="1"/>
  <c r="M99" i="3" a="1"/>
  <c r="M99" i="3" s="1"/>
  <c r="L99" i="3" a="1"/>
  <c r="L99" i="3" s="1"/>
  <c r="K99" i="3" a="1"/>
  <c r="K99" i="3" s="1"/>
  <c r="J99" i="3" a="1"/>
  <c r="J99" i="3" s="1"/>
  <c r="I99" i="3" a="1"/>
  <c r="I99" i="3" s="1"/>
  <c r="G99" i="3" a="1"/>
  <c r="G99" i="3" s="1"/>
  <c r="F99" i="3" a="1"/>
  <c r="F99" i="3" s="1"/>
  <c r="E99" i="3" a="1"/>
  <c r="E99" i="3" s="1"/>
  <c r="D99" i="3" a="1"/>
  <c r="D99" i="3" s="1"/>
  <c r="C99" i="3" a="1"/>
  <c r="C99" i="3" s="1"/>
  <c r="B99" i="3" a="1"/>
  <c r="B99" i="3" s="1"/>
  <c r="Z98" i="3" a="1"/>
  <c r="Z98" i="3" s="1"/>
  <c r="Y98" i="3" a="1"/>
  <c r="Y98" i="3" s="1"/>
  <c r="X98" i="3" a="1"/>
  <c r="X98" i="3" s="1"/>
  <c r="W98" i="3" a="1"/>
  <c r="W98" i="3" s="1"/>
  <c r="V98" i="3" a="1"/>
  <c r="V98" i="3" s="1"/>
  <c r="U98" i="3" a="1"/>
  <c r="U98" i="3" s="1"/>
  <c r="T98" i="3" a="1"/>
  <c r="T98" i="3" s="1"/>
  <c r="S98" i="3" a="1"/>
  <c r="S98" i="3" s="1"/>
  <c r="R98" i="3" a="1"/>
  <c r="R98" i="3" s="1"/>
  <c r="Q98" i="3" a="1"/>
  <c r="Q98" i="3" s="1"/>
  <c r="P98" i="3" a="1"/>
  <c r="P98" i="3" s="1"/>
  <c r="O98" i="3" a="1"/>
  <c r="O98" i="3" s="1"/>
  <c r="N98" i="3" a="1"/>
  <c r="N98" i="3" s="1"/>
  <c r="M98" i="3" a="1"/>
  <c r="M98" i="3" s="1"/>
  <c r="L98" i="3" a="1"/>
  <c r="L98" i="3" s="1"/>
  <c r="K98" i="3" a="1"/>
  <c r="K98" i="3" s="1"/>
  <c r="J98" i="3" a="1"/>
  <c r="J98" i="3" s="1"/>
  <c r="I98" i="3" a="1"/>
  <c r="I98" i="3" s="1"/>
  <c r="G98" i="3" a="1"/>
  <c r="G98" i="3" s="1"/>
  <c r="F98" i="3" a="1"/>
  <c r="F98" i="3" s="1"/>
  <c r="E98" i="3" a="1"/>
  <c r="E98" i="3" s="1"/>
  <c r="D98" i="3" a="1"/>
  <c r="D98" i="3" s="1"/>
  <c r="C98" i="3" a="1"/>
  <c r="C98" i="3" s="1"/>
  <c r="B98" i="3" a="1"/>
  <c r="B98" i="3" s="1"/>
  <c r="Z97" i="3" a="1"/>
  <c r="Z97" i="3" s="1"/>
  <c r="Y97" i="3" a="1"/>
  <c r="Y97" i="3" s="1"/>
  <c r="X97" i="3" a="1"/>
  <c r="X97" i="3" s="1"/>
  <c r="W97" i="3" a="1"/>
  <c r="W97" i="3" s="1"/>
  <c r="V97" i="3" a="1"/>
  <c r="V97" i="3" s="1"/>
  <c r="U97" i="3" a="1"/>
  <c r="U97" i="3" s="1"/>
  <c r="T97" i="3" a="1"/>
  <c r="T97" i="3" s="1"/>
  <c r="S97" i="3" a="1"/>
  <c r="S97" i="3" s="1"/>
  <c r="R97" i="3" a="1"/>
  <c r="R97" i="3" s="1"/>
  <c r="Q97" i="3" a="1"/>
  <c r="Q97" i="3" s="1"/>
  <c r="P97" i="3" a="1"/>
  <c r="P97" i="3" s="1"/>
  <c r="O97" i="3" a="1"/>
  <c r="O97" i="3" s="1"/>
  <c r="N97" i="3" a="1"/>
  <c r="N97" i="3" s="1"/>
  <c r="M97" i="3" a="1"/>
  <c r="M97" i="3" s="1"/>
  <c r="L97" i="3" a="1"/>
  <c r="L97" i="3" s="1"/>
  <c r="K97" i="3" a="1"/>
  <c r="K97" i="3" s="1"/>
  <c r="J97" i="3" a="1"/>
  <c r="J97" i="3" s="1"/>
  <c r="I97" i="3" a="1"/>
  <c r="I97" i="3" s="1"/>
  <c r="G97" i="3" a="1"/>
  <c r="G97" i="3" s="1"/>
  <c r="F97" i="3" a="1"/>
  <c r="F97" i="3" s="1"/>
  <c r="E97" i="3" a="1"/>
  <c r="E97" i="3" s="1"/>
  <c r="D97" i="3" a="1"/>
  <c r="D97" i="3" s="1"/>
  <c r="C97" i="3" a="1"/>
  <c r="C97" i="3" s="1"/>
  <c r="B97" i="3" a="1"/>
  <c r="B97" i="3" s="1"/>
  <c r="Z96" i="3" a="1"/>
  <c r="Z96" i="3" s="1"/>
  <c r="Y96" i="3" a="1"/>
  <c r="Y96" i="3" s="1"/>
  <c r="X96" i="3" a="1"/>
  <c r="X96" i="3" s="1"/>
  <c r="W96" i="3" a="1"/>
  <c r="W96" i="3" s="1"/>
  <c r="V96" i="3" a="1"/>
  <c r="V96" i="3" s="1"/>
  <c r="U96" i="3" a="1"/>
  <c r="U96" i="3" s="1"/>
  <c r="T96" i="3" a="1"/>
  <c r="T96" i="3" s="1"/>
  <c r="S96" i="3" a="1"/>
  <c r="S96" i="3" s="1"/>
  <c r="R96" i="3" a="1"/>
  <c r="R96" i="3" s="1"/>
  <c r="Q96" i="3" a="1"/>
  <c r="Q96" i="3" s="1"/>
  <c r="P96" i="3" a="1"/>
  <c r="P96" i="3" s="1"/>
  <c r="O96" i="3" a="1"/>
  <c r="O96" i="3" s="1"/>
  <c r="N96" i="3" a="1"/>
  <c r="N96" i="3" s="1"/>
  <c r="M96" i="3" a="1"/>
  <c r="M96" i="3" s="1"/>
  <c r="L96" i="3" a="1"/>
  <c r="L96" i="3" s="1"/>
  <c r="K96" i="3" a="1"/>
  <c r="K96" i="3" s="1"/>
  <c r="J96" i="3" a="1"/>
  <c r="J96" i="3" s="1"/>
  <c r="I96" i="3" a="1"/>
  <c r="I96" i="3" s="1"/>
  <c r="G96" i="3" a="1"/>
  <c r="G96" i="3" s="1"/>
  <c r="F96" i="3" a="1"/>
  <c r="F96" i="3" s="1"/>
  <c r="E96" i="3" a="1"/>
  <c r="E96" i="3" s="1"/>
  <c r="D96" i="3" a="1"/>
  <c r="D96" i="3" s="1"/>
  <c r="C96" i="3" a="1"/>
  <c r="C96" i="3" s="1"/>
  <c r="B96" i="3" a="1"/>
  <c r="B96" i="3" s="1"/>
  <c r="Z95" i="3" a="1"/>
  <c r="Z95" i="3" s="1"/>
  <c r="Y95" i="3" a="1"/>
  <c r="Y95" i="3" s="1"/>
  <c r="X95" i="3" a="1"/>
  <c r="X95" i="3" s="1"/>
  <c r="W95" i="3" a="1"/>
  <c r="W95" i="3" s="1"/>
  <c r="V95" i="3" a="1"/>
  <c r="V95" i="3" s="1"/>
  <c r="U95" i="3" a="1"/>
  <c r="U95" i="3" s="1"/>
  <c r="T95" i="3" a="1"/>
  <c r="T95" i="3" s="1"/>
  <c r="S95" i="3" a="1"/>
  <c r="S95" i="3" s="1"/>
  <c r="R95" i="3" a="1"/>
  <c r="R95" i="3" s="1"/>
  <c r="Q95" i="3" a="1"/>
  <c r="Q95" i="3" s="1"/>
  <c r="P95" i="3" a="1"/>
  <c r="P95" i="3" s="1"/>
  <c r="O95" i="3" a="1"/>
  <c r="O95" i="3" s="1"/>
  <c r="N95" i="3" a="1"/>
  <c r="N95" i="3" s="1"/>
  <c r="M95" i="3" a="1"/>
  <c r="M95" i="3" s="1"/>
  <c r="L95" i="3" a="1"/>
  <c r="L95" i="3" s="1"/>
  <c r="K95" i="3" a="1"/>
  <c r="K95" i="3" s="1"/>
  <c r="J95" i="3" a="1"/>
  <c r="J95" i="3" s="1"/>
  <c r="I95" i="3" a="1"/>
  <c r="I95" i="3" s="1"/>
  <c r="G95" i="3" a="1"/>
  <c r="G95" i="3" s="1"/>
  <c r="F95" i="3" a="1"/>
  <c r="F95" i="3" s="1"/>
  <c r="E95" i="3" a="1"/>
  <c r="E95" i="3" s="1"/>
  <c r="D95" i="3" a="1"/>
  <c r="D95" i="3" s="1"/>
  <c r="C95" i="3" a="1"/>
  <c r="C95" i="3" s="1"/>
  <c r="B95" i="3" a="1"/>
  <c r="B95" i="3" s="1"/>
  <c r="Z94" i="3" a="1"/>
  <c r="Z94" i="3" s="1"/>
  <c r="Y94" i="3" a="1"/>
  <c r="Y94" i="3" s="1"/>
  <c r="X94" i="3" a="1"/>
  <c r="X94" i="3" s="1"/>
  <c r="W94" i="3" a="1"/>
  <c r="W94" i="3" s="1"/>
  <c r="V94" i="3" a="1"/>
  <c r="V94" i="3" s="1"/>
  <c r="U94" i="3" a="1"/>
  <c r="U94" i="3" s="1"/>
  <c r="T94" i="3" a="1"/>
  <c r="T94" i="3" s="1"/>
  <c r="S94" i="3" a="1"/>
  <c r="S94" i="3" s="1"/>
  <c r="R94" i="3" a="1"/>
  <c r="R94" i="3" s="1"/>
  <c r="Q94" i="3" a="1"/>
  <c r="Q94" i="3" s="1"/>
  <c r="P94" i="3" a="1"/>
  <c r="P94" i="3" s="1"/>
  <c r="O94" i="3" a="1"/>
  <c r="O94" i="3" s="1"/>
  <c r="N94" i="3" a="1"/>
  <c r="N94" i="3" s="1"/>
  <c r="M94" i="3" a="1"/>
  <c r="M94" i="3" s="1"/>
  <c r="L94" i="3" a="1"/>
  <c r="L94" i="3" s="1"/>
  <c r="K94" i="3" a="1"/>
  <c r="K94" i="3" s="1"/>
  <c r="J94" i="3" a="1"/>
  <c r="J94" i="3" s="1"/>
  <c r="I94" i="3" a="1"/>
  <c r="I94" i="3" s="1"/>
  <c r="G94" i="3" a="1"/>
  <c r="G94" i="3" s="1"/>
  <c r="F94" i="3" a="1"/>
  <c r="F94" i="3" s="1"/>
  <c r="E94" i="3" a="1"/>
  <c r="E94" i="3" s="1"/>
  <c r="D94" i="3" a="1"/>
  <c r="D94" i="3" s="1"/>
  <c r="C94" i="3" a="1"/>
  <c r="C94" i="3" s="1"/>
  <c r="B94" i="3" a="1"/>
  <c r="B94" i="3" s="1"/>
  <c r="Z93" i="3" a="1"/>
  <c r="Z93" i="3" s="1"/>
  <c r="Y93" i="3" a="1"/>
  <c r="Y93" i="3" s="1"/>
  <c r="X93" i="3" a="1"/>
  <c r="X93" i="3" s="1"/>
  <c r="W93" i="3" a="1"/>
  <c r="W93" i="3" s="1"/>
  <c r="V93" i="3" a="1"/>
  <c r="V93" i="3" s="1"/>
  <c r="U93" i="3" a="1"/>
  <c r="U93" i="3" s="1"/>
  <c r="T93" i="3" a="1"/>
  <c r="T93" i="3" s="1"/>
  <c r="S93" i="3" a="1"/>
  <c r="S93" i="3" s="1"/>
  <c r="R93" i="3" a="1"/>
  <c r="R93" i="3" s="1"/>
  <c r="Q93" i="3" a="1"/>
  <c r="Q93" i="3" s="1"/>
  <c r="P93" i="3" a="1"/>
  <c r="P93" i="3" s="1"/>
  <c r="O93" i="3" a="1"/>
  <c r="O93" i="3" s="1"/>
  <c r="N93" i="3" a="1"/>
  <c r="N93" i="3" s="1"/>
  <c r="M93" i="3" a="1"/>
  <c r="M93" i="3" s="1"/>
  <c r="L93" i="3" a="1"/>
  <c r="L93" i="3" s="1"/>
  <c r="K93" i="3" a="1"/>
  <c r="K93" i="3" s="1"/>
  <c r="J93" i="3" a="1"/>
  <c r="J93" i="3" s="1"/>
  <c r="I93" i="3" a="1"/>
  <c r="I93" i="3" s="1"/>
  <c r="G93" i="3" a="1"/>
  <c r="G93" i="3" s="1"/>
  <c r="F93" i="3" a="1"/>
  <c r="F93" i="3" s="1"/>
  <c r="E93" i="3" a="1"/>
  <c r="E93" i="3" s="1"/>
  <c r="D93" i="3" a="1"/>
  <c r="D93" i="3" s="1"/>
  <c r="C93" i="3" a="1"/>
  <c r="C93" i="3" s="1"/>
  <c r="B93" i="3" a="1"/>
  <c r="B93" i="3" s="1"/>
  <c r="Z92" i="3" a="1"/>
  <c r="Z92" i="3" s="1"/>
  <c r="Y92" i="3" a="1"/>
  <c r="Y92" i="3" s="1"/>
  <c r="X92" i="3" a="1"/>
  <c r="X92" i="3" s="1"/>
  <c r="W92" i="3" a="1"/>
  <c r="W92" i="3" s="1"/>
  <c r="V92" i="3" a="1"/>
  <c r="V92" i="3" s="1"/>
  <c r="U92" i="3" a="1"/>
  <c r="U92" i="3" s="1"/>
  <c r="T92" i="3" a="1"/>
  <c r="T92" i="3" s="1"/>
  <c r="S92" i="3" a="1"/>
  <c r="S92" i="3" s="1"/>
  <c r="R92" i="3" a="1"/>
  <c r="R92" i="3" s="1"/>
  <c r="Q92" i="3" a="1"/>
  <c r="Q92" i="3" s="1"/>
  <c r="P92" i="3" a="1"/>
  <c r="P92" i="3" s="1"/>
  <c r="O92" i="3" a="1"/>
  <c r="O92" i="3" s="1"/>
  <c r="N92" i="3" a="1"/>
  <c r="N92" i="3" s="1"/>
  <c r="M92" i="3" a="1"/>
  <c r="M92" i="3" s="1"/>
  <c r="L92" i="3" a="1"/>
  <c r="L92" i="3" s="1"/>
  <c r="K92" i="3" a="1"/>
  <c r="K92" i="3" s="1"/>
  <c r="J92" i="3" a="1"/>
  <c r="J92" i="3" s="1"/>
  <c r="I92" i="3" a="1"/>
  <c r="I92" i="3" s="1"/>
  <c r="G92" i="3" a="1"/>
  <c r="G92" i="3" s="1"/>
  <c r="F92" i="3" a="1"/>
  <c r="F92" i="3" s="1"/>
  <c r="E92" i="3" a="1"/>
  <c r="E92" i="3" s="1"/>
  <c r="D92" i="3" a="1"/>
  <c r="D92" i="3" s="1"/>
  <c r="C92" i="3" a="1"/>
  <c r="C92" i="3" s="1"/>
  <c r="B92" i="3" a="1"/>
  <c r="B92" i="3" s="1"/>
  <c r="Z91" i="3" a="1"/>
  <c r="Z91" i="3" s="1"/>
  <c r="Y91" i="3" a="1"/>
  <c r="Y91" i="3" s="1"/>
  <c r="X91" i="3" a="1"/>
  <c r="X91" i="3" s="1"/>
  <c r="W91" i="3" a="1"/>
  <c r="W91" i="3" s="1"/>
  <c r="V91" i="3" a="1"/>
  <c r="V91" i="3" s="1"/>
  <c r="U91" i="3" a="1"/>
  <c r="U91" i="3" s="1"/>
  <c r="T91" i="3" a="1"/>
  <c r="T91" i="3" s="1"/>
  <c r="S91" i="3" a="1"/>
  <c r="S91" i="3" s="1"/>
  <c r="R91" i="3" a="1"/>
  <c r="R91" i="3" s="1"/>
  <c r="Q91" i="3" a="1"/>
  <c r="Q91" i="3" s="1"/>
  <c r="P91" i="3" a="1"/>
  <c r="P91" i="3" s="1"/>
  <c r="O91" i="3" a="1"/>
  <c r="O91" i="3" s="1"/>
  <c r="N91" i="3" a="1"/>
  <c r="N91" i="3" s="1"/>
  <c r="M91" i="3" a="1"/>
  <c r="M91" i="3" s="1"/>
  <c r="L91" i="3" a="1"/>
  <c r="L91" i="3" s="1"/>
  <c r="K91" i="3" a="1"/>
  <c r="K91" i="3" s="1"/>
  <c r="J91" i="3" a="1"/>
  <c r="J91" i="3" s="1"/>
  <c r="I91" i="3" a="1"/>
  <c r="I91" i="3" s="1"/>
  <c r="G91" i="3" a="1"/>
  <c r="G91" i="3" s="1"/>
  <c r="F91" i="3" a="1"/>
  <c r="F91" i="3" s="1"/>
  <c r="E91" i="3" a="1"/>
  <c r="E91" i="3" s="1"/>
  <c r="D91" i="3" a="1"/>
  <c r="D91" i="3" s="1"/>
  <c r="C91" i="3" a="1"/>
  <c r="C91" i="3" s="1"/>
  <c r="B91" i="3" a="1"/>
  <c r="B91" i="3" s="1"/>
  <c r="Z90" i="3" a="1"/>
  <c r="Z90" i="3" s="1"/>
  <c r="Y90" i="3" a="1"/>
  <c r="Y90" i="3" s="1"/>
  <c r="X90" i="3" a="1"/>
  <c r="X90" i="3" s="1"/>
  <c r="W90" i="3" a="1"/>
  <c r="W90" i="3" s="1"/>
  <c r="V90" i="3" a="1"/>
  <c r="V90" i="3" s="1"/>
  <c r="U90" i="3" a="1"/>
  <c r="U90" i="3" s="1"/>
  <c r="T90" i="3" a="1"/>
  <c r="T90" i="3" s="1"/>
  <c r="S90" i="3" a="1"/>
  <c r="S90" i="3" s="1"/>
  <c r="R90" i="3" a="1"/>
  <c r="R90" i="3" s="1"/>
  <c r="Q90" i="3" a="1"/>
  <c r="Q90" i="3" s="1"/>
  <c r="P90" i="3" a="1"/>
  <c r="P90" i="3" s="1"/>
  <c r="O90" i="3" a="1"/>
  <c r="O90" i="3" s="1"/>
  <c r="N90" i="3" a="1"/>
  <c r="N90" i="3" s="1"/>
  <c r="M90" i="3" a="1"/>
  <c r="M90" i="3" s="1"/>
  <c r="L90" i="3" a="1"/>
  <c r="L90" i="3" s="1"/>
  <c r="K90" i="3" a="1"/>
  <c r="K90" i="3" s="1"/>
  <c r="J90" i="3" a="1"/>
  <c r="J90" i="3" s="1"/>
  <c r="I90" i="3" a="1"/>
  <c r="I90" i="3" s="1"/>
  <c r="G90" i="3" a="1"/>
  <c r="G90" i="3" s="1"/>
  <c r="F90" i="3" a="1"/>
  <c r="F90" i="3" s="1"/>
  <c r="E90" i="3" a="1"/>
  <c r="E90" i="3" s="1"/>
  <c r="D90" i="3" a="1"/>
  <c r="D90" i="3" s="1"/>
  <c r="C90" i="3" a="1"/>
  <c r="C90" i="3" s="1"/>
  <c r="B90" i="3" a="1"/>
  <c r="B90" i="3" s="1"/>
  <c r="Z89" i="3" a="1"/>
  <c r="Z89" i="3" s="1"/>
  <c r="Y89" i="3" a="1"/>
  <c r="Y89" i="3" s="1"/>
  <c r="X89" i="3" a="1"/>
  <c r="X89" i="3" s="1"/>
  <c r="W89" i="3" a="1"/>
  <c r="W89" i="3" s="1"/>
  <c r="V89" i="3" a="1"/>
  <c r="V89" i="3" s="1"/>
  <c r="U89" i="3" a="1"/>
  <c r="U89" i="3" s="1"/>
  <c r="T89" i="3" a="1"/>
  <c r="T89" i="3" s="1"/>
  <c r="S89" i="3" a="1"/>
  <c r="S89" i="3" s="1"/>
  <c r="R89" i="3" a="1"/>
  <c r="R89" i="3" s="1"/>
  <c r="Q89" i="3" a="1"/>
  <c r="Q89" i="3" s="1"/>
  <c r="P89" i="3" a="1"/>
  <c r="P89" i="3" s="1"/>
  <c r="O89" i="3" a="1"/>
  <c r="O89" i="3" s="1"/>
  <c r="N89" i="3" a="1"/>
  <c r="N89" i="3" s="1"/>
  <c r="M89" i="3" a="1"/>
  <c r="M89" i="3" s="1"/>
  <c r="L89" i="3" a="1"/>
  <c r="L89" i="3" s="1"/>
  <c r="K89" i="3" a="1"/>
  <c r="K89" i="3" s="1"/>
  <c r="J89" i="3" a="1"/>
  <c r="J89" i="3" s="1"/>
  <c r="I89" i="3" a="1"/>
  <c r="I89" i="3" s="1"/>
  <c r="G89" i="3" a="1"/>
  <c r="G89" i="3" s="1"/>
  <c r="F89" i="3" a="1"/>
  <c r="F89" i="3" s="1"/>
  <c r="E89" i="3" a="1"/>
  <c r="E89" i="3" s="1"/>
  <c r="D89" i="3" a="1"/>
  <c r="D89" i="3" s="1"/>
  <c r="C89" i="3" a="1"/>
  <c r="C89" i="3" s="1"/>
  <c r="B89" i="3" a="1"/>
  <c r="B89" i="3" s="1"/>
  <c r="Q85" i="3" a="1"/>
  <c r="Q85" i="3" s="1"/>
  <c r="P85" i="3" a="1"/>
  <c r="P85" i="3" s="1"/>
  <c r="O85" i="3" a="1"/>
  <c r="O85" i="3" s="1"/>
  <c r="N85" i="3" a="1"/>
  <c r="N85" i="3" s="1"/>
  <c r="M85" i="3" a="1"/>
  <c r="M85" i="3" s="1"/>
  <c r="L85" i="3" a="1"/>
  <c r="L85" i="3" s="1"/>
  <c r="K85" i="3" a="1"/>
  <c r="K85" i="3" s="1"/>
  <c r="J85" i="3" a="1"/>
  <c r="J85" i="3" s="1"/>
  <c r="I85" i="3" a="1"/>
  <c r="I85" i="3" s="1"/>
  <c r="G85" i="3" a="1"/>
  <c r="G85" i="3" s="1"/>
  <c r="F85" i="3" a="1"/>
  <c r="F85" i="3" s="1"/>
  <c r="E85" i="3" a="1"/>
  <c r="E85" i="3" s="1"/>
  <c r="D85" i="3" a="1"/>
  <c r="D85" i="3" s="1"/>
  <c r="C85" i="3" a="1"/>
  <c r="C85" i="3" s="1"/>
  <c r="B85" i="3" a="1"/>
  <c r="B85" i="3" s="1"/>
  <c r="Q84" i="3" a="1"/>
  <c r="Q84" i="3" s="1"/>
  <c r="P84" i="3" a="1"/>
  <c r="P84" i="3" s="1"/>
  <c r="O84" i="3" a="1"/>
  <c r="O84" i="3" s="1"/>
  <c r="N84" i="3" a="1"/>
  <c r="N84" i="3" s="1"/>
  <c r="M84" i="3" a="1"/>
  <c r="M84" i="3" s="1"/>
  <c r="L84" i="3" a="1"/>
  <c r="L84" i="3" s="1"/>
  <c r="K84" i="3" a="1"/>
  <c r="K84" i="3" s="1"/>
  <c r="J84" i="3" a="1"/>
  <c r="J84" i="3" s="1"/>
  <c r="I84" i="3" a="1"/>
  <c r="I84" i="3" s="1"/>
  <c r="G84" i="3" a="1"/>
  <c r="G84" i="3" s="1"/>
  <c r="F84" i="3" a="1"/>
  <c r="F84" i="3" s="1"/>
  <c r="E84" i="3" a="1"/>
  <c r="E84" i="3" s="1"/>
  <c r="D84" i="3" a="1"/>
  <c r="D84" i="3" s="1"/>
  <c r="C84" i="3" a="1"/>
  <c r="C84" i="3" s="1"/>
  <c r="B84" i="3" a="1"/>
  <c r="B84" i="3" s="1"/>
  <c r="T83" i="3" a="1"/>
  <c r="T83" i="3"/>
  <c r="Q83" i="3" a="1"/>
  <c r="Q83" i="3" s="1"/>
  <c r="P83" i="3" a="1"/>
  <c r="P83" i="3" s="1"/>
  <c r="O83" i="3" a="1"/>
  <c r="O83" i="3" s="1"/>
  <c r="N83" i="3" a="1"/>
  <c r="N83" i="3" s="1"/>
  <c r="M83" i="3" a="1"/>
  <c r="M83" i="3" s="1"/>
  <c r="L83" i="3" a="1"/>
  <c r="L83" i="3" s="1"/>
  <c r="K83" i="3" a="1"/>
  <c r="K83" i="3" s="1"/>
  <c r="J83" i="3" a="1"/>
  <c r="J83" i="3" s="1"/>
  <c r="I83" i="3" a="1"/>
  <c r="I83" i="3" s="1"/>
  <c r="G83" i="3" a="1"/>
  <c r="G83" i="3" s="1"/>
  <c r="F83" i="3" a="1"/>
  <c r="F83" i="3" s="1"/>
  <c r="E83" i="3" a="1"/>
  <c r="E83" i="3" s="1"/>
  <c r="D83" i="3" a="1"/>
  <c r="D83" i="3" s="1"/>
  <c r="C83" i="3" a="1"/>
  <c r="C83" i="3" s="1"/>
  <c r="B83" i="3" a="1"/>
  <c r="B83" i="3" s="1"/>
  <c r="Z79" i="3" a="1"/>
  <c r="Z79" i="3" s="1"/>
  <c r="Y79" i="3" a="1"/>
  <c r="Y79" i="3" s="1"/>
  <c r="X79" i="3" a="1"/>
  <c r="X79" i="3" s="1"/>
  <c r="W79" i="3" a="1"/>
  <c r="W79" i="3" s="1"/>
  <c r="V79" i="3" a="1"/>
  <c r="V79" i="3" s="1"/>
  <c r="U79" i="3" a="1"/>
  <c r="U79" i="3" s="1"/>
  <c r="T79" i="3" a="1"/>
  <c r="T79" i="3" s="1"/>
  <c r="S79" i="3" a="1"/>
  <c r="S79" i="3" s="1"/>
  <c r="R79" i="3" a="1"/>
  <c r="R79" i="3" s="1"/>
  <c r="Q79" i="3" a="1"/>
  <c r="Q79" i="3" s="1"/>
  <c r="P79" i="3" a="1"/>
  <c r="P79" i="3" s="1"/>
  <c r="O79" i="3" a="1"/>
  <c r="O79" i="3" s="1"/>
  <c r="N79" i="3" a="1"/>
  <c r="N79" i="3" s="1"/>
  <c r="M79" i="3" a="1"/>
  <c r="M79" i="3" s="1"/>
  <c r="L79" i="3" a="1"/>
  <c r="L79" i="3" s="1"/>
  <c r="K79" i="3" a="1"/>
  <c r="K79" i="3" s="1"/>
  <c r="J79" i="3" a="1"/>
  <c r="J79" i="3" s="1"/>
  <c r="I79" i="3" a="1"/>
  <c r="I79" i="3" s="1"/>
  <c r="G79" i="3" a="1"/>
  <c r="G79" i="3" s="1"/>
  <c r="F79" i="3" a="1"/>
  <c r="F79" i="3" s="1"/>
  <c r="E79" i="3" a="1"/>
  <c r="E79" i="3" s="1"/>
  <c r="D79" i="3" a="1"/>
  <c r="D79" i="3" s="1"/>
  <c r="C79" i="3" a="1"/>
  <c r="C79" i="3" s="1"/>
  <c r="B79" i="3" a="1"/>
  <c r="B79" i="3" s="1"/>
  <c r="Z78" i="3" a="1"/>
  <c r="Z78" i="3" s="1"/>
  <c r="Y78" i="3" a="1"/>
  <c r="Y78" i="3" s="1"/>
  <c r="X78" i="3" a="1"/>
  <c r="X78" i="3" s="1"/>
  <c r="W78" i="3" a="1"/>
  <c r="W78" i="3" s="1"/>
  <c r="V78" i="3" a="1"/>
  <c r="V78" i="3" s="1"/>
  <c r="U78" i="3" a="1"/>
  <c r="U78" i="3" s="1"/>
  <c r="T78" i="3" a="1"/>
  <c r="T78" i="3" s="1"/>
  <c r="S78" i="3" a="1"/>
  <c r="S78" i="3" s="1"/>
  <c r="R78" i="3" a="1"/>
  <c r="R78" i="3" s="1"/>
  <c r="Q78" i="3" a="1"/>
  <c r="Q78" i="3" s="1"/>
  <c r="P78" i="3" a="1"/>
  <c r="P78" i="3" s="1"/>
  <c r="O78" i="3" a="1"/>
  <c r="O78" i="3" s="1"/>
  <c r="N78" i="3" a="1"/>
  <c r="N78" i="3" s="1"/>
  <c r="M78" i="3" a="1"/>
  <c r="M78" i="3" s="1"/>
  <c r="L78" i="3" a="1"/>
  <c r="L78" i="3" s="1"/>
  <c r="K78" i="3" a="1"/>
  <c r="K78" i="3" s="1"/>
  <c r="J78" i="3" a="1"/>
  <c r="J78" i="3" s="1"/>
  <c r="I78" i="3" a="1"/>
  <c r="I78" i="3" s="1"/>
  <c r="G78" i="3" a="1"/>
  <c r="G78" i="3" s="1"/>
  <c r="F78" i="3" a="1"/>
  <c r="F78" i="3" s="1"/>
  <c r="E78" i="3" a="1"/>
  <c r="E78" i="3" s="1"/>
  <c r="D78" i="3" a="1"/>
  <c r="D78" i="3" s="1"/>
  <c r="C78" i="3" a="1"/>
  <c r="C78" i="3" s="1"/>
  <c r="B78" i="3" a="1"/>
  <c r="B78" i="3" s="1"/>
  <c r="Z77" i="3" a="1"/>
  <c r="Z77" i="3" s="1"/>
  <c r="Y77" i="3" a="1"/>
  <c r="Y77" i="3" s="1"/>
  <c r="X77" i="3" a="1"/>
  <c r="X77" i="3" s="1"/>
  <c r="W77" i="3" a="1"/>
  <c r="W77" i="3" s="1"/>
  <c r="V77" i="3" a="1"/>
  <c r="V77" i="3" s="1"/>
  <c r="U77" i="3" a="1"/>
  <c r="U77" i="3" s="1"/>
  <c r="T77" i="3" a="1"/>
  <c r="T77" i="3" s="1"/>
  <c r="S77" i="3" a="1"/>
  <c r="S77" i="3" s="1"/>
  <c r="R77" i="3" a="1"/>
  <c r="R77" i="3" s="1"/>
  <c r="Q77" i="3" a="1"/>
  <c r="Q77" i="3" s="1"/>
  <c r="P77" i="3" a="1"/>
  <c r="P77" i="3" s="1"/>
  <c r="O77" i="3" a="1"/>
  <c r="O77" i="3" s="1"/>
  <c r="N77" i="3" a="1"/>
  <c r="N77" i="3" s="1"/>
  <c r="M77" i="3" a="1"/>
  <c r="M77" i="3" s="1"/>
  <c r="L77" i="3" a="1"/>
  <c r="L77" i="3" s="1"/>
  <c r="K77" i="3" a="1"/>
  <c r="K77" i="3" s="1"/>
  <c r="J77" i="3" a="1"/>
  <c r="J77" i="3" s="1"/>
  <c r="I77" i="3" a="1"/>
  <c r="I77" i="3" s="1"/>
  <c r="G77" i="3" a="1"/>
  <c r="G77" i="3" s="1"/>
  <c r="F77" i="3" a="1"/>
  <c r="F77" i="3" s="1"/>
  <c r="E77" i="3" a="1"/>
  <c r="E77" i="3" s="1"/>
  <c r="D77" i="3" a="1"/>
  <c r="D77" i="3" s="1"/>
  <c r="C77" i="3" a="1"/>
  <c r="C77" i="3" s="1"/>
  <c r="B77" i="3" a="1"/>
  <c r="B77" i="3" s="1"/>
  <c r="Z76" i="3" a="1"/>
  <c r="Z76" i="3" s="1"/>
  <c r="Y76" i="3" a="1"/>
  <c r="Y76" i="3" s="1"/>
  <c r="X76" i="3" a="1"/>
  <c r="X76" i="3" s="1"/>
  <c r="W76" i="3" a="1"/>
  <c r="W76" i="3" s="1"/>
  <c r="V76" i="3" a="1"/>
  <c r="V76" i="3" s="1"/>
  <c r="U76" i="3" a="1"/>
  <c r="U76" i="3" s="1"/>
  <c r="T76" i="3" a="1"/>
  <c r="T76" i="3" s="1"/>
  <c r="S76" i="3" a="1"/>
  <c r="S76" i="3" s="1"/>
  <c r="R76" i="3" a="1"/>
  <c r="R76" i="3" s="1"/>
  <c r="Q76" i="3" a="1"/>
  <c r="Q76" i="3" s="1"/>
  <c r="P76" i="3" a="1"/>
  <c r="P76" i="3" s="1"/>
  <c r="O76" i="3" a="1"/>
  <c r="O76" i="3" s="1"/>
  <c r="N76" i="3" a="1"/>
  <c r="N76" i="3" s="1"/>
  <c r="M76" i="3" a="1"/>
  <c r="M76" i="3" s="1"/>
  <c r="L76" i="3" a="1"/>
  <c r="L76" i="3" s="1"/>
  <c r="K76" i="3" a="1"/>
  <c r="K76" i="3" s="1"/>
  <c r="J76" i="3" a="1"/>
  <c r="J76" i="3" s="1"/>
  <c r="I76" i="3" a="1"/>
  <c r="I76" i="3" s="1"/>
  <c r="G76" i="3" a="1"/>
  <c r="G76" i="3" s="1"/>
  <c r="F76" i="3" a="1"/>
  <c r="F76" i="3" s="1"/>
  <c r="E76" i="3" a="1"/>
  <c r="E76" i="3" s="1"/>
  <c r="D76" i="3" a="1"/>
  <c r="D76" i="3" s="1"/>
  <c r="C76" i="3" a="1"/>
  <c r="C76" i="3" s="1"/>
  <c r="B76" i="3" a="1"/>
  <c r="B76" i="3" s="1"/>
  <c r="Z75" i="3" a="1"/>
  <c r="Z75" i="3" s="1"/>
  <c r="Y75" i="3" a="1"/>
  <c r="Y75" i="3" s="1"/>
  <c r="X75" i="3" a="1"/>
  <c r="X75" i="3" s="1"/>
  <c r="W75" i="3" a="1"/>
  <c r="W75" i="3" s="1"/>
  <c r="V75" i="3" a="1"/>
  <c r="V75" i="3" s="1"/>
  <c r="U75" i="3" a="1"/>
  <c r="U75" i="3" s="1"/>
  <c r="T75" i="3" a="1"/>
  <c r="T75" i="3" s="1"/>
  <c r="S75" i="3" a="1"/>
  <c r="S75" i="3" s="1"/>
  <c r="R75" i="3" a="1"/>
  <c r="R75" i="3" s="1"/>
  <c r="Q75" i="3" a="1"/>
  <c r="Q75" i="3" s="1"/>
  <c r="P75" i="3" a="1"/>
  <c r="P75" i="3" s="1"/>
  <c r="O75" i="3" a="1"/>
  <c r="O75" i="3" s="1"/>
  <c r="N75" i="3" a="1"/>
  <c r="N75" i="3" s="1"/>
  <c r="M75" i="3" a="1"/>
  <c r="M75" i="3" s="1"/>
  <c r="L75" i="3" a="1"/>
  <c r="L75" i="3" s="1"/>
  <c r="K75" i="3" a="1"/>
  <c r="K75" i="3" s="1"/>
  <c r="J75" i="3" a="1"/>
  <c r="J75" i="3" s="1"/>
  <c r="I75" i="3" a="1"/>
  <c r="I75" i="3" s="1"/>
  <c r="G75" i="3" a="1"/>
  <c r="G75" i="3" s="1"/>
  <c r="F75" i="3" a="1"/>
  <c r="F75" i="3" s="1"/>
  <c r="E75" i="3" a="1"/>
  <c r="E75" i="3" s="1"/>
  <c r="D75" i="3" a="1"/>
  <c r="D75" i="3" s="1"/>
  <c r="C75" i="3" a="1"/>
  <c r="C75" i="3" s="1"/>
  <c r="B75" i="3" a="1"/>
  <c r="B75" i="3" s="1"/>
  <c r="Z74" i="3" a="1"/>
  <c r="Z74" i="3" s="1"/>
  <c r="Y74" i="3" a="1"/>
  <c r="Y74" i="3" s="1"/>
  <c r="X74" i="3" a="1"/>
  <c r="X74" i="3" s="1"/>
  <c r="W74" i="3" a="1"/>
  <c r="W74" i="3" s="1"/>
  <c r="V74" i="3" a="1"/>
  <c r="V74" i="3" s="1"/>
  <c r="U74" i="3" a="1"/>
  <c r="U74" i="3" s="1"/>
  <c r="T74" i="3" a="1"/>
  <c r="T74" i="3" s="1"/>
  <c r="S74" i="3" a="1"/>
  <c r="S74" i="3" s="1"/>
  <c r="R74" i="3" a="1"/>
  <c r="R74" i="3" s="1"/>
  <c r="Q74" i="3" a="1"/>
  <c r="Q74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J74" i="3" a="1"/>
  <c r="J74" i="3" s="1"/>
  <c r="I74" i="3" a="1"/>
  <c r="I74" i="3" s="1"/>
  <c r="G74" i="3" a="1"/>
  <c r="G74" i="3" s="1"/>
  <c r="F74" i="3" a="1"/>
  <c r="F74" i="3" s="1"/>
  <c r="E74" i="3" a="1"/>
  <c r="E74" i="3" s="1"/>
  <c r="D74" i="3" a="1"/>
  <c r="D74" i="3" s="1"/>
  <c r="C74" i="3" a="1"/>
  <c r="C74" i="3" s="1"/>
  <c r="B74" i="3" a="1"/>
  <c r="B74" i="3" s="1"/>
  <c r="Z73" i="3" a="1"/>
  <c r="Z73" i="3" s="1"/>
  <c r="Y73" i="3" a="1"/>
  <c r="Y73" i="3" s="1"/>
  <c r="X73" i="3" a="1"/>
  <c r="X73" i="3" s="1"/>
  <c r="W73" i="3" a="1"/>
  <c r="W73" i="3" s="1"/>
  <c r="V73" i="3" a="1"/>
  <c r="V73" i="3" s="1"/>
  <c r="U73" i="3" a="1"/>
  <c r="U73" i="3" s="1"/>
  <c r="T73" i="3" a="1"/>
  <c r="T73" i="3" s="1"/>
  <c r="S73" i="3" a="1"/>
  <c r="S73" i="3" s="1"/>
  <c r="R73" i="3" a="1"/>
  <c r="R73" i="3" s="1"/>
  <c r="Q73" i="3" a="1"/>
  <c r="Q73" i="3" s="1"/>
  <c r="P73" i="3" a="1"/>
  <c r="P73" i="3" s="1"/>
  <c r="O73" i="3" a="1"/>
  <c r="O73" i="3" s="1"/>
  <c r="N73" i="3" a="1"/>
  <c r="N73" i="3" s="1"/>
  <c r="M73" i="3" a="1"/>
  <c r="M73" i="3" s="1"/>
  <c r="L73" i="3" a="1"/>
  <c r="L73" i="3" s="1"/>
  <c r="K73" i="3" a="1"/>
  <c r="K73" i="3" s="1"/>
  <c r="J73" i="3" a="1"/>
  <c r="J73" i="3" s="1"/>
  <c r="I73" i="3" a="1"/>
  <c r="I73" i="3" s="1"/>
  <c r="G73" i="3" a="1"/>
  <c r="G73" i="3" s="1"/>
  <c r="F73" i="3" a="1"/>
  <c r="F73" i="3" s="1"/>
  <c r="E73" i="3" a="1"/>
  <c r="E73" i="3" s="1"/>
  <c r="D73" i="3" a="1"/>
  <c r="D73" i="3" s="1"/>
  <c r="C73" i="3" a="1"/>
  <c r="C73" i="3" s="1"/>
  <c r="B73" i="3" a="1"/>
  <c r="B73" i="3" s="1"/>
  <c r="Z72" i="3" a="1"/>
  <c r="Z72" i="3" s="1"/>
  <c r="Y72" i="3" a="1"/>
  <c r="Y72" i="3" s="1"/>
  <c r="X72" i="3" a="1"/>
  <c r="X72" i="3" s="1"/>
  <c r="W72" i="3" a="1"/>
  <c r="W72" i="3" s="1"/>
  <c r="V72" i="3" a="1"/>
  <c r="V72" i="3" s="1"/>
  <c r="U72" i="3" a="1"/>
  <c r="U72" i="3" s="1"/>
  <c r="T72" i="3" a="1"/>
  <c r="T72" i="3" s="1"/>
  <c r="S72" i="3" a="1"/>
  <c r="S72" i="3" s="1"/>
  <c r="R72" i="3" a="1"/>
  <c r="R72" i="3" s="1"/>
  <c r="Q72" i="3" a="1"/>
  <c r="Q72" i="3" s="1"/>
  <c r="P72" i="3" a="1"/>
  <c r="P72" i="3" s="1"/>
  <c r="O72" i="3" a="1"/>
  <c r="O72" i="3" s="1"/>
  <c r="N72" i="3" a="1"/>
  <c r="N72" i="3" s="1"/>
  <c r="M72" i="3" a="1"/>
  <c r="M72" i="3" s="1"/>
  <c r="L72" i="3" a="1"/>
  <c r="L72" i="3" s="1"/>
  <c r="K72" i="3" a="1"/>
  <c r="K72" i="3" s="1"/>
  <c r="J72" i="3" a="1"/>
  <c r="J72" i="3" s="1"/>
  <c r="I72" i="3" a="1"/>
  <c r="I72" i="3" s="1"/>
  <c r="G72" i="3" a="1"/>
  <c r="G72" i="3" s="1"/>
  <c r="F72" i="3" a="1"/>
  <c r="F72" i="3" s="1"/>
  <c r="E72" i="3" a="1"/>
  <c r="E72" i="3" s="1"/>
  <c r="D72" i="3" a="1"/>
  <c r="D72" i="3" s="1"/>
  <c r="C72" i="3" a="1"/>
  <c r="C72" i="3" s="1"/>
  <c r="B72" i="3" a="1"/>
  <c r="B72" i="3" s="1"/>
  <c r="Z71" i="3" a="1"/>
  <c r="Z71" i="3" s="1"/>
  <c r="Y71" i="3" a="1"/>
  <c r="Y71" i="3" s="1"/>
  <c r="X71" i="3" a="1"/>
  <c r="X71" i="3" s="1"/>
  <c r="W71" i="3" a="1"/>
  <c r="W71" i="3" s="1"/>
  <c r="V71" i="3" a="1"/>
  <c r="V71" i="3" s="1"/>
  <c r="U71" i="3" a="1"/>
  <c r="U71" i="3" s="1"/>
  <c r="T71" i="3" a="1"/>
  <c r="T71" i="3" s="1"/>
  <c r="S71" i="3" a="1"/>
  <c r="S71" i="3" s="1"/>
  <c r="R71" i="3" a="1"/>
  <c r="R71" i="3" s="1"/>
  <c r="Q71" i="3" a="1"/>
  <c r="Q71" i="3" s="1"/>
  <c r="P71" i="3" a="1"/>
  <c r="P71" i="3" s="1"/>
  <c r="O71" i="3" a="1"/>
  <c r="O71" i="3" s="1"/>
  <c r="N71" i="3" a="1"/>
  <c r="N71" i="3" s="1"/>
  <c r="M71" i="3" a="1"/>
  <c r="M71" i="3" s="1"/>
  <c r="L71" i="3" a="1"/>
  <c r="L71" i="3" s="1"/>
  <c r="K71" i="3" a="1"/>
  <c r="K71" i="3" s="1"/>
  <c r="J71" i="3" a="1"/>
  <c r="J71" i="3" s="1"/>
  <c r="I71" i="3" a="1"/>
  <c r="I71" i="3" s="1"/>
  <c r="G71" i="3" a="1"/>
  <c r="G71" i="3" s="1"/>
  <c r="F71" i="3" a="1"/>
  <c r="F71" i="3" s="1"/>
  <c r="E71" i="3" a="1"/>
  <c r="E71" i="3" s="1"/>
  <c r="D71" i="3" a="1"/>
  <c r="D71" i="3" s="1"/>
  <c r="C71" i="3" a="1"/>
  <c r="C71" i="3" s="1"/>
  <c r="B71" i="3" a="1"/>
  <c r="B71" i="3" s="1"/>
  <c r="Z70" i="3" a="1"/>
  <c r="Z70" i="3" s="1"/>
  <c r="Y70" i="3" a="1"/>
  <c r="Y70" i="3" s="1"/>
  <c r="X70" i="3" a="1"/>
  <c r="X70" i="3" s="1"/>
  <c r="W70" i="3" a="1"/>
  <c r="W70" i="3" s="1"/>
  <c r="V70" i="3" a="1"/>
  <c r="V70" i="3" s="1"/>
  <c r="U70" i="3" a="1"/>
  <c r="U70" i="3" s="1"/>
  <c r="T70" i="3" a="1"/>
  <c r="T70" i="3" s="1"/>
  <c r="S70" i="3" a="1"/>
  <c r="S70" i="3" s="1"/>
  <c r="R70" i="3" a="1"/>
  <c r="R70" i="3" s="1"/>
  <c r="Q70" i="3" a="1"/>
  <c r="Q70" i="3" s="1"/>
  <c r="P70" i="3" a="1"/>
  <c r="P70" i="3" s="1"/>
  <c r="O70" i="3" a="1"/>
  <c r="O70" i="3" s="1"/>
  <c r="N70" i="3" a="1"/>
  <c r="N70" i="3" s="1"/>
  <c r="M70" i="3" a="1"/>
  <c r="M70" i="3" s="1"/>
  <c r="L70" i="3" a="1"/>
  <c r="L70" i="3" s="1"/>
  <c r="K70" i="3" a="1"/>
  <c r="K70" i="3" s="1"/>
  <c r="J70" i="3" a="1"/>
  <c r="J70" i="3" s="1"/>
  <c r="I70" i="3" a="1"/>
  <c r="I70" i="3" s="1"/>
  <c r="G70" i="3" a="1"/>
  <c r="G70" i="3" s="1"/>
  <c r="F70" i="3" a="1"/>
  <c r="F70" i="3" s="1"/>
  <c r="E70" i="3" a="1"/>
  <c r="E70" i="3" s="1"/>
  <c r="D70" i="3" a="1"/>
  <c r="D70" i="3" s="1"/>
  <c r="C70" i="3" a="1"/>
  <c r="C70" i="3" s="1"/>
  <c r="B70" i="3" a="1"/>
  <c r="B70" i="3" s="1"/>
  <c r="Z69" i="3" a="1"/>
  <c r="Z69" i="3" s="1"/>
  <c r="Y69" i="3" a="1"/>
  <c r="Y69" i="3" s="1"/>
  <c r="X69" i="3" a="1"/>
  <c r="X69" i="3" s="1"/>
  <c r="W69" i="3" a="1"/>
  <c r="W69" i="3" s="1"/>
  <c r="V69" i="3" a="1"/>
  <c r="V69" i="3" s="1"/>
  <c r="U69" i="3" a="1"/>
  <c r="U69" i="3" s="1"/>
  <c r="T69" i="3" a="1"/>
  <c r="T69" i="3" s="1"/>
  <c r="S69" i="3" a="1"/>
  <c r="S69" i="3" s="1"/>
  <c r="R69" i="3" a="1"/>
  <c r="R69" i="3" s="1"/>
  <c r="Q69" i="3" a="1"/>
  <c r="Q69" i="3" s="1"/>
  <c r="P69" i="3" a="1"/>
  <c r="P69" i="3" s="1"/>
  <c r="O69" i="3" a="1"/>
  <c r="O69" i="3" s="1"/>
  <c r="N69" i="3" a="1"/>
  <c r="N69" i="3" s="1"/>
  <c r="M69" i="3" a="1"/>
  <c r="M69" i="3" s="1"/>
  <c r="L69" i="3" a="1"/>
  <c r="L69" i="3" s="1"/>
  <c r="K69" i="3" a="1"/>
  <c r="K69" i="3" s="1"/>
  <c r="J69" i="3" a="1"/>
  <c r="J69" i="3" s="1"/>
  <c r="I69" i="3" a="1"/>
  <c r="I69" i="3" s="1"/>
  <c r="G69" i="3" a="1"/>
  <c r="G69" i="3" s="1"/>
  <c r="F69" i="3" a="1"/>
  <c r="F69" i="3" s="1"/>
  <c r="E69" i="3" a="1"/>
  <c r="E69" i="3" s="1"/>
  <c r="D69" i="3" a="1"/>
  <c r="D69" i="3" s="1"/>
  <c r="C69" i="3" a="1"/>
  <c r="C69" i="3" s="1"/>
  <c r="B69" i="3" a="1"/>
  <c r="B69" i="3" s="1"/>
  <c r="Z68" i="3" a="1"/>
  <c r="Z68" i="3" s="1"/>
  <c r="Y68" i="3" a="1"/>
  <c r="Y68" i="3" s="1"/>
  <c r="X68" i="3" a="1"/>
  <c r="X68" i="3" s="1"/>
  <c r="W68" i="3" a="1"/>
  <c r="W68" i="3" s="1"/>
  <c r="V68" i="3" a="1"/>
  <c r="V68" i="3" s="1"/>
  <c r="U68" i="3" a="1"/>
  <c r="U68" i="3" s="1"/>
  <c r="T68" i="3" a="1"/>
  <c r="T68" i="3" s="1"/>
  <c r="S68" i="3" a="1"/>
  <c r="S68" i="3" s="1"/>
  <c r="R68" i="3" a="1"/>
  <c r="R68" i="3" s="1"/>
  <c r="Q68" i="3" a="1"/>
  <c r="Q68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J68" i="3" a="1"/>
  <c r="J68" i="3" s="1"/>
  <c r="I68" i="3" a="1"/>
  <c r="I68" i="3" s="1"/>
  <c r="G68" i="3" a="1"/>
  <c r="G68" i="3" s="1"/>
  <c r="F68" i="3" a="1"/>
  <c r="F68" i="3" s="1"/>
  <c r="E68" i="3" a="1"/>
  <c r="E68" i="3" s="1"/>
  <c r="D68" i="3" a="1"/>
  <c r="D68" i="3" s="1"/>
  <c r="C68" i="3" a="1"/>
  <c r="C68" i="3" s="1"/>
  <c r="B68" i="3" a="1"/>
  <c r="B68" i="3" s="1"/>
  <c r="Z67" i="3" a="1"/>
  <c r="Z67" i="3" s="1"/>
  <c r="Y67" i="3" a="1"/>
  <c r="Y67" i="3" s="1"/>
  <c r="X67" i="3" a="1"/>
  <c r="X67" i="3" s="1"/>
  <c r="W67" i="3" a="1"/>
  <c r="W67" i="3" s="1"/>
  <c r="V67" i="3" a="1"/>
  <c r="V67" i="3" s="1"/>
  <c r="U67" i="3" a="1"/>
  <c r="U67" i="3" s="1"/>
  <c r="T67" i="3" a="1"/>
  <c r="T67" i="3" s="1"/>
  <c r="S67" i="3" a="1"/>
  <c r="S67" i="3" s="1"/>
  <c r="R67" i="3" a="1"/>
  <c r="R67" i="3" s="1"/>
  <c r="Q67" i="3" a="1"/>
  <c r="Q67" i="3" s="1"/>
  <c r="P67" i="3" a="1"/>
  <c r="P67" i="3" s="1"/>
  <c r="O67" i="3" a="1"/>
  <c r="O67" i="3" s="1"/>
  <c r="N67" i="3" a="1"/>
  <c r="N67" i="3" s="1"/>
  <c r="M67" i="3" a="1"/>
  <c r="M67" i="3" s="1"/>
  <c r="L67" i="3" a="1"/>
  <c r="L67" i="3" s="1"/>
  <c r="K67" i="3" a="1"/>
  <c r="K67" i="3" s="1"/>
  <c r="J67" i="3" a="1"/>
  <c r="J67" i="3" s="1"/>
  <c r="I67" i="3" a="1"/>
  <c r="I67" i="3" s="1"/>
  <c r="G67" i="3" a="1"/>
  <c r="G67" i="3" s="1"/>
  <c r="F67" i="3" a="1"/>
  <c r="F67" i="3" s="1"/>
  <c r="E67" i="3" a="1"/>
  <c r="E67" i="3" s="1"/>
  <c r="D67" i="3" a="1"/>
  <c r="D67" i="3" s="1"/>
  <c r="C67" i="3" a="1"/>
  <c r="C67" i="3" s="1"/>
  <c r="B67" i="3" a="1"/>
  <c r="B67" i="3" s="1"/>
  <c r="Z66" i="3" a="1"/>
  <c r="Z66" i="3" s="1"/>
  <c r="Y66" i="3" a="1"/>
  <c r="Y66" i="3" s="1"/>
  <c r="X66" i="3" a="1"/>
  <c r="X66" i="3" s="1"/>
  <c r="W66" i="3" a="1"/>
  <c r="W66" i="3" s="1"/>
  <c r="V66" i="3" a="1"/>
  <c r="V66" i="3" s="1"/>
  <c r="U66" i="3" a="1"/>
  <c r="U66" i="3" s="1"/>
  <c r="T66" i="3" a="1"/>
  <c r="T66" i="3" s="1"/>
  <c r="S66" i="3" a="1"/>
  <c r="S66" i="3" s="1"/>
  <c r="R66" i="3" a="1"/>
  <c r="R66" i="3" s="1"/>
  <c r="Q66" i="3" a="1"/>
  <c r="Q66" i="3" s="1"/>
  <c r="P66" i="3" a="1"/>
  <c r="P66" i="3" s="1"/>
  <c r="O66" i="3" a="1"/>
  <c r="O66" i="3" s="1"/>
  <c r="N66" i="3" a="1"/>
  <c r="N66" i="3" s="1"/>
  <c r="M66" i="3" a="1"/>
  <c r="M66" i="3" s="1"/>
  <c r="L66" i="3" a="1"/>
  <c r="L66" i="3" s="1"/>
  <c r="K66" i="3" a="1"/>
  <c r="K66" i="3" s="1"/>
  <c r="J66" i="3" a="1"/>
  <c r="J66" i="3" s="1"/>
  <c r="I66" i="3" a="1"/>
  <c r="I66" i="3" s="1"/>
  <c r="G66" i="3" a="1"/>
  <c r="G66" i="3" s="1"/>
  <c r="F66" i="3" a="1"/>
  <c r="F66" i="3" s="1"/>
  <c r="E66" i="3" a="1"/>
  <c r="E66" i="3" s="1"/>
  <c r="D66" i="3" a="1"/>
  <c r="D66" i="3" s="1"/>
  <c r="C66" i="3" a="1"/>
  <c r="C66" i="3" s="1"/>
  <c r="B66" i="3" a="1"/>
  <c r="B66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J65" i="3" a="1"/>
  <c r="J65" i="3" s="1"/>
  <c r="I65" i="3" a="1"/>
  <c r="I65" i="3" s="1"/>
  <c r="G65" i="3" a="1"/>
  <c r="G65" i="3" s="1"/>
  <c r="F65" i="3" a="1"/>
  <c r="F65" i="3" s="1"/>
  <c r="E65" i="3" a="1"/>
  <c r="E65" i="3" s="1"/>
  <c r="D65" i="3" a="1"/>
  <c r="D65" i="3" s="1"/>
  <c r="C65" i="3" a="1"/>
  <c r="C65" i="3" s="1"/>
  <c r="B65" i="3" a="1"/>
  <c r="B65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J64" i="3" a="1"/>
  <c r="J64" i="3" s="1"/>
  <c r="I64" i="3" a="1"/>
  <c r="I64" i="3" s="1"/>
  <c r="G64" i="3" a="1"/>
  <c r="G64" i="3" s="1"/>
  <c r="F64" i="3" a="1"/>
  <c r="F64" i="3" s="1"/>
  <c r="E64" i="3" a="1"/>
  <c r="E64" i="3" s="1"/>
  <c r="D64" i="3" a="1"/>
  <c r="D64" i="3" s="1"/>
  <c r="C64" i="3" a="1"/>
  <c r="C64" i="3" s="1"/>
  <c r="B64" i="3" a="1"/>
  <c r="B64" i="3" s="1"/>
  <c r="Z63" i="3" a="1"/>
  <c r="Z63" i="3" s="1"/>
  <c r="Y63" i="3" a="1"/>
  <c r="Y63" i="3" s="1"/>
  <c r="X63" i="3" a="1"/>
  <c r="X63" i="3" s="1"/>
  <c r="W63" i="3" a="1"/>
  <c r="W63" i="3" s="1"/>
  <c r="V63" i="3" a="1"/>
  <c r="V63" i="3" s="1"/>
  <c r="U63" i="3" a="1"/>
  <c r="U63" i="3" s="1"/>
  <c r="T63" i="3" a="1"/>
  <c r="T63" i="3" s="1"/>
  <c r="S63" i="3" a="1"/>
  <c r="S63" i="3" s="1"/>
  <c r="R63" i="3" a="1"/>
  <c r="R63" i="3" s="1"/>
  <c r="Q63" i="3" a="1"/>
  <c r="Q63" i="3" s="1"/>
  <c r="P63" i="3" a="1"/>
  <c r="P63" i="3" s="1"/>
  <c r="O63" i="3" a="1"/>
  <c r="O63" i="3" s="1"/>
  <c r="N63" i="3" a="1"/>
  <c r="N63" i="3" s="1"/>
  <c r="M63" i="3" a="1"/>
  <c r="M63" i="3" s="1"/>
  <c r="L63" i="3" a="1"/>
  <c r="L63" i="3" s="1"/>
  <c r="K63" i="3" a="1"/>
  <c r="K63" i="3" s="1"/>
  <c r="J63" i="3" a="1"/>
  <c r="J63" i="3" s="1"/>
  <c r="I63" i="3" a="1"/>
  <c r="I63" i="3" s="1"/>
  <c r="G63" i="3" a="1"/>
  <c r="G63" i="3" s="1"/>
  <c r="F63" i="3" a="1"/>
  <c r="F63" i="3" s="1"/>
  <c r="E63" i="3" a="1"/>
  <c r="E63" i="3" s="1"/>
  <c r="D63" i="3" a="1"/>
  <c r="D63" i="3" s="1"/>
  <c r="C63" i="3" a="1"/>
  <c r="C63" i="3" s="1"/>
  <c r="B63" i="3" a="1"/>
  <c r="B63" i="3" s="1"/>
  <c r="Z62" i="3" a="1"/>
  <c r="Z62" i="3" s="1"/>
  <c r="Y62" i="3" a="1"/>
  <c r="Y62" i="3" s="1"/>
  <c r="X62" i="3" a="1"/>
  <c r="X62" i="3" s="1"/>
  <c r="W62" i="3" a="1"/>
  <c r="W62" i="3" s="1"/>
  <c r="V62" i="3" a="1"/>
  <c r="V62" i="3" s="1"/>
  <c r="U62" i="3" a="1"/>
  <c r="U62" i="3" s="1"/>
  <c r="T62" i="3" a="1"/>
  <c r="T62" i="3" s="1"/>
  <c r="S62" i="3" a="1"/>
  <c r="S62" i="3" s="1"/>
  <c r="R62" i="3" a="1"/>
  <c r="R62" i="3" s="1"/>
  <c r="Q62" i="3" a="1"/>
  <c r="Q62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J62" i="3" a="1"/>
  <c r="J62" i="3" s="1"/>
  <c r="I62" i="3" a="1"/>
  <c r="I62" i="3" s="1"/>
  <c r="G62" i="3" a="1"/>
  <c r="G62" i="3" s="1"/>
  <c r="F62" i="3" a="1"/>
  <c r="F62" i="3" s="1"/>
  <c r="E62" i="3" a="1"/>
  <c r="E62" i="3" s="1"/>
  <c r="D62" i="3" a="1"/>
  <c r="D62" i="3" s="1"/>
  <c r="C62" i="3" a="1"/>
  <c r="C62" i="3" s="1"/>
  <c r="B62" i="3" a="1"/>
  <c r="B62" i="3" s="1"/>
  <c r="Z61" i="3" a="1"/>
  <c r="Z61" i="3" s="1"/>
  <c r="Y61" i="3" a="1"/>
  <c r="Y61" i="3" s="1"/>
  <c r="X61" i="3" a="1"/>
  <c r="X61" i="3" s="1"/>
  <c r="W61" i="3" a="1"/>
  <c r="W61" i="3" s="1"/>
  <c r="V61" i="3" a="1"/>
  <c r="V61" i="3" s="1"/>
  <c r="U61" i="3" a="1"/>
  <c r="U61" i="3" s="1"/>
  <c r="T61" i="3" a="1"/>
  <c r="T61" i="3" s="1"/>
  <c r="S61" i="3" a="1"/>
  <c r="S61" i="3" s="1"/>
  <c r="R61" i="3" a="1"/>
  <c r="R61" i="3" s="1"/>
  <c r="Q61" i="3" a="1"/>
  <c r="Q61" i="3" s="1"/>
  <c r="P61" i="3" a="1"/>
  <c r="P61" i="3" s="1"/>
  <c r="O61" i="3" a="1"/>
  <c r="O61" i="3" s="1"/>
  <c r="N61" i="3" a="1"/>
  <c r="N61" i="3" s="1"/>
  <c r="M61" i="3" a="1"/>
  <c r="M61" i="3" s="1"/>
  <c r="L61" i="3" a="1"/>
  <c r="L61" i="3" s="1"/>
  <c r="K61" i="3" a="1"/>
  <c r="K61" i="3" s="1"/>
  <c r="J61" i="3" a="1"/>
  <c r="J61" i="3" s="1"/>
  <c r="I61" i="3" a="1"/>
  <c r="I61" i="3" s="1"/>
  <c r="G61" i="3" a="1"/>
  <c r="G61" i="3" s="1"/>
  <c r="F61" i="3" a="1"/>
  <c r="F61" i="3" s="1"/>
  <c r="E61" i="3" a="1"/>
  <c r="E61" i="3" s="1"/>
  <c r="D61" i="3" a="1"/>
  <c r="D61" i="3" s="1"/>
  <c r="C61" i="3" a="1"/>
  <c r="C61" i="3" s="1"/>
  <c r="B61" i="3" a="1"/>
  <c r="B61" i="3" s="1"/>
  <c r="Z60" i="3" a="1"/>
  <c r="Z60" i="3" s="1"/>
  <c r="Y60" i="3" a="1"/>
  <c r="Y60" i="3" s="1"/>
  <c r="X60" i="3" a="1"/>
  <c r="X60" i="3" s="1"/>
  <c r="W60" i="3" a="1"/>
  <c r="W60" i="3" s="1"/>
  <c r="V60" i="3" a="1"/>
  <c r="V60" i="3" s="1"/>
  <c r="U60" i="3" a="1"/>
  <c r="U60" i="3" s="1"/>
  <c r="T60" i="3" a="1"/>
  <c r="T60" i="3" s="1"/>
  <c r="S60" i="3" a="1"/>
  <c r="S60" i="3" s="1"/>
  <c r="R60" i="3" a="1"/>
  <c r="R60" i="3" s="1"/>
  <c r="Q60" i="3" a="1"/>
  <c r="Q60" i="3" s="1"/>
  <c r="P60" i="3" a="1"/>
  <c r="P60" i="3" s="1"/>
  <c r="O60" i="3" a="1"/>
  <c r="O60" i="3" s="1"/>
  <c r="N60" i="3" a="1"/>
  <c r="N60" i="3" s="1"/>
  <c r="M60" i="3" a="1"/>
  <c r="M60" i="3" s="1"/>
  <c r="L60" i="3" a="1"/>
  <c r="L60" i="3" s="1"/>
  <c r="K60" i="3" a="1"/>
  <c r="K60" i="3" s="1"/>
  <c r="J60" i="3" a="1"/>
  <c r="J60" i="3" s="1"/>
  <c r="I60" i="3" a="1"/>
  <c r="I60" i="3" s="1"/>
  <c r="G60" i="3" a="1"/>
  <c r="G60" i="3" s="1"/>
  <c r="F60" i="3" a="1"/>
  <c r="F60" i="3" s="1"/>
  <c r="E60" i="3" a="1"/>
  <c r="E60" i="3" s="1"/>
  <c r="D60" i="3" a="1"/>
  <c r="D60" i="3" s="1"/>
  <c r="C60" i="3" a="1"/>
  <c r="C60" i="3" s="1"/>
  <c r="B60" i="3" a="1"/>
  <c r="B60" i="3" s="1"/>
  <c r="Q56" i="3" a="1"/>
  <c r="Q56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J56" i="3" a="1"/>
  <c r="J56" i="3" s="1"/>
  <c r="I56" i="3" a="1"/>
  <c r="I56" i="3" s="1"/>
  <c r="G56" i="3" a="1"/>
  <c r="G56" i="3" s="1"/>
  <c r="F56" i="3" a="1"/>
  <c r="F56" i="3" s="1"/>
  <c r="E56" i="3" a="1"/>
  <c r="E56" i="3" s="1"/>
  <c r="D56" i="3" a="1"/>
  <c r="D56" i="3" s="1"/>
  <c r="C56" i="3" a="1"/>
  <c r="C56" i="3" s="1"/>
  <c r="B56" i="3" a="1"/>
  <c r="B56" i="3" s="1"/>
  <c r="Q55" i="3" a="1"/>
  <c r="Q55" i="3" s="1"/>
  <c r="P55" i="3" a="1"/>
  <c r="P55" i="3" s="1"/>
  <c r="O55" i="3" a="1"/>
  <c r="O55" i="3" s="1"/>
  <c r="N55" i="3" a="1"/>
  <c r="N55" i="3" s="1"/>
  <c r="M55" i="3" a="1"/>
  <c r="M55" i="3" s="1"/>
  <c r="L55" i="3" a="1"/>
  <c r="L55" i="3" s="1"/>
  <c r="K55" i="3" a="1"/>
  <c r="K55" i="3" s="1"/>
  <c r="J55" i="3" a="1"/>
  <c r="J55" i="3" s="1"/>
  <c r="I55" i="3" a="1"/>
  <c r="I55" i="3" s="1"/>
  <c r="G55" i="3" a="1"/>
  <c r="G55" i="3" s="1"/>
  <c r="F55" i="3" a="1"/>
  <c r="F55" i="3" s="1"/>
  <c r="E55" i="3" a="1"/>
  <c r="E55" i="3" s="1"/>
  <c r="D55" i="3" a="1"/>
  <c r="D55" i="3" s="1"/>
  <c r="C55" i="3" a="1"/>
  <c r="C55" i="3" s="1"/>
  <c r="B55" i="3" a="1"/>
  <c r="B55" i="3" s="1"/>
  <c r="T54" i="3" a="1"/>
  <c r="T54" i="3" s="1"/>
  <c r="Q54" i="3" a="1"/>
  <c r="Q54" i="3" s="1"/>
  <c r="P54" i="3" a="1"/>
  <c r="P54" i="3" s="1"/>
  <c r="O54" i="3" a="1"/>
  <c r="O54" i="3" s="1"/>
  <c r="N54" i="3" a="1"/>
  <c r="N54" i="3" s="1"/>
  <c r="M54" i="3" a="1"/>
  <c r="M54" i="3" s="1"/>
  <c r="L54" i="3" a="1"/>
  <c r="L54" i="3" s="1"/>
  <c r="K54" i="3" a="1"/>
  <c r="K54" i="3" s="1"/>
  <c r="J54" i="3" a="1"/>
  <c r="J54" i="3" s="1"/>
  <c r="I54" i="3" a="1"/>
  <c r="I54" i="3" s="1"/>
  <c r="G54" i="3" a="1"/>
  <c r="G54" i="3" s="1"/>
  <c r="F54" i="3" a="1"/>
  <c r="F54" i="3" s="1"/>
  <c r="E54" i="3" a="1"/>
  <c r="E54" i="3" s="1"/>
  <c r="D54" i="3" a="1"/>
  <c r="D54" i="3" s="1"/>
  <c r="C54" i="3" a="1"/>
  <c r="C54" i="3" s="1"/>
  <c r="B54" i="3" a="1"/>
  <c r="B54" i="3" s="1"/>
  <c r="Z50" i="3" a="1"/>
  <c r="Z50" i="3" s="1"/>
  <c r="Y50" i="3" a="1"/>
  <c r="Y50" i="3" s="1"/>
  <c r="X50" i="3" a="1"/>
  <c r="X50" i="3" s="1"/>
  <c r="W50" i="3" a="1"/>
  <c r="W50" i="3" s="1"/>
  <c r="V50" i="3" a="1"/>
  <c r="V50" i="3" s="1"/>
  <c r="U50" i="3" a="1"/>
  <c r="U50" i="3" s="1"/>
  <c r="T50" i="3" a="1"/>
  <c r="T50" i="3" s="1"/>
  <c r="S50" i="3" a="1"/>
  <c r="S50" i="3" s="1"/>
  <c r="R50" i="3" a="1"/>
  <c r="R50" i="3" s="1"/>
  <c r="Q50" i="3" a="1"/>
  <c r="Q50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J50" i="3" a="1"/>
  <c r="J50" i="3" s="1"/>
  <c r="I50" i="3" a="1"/>
  <c r="I50" i="3" s="1"/>
  <c r="G50" i="3" a="1"/>
  <c r="G50" i="3" s="1"/>
  <c r="F50" i="3" a="1"/>
  <c r="F50" i="3" s="1"/>
  <c r="E50" i="3" a="1"/>
  <c r="E50" i="3" s="1"/>
  <c r="D50" i="3" a="1"/>
  <c r="D50" i="3" s="1"/>
  <c r="C50" i="3" a="1"/>
  <c r="C50" i="3" s="1"/>
  <c r="B50" i="3" a="1"/>
  <c r="B50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J49" i="3" a="1"/>
  <c r="J49" i="3" s="1"/>
  <c r="I49" i="3" a="1"/>
  <c r="I49" i="3" s="1"/>
  <c r="G49" i="3" a="1"/>
  <c r="G49" i="3" s="1"/>
  <c r="F49" i="3" a="1"/>
  <c r="F49" i="3" s="1"/>
  <c r="E49" i="3" a="1"/>
  <c r="E49" i="3" s="1"/>
  <c r="D49" i="3" a="1"/>
  <c r="D49" i="3" s="1"/>
  <c r="C49" i="3" a="1"/>
  <c r="C49" i="3" s="1"/>
  <c r="B49" i="3" a="1"/>
  <c r="B49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J48" i="3" a="1"/>
  <c r="J48" i="3" s="1"/>
  <c r="I48" i="3" a="1"/>
  <c r="I48" i="3" s="1"/>
  <c r="G48" i="3" a="1"/>
  <c r="G48" i="3" s="1"/>
  <c r="F48" i="3" a="1"/>
  <c r="F48" i="3" s="1"/>
  <c r="E48" i="3" a="1"/>
  <c r="E48" i="3" s="1"/>
  <c r="D48" i="3" a="1"/>
  <c r="D48" i="3" s="1"/>
  <c r="C48" i="3" a="1"/>
  <c r="C48" i="3" s="1"/>
  <c r="B48" i="3" a="1"/>
  <c r="B48" i="3" s="1"/>
  <c r="Z47" i="3" a="1"/>
  <c r="Z47" i="3" s="1"/>
  <c r="Y47" i="3" a="1"/>
  <c r="Y47" i="3" s="1"/>
  <c r="X47" i="3" a="1"/>
  <c r="X47" i="3" s="1"/>
  <c r="W47" i="3" a="1"/>
  <c r="W47" i="3" s="1"/>
  <c r="V47" i="3" a="1"/>
  <c r="V47" i="3" s="1"/>
  <c r="U47" i="3" a="1"/>
  <c r="U47" i="3" s="1"/>
  <c r="T47" i="3" a="1"/>
  <c r="T47" i="3" s="1"/>
  <c r="S47" i="3" a="1"/>
  <c r="S47" i="3" s="1"/>
  <c r="R47" i="3" a="1"/>
  <c r="R47" i="3" s="1"/>
  <c r="Q47" i="3" a="1"/>
  <c r="Q47" i="3" s="1"/>
  <c r="P47" i="3" a="1"/>
  <c r="P47" i="3" s="1"/>
  <c r="O47" i="3" a="1"/>
  <c r="O47" i="3" s="1"/>
  <c r="N47" i="3" a="1"/>
  <c r="N47" i="3" s="1"/>
  <c r="M47" i="3" a="1"/>
  <c r="M47" i="3" s="1"/>
  <c r="L47" i="3" a="1"/>
  <c r="L47" i="3" s="1"/>
  <c r="K47" i="3" a="1"/>
  <c r="K47" i="3" s="1"/>
  <c r="J47" i="3" a="1"/>
  <c r="J47" i="3" s="1"/>
  <c r="I47" i="3" a="1"/>
  <c r="I47" i="3" s="1"/>
  <c r="G47" i="3" a="1"/>
  <c r="G47" i="3" s="1"/>
  <c r="F47" i="3" a="1"/>
  <c r="F47" i="3" s="1"/>
  <c r="E47" i="3" a="1"/>
  <c r="E47" i="3" s="1"/>
  <c r="D47" i="3" a="1"/>
  <c r="D47" i="3" s="1"/>
  <c r="C47" i="3" a="1"/>
  <c r="C47" i="3" s="1"/>
  <c r="B47" i="3" a="1"/>
  <c r="B47" i="3" s="1"/>
  <c r="Z46" i="3" a="1"/>
  <c r="Z46" i="3" s="1"/>
  <c r="Y46" i="3" a="1"/>
  <c r="Y46" i="3" s="1"/>
  <c r="X46" i="3" a="1"/>
  <c r="X46" i="3" s="1"/>
  <c r="W46" i="3" a="1"/>
  <c r="W46" i="3" s="1"/>
  <c r="V46" i="3" a="1"/>
  <c r="V46" i="3" s="1"/>
  <c r="U46" i="3" a="1"/>
  <c r="U46" i="3" s="1"/>
  <c r="T46" i="3" a="1"/>
  <c r="T46" i="3" s="1"/>
  <c r="S46" i="3" a="1"/>
  <c r="S46" i="3" s="1"/>
  <c r="R46" i="3" a="1"/>
  <c r="R46" i="3" s="1"/>
  <c r="Q46" i="3" a="1"/>
  <c r="Q46" i="3" s="1"/>
  <c r="P46" i="3" a="1"/>
  <c r="P46" i="3" s="1"/>
  <c r="O46" i="3" a="1"/>
  <c r="O46" i="3" s="1"/>
  <c r="N46" i="3" a="1"/>
  <c r="N46" i="3" s="1"/>
  <c r="M46" i="3" a="1"/>
  <c r="M46" i="3" s="1"/>
  <c r="L46" i="3" a="1"/>
  <c r="L46" i="3" s="1"/>
  <c r="K46" i="3" a="1"/>
  <c r="K46" i="3" s="1"/>
  <c r="J46" i="3" a="1"/>
  <c r="J46" i="3" s="1"/>
  <c r="I46" i="3" a="1"/>
  <c r="I46" i="3" s="1"/>
  <c r="G46" i="3" a="1"/>
  <c r="G46" i="3" s="1"/>
  <c r="F46" i="3" a="1"/>
  <c r="F46" i="3" s="1"/>
  <c r="E46" i="3" a="1"/>
  <c r="E46" i="3" s="1"/>
  <c r="D46" i="3" a="1"/>
  <c r="D46" i="3" s="1"/>
  <c r="C46" i="3" a="1"/>
  <c r="C46" i="3" s="1"/>
  <c r="B46" i="3" a="1"/>
  <c r="B46" i="3" s="1"/>
  <c r="Z45" i="3" a="1"/>
  <c r="Z45" i="3" s="1"/>
  <c r="Y45" i="3" a="1"/>
  <c r="Y45" i="3" s="1"/>
  <c r="X45" i="3" a="1"/>
  <c r="X45" i="3" s="1"/>
  <c r="W45" i="3" a="1"/>
  <c r="W45" i="3" s="1"/>
  <c r="V45" i="3" a="1"/>
  <c r="V45" i="3" s="1"/>
  <c r="U45" i="3" a="1"/>
  <c r="U45" i="3" s="1"/>
  <c r="T45" i="3" a="1"/>
  <c r="T45" i="3" s="1"/>
  <c r="S45" i="3" a="1"/>
  <c r="S45" i="3" s="1"/>
  <c r="R45" i="3" a="1"/>
  <c r="R45" i="3" s="1"/>
  <c r="Q45" i="3" a="1"/>
  <c r="Q45" i="3" s="1"/>
  <c r="P45" i="3" a="1"/>
  <c r="P45" i="3" s="1"/>
  <c r="O45" i="3" a="1"/>
  <c r="O45" i="3" s="1"/>
  <c r="N45" i="3" a="1"/>
  <c r="N45" i="3" s="1"/>
  <c r="M45" i="3" a="1"/>
  <c r="M45" i="3" s="1"/>
  <c r="L45" i="3" a="1"/>
  <c r="L45" i="3" s="1"/>
  <c r="K45" i="3" a="1"/>
  <c r="K45" i="3" s="1"/>
  <c r="J45" i="3" a="1"/>
  <c r="J45" i="3" s="1"/>
  <c r="I45" i="3" a="1"/>
  <c r="I45" i="3" s="1"/>
  <c r="G45" i="3" a="1"/>
  <c r="G45" i="3" s="1"/>
  <c r="F45" i="3" a="1"/>
  <c r="F45" i="3" s="1"/>
  <c r="E45" i="3" a="1"/>
  <c r="E45" i="3" s="1"/>
  <c r="D45" i="3" a="1"/>
  <c r="D45" i="3" s="1"/>
  <c r="C45" i="3" a="1"/>
  <c r="C45" i="3" s="1"/>
  <c r="B45" i="3" a="1"/>
  <c r="B45" i="3" s="1"/>
  <c r="Z44" i="3" a="1"/>
  <c r="Z44" i="3" s="1"/>
  <c r="Y44" i="3" a="1"/>
  <c r="Y44" i="3" s="1"/>
  <c r="X44" i="3" a="1"/>
  <c r="X44" i="3" s="1"/>
  <c r="W44" i="3" a="1"/>
  <c r="W44" i="3" s="1"/>
  <c r="V44" i="3" a="1"/>
  <c r="V44" i="3" s="1"/>
  <c r="U44" i="3" a="1"/>
  <c r="U44" i="3" s="1"/>
  <c r="T44" i="3" a="1"/>
  <c r="T44" i="3" s="1"/>
  <c r="S44" i="3" a="1"/>
  <c r="S44" i="3" s="1"/>
  <c r="R44" i="3" a="1"/>
  <c r="R44" i="3" s="1"/>
  <c r="Q44" i="3" a="1"/>
  <c r="Q44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J44" i="3" a="1"/>
  <c r="J44" i="3" s="1"/>
  <c r="I44" i="3" a="1"/>
  <c r="I44" i="3" s="1"/>
  <c r="G44" i="3" a="1"/>
  <c r="G44" i="3" s="1"/>
  <c r="F44" i="3" a="1"/>
  <c r="F44" i="3" s="1"/>
  <c r="E44" i="3" a="1"/>
  <c r="E44" i="3" s="1"/>
  <c r="D44" i="3" a="1"/>
  <c r="D44" i="3" s="1"/>
  <c r="C44" i="3" a="1"/>
  <c r="C44" i="3" s="1"/>
  <c r="B44" i="3" a="1"/>
  <c r="B44" i="3" s="1"/>
  <c r="Z43" i="3" a="1"/>
  <c r="Z43" i="3" s="1"/>
  <c r="Y43" i="3" a="1"/>
  <c r="Y43" i="3" s="1"/>
  <c r="X43" i="3" a="1"/>
  <c r="X43" i="3" s="1"/>
  <c r="W43" i="3" a="1"/>
  <c r="W43" i="3" s="1"/>
  <c r="V43" i="3" a="1"/>
  <c r="V43" i="3" s="1"/>
  <c r="U43" i="3" a="1"/>
  <c r="U43" i="3" s="1"/>
  <c r="T43" i="3" a="1"/>
  <c r="T43" i="3" s="1"/>
  <c r="S43" i="3" a="1"/>
  <c r="S43" i="3" s="1"/>
  <c r="R43" i="3" a="1"/>
  <c r="R43" i="3" s="1"/>
  <c r="Q43" i="3" a="1"/>
  <c r="Q43" i="3" s="1"/>
  <c r="P43" i="3" a="1"/>
  <c r="P43" i="3" s="1"/>
  <c r="O43" i="3" a="1"/>
  <c r="O43" i="3" s="1"/>
  <c r="N43" i="3" a="1"/>
  <c r="N43" i="3" s="1"/>
  <c r="M43" i="3" a="1"/>
  <c r="M43" i="3" s="1"/>
  <c r="L43" i="3" a="1"/>
  <c r="L43" i="3" s="1"/>
  <c r="K43" i="3" a="1"/>
  <c r="K43" i="3" s="1"/>
  <c r="J43" i="3" a="1"/>
  <c r="J43" i="3" s="1"/>
  <c r="I43" i="3" a="1"/>
  <c r="I43" i="3" s="1"/>
  <c r="G43" i="3" a="1"/>
  <c r="G43" i="3" s="1"/>
  <c r="F43" i="3" a="1"/>
  <c r="F43" i="3" s="1"/>
  <c r="E43" i="3" a="1"/>
  <c r="E43" i="3" s="1"/>
  <c r="D43" i="3" a="1"/>
  <c r="D43" i="3" s="1"/>
  <c r="C43" i="3" a="1"/>
  <c r="C43" i="3" s="1"/>
  <c r="B43" i="3" a="1"/>
  <c r="B43" i="3" s="1"/>
  <c r="Z42" i="3" a="1"/>
  <c r="Z42" i="3" s="1"/>
  <c r="Y42" i="3" a="1"/>
  <c r="Y42" i="3" s="1"/>
  <c r="X42" i="3" a="1"/>
  <c r="X42" i="3" s="1"/>
  <c r="W42" i="3" a="1"/>
  <c r="W42" i="3" s="1"/>
  <c r="V42" i="3" a="1"/>
  <c r="V42" i="3" s="1"/>
  <c r="U42" i="3" a="1"/>
  <c r="U42" i="3" s="1"/>
  <c r="T42" i="3" a="1"/>
  <c r="T42" i="3" s="1"/>
  <c r="S42" i="3" a="1"/>
  <c r="S42" i="3" s="1"/>
  <c r="R42" i="3" a="1"/>
  <c r="R42" i="3" s="1"/>
  <c r="Q42" i="3" a="1"/>
  <c r="Q42" i="3" s="1"/>
  <c r="P42" i="3" a="1"/>
  <c r="P42" i="3" s="1"/>
  <c r="O42" i="3" a="1"/>
  <c r="O42" i="3" s="1"/>
  <c r="N42" i="3" a="1"/>
  <c r="N42" i="3" s="1"/>
  <c r="M42" i="3" a="1"/>
  <c r="M42" i="3" s="1"/>
  <c r="L42" i="3" a="1"/>
  <c r="L42" i="3" s="1"/>
  <c r="K42" i="3" a="1"/>
  <c r="K42" i="3" s="1"/>
  <c r="J42" i="3" a="1"/>
  <c r="J42" i="3" s="1"/>
  <c r="I42" i="3" a="1"/>
  <c r="I42" i="3" s="1"/>
  <c r="G42" i="3" a="1"/>
  <c r="G42" i="3" s="1"/>
  <c r="F42" i="3" a="1"/>
  <c r="F42" i="3" s="1"/>
  <c r="E42" i="3" a="1"/>
  <c r="E42" i="3" s="1"/>
  <c r="D42" i="3" a="1"/>
  <c r="D42" i="3" s="1"/>
  <c r="C42" i="3" a="1"/>
  <c r="C42" i="3" s="1"/>
  <c r="B42" i="3" a="1"/>
  <c r="B42" i="3" s="1"/>
  <c r="Z41" i="3" a="1"/>
  <c r="Z41" i="3" s="1"/>
  <c r="Y41" i="3" a="1"/>
  <c r="Y41" i="3" s="1"/>
  <c r="X41" i="3" a="1"/>
  <c r="X41" i="3" s="1"/>
  <c r="W41" i="3" a="1"/>
  <c r="W41" i="3" s="1"/>
  <c r="V41" i="3" a="1"/>
  <c r="V41" i="3" s="1"/>
  <c r="U41" i="3" a="1"/>
  <c r="U41" i="3" s="1"/>
  <c r="T41" i="3" a="1"/>
  <c r="T41" i="3" s="1"/>
  <c r="S41" i="3" a="1"/>
  <c r="S41" i="3" s="1"/>
  <c r="R41" i="3" a="1"/>
  <c r="R41" i="3" s="1"/>
  <c r="Q41" i="3" a="1"/>
  <c r="Q41" i="3" s="1"/>
  <c r="P41" i="3" a="1"/>
  <c r="P41" i="3" s="1"/>
  <c r="O41" i="3" a="1"/>
  <c r="O41" i="3" s="1"/>
  <c r="N41" i="3" a="1"/>
  <c r="N41" i="3" s="1"/>
  <c r="M41" i="3" a="1"/>
  <c r="M41" i="3" s="1"/>
  <c r="L41" i="3" a="1"/>
  <c r="L41" i="3" s="1"/>
  <c r="K41" i="3" a="1"/>
  <c r="K41" i="3" s="1"/>
  <c r="J41" i="3" a="1"/>
  <c r="J41" i="3" s="1"/>
  <c r="I41" i="3" a="1"/>
  <c r="I41" i="3" s="1"/>
  <c r="G41" i="3" a="1"/>
  <c r="G41" i="3" s="1"/>
  <c r="F41" i="3" a="1"/>
  <c r="F41" i="3" s="1"/>
  <c r="E41" i="3" a="1"/>
  <c r="E41" i="3" s="1"/>
  <c r="D41" i="3" a="1"/>
  <c r="D41" i="3" s="1"/>
  <c r="C41" i="3" a="1"/>
  <c r="C41" i="3" s="1"/>
  <c r="B41" i="3" a="1"/>
  <c r="B41" i="3" s="1"/>
  <c r="Z40" i="3" a="1"/>
  <c r="Z40" i="3" s="1"/>
  <c r="Y40" i="3" a="1"/>
  <c r="Y40" i="3" s="1"/>
  <c r="X40" i="3" a="1"/>
  <c r="X40" i="3" s="1"/>
  <c r="W40" i="3" a="1"/>
  <c r="W40" i="3" s="1"/>
  <c r="V40" i="3" a="1"/>
  <c r="V40" i="3" s="1"/>
  <c r="U40" i="3" a="1"/>
  <c r="U40" i="3" s="1"/>
  <c r="T40" i="3" a="1"/>
  <c r="T40" i="3" s="1"/>
  <c r="S40" i="3" a="1"/>
  <c r="S40" i="3" s="1"/>
  <c r="R40" i="3" a="1"/>
  <c r="R40" i="3" s="1"/>
  <c r="Q40" i="3" a="1"/>
  <c r="Q40" i="3" s="1"/>
  <c r="P40" i="3" a="1"/>
  <c r="P40" i="3" s="1"/>
  <c r="O40" i="3" a="1"/>
  <c r="O40" i="3" s="1"/>
  <c r="N40" i="3" a="1"/>
  <c r="N40" i="3" s="1"/>
  <c r="M40" i="3" a="1"/>
  <c r="M40" i="3" s="1"/>
  <c r="L40" i="3" a="1"/>
  <c r="L40" i="3" s="1"/>
  <c r="K40" i="3" a="1"/>
  <c r="K40" i="3" s="1"/>
  <c r="J40" i="3" a="1"/>
  <c r="J40" i="3" s="1"/>
  <c r="I40" i="3" a="1"/>
  <c r="I40" i="3" s="1"/>
  <c r="G40" i="3" a="1"/>
  <c r="G40" i="3" s="1"/>
  <c r="F40" i="3" a="1"/>
  <c r="F40" i="3" s="1"/>
  <c r="E40" i="3" a="1"/>
  <c r="E40" i="3" s="1"/>
  <c r="D40" i="3" a="1"/>
  <c r="D40" i="3" s="1"/>
  <c r="C40" i="3" a="1"/>
  <c r="C40" i="3" s="1"/>
  <c r="B40" i="3" a="1"/>
  <c r="B40" i="3" s="1"/>
  <c r="Z39" i="3" a="1"/>
  <c r="Z39" i="3" s="1"/>
  <c r="Y39" i="3" a="1"/>
  <c r="Y39" i="3" s="1"/>
  <c r="X39" i="3" a="1"/>
  <c r="X39" i="3" s="1"/>
  <c r="W39" i="3" a="1"/>
  <c r="W39" i="3" s="1"/>
  <c r="V39" i="3" a="1"/>
  <c r="V39" i="3" s="1"/>
  <c r="U39" i="3" a="1"/>
  <c r="U39" i="3" s="1"/>
  <c r="T39" i="3" a="1"/>
  <c r="T39" i="3" s="1"/>
  <c r="S39" i="3" a="1"/>
  <c r="S39" i="3" s="1"/>
  <c r="R39" i="3" a="1"/>
  <c r="R39" i="3" s="1"/>
  <c r="Q39" i="3" a="1"/>
  <c r="Q39" i="3" s="1"/>
  <c r="P39" i="3" a="1"/>
  <c r="P39" i="3" s="1"/>
  <c r="O39" i="3" a="1"/>
  <c r="O39" i="3" s="1"/>
  <c r="N39" i="3" a="1"/>
  <c r="N39" i="3" s="1"/>
  <c r="M39" i="3" a="1"/>
  <c r="M39" i="3" s="1"/>
  <c r="L39" i="3" a="1"/>
  <c r="L39" i="3" s="1"/>
  <c r="K39" i="3" a="1"/>
  <c r="K39" i="3" s="1"/>
  <c r="J39" i="3" a="1"/>
  <c r="J39" i="3" s="1"/>
  <c r="I39" i="3" a="1"/>
  <c r="I39" i="3" s="1"/>
  <c r="G39" i="3" a="1"/>
  <c r="G39" i="3" s="1"/>
  <c r="F39" i="3" a="1"/>
  <c r="F39" i="3" s="1"/>
  <c r="E39" i="3" a="1"/>
  <c r="E39" i="3" s="1"/>
  <c r="D39" i="3" a="1"/>
  <c r="D39" i="3" s="1"/>
  <c r="C39" i="3" a="1"/>
  <c r="C39" i="3" s="1"/>
  <c r="B39" i="3" a="1"/>
  <c r="B39" i="3" s="1"/>
  <c r="Z38" i="3" a="1"/>
  <c r="Z38" i="3" s="1"/>
  <c r="Y38" i="3" a="1"/>
  <c r="Y38" i="3" s="1"/>
  <c r="X38" i="3" a="1"/>
  <c r="X38" i="3" s="1"/>
  <c r="W38" i="3" a="1"/>
  <c r="W38" i="3" s="1"/>
  <c r="V38" i="3" a="1"/>
  <c r="V38" i="3" s="1"/>
  <c r="U38" i="3" a="1"/>
  <c r="U38" i="3" s="1"/>
  <c r="T38" i="3" a="1"/>
  <c r="T38" i="3" s="1"/>
  <c r="S38" i="3" a="1"/>
  <c r="S38" i="3" s="1"/>
  <c r="R38" i="3" a="1"/>
  <c r="R38" i="3" s="1"/>
  <c r="Q38" i="3" a="1"/>
  <c r="Q38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J38" i="3" a="1"/>
  <c r="J38" i="3" s="1"/>
  <c r="I38" i="3" a="1"/>
  <c r="I38" i="3" s="1"/>
  <c r="G38" i="3" a="1"/>
  <c r="G38" i="3" s="1"/>
  <c r="F38" i="3" a="1"/>
  <c r="F38" i="3" s="1"/>
  <c r="E38" i="3" a="1"/>
  <c r="E38" i="3" s="1"/>
  <c r="D38" i="3" a="1"/>
  <c r="D38" i="3" s="1"/>
  <c r="C38" i="3" a="1"/>
  <c r="C38" i="3" s="1"/>
  <c r="B38" i="3" a="1"/>
  <c r="B38" i="3" s="1"/>
  <c r="Z37" i="3" a="1"/>
  <c r="Z37" i="3" s="1"/>
  <c r="Y37" i="3" a="1"/>
  <c r="Y37" i="3" s="1"/>
  <c r="X37" i="3" a="1"/>
  <c r="X37" i="3" s="1"/>
  <c r="W37" i="3" a="1"/>
  <c r="W37" i="3" s="1"/>
  <c r="V37" i="3" a="1"/>
  <c r="V37" i="3" s="1"/>
  <c r="U37" i="3" a="1"/>
  <c r="U37" i="3" s="1"/>
  <c r="T37" i="3" a="1"/>
  <c r="T37" i="3" s="1"/>
  <c r="S37" i="3" a="1"/>
  <c r="S37" i="3" s="1"/>
  <c r="R37" i="3" a="1"/>
  <c r="R37" i="3" s="1"/>
  <c r="Q37" i="3" a="1"/>
  <c r="Q37" i="3" s="1"/>
  <c r="P37" i="3" a="1"/>
  <c r="P37" i="3" s="1"/>
  <c r="O37" i="3" a="1"/>
  <c r="O37" i="3" s="1"/>
  <c r="N37" i="3" a="1"/>
  <c r="N37" i="3" s="1"/>
  <c r="M37" i="3" a="1"/>
  <c r="M37" i="3" s="1"/>
  <c r="L37" i="3" a="1"/>
  <c r="L37" i="3" s="1"/>
  <c r="K37" i="3" a="1"/>
  <c r="K37" i="3" s="1"/>
  <c r="J37" i="3" a="1"/>
  <c r="J37" i="3" s="1"/>
  <c r="I37" i="3" a="1"/>
  <c r="I37" i="3" s="1"/>
  <c r="G37" i="3" a="1"/>
  <c r="G37" i="3" s="1"/>
  <c r="F37" i="3" a="1"/>
  <c r="F37" i="3" s="1"/>
  <c r="E37" i="3" a="1"/>
  <c r="E37" i="3" s="1"/>
  <c r="D37" i="3" a="1"/>
  <c r="D37" i="3" s="1"/>
  <c r="C37" i="3" a="1"/>
  <c r="C37" i="3" s="1"/>
  <c r="B37" i="3" a="1"/>
  <c r="B37" i="3" s="1"/>
  <c r="Z36" i="3" a="1"/>
  <c r="Z36" i="3" s="1"/>
  <c r="Y36" i="3" a="1"/>
  <c r="Y36" i="3" s="1"/>
  <c r="X36" i="3" a="1"/>
  <c r="X36" i="3" s="1"/>
  <c r="W36" i="3" a="1"/>
  <c r="W36" i="3" s="1"/>
  <c r="V36" i="3" a="1"/>
  <c r="V36" i="3" s="1"/>
  <c r="U36" i="3" a="1"/>
  <c r="U36" i="3" s="1"/>
  <c r="T36" i="3" a="1"/>
  <c r="T36" i="3" s="1"/>
  <c r="S36" i="3" a="1"/>
  <c r="S36" i="3" s="1"/>
  <c r="R36" i="3" a="1"/>
  <c r="R36" i="3" s="1"/>
  <c r="Q36" i="3" a="1"/>
  <c r="Q36" i="3" s="1"/>
  <c r="P36" i="3" a="1"/>
  <c r="P36" i="3" s="1"/>
  <c r="O36" i="3" a="1"/>
  <c r="O36" i="3" s="1"/>
  <c r="N36" i="3" a="1"/>
  <c r="N36" i="3" s="1"/>
  <c r="M36" i="3" a="1"/>
  <c r="M36" i="3" s="1"/>
  <c r="L36" i="3" a="1"/>
  <c r="L36" i="3" s="1"/>
  <c r="K36" i="3" a="1"/>
  <c r="K36" i="3" s="1"/>
  <c r="J36" i="3" a="1"/>
  <c r="J36" i="3" s="1"/>
  <c r="I36" i="3" a="1"/>
  <c r="I36" i="3" s="1"/>
  <c r="G36" i="3" a="1"/>
  <c r="G36" i="3" s="1"/>
  <c r="F36" i="3" a="1"/>
  <c r="F36" i="3" s="1"/>
  <c r="E36" i="3" a="1"/>
  <c r="E36" i="3" s="1"/>
  <c r="D36" i="3" a="1"/>
  <c r="D36" i="3" s="1"/>
  <c r="C36" i="3" a="1"/>
  <c r="C36" i="3" s="1"/>
  <c r="B36" i="3" a="1"/>
  <c r="B36" i="3" s="1"/>
  <c r="Z35" i="3" a="1"/>
  <c r="Z35" i="3" s="1"/>
  <c r="Y35" i="3" a="1"/>
  <c r="Y35" i="3" s="1"/>
  <c r="X35" i="3" a="1"/>
  <c r="X35" i="3" s="1"/>
  <c r="W35" i="3" a="1"/>
  <c r="W35" i="3" s="1"/>
  <c r="V35" i="3" a="1"/>
  <c r="V35" i="3" s="1"/>
  <c r="U35" i="3" a="1"/>
  <c r="U35" i="3" s="1"/>
  <c r="T35" i="3" a="1"/>
  <c r="T35" i="3" s="1"/>
  <c r="S35" i="3" a="1"/>
  <c r="S35" i="3" s="1"/>
  <c r="R35" i="3" a="1"/>
  <c r="R35" i="3" s="1"/>
  <c r="Q35" i="3" a="1"/>
  <c r="Q35" i="3" s="1"/>
  <c r="P35" i="3" a="1"/>
  <c r="P35" i="3" s="1"/>
  <c r="O35" i="3" a="1"/>
  <c r="O35" i="3" s="1"/>
  <c r="N35" i="3" a="1"/>
  <c r="N35" i="3" s="1"/>
  <c r="M35" i="3" a="1"/>
  <c r="M35" i="3" s="1"/>
  <c r="L35" i="3" a="1"/>
  <c r="L35" i="3" s="1"/>
  <c r="K35" i="3" a="1"/>
  <c r="K35" i="3" s="1"/>
  <c r="J35" i="3" a="1"/>
  <c r="J35" i="3" s="1"/>
  <c r="I35" i="3" a="1"/>
  <c r="I35" i="3" s="1"/>
  <c r="G35" i="3" a="1"/>
  <c r="G35" i="3" s="1"/>
  <c r="F35" i="3" a="1"/>
  <c r="F35" i="3" s="1"/>
  <c r="E35" i="3" a="1"/>
  <c r="E35" i="3" s="1"/>
  <c r="D35" i="3" a="1"/>
  <c r="D35" i="3" s="1"/>
  <c r="C35" i="3" a="1"/>
  <c r="C35" i="3" s="1"/>
  <c r="B35" i="3" a="1"/>
  <c r="B35" i="3" s="1"/>
  <c r="Z34" i="3" a="1"/>
  <c r="Z34" i="3" s="1"/>
  <c r="Y34" i="3" a="1"/>
  <c r="Y34" i="3" s="1"/>
  <c r="X34" i="3" a="1"/>
  <c r="X34" i="3" s="1"/>
  <c r="W34" i="3" a="1"/>
  <c r="W34" i="3" s="1"/>
  <c r="V34" i="3" a="1"/>
  <c r="V34" i="3" s="1"/>
  <c r="U34" i="3" a="1"/>
  <c r="U34" i="3" s="1"/>
  <c r="T34" i="3" a="1"/>
  <c r="T34" i="3" s="1"/>
  <c r="S34" i="3" a="1"/>
  <c r="S34" i="3" s="1"/>
  <c r="R34" i="3" a="1"/>
  <c r="R34" i="3" s="1"/>
  <c r="Q34" i="3" a="1"/>
  <c r="Q34" i="3" s="1"/>
  <c r="P34" i="3" a="1"/>
  <c r="P34" i="3" s="1"/>
  <c r="O34" i="3" a="1"/>
  <c r="O34" i="3" s="1"/>
  <c r="N34" i="3" a="1"/>
  <c r="N34" i="3" s="1"/>
  <c r="M34" i="3" a="1"/>
  <c r="M34" i="3" s="1"/>
  <c r="L34" i="3" a="1"/>
  <c r="L34" i="3" s="1"/>
  <c r="K34" i="3" a="1"/>
  <c r="K34" i="3" s="1"/>
  <c r="J34" i="3" a="1"/>
  <c r="J34" i="3" s="1"/>
  <c r="I34" i="3" a="1"/>
  <c r="I34" i="3" s="1"/>
  <c r="G34" i="3" a="1"/>
  <c r="G34" i="3" s="1"/>
  <c r="F34" i="3" a="1"/>
  <c r="F34" i="3" s="1"/>
  <c r="E34" i="3" a="1"/>
  <c r="E34" i="3" s="1"/>
  <c r="D34" i="3" a="1"/>
  <c r="D34" i="3" s="1"/>
  <c r="C34" i="3" a="1"/>
  <c r="C34" i="3" s="1"/>
  <c r="B34" i="3" a="1"/>
  <c r="B34" i="3" s="1"/>
  <c r="Z33" i="3" a="1"/>
  <c r="Z33" i="3" s="1"/>
  <c r="Y33" i="3" a="1"/>
  <c r="Y33" i="3" s="1"/>
  <c r="X33" i="3" a="1"/>
  <c r="X33" i="3" s="1"/>
  <c r="W33" i="3" a="1"/>
  <c r="W33" i="3" s="1"/>
  <c r="V33" i="3" a="1"/>
  <c r="V33" i="3" s="1"/>
  <c r="U33" i="3" a="1"/>
  <c r="U33" i="3" s="1"/>
  <c r="T33" i="3" a="1"/>
  <c r="T33" i="3" s="1"/>
  <c r="S33" i="3" a="1"/>
  <c r="S33" i="3" s="1"/>
  <c r="R33" i="3" a="1"/>
  <c r="R33" i="3" s="1"/>
  <c r="Q33" i="3" a="1"/>
  <c r="Q33" i="3" s="1"/>
  <c r="P33" i="3" a="1"/>
  <c r="P33" i="3" s="1"/>
  <c r="O33" i="3" a="1"/>
  <c r="O33" i="3" s="1"/>
  <c r="N33" i="3" a="1"/>
  <c r="N33" i="3" s="1"/>
  <c r="M33" i="3" a="1"/>
  <c r="M33" i="3" s="1"/>
  <c r="L33" i="3" a="1"/>
  <c r="L33" i="3" s="1"/>
  <c r="K33" i="3" a="1"/>
  <c r="K33" i="3" s="1"/>
  <c r="J33" i="3" a="1"/>
  <c r="J33" i="3" s="1"/>
  <c r="I33" i="3" a="1"/>
  <c r="I33" i="3" s="1"/>
  <c r="G33" i="3" a="1"/>
  <c r="G33" i="3" s="1"/>
  <c r="F33" i="3" a="1"/>
  <c r="F33" i="3" s="1"/>
  <c r="E33" i="3" a="1"/>
  <c r="E33" i="3" s="1"/>
  <c r="D33" i="3" a="1"/>
  <c r="D33" i="3" s="1"/>
  <c r="C33" i="3" a="1"/>
  <c r="C33" i="3" s="1"/>
  <c r="B33" i="3" a="1"/>
  <c r="B33" i="3" s="1"/>
  <c r="Z32" i="3" a="1"/>
  <c r="Z32" i="3" s="1"/>
  <c r="Y32" i="3" a="1"/>
  <c r="Y32" i="3" s="1"/>
  <c r="X32" i="3" a="1"/>
  <c r="X32" i="3" s="1"/>
  <c r="W32" i="3" a="1"/>
  <c r="W32" i="3" s="1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J32" i="3" a="1"/>
  <c r="J32" i="3" s="1"/>
  <c r="I32" i="3" a="1"/>
  <c r="I32" i="3" s="1"/>
  <c r="G32" i="3" a="1"/>
  <c r="G32" i="3" s="1"/>
  <c r="F32" i="3" a="1"/>
  <c r="F32" i="3" s="1"/>
  <c r="E32" i="3" a="1"/>
  <c r="E32" i="3" s="1"/>
  <c r="D32" i="3" a="1"/>
  <c r="D32" i="3" s="1"/>
  <c r="C32" i="3" a="1"/>
  <c r="C32" i="3" s="1"/>
  <c r="B32" i="3" a="1"/>
  <c r="B32" i="3" s="1"/>
  <c r="Z31" i="3" a="1"/>
  <c r="Z31" i="3" s="1"/>
  <c r="Y31" i="3" a="1"/>
  <c r="Y31" i="3" s="1"/>
  <c r="X31" i="3" a="1"/>
  <c r="X31" i="3" s="1"/>
  <c r="W31" i="3" a="1"/>
  <c r="W31" i="3" s="1"/>
  <c r="V31" i="3" a="1"/>
  <c r="V31" i="3" s="1"/>
  <c r="U31" i="3" a="1"/>
  <c r="U31" i="3" s="1"/>
  <c r="T31" i="3" a="1"/>
  <c r="T31" i="3" s="1"/>
  <c r="S31" i="3" a="1"/>
  <c r="S31" i="3" s="1"/>
  <c r="R31" i="3" a="1"/>
  <c r="R31" i="3" s="1"/>
  <c r="Q31" i="3" a="1"/>
  <c r="Q31" i="3" s="1"/>
  <c r="P31" i="3" a="1"/>
  <c r="P31" i="3" s="1"/>
  <c r="O31" i="3" a="1"/>
  <c r="O31" i="3" s="1"/>
  <c r="N31" i="3" a="1"/>
  <c r="N31" i="3" s="1"/>
  <c r="M31" i="3" a="1"/>
  <c r="M31" i="3" s="1"/>
  <c r="L31" i="3" a="1"/>
  <c r="L31" i="3" s="1"/>
  <c r="K31" i="3" a="1"/>
  <c r="K31" i="3" s="1"/>
  <c r="J31" i="3" a="1"/>
  <c r="J31" i="3" s="1"/>
  <c r="I31" i="3" a="1"/>
  <c r="I31" i="3" s="1"/>
  <c r="G31" i="3" a="1"/>
  <c r="G31" i="3" s="1"/>
  <c r="F31" i="3" a="1"/>
  <c r="F31" i="3" s="1"/>
  <c r="E31" i="3" a="1"/>
  <c r="E31" i="3" s="1"/>
  <c r="D31" i="3" a="1"/>
  <c r="D31" i="3" s="1"/>
  <c r="C31" i="3" a="1"/>
  <c r="C31" i="3" s="1"/>
  <c r="B31" i="3" a="1"/>
  <c r="B31" i="3" s="1"/>
  <c r="Q27" i="3" a="1"/>
  <c r="Q27" i="3" s="1"/>
  <c r="P27" i="3" a="1"/>
  <c r="P27" i="3" s="1"/>
  <c r="O27" i="3" a="1"/>
  <c r="O27" i="3" s="1"/>
  <c r="N27" i="3" a="1"/>
  <c r="N27" i="3" s="1"/>
  <c r="M27" i="3" a="1"/>
  <c r="M27" i="3" s="1"/>
  <c r="L27" i="3" a="1"/>
  <c r="L27" i="3" s="1"/>
  <c r="K27" i="3" a="1"/>
  <c r="K27" i="3" s="1"/>
  <c r="J27" i="3" a="1"/>
  <c r="J27" i="3" s="1"/>
  <c r="I27" i="3" a="1"/>
  <c r="I27" i="3" s="1"/>
  <c r="G27" i="3" a="1"/>
  <c r="G27" i="3" s="1"/>
  <c r="F27" i="3" a="1"/>
  <c r="F27" i="3" s="1"/>
  <c r="E27" i="3" a="1"/>
  <c r="E27" i="3" s="1"/>
  <c r="D27" i="3" a="1"/>
  <c r="D27" i="3" s="1"/>
  <c r="C27" i="3" a="1"/>
  <c r="C27" i="3" s="1"/>
  <c r="B27" i="3" a="1"/>
  <c r="B27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J26" i="3" a="1"/>
  <c r="J26" i="3" s="1"/>
  <c r="I26" i="3" a="1"/>
  <c r="I26" i="3" s="1"/>
  <c r="G26" i="3" a="1"/>
  <c r="G26" i="3" s="1"/>
  <c r="F26" i="3" a="1"/>
  <c r="F26" i="3" s="1"/>
  <c r="E26" i="3" a="1"/>
  <c r="E26" i="3" s="1"/>
  <c r="D26" i="3" a="1"/>
  <c r="D26" i="3" s="1"/>
  <c r="C26" i="3" a="1"/>
  <c r="C26" i="3" s="1"/>
  <c r="B26" i="3" a="1"/>
  <c r="B26" i="3" s="1"/>
  <c r="T25" i="3" a="1"/>
  <c r="T25" i="3" s="1"/>
  <c r="Z21" i="3" a="1"/>
  <c r="Z21" i="3" s="1"/>
  <c r="Y21" i="3" a="1"/>
  <c r="Y21" i="3" s="1"/>
  <c r="X21" i="3" a="1"/>
  <c r="X21" i="3" s="1"/>
  <c r="W21" i="3" a="1"/>
  <c r="W21" i="3" s="1"/>
  <c r="V21" i="3" a="1"/>
  <c r="V21" i="3" s="1"/>
  <c r="U21" i="3" a="1"/>
  <c r="U21" i="3" s="1"/>
  <c r="T21" i="3" a="1"/>
  <c r="T21" i="3" s="1"/>
  <c r="S21" i="3" a="1"/>
  <c r="S21" i="3" s="1"/>
  <c r="R21" i="3" a="1"/>
  <c r="R21" i="3" s="1"/>
  <c r="Q21" i="3" a="1"/>
  <c r="Q21" i="3" s="1"/>
  <c r="P21" i="3" a="1"/>
  <c r="P21" i="3" s="1"/>
  <c r="O21" i="3" a="1"/>
  <c r="O21" i="3" s="1"/>
  <c r="N21" i="3" a="1"/>
  <c r="N21" i="3" s="1"/>
  <c r="M21" i="3" a="1"/>
  <c r="M21" i="3" s="1"/>
  <c r="L21" i="3" a="1"/>
  <c r="L21" i="3" s="1"/>
  <c r="K21" i="3" a="1"/>
  <c r="K21" i="3" s="1"/>
  <c r="J21" i="3" a="1"/>
  <c r="J21" i="3" s="1"/>
  <c r="I21" i="3" a="1"/>
  <c r="I21" i="3" s="1"/>
  <c r="G21" i="3" a="1"/>
  <c r="G21" i="3" s="1"/>
  <c r="F21" i="3" a="1"/>
  <c r="F21" i="3" s="1"/>
  <c r="E21" i="3" a="1"/>
  <c r="E21" i="3" s="1"/>
  <c r="D21" i="3" a="1"/>
  <c r="D21" i="3" s="1"/>
  <c r="C21" i="3" a="1"/>
  <c r="C21" i="3" s="1"/>
  <c r="B21" i="3" a="1"/>
  <c r="B21" i="3" s="1"/>
  <c r="Z20" i="3" a="1"/>
  <c r="Z20" i="3" s="1"/>
  <c r="Y20" i="3" a="1"/>
  <c r="Y20" i="3" s="1"/>
  <c r="X20" i="3" a="1"/>
  <c r="X20" i="3" s="1"/>
  <c r="W20" i="3" a="1"/>
  <c r="W20" i="3" s="1"/>
  <c r="V20" i="3" a="1"/>
  <c r="V20" i="3" s="1"/>
  <c r="U20" i="3" a="1"/>
  <c r="U20" i="3" s="1"/>
  <c r="T20" i="3" a="1"/>
  <c r="T20" i="3" s="1"/>
  <c r="S20" i="3" a="1"/>
  <c r="S20" i="3" s="1"/>
  <c r="R20" i="3" a="1"/>
  <c r="R20" i="3" s="1"/>
  <c r="Q20" i="3" a="1"/>
  <c r="Q20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J20" i="3" a="1"/>
  <c r="J20" i="3" s="1"/>
  <c r="I20" i="3" a="1"/>
  <c r="I20" i="3" s="1"/>
  <c r="G20" i="3" a="1"/>
  <c r="G20" i="3" s="1"/>
  <c r="F20" i="3" a="1"/>
  <c r="F20" i="3" s="1"/>
  <c r="E20" i="3" a="1"/>
  <c r="E20" i="3" s="1"/>
  <c r="D20" i="3" a="1"/>
  <c r="D20" i="3" s="1"/>
  <c r="C20" i="3" a="1"/>
  <c r="C20" i="3" s="1"/>
  <c r="B20" i="3" a="1"/>
  <c r="B20" i="3" s="1"/>
  <c r="Z19" i="3" a="1"/>
  <c r="Z19" i="3" s="1"/>
  <c r="Y19" i="3" a="1"/>
  <c r="Y19" i="3" s="1"/>
  <c r="X19" i="3" a="1"/>
  <c r="X19" i="3" s="1"/>
  <c r="W19" i="3" a="1"/>
  <c r="W19" i="3" s="1"/>
  <c r="V19" i="3" a="1"/>
  <c r="V19" i="3" s="1"/>
  <c r="U19" i="3" a="1"/>
  <c r="U19" i="3" s="1"/>
  <c r="T19" i="3" a="1"/>
  <c r="T19" i="3" s="1"/>
  <c r="S19" i="3" a="1"/>
  <c r="S19" i="3" s="1"/>
  <c r="R19" i="3" a="1"/>
  <c r="R19" i="3" s="1"/>
  <c r="Q19" i="3" a="1"/>
  <c r="Q19" i="3" s="1"/>
  <c r="P19" i="3" a="1"/>
  <c r="P19" i="3" s="1"/>
  <c r="O19" i="3" a="1"/>
  <c r="O19" i="3" s="1"/>
  <c r="N19" i="3" a="1"/>
  <c r="N19" i="3" s="1"/>
  <c r="M19" i="3" a="1"/>
  <c r="M19" i="3" s="1"/>
  <c r="L19" i="3" a="1"/>
  <c r="L19" i="3" s="1"/>
  <c r="K19" i="3" a="1"/>
  <c r="K19" i="3" s="1"/>
  <c r="J19" i="3" a="1"/>
  <c r="J19" i="3" s="1"/>
  <c r="I19" i="3" a="1"/>
  <c r="I19" i="3" s="1"/>
  <c r="G19" i="3" a="1"/>
  <c r="G19" i="3" s="1"/>
  <c r="F19" i="3" a="1"/>
  <c r="F19" i="3" s="1"/>
  <c r="E19" i="3" a="1"/>
  <c r="E19" i="3" s="1"/>
  <c r="D19" i="3" a="1"/>
  <c r="D19" i="3" s="1"/>
  <c r="C19" i="3" a="1"/>
  <c r="C19" i="3" s="1"/>
  <c r="B19" i="3" a="1"/>
  <c r="B19" i="3" s="1"/>
  <c r="Z18" i="3" a="1"/>
  <c r="Z18" i="3" s="1"/>
  <c r="Y18" i="3" a="1"/>
  <c r="Y18" i="3" s="1"/>
  <c r="X18" i="3" a="1"/>
  <c r="X18" i="3" s="1"/>
  <c r="W18" i="3" a="1"/>
  <c r="W18" i="3" s="1"/>
  <c r="V18" i="3" a="1"/>
  <c r="V18" i="3" s="1"/>
  <c r="U18" i="3" a="1"/>
  <c r="U18" i="3" s="1"/>
  <c r="T18" i="3" a="1"/>
  <c r="T18" i="3" s="1"/>
  <c r="S18" i="3" a="1"/>
  <c r="S18" i="3" s="1"/>
  <c r="R18" i="3" a="1"/>
  <c r="R18" i="3" s="1"/>
  <c r="Q18" i="3" a="1"/>
  <c r="Q18" i="3" s="1"/>
  <c r="P18" i="3" a="1"/>
  <c r="P18" i="3" s="1"/>
  <c r="O18" i="3" a="1"/>
  <c r="O18" i="3" s="1"/>
  <c r="N18" i="3" a="1"/>
  <c r="N18" i="3" s="1"/>
  <c r="M18" i="3" a="1"/>
  <c r="M18" i="3" s="1"/>
  <c r="L18" i="3" a="1"/>
  <c r="L18" i="3" s="1"/>
  <c r="K18" i="3" a="1"/>
  <c r="K18" i="3" s="1"/>
  <c r="J18" i="3" a="1"/>
  <c r="J18" i="3" s="1"/>
  <c r="I18" i="3" a="1"/>
  <c r="I18" i="3" s="1"/>
  <c r="G18" i="3" a="1"/>
  <c r="G18" i="3" s="1"/>
  <c r="F18" i="3" a="1"/>
  <c r="F18" i="3" s="1"/>
  <c r="E18" i="3" a="1"/>
  <c r="E18" i="3" s="1"/>
  <c r="D18" i="3" a="1"/>
  <c r="D18" i="3" s="1"/>
  <c r="C18" i="3" a="1"/>
  <c r="C18" i="3" s="1"/>
  <c r="B18" i="3" a="1"/>
  <c r="B18" i="3" s="1"/>
  <c r="Z17" i="3" a="1"/>
  <c r="Z17" i="3" s="1"/>
  <c r="Y17" i="3" a="1"/>
  <c r="Y17" i="3" s="1"/>
  <c r="X17" i="3" a="1"/>
  <c r="X17" i="3" s="1"/>
  <c r="W17" i="3" a="1"/>
  <c r="W17" i="3" s="1"/>
  <c r="V17" i="3" a="1"/>
  <c r="V17" i="3" s="1"/>
  <c r="U17" i="3" a="1"/>
  <c r="U17" i="3" s="1"/>
  <c r="T17" i="3" a="1"/>
  <c r="T17" i="3" s="1"/>
  <c r="S17" i="3" a="1"/>
  <c r="S17" i="3" s="1"/>
  <c r="R17" i="3" a="1"/>
  <c r="R17" i="3" s="1"/>
  <c r="Q17" i="3" a="1"/>
  <c r="Q17" i="3" s="1"/>
  <c r="P17" i="3" a="1"/>
  <c r="P17" i="3" s="1"/>
  <c r="O17" i="3" a="1"/>
  <c r="O17" i="3" s="1"/>
  <c r="N17" i="3" a="1"/>
  <c r="N17" i="3" s="1"/>
  <c r="M17" i="3" a="1"/>
  <c r="M17" i="3" s="1"/>
  <c r="L17" i="3" a="1"/>
  <c r="L17" i="3" s="1"/>
  <c r="K17" i="3" a="1"/>
  <c r="K17" i="3" s="1"/>
  <c r="J17" i="3" a="1"/>
  <c r="J17" i="3" s="1"/>
  <c r="I17" i="3" a="1"/>
  <c r="I17" i="3" s="1"/>
  <c r="G17" i="3" a="1"/>
  <c r="G17" i="3" s="1"/>
  <c r="F17" i="3" a="1"/>
  <c r="F17" i="3" s="1"/>
  <c r="E17" i="3" a="1"/>
  <c r="E17" i="3" s="1"/>
  <c r="D17" i="3" a="1"/>
  <c r="D17" i="3" s="1"/>
  <c r="C17" i="3" a="1"/>
  <c r="C17" i="3" s="1"/>
  <c r="B17" i="3" a="1"/>
  <c r="B17" i="3" s="1"/>
  <c r="Z16" i="3" a="1"/>
  <c r="Z16" i="3" s="1"/>
  <c r="Y16" i="3" a="1"/>
  <c r="Y16" i="3" s="1"/>
  <c r="X16" i="3" a="1"/>
  <c r="X16" i="3" s="1"/>
  <c r="W16" i="3" a="1"/>
  <c r="W16" i="3" s="1"/>
  <c r="V16" i="3" a="1"/>
  <c r="V16" i="3" s="1"/>
  <c r="U16" i="3" a="1"/>
  <c r="U16" i="3" s="1"/>
  <c r="T16" i="3" a="1"/>
  <c r="T16" i="3" s="1"/>
  <c r="S16" i="3" a="1"/>
  <c r="S16" i="3" s="1"/>
  <c r="R16" i="3" a="1"/>
  <c r="R16" i="3" s="1"/>
  <c r="Q16" i="3" a="1"/>
  <c r="Q16" i="3" s="1"/>
  <c r="P16" i="3" a="1"/>
  <c r="P16" i="3" s="1"/>
  <c r="O16" i="3" a="1"/>
  <c r="O16" i="3" s="1"/>
  <c r="N16" i="3" a="1"/>
  <c r="N16" i="3" s="1"/>
  <c r="M16" i="3" a="1"/>
  <c r="M16" i="3" s="1"/>
  <c r="L16" i="3" a="1"/>
  <c r="L16" i="3" s="1"/>
  <c r="K16" i="3" a="1"/>
  <c r="K16" i="3" s="1"/>
  <c r="J16" i="3" a="1"/>
  <c r="J16" i="3" s="1"/>
  <c r="I16" i="3" a="1"/>
  <c r="I16" i="3" s="1"/>
  <c r="G16" i="3" a="1"/>
  <c r="G16" i="3" s="1"/>
  <c r="F16" i="3" a="1"/>
  <c r="F16" i="3" s="1"/>
  <c r="E16" i="3" a="1"/>
  <c r="E16" i="3" s="1"/>
  <c r="D16" i="3" a="1"/>
  <c r="D16" i="3" s="1"/>
  <c r="C16" i="3" a="1"/>
  <c r="C16" i="3" s="1"/>
  <c r="B16" i="3" a="1"/>
  <c r="B16" i="3" s="1"/>
  <c r="Z15" i="3" a="1"/>
  <c r="Z15" i="3" s="1"/>
  <c r="Y15" i="3" a="1"/>
  <c r="Y15" i="3" s="1"/>
  <c r="X15" i="3" a="1"/>
  <c r="X15" i="3" s="1"/>
  <c r="W15" i="3" a="1"/>
  <c r="W15" i="3" s="1"/>
  <c r="V15" i="3" a="1"/>
  <c r="V15" i="3" s="1"/>
  <c r="U15" i="3" a="1"/>
  <c r="U15" i="3" s="1"/>
  <c r="T15" i="3" a="1"/>
  <c r="T15" i="3" s="1"/>
  <c r="S15" i="3" a="1"/>
  <c r="S15" i="3" s="1"/>
  <c r="R15" i="3" a="1"/>
  <c r="R15" i="3" s="1"/>
  <c r="Q15" i="3" a="1"/>
  <c r="Q15" i="3" s="1"/>
  <c r="P15" i="3" a="1"/>
  <c r="P15" i="3" s="1"/>
  <c r="O15" i="3" a="1"/>
  <c r="O15" i="3" s="1"/>
  <c r="N15" i="3" a="1"/>
  <c r="N15" i="3" s="1"/>
  <c r="M15" i="3" a="1"/>
  <c r="M15" i="3" s="1"/>
  <c r="L15" i="3" a="1"/>
  <c r="L15" i="3" s="1"/>
  <c r="K15" i="3" a="1"/>
  <c r="K15" i="3" s="1"/>
  <c r="J15" i="3" a="1"/>
  <c r="J15" i="3" s="1"/>
  <c r="I15" i="3" a="1"/>
  <c r="I15" i="3" s="1"/>
  <c r="G15" i="3" a="1"/>
  <c r="G15" i="3" s="1"/>
  <c r="F15" i="3" a="1"/>
  <c r="F15" i="3" s="1"/>
  <c r="E15" i="3" a="1"/>
  <c r="E15" i="3" s="1"/>
  <c r="D15" i="3" a="1"/>
  <c r="D15" i="3" s="1"/>
  <c r="C15" i="3" a="1"/>
  <c r="C15" i="3" s="1"/>
  <c r="B15" i="3" a="1"/>
  <c r="B15" i="3" s="1"/>
  <c r="Z13" i="3" a="1"/>
  <c r="Z13" i="3" s="1"/>
  <c r="Y13" i="3" a="1"/>
  <c r="Y13" i="3" s="1"/>
  <c r="X13" i="3" a="1"/>
  <c r="X13" i="3" s="1"/>
  <c r="W13" i="3" a="1"/>
  <c r="W13" i="3" s="1"/>
  <c r="V13" i="3" a="1"/>
  <c r="V13" i="3" s="1"/>
  <c r="U13" i="3" a="1"/>
  <c r="U13" i="3" s="1"/>
  <c r="T13" i="3" a="1"/>
  <c r="T13" i="3" s="1"/>
  <c r="S13" i="3" a="1"/>
  <c r="S13" i="3" s="1"/>
  <c r="R13" i="3" a="1"/>
  <c r="R13" i="3" s="1"/>
  <c r="Q13" i="3" a="1"/>
  <c r="Q13" i="3" s="1"/>
  <c r="P13" i="3" a="1"/>
  <c r="P13" i="3" s="1"/>
  <c r="O13" i="3" a="1"/>
  <c r="O13" i="3" s="1"/>
  <c r="N13" i="3" a="1"/>
  <c r="N13" i="3" s="1"/>
  <c r="M13" i="3" a="1"/>
  <c r="M13" i="3" s="1"/>
  <c r="L13" i="3" a="1"/>
  <c r="L13" i="3" s="1"/>
  <c r="K13" i="3" a="1"/>
  <c r="K13" i="3" s="1"/>
  <c r="J13" i="3" a="1"/>
  <c r="J13" i="3" s="1"/>
  <c r="I13" i="3" a="1"/>
  <c r="I13" i="3" s="1"/>
  <c r="G13" i="3" a="1"/>
  <c r="G13" i="3" s="1"/>
  <c r="F13" i="3" a="1"/>
  <c r="F13" i="3" s="1"/>
  <c r="E13" i="3" a="1"/>
  <c r="E13" i="3" s="1"/>
  <c r="D13" i="3" a="1"/>
  <c r="D13" i="3" s="1"/>
  <c r="C13" i="3" a="1"/>
  <c r="C13" i="3" s="1"/>
  <c r="B13" i="3" a="1"/>
  <c r="B13" i="3" s="1"/>
  <c r="Z12" i="3" a="1"/>
  <c r="Z12" i="3" s="1"/>
  <c r="Y12" i="3" a="1"/>
  <c r="Y12" i="3" s="1"/>
  <c r="X12" i="3" a="1"/>
  <c r="X12" i="3" s="1"/>
  <c r="W12" i="3" a="1"/>
  <c r="W12" i="3" s="1"/>
  <c r="V12" i="3" a="1"/>
  <c r="V12" i="3" s="1"/>
  <c r="U12" i="3" a="1"/>
  <c r="U12" i="3" s="1"/>
  <c r="T12" i="3" a="1"/>
  <c r="T12" i="3" s="1"/>
  <c r="S12" i="3" a="1"/>
  <c r="S12" i="3" s="1"/>
  <c r="R12" i="3" a="1"/>
  <c r="R12" i="3" s="1"/>
  <c r="Q12" i="3" a="1"/>
  <c r="Q12" i="3" s="1"/>
  <c r="P12" i="3" a="1"/>
  <c r="P12" i="3" s="1"/>
  <c r="O12" i="3" a="1"/>
  <c r="O12" i="3" s="1"/>
  <c r="N12" i="3" a="1"/>
  <c r="N12" i="3" s="1"/>
  <c r="M12" i="3" a="1"/>
  <c r="M12" i="3" s="1"/>
  <c r="L12" i="3" a="1"/>
  <c r="L12" i="3" s="1"/>
  <c r="K12" i="3" a="1"/>
  <c r="K12" i="3" s="1"/>
  <c r="J12" i="3" a="1"/>
  <c r="J12" i="3" s="1"/>
  <c r="I12" i="3" a="1"/>
  <c r="I12" i="3" s="1"/>
  <c r="G12" i="3" a="1"/>
  <c r="G12" i="3" s="1"/>
  <c r="F12" i="3" a="1"/>
  <c r="F12" i="3" s="1"/>
  <c r="E12" i="3" a="1"/>
  <c r="E12" i="3" s="1"/>
  <c r="D12" i="3" a="1"/>
  <c r="D12" i="3" s="1"/>
  <c r="C12" i="3" a="1"/>
  <c r="C12" i="3" s="1"/>
  <c r="B12" i="3" a="1"/>
  <c r="B12" i="3" s="1"/>
  <c r="Z11" i="3" a="1"/>
  <c r="Z11" i="3" s="1"/>
  <c r="Y11" i="3" a="1"/>
  <c r="Y11" i="3" s="1"/>
  <c r="X11" i="3" a="1"/>
  <c r="X11" i="3" s="1"/>
  <c r="W11" i="3" a="1"/>
  <c r="W11" i="3" s="1"/>
  <c r="V11" i="3" a="1"/>
  <c r="V11" i="3" s="1"/>
  <c r="U11" i="3" a="1"/>
  <c r="U11" i="3" s="1"/>
  <c r="T11" i="3" a="1"/>
  <c r="T11" i="3" s="1"/>
  <c r="S11" i="3" a="1"/>
  <c r="S11" i="3" s="1"/>
  <c r="R11" i="3" a="1"/>
  <c r="R11" i="3" s="1"/>
  <c r="Q11" i="3" a="1"/>
  <c r="Q11" i="3" s="1"/>
  <c r="P11" i="3" a="1"/>
  <c r="P11" i="3" s="1"/>
  <c r="O11" i="3" a="1"/>
  <c r="O11" i="3" s="1"/>
  <c r="N11" i="3" a="1"/>
  <c r="N11" i="3" s="1"/>
  <c r="M11" i="3" a="1"/>
  <c r="M11" i="3" s="1"/>
  <c r="L11" i="3" a="1"/>
  <c r="L11" i="3" s="1"/>
  <c r="K11" i="3" a="1"/>
  <c r="K11" i="3" s="1"/>
  <c r="J11" i="3" a="1"/>
  <c r="J11" i="3" s="1"/>
  <c r="I11" i="3" a="1"/>
  <c r="I11" i="3" s="1"/>
  <c r="G11" i="3" a="1"/>
  <c r="G11" i="3" s="1"/>
  <c r="F11" i="3" a="1"/>
  <c r="F11" i="3" s="1"/>
  <c r="E11" i="3" a="1"/>
  <c r="E11" i="3" s="1"/>
  <c r="D11" i="3" a="1"/>
  <c r="D11" i="3" s="1"/>
  <c r="C11" i="3" a="1"/>
  <c r="C11" i="3" s="1"/>
  <c r="B11" i="3" a="1"/>
  <c r="B11" i="3" s="1"/>
  <c r="Z9" i="3" a="1"/>
  <c r="Z9" i="3" s="1"/>
  <c r="Y9" i="3" a="1"/>
  <c r="Y9" i="3" s="1"/>
  <c r="X9" i="3" a="1"/>
  <c r="X9" i="3" s="1"/>
  <c r="W9" i="3" a="1"/>
  <c r="W9" i="3" s="1"/>
  <c r="V9" i="3" a="1"/>
  <c r="V9" i="3" s="1"/>
  <c r="U9" i="3" a="1"/>
  <c r="U9" i="3" s="1"/>
  <c r="T9" i="3" a="1"/>
  <c r="T9" i="3" s="1"/>
  <c r="S9" i="3" a="1"/>
  <c r="S9" i="3" s="1"/>
  <c r="R9" i="3" a="1"/>
  <c r="R9" i="3" s="1"/>
  <c r="Q9" i="3" a="1"/>
  <c r="Q9" i="3" s="1"/>
  <c r="P9" i="3" a="1"/>
  <c r="P9" i="3" s="1"/>
  <c r="O9" i="3" a="1"/>
  <c r="O9" i="3" s="1"/>
  <c r="N9" i="3" a="1"/>
  <c r="N9" i="3" s="1"/>
  <c r="M9" i="3" a="1"/>
  <c r="M9" i="3" s="1"/>
  <c r="L9" i="3" a="1"/>
  <c r="L9" i="3" s="1"/>
  <c r="K9" i="3" a="1"/>
  <c r="K9" i="3" s="1"/>
  <c r="J9" i="3" a="1"/>
  <c r="J9" i="3" s="1"/>
  <c r="I9" i="3" a="1"/>
  <c r="I9" i="3" s="1"/>
  <c r="G9" i="3" a="1"/>
  <c r="G9" i="3" s="1"/>
  <c r="F9" i="3" a="1"/>
  <c r="F9" i="3" s="1"/>
  <c r="E9" i="3" a="1"/>
  <c r="E9" i="3" s="1"/>
  <c r="D9" i="3" a="1"/>
  <c r="D9" i="3" s="1"/>
  <c r="C9" i="3" a="1"/>
  <c r="C9" i="3" s="1"/>
  <c r="B9" i="3" a="1"/>
  <c r="B9" i="3" s="1"/>
  <c r="Z8" i="3" a="1"/>
  <c r="Z8" i="3" s="1"/>
  <c r="Y8" i="3" a="1"/>
  <c r="Y8" i="3" s="1"/>
  <c r="X8" i="3" a="1"/>
  <c r="X8" i="3" s="1"/>
  <c r="W8" i="3" a="1"/>
  <c r="W8" i="3" s="1"/>
  <c r="V8" i="3" a="1"/>
  <c r="V8" i="3" s="1"/>
  <c r="U8" i="3" a="1"/>
  <c r="U8" i="3" s="1"/>
  <c r="T8" i="3" a="1"/>
  <c r="T8" i="3" s="1"/>
  <c r="S8" i="3" a="1"/>
  <c r="S8" i="3" s="1"/>
  <c r="R8" i="3" a="1"/>
  <c r="R8" i="3" s="1"/>
  <c r="Q8" i="3" a="1"/>
  <c r="Q8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J8" i="3" a="1"/>
  <c r="J8" i="3" s="1"/>
  <c r="I8" i="3" a="1"/>
  <c r="I8" i="3" s="1"/>
  <c r="G8" i="3" a="1"/>
  <c r="G8" i="3" s="1"/>
  <c r="F8" i="3" a="1"/>
  <c r="F8" i="3" s="1"/>
  <c r="E8" i="3" a="1"/>
  <c r="E8" i="3" s="1"/>
  <c r="D8" i="3" a="1"/>
  <c r="D8" i="3" s="1"/>
  <c r="C8" i="3" a="1"/>
  <c r="C8" i="3" s="1"/>
  <c r="B8" i="3" a="1"/>
  <c r="B8" i="3" s="1"/>
  <c r="Z7" i="3" a="1"/>
  <c r="Z7" i="3" s="1"/>
  <c r="Y7" i="3" a="1"/>
  <c r="Y7" i="3" s="1"/>
  <c r="X7" i="3" a="1"/>
  <c r="X7" i="3" s="1"/>
  <c r="W7" i="3" a="1"/>
  <c r="W7" i="3" s="1"/>
  <c r="V7" i="3" a="1"/>
  <c r="V7" i="3" s="1"/>
  <c r="U7" i="3" a="1"/>
  <c r="U7" i="3" s="1"/>
  <c r="T7" i="3" a="1"/>
  <c r="T7" i="3" s="1"/>
  <c r="S7" i="3" a="1"/>
  <c r="S7" i="3" s="1"/>
  <c r="R7" i="3" a="1"/>
  <c r="R7" i="3" s="1"/>
  <c r="Q7" i="3" a="1"/>
  <c r="Q7" i="3" s="1"/>
  <c r="P7" i="3" a="1"/>
  <c r="P7" i="3" s="1"/>
  <c r="O7" i="3" a="1"/>
  <c r="O7" i="3" s="1"/>
  <c r="N7" i="3" a="1"/>
  <c r="N7" i="3" s="1"/>
  <c r="M7" i="3" a="1"/>
  <c r="M7" i="3" s="1"/>
  <c r="L7" i="3" a="1"/>
  <c r="L7" i="3" s="1"/>
  <c r="K7" i="3" a="1"/>
  <c r="K7" i="3" s="1"/>
  <c r="J7" i="3" a="1"/>
  <c r="J7" i="3" s="1"/>
  <c r="I7" i="3" a="1"/>
  <c r="I7" i="3" s="1"/>
  <c r="G7" i="3" a="1"/>
  <c r="G7" i="3" s="1"/>
  <c r="F7" i="3" a="1"/>
  <c r="F7" i="3" s="1"/>
  <c r="E7" i="3" a="1"/>
  <c r="E7" i="3" s="1"/>
  <c r="D7" i="3" a="1"/>
  <c r="D7" i="3" s="1"/>
  <c r="C7" i="3" a="1"/>
  <c r="C7" i="3" s="1"/>
  <c r="B7" i="3" a="1"/>
  <c r="B7" i="3" s="1"/>
  <c r="Z5" i="3" a="1"/>
  <c r="Z5" i="3" s="1"/>
  <c r="Y5" i="3" a="1"/>
  <c r="Y5" i="3" s="1"/>
  <c r="X5" i="3" a="1"/>
  <c r="X5" i="3" s="1"/>
  <c r="W5" i="3" a="1"/>
  <c r="W5" i="3" s="1"/>
  <c r="V5" i="3" a="1"/>
  <c r="V5" i="3" s="1"/>
  <c r="U5" i="3" a="1"/>
  <c r="U5" i="3" s="1"/>
  <c r="T5" i="3" a="1"/>
  <c r="T5" i="3" s="1"/>
  <c r="S5" i="3" a="1"/>
  <c r="S5" i="3" s="1"/>
  <c r="R5" i="3" a="1"/>
  <c r="R5" i="3" s="1"/>
  <c r="Q5" i="3" a="1"/>
  <c r="Q5" i="3" s="1"/>
  <c r="P5" i="3" a="1"/>
  <c r="P5" i="3" s="1"/>
  <c r="O5" i="3" a="1"/>
  <c r="O5" i="3" s="1"/>
  <c r="N5" i="3" a="1"/>
  <c r="N5" i="3" s="1"/>
  <c r="M5" i="3" a="1"/>
  <c r="M5" i="3" s="1"/>
  <c r="L5" i="3" a="1"/>
  <c r="L5" i="3" s="1"/>
  <c r="K5" i="3" a="1"/>
  <c r="K5" i="3" s="1"/>
  <c r="J5" i="3" a="1"/>
  <c r="J5" i="3" s="1"/>
  <c r="I5" i="3" a="1"/>
  <c r="I5" i="3" s="1"/>
  <c r="G5" i="3" a="1"/>
  <c r="G5" i="3" s="1"/>
  <c r="F5" i="3" a="1"/>
  <c r="F5" i="3" s="1"/>
  <c r="E5" i="3" a="1"/>
  <c r="E5" i="3" s="1"/>
  <c r="D5" i="3" a="1"/>
  <c r="D5" i="3" s="1"/>
  <c r="C5" i="3" a="1"/>
  <c r="C5" i="3" s="1"/>
  <c r="B5" i="3" a="1"/>
  <c r="B5" i="3" s="1"/>
  <c r="Z4" i="3" a="1"/>
  <c r="Z4" i="3" s="1"/>
  <c r="Y4" i="3" a="1"/>
  <c r="Y4" i="3" s="1"/>
  <c r="X4" i="3" a="1"/>
  <c r="X4" i="3" s="1"/>
  <c r="W4" i="3" a="1"/>
  <c r="W4" i="3" s="1"/>
  <c r="V4" i="3" a="1"/>
  <c r="V4" i="3" s="1"/>
  <c r="U4" i="3" a="1"/>
  <c r="U4" i="3" s="1"/>
  <c r="T4" i="3" a="1"/>
  <c r="T4" i="3" s="1"/>
  <c r="S4" i="3" a="1"/>
  <c r="S4" i="3" s="1"/>
  <c r="R4" i="3" a="1"/>
  <c r="R4" i="3" s="1"/>
  <c r="Q4" i="3" a="1"/>
  <c r="Q4" i="3" s="1"/>
  <c r="P4" i="3" a="1"/>
  <c r="P4" i="3" s="1"/>
  <c r="O4" i="3" a="1"/>
  <c r="O4" i="3" s="1"/>
  <c r="N4" i="3" a="1"/>
  <c r="N4" i="3" s="1"/>
  <c r="M4" i="3" a="1"/>
  <c r="M4" i="3" s="1"/>
  <c r="L4" i="3" a="1"/>
  <c r="L4" i="3" s="1"/>
  <c r="K4" i="3" a="1"/>
  <c r="K4" i="3" s="1"/>
  <c r="J4" i="3" a="1"/>
  <c r="J4" i="3" s="1"/>
  <c r="I4" i="3" a="1"/>
  <c r="I4" i="3" s="1"/>
  <c r="G4" i="3" a="1"/>
  <c r="G4" i="3" s="1"/>
  <c r="F4" i="3" a="1"/>
  <c r="F4" i="3" s="1"/>
  <c r="E4" i="3" a="1"/>
  <c r="E4" i="3" s="1"/>
  <c r="D4" i="3" a="1"/>
  <c r="D4" i="3" s="1"/>
  <c r="C4" i="3" a="1"/>
  <c r="C4" i="3" s="1"/>
  <c r="B4" i="3" a="1"/>
  <c r="B4" i="3" s="1"/>
  <c r="Z3" i="3" a="1"/>
  <c r="Z3" i="3" s="1"/>
  <c r="Y3" i="3" a="1"/>
  <c r="Y3" i="3" s="1"/>
  <c r="X3" i="3" a="1"/>
  <c r="X3" i="3" s="1"/>
  <c r="W3" i="3" a="1"/>
  <c r="W3" i="3" s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P3" i="3" a="1"/>
  <c r="P3" i="3" s="1"/>
  <c r="O3" i="3" a="1"/>
  <c r="O3" i="3" s="1"/>
  <c r="N3" i="3" a="1"/>
  <c r="N3" i="3" s="1"/>
  <c r="M3" i="3" a="1"/>
  <c r="M3" i="3" s="1"/>
  <c r="L3" i="3" a="1"/>
  <c r="L3" i="3" s="1"/>
  <c r="K3" i="3" a="1"/>
  <c r="K3" i="3" s="1"/>
  <c r="J3" i="3" a="1"/>
  <c r="J3" i="3" s="1"/>
  <c r="I3" i="3" a="1"/>
  <c r="I3" i="3" s="1"/>
  <c r="G3" i="3" a="1"/>
  <c r="G3" i="3" s="1"/>
  <c r="F3" i="3" a="1"/>
  <c r="F3" i="3" s="1"/>
  <c r="E3" i="3" a="1"/>
  <c r="E3" i="3" s="1"/>
  <c r="D3" i="3" a="1"/>
  <c r="D3" i="3" s="1"/>
  <c r="C3" i="3" a="1"/>
  <c r="C3" i="3" s="1"/>
  <c r="B3" i="3" a="1"/>
  <c r="B3" i="3" s="1"/>
  <c r="AH671" i="2" a="1"/>
  <c r="AH671" i="2" s="1"/>
  <c r="R671" i="2" a="1"/>
  <c r="R671" i="2" s="1"/>
  <c r="Q671" i="2" a="1"/>
  <c r="Q671" i="2" s="1"/>
  <c r="AG671" i="2" s="1" a="1"/>
  <c r="AG671" i="2" s="1"/>
  <c r="P671" i="2" a="1"/>
  <c r="P671" i="2" s="1"/>
  <c r="H671" i="2" a="1"/>
  <c r="H671" i="2" s="1"/>
  <c r="G671" i="2" a="1"/>
  <c r="G671" i="2" s="1"/>
  <c r="F671" i="2" a="1"/>
  <c r="F671" i="2" s="1"/>
  <c r="D671" i="2" a="1"/>
  <c r="D671" i="2" s="1"/>
  <c r="AH670" i="2" a="1"/>
  <c r="AH670" i="2" s="1"/>
  <c r="R670" i="2" a="1"/>
  <c r="R670" i="2" s="1"/>
  <c r="Q670" i="2" a="1"/>
  <c r="Q670" i="2" s="1"/>
  <c r="P670" i="2" a="1"/>
  <c r="P670" i="2" s="1"/>
  <c r="H670" i="2" a="1"/>
  <c r="H670" i="2" s="1"/>
  <c r="G670" i="2" a="1"/>
  <c r="G670" i="2" s="1"/>
  <c r="F670" i="2" a="1"/>
  <c r="F670" i="2" s="1"/>
  <c r="D670" i="2" a="1"/>
  <c r="D670" i="2" s="1"/>
  <c r="AH669" i="2" a="1"/>
  <c r="AH669" i="2" s="1"/>
  <c r="R669" i="2" a="1"/>
  <c r="R669" i="2" s="1"/>
  <c r="Q669" i="2" a="1"/>
  <c r="Q669" i="2" s="1"/>
  <c r="P669" i="2" a="1"/>
  <c r="P669" i="2" s="1"/>
  <c r="H669" i="2" a="1"/>
  <c r="H669" i="2" s="1"/>
  <c r="G669" i="2" a="1"/>
  <c r="G669" i="2" s="1"/>
  <c r="F669" i="2" a="1"/>
  <c r="F669" i="2" s="1"/>
  <c r="D669" i="2" a="1"/>
  <c r="D669" i="2" s="1"/>
  <c r="AH668" i="2" a="1"/>
  <c r="AH668" i="2" s="1"/>
  <c r="R668" i="2" a="1"/>
  <c r="R668" i="2" s="1"/>
  <c r="Q668" i="2" a="1"/>
  <c r="Q668" i="2" s="1"/>
  <c r="AG668" i="2" s="1" a="1"/>
  <c r="AG668" i="2" s="1"/>
  <c r="P668" i="2" a="1"/>
  <c r="P668" i="2" s="1"/>
  <c r="H668" i="2" a="1"/>
  <c r="H668" i="2" s="1"/>
  <c r="G668" i="2" a="1"/>
  <c r="G668" i="2" s="1"/>
  <c r="F668" i="2" a="1"/>
  <c r="F668" i="2" s="1"/>
  <c r="D668" i="2" a="1"/>
  <c r="D668" i="2" s="1"/>
  <c r="AH667" i="2" a="1"/>
  <c r="AH667" i="2" s="1"/>
  <c r="R667" i="2" a="1"/>
  <c r="R667" i="2" s="1"/>
  <c r="Q667" i="2" a="1"/>
  <c r="Q667" i="2" s="1"/>
  <c r="AA667" i="2" s="1" a="1"/>
  <c r="AA667" i="2" s="1"/>
  <c r="P667" i="2" a="1"/>
  <c r="P667" i="2" s="1"/>
  <c r="H667" i="2" a="1"/>
  <c r="H667" i="2" s="1"/>
  <c r="G667" i="2" a="1"/>
  <c r="G667" i="2" s="1"/>
  <c r="F667" i="2" a="1"/>
  <c r="F667" i="2" s="1"/>
  <c r="D667" i="2" a="1"/>
  <c r="D667" i="2" s="1"/>
  <c r="AH666" i="2" a="1"/>
  <c r="AH666" i="2" s="1"/>
  <c r="R666" i="2" a="1"/>
  <c r="R666" i="2" s="1"/>
  <c r="Q666" i="2" a="1"/>
  <c r="Q666" i="2" s="1"/>
  <c r="P666" i="2" a="1"/>
  <c r="P666" i="2" s="1"/>
  <c r="H666" i="2" a="1"/>
  <c r="H666" i="2" s="1"/>
  <c r="G666" i="2" a="1"/>
  <c r="G666" i="2" s="1"/>
  <c r="F666" i="2" a="1"/>
  <c r="F666" i="2" s="1"/>
  <c r="D666" i="2" a="1"/>
  <c r="D666" i="2" s="1"/>
  <c r="AH665" i="2" a="1"/>
  <c r="AH665" i="2" s="1"/>
  <c r="R665" i="2" a="1"/>
  <c r="R665" i="2" s="1"/>
  <c r="Q665" i="2" a="1"/>
  <c r="Q665" i="2" s="1"/>
  <c r="AF665" i="2" s="1" a="1"/>
  <c r="AF665" i="2" s="1"/>
  <c r="P665" i="2" a="1"/>
  <c r="P665" i="2" s="1"/>
  <c r="H665" i="2" a="1"/>
  <c r="H665" i="2" s="1"/>
  <c r="G665" i="2" a="1"/>
  <c r="G665" i="2" s="1"/>
  <c r="F665" i="2" a="1"/>
  <c r="F665" i="2" s="1"/>
  <c r="D665" i="2" a="1"/>
  <c r="D665" i="2" s="1"/>
  <c r="AH664" i="2" a="1"/>
  <c r="AH664" i="2" s="1"/>
  <c r="R664" i="2" a="1"/>
  <c r="R664" i="2" s="1"/>
  <c r="Q664" i="2" a="1"/>
  <c r="Q664" i="2" s="1"/>
  <c r="Y664" i="2" s="1" a="1"/>
  <c r="Y664" i="2" s="1"/>
  <c r="P664" i="2" a="1"/>
  <c r="P664" i="2" s="1"/>
  <c r="H664" i="2" a="1"/>
  <c r="H664" i="2" s="1"/>
  <c r="G664" i="2" a="1"/>
  <c r="G664" i="2" s="1"/>
  <c r="F664" i="2" a="1"/>
  <c r="F664" i="2" s="1"/>
  <c r="D664" i="2" a="1"/>
  <c r="D664" i="2" s="1"/>
  <c r="AH663" i="2" a="1"/>
  <c r="AH663" i="2" s="1"/>
  <c r="R663" i="2" a="1"/>
  <c r="R663" i="2" s="1"/>
  <c r="Q663" i="2" a="1"/>
  <c r="Q663" i="2" s="1"/>
  <c r="P663" i="2" a="1"/>
  <c r="P663" i="2" s="1"/>
  <c r="H663" i="2" a="1"/>
  <c r="H663" i="2" s="1"/>
  <c r="G663" i="2" a="1"/>
  <c r="G663" i="2" s="1"/>
  <c r="F663" i="2" a="1"/>
  <c r="F663" i="2" s="1"/>
  <c r="D663" i="2" a="1"/>
  <c r="D663" i="2" s="1"/>
  <c r="AH662" i="2" a="1"/>
  <c r="AH662" i="2" s="1"/>
  <c r="R662" i="2" a="1"/>
  <c r="R662" i="2" s="1"/>
  <c r="Q662" i="2" a="1"/>
  <c r="Q662" i="2" s="1"/>
  <c r="AA662" i="2" s="1" a="1"/>
  <c r="AA662" i="2" s="1"/>
  <c r="P662" i="2" a="1"/>
  <c r="P662" i="2" s="1"/>
  <c r="H662" i="2" a="1"/>
  <c r="H662" i="2" s="1"/>
  <c r="G662" i="2" a="1"/>
  <c r="G662" i="2" s="1"/>
  <c r="F662" i="2" a="1"/>
  <c r="F662" i="2" s="1"/>
  <c r="D662" i="2" a="1"/>
  <c r="D662" i="2" s="1"/>
  <c r="AH661" i="2" a="1"/>
  <c r="AH661" i="2" s="1"/>
  <c r="R661" i="2" a="1"/>
  <c r="R661" i="2" s="1"/>
  <c r="Q661" i="2" a="1"/>
  <c r="Q661" i="2" s="1"/>
  <c r="AG661" i="2" s="1" a="1"/>
  <c r="AG661" i="2" s="1"/>
  <c r="P661" i="2" a="1"/>
  <c r="P661" i="2" s="1"/>
  <c r="H661" i="2" a="1"/>
  <c r="H661" i="2" s="1"/>
  <c r="G661" i="2" a="1"/>
  <c r="G661" i="2" s="1"/>
  <c r="F661" i="2" a="1"/>
  <c r="F661" i="2" s="1"/>
  <c r="D661" i="2" a="1"/>
  <c r="D661" i="2" s="1"/>
  <c r="AH660" i="2" a="1"/>
  <c r="AH660" i="2" s="1"/>
  <c r="R660" i="2" a="1"/>
  <c r="R660" i="2" s="1"/>
  <c r="Q660" i="2" a="1"/>
  <c r="Q660" i="2" s="1"/>
  <c r="P660" i="2" a="1"/>
  <c r="P660" i="2" s="1"/>
  <c r="H660" i="2" a="1"/>
  <c r="H660" i="2" s="1"/>
  <c r="G660" i="2" a="1"/>
  <c r="G660" i="2" s="1"/>
  <c r="F660" i="2" a="1"/>
  <c r="F660" i="2" s="1"/>
  <c r="D660" i="2" a="1"/>
  <c r="D660" i="2" s="1"/>
  <c r="AH659" i="2" a="1"/>
  <c r="AH659" i="2" s="1"/>
  <c r="R659" i="2" a="1"/>
  <c r="R659" i="2" s="1"/>
  <c r="Q659" i="2" a="1"/>
  <c r="Q659" i="2" s="1"/>
  <c r="Y659" i="2" s="1" a="1"/>
  <c r="Y659" i="2" s="1"/>
  <c r="P659" i="2" a="1"/>
  <c r="P659" i="2" s="1"/>
  <c r="H659" i="2" a="1"/>
  <c r="H659" i="2" s="1"/>
  <c r="G659" i="2" a="1"/>
  <c r="G659" i="2" s="1"/>
  <c r="F659" i="2" a="1"/>
  <c r="F659" i="2" s="1"/>
  <c r="D659" i="2" a="1"/>
  <c r="D659" i="2" s="1"/>
  <c r="AH658" i="2" a="1"/>
  <c r="AH658" i="2" s="1"/>
  <c r="R658" i="2" a="1"/>
  <c r="R658" i="2" s="1"/>
  <c r="Q658" i="2" a="1"/>
  <c r="Q658" i="2" s="1"/>
  <c r="AG658" i="2" s="1" a="1"/>
  <c r="AG658" i="2" s="1"/>
  <c r="P658" i="2" a="1"/>
  <c r="P658" i="2" s="1"/>
  <c r="H658" i="2" a="1"/>
  <c r="H658" i="2" s="1"/>
  <c r="G658" i="2" a="1"/>
  <c r="G658" i="2" s="1"/>
  <c r="F658" i="2" a="1"/>
  <c r="F658" i="2" s="1"/>
  <c r="D658" i="2" a="1"/>
  <c r="D658" i="2" s="1"/>
  <c r="AH657" i="2" a="1"/>
  <c r="AH657" i="2" s="1"/>
  <c r="R657" i="2" a="1"/>
  <c r="R657" i="2" s="1"/>
  <c r="Q657" i="2" a="1"/>
  <c r="Q657" i="2" s="1"/>
  <c r="P657" i="2" a="1"/>
  <c r="P657" i="2" s="1"/>
  <c r="H657" i="2" a="1"/>
  <c r="H657" i="2" s="1"/>
  <c r="G657" i="2" a="1"/>
  <c r="G657" i="2" s="1"/>
  <c r="F657" i="2" a="1"/>
  <c r="F657" i="2" s="1"/>
  <c r="D657" i="2" a="1"/>
  <c r="D657" i="2" s="1"/>
  <c r="AH656" i="2" a="1"/>
  <c r="AH656" i="2" s="1"/>
  <c r="R656" i="2" a="1"/>
  <c r="R656" i="2" s="1"/>
  <c r="Q656" i="2" a="1"/>
  <c r="Q656" i="2" s="1"/>
  <c r="P656" i="2" a="1"/>
  <c r="P656" i="2" s="1"/>
  <c r="H656" i="2" a="1"/>
  <c r="H656" i="2" s="1"/>
  <c r="G656" i="2" a="1"/>
  <c r="G656" i="2" s="1"/>
  <c r="F656" i="2" a="1"/>
  <c r="F656" i="2" s="1"/>
  <c r="D656" i="2" a="1"/>
  <c r="D656" i="2" s="1"/>
  <c r="AH655" i="2" a="1"/>
  <c r="AH655" i="2" s="1"/>
  <c r="R655" i="2" a="1"/>
  <c r="R655" i="2" s="1"/>
  <c r="Q655" i="2" a="1"/>
  <c r="Q655" i="2" s="1"/>
  <c r="P655" i="2" a="1"/>
  <c r="P655" i="2" s="1"/>
  <c r="H655" i="2" a="1"/>
  <c r="H655" i="2" s="1"/>
  <c r="G655" i="2" a="1"/>
  <c r="G655" i="2" s="1"/>
  <c r="F655" i="2" a="1"/>
  <c r="F655" i="2" s="1"/>
  <c r="D655" i="2" a="1"/>
  <c r="D655" i="2" s="1"/>
  <c r="AH654" i="2" a="1"/>
  <c r="AH654" i="2" s="1"/>
  <c r="R654" i="2" a="1"/>
  <c r="R654" i="2" s="1"/>
  <c r="Q654" i="2" a="1"/>
  <c r="Q654" i="2" s="1"/>
  <c r="AB654" i="2" s="1" a="1"/>
  <c r="AB654" i="2" s="1"/>
  <c r="P654" i="2" a="1"/>
  <c r="P654" i="2" s="1"/>
  <c r="H654" i="2" a="1"/>
  <c r="H654" i="2" s="1"/>
  <c r="G654" i="2" a="1"/>
  <c r="G654" i="2" s="1"/>
  <c r="F654" i="2" a="1"/>
  <c r="F654" i="2" s="1"/>
  <c r="D654" i="2" a="1"/>
  <c r="D654" i="2" s="1"/>
  <c r="AH653" i="2" a="1"/>
  <c r="AH653" i="2" s="1"/>
  <c r="R653" i="2" a="1"/>
  <c r="R653" i="2" s="1"/>
  <c r="Q653" i="2" a="1"/>
  <c r="Q653" i="2" s="1"/>
  <c r="P653" i="2" a="1"/>
  <c r="P653" i="2" s="1"/>
  <c r="H653" i="2" a="1"/>
  <c r="H653" i="2" s="1"/>
  <c r="G653" i="2" a="1"/>
  <c r="G653" i="2" s="1"/>
  <c r="F653" i="2" a="1"/>
  <c r="F653" i="2" s="1"/>
  <c r="D653" i="2" a="1"/>
  <c r="D653" i="2" s="1"/>
  <c r="AH652" i="2" a="1"/>
  <c r="AH652" i="2" s="1"/>
  <c r="R652" i="2" a="1"/>
  <c r="R652" i="2" s="1"/>
  <c r="Q652" i="2" a="1"/>
  <c r="Q652" i="2" s="1"/>
  <c r="P652" i="2" a="1"/>
  <c r="P652" i="2" s="1"/>
  <c r="H652" i="2" a="1"/>
  <c r="H652" i="2" s="1"/>
  <c r="G652" i="2" a="1"/>
  <c r="G652" i="2" s="1"/>
  <c r="F652" i="2" a="1"/>
  <c r="F652" i="2" s="1"/>
  <c r="D652" i="2" a="1"/>
  <c r="D652" i="2" s="1"/>
  <c r="AH651" i="2" a="1"/>
  <c r="AH651" i="2" s="1"/>
  <c r="R651" i="2" a="1"/>
  <c r="R651" i="2" s="1"/>
  <c r="Q651" i="2" a="1"/>
  <c r="Q651" i="2" s="1"/>
  <c r="P651" i="2" a="1"/>
  <c r="P651" i="2" s="1"/>
  <c r="H651" i="2" a="1"/>
  <c r="H651" i="2" s="1"/>
  <c r="G651" i="2" a="1"/>
  <c r="G651" i="2" s="1"/>
  <c r="F651" i="2" a="1"/>
  <c r="F651" i="2" s="1"/>
  <c r="D651" i="2" a="1"/>
  <c r="D651" i="2" s="1"/>
  <c r="AH650" i="2" a="1"/>
  <c r="AH650" i="2" s="1"/>
  <c r="R650" i="2" a="1"/>
  <c r="R650" i="2" s="1"/>
  <c r="Q650" i="2" a="1"/>
  <c r="Q650" i="2" s="1"/>
  <c r="P650" i="2" a="1"/>
  <c r="P650" i="2" s="1"/>
  <c r="H650" i="2" a="1"/>
  <c r="H650" i="2" s="1"/>
  <c r="G650" i="2" a="1"/>
  <c r="G650" i="2" s="1"/>
  <c r="F650" i="2" a="1"/>
  <c r="F650" i="2" s="1"/>
  <c r="D650" i="2" a="1"/>
  <c r="D650" i="2" s="1"/>
  <c r="AH649" i="2" a="1"/>
  <c r="AH649" i="2" s="1"/>
  <c r="R649" i="2" a="1"/>
  <c r="R649" i="2" s="1"/>
  <c r="Q649" i="2" a="1"/>
  <c r="Q649" i="2" s="1"/>
  <c r="Y649" i="2" s="1" a="1"/>
  <c r="Y649" i="2" s="1"/>
  <c r="P649" i="2" a="1"/>
  <c r="P649" i="2" s="1"/>
  <c r="H649" i="2" a="1"/>
  <c r="H649" i="2" s="1"/>
  <c r="G649" i="2" a="1"/>
  <c r="G649" i="2" s="1"/>
  <c r="F649" i="2" a="1"/>
  <c r="F649" i="2" s="1"/>
  <c r="D649" i="2" a="1"/>
  <c r="D649" i="2" s="1"/>
  <c r="AH648" i="2" a="1"/>
  <c r="AH648" i="2" s="1"/>
  <c r="R648" i="2" a="1"/>
  <c r="R648" i="2" s="1"/>
  <c r="Q648" i="2" a="1"/>
  <c r="Q648" i="2" s="1"/>
  <c r="P648" i="2" a="1"/>
  <c r="P648" i="2" s="1"/>
  <c r="H648" i="2" a="1"/>
  <c r="H648" i="2" s="1"/>
  <c r="G648" i="2" a="1"/>
  <c r="G648" i="2" s="1"/>
  <c r="F648" i="2" a="1"/>
  <c r="F648" i="2" s="1"/>
  <c r="D648" i="2" a="1"/>
  <c r="D648" i="2" s="1"/>
  <c r="AH647" i="2" a="1"/>
  <c r="AH647" i="2" s="1"/>
  <c r="R647" i="2" a="1"/>
  <c r="R647" i="2" s="1"/>
  <c r="Q647" i="2" a="1"/>
  <c r="Q647" i="2" s="1"/>
  <c r="P647" i="2" a="1"/>
  <c r="P647" i="2" s="1"/>
  <c r="H647" i="2" a="1"/>
  <c r="H647" i="2" s="1"/>
  <c r="G647" i="2" a="1"/>
  <c r="G647" i="2" s="1"/>
  <c r="F647" i="2" a="1"/>
  <c r="F647" i="2" s="1"/>
  <c r="D647" i="2" a="1"/>
  <c r="D647" i="2" s="1"/>
  <c r="AH646" i="2" a="1"/>
  <c r="AH646" i="2" s="1"/>
  <c r="R646" i="2" a="1"/>
  <c r="R646" i="2" s="1"/>
  <c r="Q646" i="2" a="1"/>
  <c r="Q646" i="2" s="1"/>
  <c r="P646" i="2" a="1"/>
  <c r="P646" i="2" s="1"/>
  <c r="H646" i="2" a="1"/>
  <c r="H646" i="2" s="1"/>
  <c r="G646" i="2" a="1"/>
  <c r="G646" i="2" s="1"/>
  <c r="F646" i="2" a="1"/>
  <c r="F646" i="2" s="1"/>
  <c r="D646" i="2" a="1"/>
  <c r="D646" i="2" s="1"/>
  <c r="AH645" i="2" a="1"/>
  <c r="AH645" i="2" s="1"/>
  <c r="R645" i="2" a="1"/>
  <c r="R645" i="2" s="1"/>
  <c r="Q645" i="2" a="1"/>
  <c r="Q645" i="2" s="1"/>
  <c r="P645" i="2" a="1"/>
  <c r="P645" i="2" s="1"/>
  <c r="H645" i="2" a="1"/>
  <c r="H645" i="2" s="1"/>
  <c r="G645" i="2" a="1"/>
  <c r="G645" i="2" s="1"/>
  <c r="F645" i="2" a="1"/>
  <c r="F645" i="2" s="1"/>
  <c r="D645" i="2" a="1"/>
  <c r="D645" i="2" s="1"/>
  <c r="AH644" i="2" a="1"/>
  <c r="AH644" i="2" s="1"/>
  <c r="R644" i="2" a="1"/>
  <c r="R644" i="2" s="1"/>
  <c r="Q644" i="2" a="1"/>
  <c r="Q644" i="2" s="1"/>
  <c r="Y644" i="2" s="1" a="1"/>
  <c r="Y644" i="2" s="1"/>
  <c r="P644" i="2" a="1"/>
  <c r="P644" i="2" s="1"/>
  <c r="H644" i="2" a="1"/>
  <c r="H644" i="2" s="1"/>
  <c r="G644" i="2" a="1"/>
  <c r="G644" i="2" s="1"/>
  <c r="F644" i="2" a="1"/>
  <c r="F644" i="2" s="1"/>
  <c r="D644" i="2" a="1"/>
  <c r="D644" i="2" s="1"/>
  <c r="AH643" i="2" a="1"/>
  <c r="AH643" i="2" s="1"/>
  <c r="R643" i="2" a="1"/>
  <c r="R643" i="2" s="1"/>
  <c r="Q643" i="2" a="1"/>
  <c r="Q643" i="2" s="1"/>
  <c r="AG643" i="2" s="1" a="1"/>
  <c r="AG643" i="2" s="1"/>
  <c r="P643" i="2" a="1"/>
  <c r="P643" i="2" s="1"/>
  <c r="H643" i="2" a="1"/>
  <c r="H643" i="2" s="1"/>
  <c r="G643" i="2" a="1"/>
  <c r="G643" i="2" s="1"/>
  <c r="F643" i="2" a="1"/>
  <c r="F643" i="2" s="1"/>
  <c r="D643" i="2" a="1"/>
  <c r="D643" i="2" s="1"/>
  <c r="AH642" i="2" a="1"/>
  <c r="AH642" i="2" s="1"/>
  <c r="R642" i="2" a="1"/>
  <c r="R642" i="2" s="1"/>
  <c r="Q642" i="2" a="1"/>
  <c r="Q642" i="2" s="1"/>
  <c r="P642" i="2" a="1"/>
  <c r="P642" i="2" s="1"/>
  <c r="H642" i="2" a="1"/>
  <c r="H642" i="2" s="1"/>
  <c r="G642" i="2" a="1"/>
  <c r="G642" i="2" s="1"/>
  <c r="F642" i="2" a="1"/>
  <c r="F642" i="2" s="1"/>
  <c r="D642" i="2" a="1"/>
  <c r="D642" i="2" s="1"/>
  <c r="AH641" i="2" a="1"/>
  <c r="AH641" i="2" s="1"/>
  <c r="R641" i="2" a="1"/>
  <c r="R641" i="2" s="1"/>
  <c r="Q641" i="2" a="1"/>
  <c r="Q641" i="2" s="1"/>
  <c r="P641" i="2" a="1"/>
  <c r="P641" i="2" s="1"/>
  <c r="H641" i="2" a="1"/>
  <c r="H641" i="2" s="1"/>
  <c r="G641" i="2" a="1"/>
  <c r="G641" i="2" s="1"/>
  <c r="F641" i="2" a="1"/>
  <c r="F641" i="2" s="1"/>
  <c r="D641" i="2" a="1"/>
  <c r="D641" i="2" s="1"/>
  <c r="AH640" i="2" a="1"/>
  <c r="AH640" i="2" s="1"/>
  <c r="R640" i="2" a="1"/>
  <c r="R640" i="2" s="1"/>
  <c r="Q640" i="2" a="1"/>
  <c r="Q640" i="2" s="1"/>
  <c r="P640" i="2" a="1"/>
  <c r="P640" i="2" s="1"/>
  <c r="H640" i="2" a="1"/>
  <c r="H640" i="2" s="1"/>
  <c r="G640" i="2" a="1"/>
  <c r="G640" i="2" s="1"/>
  <c r="F640" i="2" a="1"/>
  <c r="F640" i="2" s="1"/>
  <c r="D640" i="2" a="1"/>
  <c r="D640" i="2" s="1"/>
  <c r="AH639" i="2" a="1"/>
  <c r="AH639" i="2" s="1"/>
  <c r="R639" i="2" a="1"/>
  <c r="R639" i="2" s="1"/>
  <c r="Q639" i="2" a="1"/>
  <c r="Q639" i="2" s="1"/>
  <c r="S639" i="2" s="1" a="1"/>
  <c r="S639" i="2" s="1"/>
  <c r="P639" i="2" a="1"/>
  <c r="P639" i="2" s="1"/>
  <c r="H639" i="2" a="1"/>
  <c r="H639" i="2" s="1"/>
  <c r="G639" i="2" a="1"/>
  <c r="G639" i="2" s="1"/>
  <c r="F639" i="2" a="1"/>
  <c r="F639" i="2" s="1"/>
  <c r="D639" i="2" a="1"/>
  <c r="D639" i="2" s="1"/>
  <c r="AH638" i="2" a="1"/>
  <c r="AH638" i="2" s="1"/>
  <c r="R638" i="2" a="1"/>
  <c r="R638" i="2" s="1"/>
  <c r="Q638" i="2" a="1"/>
  <c r="Q638" i="2" s="1"/>
  <c r="AF638" i="2" s="1" a="1"/>
  <c r="AF638" i="2" s="1"/>
  <c r="P638" i="2" a="1"/>
  <c r="P638" i="2" s="1"/>
  <c r="H638" i="2" a="1"/>
  <c r="H638" i="2" s="1"/>
  <c r="G638" i="2" a="1"/>
  <c r="G638" i="2" s="1"/>
  <c r="F638" i="2" a="1"/>
  <c r="F638" i="2" s="1"/>
  <c r="D638" i="2" a="1"/>
  <c r="D638" i="2" s="1"/>
  <c r="AH637" i="2" a="1"/>
  <c r="AH637" i="2" s="1"/>
  <c r="R637" i="2" a="1"/>
  <c r="R637" i="2" s="1"/>
  <c r="Q637" i="2" a="1"/>
  <c r="Q637" i="2" s="1"/>
  <c r="AB637" i="2" s="1" a="1"/>
  <c r="AB637" i="2" s="1"/>
  <c r="P637" i="2" a="1"/>
  <c r="P637" i="2" s="1"/>
  <c r="H637" i="2" a="1"/>
  <c r="H637" i="2" s="1"/>
  <c r="G637" i="2" a="1"/>
  <c r="G637" i="2" s="1"/>
  <c r="F637" i="2" a="1"/>
  <c r="F637" i="2" s="1"/>
  <c r="D637" i="2" a="1"/>
  <c r="D637" i="2" s="1"/>
  <c r="AH636" i="2" a="1"/>
  <c r="AH636" i="2" s="1"/>
  <c r="R636" i="2" a="1"/>
  <c r="R636" i="2" s="1"/>
  <c r="Q636" i="2" a="1"/>
  <c r="Q636" i="2" s="1"/>
  <c r="P636" i="2" a="1"/>
  <c r="P636" i="2" s="1"/>
  <c r="H636" i="2" a="1"/>
  <c r="H636" i="2" s="1"/>
  <c r="G636" i="2" a="1"/>
  <c r="G636" i="2" s="1"/>
  <c r="F636" i="2" a="1"/>
  <c r="F636" i="2" s="1"/>
  <c r="D636" i="2" a="1"/>
  <c r="D636" i="2" s="1"/>
  <c r="AH635" i="2" a="1"/>
  <c r="AH635" i="2" s="1"/>
  <c r="R635" i="2" a="1"/>
  <c r="R635" i="2" s="1"/>
  <c r="Q635" i="2" a="1"/>
  <c r="Q635" i="2" s="1"/>
  <c r="P635" i="2" a="1"/>
  <c r="P635" i="2" s="1"/>
  <c r="H635" i="2" a="1"/>
  <c r="H635" i="2" s="1"/>
  <c r="G635" i="2" a="1"/>
  <c r="G635" i="2" s="1"/>
  <c r="F635" i="2" a="1"/>
  <c r="F635" i="2" s="1"/>
  <c r="D635" i="2" a="1"/>
  <c r="D635" i="2" s="1"/>
  <c r="AH634" i="2" a="1"/>
  <c r="AH634" i="2" s="1"/>
  <c r="R634" i="2" a="1"/>
  <c r="R634" i="2" s="1"/>
  <c r="Q634" i="2" a="1"/>
  <c r="Q634" i="2" s="1"/>
  <c r="AA634" i="2" s="1" a="1"/>
  <c r="AA634" i="2" s="1"/>
  <c r="P634" i="2" a="1"/>
  <c r="P634" i="2" s="1"/>
  <c r="H634" i="2" a="1"/>
  <c r="H634" i="2" s="1"/>
  <c r="G634" i="2" a="1"/>
  <c r="G634" i="2" s="1"/>
  <c r="F634" i="2" a="1"/>
  <c r="F634" i="2" s="1"/>
  <c r="D634" i="2" a="1"/>
  <c r="D634" i="2" s="1"/>
  <c r="AH633" i="2" a="1"/>
  <c r="AH633" i="2" s="1"/>
  <c r="R633" i="2" a="1"/>
  <c r="R633" i="2" s="1"/>
  <c r="Q633" i="2" a="1"/>
  <c r="Q633" i="2" s="1"/>
  <c r="AA633" i="2" s="1" a="1"/>
  <c r="AA633" i="2" s="1"/>
  <c r="P633" i="2" a="1"/>
  <c r="P633" i="2" s="1"/>
  <c r="H633" i="2" a="1"/>
  <c r="H633" i="2" s="1"/>
  <c r="G633" i="2" a="1"/>
  <c r="G633" i="2" s="1"/>
  <c r="F633" i="2" a="1"/>
  <c r="F633" i="2" s="1"/>
  <c r="D633" i="2" a="1"/>
  <c r="D633" i="2" s="1"/>
  <c r="AH632" i="2" a="1"/>
  <c r="AH632" i="2" s="1"/>
  <c r="R632" i="2" a="1"/>
  <c r="R632" i="2" s="1"/>
  <c r="Q632" i="2" a="1"/>
  <c r="Q632" i="2" s="1"/>
  <c r="P632" i="2" a="1"/>
  <c r="P632" i="2" s="1"/>
  <c r="H632" i="2" a="1"/>
  <c r="H632" i="2" s="1"/>
  <c r="G632" i="2" a="1"/>
  <c r="G632" i="2" s="1"/>
  <c r="F632" i="2" a="1"/>
  <c r="F632" i="2" s="1"/>
  <c r="D632" i="2" a="1"/>
  <c r="D632" i="2" s="1"/>
  <c r="AH631" i="2" a="1"/>
  <c r="AH631" i="2" s="1"/>
  <c r="R631" i="2" a="1"/>
  <c r="R631" i="2" s="1"/>
  <c r="Q631" i="2" a="1"/>
  <c r="Q631" i="2" s="1"/>
  <c r="P631" i="2" a="1"/>
  <c r="P631" i="2" s="1"/>
  <c r="H631" i="2" a="1"/>
  <c r="H631" i="2" s="1"/>
  <c r="G631" i="2" a="1"/>
  <c r="G631" i="2" s="1"/>
  <c r="F631" i="2" a="1"/>
  <c r="F631" i="2" s="1"/>
  <c r="D631" i="2" a="1"/>
  <c r="D631" i="2" s="1"/>
  <c r="AH630" i="2" a="1"/>
  <c r="AH630" i="2" s="1"/>
  <c r="R630" i="2" a="1"/>
  <c r="R630" i="2" s="1"/>
  <c r="Q630" i="2" a="1"/>
  <c r="Q630" i="2" s="1"/>
  <c r="AG630" i="2" s="1" a="1"/>
  <c r="AG630" i="2" s="1"/>
  <c r="P630" i="2" a="1"/>
  <c r="P630" i="2" s="1"/>
  <c r="H630" i="2" a="1"/>
  <c r="H630" i="2" s="1"/>
  <c r="G630" i="2" a="1"/>
  <c r="G630" i="2" s="1"/>
  <c r="F630" i="2" a="1"/>
  <c r="F630" i="2" s="1"/>
  <c r="D630" i="2" a="1"/>
  <c r="D630" i="2" s="1"/>
  <c r="AH629" i="2" a="1"/>
  <c r="AH629" i="2" s="1"/>
  <c r="R629" i="2" a="1"/>
  <c r="R629" i="2" s="1"/>
  <c r="Q629" i="2" a="1"/>
  <c r="Q629" i="2" s="1"/>
  <c r="Z629" i="2" s="1" a="1"/>
  <c r="Z629" i="2" s="1"/>
  <c r="P629" i="2" a="1"/>
  <c r="P629" i="2" s="1"/>
  <c r="H629" i="2" a="1"/>
  <c r="H629" i="2" s="1"/>
  <c r="G629" i="2" a="1"/>
  <c r="G629" i="2" s="1"/>
  <c r="F629" i="2" a="1"/>
  <c r="F629" i="2" s="1"/>
  <c r="D629" i="2" a="1"/>
  <c r="D629" i="2" s="1"/>
  <c r="AH628" i="2" a="1"/>
  <c r="AH628" i="2" s="1"/>
  <c r="R628" i="2" a="1"/>
  <c r="R628" i="2" s="1"/>
  <c r="Q628" i="2" a="1"/>
  <c r="Q628" i="2" s="1"/>
  <c r="P628" i="2" a="1"/>
  <c r="P628" i="2" s="1"/>
  <c r="H628" i="2" a="1"/>
  <c r="H628" i="2" s="1"/>
  <c r="G628" i="2" a="1"/>
  <c r="G628" i="2" s="1"/>
  <c r="F628" i="2" a="1"/>
  <c r="F628" i="2" s="1"/>
  <c r="D628" i="2" a="1"/>
  <c r="D628" i="2" s="1"/>
  <c r="AH627" i="2" a="1"/>
  <c r="AH627" i="2" s="1"/>
  <c r="R627" i="2" a="1"/>
  <c r="R627" i="2" s="1"/>
  <c r="Q627" i="2" a="1"/>
  <c r="Q627" i="2" s="1"/>
  <c r="P627" i="2" a="1"/>
  <c r="P627" i="2" s="1"/>
  <c r="H627" i="2" a="1"/>
  <c r="H627" i="2" s="1"/>
  <c r="G627" i="2" a="1"/>
  <c r="G627" i="2" s="1"/>
  <c r="F627" i="2" a="1"/>
  <c r="F627" i="2" s="1"/>
  <c r="D627" i="2" a="1"/>
  <c r="D627" i="2" s="1"/>
  <c r="AH626" i="2" a="1"/>
  <c r="AH626" i="2"/>
  <c r="R626" i="2" a="1"/>
  <c r="R626" i="2" s="1"/>
  <c r="Q626" i="2" a="1"/>
  <c r="Q626" i="2" s="1"/>
  <c r="P626" i="2" a="1"/>
  <c r="P626" i="2" s="1"/>
  <c r="H626" i="2" a="1"/>
  <c r="H626" i="2" s="1"/>
  <c r="G626" i="2" a="1"/>
  <c r="G626" i="2" s="1"/>
  <c r="F626" i="2" a="1"/>
  <c r="F626" i="2" s="1"/>
  <c r="D626" i="2" a="1"/>
  <c r="D626" i="2" s="1"/>
  <c r="AH625" i="2" a="1"/>
  <c r="AH625" i="2" s="1"/>
  <c r="R625" i="2" a="1"/>
  <c r="R625" i="2" s="1"/>
  <c r="Q625" i="2" a="1"/>
  <c r="Q625" i="2" s="1"/>
  <c r="Z625" i="2" s="1" a="1"/>
  <c r="Z625" i="2" s="1"/>
  <c r="P625" i="2" a="1"/>
  <c r="P625" i="2" s="1"/>
  <c r="H625" i="2" a="1"/>
  <c r="H625" i="2" s="1"/>
  <c r="G625" i="2" a="1"/>
  <c r="G625" i="2" s="1"/>
  <c r="F625" i="2" a="1"/>
  <c r="F625" i="2" s="1"/>
  <c r="D625" i="2" a="1"/>
  <c r="D625" i="2" s="1"/>
  <c r="AH624" i="2" a="1"/>
  <c r="AH624" i="2" s="1"/>
  <c r="R624" i="2" a="1"/>
  <c r="R624" i="2" s="1"/>
  <c r="Q624" i="2" a="1"/>
  <c r="Q624" i="2" s="1"/>
  <c r="AA624" i="2" s="1" a="1"/>
  <c r="AA624" i="2" s="1"/>
  <c r="P624" i="2" a="1"/>
  <c r="P624" i="2" s="1"/>
  <c r="H624" i="2" a="1"/>
  <c r="H624" i="2" s="1"/>
  <c r="G624" i="2" a="1"/>
  <c r="G624" i="2" s="1"/>
  <c r="F624" i="2" a="1"/>
  <c r="F624" i="2" s="1"/>
  <c r="D624" i="2" a="1"/>
  <c r="D624" i="2" s="1"/>
  <c r="AH623" i="2" a="1"/>
  <c r="AH623" i="2" s="1"/>
  <c r="R623" i="2" a="1"/>
  <c r="R623" i="2" s="1"/>
  <c r="Q623" i="2" a="1"/>
  <c r="Q623" i="2" s="1"/>
  <c r="AB623" i="2" s="1" a="1"/>
  <c r="AB623" i="2" s="1"/>
  <c r="P623" i="2" a="1"/>
  <c r="P623" i="2" s="1"/>
  <c r="H623" i="2" a="1"/>
  <c r="H623" i="2" s="1"/>
  <c r="G623" i="2" a="1"/>
  <c r="G623" i="2" s="1"/>
  <c r="F623" i="2" a="1"/>
  <c r="F623" i="2" s="1"/>
  <c r="D623" i="2" a="1"/>
  <c r="D623" i="2" s="1"/>
  <c r="AH622" i="2" a="1"/>
  <c r="AH622" i="2" s="1"/>
  <c r="R622" i="2" a="1"/>
  <c r="R622" i="2" s="1"/>
  <c r="Q622" i="2" a="1"/>
  <c r="Q622" i="2" s="1"/>
  <c r="P622" i="2" a="1"/>
  <c r="P622" i="2" s="1"/>
  <c r="H622" i="2" a="1"/>
  <c r="H622" i="2" s="1"/>
  <c r="G622" i="2" a="1"/>
  <c r="G622" i="2" s="1"/>
  <c r="F622" i="2" a="1"/>
  <c r="F622" i="2" s="1"/>
  <c r="D622" i="2" a="1"/>
  <c r="D622" i="2" s="1"/>
  <c r="AH621" i="2" a="1"/>
  <c r="AH621" i="2" s="1"/>
  <c r="R621" i="2" a="1"/>
  <c r="R621" i="2" s="1"/>
  <c r="Q621" i="2" a="1"/>
  <c r="Q621" i="2" s="1"/>
  <c r="AA621" i="2" s="1" a="1"/>
  <c r="AA621" i="2" s="1"/>
  <c r="P621" i="2" a="1"/>
  <c r="P621" i="2" s="1"/>
  <c r="H621" i="2" a="1"/>
  <c r="H621" i="2" s="1"/>
  <c r="G621" i="2" a="1"/>
  <c r="G621" i="2" s="1"/>
  <c r="F621" i="2" a="1"/>
  <c r="F621" i="2" s="1"/>
  <c r="D621" i="2" a="1"/>
  <c r="D621" i="2" s="1"/>
  <c r="AH620" i="2" a="1"/>
  <c r="AH620" i="2" s="1"/>
  <c r="R620" i="2" a="1"/>
  <c r="R620" i="2" s="1"/>
  <c r="Q620" i="2" a="1"/>
  <c r="Q620" i="2" s="1"/>
  <c r="P620" i="2" a="1"/>
  <c r="P620" i="2" s="1"/>
  <c r="H620" i="2" a="1"/>
  <c r="H620" i="2" s="1"/>
  <c r="G620" i="2" a="1"/>
  <c r="G620" i="2" s="1"/>
  <c r="F620" i="2" a="1"/>
  <c r="F620" i="2" s="1"/>
  <c r="D620" i="2" a="1"/>
  <c r="D620" i="2" s="1"/>
  <c r="AH619" i="2" a="1"/>
  <c r="AH619" i="2" s="1"/>
  <c r="R619" i="2" a="1"/>
  <c r="R619" i="2" s="1"/>
  <c r="Q619" i="2" a="1"/>
  <c r="Q619" i="2" s="1"/>
  <c r="P619" i="2" a="1"/>
  <c r="P619" i="2" s="1"/>
  <c r="H619" i="2" a="1"/>
  <c r="H619" i="2" s="1"/>
  <c r="G619" i="2" a="1"/>
  <c r="G619" i="2" s="1"/>
  <c r="F619" i="2" a="1"/>
  <c r="F619" i="2" s="1"/>
  <c r="D619" i="2" a="1"/>
  <c r="D619" i="2" s="1"/>
  <c r="AH618" i="2" a="1"/>
  <c r="AH618" i="2" s="1"/>
  <c r="R618" i="2" a="1"/>
  <c r="R618" i="2" s="1"/>
  <c r="Q618" i="2" a="1"/>
  <c r="Q618" i="2" s="1"/>
  <c r="P618" i="2" a="1"/>
  <c r="P618" i="2" s="1"/>
  <c r="H618" i="2" a="1"/>
  <c r="H618" i="2" s="1"/>
  <c r="G618" i="2" a="1"/>
  <c r="G618" i="2" s="1"/>
  <c r="F618" i="2" a="1"/>
  <c r="F618" i="2" s="1"/>
  <c r="D618" i="2" a="1"/>
  <c r="D618" i="2" s="1"/>
  <c r="AH617" i="2" a="1"/>
  <c r="AH617" i="2" s="1"/>
  <c r="R617" i="2" a="1"/>
  <c r="R617" i="2" s="1"/>
  <c r="Q617" i="2" a="1"/>
  <c r="Q617" i="2" s="1"/>
  <c r="P617" i="2" a="1"/>
  <c r="P617" i="2" s="1"/>
  <c r="H617" i="2" a="1"/>
  <c r="H617" i="2" s="1"/>
  <c r="G617" i="2" a="1"/>
  <c r="G617" i="2" s="1"/>
  <c r="F617" i="2" a="1"/>
  <c r="F617" i="2" s="1"/>
  <c r="D617" i="2" a="1"/>
  <c r="D617" i="2" s="1"/>
  <c r="AH616" i="2" a="1"/>
  <c r="AH616" i="2" s="1"/>
  <c r="R616" i="2" a="1"/>
  <c r="R616" i="2" s="1"/>
  <c r="Q616" i="2" a="1"/>
  <c r="Q616" i="2" s="1"/>
  <c r="P616" i="2" a="1"/>
  <c r="P616" i="2" s="1"/>
  <c r="H616" i="2" a="1"/>
  <c r="H616" i="2" s="1"/>
  <c r="G616" i="2" a="1"/>
  <c r="G616" i="2" s="1"/>
  <c r="F616" i="2" a="1"/>
  <c r="F616" i="2" s="1"/>
  <c r="D616" i="2" a="1"/>
  <c r="D616" i="2" s="1"/>
  <c r="AH615" i="2" a="1"/>
  <c r="AH615" i="2" s="1"/>
  <c r="R615" i="2" a="1"/>
  <c r="R615" i="2" s="1"/>
  <c r="Q615" i="2" a="1"/>
  <c r="Q615" i="2" s="1"/>
  <c r="AD615" i="2" s="1" a="1"/>
  <c r="AD615" i="2" s="1"/>
  <c r="P615" i="2" a="1"/>
  <c r="P615" i="2" s="1"/>
  <c r="H615" i="2" a="1"/>
  <c r="H615" i="2" s="1"/>
  <c r="G615" i="2" a="1"/>
  <c r="G615" i="2" s="1"/>
  <c r="F615" i="2" a="1"/>
  <c r="F615" i="2" s="1"/>
  <c r="D615" i="2" a="1"/>
  <c r="D615" i="2" s="1"/>
  <c r="AH614" i="2" a="1"/>
  <c r="AH614" i="2" s="1"/>
  <c r="R614" i="2" a="1"/>
  <c r="R614" i="2" s="1"/>
  <c r="Q614" i="2" a="1"/>
  <c r="Q614" i="2" s="1"/>
  <c r="P614" i="2" a="1"/>
  <c r="P614" i="2" s="1"/>
  <c r="H614" i="2" a="1"/>
  <c r="H614" i="2" s="1"/>
  <c r="G614" i="2" a="1"/>
  <c r="G614" i="2" s="1"/>
  <c r="F614" i="2" a="1"/>
  <c r="F614" i="2" s="1"/>
  <c r="D614" i="2" a="1"/>
  <c r="D614" i="2" s="1"/>
  <c r="AH613" i="2" a="1"/>
  <c r="AH613" i="2" s="1"/>
  <c r="R613" i="2" a="1"/>
  <c r="R613" i="2" s="1"/>
  <c r="Q613" i="2" a="1"/>
  <c r="Q613" i="2" s="1"/>
  <c r="P613" i="2" a="1"/>
  <c r="P613" i="2" s="1"/>
  <c r="H613" i="2" a="1"/>
  <c r="H613" i="2" s="1"/>
  <c r="G613" i="2" a="1"/>
  <c r="G613" i="2" s="1"/>
  <c r="F613" i="2" a="1"/>
  <c r="F613" i="2" s="1"/>
  <c r="D613" i="2" a="1"/>
  <c r="D613" i="2" s="1"/>
  <c r="AH612" i="2" a="1"/>
  <c r="AH612" i="2" s="1"/>
  <c r="R612" i="2" a="1"/>
  <c r="R612" i="2" s="1"/>
  <c r="Q612" i="2" a="1"/>
  <c r="Q612" i="2" s="1"/>
  <c r="P612" i="2" a="1"/>
  <c r="P612" i="2" s="1"/>
  <c r="H612" i="2" a="1"/>
  <c r="H612" i="2" s="1"/>
  <c r="G612" i="2" a="1"/>
  <c r="G612" i="2" s="1"/>
  <c r="F612" i="2" a="1"/>
  <c r="F612" i="2" s="1"/>
  <c r="D612" i="2" a="1"/>
  <c r="D612" i="2" s="1"/>
  <c r="AH611" i="2" a="1"/>
  <c r="AH611" i="2" s="1"/>
  <c r="R611" i="2" a="1"/>
  <c r="R611" i="2" s="1"/>
  <c r="Q611" i="2" a="1"/>
  <c r="Q611" i="2" s="1"/>
  <c r="P611" i="2" a="1"/>
  <c r="P611" i="2" s="1"/>
  <c r="H611" i="2" a="1"/>
  <c r="H611" i="2" s="1"/>
  <c r="G611" i="2" a="1"/>
  <c r="G611" i="2" s="1"/>
  <c r="F611" i="2" a="1"/>
  <c r="F611" i="2" s="1"/>
  <c r="D611" i="2" a="1"/>
  <c r="D611" i="2" s="1"/>
  <c r="AH610" i="2" a="1"/>
  <c r="AH610" i="2" s="1"/>
  <c r="R610" i="2" a="1"/>
  <c r="R610" i="2" s="1"/>
  <c r="Q610" i="2" a="1"/>
  <c r="Q610" i="2" s="1"/>
  <c r="AD610" i="2" s="1" a="1"/>
  <c r="AD610" i="2" s="1"/>
  <c r="P610" i="2" a="1"/>
  <c r="P610" i="2" s="1"/>
  <c r="H610" i="2" a="1"/>
  <c r="H610" i="2" s="1"/>
  <c r="G610" i="2" a="1"/>
  <c r="G610" i="2" s="1"/>
  <c r="F610" i="2" a="1"/>
  <c r="F610" i="2" s="1"/>
  <c r="D610" i="2" a="1"/>
  <c r="D610" i="2" s="1"/>
  <c r="AH609" i="2" a="1"/>
  <c r="AH609" i="2" s="1"/>
  <c r="R609" i="2" a="1"/>
  <c r="R609" i="2" s="1"/>
  <c r="Q609" i="2" a="1"/>
  <c r="Q609" i="2" s="1"/>
  <c r="P609" i="2" a="1"/>
  <c r="P609" i="2" s="1"/>
  <c r="H609" i="2" a="1"/>
  <c r="H609" i="2" s="1"/>
  <c r="G609" i="2" a="1"/>
  <c r="G609" i="2" s="1"/>
  <c r="F609" i="2" a="1"/>
  <c r="F609" i="2" s="1"/>
  <c r="D609" i="2" a="1"/>
  <c r="D609" i="2" s="1"/>
  <c r="AH608" i="2" a="1"/>
  <c r="AH608" i="2" s="1"/>
  <c r="R608" i="2" a="1"/>
  <c r="R608" i="2" s="1"/>
  <c r="Q608" i="2" a="1"/>
  <c r="Q608" i="2" s="1"/>
  <c r="P608" i="2" a="1"/>
  <c r="P608" i="2" s="1"/>
  <c r="H608" i="2" a="1"/>
  <c r="H608" i="2" s="1"/>
  <c r="G608" i="2" a="1"/>
  <c r="G608" i="2" s="1"/>
  <c r="F608" i="2" a="1"/>
  <c r="F608" i="2" s="1"/>
  <c r="D608" i="2" a="1"/>
  <c r="D608" i="2" s="1"/>
  <c r="AH607" i="2" a="1"/>
  <c r="AH607" i="2" s="1"/>
  <c r="R607" i="2" a="1"/>
  <c r="R607" i="2" s="1"/>
  <c r="Q607" i="2" a="1"/>
  <c r="Q607" i="2" s="1"/>
  <c r="P607" i="2" a="1"/>
  <c r="P607" i="2" s="1"/>
  <c r="H607" i="2" a="1"/>
  <c r="H607" i="2" s="1"/>
  <c r="G607" i="2" a="1"/>
  <c r="G607" i="2" s="1"/>
  <c r="F607" i="2" a="1"/>
  <c r="F607" i="2" s="1"/>
  <c r="D607" i="2" a="1"/>
  <c r="D607" i="2" s="1"/>
  <c r="AH606" i="2" a="1"/>
  <c r="AH606" i="2" s="1"/>
  <c r="R606" i="2" a="1"/>
  <c r="R606" i="2" s="1"/>
  <c r="Q606" i="2" a="1"/>
  <c r="Q606" i="2" s="1"/>
  <c r="P606" i="2" a="1"/>
  <c r="P606" i="2" s="1"/>
  <c r="H606" i="2" a="1"/>
  <c r="H606" i="2" s="1"/>
  <c r="G606" i="2" a="1"/>
  <c r="G606" i="2" s="1"/>
  <c r="F606" i="2" a="1"/>
  <c r="F606" i="2" s="1"/>
  <c r="D606" i="2" a="1"/>
  <c r="D606" i="2" s="1"/>
  <c r="AH605" i="2" a="1"/>
  <c r="AH605" i="2" s="1"/>
  <c r="R605" i="2" a="1"/>
  <c r="R605" i="2" s="1"/>
  <c r="Q605" i="2" a="1"/>
  <c r="Q605" i="2" s="1"/>
  <c r="AD605" i="2" s="1" a="1"/>
  <c r="AD605" i="2" s="1"/>
  <c r="P605" i="2" a="1"/>
  <c r="P605" i="2" s="1"/>
  <c r="H605" i="2" a="1"/>
  <c r="H605" i="2" s="1"/>
  <c r="G605" i="2" a="1"/>
  <c r="G605" i="2" s="1"/>
  <c r="F605" i="2" a="1"/>
  <c r="F605" i="2" s="1"/>
  <c r="D605" i="2" a="1"/>
  <c r="D605" i="2" s="1"/>
  <c r="AH604" i="2" a="1"/>
  <c r="AH604" i="2" s="1"/>
  <c r="R604" i="2" a="1"/>
  <c r="R604" i="2" s="1"/>
  <c r="Q604" i="2" a="1"/>
  <c r="Q604" i="2" s="1"/>
  <c r="P604" i="2" a="1"/>
  <c r="P604" i="2" s="1"/>
  <c r="H604" i="2" a="1"/>
  <c r="H604" i="2" s="1"/>
  <c r="G604" i="2" a="1"/>
  <c r="G604" i="2" s="1"/>
  <c r="F604" i="2" a="1"/>
  <c r="F604" i="2" s="1"/>
  <c r="D604" i="2" a="1"/>
  <c r="D604" i="2" s="1"/>
  <c r="AH603" i="2" a="1"/>
  <c r="AH603" i="2" s="1"/>
  <c r="R603" i="2" a="1"/>
  <c r="R603" i="2" s="1"/>
  <c r="Q603" i="2" a="1"/>
  <c r="Q603" i="2" s="1"/>
  <c r="P603" i="2" a="1"/>
  <c r="P603" i="2" s="1"/>
  <c r="H603" i="2" a="1"/>
  <c r="H603" i="2" s="1"/>
  <c r="G603" i="2" a="1"/>
  <c r="G603" i="2" s="1"/>
  <c r="F603" i="2" a="1"/>
  <c r="F603" i="2" s="1"/>
  <c r="D603" i="2" a="1"/>
  <c r="D603" i="2" s="1"/>
  <c r="AH602" i="2" a="1"/>
  <c r="AH602" i="2" s="1"/>
  <c r="R602" i="2" a="1"/>
  <c r="R602" i="2" s="1"/>
  <c r="Q602" i="2" a="1"/>
  <c r="Q602" i="2" s="1"/>
  <c r="P602" i="2" a="1"/>
  <c r="P602" i="2" s="1"/>
  <c r="H602" i="2" a="1"/>
  <c r="H602" i="2" s="1"/>
  <c r="G602" i="2" a="1"/>
  <c r="G602" i="2" s="1"/>
  <c r="F602" i="2" a="1"/>
  <c r="F602" i="2" s="1"/>
  <c r="D602" i="2" a="1"/>
  <c r="D602" i="2" s="1"/>
  <c r="AH601" i="2" a="1"/>
  <c r="AH601" i="2" s="1"/>
  <c r="R601" i="2" a="1"/>
  <c r="R601" i="2" s="1"/>
  <c r="Q601" i="2" a="1"/>
  <c r="Q601" i="2" s="1"/>
  <c r="AB601" i="2" s="1" a="1"/>
  <c r="AB601" i="2" s="1"/>
  <c r="P601" i="2" a="1"/>
  <c r="P601" i="2" s="1"/>
  <c r="H601" i="2" a="1"/>
  <c r="H601" i="2" s="1"/>
  <c r="G601" i="2" a="1"/>
  <c r="G601" i="2" s="1"/>
  <c r="F601" i="2" a="1"/>
  <c r="F601" i="2" s="1"/>
  <c r="D601" i="2" a="1"/>
  <c r="D601" i="2" s="1"/>
  <c r="AH600" i="2" a="1"/>
  <c r="AH600" i="2" s="1"/>
  <c r="R600" i="2" a="1"/>
  <c r="R600" i="2" s="1"/>
  <c r="Q600" i="2" a="1"/>
  <c r="Q600" i="2" s="1"/>
  <c r="P600" i="2" a="1"/>
  <c r="P600" i="2" s="1"/>
  <c r="H600" i="2" a="1"/>
  <c r="H600" i="2" s="1"/>
  <c r="G600" i="2" a="1"/>
  <c r="G600" i="2" s="1"/>
  <c r="F600" i="2" a="1"/>
  <c r="F600" i="2" s="1"/>
  <c r="D600" i="2" a="1"/>
  <c r="D600" i="2" s="1"/>
  <c r="AH599" i="2" a="1"/>
  <c r="AH599" i="2" s="1"/>
  <c r="R599" i="2" a="1"/>
  <c r="R599" i="2" s="1"/>
  <c r="Q599" i="2" a="1"/>
  <c r="Q599" i="2" s="1"/>
  <c r="P599" i="2" a="1"/>
  <c r="P599" i="2" s="1"/>
  <c r="H599" i="2" a="1"/>
  <c r="H599" i="2" s="1"/>
  <c r="G599" i="2" a="1"/>
  <c r="G599" i="2" s="1"/>
  <c r="F599" i="2" a="1"/>
  <c r="F599" i="2" s="1"/>
  <c r="D599" i="2" a="1"/>
  <c r="D599" i="2" s="1"/>
  <c r="AH598" i="2" a="1"/>
  <c r="AH598" i="2" s="1"/>
  <c r="R598" i="2" a="1"/>
  <c r="R598" i="2" s="1"/>
  <c r="Q598" i="2" a="1"/>
  <c r="Q598" i="2" s="1"/>
  <c r="P598" i="2" a="1"/>
  <c r="P598" i="2" s="1"/>
  <c r="H598" i="2" a="1"/>
  <c r="H598" i="2" s="1"/>
  <c r="G598" i="2" a="1"/>
  <c r="G598" i="2" s="1"/>
  <c r="F598" i="2" a="1"/>
  <c r="F598" i="2" s="1"/>
  <c r="D598" i="2" a="1"/>
  <c r="D598" i="2" s="1"/>
  <c r="AH597" i="2" a="1"/>
  <c r="AH597" i="2" s="1"/>
  <c r="R597" i="2" a="1"/>
  <c r="R597" i="2" s="1"/>
  <c r="Q597" i="2" a="1"/>
  <c r="Q597" i="2" s="1"/>
  <c r="AD597" i="2" s="1" a="1"/>
  <c r="AD597" i="2" s="1"/>
  <c r="P597" i="2" a="1"/>
  <c r="P597" i="2" s="1"/>
  <c r="H597" i="2" a="1"/>
  <c r="H597" i="2" s="1"/>
  <c r="G597" i="2" a="1"/>
  <c r="G597" i="2" s="1"/>
  <c r="F597" i="2" a="1"/>
  <c r="F597" i="2" s="1"/>
  <c r="D597" i="2" a="1"/>
  <c r="D597" i="2" s="1"/>
  <c r="AH596" i="2" a="1"/>
  <c r="AH596" i="2" s="1"/>
  <c r="R596" i="2" a="1"/>
  <c r="R596" i="2" s="1"/>
  <c r="Q596" i="2" a="1"/>
  <c r="Q596" i="2" s="1"/>
  <c r="P596" i="2" a="1"/>
  <c r="P596" i="2" s="1"/>
  <c r="H596" i="2" a="1"/>
  <c r="H596" i="2" s="1"/>
  <c r="G596" i="2" a="1"/>
  <c r="G596" i="2" s="1"/>
  <c r="F596" i="2" a="1"/>
  <c r="F596" i="2" s="1"/>
  <c r="D596" i="2" a="1"/>
  <c r="D596" i="2" s="1"/>
  <c r="AH595" i="2" a="1"/>
  <c r="AH595" i="2" s="1"/>
  <c r="R595" i="2" a="1"/>
  <c r="R595" i="2" s="1"/>
  <c r="Q595" i="2" a="1"/>
  <c r="Q595" i="2" s="1"/>
  <c r="P595" i="2" a="1"/>
  <c r="P595" i="2" s="1"/>
  <c r="H595" i="2" a="1"/>
  <c r="H595" i="2" s="1"/>
  <c r="G595" i="2" a="1"/>
  <c r="G595" i="2" s="1"/>
  <c r="F595" i="2" a="1"/>
  <c r="F595" i="2" s="1"/>
  <c r="D595" i="2" a="1"/>
  <c r="D595" i="2" s="1"/>
  <c r="AH594" i="2" a="1"/>
  <c r="AH594" i="2" s="1"/>
  <c r="R594" i="2" a="1"/>
  <c r="R594" i="2" s="1"/>
  <c r="Q594" i="2" a="1"/>
  <c r="Q594" i="2" s="1"/>
  <c r="P594" i="2" a="1"/>
  <c r="P594" i="2" s="1"/>
  <c r="H594" i="2" a="1"/>
  <c r="H594" i="2" s="1"/>
  <c r="G594" i="2" a="1"/>
  <c r="G594" i="2" s="1"/>
  <c r="F594" i="2" a="1"/>
  <c r="F594" i="2" s="1"/>
  <c r="D594" i="2" a="1"/>
  <c r="D594" i="2" s="1"/>
  <c r="AH593" i="2" a="1"/>
  <c r="AH593" i="2" s="1"/>
  <c r="R593" i="2" a="1"/>
  <c r="R593" i="2" s="1"/>
  <c r="Q593" i="2" a="1"/>
  <c r="Q593" i="2" s="1"/>
  <c r="P593" i="2" a="1"/>
  <c r="P593" i="2" s="1"/>
  <c r="H593" i="2" a="1"/>
  <c r="H593" i="2" s="1"/>
  <c r="G593" i="2" a="1"/>
  <c r="G593" i="2" s="1"/>
  <c r="F593" i="2" a="1"/>
  <c r="F593" i="2" s="1"/>
  <c r="D593" i="2" a="1"/>
  <c r="D593" i="2" s="1"/>
  <c r="AH592" i="2" a="1"/>
  <c r="AH592" i="2" s="1"/>
  <c r="R592" i="2" a="1"/>
  <c r="R592" i="2" s="1"/>
  <c r="Q592" i="2" a="1"/>
  <c r="Q592" i="2" s="1"/>
  <c r="Y592" i="2" s="1" a="1"/>
  <c r="Y592" i="2" s="1"/>
  <c r="P592" i="2" a="1"/>
  <c r="P592" i="2" s="1"/>
  <c r="H592" i="2" a="1"/>
  <c r="H592" i="2" s="1"/>
  <c r="G592" i="2" a="1"/>
  <c r="G592" i="2" s="1"/>
  <c r="F592" i="2" a="1"/>
  <c r="F592" i="2" s="1"/>
  <c r="D592" i="2" a="1"/>
  <c r="D592" i="2" s="1"/>
  <c r="AH591" i="2" a="1"/>
  <c r="AH591" i="2" s="1"/>
  <c r="R591" i="2" a="1"/>
  <c r="R591" i="2" s="1"/>
  <c r="Q591" i="2" a="1"/>
  <c r="Q591" i="2" s="1"/>
  <c r="AB591" i="2" s="1" a="1"/>
  <c r="AB591" i="2" s="1"/>
  <c r="P591" i="2" a="1"/>
  <c r="P591" i="2" s="1"/>
  <c r="H591" i="2" a="1"/>
  <c r="H591" i="2" s="1"/>
  <c r="G591" i="2" a="1"/>
  <c r="G591" i="2" s="1"/>
  <c r="F591" i="2" a="1"/>
  <c r="F591" i="2" s="1"/>
  <c r="D591" i="2" a="1"/>
  <c r="D591" i="2" s="1"/>
  <c r="AH590" i="2" a="1"/>
  <c r="AH590" i="2" s="1"/>
  <c r="R590" i="2" a="1"/>
  <c r="R590" i="2" s="1"/>
  <c r="Q590" i="2" a="1"/>
  <c r="Q590" i="2" s="1"/>
  <c r="AD590" i="2" s="1" a="1"/>
  <c r="AD590" i="2" s="1"/>
  <c r="P590" i="2" a="1"/>
  <c r="P590" i="2" s="1"/>
  <c r="H590" i="2" a="1"/>
  <c r="H590" i="2" s="1"/>
  <c r="G590" i="2" a="1"/>
  <c r="G590" i="2" s="1"/>
  <c r="F590" i="2" a="1"/>
  <c r="F590" i="2" s="1"/>
  <c r="D590" i="2" a="1"/>
  <c r="D590" i="2" s="1"/>
  <c r="AH589" i="2" a="1"/>
  <c r="AH589" i="2" s="1"/>
  <c r="R589" i="2" a="1"/>
  <c r="R589" i="2" s="1"/>
  <c r="Q589" i="2" a="1"/>
  <c r="Q589" i="2" s="1"/>
  <c r="P589" i="2" a="1"/>
  <c r="P589" i="2" s="1"/>
  <c r="H589" i="2" a="1"/>
  <c r="H589" i="2" s="1"/>
  <c r="G589" i="2" a="1"/>
  <c r="G589" i="2" s="1"/>
  <c r="F589" i="2" a="1"/>
  <c r="F589" i="2" s="1"/>
  <c r="D589" i="2" a="1"/>
  <c r="D589" i="2" s="1"/>
  <c r="AH588" i="2" a="1"/>
  <c r="AH588" i="2" s="1"/>
  <c r="R588" i="2" a="1"/>
  <c r="R588" i="2" s="1"/>
  <c r="Q588" i="2" a="1"/>
  <c r="Q588" i="2" s="1"/>
  <c r="P588" i="2" a="1"/>
  <c r="P588" i="2" s="1"/>
  <c r="H588" i="2" a="1"/>
  <c r="H588" i="2" s="1"/>
  <c r="G588" i="2" a="1"/>
  <c r="G588" i="2" s="1"/>
  <c r="F588" i="2" a="1"/>
  <c r="F588" i="2" s="1"/>
  <c r="D588" i="2" a="1"/>
  <c r="D588" i="2" s="1"/>
  <c r="AH587" i="2" a="1"/>
  <c r="AH587" i="2" s="1"/>
  <c r="R587" i="2" a="1"/>
  <c r="R587" i="2" s="1"/>
  <c r="Q587" i="2" a="1"/>
  <c r="Q587" i="2" s="1"/>
  <c r="AF587" i="2" s="1" a="1"/>
  <c r="AF587" i="2" s="1"/>
  <c r="P587" i="2" a="1"/>
  <c r="P587" i="2" s="1"/>
  <c r="H587" i="2" a="1"/>
  <c r="H587" i="2" s="1"/>
  <c r="G587" i="2" a="1"/>
  <c r="G587" i="2" s="1"/>
  <c r="F587" i="2" a="1"/>
  <c r="F587" i="2" s="1"/>
  <c r="D587" i="2" a="1"/>
  <c r="D587" i="2" s="1"/>
  <c r="AH586" i="2" a="1"/>
  <c r="AH586" i="2" s="1"/>
  <c r="R586" i="2" a="1"/>
  <c r="R586" i="2" s="1"/>
  <c r="Q586" i="2" a="1"/>
  <c r="Q586" i="2" s="1"/>
  <c r="P586" i="2" a="1"/>
  <c r="P586" i="2" s="1"/>
  <c r="H586" i="2" a="1"/>
  <c r="H586" i="2" s="1"/>
  <c r="G586" i="2" a="1"/>
  <c r="G586" i="2" s="1"/>
  <c r="F586" i="2" a="1"/>
  <c r="F586" i="2" s="1"/>
  <c r="D586" i="2" a="1"/>
  <c r="D586" i="2" s="1"/>
  <c r="AH585" i="2" a="1"/>
  <c r="AH585" i="2" s="1"/>
  <c r="R585" i="2" a="1"/>
  <c r="R585" i="2" s="1"/>
  <c r="Q585" i="2" a="1"/>
  <c r="Q585" i="2" s="1"/>
  <c r="AF585" i="2" s="1" a="1"/>
  <c r="AF585" i="2" s="1"/>
  <c r="P585" i="2" a="1"/>
  <c r="P585" i="2" s="1"/>
  <c r="H585" i="2" a="1"/>
  <c r="H585" i="2" s="1"/>
  <c r="G585" i="2" a="1"/>
  <c r="G585" i="2" s="1"/>
  <c r="F585" i="2" a="1"/>
  <c r="F585" i="2" s="1"/>
  <c r="D585" i="2" a="1"/>
  <c r="D585" i="2" s="1"/>
  <c r="AH584" i="2" a="1"/>
  <c r="AH584" i="2" s="1"/>
  <c r="R584" i="2" a="1"/>
  <c r="R584" i="2" s="1"/>
  <c r="Q584" i="2" a="1"/>
  <c r="Q584" i="2" s="1"/>
  <c r="P584" i="2" a="1"/>
  <c r="P584" i="2" s="1"/>
  <c r="H584" i="2" a="1"/>
  <c r="H584" i="2" s="1"/>
  <c r="G584" i="2" a="1"/>
  <c r="G584" i="2" s="1"/>
  <c r="F584" i="2" a="1"/>
  <c r="F584" i="2" s="1"/>
  <c r="D584" i="2" a="1"/>
  <c r="D584" i="2" s="1"/>
  <c r="AH583" i="2" a="1"/>
  <c r="AH583" i="2" s="1"/>
  <c r="R583" i="2" a="1"/>
  <c r="R583" i="2" s="1"/>
  <c r="Q583" i="2" a="1"/>
  <c r="Q583" i="2" s="1"/>
  <c r="P583" i="2" a="1"/>
  <c r="P583" i="2" s="1"/>
  <c r="H583" i="2" a="1"/>
  <c r="H583" i="2" s="1"/>
  <c r="G583" i="2" a="1"/>
  <c r="G583" i="2" s="1"/>
  <c r="F583" i="2" a="1"/>
  <c r="F583" i="2" s="1"/>
  <c r="D583" i="2" a="1"/>
  <c r="D583" i="2" s="1"/>
  <c r="AH582" i="2" a="1"/>
  <c r="AH582" i="2" s="1"/>
  <c r="R582" i="2" a="1"/>
  <c r="R582" i="2" s="1"/>
  <c r="Q582" i="2" a="1"/>
  <c r="Q582" i="2" s="1"/>
  <c r="AF582" i="2" s="1" a="1"/>
  <c r="AF582" i="2" s="1"/>
  <c r="P582" i="2" a="1"/>
  <c r="P582" i="2" s="1"/>
  <c r="H582" i="2" a="1"/>
  <c r="H582" i="2" s="1"/>
  <c r="G582" i="2" a="1"/>
  <c r="G582" i="2" s="1"/>
  <c r="F582" i="2" a="1"/>
  <c r="F582" i="2" s="1"/>
  <c r="D582" i="2" a="1"/>
  <c r="D582" i="2" s="1"/>
  <c r="AH581" i="2" a="1"/>
  <c r="AH581" i="2" s="1"/>
  <c r="R581" i="2" a="1"/>
  <c r="R581" i="2" s="1"/>
  <c r="Q581" i="2" a="1"/>
  <c r="Q581" i="2" s="1"/>
  <c r="P581" i="2" a="1"/>
  <c r="P581" i="2" s="1"/>
  <c r="H581" i="2" a="1"/>
  <c r="H581" i="2" s="1"/>
  <c r="G581" i="2" a="1"/>
  <c r="G581" i="2" s="1"/>
  <c r="F581" i="2" a="1"/>
  <c r="F581" i="2" s="1"/>
  <c r="D581" i="2" a="1"/>
  <c r="D581" i="2" s="1"/>
  <c r="AJ580" i="2" a="1"/>
  <c r="AJ580" i="2" s="1"/>
  <c r="P580" i="2" a="1"/>
  <c r="P580" i="2" s="1"/>
  <c r="H580" i="2" a="1"/>
  <c r="H580" i="2" s="1"/>
  <c r="G580" i="2" a="1"/>
  <c r="G580" i="2" s="1"/>
  <c r="F580" i="2" a="1"/>
  <c r="F580" i="2" s="1"/>
  <c r="D66" i="9" s="1" a="1"/>
  <c r="D66" i="9" s="1"/>
  <c r="D580" i="2" a="1"/>
  <c r="D580" i="2" s="1"/>
  <c r="AH579" i="2" a="1"/>
  <c r="AH579" i="2" s="1"/>
  <c r="R579" i="2" a="1"/>
  <c r="R579" i="2" s="1"/>
  <c r="Q579" i="2" a="1"/>
  <c r="Q579" i="2" s="1"/>
  <c r="P579" i="2" a="1"/>
  <c r="P579" i="2" s="1"/>
  <c r="H579" i="2" a="1"/>
  <c r="H579" i="2" s="1"/>
  <c r="G579" i="2" a="1"/>
  <c r="G579" i="2" s="1"/>
  <c r="F579" i="2" a="1"/>
  <c r="F579" i="2" s="1"/>
  <c r="D579" i="2" a="1"/>
  <c r="D579" i="2" s="1"/>
  <c r="AH578" i="2" a="1"/>
  <c r="AH578" i="2" s="1"/>
  <c r="R578" i="2" a="1"/>
  <c r="R578" i="2" s="1"/>
  <c r="Q578" i="2" a="1"/>
  <c r="Q578" i="2" s="1"/>
  <c r="AD578" i="2" s="1" a="1"/>
  <c r="AD578" i="2" s="1"/>
  <c r="P578" i="2" a="1"/>
  <c r="P578" i="2" s="1"/>
  <c r="H578" i="2" a="1"/>
  <c r="H578" i="2" s="1"/>
  <c r="G578" i="2" a="1"/>
  <c r="G578" i="2" s="1"/>
  <c r="F578" i="2" a="1"/>
  <c r="F578" i="2" s="1"/>
  <c r="D578" i="2" a="1"/>
  <c r="D578" i="2" s="1"/>
  <c r="AH577" i="2" a="1"/>
  <c r="AH577" i="2" s="1"/>
  <c r="R577" i="2" a="1"/>
  <c r="R577" i="2" s="1"/>
  <c r="Q577" i="2" a="1"/>
  <c r="Q577" i="2" s="1"/>
  <c r="Y577" i="2" s="1" a="1"/>
  <c r="Y577" i="2" s="1"/>
  <c r="P577" i="2" a="1"/>
  <c r="P577" i="2" s="1"/>
  <c r="H577" i="2" a="1"/>
  <c r="H577" i="2" s="1"/>
  <c r="G577" i="2" a="1"/>
  <c r="G577" i="2" s="1"/>
  <c r="F577" i="2" a="1"/>
  <c r="F577" i="2" s="1"/>
  <c r="D577" i="2" a="1"/>
  <c r="D577" i="2" s="1"/>
  <c r="AJ576" i="2" a="1"/>
  <c r="AJ576" i="2" s="1"/>
  <c r="P576" i="2" a="1"/>
  <c r="P576" i="2" s="1"/>
  <c r="H576" i="2" a="1"/>
  <c r="H576" i="2" s="1"/>
  <c r="G576" i="2" a="1"/>
  <c r="G576" i="2" s="1"/>
  <c r="F576" i="2" a="1"/>
  <c r="F576" i="2" s="1"/>
  <c r="D65" i="9" s="1" a="1"/>
  <c r="D65" i="9" s="1"/>
  <c r="D576" i="2" a="1"/>
  <c r="D576" i="2" s="1"/>
  <c r="AH575" i="2" a="1"/>
  <c r="AH575" i="2" s="1"/>
  <c r="R575" i="2" a="1"/>
  <c r="R575" i="2" s="1"/>
  <c r="Q575" i="2" a="1"/>
  <c r="Q575" i="2" s="1"/>
  <c r="P575" i="2" a="1"/>
  <c r="P575" i="2" s="1"/>
  <c r="H575" i="2" a="1"/>
  <c r="H575" i="2" s="1"/>
  <c r="G575" i="2" a="1"/>
  <c r="G575" i="2" s="1"/>
  <c r="F575" i="2" a="1"/>
  <c r="F575" i="2" s="1"/>
  <c r="D575" i="2" a="1"/>
  <c r="D575" i="2" s="1"/>
  <c r="AH574" i="2" a="1"/>
  <c r="AH574" i="2" s="1"/>
  <c r="R574" i="2" a="1"/>
  <c r="R574" i="2" s="1"/>
  <c r="Q574" i="2" a="1"/>
  <c r="Q574" i="2" s="1"/>
  <c r="P574" i="2" a="1"/>
  <c r="P574" i="2" s="1"/>
  <c r="H574" i="2" a="1"/>
  <c r="H574" i="2" s="1"/>
  <c r="G574" i="2" a="1"/>
  <c r="G574" i="2" s="1"/>
  <c r="F574" i="2" a="1"/>
  <c r="F574" i="2" s="1"/>
  <c r="D574" i="2" a="1"/>
  <c r="D574" i="2" s="1"/>
  <c r="AH573" i="2" a="1"/>
  <c r="AH573" i="2" s="1"/>
  <c r="R573" i="2" a="1"/>
  <c r="R573" i="2" s="1"/>
  <c r="Q573" i="2" a="1"/>
  <c r="Q573" i="2" s="1"/>
  <c r="P573" i="2" a="1"/>
  <c r="P573" i="2" s="1"/>
  <c r="H573" i="2" a="1"/>
  <c r="H573" i="2" s="1"/>
  <c r="G573" i="2" a="1"/>
  <c r="G573" i="2" s="1"/>
  <c r="F573" i="2" a="1"/>
  <c r="F573" i="2" s="1"/>
  <c r="D573" i="2" a="1"/>
  <c r="D573" i="2" s="1"/>
  <c r="AH572" i="2" a="1"/>
  <c r="AH572" i="2" s="1"/>
  <c r="R572" i="2" a="1"/>
  <c r="R572" i="2" s="1"/>
  <c r="Q572" i="2" a="1"/>
  <c r="Q572" i="2" s="1"/>
  <c r="P572" i="2" a="1"/>
  <c r="P572" i="2" s="1"/>
  <c r="H572" i="2" a="1"/>
  <c r="H572" i="2" s="1"/>
  <c r="G572" i="2" a="1"/>
  <c r="G572" i="2" s="1"/>
  <c r="F572" i="2" a="1"/>
  <c r="F572" i="2" s="1"/>
  <c r="D572" i="2" a="1"/>
  <c r="D572" i="2" s="1"/>
  <c r="AH571" i="2" a="1"/>
  <c r="AH571" i="2" s="1"/>
  <c r="R571" i="2" a="1"/>
  <c r="R571" i="2" s="1"/>
  <c r="Q571" i="2" a="1"/>
  <c r="Q571" i="2" s="1"/>
  <c r="P571" i="2" a="1"/>
  <c r="P571" i="2" s="1"/>
  <c r="H571" i="2" a="1"/>
  <c r="H571" i="2" s="1"/>
  <c r="G571" i="2" a="1"/>
  <c r="G571" i="2" s="1"/>
  <c r="F571" i="2" a="1"/>
  <c r="F571" i="2" s="1"/>
  <c r="D571" i="2" a="1"/>
  <c r="D571" i="2" s="1"/>
  <c r="AH570" i="2" a="1"/>
  <c r="AH570" i="2" s="1"/>
  <c r="R570" i="2" a="1"/>
  <c r="R570" i="2" s="1"/>
  <c r="Q570" i="2" a="1"/>
  <c r="Q570" i="2" s="1"/>
  <c r="P570" i="2" a="1"/>
  <c r="P570" i="2" s="1"/>
  <c r="H570" i="2" a="1"/>
  <c r="H570" i="2" s="1"/>
  <c r="G570" i="2" a="1"/>
  <c r="G570" i="2" s="1"/>
  <c r="F570" i="2" a="1"/>
  <c r="F570" i="2" s="1"/>
  <c r="D570" i="2" a="1"/>
  <c r="D570" i="2" s="1"/>
  <c r="AH569" i="2" a="1"/>
  <c r="AH569" i="2" s="1"/>
  <c r="R569" i="2" a="1"/>
  <c r="R569" i="2" s="1"/>
  <c r="Q569" i="2" a="1"/>
  <c r="Q569" i="2" s="1"/>
  <c r="P569" i="2" a="1"/>
  <c r="P569" i="2" s="1"/>
  <c r="H569" i="2" a="1"/>
  <c r="H569" i="2" s="1"/>
  <c r="G569" i="2" a="1"/>
  <c r="G569" i="2" s="1"/>
  <c r="F569" i="2" a="1"/>
  <c r="F569" i="2" s="1"/>
  <c r="D569" i="2" a="1"/>
  <c r="D569" i="2" s="1"/>
  <c r="AH568" i="2" a="1"/>
  <c r="AH568" i="2" s="1"/>
  <c r="R568" i="2" a="1"/>
  <c r="R568" i="2" s="1"/>
  <c r="Q568" i="2" a="1"/>
  <c r="Q568" i="2" s="1"/>
  <c r="P568" i="2" a="1"/>
  <c r="P568" i="2" s="1"/>
  <c r="H568" i="2" a="1"/>
  <c r="H568" i="2" s="1"/>
  <c r="G568" i="2" a="1"/>
  <c r="G568" i="2" s="1"/>
  <c r="F568" i="2" a="1"/>
  <c r="F568" i="2" s="1"/>
  <c r="D568" i="2" a="1"/>
  <c r="D568" i="2" s="1"/>
  <c r="AH567" i="2" a="1"/>
  <c r="AH567" i="2" s="1"/>
  <c r="R567" i="2" a="1"/>
  <c r="R567" i="2" s="1"/>
  <c r="Q567" i="2" a="1"/>
  <c r="Q567" i="2" s="1"/>
  <c r="AD567" i="2" s="1" a="1"/>
  <c r="AD567" i="2" s="1"/>
  <c r="P567" i="2" a="1"/>
  <c r="P567" i="2" s="1"/>
  <c r="H567" i="2" a="1"/>
  <c r="H567" i="2" s="1"/>
  <c r="G567" i="2" a="1"/>
  <c r="G567" i="2" s="1"/>
  <c r="F567" i="2" a="1"/>
  <c r="F567" i="2" s="1"/>
  <c r="D567" i="2" a="1"/>
  <c r="D567" i="2" s="1"/>
  <c r="AH566" i="2" a="1"/>
  <c r="AH566" i="2" s="1"/>
  <c r="R566" i="2" a="1"/>
  <c r="R566" i="2" s="1"/>
  <c r="Q566" i="2" a="1"/>
  <c r="Q566" i="2" s="1"/>
  <c r="P566" i="2" a="1"/>
  <c r="P566" i="2" s="1"/>
  <c r="H566" i="2" a="1"/>
  <c r="H566" i="2" s="1"/>
  <c r="G566" i="2" a="1"/>
  <c r="G566" i="2" s="1"/>
  <c r="F566" i="2" a="1"/>
  <c r="F566" i="2" s="1"/>
  <c r="D566" i="2" a="1"/>
  <c r="D566" i="2" s="1"/>
  <c r="AH565" i="2" a="1"/>
  <c r="AH565" i="2" s="1"/>
  <c r="R565" i="2" a="1"/>
  <c r="R565" i="2" s="1"/>
  <c r="Q565" i="2" a="1"/>
  <c r="Q565" i="2" s="1"/>
  <c r="P565" i="2" a="1"/>
  <c r="P565" i="2" s="1"/>
  <c r="H565" i="2" a="1"/>
  <c r="H565" i="2" s="1"/>
  <c r="G565" i="2" a="1"/>
  <c r="G565" i="2" s="1"/>
  <c r="F565" i="2" a="1"/>
  <c r="F565" i="2" s="1"/>
  <c r="D565" i="2" a="1"/>
  <c r="D565" i="2" s="1"/>
  <c r="AH564" i="2" a="1"/>
  <c r="AH564" i="2" s="1"/>
  <c r="R564" i="2" a="1"/>
  <c r="R564" i="2" s="1"/>
  <c r="Q564" i="2" a="1"/>
  <c r="Q564" i="2" s="1"/>
  <c r="P564" i="2" a="1"/>
  <c r="P564" i="2" s="1"/>
  <c r="H564" i="2" a="1"/>
  <c r="H564" i="2" s="1"/>
  <c r="G564" i="2" a="1"/>
  <c r="G564" i="2" s="1"/>
  <c r="F564" i="2" a="1"/>
  <c r="F564" i="2" s="1"/>
  <c r="D564" i="2" a="1"/>
  <c r="D564" i="2" s="1"/>
  <c r="AH563" i="2" a="1"/>
  <c r="AH563" i="2" s="1"/>
  <c r="R563" i="2" a="1"/>
  <c r="R563" i="2" s="1"/>
  <c r="Q563" i="2" a="1"/>
  <c r="Q563" i="2" s="1"/>
  <c r="P563" i="2" a="1"/>
  <c r="P563" i="2" s="1"/>
  <c r="H563" i="2" a="1"/>
  <c r="H563" i="2" s="1"/>
  <c r="G563" i="2" a="1"/>
  <c r="G563" i="2" s="1"/>
  <c r="F563" i="2" a="1"/>
  <c r="F563" i="2" s="1"/>
  <c r="D563" i="2" a="1"/>
  <c r="D563" i="2" s="1"/>
  <c r="AH562" i="2" a="1"/>
  <c r="AH562" i="2" s="1"/>
  <c r="R562" i="2" a="1"/>
  <c r="R562" i="2" s="1"/>
  <c r="Q562" i="2" a="1"/>
  <c r="Q562" i="2" s="1"/>
  <c r="AD562" i="2" s="1" a="1"/>
  <c r="AD562" i="2" s="1"/>
  <c r="P562" i="2" a="1"/>
  <c r="P562" i="2" s="1"/>
  <c r="H562" i="2" a="1"/>
  <c r="H562" i="2" s="1"/>
  <c r="G562" i="2" a="1"/>
  <c r="G562" i="2" s="1"/>
  <c r="F562" i="2" a="1"/>
  <c r="F562" i="2" s="1"/>
  <c r="D562" i="2" a="1"/>
  <c r="D562" i="2" s="1"/>
  <c r="AH561" i="2" a="1"/>
  <c r="AH561" i="2" s="1"/>
  <c r="R561" i="2" a="1"/>
  <c r="R561" i="2" s="1"/>
  <c r="Q561" i="2" a="1"/>
  <c r="Q561" i="2" s="1"/>
  <c r="AB561" i="2" s="1" a="1"/>
  <c r="AB561" i="2" s="1"/>
  <c r="P561" i="2" a="1"/>
  <c r="P561" i="2" s="1"/>
  <c r="H561" i="2" a="1"/>
  <c r="H561" i="2" s="1"/>
  <c r="G561" i="2" a="1"/>
  <c r="G561" i="2" s="1"/>
  <c r="F561" i="2" a="1"/>
  <c r="F561" i="2" s="1"/>
  <c r="D561" i="2" a="1"/>
  <c r="D561" i="2" s="1"/>
  <c r="AH560" i="2" a="1"/>
  <c r="AH560" i="2" s="1"/>
  <c r="R560" i="2" a="1"/>
  <c r="R560" i="2" s="1"/>
  <c r="Q560" i="2" a="1"/>
  <c r="Q560" i="2" s="1"/>
  <c r="AB560" i="2" s="1" a="1"/>
  <c r="AB560" i="2" s="1"/>
  <c r="P560" i="2" a="1"/>
  <c r="P560" i="2" s="1"/>
  <c r="H560" i="2" a="1"/>
  <c r="H560" i="2" s="1"/>
  <c r="G560" i="2" a="1"/>
  <c r="G560" i="2" s="1"/>
  <c r="F560" i="2" a="1"/>
  <c r="F560" i="2" s="1"/>
  <c r="D560" i="2" a="1"/>
  <c r="D560" i="2" s="1"/>
  <c r="AH559" i="2" a="1"/>
  <c r="AH559" i="2" s="1"/>
  <c r="R559" i="2" a="1"/>
  <c r="R559" i="2" s="1"/>
  <c r="Q559" i="2" a="1"/>
  <c r="Q559" i="2" s="1"/>
  <c r="AD559" i="2" s="1" a="1"/>
  <c r="AD559" i="2" s="1"/>
  <c r="P559" i="2" a="1"/>
  <c r="P559" i="2" s="1"/>
  <c r="H559" i="2" a="1"/>
  <c r="H559" i="2" s="1"/>
  <c r="G559" i="2" a="1"/>
  <c r="G559" i="2" s="1"/>
  <c r="F559" i="2" a="1"/>
  <c r="F559" i="2" s="1"/>
  <c r="D559" i="2" a="1"/>
  <c r="D559" i="2" s="1"/>
  <c r="AH558" i="2" a="1"/>
  <c r="AH558" i="2" s="1"/>
  <c r="R558" i="2" a="1"/>
  <c r="R558" i="2" s="1"/>
  <c r="Q558" i="2" a="1"/>
  <c r="Q558" i="2" s="1"/>
  <c r="P558" i="2" a="1"/>
  <c r="P558" i="2" s="1"/>
  <c r="H558" i="2" a="1"/>
  <c r="H558" i="2" s="1"/>
  <c r="G558" i="2" a="1"/>
  <c r="G558" i="2" s="1"/>
  <c r="F558" i="2" a="1"/>
  <c r="F558" i="2" s="1"/>
  <c r="D558" i="2" a="1"/>
  <c r="D558" i="2" s="1"/>
  <c r="AH557" i="2" a="1"/>
  <c r="AH557" i="2" s="1"/>
  <c r="R557" i="2" a="1"/>
  <c r="R557" i="2" s="1"/>
  <c r="Q557" i="2" a="1"/>
  <c r="Q557" i="2" s="1"/>
  <c r="AA557" i="2" s="1" a="1"/>
  <c r="AA557" i="2" s="1"/>
  <c r="P557" i="2" a="1"/>
  <c r="P557" i="2" s="1"/>
  <c r="H557" i="2" a="1"/>
  <c r="H557" i="2" s="1"/>
  <c r="G557" i="2" a="1"/>
  <c r="G557" i="2" s="1"/>
  <c r="F557" i="2" a="1"/>
  <c r="F557" i="2" s="1"/>
  <c r="D557" i="2" a="1"/>
  <c r="D557" i="2" s="1"/>
  <c r="AH556" i="2" a="1"/>
  <c r="AH556" i="2" s="1"/>
  <c r="R556" i="2" a="1"/>
  <c r="R556" i="2" s="1"/>
  <c r="Q556" i="2" a="1"/>
  <c r="Q556" i="2" s="1"/>
  <c r="P556" i="2" a="1"/>
  <c r="P556" i="2" s="1"/>
  <c r="H556" i="2" a="1"/>
  <c r="H556" i="2" s="1"/>
  <c r="G556" i="2" a="1"/>
  <c r="G556" i="2" s="1"/>
  <c r="F556" i="2" a="1"/>
  <c r="F556" i="2" s="1"/>
  <c r="D556" i="2" a="1"/>
  <c r="D556" i="2" s="1"/>
  <c r="AH555" i="2" a="1"/>
  <c r="AH555" i="2" s="1"/>
  <c r="R555" i="2" a="1"/>
  <c r="R555" i="2" s="1"/>
  <c r="Q555" i="2" a="1"/>
  <c r="Q555" i="2" s="1"/>
  <c r="P555" i="2" a="1"/>
  <c r="P555" i="2" s="1"/>
  <c r="H555" i="2" a="1"/>
  <c r="H555" i="2" s="1"/>
  <c r="G555" i="2" a="1"/>
  <c r="G555" i="2" s="1"/>
  <c r="F555" i="2" a="1"/>
  <c r="F555" i="2" s="1"/>
  <c r="D555" i="2" a="1"/>
  <c r="D555" i="2" s="1"/>
  <c r="AH554" i="2" a="1"/>
  <c r="AH554" i="2" s="1"/>
  <c r="R554" i="2" a="1"/>
  <c r="R554" i="2" s="1"/>
  <c r="Q554" i="2" a="1"/>
  <c r="Q554" i="2" s="1"/>
  <c r="P554" i="2" a="1"/>
  <c r="P554" i="2" s="1"/>
  <c r="H554" i="2" a="1"/>
  <c r="H554" i="2" s="1"/>
  <c r="G554" i="2" a="1"/>
  <c r="G554" i="2" s="1"/>
  <c r="F554" i="2" a="1"/>
  <c r="F554" i="2" s="1"/>
  <c r="D554" i="2" a="1"/>
  <c r="D554" i="2" s="1"/>
  <c r="AH553" i="2" a="1"/>
  <c r="AH553" i="2" s="1"/>
  <c r="R553" i="2" a="1"/>
  <c r="R553" i="2" s="1"/>
  <c r="Q553" i="2" a="1"/>
  <c r="Q553" i="2" s="1"/>
  <c r="P553" i="2" a="1"/>
  <c r="P553" i="2" s="1"/>
  <c r="H553" i="2" a="1"/>
  <c r="H553" i="2" s="1"/>
  <c r="G553" i="2" a="1"/>
  <c r="G553" i="2" s="1"/>
  <c r="F553" i="2" a="1"/>
  <c r="F553" i="2" s="1"/>
  <c r="D553" i="2" a="1"/>
  <c r="D553" i="2" s="1"/>
  <c r="AH552" i="2" a="1"/>
  <c r="AH552" i="2" s="1"/>
  <c r="R552" i="2" a="1"/>
  <c r="R552" i="2" s="1"/>
  <c r="Q552" i="2" a="1"/>
  <c r="Q552" i="2" s="1"/>
  <c r="P552" i="2" a="1"/>
  <c r="P552" i="2" s="1"/>
  <c r="H552" i="2" a="1"/>
  <c r="H552" i="2" s="1"/>
  <c r="G552" i="2" a="1"/>
  <c r="G552" i="2" s="1"/>
  <c r="F552" i="2" a="1"/>
  <c r="F552" i="2" s="1"/>
  <c r="D552" i="2" a="1"/>
  <c r="D552" i="2" s="1"/>
  <c r="AH551" i="2" a="1"/>
  <c r="AH551" i="2" s="1"/>
  <c r="R551" i="2" a="1"/>
  <c r="R551" i="2" s="1"/>
  <c r="Q551" i="2" a="1"/>
  <c r="Q551" i="2" s="1"/>
  <c r="AG551" i="2" s="1" a="1"/>
  <c r="AG551" i="2" s="1"/>
  <c r="P551" i="2" a="1"/>
  <c r="P551" i="2" s="1"/>
  <c r="H551" i="2" a="1"/>
  <c r="H551" i="2" s="1"/>
  <c r="G551" i="2" a="1"/>
  <c r="G551" i="2" s="1"/>
  <c r="F551" i="2" a="1"/>
  <c r="F551" i="2" s="1"/>
  <c r="D551" i="2" a="1"/>
  <c r="D551" i="2" s="1"/>
  <c r="AH550" i="2" a="1"/>
  <c r="AH550" i="2" s="1"/>
  <c r="R550" i="2" a="1"/>
  <c r="R550" i="2" s="1"/>
  <c r="Q550" i="2" a="1"/>
  <c r="Q550" i="2" s="1"/>
  <c r="AB550" i="2" s="1" a="1"/>
  <c r="AB550" i="2" s="1"/>
  <c r="P550" i="2" a="1"/>
  <c r="P550" i="2" s="1"/>
  <c r="H550" i="2" a="1"/>
  <c r="H550" i="2" s="1"/>
  <c r="G550" i="2" a="1"/>
  <c r="G550" i="2" s="1"/>
  <c r="F550" i="2" a="1"/>
  <c r="F550" i="2" s="1"/>
  <c r="D550" i="2" a="1"/>
  <c r="D550" i="2" s="1"/>
  <c r="AH549" i="2" a="1"/>
  <c r="AH549" i="2" s="1"/>
  <c r="R549" i="2" a="1"/>
  <c r="R549" i="2" s="1"/>
  <c r="Q549" i="2" a="1"/>
  <c r="Q549" i="2" s="1"/>
  <c r="P549" i="2" a="1"/>
  <c r="P549" i="2" s="1"/>
  <c r="H549" i="2" a="1"/>
  <c r="H549" i="2" s="1"/>
  <c r="G549" i="2" a="1"/>
  <c r="G549" i="2" s="1"/>
  <c r="F549" i="2" a="1"/>
  <c r="F549" i="2" s="1"/>
  <c r="D549" i="2" a="1"/>
  <c r="D549" i="2" s="1"/>
  <c r="AH548" i="2" a="1"/>
  <c r="AH548" i="2" s="1"/>
  <c r="R548" i="2" a="1"/>
  <c r="R548" i="2" s="1"/>
  <c r="Q548" i="2" a="1"/>
  <c r="Q548" i="2" s="1"/>
  <c r="P548" i="2" a="1"/>
  <c r="P548" i="2" s="1"/>
  <c r="H548" i="2" a="1"/>
  <c r="H548" i="2" s="1"/>
  <c r="G548" i="2" a="1"/>
  <c r="G548" i="2" s="1"/>
  <c r="F548" i="2" a="1"/>
  <c r="F548" i="2" s="1"/>
  <c r="D548" i="2" a="1"/>
  <c r="D548" i="2" s="1"/>
  <c r="AH547" i="2" a="1"/>
  <c r="AH547" i="2" s="1"/>
  <c r="R547" i="2" a="1"/>
  <c r="R547" i="2" s="1"/>
  <c r="Q547" i="2" a="1"/>
  <c r="Q547" i="2" s="1"/>
  <c r="P547" i="2" a="1"/>
  <c r="P547" i="2" s="1"/>
  <c r="H547" i="2" a="1"/>
  <c r="H547" i="2" s="1"/>
  <c r="G547" i="2" a="1"/>
  <c r="G547" i="2" s="1"/>
  <c r="F547" i="2" a="1"/>
  <c r="F547" i="2" s="1"/>
  <c r="D547" i="2" a="1"/>
  <c r="D547" i="2" s="1"/>
  <c r="AH546" i="2" a="1"/>
  <c r="AH546" i="2" s="1"/>
  <c r="R546" i="2" a="1"/>
  <c r="R546" i="2" s="1"/>
  <c r="Q546" i="2" a="1"/>
  <c r="Q546" i="2" s="1"/>
  <c r="P546" i="2" a="1"/>
  <c r="P546" i="2" s="1"/>
  <c r="H546" i="2" a="1"/>
  <c r="H546" i="2" s="1"/>
  <c r="G546" i="2" a="1"/>
  <c r="G546" i="2" s="1"/>
  <c r="F546" i="2" a="1"/>
  <c r="F546" i="2" s="1"/>
  <c r="D546" i="2" a="1"/>
  <c r="D546" i="2" s="1"/>
  <c r="AH545" i="2" a="1"/>
  <c r="AH545" i="2" s="1"/>
  <c r="R545" i="2" a="1"/>
  <c r="R545" i="2" s="1"/>
  <c r="Q545" i="2" a="1"/>
  <c r="Q545" i="2" s="1"/>
  <c r="P545" i="2" a="1"/>
  <c r="P545" i="2" s="1"/>
  <c r="H545" i="2" a="1"/>
  <c r="H545" i="2" s="1"/>
  <c r="G545" i="2" a="1"/>
  <c r="G545" i="2" s="1"/>
  <c r="F545" i="2" a="1"/>
  <c r="F545" i="2" s="1"/>
  <c r="D545" i="2" a="1"/>
  <c r="D545" i="2" s="1"/>
  <c r="AH544" i="2" a="1"/>
  <c r="AH544" i="2" s="1"/>
  <c r="R544" i="2" a="1"/>
  <c r="R544" i="2" s="1"/>
  <c r="Q544" i="2" a="1"/>
  <c r="Q544" i="2" s="1"/>
  <c r="AD544" i="2" s="1" a="1"/>
  <c r="AD544" i="2" s="1"/>
  <c r="P544" i="2" a="1"/>
  <c r="P544" i="2" s="1"/>
  <c r="H544" i="2" a="1"/>
  <c r="H544" i="2" s="1"/>
  <c r="G544" i="2" a="1"/>
  <c r="G544" i="2" s="1"/>
  <c r="F544" i="2" a="1"/>
  <c r="F544" i="2" s="1"/>
  <c r="D544" i="2" a="1"/>
  <c r="D544" i="2" s="1"/>
  <c r="AH543" i="2" a="1"/>
  <c r="AH543" i="2" s="1"/>
  <c r="R543" i="2" a="1"/>
  <c r="R543" i="2" s="1"/>
  <c r="Q543" i="2" a="1"/>
  <c r="Q543" i="2" s="1"/>
  <c r="P543" i="2" a="1"/>
  <c r="P543" i="2" s="1"/>
  <c r="H543" i="2" a="1"/>
  <c r="H543" i="2" s="1"/>
  <c r="G543" i="2" a="1"/>
  <c r="G543" i="2" s="1"/>
  <c r="F543" i="2" a="1"/>
  <c r="F543" i="2" s="1"/>
  <c r="D543" i="2" a="1"/>
  <c r="D543" i="2" s="1"/>
  <c r="AH542" i="2" a="1"/>
  <c r="AH542" i="2" s="1"/>
  <c r="R542" i="2" a="1"/>
  <c r="R542" i="2" s="1"/>
  <c r="Q542" i="2" a="1"/>
  <c r="Q542" i="2" s="1"/>
  <c r="P542" i="2" a="1"/>
  <c r="P542" i="2" s="1"/>
  <c r="H542" i="2" a="1"/>
  <c r="H542" i="2" s="1"/>
  <c r="G542" i="2" a="1"/>
  <c r="G542" i="2" s="1"/>
  <c r="F542" i="2" a="1"/>
  <c r="F542" i="2" s="1"/>
  <c r="D204" i="8" s="1" a="1"/>
  <c r="D204" i="8" s="1"/>
  <c r="D542" i="2" a="1"/>
  <c r="D542" i="2" s="1"/>
  <c r="B204" i="8" s="1" a="1"/>
  <c r="B204" i="8" s="1"/>
  <c r="AH541" i="2" a="1"/>
  <c r="AH541" i="2" s="1"/>
  <c r="R541" i="2" a="1"/>
  <c r="R541" i="2" s="1"/>
  <c r="Q541" i="2" a="1"/>
  <c r="Q541" i="2" s="1"/>
  <c r="P541" i="2" a="1"/>
  <c r="P541" i="2" s="1"/>
  <c r="H541" i="2" a="1"/>
  <c r="H541" i="2" s="1"/>
  <c r="G541" i="2" a="1"/>
  <c r="G541" i="2" s="1"/>
  <c r="F541" i="2" a="1"/>
  <c r="F541" i="2" s="1"/>
  <c r="D541" i="2" a="1"/>
  <c r="D541" i="2" s="1"/>
  <c r="AH540" i="2" a="1"/>
  <c r="AH540" i="2" s="1"/>
  <c r="R540" i="2" a="1"/>
  <c r="R540" i="2" s="1"/>
  <c r="Q540" i="2" a="1"/>
  <c r="Q540" i="2" s="1"/>
  <c r="P540" i="2" a="1"/>
  <c r="P540" i="2" s="1"/>
  <c r="H540" i="2" a="1"/>
  <c r="H540" i="2" s="1"/>
  <c r="G540" i="2" a="1"/>
  <c r="G540" i="2" s="1"/>
  <c r="F540" i="2" a="1"/>
  <c r="F540" i="2" s="1"/>
  <c r="D540" i="2" a="1"/>
  <c r="D540" i="2" s="1"/>
  <c r="AH539" i="2" a="1"/>
  <c r="AH539" i="2" s="1"/>
  <c r="R539" i="2" a="1"/>
  <c r="R539" i="2" s="1"/>
  <c r="Q539" i="2" a="1"/>
  <c r="Q539" i="2" s="1"/>
  <c r="AD539" i="2" s="1" a="1"/>
  <c r="AD539" i="2" s="1"/>
  <c r="P539" i="2" a="1"/>
  <c r="P539" i="2" s="1"/>
  <c r="H539" i="2" a="1"/>
  <c r="H539" i="2" s="1"/>
  <c r="G539" i="2" a="1"/>
  <c r="G539" i="2" s="1"/>
  <c r="F539" i="2" a="1"/>
  <c r="F539" i="2" s="1"/>
  <c r="D539" i="2" a="1"/>
  <c r="D539" i="2" s="1"/>
  <c r="AH538" i="2" a="1"/>
  <c r="AH538" i="2" s="1"/>
  <c r="R538" i="2" a="1"/>
  <c r="R538" i="2" s="1"/>
  <c r="Q538" i="2" a="1"/>
  <c r="Q538" i="2" s="1"/>
  <c r="P538" i="2" a="1"/>
  <c r="P538" i="2" s="1"/>
  <c r="H538" i="2" a="1"/>
  <c r="H538" i="2" s="1"/>
  <c r="G538" i="2" a="1"/>
  <c r="G538" i="2" s="1"/>
  <c r="F538" i="2" a="1"/>
  <c r="F538" i="2" s="1"/>
  <c r="D538" i="2" a="1"/>
  <c r="D538" i="2" s="1"/>
  <c r="AJ537" i="2" a="1"/>
  <c r="AJ537" i="2" s="1"/>
  <c r="P537" i="2" a="1"/>
  <c r="P537" i="2" s="1"/>
  <c r="H537" i="2" a="1"/>
  <c r="H537" i="2" s="1"/>
  <c r="G537" i="2" a="1"/>
  <c r="G537" i="2" s="1"/>
  <c r="F537" i="2" a="1"/>
  <c r="F537" i="2" s="1"/>
  <c r="D64" i="9" s="1" a="1"/>
  <c r="D64" i="9" s="1"/>
  <c r="D537" i="2" a="1"/>
  <c r="D537" i="2" s="1"/>
  <c r="AH536" i="2" a="1"/>
  <c r="AH536" i="2" s="1"/>
  <c r="R536" i="2" a="1"/>
  <c r="R536" i="2" s="1"/>
  <c r="Q536" i="2" a="1"/>
  <c r="Q536" i="2" s="1"/>
  <c r="P536" i="2" a="1"/>
  <c r="P536" i="2" s="1"/>
  <c r="H536" i="2" a="1"/>
  <c r="H536" i="2" s="1"/>
  <c r="G536" i="2" a="1"/>
  <c r="G536" i="2" s="1"/>
  <c r="F536" i="2" a="1"/>
  <c r="F536" i="2" s="1"/>
  <c r="D536" i="2" a="1"/>
  <c r="D536" i="2" s="1"/>
  <c r="AJ535" i="2" a="1"/>
  <c r="AJ535" i="2" s="1"/>
  <c r="P535" i="2" a="1"/>
  <c r="P535" i="2" s="1"/>
  <c r="H535" i="2" a="1"/>
  <c r="H535" i="2" s="1"/>
  <c r="G535" i="2" a="1"/>
  <c r="G535" i="2" s="1"/>
  <c r="F535" i="2" a="1"/>
  <c r="F535" i="2" s="1"/>
  <c r="D63" i="9" s="1" a="1"/>
  <c r="D63" i="9" s="1"/>
  <c r="D535" i="2" a="1"/>
  <c r="D535" i="2" s="1"/>
  <c r="B63" i="9" s="1" a="1"/>
  <c r="B63" i="9" s="1"/>
  <c r="AJ534" i="2" a="1"/>
  <c r="AJ534" i="2" s="1"/>
  <c r="P534" i="2" a="1"/>
  <c r="P534" i="2" s="1"/>
  <c r="H534" i="2" a="1"/>
  <c r="H534" i="2" s="1"/>
  <c r="G534" i="2" a="1"/>
  <c r="G534" i="2" s="1"/>
  <c r="F534" i="2" a="1"/>
  <c r="F534" i="2" s="1"/>
  <c r="D62" i="9" s="1" a="1"/>
  <c r="D62" i="9" s="1"/>
  <c r="D534" i="2" a="1"/>
  <c r="D534" i="2" s="1"/>
  <c r="B62" i="9" s="1" a="1"/>
  <c r="B62" i="9" s="1"/>
  <c r="AH533" i="2" a="1"/>
  <c r="AH533" i="2" s="1"/>
  <c r="R533" i="2" a="1"/>
  <c r="R533" i="2" s="1"/>
  <c r="Q533" i="2" a="1"/>
  <c r="Q533" i="2" s="1"/>
  <c r="AG533" i="2" s="1" a="1"/>
  <c r="AG533" i="2" s="1"/>
  <c r="P533" i="2" a="1"/>
  <c r="P533" i="2" s="1"/>
  <c r="H533" i="2" a="1"/>
  <c r="H533" i="2" s="1"/>
  <c r="G533" i="2" a="1"/>
  <c r="G533" i="2" s="1"/>
  <c r="F533" i="2" a="1"/>
  <c r="F533" i="2" s="1"/>
  <c r="D533" i="2" a="1"/>
  <c r="D533" i="2" s="1"/>
  <c r="AH532" i="2" a="1"/>
  <c r="AH532" i="2" s="1"/>
  <c r="R532" i="2" a="1"/>
  <c r="R532" i="2" s="1"/>
  <c r="Q532" i="2" a="1"/>
  <c r="Q532" i="2" s="1"/>
  <c r="P532" i="2" a="1"/>
  <c r="P532" i="2" s="1"/>
  <c r="H532" i="2" a="1"/>
  <c r="H532" i="2" s="1"/>
  <c r="G532" i="2" a="1"/>
  <c r="G532" i="2" s="1"/>
  <c r="F532" i="2" a="1"/>
  <c r="F532" i="2" s="1"/>
  <c r="D532" i="2" a="1"/>
  <c r="D532" i="2" s="1"/>
  <c r="AH531" i="2" a="1"/>
  <c r="AH531" i="2" s="1"/>
  <c r="R531" i="2" a="1"/>
  <c r="R531" i="2" s="1"/>
  <c r="Q531" i="2" a="1"/>
  <c r="Q531" i="2" s="1"/>
  <c r="P531" i="2" a="1"/>
  <c r="P531" i="2" s="1"/>
  <c r="H531" i="2" a="1"/>
  <c r="H531" i="2" s="1"/>
  <c r="G531" i="2" a="1"/>
  <c r="G531" i="2" s="1"/>
  <c r="F531" i="2" a="1"/>
  <c r="F531" i="2" s="1"/>
  <c r="D531" i="2" a="1"/>
  <c r="D531" i="2" s="1"/>
  <c r="AJ530" i="2" a="1"/>
  <c r="AJ530" i="2" s="1"/>
  <c r="AM530" i="2" s="1" a="1"/>
  <c r="AM530" i="2" s="1"/>
  <c r="P530" i="2" a="1"/>
  <c r="P530" i="2" s="1"/>
  <c r="H530" i="2" a="1"/>
  <c r="H530" i="2" s="1"/>
  <c r="G530" i="2" a="1"/>
  <c r="G530" i="2" s="1"/>
  <c r="F530" i="2" a="1"/>
  <c r="F530" i="2" s="1"/>
  <c r="D61" i="9" s="1" a="1"/>
  <c r="D61" i="9" s="1"/>
  <c r="D530" i="2" a="1"/>
  <c r="D530" i="2" s="1"/>
  <c r="B61" i="9" s="1" a="1"/>
  <c r="B61" i="9" s="1"/>
  <c r="AH529" i="2" a="1"/>
  <c r="AH529" i="2" s="1"/>
  <c r="R529" i="2" a="1"/>
  <c r="R529" i="2" s="1"/>
  <c r="Q529" i="2" a="1"/>
  <c r="Q529" i="2" s="1"/>
  <c r="P529" i="2" a="1"/>
  <c r="P529" i="2" s="1"/>
  <c r="H529" i="2" a="1"/>
  <c r="H529" i="2" s="1"/>
  <c r="G529" i="2" a="1"/>
  <c r="G529" i="2" s="1"/>
  <c r="F529" i="2" a="1"/>
  <c r="F529" i="2" s="1"/>
  <c r="D529" i="2" a="1"/>
  <c r="D529" i="2" s="1"/>
  <c r="AH528" i="2" a="1"/>
  <c r="AH528" i="2" s="1"/>
  <c r="R528" i="2" a="1"/>
  <c r="R528" i="2" s="1"/>
  <c r="Q528" i="2" a="1"/>
  <c r="Q528" i="2" s="1"/>
  <c r="P528" i="2" a="1"/>
  <c r="P528" i="2" s="1"/>
  <c r="H528" i="2" a="1"/>
  <c r="H528" i="2" s="1"/>
  <c r="G528" i="2" a="1"/>
  <c r="G528" i="2" s="1"/>
  <c r="F528" i="2" a="1"/>
  <c r="F528" i="2" s="1"/>
  <c r="D528" i="2" a="1"/>
  <c r="D528" i="2" s="1"/>
  <c r="AJ527" i="2" a="1"/>
  <c r="AJ527" i="2" s="1"/>
  <c r="P527" i="2" a="1"/>
  <c r="P527" i="2" s="1"/>
  <c r="H527" i="2" a="1"/>
  <c r="H527" i="2" s="1"/>
  <c r="G527" i="2" a="1"/>
  <c r="G527" i="2" s="1"/>
  <c r="F527" i="2" a="1"/>
  <c r="F527" i="2" s="1"/>
  <c r="D60" i="9" s="1" a="1"/>
  <c r="D60" i="9" s="1"/>
  <c r="D527" i="2" a="1"/>
  <c r="D527" i="2" s="1"/>
  <c r="AJ526" i="2" a="1"/>
  <c r="AJ526" i="2" s="1"/>
  <c r="P526" i="2" a="1"/>
  <c r="P526" i="2" s="1"/>
  <c r="H526" i="2" a="1"/>
  <c r="H526" i="2" s="1"/>
  <c r="G526" i="2" a="1"/>
  <c r="G526" i="2" s="1"/>
  <c r="F526" i="2" a="1"/>
  <c r="F526" i="2" s="1"/>
  <c r="D59" i="9" s="1" a="1"/>
  <c r="D59" i="9" s="1"/>
  <c r="D526" i="2" a="1"/>
  <c r="D526" i="2" s="1"/>
  <c r="B59" i="9" s="1" a="1"/>
  <c r="B59" i="9" s="1"/>
  <c r="AJ525" i="2" a="1"/>
  <c r="AJ525" i="2" s="1"/>
  <c r="P525" i="2" a="1"/>
  <c r="P525" i="2" s="1"/>
  <c r="H525" i="2" a="1"/>
  <c r="H525" i="2" s="1"/>
  <c r="G525" i="2" a="1"/>
  <c r="G525" i="2" s="1"/>
  <c r="F525" i="2" a="1"/>
  <c r="F525" i="2" s="1"/>
  <c r="D58" i="9" s="1" a="1"/>
  <c r="D58" i="9" s="1"/>
  <c r="D525" i="2" a="1"/>
  <c r="D525" i="2" s="1"/>
  <c r="B58" i="9" s="1" a="1"/>
  <c r="B58" i="9" s="1"/>
  <c r="AH524" i="2" a="1"/>
  <c r="AH524" i="2" s="1"/>
  <c r="R524" i="2" a="1"/>
  <c r="R524" i="2" s="1"/>
  <c r="Q524" i="2" a="1"/>
  <c r="Q524" i="2" s="1"/>
  <c r="P524" i="2" a="1"/>
  <c r="P524" i="2" s="1"/>
  <c r="H524" i="2" a="1"/>
  <c r="H524" i="2" s="1"/>
  <c r="G524" i="2" a="1"/>
  <c r="G524" i="2" s="1"/>
  <c r="F524" i="2" a="1"/>
  <c r="F524" i="2" s="1"/>
  <c r="D524" i="2" a="1"/>
  <c r="D524" i="2" s="1"/>
  <c r="AJ523" i="2" a="1"/>
  <c r="AJ523" i="2" s="1"/>
  <c r="P523" i="2" a="1"/>
  <c r="P523" i="2" s="1"/>
  <c r="H523" i="2" a="1"/>
  <c r="H523" i="2" s="1"/>
  <c r="G523" i="2" a="1"/>
  <c r="G523" i="2" s="1"/>
  <c r="F523" i="2" a="1"/>
  <c r="F523" i="2" s="1"/>
  <c r="D57" i="9" s="1" a="1"/>
  <c r="D57" i="9" s="1"/>
  <c r="D523" i="2" a="1"/>
  <c r="D523" i="2" s="1"/>
  <c r="AH522" i="2" a="1"/>
  <c r="AH522" i="2" s="1"/>
  <c r="R522" i="2" a="1"/>
  <c r="R522" i="2" s="1"/>
  <c r="Q522" i="2" a="1"/>
  <c r="Q522" i="2" s="1"/>
  <c r="AG522" i="2" s="1" a="1"/>
  <c r="AG522" i="2" s="1"/>
  <c r="P522" i="2" a="1"/>
  <c r="P522" i="2" s="1"/>
  <c r="H522" i="2" a="1"/>
  <c r="H522" i="2" s="1"/>
  <c r="G522" i="2" a="1"/>
  <c r="G522" i="2" s="1"/>
  <c r="F522" i="2" a="1"/>
  <c r="F522" i="2" s="1"/>
  <c r="D522" i="2" a="1"/>
  <c r="D522" i="2" s="1"/>
  <c r="AH521" i="2" a="1"/>
  <c r="AH521" i="2" s="1"/>
  <c r="R521" i="2" a="1"/>
  <c r="R521" i="2" s="1"/>
  <c r="Q521" i="2" a="1"/>
  <c r="Q521" i="2" s="1"/>
  <c r="P521" i="2" a="1"/>
  <c r="P521" i="2" s="1"/>
  <c r="H521" i="2" a="1"/>
  <c r="H521" i="2" s="1"/>
  <c r="G521" i="2" a="1"/>
  <c r="G521" i="2" s="1"/>
  <c r="F521" i="2" a="1"/>
  <c r="F521" i="2" s="1"/>
  <c r="D521" i="2" a="1"/>
  <c r="D521" i="2" s="1"/>
  <c r="AH520" i="2" a="1"/>
  <c r="AH520" i="2" s="1"/>
  <c r="R520" i="2" a="1"/>
  <c r="R520" i="2" s="1"/>
  <c r="Q520" i="2" a="1"/>
  <c r="Q520" i="2" s="1"/>
  <c r="P520" i="2" a="1"/>
  <c r="P520" i="2" s="1"/>
  <c r="H520" i="2" a="1"/>
  <c r="H520" i="2" s="1"/>
  <c r="G520" i="2" a="1"/>
  <c r="G520" i="2" s="1"/>
  <c r="F520" i="2" a="1"/>
  <c r="F520" i="2" s="1"/>
  <c r="D520" i="2" a="1"/>
  <c r="D520" i="2" s="1"/>
  <c r="AH519" i="2" a="1"/>
  <c r="AH519" i="2" s="1"/>
  <c r="R519" i="2" a="1"/>
  <c r="R519" i="2" s="1"/>
  <c r="Q519" i="2" a="1"/>
  <c r="Q519" i="2" s="1"/>
  <c r="P519" i="2" a="1"/>
  <c r="P519" i="2" s="1"/>
  <c r="H519" i="2" a="1"/>
  <c r="H519" i="2" s="1"/>
  <c r="G519" i="2" a="1"/>
  <c r="G519" i="2" s="1"/>
  <c r="F519" i="2" a="1"/>
  <c r="F519" i="2" s="1"/>
  <c r="D519" i="2" a="1"/>
  <c r="D519" i="2" s="1"/>
  <c r="AH518" i="2" a="1"/>
  <c r="AH518" i="2" s="1"/>
  <c r="AB518" i="2" a="1"/>
  <c r="AB518" i="2" s="1"/>
  <c r="R518" i="2" a="1"/>
  <c r="R518" i="2" s="1"/>
  <c r="Q518" i="2" a="1"/>
  <c r="Q518" i="2" s="1"/>
  <c r="AA518" i="2" s="1" a="1"/>
  <c r="AA518" i="2" s="1"/>
  <c r="P518" i="2" a="1"/>
  <c r="P518" i="2" s="1"/>
  <c r="H518" i="2" a="1"/>
  <c r="H518" i="2" s="1"/>
  <c r="G518" i="2" a="1"/>
  <c r="G518" i="2" s="1"/>
  <c r="F518" i="2" a="1"/>
  <c r="F518" i="2" s="1"/>
  <c r="D518" i="2" a="1"/>
  <c r="D518" i="2" s="1"/>
  <c r="AH517" i="2" a="1"/>
  <c r="AH517" i="2" s="1"/>
  <c r="R517" i="2" a="1"/>
  <c r="R517" i="2" s="1"/>
  <c r="Q517" i="2" a="1"/>
  <c r="Q517" i="2" s="1"/>
  <c r="P517" i="2" a="1"/>
  <c r="P517" i="2" s="1"/>
  <c r="H517" i="2" a="1"/>
  <c r="H517" i="2" s="1"/>
  <c r="G517" i="2" a="1"/>
  <c r="G517" i="2" s="1"/>
  <c r="F517" i="2" a="1"/>
  <c r="F517" i="2" s="1"/>
  <c r="D517" i="2" a="1"/>
  <c r="D517" i="2" s="1"/>
  <c r="AH516" i="2" a="1"/>
  <c r="AH516" i="2" s="1"/>
  <c r="R516" i="2" a="1"/>
  <c r="R516" i="2" s="1"/>
  <c r="Q516" i="2" a="1"/>
  <c r="Q516" i="2" s="1"/>
  <c r="P516" i="2" a="1"/>
  <c r="P516" i="2" s="1"/>
  <c r="H516" i="2" a="1"/>
  <c r="H516" i="2" s="1"/>
  <c r="G516" i="2" a="1"/>
  <c r="G516" i="2" s="1"/>
  <c r="F516" i="2" a="1"/>
  <c r="F516" i="2" s="1"/>
  <c r="D516" i="2" a="1"/>
  <c r="D516" i="2" s="1"/>
  <c r="AH515" i="2" a="1"/>
  <c r="AH515" i="2" s="1"/>
  <c r="R515" i="2" a="1"/>
  <c r="R515" i="2" s="1"/>
  <c r="Q515" i="2" a="1"/>
  <c r="Q515" i="2" s="1"/>
  <c r="Z515" i="2" s="1" a="1"/>
  <c r="Z515" i="2" s="1"/>
  <c r="P515" i="2" a="1"/>
  <c r="P515" i="2" s="1"/>
  <c r="H515" i="2" a="1"/>
  <c r="H515" i="2" s="1"/>
  <c r="G515" i="2" a="1"/>
  <c r="G515" i="2" s="1"/>
  <c r="F515" i="2" a="1"/>
  <c r="F515" i="2" s="1"/>
  <c r="D515" i="2" a="1"/>
  <c r="D515" i="2" s="1"/>
  <c r="AH514" i="2" a="1"/>
  <c r="AH514" i="2" s="1"/>
  <c r="R514" i="2" a="1"/>
  <c r="R514" i="2" s="1"/>
  <c r="Q514" i="2" a="1"/>
  <c r="Q514" i="2" s="1"/>
  <c r="P514" i="2" a="1"/>
  <c r="P514" i="2" s="1"/>
  <c r="H514" i="2" a="1"/>
  <c r="H514" i="2" s="1"/>
  <c r="G514" i="2" a="1"/>
  <c r="G514" i="2" s="1"/>
  <c r="F514" i="2" a="1"/>
  <c r="F514" i="2" s="1"/>
  <c r="D514" i="2" a="1"/>
  <c r="D514" i="2" s="1"/>
  <c r="AH513" i="2" a="1"/>
  <c r="AH513" i="2" s="1"/>
  <c r="R513" i="2" a="1"/>
  <c r="R513" i="2" s="1"/>
  <c r="Q513" i="2" a="1"/>
  <c r="Q513" i="2" s="1"/>
  <c r="Z513" i="2" s="1" a="1"/>
  <c r="Z513" i="2" s="1"/>
  <c r="P513" i="2" a="1"/>
  <c r="P513" i="2" s="1"/>
  <c r="H513" i="2" a="1"/>
  <c r="H513" i="2" s="1"/>
  <c r="G513" i="2" a="1"/>
  <c r="G513" i="2" s="1"/>
  <c r="F513" i="2" a="1"/>
  <c r="F513" i="2" s="1"/>
  <c r="D513" i="2" a="1"/>
  <c r="D513" i="2" s="1"/>
  <c r="AH512" i="2" a="1"/>
  <c r="AH512" i="2" s="1"/>
  <c r="R512" i="2" a="1"/>
  <c r="R512" i="2" s="1"/>
  <c r="Q512" i="2" a="1"/>
  <c r="Q512" i="2" s="1"/>
  <c r="AA512" i="2" s="1" a="1"/>
  <c r="AA512" i="2" s="1"/>
  <c r="P512" i="2" a="1"/>
  <c r="P512" i="2" s="1"/>
  <c r="H512" i="2" a="1"/>
  <c r="H512" i="2" s="1"/>
  <c r="G512" i="2" a="1"/>
  <c r="G512" i="2" s="1"/>
  <c r="F512" i="2" a="1"/>
  <c r="F512" i="2" s="1"/>
  <c r="D512" i="2" a="1"/>
  <c r="D512" i="2" s="1"/>
  <c r="AH511" i="2" a="1"/>
  <c r="AH511" i="2" s="1"/>
  <c r="R511" i="2" a="1"/>
  <c r="R511" i="2" s="1"/>
  <c r="Q511" i="2" a="1"/>
  <c r="Q511" i="2" s="1"/>
  <c r="P511" i="2" a="1"/>
  <c r="P511" i="2" s="1"/>
  <c r="H511" i="2" a="1"/>
  <c r="H511" i="2" s="1"/>
  <c r="G511" i="2" a="1"/>
  <c r="G511" i="2" s="1"/>
  <c r="F511" i="2" a="1"/>
  <c r="F511" i="2" s="1"/>
  <c r="D511" i="2" a="1"/>
  <c r="D511" i="2" s="1"/>
  <c r="AJ510" i="2" a="1"/>
  <c r="AJ510" i="2" s="1"/>
  <c r="AN510" i="2" s="1" a="1"/>
  <c r="AN510" i="2" s="1"/>
  <c r="P510" i="2" a="1"/>
  <c r="P510" i="2" s="1"/>
  <c r="H510" i="2" a="1"/>
  <c r="H510" i="2" s="1"/>
  <c r="G510" i="2" a="1"/>
  <c r="G510" i="2" s="1"/>
  <c r="F510" i="2" a="1"/>
  <c r="F510" i="2" s="1"/>
  <c r="D56" i="9" s="1" a="1"/>
  <c r="D56" i="9" s="1"/>
  <c r="D510" i="2" a="1"/>
  <c r="D510" i="2" s="1"/>
  <c r="AH509" i="2" a="1"/>
  <c r="AH509" i="2" s="1"/>
  <c r="R509" i="2" a="1"/>
  <c r="R509" i="2" s="1"/>
  <c r="Q509" i="2" a="1"/>
  <c r="Q509" i="2" s="1"/>
  <c r="P509" i="2" a="1"/>
  <c r="P509" i="2" s="1"/>
  <c r="H509" i="2" a="1"/>
  <c r="H509" i="2" s="1"/>
  <c r="G509" i="2" a="1"/>
  <c r="G509" i="2" s="1"/>
  <c r="F509" i="2" a="1"/>
  <c r="F509" i="2" s="1"/>
  <c r="D509" i="2" a="1"/>
  <c r="D509" i="2" s="1"/>
  <c r="AH508" i="2" a="1"/>
  <c r="AH508" i="2" s="1"/>
  <c r="R508" i="2" a="1"/>
  <c r="R508" i="2" s="1"/>
  <c r="Q508" i="2" a="1"/>
  <c r="Q508" i="2" s="1"/>
  <c r="P508" i="2" a="1"/>
  <c r="P508" i="2" s="1"/>
  <c r="H508" i="2" a="1"/>
  <c r="H508" i="2" s="1"/>
  <c r="G508" i="2" a="1"/>
  <c r="G508" i="2" s="1"/>
  <c r="F508" i="2" a="1"/>
  <c r="F508" i="2" s="1"/>
  <c r="D508" i="2" a="1"/>
  <c r="D508" i="2" s="1"/>
  <c r="AJ507" i="2" a="1"/>
  <c r="AJ507" i="2" s="1"/>
  <c r="P507" i="2" a="1"/>
  <c r="P507" i="2" s="1"/>
  <c r="H507" i="2" a="1"/>
  <c r="H507" i="2" s="1"/>
  <c r="G507" i="2" a="1"/>
  <c r="G507" i="2" s="1"/>
  <c r="F507" i="2" a="1"/>
  <c r="F507" i="2" s="1"/>
  <c r="D55" i="9" s="1" a="1"/>
  <c r="D55" i="9" s="1"/>
  <c r="D507" i="2" a="1"/>
  <c r="D507" i="2" s="1"/>
  <c r="AH506" i="2" a="1"/>
  <c r="AH506" i="2" s="1"/>
  <c r="R506" i="2" a="1"/>
  <c r="R506" i="2" s="1"/>
  <c r="Q506" i="2" a="1"/>
  <c r="Q506" i="2" s="1"/>
  <c r="AB506" i="2" s="1" a="1"/>
  <c r="AB506" i="2" s="1"/>
  <c r="P506" i="2" a="1"/>
  <c r="P506" i="2" s="1"/>
  <c r="H506" i="2" a="1"/>
  <c r="H506" i="2" s="1"/>
  <c r="G506" i="2" a="1"/>
  <c r="G506" i="2" s="1"/>
  <c r="F506" i="2" a="1"/>
  <c r="F506" i="2" s="1"/>
  <c r="D506" i="2" a="1"/>
  <c r="D506" i="2" s="1"/>
  <c r="AH505" i="2" a="1"/>
  <c r="AH505" i="2" s="1"/>
  <c r="R505" i="2" a="1"/>
  <c r="R505" i="2" s="1"/>
  <c r="Q505" i="2" a="1"/>
  <c r="Q505" i="2" s="1"/>
  <c r="P505" i="2" a="1"/>
  <c r="P505" i="2" s="1"/>
  <c r="H505" i="2" a="1"/>
  <c r="H505" i="2" s="1"/>
  <c r="G505" i="2" a="1"/>
  <c r="G505" i="2" s="1"/>
  <c r="F505" i="2" a="1"/>
  <c r="F505" i="2" s="1"/>
  <c r="D203" i="8" s="1" a="1"/>
  <c r="D203" i="8" s="1"/>
  <c r="D505" i="2" a="1"/>
  <c r="D505" i="2" s="1"/>
  <c r="B203" i="8" s="1" a="1"/>
  <c r="B203" i="8" s="1"/>
  <c r="AH504" i="2" a="1"/>
  <c r="AH504" i="2" s="1"/>
  <c r="R504" i="2" a="1"/>
  <c r="R504" i="2" s="1"/>
  <c r="Q504" i="2" a="1"/>
  <c r="Q504" i="2" s="1"/>
  <c r="P504" i="2" a="1"/>
  <c r="P504" i="2" s="1"/>
  <c r="H504" i="2" a="1"/>
  <c r="H504" i="2" s="1"/>
  <c r="G504" i="2" a="1"/>
  <c r="G504" i="2" s="1"/>
  <c r="F504" i="2" a="1"/>
  <c r="F504" i="2" s="1"/>
  <c r="D202" i="8" s="1" a="1"/>
  <c r="D202" i="8" s="1"/>
  <c r="D504" i="2" a="1"/>
  <c r="D504" i="2" s="1"/>
  <c r="B202" i="8" s="1" a="1"/>
  <c r="B202" i="8" s="1"/>
  <c r="AH503" i="2" a="1"/>
  <c r="AH503" i="2" s="1"/>
  <c r="R503" i="2" a="1"/>
  <c r="R503" i="2" s="1"/>
  <c r="Q503" i="2" a="1"/>
  <c r="Q503" i="2" s="1"/>
  <c r="AA503" i="2" s="1" a="1"/>
  <c r="AA503" i="2" s="1"/>
  <c r="P503" i="2" a="1"/>
  <c r="P503" i="2" s="1"/>
  <c r="H503" i="2" a="1"/>
  <c r="H503" i="2" s="1"/>
  <c r="G503" i="2" a="1"/>
  <c r="G503" i="2" s="1"/>
  <c r="F503" i="2" a="1"/>
  <c r="F503" i="2" s="1"/>
  <c r="D503" i="2" a="1"/>
  <c r="D503" i="2" s="1"/>
  <c r="AH502" i="2" a="1"/>
  <c r="AH502" i="2" s="1"/>
  <c r="R502" i="2" a="1"/>
  <c r="R502" i="2" s="1"/>
  <c r="Q502" i="2" a="1"/>
  <c r="Q502" i="2" s="1"/>
  <c r="P502" i="2" a="1"/>
  <c r="P502" i="2" s="1"/>
  <c r="H502" i="2" a="1"/>
  <c r="H502" i="2" s="1"/>
  <c r="G502" i="2" a="1"/>
  <c r="G502" i="2" s="1"/>
  <c r="F502" i="2" a="1"/>
  <c r="F502" i="2" s="1"/>
  <c r="D502" i="2" a="1"/>
  <c r="D502" i="2" s="1"/>
  <c r="AH501" i="2" a="1"/>
  <c r="AH501" i="2" s="1"/>
  <c r="R501" i="2" a="1"/>
  <c r="R501" i="2" s="1"/>
  <c r="Q501" i="2" a="1"/>
  <c r="Q501" i="2" s="1"/>
  <c r="P501" i="2" a="1"/>
  <c r="P501" i="2" s="1"/>
  <c r="H501" i="2" a="1"/>
  <c r="H501" i="2" s="1"/>
  <c r="G501" i="2" a="1"/>
  <c r="G501" i="2" s="1"/>
  <c r="F501" i="2" a="1"/>
  <c r="F501" i="2" s="1"/>
  <c r="D501" i="2" a="1"/>
  <c r="D501" i="2" s="1"/>
  <c r="AH500" i="2" a="1"/>
  <c r="AH500" i="2" s="1"/>
  <c r="R500" i="2" a="1"/>
  <c r="R500" i="2" s="1"/>
  <c r="Q500" i="2" a="1"/>
  <c r="Q500" i="2" s="1"/>
  <c r="P500" i="2" a="1"/>
  <c r="P500" i="2" s="1"/>
  <c r="H500" i="2" a="1"/>
  <c r="H500" i="2" s="1"/>
  <c r="G500" i="2" a="1"/>
  <c r="G500" i="2" s="1"/>
  <c r="F500" i="2" a="1"/>
  <c r="F500" i="2" s="1"/>
  <c r="D500" i="2" a="1"/>
  <c r="D500" i="2" s="1"/>
  <c r="AH499" i="2" a="1"/>
  <c r="AH499" i="2" s="1"/>
  <c r="R499" i="2" a="1"/>
  <c r="R499" i="2" s="1"/>
  <c r="Q499" i="2" a="1"/>
  <c r="Q499" i="2" s="1"/>
  <c r="Y499" i="2" s="1" a="1"/>
  <c r="Y499" i="2" s="1"/>
  <c r="P499" i="2" a="1"/>
  <c r="P499" i="2" s="1"/>
  <c r="H499" i="2" a="1"/>
  <c r="H499" i="2" s="1"/>
  <c r="G499" i="2" a="1"/>
  <c r="G499" i="2" s="1"/>
  <c r="F499" i="2" a="1"/>
  <c r="F499" i="2" s="1"/>
  <c r="D499" i="2" a="1"/>
  <c r="D499" i="2" s="1"/>
  <c r="AH498" i="2" a="1"/>
  <c r="AH498" i="2" s="1"/>
  <c r="R498" i="2" a="1"/>
  <c r="R498" i="2" s="1"/>
  <c r="Q498" i="2" a="1"/>
  <c r="Q498" i="2" s="1"/>
  <c r="P498" i="2" a="1"/>
  <c r="P498" i="2" s="1"/>
  <c r="H498" i="2" a="1"/>
  <c r="H498" i="2" s="1"/>
  <c r="G498" i="2" a="1"/>
  <c r="G498" i="2" s="1"/>
  <c r="F498" i="2" a="1"/>
  <c r="F498" i="2" s="1"/>
  <c r="D201" i="8" s="1" a="1"/>
  <c r="D201" i="8" s="1"/>
  <c r="D498" i="2" a="1"/>
  <c r="D498" i="2" s="1"/>
  <c r="AH497" i="2" a="1"/>
  <c r="AH497" i="2" s="1"/>
  <c r="R497" i="2" a="1"/>
  <c r="R497" i="2" s="1"/>
  <c r="Q497" i="2" a="1"/>
  <c r="Q497" i="2" s="1"/>
  <c r="P497" i="2" a="1"/>
  <c r="P497" i="2" s="1"/>
  <c r="H497" i="2" a="1"/>
  <c r="H497" i="2" s="1"/>
  <c r="G497" i="2" a="1"/>
  <c r="G497" i="2" s="1"/>
  <c r="F497" i="2" a="1"/>
  <c r="F497" i="2" s="1"/>
  <c r="D497" i="2" a="1"/>
  <c r="D497" i="2" s="1"/>
  <c r="AH496" i="2" a="1"/>
  <c r="AH496" i="2" s="1"/>
  <c r="R496" i="2" a="1"/>
  <c r="R496" i="2" s="1"/>
  <c r="Q496" i="2" a="1"/>
  <c r="Q496" i="2" s="1"/>
  <c r="Z496" i="2" s="1" a="1"/>
  <c r="Z496" i="2" s="1"/>
  <c r="P496" i="2" a="1"/>
  <c r="P496" i="2" s="1"/>
  <c r="H496" i="2" a="1"/>
  <c r="H496" i="2" s="1"/>
  <c r="G496" i="2" a="1"/>
  <c r="G496" i="2" s="1"/>
  <c r="F496" i="2" a="1"/>
  <c r="F496" i="2" s="1"/>
  <c r="D496" i="2" a="1"/>
  <c r="D496" i="2" s="1"/>
  <c r="AH495" i="2" a="1"/>
  <c r="AH495" i="2" s="1"/>
  <c r="R495" i="2" a="1"/>
  <c r="R495" i="2" s="1"/>
  <c r="Q495" i="2" a="1"/>
  <c r="Q495" i="2" s="1"/>
  <c r="P495" i="2" a="1"/>
  <c r="P495" i="2" s="1"/>
  <c r="H495" i="2" a="1"/>
  <c r="H495" i="2" s="1"/>
  <c r="G495" i="2" a="1"/>
  <c r="G495" i="2" s="1"/>
  <c r="F495" i="2" a="1"/>
  <c r="F495" i="2" s="1"/>
  <c r="D200" i="8" s="1" a="1"/>
  <c r="D200" i="8" s="1"/>
  <c r="D495" i="2" a="1"/>
  <c r="D495" i="2" s="1"/>
  <c r="AH494" i="2" a="1"/>
  <c r="AH494" i="2" s="1"/>
  <c r="R494" i="2" a="1"/>
  <c r="R494" i="2" s="1"/>
  <c r="Q494" i="2" a="1"/>
  <c r="Q494" i="2" s="1"/>
  <c r="P494" i="2" a="1"/>
  <c r="P494" i="2" s="1"/>
  <c r="H494" i="2" a="1"/>
  <c r="H494" i="2" s="1"/>
  <c r="G494" i="2" a="1"/>
  <c r="G494" i="2" s="1"/>
  <c r="F494" i="2" a="1"/>
  <c r="F494" i="2"/>
  <c r="D199" i="8" s="1" a="1"/>
  <c r="D199" i="8" s="1"/>
  <c r="D494" i="2" a="1"/>
  <c r="D494" i="2" s="1"/>
  <c r="B199" i="8" s="1" a="1"/>
  <c r="B199" i="8" s="1"/>
  <c r="AH493" i="2" a="1"/>
  <c r="AH493" i="2" s="1"/>
  <c r="R493" i="2" a="1"/>
  <c r="R493" i="2" s="1"/>
  <c r="Q493" i="2" a="1"/>
  <c r="Q493" i="2" s="1"/>
  <c r="P493" i="2" a="1"/>
  <c r="P493" i="2" s="1"/>
  <c r="H493" i="2" a="1"/>
  <c r="H493" i="2" s="1"/>
  <c r="G493" i="2" a="1"/>
  <c r="G493" i="2" s="1"/>
  <c r="F493" i="2" a="1"/>
  <c r="F493" i="2" s="1"/>
  <c r="D493" i="2" a="1"/>
  <c r="D493" i="2" s="1"/>
  <c r="AH492" i="2" a="1"/>
  <c r="AH492" i="2" s="1"/>
  <c r="R492" i="2" a="1"/>
  <c r="R492" i="2" s="1"/>
  <c r="Q492" i="2" a="1"/>
  <c r="Q492" i="2" s="1"/>
  <c r="P492" i="2" a="1"/>
  <c r="P492" i="2" s="1"/>
  <c r="H492" i="2" a="1"/>
  <c r="H492" i="2" s="1"/>
  <c r="G492" i="2" a="1"/>
  <c r="G492" i="2" s="1"/>
  <c r="F492" i="2" a="1"/>
  <c r="F492" i="2" s="1"/>
  <c r="D492" i="2" a="1"/>
  <c r="D492" i="2" s="1"/>
  <c r="AH491" i="2" a="1"/>
  <c r="AH491" i="2" s="1"/>
  <c r="R491" i="2" a="1"/>
  <c r="R491" i="2" s="1"/>
  <c r="Q491" i="2" a="1"/>
  <c r="Q491" i="2" s="1"/>
  <c r="P491" i="2" a="1"/>
  <c r="P491" i="2" s="1"/>
  <c r="H491" i="2" a="1"/>
  <c r="H491" i="2" s="1"/>
  <c r="G491" i="2" a="1"/>
  <c r="G491" i="2" s="1"/>
  <c r="F491" i="2" a="1"/>
  <c r="F491" i="2" s="1"/>
  <c r="D491" i="2" a="1"/>
  <c r="D491" i="2" s="1"/>
  <c r="AJ490" i="2" a="1"/>
  <c r="AJ490" i="2" s="1"/>
  <c r="P490" i="2" a="1"/>
  <c r="P490" i="2" s="1"/>
  <c r="H490" i="2" a="1"/>
  <c r="H490" i="2" s="1"/>
  <c r="G490" i="2" a="1"/>
  <c r="G490" i="2" s="1"/>
  <c r="F490" i="2" a="1"/>
  <c r="F490" i="2" s="1"/>
  <c r="D54" i="9" s="1" a="1"/>
  <c r="D54" i="9" s="1"/>
  <c r="D490" i="2" a="1"/>
  <c r="D490" i="2" s="1"/>
  <c r="B54" i="9" s="1" a="1"/>
  <c r="B54" i="9" s="1"/>
  <c r="AJ489" i="2" a="1"/>
  <c r="AJ489" i="2" s="1"/>
  <c r="P489" i="2" a="1"/>
  <c r="P489" i="2" s="1"/>
  <c r="H489" i="2" a="1"/>
  <c r="H489" i="2" s="1"/>
  <c r="G489" i="2" a="1"/>
  <c r="G489" i="2" s="1"/>
  <c r="F489" i="2" a="1"/>
  <c r="F489" i="2" s="1"/>
  <c r="D53" i="9" s="1" a="1"/>
  <c r="D53" i="9" s="1"/>
  <c r="D489" i="2" a="1"/>
  <c r="D489" i="2" s="1"/>
  <c r="B53" i="9" s="1" a="1"/>
  <c r="B53" i="9" s="1"/>
  <c r="AH488" i="2" a="1"/>
  <c r="AH488" i="2" s="1"/>
  <c r="R488" i="2" a="1"/>
  <c r="R488" i="2" s="1"/>
  <c r="Q488" i="2" a="1"/>
  <c r="Q488" i="2" s="1"/>
  <c r="P488" i="2" a="1"/>
  <c r="P488" i="2" s="1"/>
  <c r="H488" i="2" a="1"/>
  <c r="H488" i="2" s="1"/>
  <c r="G488" i="2" a="1"/>
  <c r="G488" i="2" s="1"/>
  <c r="F488" i="2" a="1"/>
  <c r="F488" i="2" s="1"/>
  <c r="D488" i="2" a="1"/>
  <c r="D488" i="2" s="1"/>
  <c r="AH487" i="2" a="1"/>
  <c r="AH487" i="2" s="1"/>
  <c r="R487" i="2" a="1"/>
  <c r="R487" i="2" s="1"/>
  <c r="Q487" i="2" a="1"/>
  <c r="Q487" i="2" s="1"/>
  <c r="AG487" i="2" s="1" a="1"/>
  <c r="AG487" i="2" s="1"/>
  <c r="P487" i="2" a="1"/>
  <c r="P487" i="2" s="1"/>
  <c r="H487" i="2" a="1"/>
  <c r="H487" i="2" s="1"/>
  <c r="G487" i="2" a="1"/>
  <c r="G487" i="2" s="1"/>
  <c r="F487" i="2" a="1"/>
  <c r="F487" i="2" s="1"/>
  <c r="D487" i="2" a="1"/>
  <c r="D487" i="2" s="1"/>
  <c r="AH486" i="2" a="1"/>
  <c r="AH486" i="2" s="1"/>
  <c r="R486" i="2" a="1"/>
  <c r="R486" i="2" s="1"/>
  <c r="Q486" i="2" a="1"/>
  <c r="Q486" i="2" s="1"/>
  <c r="P486" i="2" a="1"/>
  <c r="P486" i="2" s="1"/>
  <c r="H486" i="2" a="1"/>
  <c r="H486" i="2" s="1"/>
  <c r="G486" i="2" a="1"/>
  <c r="G486" i="2" s="1"/>
  <c r="F486" i="2" a="1"/>
  <c r="F486" i="2" s="1"/>
  <c r="D198" i="8" s="1" a="1"/>
  <c r="D198" i="8" s="1"/>
  <c r="D486" i="2" a="1"/>
  <c r="D486" i="2" s="1"/>
  <c r="B198" i="8" s="1" a="1"/>
  <c r="B198" i="8" s="1"/>
  <c r="AJ485" i="2" a="1"/>
  <c r="AJ485" i="2" s="1"/>
  <c r="P485" i="2" a="1"/>
  <c r="P485" i="2" s="1"/>
  <c r="H485" i="2" a="1"/>
  <c r="H485" i="2" s="1"/>
  <c r="G485" i="2" a="1"/>
  <c r="G485" i="2" s="1"/>
  <c r="F485" i="2" a="1"/>
  <c r="F485" i="2" s="1"/>
  <c r="D52" i="9" s="1" a="1"/>
  <c r="D52" i="9" s="1"/>
  <c r="D485" i="2" a="1"/>
  <c r="D485" i="2" s="1"/>
  <c r="B52" i="9" s="1" a="1"/>
  <c r="B52" i="9" s="1"/>
  <c r="AH484" i="2" a="1"/>
  <c r="AH484" i="2" s="1"/>
  <c r="R484" i="2" a="1"/>
  <c r="R484" i="2" s="1"/>
  <c r="Q484" i="2" a="1"/>
  <c r="Q484" i="2" s="1"/>
  <c r="AD484" i="2" s="1" a="1"/>
  <c r="AD484" i="2" s="1"/>
  <c r="P484" i="2" a="1"/>
  <c r="P484" i="2" s="1"/>
  <c r="H484" i="2" a="1"/>
  <c r="H484" i="2" s="1"/>
  <c r="G484" i="2" a="1"/>
  <c r="G484" i="2" s="1"/>
  <c r="F484" i="2" a="1"/>
  <c r="F484" i="2" s="1"/>
  <c r="D484" i="2" a="1"/>
  <c r="D484" i="2" s="1"/>
  <c r="AH483" i="2" a="1"/>
  <c r="AH483" i="2" s="1"/>
  <c r="R483" i="2" a="1"/>
  <c r="R483" i="2" s="1"/>
  <c r="Q483" i="2" a="1"/>
  <c r="Q483" i="2" s="1"/>
  <c r="AB483" i="2" s="1" a="1"/>
  <c r="AB483" i="2" s="1"/>
  <c r="P483" i="2" a="1"/>
  <c r="P483" i="2" s="1"/>
  <c r="H483" i="2" a="1"/>
  <c r="H483" i="2" s="1"/>
  <c r="G483" i="2" a="1"/>
  <c r="G483" i="2" s="1"/>
  <c r="F483" i="2" a="1"/>
  <c r="F483" i="2" s="1"/>
  <c r="D483" i="2" a="1"/>
  <c r="D483" i="2" s="1"/>
  <c r="AH482" i="2" a="1"/>
  <c r="AH482" i="2" s="1"/>
  <c r="R482" i="2" a="1"/>
  <c r="R482" i="2" s="1"/>
  <c r="Q482" i="2" a="1"/>
  <c r="Q482" i="2" s="1"/>
  <c r="P482" i="2" a="1"/>
  <c r="P482" i="2" s="1"/>
  <c r="H482" i="2" a="1"/>
  <c r="H482" i="2" s="1"/>
  <c r="G482" i="2" a="1"/>
  <c r="G482" i="2" s="1"/>
  <c r="F482" i="2" a="1"/>
  <c r="F482" i="2" s="1"/>
  <c r="D197" i="8" s="1" a="1"/>
  <c r="D197" i="8" s="1"/>
  <c r="D482" i="2" a="1"/>
  <c r="D482" i="2" s="1"/>
  <c r="B197" i="8" s="1" a="1"/>
  <c r="B197" i="8" s="1"/>
  <c r="AH481" i="2" a="1"/>
  <c r="AH481" i="2" s="1"/>
  <c r="R481" i="2" a="1"/>
  <c r="R481" i="2" s="1"/>
  <c r="Q481" i="2" a="1"/>
  <c r="Q481" i="2" s="1"/>
  <c r="P481" i="2" a="1"/>
  <c r="P481" i="2" s="1"/>
  <c r="H481" i="2" a="1"/>
  <c r="H481" i="2" s="1"/>
  <c r="G481" i="2" a="1"/>
  <c r="G481" i="2" s="1"/>
  <c r="F481" i="2" a="1"/>
  <c r="F481" i="2" s="1"/>
  <c r="D481" i="2" a="1"/>
  <c r="D481" i="2" s="1"/>
  <c r="AH480" i="2" a="1"/>
  <c r="AH480" i="2" s="1"/>
  <c r="R480" i="2" a="1"/>
  <c r="R480" i="2" s="1"/>
  <c r="Q480" i="2" a="1"/>
  <c r="Q480" i="2" s="1"/>
  <c r="P480" i="2" a="1"/>
  <c r="P480" i="2" s="1"/>
  <c r="H480" i="2" a="1"/>
  <c r="H480" i="2" s="1"/>
  <c r="G480" i="2" a="1"/>
  <c r="G480" i="2" s="1"/>
  <c r="F480" i="2" a="1"/>
  <c r="F480" i="2" s="1"/>
  <c r="D196" i="8" s="1" a="1"/>
  <c r="D196" i="8" s="1"/>
  <c r="D480" i="2" a="1"/>
  <c r="D480" i="2" s="1"/>
  <c r="B196" i="8" s="1" a="1"/>
  <c r="B196" i="8" s="1"/>
  <c r="AJ479" i="2" a="1"/>
  <c r="AJ479" i="2" s="1"/>
  <c r="AN479" i="2" s="1" a="1"/>
  <c r="AN479" i="2" s="1"/>
  <c r="P479" i="2" a="1"/>
  <c r="P479" i="2" s="1"/>
  <c r="H479" i="2" a="1"/>
  <c r="H479" i="2" s="1"/>
  <c r="G479" i="2" a="1"/>
  <c r="G479" i="2" s="1"/>
  <c r="F479" i="2" a="1"/>
  <c r="F479" i="2" s="1"/>
  <c r="D51" i="9" s="1" a="1"/>
  <c r="D51" i="9" s="1"/>
  <c r="D479" i="2" a="1"/>
  <c r="D479" i="2" s="1"/>
  <c r="AH478" i="2" a="1"/>
  <c r="AH478" i="2" s="1"/>
  <c r="R478" i="2" a="1"/>
  <c r="R478" i="2" s="1"/>
  <c r="Q478" i="2" a="1"/>
  <c r="Q478" i="2" s="1"/>
  <c r="P478" i="2" a="1"/>
  <c r="P478" i="2" s="1"/>
  <c r="H478" i="2" a="1"/>
  <c r="H478" i="2" s="1"/>
  <c r="G478" i="2" a="1"/>
  <c r="G478" i="2" s="1"/>
  <c r="F478" i="2" a="1"/>
  <c r="F478" i="2" s="1"/>
  <c r="D478" i="2" a="1"/>
  <c r="D478" i="2" s="1"/>
  <c r="AH477" i="2" a="1"/>
  <c r="AH477" i="2" s="1"/>
  <c r="R477" i="2" a="1"/>
  <c r="R477" i="2" s="1"/>
  <c r="Q477" i="2" a="1"/>
  <c r="Q477" i="2" s="1"/>
  <c r="P477" i="2" a="1"/>
  <c r="P477" i="2" s="1"/>
  <c r="H477" i="2" a="1"/>
  <c r="H477" i="2" s="1"/>
  <c r="G477" i="2" a="1"/>
  <c r="G477" i="2" s="1"/>
  <c r="F477" i="2" a="1"/>
  <c r="F477" i="2" s="1"/>
  <c r="D477" i="2" a="1"/>
  <c r="D477" i="2" s="1"/>
  <c r="AH476" i="2" a="1"/>
  <c r="AH476" i="2" s="1"/>
  <c r="R476" i="2" a="1"/>
  <c r="R476" i="2" s="1"/>
  <c r="Q476" i="2" a="1"/>
  <c r="Q476" i="2" s="1"/>
  <c r="P476" i="2" a="1"/>
  <c r="P476" i="2" s="1"/>
  <c r="H476" i="2" a="1"/>
  <c r="H476" i="2" s="1"/>
  <c r="G476" i="2" a="1"/>
  <c r="G476" i="2" s="1"/>
  <c r="F476" i="2" a="1"/>
  <c r="F476" i="2" s="1"/>
  <c r="D476" i="2" a="1"/>
  <c r="D476" i="2" s="1"/>
  <c r="AH475" i="2" a="1"/>
  <c r="AH475" i="2" s="1"/>
  <c r="R475" i="2" a="1"/>
  <c r="R475" i="2" s="1"/>
  <c r="Q475" i="2" a="1"/>
  <c r="Q475" i="2" s="1"/>
  <c r="AA475" i="2" s="1" a="1"/>
  <c r="AA475" i="2" s="1"/>
  <c r="P475" i="2" a="1"/>
  <c r="P475" i="2" s="1"/>
  <c r="H475" i="2" a="1"/>
  <c r="H475" i="2" s="1"/>
  <c r="G475" i="2" a="1"/>
  <c r="G475" i="2" s="1"/>
  <c r="F475" i="2" a="1"/>
  <c r="F475" i="2" s="1"/>
  <c r="D475" i="2" a="1"/>
  <c r="D475" i="2" s="1"/>
  <c r="AH474" i="2" a="1"/>
  <c r="AH474" i="2" s="1"/>
  <c r="R474" i="2" a="1"/>
  <c r="R474" i="2" s="1"/>
  <c r="Q474" i="2" a="1"/>
  <c r="Q474" i="2" s="1"/>
  <c r="P474" i="2" a="1"/>
  <c r="P474" i="2" s="1"/>
  <c r="H474" i="2" a="1"/>
  <c r="H474" i="2" s="1"/>
  <c r="G474" i="2" a="1"/>
  <c r="G474" i="2" s="1"/>
  <c r="F474" i="2" a="1"/>
  <c r="F474" i="2" s="1"/>
  <c r="D195" i="8" s="1" a="1"/>
  <c r="D195" i="8" s="1"/>
  <c r="D474" i="2" a="1"/>
  <c r="D474" i="2" s="1"/>
  <c r="AH473" i="2" a="1"/>
  <c r="AH473" i="2" s="1"/>
  <c r="R473" i="2" a="1"/>
  <c r="R473" i="2" s="1"/>
  <c r="Q473" i="2" a="1"/>
  <c r="Q473" i="2" s="1"/>
  <c r="AD473" i="2" s="1" a="1"/>
  <c r="AD473" i="2" s="1"/>
  <c r="P473" i="2" a="1"/>
  <c r="P473" i="2" s="1"/>
  <c r="H473" i="2" a="1"/>
  <c r="H473" i="2" s="1"/>
  <c r="G473" i="2" a="1"/>
  <c r="G473" i="2" s="1"/>
  <c r="F473" i="2" a="1"/>
  <c r="F473" i="2" s="1"/>
  <c r="D473" i="2" a="1"/>
  <c r="D473" i="2" s="1"/>
  <c r="AH472" i="2" a="1"/>
  <c r="AH472" i="2" s="1"/>
  <c r="R472" i="2" a="1"/>
  <c r="R472" i="2" s="1"/>
  <c r="Q472" i="2" a="1"/>
  <c r="Q472" i="2" s="1"/>
  <c r="P472" i="2" a="1"/>
  <c r="P472" i="2" s="1"/>
  <c r="H472" i="2" a="1"/>
  <c r="H472" i="2" s="1"/>
  <c r="G472" i="2" a="1"/>
  <c r="G472" i="2" s="1"/>
  <c r="F472" i="2" a="1"/>
  <c r="F472" i="2" s="1"/>
  <c r="D472" i="2" a="1"/>
  <c r="D472" i="2" s="1"/>
  <c r="AH471" i="2" a="1"/>
  <c r="AH471" i="2" s="1"/>
  <c r="R471" i="2" a="1"/>
  <c r="R471" i="2" s="1"/>
  <c r="Q471" i="2" a="1"/>
  <c r="Q471" i="2" s="1"/>
  <c r="P471" i="2" a="1"/>
  <c r="P471" i="2" s="1"/>
  <c r="H471" i="2" a="1"/>
  <c r="H471" i="2" s="1"/>
  <c r="G471" i="2" a="1"/>
  <c r="G471" i="2" s="1"/>
  <c r="F471" i="2" a="1"/>
  <c r="F471" i="2" s="1"/>
  <c r="D471" i="2" a="1"/>
  <c r="D471" i="2" s="1"/>
  <c r="AH470" i="2" a="1"/>
  <c r="AH470" i="2" s="1"/>
  <c r="R470" i="2" a="1"/>
  <c r="R470" i="2" s="1"/>
  <c r="Q470" i="2" a="1"/>
  <c r="Q470" i="2" s="1"/>
  <c r="P470" i="2" a="1"/>
  <c r="P470" i="2" s="1"/>
  <c r="H470" i="2" a="1"/>
  <c r="H470" i="2" s="1"/>
  <c r="G470" i="2" a="1"/>
  <c r="G470" i="2" s="1"/>
  <c r="F470" i="2" a="1"/>
  <c r="F470" i="2" s="1"/>
  <c r="D470" i="2" a="1"/>
  <c r="D470" i="2" s="1"/>
  <c r="AH469" i="2" a="1"/>
  <c r="AH469" i="2" s="1"/>
  <c r="R469" i="2" a="1"/>
  <c r="R469" i="2" s="1"/>
  <c r="Q469" i="2" a="1"/>
  <c r="Q469" i="2" s="1"/>
  <c r="P469" i="2" a="1"/>
  <c r="P469" i="2" s="1"/>
  <c r="H469" i="2" a="1"/>
  <c r="H469" i="2" s="1"/>
  <c r="G469" i="2" a="1"/>
  <c r="G469" i="2" s="1"/>
  <c r="F469" i="2" a="1"/>
  <c r="F469" i="2" s="1"/>
  <c r="D469" i="2" a="1"/>
  <c r="D469" i="2" s="1"/>
  <c r="AH468" i="2" a="1"/>
  <c r="AH468" i="2" s="1"/>
  <c r="R468" i="2" a="1"/>
  <c r="R468" i="2" s="1"/>
  <c r="Q468" i="2" a="1"/>
  <c r="Q468" i="2" s="1"/>
  <c r="AD468" i="2" s="1" a="1"/>
  <c r="AD468" i="2" s="1"/>
  <c r="P468" i="2" a="1"/>
  <c r="P468" i="2" s="1"/>
  <c r="H468" i="2" a="1"/>
  <c r="H468" i="2" s="1"/>
  <c r="G468" i="2" a="1"/>
  <c r="G468" i="2" s="1"/>
  <c r="F468" i="2" a="1"/>
  <c r="F468" i="2" s="1"/>
  <c r="D468" i="2" a="1"/>
  <c r="D468" i="2" s="1"/>
  <c r="AH467" i="2" a="1"/>
  <c r="AH467" i="2" s="1"/>
  <c r="R467" i="2" a="1"/>
  <c r="R467" i="2" s="1"/>
  <c r="Q467" i="2" a="1"/>
  <c r="Q467" i="2" s="1"/>
  <c r="P467" i="2" a="1"/>
  <c r="P467" i="2" s="1"/>
  <c r="H467" i="2" a="1"/>
  <c r="H467" i="2" s="1"/>
  <c r="G467" i="2" a="1"/>
  <c r="G467" i="2" s="1"/>
  <c r="F467" i="2" a="1"/>
  <c r="F467" i="2" s="1"/>
  <c r="D194" i="8" s="1" a="1"/>
  <c r="D194" i="8" s="1"/>
  <c r="D467" i="2" a="1"/>
  <c r="D467" i="2" s="1"/>
  <c r="B194" i="8" s="1" a="1"/>
  <c r="B194" i="8" s="1"/>
  <c r="AH466" i="2" a="1"/>
  <c r="AH466" i="2" s="1"/>
  <c r="R466" i="2" a="1"/>
  <c r="R466" i="2" s="1"/>
  <c r="Q466" i="2" a="1"/>
  <c r="Q466" i="2" s="1"/>
  <c r="P466" i="2" a="1"/>
  <c r="P466" i="2" s="1"/>
  <c r="H466" i="2" a="1"/>
  <c r="H466" i="2" s="1"/>
  <c r="G466" i="2" a="1"/>
  <c r="G466" i="2" s="1"/>
  <c r="F466" i="2" a="1"/>
  <c r="F466" i="2" s="1"/>
  <c r="D466" i="2" a="1"/>
  <c r="D466" i="2" s="1"/>
  <c r="AH465" i="2" a="1"/>
  <c r="AH465" i="2" s="1"/>
  <c r="R465" i="2" a="1"/>
  <c r="R465" i="2" s="1"/>
  <c r="Q465" i="2" a="1"/>
  <c r="Q465" i="2" s="1"/>
  <c r="P465" i="2" a="1"/>
  <c r="P465" i="2" s="1"/>
  <c r="H465" i="2" a="1"/>
  <c r="H465" i="2" s="1"/>
  <c r="G465" i="2" a="1"/>
  <c r="G465" i="2" s="1"/>
  <c r="F465" i="2" a="1"/>
  <c r="F465" i="2" s="1"/>
  <c r="D193" i="8" s="1" a="1"/>
  <c r="D193" i="8" s="1"/>
  <c r="D465" i="2" a="1"/>
  <c r="D465" i="2" s="1"/>
  <c r="AH464" i="2" a="1"/>
  <c r="AH464" i="2" s="1"/>
  <c r="R464" i="2" a="1"/>
  <c r="R464" i="2" s="1"/>
  <c r="Q464" i="2" a="1"/>
  <c r="Q464" i="2" s="1"/>
  <c r="AD464" i="2" s="1" a="1"/>
  <c r="AD464" i="2" s="1"/>
  <c r="P464" i="2" a="1"/>
  <c r="P464" i="2" s="1"/>
  <c r="H464" i="2" a="1"/>
  <c r="H464" i="2" s="1"/>
  <c r="G464" i="2" a="1"/>
  <c r="G464" i="2" s="1"/>
  <c r="F464" i="2" a="1"/>
  <c r="F464" i="2" s="1"/>
  <c r="D464" i="2" a="1"/>
  <c r="D464" i="2" s="1"/>
  <c r="AH463" i="2" a="1"/>
  <c r="AH463" i="2" s="1"/>
  <c r="R463" i="2" a="1"/>
  <c r="R463" i="2" s="1"/>
  <c r="Q463" i="2" a="1"/>
  <c r="Q463" i="2" s="1"/>
  <c r="AF463" i="2" s="1" a="1"/>
  <c r="AF463" i="2" s="1"/>
  <c r="P463" i="2" a="1"/>
  <c r="P463" i="2" s="1"/>
  <c r="H463" i="2" a="1"/>
  <c r="H463" i="2" s="1"/>
  <c r="G463" i="2" a="1"/>
  <c r="G463" i="2" s="1"/>
  <c r="F463" i="2" a="1"/>
  <c r="F463" i="2" s="1"/>
  <c r="D463" i="2" a="1"/>
  <c r="D463" i="2" s="1"/>
  <c r="AH462" i="2" a="1"/>
  <c r="AH462" i="2" s="1"/>
  <c r="R462" i="2" a="1"/>
  <c r="R462" i="2" s="1"/>
  <c r="Q462" i="2" a="1"/>
  <c r="Q462" i="2" s="1"/>
  <c r="P462" i="2" a="1"/>
  <c r="P462" i="2" s="1"/>
  <c r="H462" i="2" a="1"/>
  <c r="H462" i="2" s="1"/>
  <c r="G462" i="2" a="1"/>
  <c r="G462" i="2" s="1"/>
  <c r="F462" i="2" a="1"/>
  <c r="F462" i="2" s="1"/>
  <c r="D462" i="2" a="1"/>
  <c r="D462" i="2" s="1"/>
  <c r="AH461" i="2" a="1"/>
  <c r="AH461" i="2" s="1"/>
  <c r="R461" i="2" a="1"/>
  <c r="R461" i="2" s="1"/>
  <c r="Q461" i="2" a="1"/>
  <c r="Q461" i="2" s="1"/>
  <c r="P461" i="2" a="1"/>
  <c r="P461" i="2" s="1"/>
  <c r="H461" i="2" a="1"/>
  <c r="H461" i="2" s="1"/>
  <c r="G461" i="2" a="1"/>
  <c r="G461" i="2" s="1"/>
  <c r="F461" i="2" a="1"/>
  <c r="F461" i="2" s="1"/>
  <c r="D192" i="8" s="1" a="1"/>
  <c r="D192" i="8" s="1"/>
  <c r="D461" i="2" a="1"/>
  <c r="D461" i="2" s="1"/>
  <c r="B192" i="8" s="1" a="1"/>
  <c r="B192" i="8" s="1"/>
  <c r="AH460" i="2" a="1"/>
  <c r="AH460" i="2" s="1"/>
  <c r="R460" i="2" a="1"/>
  <c r="R460" i="2" s="1"/>
  <c r="Q460" i="2" a="1"/>
  <c r="Q460" i="2" s="1"/>
  <c r="P460" i="2" a="1"/>
  <c r="P460" i="2" s="1"/>
  <c r="H460" i="2" a="1"/>
  <c r="H460" i="2" s="1"/>
  <c r="G460" i="2" a="1"/>
  <c r="G460" i="2" s="1"/>
  <c r="F460" i="2" a="1"/>
  <c r="F460" i="2" s="1"/>
  <c r="D460" i="2" a="1"/>
  <c r="D460" i="2" s="1"/>
  <c r="AH459" i="2" a="1"/>
  <c r="AH459" i="2" s="1"/>
  <c r="R459" i="2" a="1"/>
  <c r="R459" i="2" s="1"/>
  <c r="Q459" i="2" a="1"/>
  <c r="Q459" i="2" s="1"/>
  <c r="AD459" i="2" s="1" a="1"/>
  <c r="AD459" i="2" s="1"/>
  <c r="P459" i="2" a="1"/>
  <c r="P459" i="2" s="1"/>
  <c r="H459" i="2" a="1"/>
  <c r="H459" i="2" s="1"/>
  <c r="G459" i="2" a="1"/>
  <c r="G459" i="2" s="1"/>
  <c r="F459" i="2" a="1"/>
  <c r="F459" i="2" s="1"/>
  <c r="D459" i="2" a="1"/>
  <c r="D459" i="2" s="1"/>
  <c r="AH458" i="2" a="1"/>
  <c r="AH458" i="2" s="1"/>
  <c r="R458" i="2" a="1"/>
  <c r="R458" i="2" s="1"/>
  <c r="Q458" i="2" a="1"/>
  <c r="Q458" i="2" s="1"/>
  <c r="P458" i="2" a="1"/>
  <c r="P458" i="2" s="1"/>
  <c r="H458" i="2" a="1"/>
  <c r="H458" i="2" s="1"/>
  <c r="G458" i="2" a="1"/>
  <c r="G458" i="2" s="1"/>
  <c r="F458" i="2" a="1"/>
  <c r="F458" i="2" s="1"/>
  <c r="D191" i="8" s="1" a="1"/>
  <c r="D191" i="8" s="1"/>
  <c r="D458" i="2" a="1"/>
  <c r="D458" i="2" s="1"/>
  <c r="B191" i="8" s="1" a="1"/>
  <c r="B191" i="8" s="1"/>
  <c r="AH457" i="2" a="1"/>
  <c r="AH457" i="2" s="1"/>
  <c r="R457" i="2" a="1"/>
  <c r="R457" i="2" s="1"/>
  <c r="Q457" i="2" a="1"/>
  <c r="Q457" i="2" s="1"/>
  <c r="P457" i="2" a="1"/>
  <c r="P457" i="2" s="1"/>
  <c r="H457" i="2" a="1"/>
  <c r="H457" i="2" s="1"/>
  <c r="G457" i="2" a="1"/>
  <c r="G457" i="2" s="1"/>
  <c r="F457" i="2" a="1"/>
  <c r="F457" i="2" s="1"/>
  <c r="D457" i="2" a="1"/>
  <c r="D457" i="2" s="1"/>
  <c r="AH456" i="2" a="1"/>
  <c r="AH456" i="2" s="1"/>
  <c r="R456" i="2" a="1"/>
  <c r="R456" i="2" s="1"/>
  <c r="Q456" i="2" a="1"/>
  <c r="Q456" i="2" s="1"/>
  <c r="P456" i="2" a="1"/>
  <c r="P456" i="2" s="1"/>
  <c r="H456" i="2" a="1"/>
  <c r="H456" i="2" s="1"/>
  <c r="G456" i="2" a="1"/>
  <c r="G456" i="2" s="1"/>
  <c r="F456" i="2" a="1"/>
  <c r="F456" i="2" s="1"/>
  <c r="D190" i="8" s="1" a="1"/>
  <c r="D190" i="8" s="1"/>
  <c r="D456" i="2" a="1"/>
  <c r="D456" i="2" s="1"/>
  <c r="B190" i="8" s="1" a="1"/>
  <c r="B190" i="8" s="1"/>
  <c r="AH455" i="2" a="1"/>
  <c r="AH455" i="2" s="1"/>
  <c r="R455" i="2" a="1"/>
  <c r="R455" i="2" s="1"/>
  <c r="Q455" i="2" a="1"/>
  <c r="Q455" i="2" s="1"/>
  <c r="P455" i="2" a="1"/>
  <c r="P455" i="2" s="1"/>
  <c r="H455" i="2" a="1"/>
  <c r="H455" i="2" s="1"/>
  <c r="G455" i="2" a="1"/>
  <c r="G455" i="2" s="1"/>
  <c r="F455" i="2" a="1"/>
  <c r="F455" i="2" s="1"/>
  <c r="D455" i="2" a="1"/>
  <c r="D455" i="2" s="1"/>
  <c r="AH454" i="2" a="1"/>
  <c r="AH454" i="2" s="1"/>
  <c r="R454" i="2" a="1"/>
  <c r="R454" i="2" s="1"/>
  <c r="Q454" i="2" a="1"/>
  <c r="Q454" i="2" s="1"/>
  <c r="P454" i="2" a="1"/>
  <c r="P454" i="2" s="1"/>
  <c r="H454" i="2" a="1"/>
  <c r="H454" i="2" s="1"/>
  <c r="G454" i="2" a="1"/>
  <c r="G454" i="2" s="1"/>
  <c r="F454" i="2" a="1"/>
  <c r="F454" i="2" s="1"/>
  <c r="D454" i="2" a="1"/>
  <c r="D454" i="2" s="1"/>
  <c r="AH453" i="2" a="1"/>
  <c r="AH453" i="2" s="1"/>
  <c r="R453" i="2" a="1"/>
  <c r="R453" i="2" s="1"/>
  <c r="Q453" i="2" a="1"/>
  <c r="Q453" i="2" s="1"/>
  <c r="P453" i="2" a="1"/>
  <c r="P453" i="2" s="1"/>
  <c r="H453" i="2" a="1"/>
  <c r="H453" i="2" s="1"/>
  <c r="G453" i="2" a="1"/>
  <c r="G453" i="2" s="1"/>
  <c r="F453" i="2" a="1"/>
  <c r="F453" i="2" s="1"/>
  <c r="D453" i="2" a="1"/>
  <c r="D453" i="2" s="1"/>
  <c r="AH452" i="2" a="1"/>
  <c r="AH452" i="2" s="1"/>
  <c r="R452" i="2" a="1"/>
  <c r="R452" i="2" s="1"/>
  <c r="Q452" i="2" a="1"/>
  <c r="Q452" i="2" s="1"/>
  <c r="AA452" i="2" s="1" a="1"/>
  <c r="AA452" i="2" s="1"/>
  <c r="P452" i="2" a="1"/>
  <c r="P452" i="2" s="1"/>
  <c r="H452" i="2" a="1"/>
  <c r="H452" i="2" s="1"/>
  <c r="G452" i="2" a="1"/>
  <c r="G452" i="2" s="1"/>
  <c r="F452" i="2" a="1"/>
  <c r="F452" i="2" s="1"/>
  <c r="D189" i="8" s="1" a="1"/>
  <c r="D189" i="8" s="1"/>
  <c r="D452" i="2" a="1"/>
  <c r="D452" i="2" s="1"/>
  <c r="B189" i="8" s="1" a="1"/>
  <c r="B189" i="8" s="1"/>
  <c r="AH451" i="2" a="1"/>
  <c r="AH451" i="2" s="1"/>
  <c r="R451" i="2" a="1"/>
  <c r="R451" i="2" s="1"/>
  <c r="Q451" i="2" a="1"/>
  <c r="Q451" i="2" s="1"/>
  <c r="P451" i="2" a="1"/>
  <c r="P451" i="2" s="1"/>
  <c r="H451" i="2" a="1"/>
  <c r="H451" i="2" s="1"/>
  <c r="G451" i="2" a="1"/>
  <c r="G451" i="2" s="1"/>
  <c r="F451" i="2" a="1"/>
  <c r="F451" i="2" s="1"/>
  <c r="D451" i="2" a="1"/>
  <c r="D451" i="2" s="1"/>
  <c r="AH450" i="2" a="1"/>
  <c r="AH450" i="2" s="1"/>
  <c r="R450" i="2" a="1"/>
  <c r="R450" i="2" s="1"/>
  <c r="Q450" i="2" a="1"/>
  <c r="Q450" i="2" s="1"/>
  <c r="P450" i="2" a="1"/>
  <c r="P450" i="2" s="1"/>
  <c r="H450" i="2" a="1"/>
  <c r="H450" i="2" s="1"/>
  <c r="G450" i="2" a="1"/>
  <c r="G450" i="2" s="1"/>
  <c r="F450" i="2" a="1"/>
  <c r="F450" i="2" s="1"/>
  <c r="D450" i="2" a="1"/>
  <c r="D450" i="2" s="1"/>
  <c r="AH449" i="2" a="1"/>
  <c r="AH449" i="2" s="1"/>
  <c r="R449" i="2" a="1"/>
  <c r="R449" i="2" s="1"/>
  <c r="Q449" i="2" a="1"/>
  <c r="Q449" i="2" s="1"/>
  <c r="P449" i="2" a="1"/>
  <c r="P449" i="2" s="1"/>
  <c r="H449" i="2" a="1"/>
  <c r="H449" i="2" s="1"/>
  <c r="G449" i="2" a="1"/>
  <c r="G449" i="2" s="1"/>
  <c r="F449" i="2" a="1"/>
  <c r="F449" i="2" s="1"/>
  <c r="D449" i="2" a="1"/>
  <c r="D449" i="2" s="1"/>
  <c r="AH448" i="2" a="1"/>
  <c r="AH448" i="2" s="1"/>
  <c r="R448" i="2" a="1"/>
  <c r="R448" i="2" s="1"/>
  <c r="Q448" i="2" a="1"/>
  <c r="Q448" i="2" s="1"/>
  <c r="P448" i="2" a="1"/>
  <c r="P448" i="2" s="1"/>
  <c r="H448" i="2" a="1"/>
  <c r="H448" i="2" s="1"/>
  <c r="G448" i="2" a="1"/>
  <c r="G448" i="2" s="1"/>
  <c r="F448" i="2" a="1"/>
  <c r="F448" i="2" s="1"/>
  <c r="D448" i="2" a="1"/>
  <c r="D448" i="2" s="1"/>
  <c r="AH447" i="2" a="1"/>
  <c r="AH447" i="2" s="1"/>
  <c r="R447" i="2" a="1"/>
  <c r="R447" i="2" s="1"/>
  <c r="Q447" i="2" a="1"/>
  <c r="Q447" i="2" s="1"/>
  <c r="P447" i="2" a="1"/>
  <c r="P447" i="2" s="1"/>
  <c r="H447" i="2" a="1"/>
  <c r="H447" i="2" s="1"/>
  <c r="G447" i="2" a="1"/>
  <c r="G447" i="2" s="1"/>
  <c r="F447" i="2" a="1"/>
  <c r="F447" i="2" s="1"/>
  <c r="D188" i="8" s="1" a="1"/>
  <c r="D188" i="8" s="1"/>
  <c r="D447" i="2" a="1"/>
  <c r="D447" i="2" s="1"/>
  <c r="AH446" i="2" a="1"/>
  <c r="AH446" i="2" s="1"/>
  <c r="R446" i="2" a="1"/>
  <c r="R446" i="2" s="1"/>
  <c r="Q446" i="2" a="1"/>
  <c r="Q446" i="2" s="1"/>
  <c r="P446" i="2" a="1"/>
  <c r="P446" i="2" s="1"/>
  <c r="H446" i="2" a="1"/>
  <c r="H446" i="2" s="1"/>
  <c r="G446" i="2" a="1"/>
  <c r="G446" i="2" s="1"/>
  <c r="F446" i="2" a="1"/>
  <c r="F446" i="2" s="1"/>
  <c r="D446" i="2" a="1"/>
  <c r="D446" i="2" s="1"/>
  <c r="AH445" i="2" a="1"/>
  <c r="AH445" i="2" s="1"/>
  <c r="R445" i="2" a="1"/>
  <c r="R445" i="2" s="1"/>
  <c r="Q445" i="2" a="1"/>
  <c r="Q445" i="2" s="1"/>
  <c r="AB445" i="2" s="1" a="1"/>
  <c r="AB445" i="2" s="1"/>
  <c r="P445" i="2" a="1"/>
  <c r="P445" i="2" s="1"/>
  <c r="H445" i="2" a="1"/>
  <c r="H445" i="2" s="1"/>
  <c r="G445" i="2" a="1"/>
  <c r="G445" i="2" s="1"/>
  <c r="F445" i="2" a="1"/>
  <c r="F445" i="2" s="1"/>
  <c r="D445" i="2" a="1"/>
  <c r="D445" i="2" s="1"/>
  <c r="AH444" i="2" a="1"/>
  <c r="AH444" i="2" s="1"/>
  <c r="R444" i="2" a="1"/>
  <c r="R444" i="2" s="1"/>
  <c r="Q444" i="2" a="1"/>
  <c r="Q444" i="2" s="1"/>
  <c r="P444" i="2" a="1"/>
  <c r="P444" i="2" s="1"/>
  <c r="H444" i="2" a="1"/>
  <c r="H444" i="2" s="1"/>
  <c r="G444" i="2" a="1"/>
  <c r="G444" i="2" s="1"/>
  <c r="F444" i="2" a="1"/>
  <c r="F444" i="2" s="1"/>
  <c r="D444" i="2" a="1"/>
  <c r="D444" i="2" s="1"/>
  <c r="AH443" i="2" a="1"/>
  <c r="AH443" i="2" s="1"/>
  <c r="R443" i="2" a="1"/>
  <c r="R443" i="2" s="1"/>
  <c r="Q443" i="2" a="1"/>
  <c r="Q443" i="2" s="1"/>
  <c r="AD443" i="2" s="1" a="1"/>
  <c r="AD443" i="2" s="1"/>
  <c r="P443" i="2" a="1"/>
  <c r="P443" i="2" s="1"/>
  <c r="H443" i="2" a="1"/>
  <c r="H443" i="2" s="1"/>
  <c r="G443" i="2" a="1"/>
  <c r="G443" i="2" s="1"/>
  <c r="F443" i="2" a="1"/>
  <c r="F443" i="2" s="1"/>
  <c r="D443" i="2" a="1"/>
  <c r="D443" i="2" s="1"/>
  <c r="AH442" i="2" a="1"/>
  <c r="AH442" i="2" s="1"/>
  <c r="R442" i="2" a="1"/>
  <c r="R442" i="2" s="1"/>
  <c r="Q442" i="2" a="1"/>
  <c r="Q442" i="2" s="1"/>
  <c r="AG442" i="2" s="1" a="1"/>
  <c r="AG442" i="2" s="1"/>
  <c r="P442" i="2" a="1"/>
  <c r="P442" i="2" s="1"/>
  <c r="H442" i="2" a="1"/>
  <c r="H442" i="2" s="1"/>
  <c r="G442" i="2" a="1"/>
  <c r="G442" i="2" s="1"/>
  <c r="F442" i="2" a="1"/>
  <c r="F442" i="2" s="1"/>
  <c r="D442" i="2" a="1"/>
  <c r="D442" i="2" s="1"/>
  <c r="AH441" i="2" a="1"/>
  <c r="AH441" i="2" s="1"/>
  <c r="R441" i="2" a="1"/>
  <c r="R441" i="2" s="1"/>
  <c r="Q441" i="2" a="1"/>
  <c r="Q441" i="2" s="1"/>
  <c r="P441" i="2" a="1"/>
  <c r="P441" i="2" s="1"/>
  <c r="H441" i="2" a="1"/>
  <c r="H441" i="2" s="1"/>
  <c r="G441" i="2" a="1"/>
  <c r="G441" i="2" s="1"/>
  <c r="F441" i="2" a="1"/>
  <c r="F441" i="2" s="1"/>
  <c r="D441" i="2" a="1"/>
  <c r="D441" i="2" s="1"/>
  <c r="AH440" i="2" a="1"/>
  <c r="AH440" i="2" s="1"/>
  <c r="R440" i="2" a="1"/>
  <c r="R440" i="2" s="1"/>
  <c r="Q440" i="2" a="1"/>
  <c r="Q440" i="2" s="1"/>
  <c r="P440" i="2" a="1"/>
  <c r="P440" i="2" s="1"/>
  <c r="H440" i="2" a="1"/>
  <c r="H440" i="2" s="1"/>
  <c r="G440" i="2" a="1"/>
  <c r="G440" i="2" s="1"/>
  <c r="F440" i="2" a="1"/>
  <c r="F440" i="2" s="1"/>
  <c r="D187" i="8" s="1" a="1"/>
  <c r="D187" i="8" s="1"/>
  <c r="D440" i="2" a="1"/>
  <c r="D440" i="2" s="1"/>
  <c r="AH439" i="2" a="1"/>
  <c r="AH439" i="2" s="1"/>
  <c r="R439" i="2" a="1"/>
  <c r="R439" i="2" s="1"/>
  <c r="Q439" i="2" a="1"/>
  <c r="Q439" i="2" s="1"/>
  <c r="Y439" i="2" s="1" a="1"/>
  <c r="Y439" i="2" s="1"/>
  <c r="P439" i="2" a="1"/>
  <c r="P439" i="2" s="1"/>
  <c r="H439" i="2" a="1"/>
  <c r="H439" i="2" s="1"/>
  <c r="G439" i="2" a="1"/>
  <c r="G439" i="2" s="1"/>
  <c r="F439" i="2" a="1"/>
  <c r="F439" i="2" s="1"/>
  <c r="D439" i="2" a="1"/>
  <c r="D439" i="2" s="1"/>
  <c r="AH438" i="2" a="1"/>
  <c r="AH438" i="2" s="1"/>
  <c r="R438" i="2" a="1"/>
  <c r="R438" i="2" s="1"/>
  <c r="Q438" i="2" a="1"/>
  <c r="Q438" i="2" s="1"/>
  <c r="AB438" i="2" s="1" a="1"/>
  <c r="AB438" i="2" s="1"/>
  <c r="P438" i="2" a="1"/>
  <c r="P438" i="2" s="1"/>
  <c r="H438" i="2" a="1"/>
  <c r="H438" i="2" s="1"/>
  <c r="G438" i="2" a="1"/>
  <c r="G438" i="2" s="1"/>
  <c r="F438" i="2" a="1"/>
  <c r="F438" i="2" s="1"/>
  <c r="D438" i="2" a="1"/>
  <c r="D438" i="2" s="1"/>
  <c r="AH437" i="2" a="1"/>
  <c r="AH437" i="2" s="1"/>
  <c r="R437" i="2" a="1"/>
  <c r="R437" i="2" s="1"/>
  <c r="Q437" i="2" a="1"/>
  <c r="Q437" i="2" s="1"/>
  <c r="P437" i="2" a="1"/>
  <c r="P437" i="2" s="1"/>
  <c r="H437" i="2" a="1"/>
  <c r="H437" i="2" s="1"/>
  <c r="G437" i="2" a="1"/>
  <c r="G437" i="2" s="1"/>
  <c r="F437" i="2" a="1"/>
  <c r="F437" i="2" s="1"/>
  <c r="D186" i="8" s="1" a="1"/>
  <c r="D186" i="8" s="1"/>
  <c r="D437" i="2" a="1"/>
  <c r="D437" i="2" s="1"/>
  <c r="AH436" i="2" a="1"/>
  <c r="AH436" i="2" s="1"/>
  <c r="R436" i="2" a="1"/>
  <c r="R436" i="2" s="1"/>
  <c r="Q436" i="2" a="1"/>
  <c r="Q436" i="2" s="1"/>
  <c r="P436" i="2" a="1"/>
  <c r="P436" i="2" s="1"/>
  <c r="H436" i="2" a="1"/>
  <c r="H436" i="2" s="1"/>
  <c r="G436" i="2" a="1"/>
  <c r="G436" i="2" s="1"/>
  <c r="F436" i="2" a="1"/>
  <c r="F436" i="2" s="1"/>
  <c r="D185" i="8" s="1" a="1"/>
  <c r="D185" i="8" s="1"/>
  <c r="D436" i="2" a="1"/>
  <c r="D436" i="2" s="1"/>
  <c r="AH435" i="2" a="1"/>
  <c r="AH435" i="2" s="1"/>
  <c r="R435" i="2" a="1"/>
  <c r="R435" i="2" s="1"/>
  <c r="Q435" i="2" a="1"/>
  <c r="Q435" i="2" s="1"/>
  <c r="P435" i="2" a="1"/>
  <c r="P435" i="2" s="1"/>
  <c r="H435" i="2" a="1"/>
  <c r="H435" i="2" s="1"/>
  <c r="G435" i="2" a="1"/>
  <c r="G435" i="2" s="1"/>
  <c r="F435" i="2" a="1"/>
  <c r="F435" i="2" s="1"/>
  <c r="D184" i="8" s="1" a="1"/>
  <c r="D184" i="8" s="1"/>
  <c r="D435" i="2" a="1"/>
  <c r="D435" i="2" s="1"/>
  <c r="AH434" i="2" a="1"/>
  <c r="AH434" i="2" s="1"/>
  <c r="R434" i="2" a="1"/>
  <c r="R434" i="2" s="1"/>
  <c r="Q434" i="2" a="1"/>
  <c r="Q434" i="2" s="1"/>
  <c r="AG434" i="2" s="1" a="1"/>
  <c r="AG434" i="2" s="1"/>
  <c r="P434" i="2" a="1"/>
  <c r="P434" i="2" s="1"/>
  <c r="H434" i="2" a="1"/>
  <c r="H434" i="2" s="1"/>
  <c r="G434" i="2" a="1"/>
  <c r="G434" i="2" s="1"/>
  <c r="F434" i="2" a="1"/>
  <c r="F434" i="2" s="1"/>
  <c r="D434" i="2" a="1"/>
  <c r="D434" i="2" s="1"/>
  <c r="AJ433" i="2" a="1"/>
  <c r="AJ433" i="2" s="1"/>
  <c r="P433" i="2" a="1"/>
  <c r="P433" i="2" s="1"/>
  <c r="H433" i="2" a="1"/>
  <c r="H433" i="2" s="1"/>
  <c r="G433" i="2" a="1"/>
  <c r="G433" i="2" s="1"/>
  <c r="F433" i="2" a="1"/>
  <c r="F433" i="2" s="1"/>
  <c r="D50" i="9" s="1" a="1"/>
  <c r="D50" i="9" s="1"/>
  <c r="D433" i="2" a="1"/>
  <c r="D433" i="2" s="1"/>
  <c r="AH432" i="2" a="1"/>
  <c r="AH432" i="2" s="1"/>
  <c r="R432" i="2" a="1"/>
  <c r="R432" i="2" s="1"/>
  <c r="Q432" i="2" a="1"/>
  <c r="Q432" i="2" s="1"/>
  <c r="P432" i="2" a="1"/>
  <c r="P432" i="2" s="1"/>
  <c r="H432" i="2" a="1"/>
  <c r="H432" i="2" s="1"/>
  <c r="G432" i="2" a="1"/>
  <c r="G432" i="2" s="1"/>
  <c r="F432" i="2" a="1"/>
  <c r="F432" i="2" s="1"/>
  <c r="D183" i="8" s="1" a="1"/>
  <c r="D183" i="8" s="1"/>
  <c r="D432" i="2" a="1"/>
  <c r="D432" i="2" s="1"/>
  <c r="AH431" i="2" a="1"/>
  <c r="AH431" i="2" s="1"/>
  <c r="R431" i="2" a="1"/>
  <c r="R431" i="2" s="1"/>
  <c r="Q431" i="2" a="1"/>
  <c r="Q431" i="2" s="1"/>
  <c r="P431" i="2" a="1"/>
  <c r="P431" i="2" s="1"/>
  <c r="H431" i="2" a="1"/>
  <c r="H431" i="2" s="1"/>
  <c r="G431" i="2" a="1"/>
  <c r="G431" i="2" s="1"/>
  <c r="F431" i="2" a="1"/>
  <c r="F431" i="2" s="1"/>
  <c r="D182" i="8" s="1" a="1"/>
  <c r="D182" i="8" s="1"/>
  <c r="D431" i="2" a="1"/>
  <c r="D431" i="2" s="1"/>
  <c r="B182" i="8" s="1" a="1"/>
  <c r="B182" i="8" s="1"/>
  <c r="AH430" i="2" a="1"/>
  <c r="AH430" i="2" s="1"/>
  <c r="R430" i="2" a="1"/>
  <c r="R430" i="2" s="1"/>
  <c r="Q430" i="2" a="1"/>
  <c r="Q430" i="2" s="1"/>
  <c r="AG430" i="2" s="1" a="1"/>
  <c r="AG430" i="2" s="1"/>
  <c r="P430" i="2" a="1"/>
  <c r="P430" i="2" s="1"/>
  <c r="H430" i="2" a="1"/>
  <c r="H430" i="2" s="1"/>
  <c r="G430" i="2" a="1"/>
  <c r="G430" i="2" s="1"/>
  <c r="F430" i="2" a="1"/>
  <c r="F430" i="2" s="1"/>
  <c r="D430" i="2" a="1"/>
  <c r="D430" i="2" s="1"/>
  <c r="AH429" i="2" a="1"/>
  <c r="AH429" i="2" s="1"/>
  <c r="R429" i="2" a="1"/>
  <c r="R429" i="2" s="1"/>
  <c r="Q429" i="2" a="1"/>
  <c r="Q429" i="2" s="1"/>
  <c r="P429" i="2" a="1"/>
  <c r="P429" i="2" s="1"/>
  <c r="H429" i="2" a="1"/>
  <c r="H429" i="2" s="1"/>
  <c r="G429" i="2" a="1"/>
  <c r="G429" i="2" s="1"/>
  <c r="F429" i="2" a="1"/>
  <c r="F429" i="2" s="1"/>
  <c r="D181" i="8" s="1" a="1"/>
  <c r="D181" i="8" s="1"/>
  <c r="D429" i="2" a="1"/>
  <c r="D429" i="2" s="1"/>
  <c r="B181" i="8" s="1" a="1"/>
  <c r="B181" i="8" s="1"/>
  <c r="AH428" i="2" a="1"/>
  <c r="AH428" i="2" s="1"/>
  <c r="R428" i="2" a="1"/>
  <c r="R428" i="2" s="1"/>
  <c r="Q428" i="2" a="1"/>
  <c r="Q428" i="2" s="1"/>
  <c r="P428" i="2" a="1"/>
  <c r="P428" i="2" s="1"/>
  <c r="H428" i="2" a="1"/>
  <c r="H428" i="2" s="1"/>
  <c r="G428" i="2" a="1"/>
  <c r="G428" i="2" s="1"/>
  <c r="F428" i="2" a="1"/>
  <c r="F428" i="2" s="1"/>
  <c r="D428" i="2" a="1"/>
  <c r="D428" i="2" s="1"/>
  <c r="AJ427" i="2" a="1"/>
  <c r="AJ427" i="2" s="1"/>
  <c r="P427" i="2" a="1"/>
  <c r="P427" i="2" s="1"/>
  <c r="H427" i="2" a="1"/>
  <c r="H427" i="2" s="1"/>
  <c r="G427" i="2" a="1"/>
  <c r="G427" i="2" s="1"/>
  <c r="F427" i="2" a="1"/>
  <c r="F427" i="2" s="1"/>
  <c r="D49" i="9" s="1" a="1"/>
  <c r="D49" i="9" s="1"/>
  <c r="D427" i="2" a="1"/>
  <c r="D427" i="2" s="1"/>
  <c r="B49" i="9" s="1" a="1"/>
  <c r="B49" i="9" s="1"/>
  <c r="AH426" i="2" a="1"/>
  <c r="AH426" i="2" s="1"/>
  <c r="R426" i="2" a="1"/>
  <c r="R426" i="2" s="1"/>
  <c r="Q426" i="2" a="1"/>
  <c r="Q426" i="2" s="1"/>
  <c r="P426" i="2" a="1"/>
  <c r="P426" i="2" s="1"/>
  <c r="H426" i="2" a="1"/>
  <c r="H426" i="2" s="1"/>
  <c r="G426" i="2" a="1"/>
  <c r="G426" i="2" s="1"/>
  <c r="F426" i="2" a="1"/>
  <c r="F426" i="2" s="1"/>
  <c r="D426" i="2" a="1"/>
  <c r="D426" i="2" s="1"/>
  <c r="AH425" i="2" a="1"/>
  <c r="AH425" i="2" s="1"/>
  <c r="R425" i="2" a="1"/>
  <c r="R425" i="2" s="1"/>
  <c r="Q425" i="2" a="1"/>
  <c r="Q425" i="2" s="1"/>
  <c r="AG425" i="2" s="1" a="1"/>
  <c r="AG425" i="2" s="1"/>
  <c r="P425" i="2" a="1"/>
  <c r="P425" i="2" s="1"/>
  <c r="H425" i="2" a="1"/>
  <c r="H425" i="2" s="1"/>
  <c r="G425" i="2" a="1"/>
  <c r="G425" i="2" s="1"/>
  <c r="F425" i="2" a="1"/>
  <c r="F425" i="2" s="1"/>
  <c r="D180" i="8" s="1" a="1"/>
  <c r="D180" i="8" s="1"/>
  <c r="D425" i="2" a="1"/>
  <c r="D425" i="2" s="1"/>
  <c r="B180" i="8" s="1" a="1"/>
  <c r="B180" i="8" s="1"/>
  <c r="AH424" i="2" a="1"/>
  <c r="AH424" i="2" s="1"/>
  <c r="R424" i="2" a="1"/>
  <c r="R424" i="2" s="1"/>
  <c r="Q424" i="2" a="1"/>
  <c r="Q424" i="2" s="1"/>
  <c r="AB424" i="2" s="1" a="1"/>
  <c r="AB424" i="2" s="1"/>
  <c r="P424" i="2" a="1"/>
  <c r="P424" i="2" s="1"/>
  <c r="H424" i="2" a="1"/>
  <c r="H424" i="2" s="1"/>
  <c r="G424" i="2" a="1"/>
  <c r="G424" i="2" s="1"/>
  <c r="F424" i="2" a="1"/>
  <c r="F424" i="2" s="1"/>
  <c r="D179" i="8" s="1" a="1"/>
  <c r="D179" i="8" s="1"/>
  <c r="D424" i="2" a="1"/>
  <c r="D424" i="2" s="1"/>
  <c r="AH423" i="2" a="1"/>
  <c r="AH423" i="2" s="1"/>
  <c r="R423" i="2" a="1"/>
  <c r="R423" i="2" s="1"/>
  <c r="Q423" i="2" a="1"/>
  <c r="Q423" i="2" s="1"/>
  <c r="P423" i="2" a="1"/>
  <c r="P423" i="2" s="1"/>
  <c r="H423" i="2" a="1"/>
  <c r="H423" i="2" s="1"/>
  <c r="G423" i="2" a="1"/>
  <c r="G423" i="2" s="1"/>
  <c r="F423" i="2" a="1"/>
  <c r="F423" i="2" s="1"/>
  <c r="D178" i="8" s="1" a="1"/>
  <c r="D178" i="8" s="1"/>
  <c r="D423" i="2" a="1"/>
  <c r="D423" i="2" s="1"/>
  <c r="B178" i="8" s="1" a="1"/>
  <c r="B178" i="8" s="1"/>
  <c r="AH422" i="2" a="1"/>
  <c r="AH422" i="2" s="1"/>
  <c r="R422" i="2" a="1"/>
  <c r="R422" i="2" s="1"/>
  <c r="Q422" i="2" a="1"/>
  <c r="Q422" i="2" s="1"/>
  <c r="AB422" i="2" s="1" a="1"/>
  <c r="AB422" i="2" s="1"/>
  <c r="P422" i="2" a="1"/>
  <c r="P422" i="2" s="1"/>
  <c r="H422" i="2" a="1"/>
  <c r="H422" i="2" s="1"/>
  <c r="G422" i="2" a="1"/>
  <c r="G422" i="2" s="1"/>
  <c r="F422" i="2" a="1"/>
  <c r="F422" i="2" s="1"/>
  <c r="D422" i="2" a="1"/>
  <c r="D422" i="2" s="1"/>
  <c r="AH421" i="2" a="1"/>
  <c r="AH421" i="2" s="1"/>
  <c r="R421" i="2" a="1"/>
  <c r="R421" i="2" s="1"/>
  <c r="Q421" i="2" a="1"/>
  <c r="Q421" i="2" s="1"/>
  <c r="P421" i="2" a="1"/>
  <c r="P421" i="2" s="1"/>
  <c r="H421" i="2" a="1"/>
  <c r="H421" i="2" s="1"/>
  <c r="G421" i="2" a="1"/>
  <c r="G421" i="2" s="1"/>
  <c r="F421" i="2" a="1"/>
  <c r="F421" i="2" s="1"/>
  <c r="D177" i="8" s="1" a="1"/>
  <c r="D177" i="8" s="1"/>
  <c r="D421" i="2" a="1"/>
  <c r="D421" i="2" s="1"/>
  <c r="B177" i="8" s="1" a="1"/>
  <c r="B177" i="8" s="1"/>
  <c r="AH420" i="2" a="1"/>
  <c r="AH420" i="2" s="1"/>
  <c r="R420" i="2" a="1"/>
  <c r="R420" i="2" s="1"/>
  <c r="Q420" i="2" a="1"/>
  <c r="Q420" i="2" s="1"/>
  <c r="P420" i="2" a="1"/>
  <c r="P420" i="2" s="1"/>
  <c r="H420" i="2" a="1"/>
  <c r="H420" i="2" s="1"/>
  <c r="G420" i="2" a="1"/>
  <c r="G420" i="2" s="1"/>
  <c r="F420" i="2" a="1"/>
  <c r="F420" i="2" s="1"/>
  <c r="D420" i="2" a="1"/>
  <c r="D420" i="2" s="1"/>
  <c r="AH419" i="2" a="1"/>
  <c r="AH419" i="2" s="1"/>
  <c r="R419" i="2" a="1"/>
  <c r="R419" i="2" s="1"/>
  <c r="Q419" i="2" a="1"/>
  <c r="Q419" i="2" s="1"/>
  <c r="P419" i="2" a="1"/>
  <c r="P419" i="2" s="1"/>
  <c r="H419" i="2" a="1"/>
  <c r="H419" i="2" s="1"/>
  <c r="G419" i="2" a="1"/>
  <c r="G419" i="2" s="1"/>
  <c r="F419" i="2" a="1"/>
  <c r="F419" i="2" s="1"/>
  <c r="D176" i="8" s="1" a="1"/>
  <c r="D176" i="8" s="1"/>
  <c r="D419" i="2" a="1"/>
  <c r="D419" i="2" s="1"/>
  <c r="AH418" i="2" a="1"/>
  <c r="AH418" i="2" s="1"/>
  <c r="R418" i="2" a="1"/>
  <c r="R418" i="2" s="1"/>
  <c r="Q418" i="2" a="1"/>
  <c r="Q418" i="2" s="1"/>
  <c r="P418" i="2" a="1"/>
  <c r="P418" i="2" s="1"/>
  <c r="H418" i="2" a="1"/>
  <c r="H418" i="2" s="1"/>
  <c r="G418" i="2" a="1"/>
  <c r="G418" i="2" s="1"/>
  <c r="F418" i="2" a="1"/>
  <c r="F418" i="2" s="1"/>
  <c r="D175" i="8" s="1" a="1"/>
  <c r="D175" i="8" s="1"/>
  <c r="D418" i="2" a="1"/>
  <c r="D418" i="2" s="1"/>
  <c r="B175" i="8" s="1" a="1"/>
  <c r="B175" i="8" s="1"/>
  <c r="AH417" i="2" a="1"/>
  <c r="AH417" i="2" s="1"/>
  <c r="R417" i="2" a="1"/>
  <c r="R417" i="2" s="1"/>
  <c r="Q417" i="2" a="1"/>
  <c r="Q417" i="2" s="1"/>
  <c r="P417" i="2" a="1"/>
  <c r="P417" i="2" s="1"/>
  <c r="H417" i="2" a="1"/>
  <c r="H417" i="2" s="1"/>
  <c r="G417" i="2" a="1"/>
  <c r="G417" i="2" s="1"/>
  <c r="F417" i="2" a="1"/>
  <c r="F417" i="2" s="1"/>
  <c r="D417" i="2" a="1"/>
  <c r="D417" i="2" s="1"/>
  <c r="AH416" i="2" a="1"/>
  <c r="AH416" i="2" s="1"/>
  <c r="R416" i="2" a="1"/>
  <c r="R416" i="2" s="1"/>
  <c r="Q416" i="2" a="1"/>
  <c r="Q416" i="2" s="1"/>
  <c r="AD416" i="2" s="1" a="1"/>
  <c r="AD416" i="2" s="1"/>
  <c r="P416" i="2" a="1"/>
  <c r="P416" i="2" s="1"/>
  <c r="H416" i="2" a="1"/>
  <c r="H416" i="2" s="1"/>
  <c r="G416" i="2" a="1"/>
  <c r="G416" i="2" s="1"/>
  <c r="F416" i="2" a="1"/>
  <c r="F416" i="2" s="1"/>
  <c r="D416" i="2" a="1"/>
  <c r="D416" i="2" s="1"/>
  <c r="AH415" i="2" a="1"/>
  <c r="AH415" i="2" s="1"/>
  <c r="R415" i="2" a="1"/>
  <c r="R415" i="2" s="1"/>
  <c r="Q415" i="2" a="1"/>
  <c r="Q415" i="2" s="1"/>
  <c r="AG415" i="2" s="1" a="1"/>
  <c r="AG415" i="2" s="1"/>
  <c r="P415" i="2" a="1"/>
  <c r="P415" i="2" s="1"/>
  <c r="H415" i="2" a="1"/>
  <c r="H415" i="2" s="1"/>
  <c r="G415" i="2" a="1"/>
  <c r="G415" i="2" s="1"/>
  <c r="F415" i="2" a="1"/>
  <c r="F415" i="2" s="1"/>
  <c r="D415" i="2" a="1"/>
  <c r="D415" i="2" s="1"/>
  <c r="AH414" i="2" a="1"/>
  <c r="AH414" i="2" s="1"/>
  <c r="R414" i="2" a="1"/>
  <c r="R414" i="2" s="1"/>
  <c r="Q414" i="2" a="1"/>
  <c r="Q414" i="2" s="1"/>
  <c r="Y414" i="2" s="1" a="1"/>
  <c r="Y414" i="2" s="1"/>
  <c r="P414" i="2" a="1"/>
  <c r="P414" i="2" s="1"/>
  <c r="H414" i="2" a="1"/>
  <c r="H414" i="2" s="1"/>
  <c r="G414" i="2" a="1"/>
  <c r="G414" i="2" s="1"/>
  <c r="F414" i="2" a="1"/>
  <c r="F414" i="2" s="1"/>
  <c r="D414" i="2" a="1"/>
  <c r="D414" i="2" s="1"/>
  <c r="AH413" i="2" a="1"/>
  <c r="AH413" i="2" s="1"/>
  <c r="R413" i="2" a="1"/>
  <c r="R413" i="2" s="1"/>
  <c r="Q413" i="2" a="1"/>
  <c r="Q413" i="2" s="1"/>
  <c r="AG413" i="2" s="1" a="1"/>
  <c r="AG413" i="2" s="1"/>
  <c r="P413" i="2" a="1"/>
  <c r="P413" i="2" s="1"/>
  <c r="H413" i="2" a="1"/>
  <c r="H413" i="2" s="1"/>
  <c r="G413" i="2" a="1"/>
  <c r="G413" i="2" s="1"/>
  <c r="F413" i="2" a="1"/>
  <c r="F413" i="2" s="1"/>
  <c r="D413" i="2" a="1"/>
  <c r="D413" i="2" s="1"/>
  <c r="AH412" i="2" a="1"/>
  <c r="AH412" i="2" s="1"/>
  <c r="R412" i="2" a="1"/>
  <c r="R412" i="2" s="1"/>
  <c r="Q412" i="2" a="1"/>
  <c r="Q412" i="2" s="1"/>
  <c r="P412" i="2" a="1"/>
  <c r="P412" i="2" s="1"/>
  <c r="H412" i="2" a="1"/>
  <c r="H412" i="2" s="1"/>
  <c r="G412" i="2" a="1"/>
  <c r="G412" i="2" s="1"/>
  <c r="F412" i="2" a="1"/>
  <c r="F412" i="2" s="1"/>
  <c r="D412" i="2" a="1"/>
  <c r="D412" i="2" s="1"/>
  <c r="AH411" i="2" a="1"/>
  <c r="AH411" i="2" s="1"/>
  <c r="R411" i="2" a="1"/>
  <c r="R411" i="2" s="1"/>
  <c r="Q411" i="2" a="1"/>
  <c r="Q411" i="2" s="1"/>
  <c r="P411" i="2" a="1"/>
  <c r="P411" i="2" s="1"/>
  <c r="H411" i="2" a="1"/>
  <c r="H411" i="2" s="1"/>
  <c r="G411" i="2" a="1"/>
  <c r="G411" i="2" s="1"/>
  <c r="F411" i="2" a="1"/>
  <c r="F411" i="2" s="1"/>
  <c r="D174" i="8" s="1" a="1"/>
  <c r="D174" i="8" s="1"/>
  <c r="D411" i="2" a="1"/>
  <c r="D411" i="2" s="1"/>
  <c r="B174" i="8" s="1" a="1"/>
  <c r="B174" i="8" s="1"/>
  <c r="AJ410" i="2" a="1"/>
  <c r="AJ410" i="2" s="1"/>
  <c r="P410" i="2" a="1"/>
  <c r="P410" i="2" s="1"/>
  <c r="H410" i="2" a="1"/>
  <c r="H410" i="2" s="1"/>
  <c r="G410" i="2" a="1"/>
  <c r="G410" i="2" s="1"/>
  <c r="F410" i="2" a="1"/>
  <c r="F410" i="2" s="1"/>
  <c r="D48" i="9" s="1" a="1"/>
  <c r="D48" i="9" s="1"/>
  <c r="D410" i="2" a="1"/>
  <c r="D410" i="2" s="1"/>
  <c r="AH409" i="2" a="1"/>
  <c r="AH409" i="2" s="1"/>
  <c r="R409" i="2" a="1"/>
  <c r="R409" i="2" s="1"/>
  <c r="Q409" i="2" a="1"/>
  <c r="Q409" i="2" s="1"/>
  <c r="P409" i="2" a="1"/>
  <c r="P409" i="2" s="1"/>
  <c r="H409" i="2" a="1"/>
  <c r="H409" i="2" s="1"/>
  <c r="G409" i="2" a="1"/>
  <c r="G409" i="2" s="1"/>
  <c r="F409" i="2" a="1"/>
  <c r="F409" i="2" s="1"/>
  <c r="D173" i="8" s="1" a="1"/>
  <c r="D173" i="8" s="1"/>
  <c r="D409" i="2" a="1"/>
  <c r="D409" i="2" s="1"/>
  <c r="AH408" i="2" a="1"/>
  <c r="AH408" i="2" s="1"/>
  <c r="R408" i="2" a="1"/>
  <c r="R408" i="2" s="1"/>
  <c r="Q408" i="2" a="1"/>
  <c r="Q408" i="2" s="1"/>
  <c r="Y408" i="2" s="1" a="1"/>
  <c r="Y408" i="2" s="1"/>
  <c r="P408" i="2" a="1"/>
  <c r="P408" i="2" s="1"/>
  <c r="H408" i="2" a="1"/>
  <c r="H408" i="2" s="1"/>
  <c r="G408" i="2" a="1"/>
  <c r="G408" i="2" s="1"/>
  <c r="F408" i="2" a="1"/>
  <c r="F408" i="2" s="1"/>
  <c r="D408" i="2" a="1"/>
  <c r="D408" i="2" s="1"/>
  <c r="AH407" i="2" a="1"/>
  <c r="AH407" i="2" s="1"/>
  <c r="R407" i="2" a="1"/>
  <c r="R407" i="2" s="1"/>
  <c r="Q407" i="2" a="1"/>
  <c r="Q407" i="2" s="1"/>
  <c r="Y407" i="2" s="1" a="1"/>
  <c r="Y407" i="2" s="1"/>
  <c r="P407" i="2" a="1"/>
  <c r="P407" i="2" s="1"/>
  <c r="H407" i="2" a="1"/>
  <c r="H407" i="2" s="1"/>
  <c r="G407" i="2" a="1"/>
  <c r="G407" i="2" s="1"/>
  <c r="F407" i="2" a="1"/>
  <c r="F407" i="2" s="1"/>
  <c r="D407" i="2" a="1"/>
  <c r="D407" i="2" s="1"/>
  <c r="AH406" i="2" a="1"/>
  <c r="AH406" i="2" s="1"/>
  <c r="R406" i="2" a="1"/>
  <c r="R406" i="2" s="1"/>
  <c r="Q406" i="2" a="1"/>
  <c r="Q406" i="2" s="1"/>
  <c r="AD406" i="2" s="1" a="1"/>
  <c r="AD406" i="2" s="1"/>
  <c r="P406" i="2" a="1"/>
  <c r="P406" i="2" s="1"/>
  <c r="H406" i="2" a="1"/>
  <c r="H406" i="2" s="1"/>
  <c r="G406" i="2" a="1"/>
  <c r="G406" i="2" s="1"/>
  <c r="F406" i="2" a="1"/>
  <c r="F406" i="2" s="1"/>
  <c r="D406" i="2" a="1"/>
  <c r="D406" i="2" s="1"/>
  <c r="AJ405" i="2" a="1"/>
  <c r="AJ405" i="2" s="1"/>
  <c r="P405" i="2" a="1"/>
  <c r="P405" i="2" s="1"/>
  <c r="H405" i="2" a="1"/>
  <c r="H405" i="2" s="1"/>
  <c r="G405" i="2" a="1"/>
  <c r="G405" i="2" s="1"/>
  <c r="F405" i="2" a="1"/>
  <c r="F405" i="2" s="1"/>
  <c r="D47" i="9" s="1" a="1"/>
  <c r="D47" i="9" s="1"/>
  <c r="D405" i="2" a="1"/>
  <c r="D405" i="2" s="1"/>
  <c r="AH404" i="2" a="1"/>
  <c r="AH404" i="2" s="1"/>
  <c r="R404" i="2" a="1"/>
  <c r="R404" i="2" s="1"/>
  <c r="Q404" i="2" a="1"/>
  <c r="Q404" i="2" s="1"/>
  <c r="P404" i="2" a="1"/>
  <c r="P404" i="2" s="1"/>
  <c r="H404" i="2" a="1"/>
  <c r="H404" i="2" s="1"/>
  <c r="G404" i="2" a="1"/>
  <c r="G404" i="2"/>
  <c r="F404" i="2" a="1"/>
  <c r="F404" i="2" s="1"/>
  <c r="D404" i="2" a="1"/>
  <c r="D404" i="2" s="1"/>
  <c r="AH403" i="2" a="1"/>
  <c r="AH403" i="2" s="1"/>
  <c r="R403" i="2" a="1"/>
  <c r="R403" i="2" s="1"/>
  <c r="Q403" i="2" a="1"/>
  <c r="Q403" i="2" s="1"/>
  <c r="Z403" i="2" s="1" a="1"/>
  <c r="Z403" i="2" s="1"/>
  <c r="P403" i="2" a="1"/>
  <c r="P403" i="2" s="1"/>
  <c r="H403" i="2" a="1"/>
  <c r="H403" i="2" s="1"/>
  <c r="G403" i="2" a="1"/>
  <c r="G403" i="2"/>
  <c r="F403" i="2" a="1"/>
  <c r="F403" i="2" s="1"/>
  <c r="D403" i="2" a="1"/>
  <c r="D403" i="2" s="1"/>
  <c r="AH402" i="2" a="1"/>
  <c r="AH402" i="2" s="1"/>
  <c r="R402" i="2" a="1"/>
  <c r="R402" i="2" s="1"/>
  <c r="Q402" i="2" a="1"/>
  <c r="Q402" i="2" s="1"/>
  <c r="P402" i="2" a="1"/>
  <c r="P402" i="2" s="1"/>
  <c r="H402" i="2" a="1"/>
  <c r="H402" i="2" s="1"/>
  <c r="G402" i="2" a="1"/>
  <c r="G402" i="2" s="1"/>
  <c r="F402" i="2" a="1"/>
  <c r="F402" i="2" s="1"/>
  <c r="D402" i="2" a="1"/>
  <c r="D402" i="2" s="1"/>
  <c r="AH401" i="2" a="1"/>
  <c r="AH401" i="2" s="1"/>
  <c r="R401" i="2" a="1"/>
  <c r="R401" i="2" s="1"/>
  <c r="Q401" i="2" a="1"/>
  <c r="Q401" i="2" s="1"/>
  <c r="P401" i="2" a="1"/>
  <c r="P401" i="2" s="1"/>
  <c r="H401" i="2" a="1"/>
  <c r="H401" i="2" s="1"/>
  <c r="G401" i="2" a="1"/>
  <c r="G401" i="2" s="1"/>
  <c r="F401" i="2" a="1"/>
  <c r="F401" i="2" s="1"/>
  <c r="D172" i="8" s="1" a="1"/>
  <c r="D172" i="8" s="1"/>
  <c r="D401" i="2" a="1"/>
  <c r="D401" i="2" s="1"/>
  <c r="B172" i="8" s="1" a="1"/>
  <c r="B172" i="8" s="1"/>
  <c r="AH400" i="2" a="1"/>
  <c r="AH400" i="2" s="1"/>
  <c r="R400" i="2" a="1"/>
  <c r="R400" i="2" s="1"/>
  <c r="Q400" i="2" a="1"/>
  <c r="Q400" i="2" s="1"/>
  <c r="AA400" i="2" s="1" a="1"/>
  <c r="AA400" i="2" s="1"/>
  <c r="P400" i="2" a="1"/>
  <c r="P400" i="2" s="1"/>
  <c r="H400" i="2" a="1"/>
  <c r="H400" i="2" s="1"/>
  <c r="G400" i="2" a="1"/>
  <c r="G400" i="2" s="1"/>
  <c r="F400" i="2" a="1"/>
  <c r="F400" i="2" s="1"/>
  <c r="D171" i="8" s="1" a="1"/>
  <c r="D171" i="8" s="1"/>
  <c r="D400" i="2" a="1"/>
  <c r="D400" i="2" s="1"/>
  <c r="AH399" i="2" a="1"/>
  <c r="AH399" i="2" s="1"/>
  <c r="R399" i="2" a="1"/>
  <c r="R399" i="2" s="1"/>
  <c r="Q399" i="2" a="1"/>
  <c r="Q399" i="2" s="1"/>
  <c r="P399" i="2" a="1"/>
  <c r="P399" i="2" s="1"/>
  <c r="H399" i="2" a="1"/>
  <c r="H399" i="2" s="1"/>
  <c r="G399" i="2" a="1"/>
  <c r="G399" i="2" s="1"/>
  <c r="F399" i="2" a="1"/>
  <c r="F399" i="2" s="1"/>
  <c r="D399" i="2" a="1"/>
  <c r="D399" i="2" s="1"/>
  <c r="AH398" i="2" a="1"/>
  <c r="AH398" i="2" s="1"/>
  <c r="R398" i="2" a="1"/>
  <c r="R398" i="2" s="1"/>
  <c r="Q398" i="2" a="1"/>
  <c r="Q398" i="2" s="1"/>
  <c r="Y398" i="2" s="1" a="1"/>
  <c r="Y398" i="2" s="1"/>
  <c r="P398" i="2" a="1"/>
  <c r="P398" i="2" s="1"/>
  <c r="H398" i="2" a="1"/>
  <c r="H398" i="2" s="1"/>
  <c r="G398" i="2" a="1"/>
  <c r="G398" i="2" s="1"/>
  <c r="F398" i="2" a="1"/>
  <c r="F398" i="2" s="1"/>
  <c r="D170" i="8" s="1" a="1"/>
  <c r="D170" i="8" s="1"/>
  <c r="D398" i="2" a="1"/>
  <c r="D398" i="2" s="1"/>
  <c r="B170" i="8" s="1" a="1"/>
  <c r="B170" i="8" s="1"/>
  <c r="AH397" i="2" a="1"/>
  <c r="AH397" i="2" s="1"/>
  <c r="R397" i="2" a="1"/>
  <c r="R397" i="2" s="1"/>
  <c r="Q397" i="2" a="1"/>
  <c r="Q397" i="2" s="1"/>
  <c r="P397" i="2" a="1"/>
  <c r="P397" i="2" s="1"/>
  <c r="H397" i="2" a="1"/>
  <c r="H397" i="2" s="1"/>
  <c r="G397" i="2" a="1"/>
  <c r="G397" i="2" s="1"/>
  <c r="F397" i="2" a="1"/>
  <c r="F397" i="2" s="1"/>
  <c r="D169" i="8" s="1" a="1"/>
  <c r="D169" i="8" s="1"/>
  <c r="D397" i="2" a="1"/>
  <c r="D397" i="2" s="1"/>
  <c r="B169" i="8" s="1" a="1"/>
  <c r="B169" i="8" s="1"/>
  <c r="AH396" i="2" a="1"/>
  <c r="AH396" i="2" s="1"/>
  <c r="R396" i="2" a="1"/>
  <c r="R396" i="2" s="1"/>
  <c r="Q396" i="2" a="1"/>
  <c r="Q396" i="2" s="1"/>
  <c r="P396" i="2" a="1"/>
  <c r="P396" i="2" s="1"/>
  <c r="H396" i="2" a="1"/>
  <c r="H396" i="2" s="1"/>
  <c r="G396" i="2" a="1"/>
  <c r="G396" i="2" s="1"/>
  <c r="F396" i="2" a="1"/>
  <c r="F396" i="2" s="1"/>
  <c r="D396" i="2" a="1"/>
  <c r="D396" i="2" s="1"/>
  <c r="AH395" i="2" a="1"/>
  <c r="AH395" i="2" s="1"/>
  <c r="R395" i="2" a="1"/>
  <c r="R395" i="2" s="1"/>
  <c r="Q395" i="2" a="1"/>
  <c r="Q395" i="2" s="1"/>
  <c r="P395" i="2" a="1"/>
  <c r="P395" i="2" s="1"/>
  <c r="H395" i="2" a="1"/>
  <c r="H395" i="2" s="1"/>
  <c r="G395" i="2" a="1"/>
  <c r="G395" i="2" s="1"/>
  <c r="F395" i="2" a="1"/>
  <c r="F395" i="2" s="1"/>
  <c r="D168" i="8" s="1" a="1"/>
  <c r="D168" i="8" s="1"/>
  <c r="D395" i="2" a="1"/>
  <c r="D395" i="2" s="1"/>
  <c r="AH394" i="2" a="1"/>
  <c r="AH394" i="2" s="1"/>
  <c r="R394" i="2" a="1"/>
  <c r="R394" i="2" s="1"/>
  <c r="Q394" i="2" a="1"/>
  <c r="Q394" i="2" s="1"/>
  <c r="P394" i="2" a="1"/>
  <c r="P394" i="2" s="1"/>
  <c r="H394" i="2" a="1"/>
  <c r="H394" i="2" s="1"/>
  <c r="G394" i="2" a="1"/>
  <c r="G394" i="2" s="1"/>
  <c r="F394" i="2" a="1"/>
  <c r="F394" i="2" s="1"/>
  <c r="D394" i="2" a="1"/>
  <c r="D394" i="2" s="1"/>
  <c r="AH393" i="2" a="1"/>
  <c r="AH393" i="2" s="1"/>
  <c r="R393" i="2" a="1"/>
  <c r="R393" i="2" s="1"/>
  <c r="Q393" i="2" a="1"/>
  <c r="Q393" i="2" s="1"/>
  <c r="P393" i="2" a="1"/>
  <c r="P393" i="2" s="1"/>
  <c r="H393" i="2" a="1"/>
  <c r="H393" i="2" s="1"/>
  <c r="G393" i="2" a="1"/>
  <c r="G393" i="2" s="1"/>
  <c r="F393" i="2" a="1"/>
  <c r="F393" i="2" s="1"/>
  <c r="D393" i="2" a="1"/>
  <c r="D393" i="2" s="1"/>
  <c r="AH392" i="2" a="1"/>
  <c r="AH392" i="2" s="1"/>
  <c r="R392" i="2" a="1"/>
  <c r="R392" i="2" s="1"/>
  <c r="Q392" i="2" a="1"/>
  <c r="Q392" i="2" s="1"/>
  <c r="AG392" i="2" s="1" a="1"/>
  <c r="AG392" i="2" s="1"/>
  <c r="P392" i="2" a="1"/>
  <c r="P392" i="2" s="1"/>
  <c r="H392" i="2" a="1"/>
  <c r="H392" i="2" s="1"/>
  <c r="G392" i="2" a="1"/>
  <c r="G392" i="2" s="1"/>
  <c r="F392" i="2" a="1"/>
  <c r="F392" i="2" s="1"/>
  <c r="D167" i="8" s="1" a="1"/>
  <c r="D167" i="8" s="1"/>
  <c r="D392" i="2" a="1"/>
  <c r="D392" i="2" s="1"/>
  <c r="B167" i="8" s="1" a="1"/>
  <c r="B167" i="8" s="1"/>
  <c r="AH391" i="2" a="1"/>
  <c r="AH391" i="2" s="1"/>
  <c r="R391" i="2" a="1"/>
  <c r="R391" i="2" s="1"/>
  <c r="Q391" i="2" a="1"/>
  <c r="Q391" i="2" s="1"/>
  <c r="P391" i="2" a="1"/>
  <c r="P391" i="2" s="1"/>
  <c r="H391" i="2" a="1"/>
  <c r="H391" i="2" s="1"/>
  <c r="G391" i="2" a="1"/>
  <c r="G391" i="2" s="1"/>
  <c r="F391" i="2" a="1"/>
  <c r="F391" i="2" s="1"/>
  <c r="D391" i="2" a="1"/>
  <c r="D391" i="2" s="1"/>
  <c r="AH390" i="2" a="1"/>
  <c r="AH390" i="2" s="1"/>
  <c r="R390" i="2" a="1"/>
  <c r="R390" i="2" s="1"/>
  <c r="Q390" i="2" a="1"/>
  <c r="Q390" i="2" s="1"/>
  <c r="P390" i="2" a="1"/>
  <c r="P390" i="2" s="1"/>
  <c r="H390" i="2" a="1"/>
  <c r="H390" i="2" s="1"/>
  <c r="G390" i="2" a="1"/>
  <c r="G390" i="2" s="1"/>
  <c r="F390" i="2" a="1"/>
  <c r="F390" i="2" s="1"/>
  <c r="D166" i="8" s="1" a="1"/>
  <c r="D166" i="8" s="1"/>
  <c r="D390" i="2" a="1"/>
  <c r="D390" i="2" s="1"/>
  <c r="AJ389" i="2" a="1"/>
  <c r="AJ389" i="2" s="1"/>
  <c r="P389" i="2" a="1"/>
  <c r="P389" i="2" s="1"/>
  <c r="H389" i="2" a="1"/>
  <c r="H389" i="2" s="1"/>
  <c r="G389" i="2" a="1"/>
  <c r="G389" i="2" s="1"/>
  <c r="F389" i="2" a="1"/>
  <c r="F389" i="2" s="1"/>
  <c r="D46" i="9" s="1" a="1"/>
  <c r="D46" i="9" s="1"/>
  <c r="D389" i="2" a="1"/>
  <c r="D389" i="2" s="1"/>
  <c r="B46" i="9" s="1" a="1"/>
  <c r="B46" i="9" s="1"/>
  <c r="AH388" i="2" a="1"/>
  <c r="AH388" i="2" s="1"/>
  <c r="R388" i="2" a="1"/>
  <c r="R388" i="2" s="1"/>
  <c r="Q388" i="2" a="1"/>
  <c r="Q388" i="2" s="1"/>
  <c r="P388" i="2" a="1"/>
  <c r="P388" i="2" s="1"/>
  <c r="H388" i="2" a="1"/>
  <c r="H388" i="2" s="1"/>
  <c r="G388" i="2" a="1"/>
  <c r="G388" i="2" s="1"/>
  <c r="F388" i="2" a="1"/>
  <c r="F388" i="2" s="1"/>
  <c r="D165" i="8" s="1" a="1"/>
  <c r="D165" i="8" s="1"/>
  <c r="D388" i="2" a="1"/>
  <c r="D388" i="2" s="1"/>
  <c r="B165" i="8" s="1" a="1"/>
  <c r="B165" i="8" s="1"/>
  <c r="AH387" i="2" a="1"/>
  <c r="AH387" i="2" s="1"/>
  <c r="R387" i="2" a="1"/>
  <c r="R387" i="2" s="1"/>
  <c r="Q387" i="2" a="1"/>
  <c r="Q387" i="2" s="1"/>
  <c r="P387" i="2" a="1"/>
  <c r="P387" i="2" s="1"/>
  <c r="H387" i="2" a="1"/>
  <c r="H387" i="2" s="1"/>
  <c r="G387" i="2" a="1"/>
  <c r="G387" i="2" s="1"/>
  <c r="F387" i="2" a="1"/>
  <c r="F387" i="2" s="1"/>
  <c r="D164" i="8" s="1" a="1"/>
  <c r="D164" i="8" s="1"/>
  <c r="D387" i="2" a="1"/>
  <c r="D387" i="2" s="1"/>
  <c r="AH386" i="2" a="1"/>
  <c r="AH386" i="2" s="1"/>
  <c r="R386" i="2" a="1"/>
  <c r="R386" i="2" s="1"/>
  <c r="Q386" i="2" a="1"/>
  <c r="Q386" i="2" s="1"/>
  <c r="P386" i="2" a="1"/>
  <c r="P386" i="2" s="1"/>
  <c r="H386" i="2" a="1"/>
  <c r="H386" i="2" s="1"/>
  <c r="G386" i="2" a="1"/>
  <c r="G386" i="2" s="1"/>
  <c r="F386" i="2" a="1"/>
  <c r="F386" i="2" s="1"/>
  <c r="D386" i="2" a="1"/>
  <c r="D386" i="2" s="1"/>
  <c r="AJ385" i="2" a="1"/>
  <c r="AJ385" i="2" s="1"/>
  <c r="P385" i="2" a="1"/>
  <c r="P385" i="2" s="1"/>
  <c r="H385" i="2" a="1"/>
  <c r="H385" i="2" s="1"/>
  <c r="G385" i="2" a="1"/>
  <c r="G385" i="2" s="1"/>
  <c r="F385" i="2" a="1"/>
  <c r="F385" i="2" s="1"/>
  <c r="D45" i="9" s="1" a="1"/>
  <c r="D45" i="9" s="1"/>
  <c r="D385" i="2" a="1"/>
  <c r="D385" i="2" s="1"/>
  <c r="AH384" i="2" a="1"/>
  <c r="AH384" i="2" s="1"/>
  <c r="R384" i="2" a="1"/>
  <c r="R384" i="2" s="1"/>
  <c r="Q384" i="2" a="1"/>
  <c r="Q384" i="2" s="1"/>
  <c r="AB384" i="2" s="1" a="1"/>
  <c r="AB384" i="2" s="1"/>
  <c r="P384" i="2" a="1"/>
  <c r="P384" i="2" s="1"/>
  <c r="H384" i="2" a="1"/>
  <c r="H384" i="2" s="1"/>
  <c r="G384" i="2" a="1"/>
  <c r="G384" i="2" s="1"/>
  <c r="F384" i="2" a="1"/>
  <c r="F384" i="2" s="1"/>
  <c r="D163" i="8" s="1" a="1"/>
  <c r="D163" i="8" s="1"/>
  <c r="D384" i="2" a="1"/>
  <c r="D384" i="2" s="1"/>
  <c r="B163" i="8" s="1" a="1"/>
  <c r="B163" i="8" s="1"/>
  <c r="AH383" i="2" a="1"/>
  <c r="AH383" i="2" s="1"/>
  <c r="R383" i="2" a="1"/>
  <c r="R383" i="2" s="1"/>
  <c r="Q383" i="2" a="1"/>
  <c r="Q383" i="2" s="1"/>
  <c r="P383" i="2" a="1"/>
  <c r="P383" i="2" s="1"/>
  <c r="H383" i="2" a="1"/>
  <c r="H383" i="2" s="1"/>
  <c r="G383" i="2" a="1"/>
  <c r="G383" i="2" s="1"/>
  <c r="F383" i="2" a="1"/>
  <c r="F383" i="2" s="1"/>
  <c r="D383" i="2" a="1"/>
  <c r="D383" i="2" s="1"/>
  <c r="AH382" i="2" a="1"/>
  <c r="AH382" i="2" s="1"/>
  <c r="R382" i="2" a="1"/>
  <c r="R382" i="2" s="1"/>
  <c r="Q382" i="2" a="1"/>
  <c r="Q382" i="2" s="1"/>
  <c r="P382" i="2" a="1"/>
  <c r="P382" i="2" s="1"/>
  <c r="H382" i="2" a="1"/>
  <c r="H382" i="2" s="1"/>
  <c r="G382" i="2" a="1"/>
  <c r="G382" i="2" s="1"/>
  <c r="F382" i="2" a="1"/>
  <c r="F382" i="2" s="1"/>
  <c r="D162" i="8" s="1" a="1"/>
  <c r="D162" i="8" s="1"/>
  <c r="D382" i="2" a="1"/>
  <c r="D382" i="2" s="1"/>
  <c r="B162" i="8" s="1" a="1"/>
  <c r="B162" i="8" s="1"/>
  <c r="AJ381" i="2" a="1"/>
  <c r="AJ381" i="2" s="1"/>
  <c r="AN381" i="2" s="1" a="1"/>
  <c r="AN381" i="2" s="1"/>
  <c r="P381" i="2" a="1"/>
  <c r="P381" i="2" s="1"/>
  <c r="H381" i="2" a="1"/>
  <c r="H381" i="2" s="1"/>
  <c r="G381" i="2" a="1"/>
  <c r="G381" i="2" s="1"/>
  <c r="F381" i="2" a="1"/>
  <c r="F381" i="2" s="1"/>
  <c r="D44" i="9" s="1" a="1"/>
  <c r="D44" i="9" s="1"/>
  <c r="D381" i="2" a="1"/>
  <c r="D381" i="2" s="1"/>
  <c r="AH380" i="2" a="1"/>
  <c r="AH380" i="2" s="1"/>
  <c r="AA380" i="2" a="1"/>
  <c r="AA380" i="2" s="1"/>
  <c r="R380" i="2" a="1"/>
  <c r="R380" i="2" s="1"/>
  <c r="Q380" i="2" a="1"/>
  <c r="Q380" i="2" s="1"/>
  <c r="AF380" i="2" s="1" a="1"/>
  <c r="AF380" i="2" s="1"/>
  <c r="P380" i="2" a="1"/>
  <c r="P380" i="2" s="1"/>
  <c r="H380" i="2" a="1"/>
  <c r="H380" i="2" s="1"/>
  <c r="G380" i="2" a="1"/>
  <c r="G380" i="2" s="1"/>
  <c r="F380" i="2" a="1"/>
  <c r="F380" i="2" s="1"/>
  <c r="D161" i="8" s="1" a="1"/>
  <c r="D161" i="8" s="1"/>
  <c r="D380" i="2" a="1"/>
  <c r="D380" i="2" s="1"/>
  <c r="AJ379" i="2" a="1"/>
  <c r="AJ379" i="2" s="1"/>
  <c r="P379" i="2" a="1"/>
  <c r="P379" i="2" s="1"/>
  <c r="H379" i="2" a="1"/>
  <c r="H379" i="2" s="1"/>
  <c r="G379" i="2" a="1"/>
  <c r="G379" i="2" s="1"/>
  <c r="F379" i="2" a="1"/>
  <c r="F379" i="2" s="1"/>
  <c r="D43" i="9" s="1" a="1"/>
  <c r="D43" i="9" s="1"/>
  <c r="D379" i="2" a="1"/>
  <c r="D379" i="2" s="1"/>
  <c r="B43" i="9" s="1" a="1"/>
  <c r="B43" i="9" s="1"/>
  <c r="AH378" i="2" a="1"/>
  <c r="AH378" i="2" s="1"/>
  <c r="R378" i="2" a="1"/>
  <c r="R378" i="2" s="1"/>
  <c r="Q378" i="2" a="1"/>
  <c r="Q378" i="2" s="1"/>
  <c r="P378" i="2" a="1"/>
  <c r="P378" i="2" s="1"/>
  <c r="H378" i="2" a="1"/>
  <c r="H378" i="2" s="1"/>
  <c r="G378" i="2" a="1"/>
  <c r="G378" i="2" s="1"/>
  <c r="F378" i="2" a="1"/>
  <c r="F378" i="2" s="1"/>
  <c r="D378" i="2" a="1"/>
  <c r="D378" i="2" s="1"/>
  <c r="AJ377" i="2" a="1"/>
  <c r="AJ377" i="2" s="1"/>
  <c r="AM377" i="2" s="1" a="1"/>
  <c r="AM377" i="2" s="1"/>
  <c r="P377" i="2" a="1"/>
  <c r="P377" i="2" s="1"/>
  <c r="H377" i="2" a="1"/>
  <c r="H377" i="2" s="1"/>
  <c r="G377" i="2" a="1"/>
  <c r="G377" i="2" s="1"/>
  <c r="F377" i="2" a="1"/>
  <c r="F377" i="2" s="1"/>
  <c r="D42" i="9" s="1" a="1"/>
  <c r="D42" i="9" s="1"/>
  <c r="D377" i="2" a="1"/>
  <c r="D377" i="2" s="1"/>
  <c r="AH376" i="2" a="1"/>
  <c r="AH376" i="2" s="1"/>
  <c r="R376" i="2" a="1"/>
  <c r="R376" i="2" s="1"/>
  <c r="Q376" i="2" a="1"/>
  <c r="Q376" i="2" s="1"/>
  <c r="P376" i="2" a="1"/>
  <c r="P376" i="2" s="1"/>
  <c r="H376" i="2" a="1"/>
  <c r="H376" i="2" s="1"/>
  <c r="G376" i="2" a="1"/>
  <c r="G376" i="2" s="1"/>
  <c r="F376" i="2" a="1"/>
  <c r="F376" i="2" s="1"/>
  <c r="D160" i="8" s="1" a="1"/>
  <c r="D160" i="8" s="1"/>
  <c r="D376" i="2" a="1"/>
  <c r="D376" i="2" s="1"/>
  <c r="AH375" i="2" a="1"/>
  <c r="AH375" i="2" s="1"/>
  <c r="R375" i="2" a="1"/>
  <c r="R375" i="2" s="1"/>
  <c r="Q375" i="2" a="1"/>
  <c r="Q375" i="2" s="1"/>
  <c r="P375" i="2" a="1"/>
  <c r="P375" i="2" s="1"/>
  <c r="H375" i="2" a="1"/>
  <c r="H375" i="2" s="1"/>
  <c r="G375" i="2" a="1"/>
  <c r="G375" i="2" s="1"/>
  <c r="F375" i="2" a="1"/>
  <c r="F375" i="2" s="1"/>
  <c r="D159" i="8" s="1" a="1"/>
  <c r="D159" i="8" s="1"/>
  <c r="D375" i="2" a="1"/>
  <c r="D375" i="2" s="1"/>
  <c r="AH374" i="2" a="1"/>
  <c r="AH374" i="2" s="1"/>
  <c r="R374" i="2" a="1"/>
  <c r="R374" i="2" s="1"/>
  <c r="Q374" i="2" a="1"/>
  <c r="Q374" i="2" s="1"/>
  <c r="P374" i="2" a="1"/>
  <c r="P374" i="2" s="1"/>
  <c r="H374" i="2" a="1"/>
  <c r="H374" i="2" s="1"/>
  <c r="G374" i="2" a="1"/>
  <c r="G374" i="2" s="1"/>
  <c r="F374" i="2" a="1"/>
  <c r="F374" i="2" s="1"/>
  <c r="D374" i="2" a="1"/>
  <c r="D374" i="2" s="1"/>
  <c r="AH373" i="2" a="1"/>
  <c r="AH373" i="2" s="1"/>
  <c r="R373" i="2" a="1"/>
  <c r="R373" i="2" s="1"/>
  <c r="Q373" i="2" a="1"/>
  <c r="Q373" i="2" s="1"/>
  <c r="P373" i="2" a="1"/>
  <c r="P373" i="2" s="1"/>
  <c r="H373" i="2" a="1"/>
  <c r="H373" i="2" s="1"/>
  <c r="G373" i="2" a="1"/>
  <c r="G373" i="2" s="1"/>
  <c r="F373" i="2" a="1"/>
  <c r="F373" i="2" s="1"/>
  <c r="D373" i="2" a="1"/>
  <c r="D373" i="2" s="1"/>
  <c r="AH372" i="2" a="1"/>
  <c r="AH372" i="2" s="1"/>
  <c r="R372" i="2" a="1"/>
  <c r="R372" i="2" s="1"/>
  <c r="Q372" i="2" a="1"/>
  <c r="Q372" i="2" s="1"/>
  <c r="AG372" i="2" s="1" a="1"/>
  <c r="AG372" i="2" s="1"/>
  <c r="P372" i="2" a="1"/>
  <c r="P372" i="2" s="1"/>
  <c r="H372" i="2" a="1"/>
  <c r="H372" i="2" s="1"/>
  <c r="G372" i="2" a="1"/>
  <c r="G372" i="2" s="1"/>
  <c r="F372" i="2" a="1"/>
  <c r="F372" i="2" s="1"/>
  <c r="D372" i="2" a="1"/>
  <c r="D372" i="2" s="1"/>
  <c r="AH371" i="2" a="1"/>
  <c r="AH371" i="2" s="1"/>
  <c r="R371" i="2" a="1"/>
  <c r="R371" i="2" s="1"/>
  <c r="Q371" i="2" a="1"/>
  <c r="Q371" i="2" s="1"/>
  <c r="AG371" i="2" s="1" a="1"/>
  <c r="AG371" i="2" s="1"/>
  <c r="P371" i="2" a="1"/>
  <c r="P371" i="2" s="1"/>
  <c r="H371" i="2" a="1"/>
  <c r="H371" i="2" s="1"/>
  <c r="G371" i="2" a="1"/>
  <c r="G371" i="2" s="1"/>
  <c r="F371" i="2" a="1"/>
  <c r="F371" i="2" s="1"/>
  <c r="D371" i="2" a="1"/>
  <c r="D371" i="2" s="1"/>
  <c r="AH370" i="2" a="1"/>
  <c r="AH370" i="2" s="1"/>
  <c r="R370" i="2" a="1"/>
  <c r="R370" i="2" s="1"/>
  <c r="Q370" i="2" a="1"/>
  <c r="Q370" i="2" s="1"/>
  <c r="P370" i="2" a="1"/>
  <c r="P370" i="2" s="1"/>
  <c r="H370" i="2" a="1"/>
  <c r="H370" i="2" s="1"/>
  <c r="G370" i="2" a="1"/>
  <c r="G370" i="2" s="1"/>
  <c r="F370" i="2" a="1"/>
  <c r="F370" i="2" s="1"/>
  <c r="D370" i="2" a="1"/>
  <c r="D370" i="2" s="1"/>
  <c r="AH369" i="2" a="1"/>
  <c r="AH369" i="2" s="1"/>
  <c r="R369" i="2" a="1"/>
  <c r="R369" i="2" s="1"/>
  <c r="Q369" i="2" a="1"/>
  <c r="Q369" i="2" s="1"/>
  <c r="P369" i="2" a="1"/>
  <c r="P369" i="2" s="1"/>
  <c r="H369" i="2" a="1"/>
  <c r="H369" i="2" s="1"/>
  <c r="G369" i="2" a="1"/>
  <c r="G369" i="2" s="1"/>
  <c r="F369" i="2" a="1"/>
  <c r="F369" i="2" s="1"/>
  <c r="D369" i="2" a="1"/>
  <c r="D369" i="2" s="1"/>
  <c r="AJ368" i="2" a="1"/>
  <c r="AJ368" i="2" s="1"/>
  <c r="P368" i="2" a="1"/>
  <c r="P368" i="2" s="1"/>
  <c r="H368" i="2" a="1"/>
  <c r="H368" i="2" s="1"/>
  <c r="G368" i="2" a="1"/>
  <c r="G368" i="2" s="1"/>
  <c r="F368" i="2" a="1"/>
  <c r="F368" i="2" s="1"/>
  <c r="D41" i="9" s="1" a="1"/>
  <c r="D41" i="9" s="1"/>
  <c r="D368" i="2" a="1"/>
  <c r="D368" i="2" s="1"/>
  <c r="AH367" i="2" a="1"/>
  <c r="AH367" i="2" s="1"/>
  <c r="R367" i="2" a="1"/>
  <c r="R367" i="2" s="1"/>
  <c r="Q367" i="2" a="1"/>
  <c r="Q367" i="2" s="1"/>
  <c r="P367" i="2" a="1"/>
  <c r="P367" i="2" s="1"/>
  <c r="H367" i="2" a="1"/>
  <c r="H367" i="2" s="1"/>
  <c r="G367" i="2" a="1"/>
  <c r="G367" i="2" s="1"/>
  <c r="F367" i="2" a="1"/>
  <c r="F367" i="2" s="1"/>
  <c r="D158" i="8" s="1" a="1"/>
  <c r="D158" i="8" s="1"/>
  <c r="D367" i="2" a="1"/>
  <c r="D367" i="2" s="1"/>
  <c r="AH366" i="2" a="1"/>
  <c r="AH366" i="2" s="1"/>
  <c r="R366" i="2" a="1"/>
  <c r="R366" i="2" s="1"/>
  <c r="Q366" i="2" a="1"/>
  <c r="Q366" i="2" s="1"/>
  <c r="P366" i="2" a="1"/>
  <c r="P366" i="2" s="1"/>
  <c r="H366" i="2" a="1"/>
  <c r="H366" i="2" s="1"/>
  <c r="G366" i="2" a="1"/>
  <c r="G366" i="2" s="1"/>
  <c r="F366" i="2" a="1"/>
  <c r="F366" i="2" s="1"/>
  <c r="D157" i="8" s="1" a="1"/>
  <c r="D157" i="8" s="1"/>
  <c r="D366" i="2" a="1"/>
  <c r="D366" i="2" s="1"/>
  <c r="AH365" i="2" a="1"/>
  <c r="AH365" i="2" s="1"/>
  <c r="R365" i="2" a="1"/>
  <c r="R365" i="2" s="1"/>
  <c r="Q365" i="2" a="1"/>
  <c r="Q365" i="2" s="1"/>
  <c r="P365" i="2" a="1"/>
  <c r="P365" i="2" s="1"/>
  <c r="H365" i="2" a="1"/>
  <c r="H365" i="2" s="1"/>
  <c r="G365" i="2" a="1"/>
  <c r="G365" i="2" s="1"/>
  <c r="F365" i="2" a="1"/>
  <c r="F365" i="2" s="1"/>
  <c r="D365" i="2" a="1"/>
  <c r="D365" i="2" s="1"/>
  <c r="AH364" i="2" a="1"/>
  <c r="AH364" i="2" s="1"/>
  <c r="R364" i="2" a="1"/>
  <c r="R364" i="2" s="1"/>
  <c r="Q364" i="2" a="1"/>
  <c r="Q364" i="2" s="1"/>
  <c r="P364" i="2" a="1"/>
  <c r="P364" i="2" s="1"/>
  <c r="H364" i="2" a="1"/>
  <c r="H364" i="2" s="1"/>
  <c r="G364" i="2" a="1"/>
  <c r="G364" i="2" s="1"/>
  <c r="F364" i="2" a="1"/>
  <c r="F364" i="2" s="1"/>
  <c r="D364" i="2" a="1"/>
  <c r="D364" i="2" s="1"/>
  <c r="AH363" i="2" a="1"/>
  <c r="AH363" i="2" s="1"/>
  <c r="R363" i="2" a="1"/>
  <c r="R363" i="2" s="1"/>
  <c r="Q363" i="2" a="1"/>
  <c r="Q363" i="2" s="1"/>
  <c r="Z363" i="2" s="1" a="1"/>
  <c r="Z363" i="2" s="1"/>
  <c r="P363" i="2" a="1"/>
  <c r="P363" i="2" s="1"/>
  <c r="H363" i="2" a="1"/>
  <c r="H363" i="2" s="1"/>
  <c r="G363" i="2" a="1"/>
  <c r="G363" i="2" s="1"/>
  <c r="F363" i="2" a="1"/>
  <c r="F363" i="2" s="1"/>
  <c r="D156" i="8" s="1" a="1"/>
  <c r="D156" i="8" s="1"/>
  <c r="D363" i="2" a="1"/>
  <c r="D363" i="2" s="1"/>
  <c r="AH362" i="2" a="1"/>
  <c r="AH362" i="2" s="1"/>
  <c r="R362" i="2" a="1"/>
  <c r="R362" i="2" s="1"/>
  <c r="Q362" i="2" a="1"/>
  <c r="Q362" i="2" s="1"/>
  <c r="P362" i="2" a="1"/>
  <c r="P362" i="2" s="1"/>
  <c r="H362" i="2" a="1"/>
  <c r="H362" i="2" s="1"/>
  <c r="G362" i="2" a="1"/>
  <c r="G362" i="2" s="1"/>
  <c r="F362" i="2" a="1"/>
  <c r="F362" i="2" s="1"/>
  <c r="D155" i="8" s="1" a="1"/>
  <c r="D155" i="8" s="1"/>
  <c r="D362" i="2" a="1"/>
  <c r="D362" i="2" s="1"/>
  <c r="AH361" i="2" a="1"/>
  <c r="AH361" i="2" s="1"/>
  <c r="R361" i="2" a="1"/>
  <c r="R361" i="2" s="1"/>
  <c r="Q361" i="2" a="1"/>
  <c r="Q361" i="2" s="1"/>
  <c r="P361" i="2" a="1"/>
  <c r="P361" i="2" s="1"/>
  <c r="H361" i="2" a="1"/>
  <c r="H361" i="2" s="1"/>
  <c r="G361" i="2" a="1"/>
  <c r="G361" i="2" s="1"/>
  <c r="F361" i="2" a="1"/>
  <c r="F361" i="2" s="1"/>
  <c r="D154" i="8" s="1" a="1"/>
  <c r="D154" i="8" s="1"/>
  <c r="D361" i="2" a="1"/>
  <c r="D361" i="2" s="1"/>
  <c r="AH360" i="2" a="1"/>
  <c r="AH360" i="2" s="1"/>
  <c r="R360" i="2" a="1"/>
  <c r="R360" i="2" s="1"/>
  <c r="Q360" i="2" a="1"/>
  <c r="Q360" i="2" s="1"/>
  <c r="AD360" i="2" s="1" a="1"/>
  <c r="AD360" i="2" s="1"/>
  <c r="P360" i="2" a="1"/>
  <c r="P360" i="2" s="1"/>
  <c r="H360" i="2" a="1"/>
  <c r="H360" i="2" s="1"/>
  <c r="G360" i="2" a="1"/>
  <c r="G360" i="2" s="1"/>
  <c r="F360" i="2" a="1"/>
  <c r="F360" i="2" s="1"/>
  <c r="D360" i="2" a="1"/>
  <c r="D360" i="2" s="1"/>
  <c r="AH359" i="2" a="1"/>
  <c r="AH359" i="2" s="1"/>
  <c r="R359" i="2" a="1"/>
  <c r="R359" i="2" s="1"/>
  <c r="Q359" i="2" a="1"/>
  <c r="Q359" i="2" s="1"/>
  <c r="P359" i="2" a="1"/>
  <c r="P359" i="2" s="1"/>
  <c r="H359" i="2" a="1"/>
  <c r="H359" i="2" s="1"/>
  <c r="G359" i="2" a="1"/>
  <c r="G359" i="2" s="1"/>
  <c r="F359" i="2" a="1"/>
  <c r="F359" i="2" s="1"/>
  <c r="D153" i="8" s="1" a="1"/>
  <c r="D153" i="8" s="1"/>
  <c r="D359" i="2" a="1"/>
  <c r="D359" i="2" s="1"/>
  <c r="AH358" i="2" a="1"/>
  <c r="AH358" i="2" s="1"/>
  <c r="R358" i="2" a="1"/>
  <c r="R358" i="2" s="1"/>
  <c r="Q358" i="2" a="1"/>
  <c r="Q358" i="2" s="1"/>
  <c r="P358" i="2" a="1"/>
  <c r="P358" i="2" s="1"/>
  <c r="H358" i="2" a="1"/>
  <c r="H358" i="2" s="1"/>
  <c r="G358" i="2" a="1"/>
  <c r="G358" i="2" s="1"/>
  <c r="F358" i="2" a="1"/>
  <c r="F358" i="2" s="1"/>
  <c r="D152" i="8" s="1" a="1"/>
  <c r="D152" i="8" s="1"/>
  <c r="D358" i="2" a="1"/>
  <c r="D358" i="2" s="1"/>
  <c r="AH357" i="2" a="1"/>
  <c r="AH357" i="2" s="1"/>
  <c r="R357" i="2" a="1"/>
  <c r="R357" i="2" s="1"/>
  <c r="Q357" i="2" a="1"/>
  <c r="Q357" i="2" s="1"/>
  <c r="P357" i="2" a="1"/>
  <c r="P357" i="2" s="1"/>
  <c r="H357" i="2" a="1"/>
  <c r="H357" i="2" s="1"/>
  <c r="G357" i="2" a="1"/>
  <c r="G357" i="2" s="1"/>
  <c r="F357" i="2" a="1"/>
  <c r="F357" i="2" s="1"/>
  <c r="D357" i="2" a="1"/>
  <c r="D357" i="2" s="1"/>
  <c r="AH356" i="2" a="1"/>
  <c r="AH356" i="2" s="1"/>
  <c r="R356" i="2" a="1"/>
  <c r="R356" i="2" s="1"/>
  <c r="Q356" i="2" a="1"/>
  <c r="Q356" i="2" s="1"/>
  <c r="P356" i="2" a="1"/>
  <c r="P356" i="2" s="1"/>
  <c r="H356" i="2" a="1"/>
  <c r="H356" i="2" s="1"/>
  <c r="G356" i="2" a="1"/>
  <c r="G356" i="2" s="1"/>
  <c r="F356" i="2" a="1"/>
  <c r="F356" i="2" s="1"/>
  <c r="D151" i="8" s="1" a="1"/>
  <c r="D151" i="8" s="1"/>
  <c r="D356" i="2" a="1"/>
  <c r="D356" i="2" s="1"/>
  <c r="AJ355" i="2" a="1"/>
  <c r="AJ355" i="2" s="1"/>
  <c r="P355" i="2" a="1"/>
  <c r="P355" i="2" s="1"/>
  <c r="H355" i="2" a="1"/>
  <c r="H355" i="2" s="1"/>
  <c r="G355" i="2" a="1"/>
  <c r="G355" i="2" s="1"/>
  <c r="F355" i="2" a="1"/>
  <c r="F355" i="2" s="1"/>
  <c r="D40" i="9" s="1" a="1"/>
  <c r="D40" i="9" s="1"/>
  <c r="D355" i="2" a="1"/>
  <c r="D355" i="2" s="1"/>
  <c r="B40" i="9" s="1" a="1"/>
  <c r="B40" i="9" s="1"/>
  <c r="AH354" i="2" a="1"/>
  <c r="AH354" i="2" s="1"/>
  <c r="R354" i="2" a="1"/>
  <c r="R354" i="2" s="1"/>
  <c r="Q354" i="2" a="1"/>
  <c r="Q354" i="2" s="1"/>
  <c r="P354" i="2" a="1"/>
  <c r="P354" i="2" s="1"/>
  <c r="H354" i="2" a="1"/>
  <c r="H354" i="2" s="1"/>
  <c r="G354" i="2" a="1"/>
  <c r="G354" i="2" s="1"/>
  <c r="F354" i="2" a="1"/>
  <c r="F354" i="2" s="1"/>
  <c r="D150" i="8" s="1" a="1"/>
  <c r="D150" i="8" s="1"/>
  <c r="D354" i="2" a="1"/>
  <c r="D354" i="2" s="1"/>
  <c r="AH353" i="2" a="1"/>
  <c r="AH353" i="2" s="1"/>
  <c r="R353" i="2" a="1"/>
  <c r="R353" i="2" s="1"/>
  <c r="Q353" i="2" a="1"/>
  <c r="Q353" i="2" s="1"/>
  <c r="P353" i="2" a="1"/>
  <c r="P353" i="2" s="1"/>
  <c r="H353" i="2" a="1"/>
  <c r="H353" i="2" s="1"/>
  <c r="G353" i="2" a="1"/>
  <c r="G353" i="2" s="1"/>
  <c r="F353" i="2" a="1"/>
  <c r="F353" i="2" s="1"/>
  <c r="D149" i="8" s="1" a="1"/>
  <c r="D149" i="8" s="1"/>
  <c r="D353" i="2" a="1"/>
  <c r="D353" i="2" s="1"/>
  <c r="B149" i="8" s="1" a="1"/>
  <c r="B149" i="8" s="1"/>
  <c r="AH352" i="2" a="1"/>
  <c r="AH352" i="2" s="1"/>
  <c r="R352" i="2" a="1"/>
  <c r="R352" i="2" s="1"/>
  <c r="Q352" i="2" a="1"/>
  <c r="Q352" i="2" s="1"/>
  <c r="AD352" i="2" s="1" a="1"/>
  <c r="AD352" i="2" s="1"/>
  <c r="P352" i="2" a="1"/>
  <c r="P352" i="2" s="1"/>
  <c r="H352" i="2" a="1"/>
  <c r="H352" i="2" s="1"/>
  <c r="G352" i="2" a="1"/>
  <c r="G352" i="2" s="1"/>
  <c r="F352" i="2" a="1"/>
  <c r="F352" i="2" s="1"/>
  <c r="D148" i="8" s="1" a="1"/>
  <c r="D148" i="8" s="1"/>
  <c r="D352" i="2" a="1"/>
  <c r="D352" i="2" s="1"/>
  <c r="B148" i="8" s="1" a="1"/>
  <c r="B148" i="8" s="1"/>
  <c r="AH351" i="2" a="1"/>
  <c r="AH351" i="2" s="1"/>
  <c r="R351" i="2" a="1"/>
  <c r="R351" i="2" s="1"/>
  <c r="Q351" i="2" a="1"/>
  <c r="Q351" i="2" s="1"/>
  <c r="P351" i="2" a="1"/>
  <c r="P351" i="2" s="1"/>
  <c r="H351" i="2" a="1"/>
  <c r="H351" i="2" s="1"/>
  <c r="G351" i="2" a="1"/>
  <c r="G351" i="2" s="1"/>
  <c r="F351" i="2" a="1"/>
  <c r="F351" i="2" s="1"/>
  <c r="D147" i="8" s="1" a="1"/>
  <c r="D147" i="8" s="1"/>
  <c r="D351" i="2" a="1"/>
  <c r="D351" i="2" s="1"/>
  <c r="B147" i="8" s="1" a="1"/>
  <c r="B147" i="8" s="1"/>
  <c r="AH350" i="2" a="1"/>
  <c r="AH350" i="2" s="1"/>
  <c r="R350" i="2" a="1"/>
  <c r="R350" i="2" s="1"/>
  <c r="Q350" i="2" a="1"/>
  <c r="Q350" i="2" s="1"/>
  <c r="P350" i="2" a="1"/>
  <c r="P350" i="2" s="1"/>
  <c r="H350" i="2" a="1"/>
  <c r="H350" i="2" s="1"/>
  <c r="G350" i="2" a="1"/>
  <c r="G350" i="2" s="1"/>
  <c r="F350" i="2" a="1"/>
  <c r="F350" i="2" s="1"/>
  <c r="D350" i="2" a="1"/>
  <c r="D350" i="2" s="1"/>
  <c r="AH349" i="2" a="1"/>
  <c r="AH349" i="2" s="1"/>
  <c r="R349" i="2" a="1"/>
  <c r="R349" i="2" s="1"/>
  <c r="Q349" i="2" a="1"/>
  <c r="Q349" i="2" s="1"/>
  <c r="Y349" i="2" s="1" a="1"/>
  <c r="Y349" i="2" s="1"/>
  <c r="P349" i="2" a="1"/>
  <c r="P349" i="2" s="1"/>
  <c r="H349" i="2" a="1"/>
  <c r="H349" i="2" s="1"/>
  <c r="G349" i="2" a="1"/>
  <c r="G349" i="2" s="1"/>
  <c r="F349" i="2" a="1"/>
  <c r="F349" i="2" s="1"/>
  <c r="D146" i="8" s="1" a="1"/>
  <c r="D146" i="8" s="1"/>
  <c r="D349" i="2" a="1"/>
  <c r="D349" i="2" s="1"/>
  <c r="AH348" i="2" a="1"/>
  <c r="AH348" i="2" s="1"/>
  <c r="R348" i="2" a="1"/>
  <c r="R348" i="2" s="1"/>
  <c r="Q348" i="2" a="1"/>
  <c r="Q348" i="2" s="1"/>
  <c r="AA348" i="2" s="1" a="1"/>
  <c r="AA348" i="2" s="1"/>
  <c r="P348" i="2" a="1"/>
  <c r="P348" i="2" s="1"/>
  <c r="H348" i="2" a="1"/>
  <c r="H348" i="2" s="1"/>
  <c r="G348" i="2" a="1"/>
  <c r="G348" i="2" s="1"/>
  <c r="F348" i="2" a="1"/>
  <c r="F348" i="2" s="1"/>
  <c r="D348" i="2" a="1"/>
  <c r="D348" i="2" s="1"/>
  <c r="AH347" i="2" a="1"/>
  <c r="AH347" i="2" s="1"/>
  <c r="R347" i="2" a="1"/>
  <c r="R347" i="2" s="1"/>
  <c r="Q347" i="2" a="1"/>
  <c r="Q347" i="2" s="1"/>
  <c r="AD347" i="2" s="1" a="1"/>
  <c r="AD347" i="2" s="1"/>
  <c r="P347" i="2" a="1"/>
  <c r="P347" i="2" s="1"/>
  <c r="H347" i="2" a="1"/>
  <c r="H347" i="2" s="1"/>
  <c r="G347" i="2" a="1"/>
  <c r="G347" i="2" s="1"/>
  <c r="F347" i="2" a="1"/>
  <c r="F347" i="2" s="1"/>
  <c r="D347" i="2" a="1"/>
  <c r="D347" i="2" s="1"/>
  <c r="AH346" i="2" a="1"/>
  <c r="AH346" i="2" s="1"/>
  <c r="R346" i="2" a="1"/>
  <c r="R346" i="2" s="1"/>
  <c r="Q346" i="2" a="1"/>
  <c r="Q346" i="2" s="1"/>
  <c r="Z346" i="2" s="1" a="1"/>
  <c r="Z346" i="2" s="1"/>
  <c r="P346" i="2" a="1"/>
  <c r="P346" i="2" s="1"/>
  <c r="H346" i="2" a="1"/>
  <c r="H346" i="2" s="1"/>
  <c r="G346" i="2" a="1"/>
  <c r="G346" i="2" s="1"/>
  <c r="F346" i="2" a="1"/>
  <c r="F346" i="2" s="1"/>
  <c r="D145" i="8" s="1" a="1"/>
  <c r="D145" i="8" s="1"/>
  <c r="D346" i="2" a="1"/>
  <c r="D346" i="2" s="1"/>
  <c r="B145" i="8" s="1" a="1"/>
  <c r="B145" i="8" s="1"/>
  <c r="AH345" i="2" a="1"/>
  <c r="AH345" i="2" s="1"/>
  <c r="R345" i="2" a="1"/>
  <c r="R345" i="2" s="1"/>
  <c r="Q345" i="2" a="1"/>
  <c r="Q345" i="2" s="1"/>
  <c r="P345" i="2" a="1"/>
  <c r="P345" i="2" s="1"/>
  <c r="H345" i="2" a="1"/>
  <c r="H345" i="2" s="1"/>
  <c r="G345" i="2" a="1"/>
  <c r="G345" i="2" s="1"/>
  <c r="F345" i="2" a="1"/>
  <c r="F345" i="2" s="1"/>
  <c r="D345" i="2" a="1"/>
  <c r="D345" i="2" s="1"/>
  <c r="AH344" i="2" a="1"/>
  <c r="AH344" i="2" s="1"/>
  <c r="R344" i="2" a="1"/>
  <c r="R344" i="2" s="1"/>
  <c r="Q344" i="2" a="1"/>
  <c r="Q344" i="2" s="1"/>
  <c r="Y344" i="2" s="1" a="1"/>
  <c r="Y344" i="2" s="1"/>
  <c r="P344" i="2" a="1"/>
  <c r="P344" i="2" s="1"/>
  <c r="H344" i="2" a="1"/>
  <c r="H344" i="2" s="1"/>
  <c r="G344" i="2" a="1"/>
  <c r="G344" i="2" s="1"/>
  <c r="F344" i="2" a="1"/>
  <c r="F344" i="2" s="1"/>
  <c r="D344" i="2" a="1"/>
  <c r="D344" i="2" s="1"/>
  <c r="AH343" i="2" a="1"/>
  <c r="AH343" i="2" s="1"/>
  <c r="R343" i="2" a="1"/>
  <c r="R343" i="2" s="1"/>
  <c r="Q343" i="2" a="1"/>
  <c r="Q343" i="2" s="1"/>
  <c r="P343" i="2" a="1"/>
  <c r="P343" i="2" s="1"/>
  <c r="H343" i="2" a="1"/>
  <c r="H343" i="2" s="1"/>
  <c r="G343" i="2" a="1"/>
  <c r="G343" i="2" s="1"/>
  <c r="F343" i="2" a="1"/>
  <c r="F343" i="2" s="1"/>
  <c r="D343" i="2" a="1"/>
  <c r="D343" i="2" s="1"/>
  <c r="AH342" i="2" a="1"/>
  <c r="AH342" i="2" s="1"/>
  <c r="R342" i="2" a="1"/>
  <c r="R342" i="2" s="1"/>
  <c r="Q342" i="2" a="1"/>
  <c r="Q342" i="2" s="1"/>
  <c r="AD342" i="2" s="1" a="1"/>
  <c r="AD342" i="2" s="1"/>
  <c r="P342" i="2" a="1"/>
  <c r="P342" i="2" s="1"/>
  <c r="H342" i="2" a="1"/>
  <c r="H342" i="2" s="1"/>
  <c r="G342" i="2" a="1"/>
  <c r="G342" i="2" s="1"/>
  <c r="F342" i="2" a="1"/>
  <c r="F342" i="2" s="1"/>
  <c r="D144" i="8" s="1" a="1"/>
  <c r="D144" i="8" s="1"/>
  <c r="D342" i="2" a="1"/>
  <c r="D342" i="2" s="1"/>
  <c r="B144" i="8" s="1" a="1"/>
  <c r="B144" i="8" s="1"/>
  <c r="AH341" i="2" a="1"/>
  <c r="AH341" i="2" s="1"/>
  <c r="R341" i="2" a="1"/>
  <c r="R341" i="2" s="1"/>
  <c r="Q341" i="2" a="1"/>
  <c r="Q341" i="2" s="1"/>
  <c r="P341" i="2" a="1"/>
  <c r="P341" i="2" s="1"/>
  <c r="H341" i="2" a="1"/>
  <c r="H341" i="2" s="1"/>
  <c r="G341" i="2" a="1"/>
  <c r="G341" i="2" s="1"/>
  <c r="F341" i="2" a="1"/>
  <c r="F341" i="2" s="1"/>
  <c r="D143" i="8" s="1" a="1"/>
  <c r="D143" i="8" s="1"/>
  <c r="D341" i="2" a="1"/>
  <c r="D341" i="2" s="1"/>
  <c r="B143" i="8" s="1" a="1"/>
  <c r="B143" i="8" s="1"/>
  <c r="AH340" i="2" a="1"/>
  <c r="AH340" i="2" s="1"/>
  <c r="R340" i="2" a="1"/>
  <c r="R340" i="2" s="1"/>
  <c r="Q340" i="2" a="1"/>
  <c r="Q340" i="2" s="1"/>
  <c r="P340" i="2" a="1"/>
  <c r="P340" i="2" s="1"/>
  <c r="H340" i="2" a="1"/>
  <c r="H340" i="2" s="1"/>
  <c r="G340" i="2" a="1"/>
  <c r="G340" i="2" s="1"/>
  <c r="F340" i="2" a="1"/>
  <c r="F340" i="2" s="1"/>
  <c r="D142" i="8" s="1" a="1"/>
  <c r="D142" i="8" s="1"/>
  <c r="D340" i="2" a="1"/>
  <c r="D340" i="2" s="1"/>
  <c r="B142" i="8" s="1" a="1"/>
  <c r="B142" i="8" s="1"/>
  <c r="AH339" i="2" a="1"/>
  <c r="AH339" i="2" s="1"/>
  <c r="R339" i="2" a="1"/>
  <c r="R339" i="2" s="1"/>
  <c r="Q339" i="2" a="1"/>
  <c r="Q339" i="2" s="1"/>
  <c r="AA339" i="2" s="1" a="1"/>
  <c r="AA339" i="2" s="1"/>
  <c r="P339" i="2" a="1"/>
  <c r="P339" i="2" s="1"/>
  <c r="H339" i="2" a="1"/>
  <c r="H339" i="2" s="1"/>
  <c r="G339" i="2" a="1"/>
  <c r="G339" i="2" s="1"/>
  <c r="F339" i="2" a="1"/>
  <c r="F339" i="2" s="1"/>
  <c r="D141" i="8" s="1" a="1"/>
  <c r="D141" i="8" s="1"/>
  <c r="D339" i="2" a="1"/>
  <c r="D339" i="2" s="1"/>
  <c r="AH338" i="2" a="1"/>
  <c r="AH338" i="2" s="1"/>
  <c r="R338" i="2" a="1"/>
  <c r="R338" i="2" s="1"/>
  <c r="Q338" i="2" a="1"/>
  <c r="Q338" i="2" s="1"/>
  <c r="Y338" i="2" s="1" a="1"/>
  <c r="Y338" i="2" s="1"/>
  <c r="P338" i="2" a="1"/>
  <c r="P338" i="2" s="1"/>
  <c r="H338" i="2" a="1"/>
  <c r="H338" i="2" s="1"/>
  <c r="G338" i="2" a="1"/>
  <c r="G338" i="2" s="1"/>
  <c r="F338" i="2" a="1"/>
  <c r="F338" i="2" s="1"/>
  <c r="D140" i="8" s="1" a="1"/>
  <c r="D140" i="8" s="1"/>
  <c r="D338" i="2" a="1"/>
  <c r="D338" i="2" s="1"/>
  <c r="B140" i="8" s="1" a="1"/>
  <c r="B140" i="8" s="1"/>
  <c r="AH337" i="2" a="1"/>
  <c r="AH337" i="2" s="1"/>
  <c r="R337" i="2" a="1"/>
  <c r="R337" i="2" s="1"/>
  <c r="Q337" i="2" a="1"/>
  <c r="Q337" i="2" s="1"/>
  <c r="P337" i="2" a="1"/>
  <c r="P337" i="2" s="1"/>
  <c r="H337" i="2" a="1"/>
  <c r="H337" i="2" s="1"/>
  <c r="G337" i="2" a="1"/>
  <c r="G337" i="2" s="1"/>
  <c r="F337" i="2" a="1"/>
  <c r="F337" i="2" s="1"/>
  <c r="D337" i="2" a="1"/>
  <c r="D337" i="2" s="1"/>
  <c r="AH336" i="2" a="1"/>
  <c r="AH336" i="2" s="1"/>
  <c r="R336" i="2" a="1"/>
  <c r="R336" i="2" s="1"/>
  <c r="Q336" i="2" a="1"/>
  <c r="Q336" i="2" s="1"/>
  <c r="P336" i="2" a="1"/>
  <c r="P336" i="2" s="1"/>
  <c r="H336" i="2" a="1"/>
  <c r="H336" i="2" s="1"/>
  <c r="G336" i="2" a="1"/>
  <c r="G336" i="2" s="1"/>
  <c r="F336" i="2" a="1"/>
  <c r="F336" i="2" s="1"/>
  <c r="D139" i="8" s="1" a="1"/>
  <c r="D139" i="8" s="1"/>
  <c r="D336" i="2" a="1"/>
  <c r="D336" i="2" s="1"/>
  <c r="AH335" i="2" a="1"/>
  <c r="AH335" i="2" s="1"/>
  <c r="R335" i="2" a="1"/>
  <c r="R335" i="2" s="1"/>
  <c r="Q335" i="2" a="1"/>
  <c r="Q335" i="2" s="1"/>
  <c r="P335" i="2" a="1"/>
  <c r="P335" i="2" s="1"/>
  <c r="H335" i="2" a="1"/>
  <c r="H335" i="2" s="1"/>
  <c r="G335" i="2" a="1"/>
  <c r="G335" i="2" s="1"/>
  <c r="F335" i="2" a="1"/>
  <c r="F335" i="2" s="1"/>
  <c r="D335" i="2" a="1"/>
  <c r="D335" i="2" s="1"/>
  <c r="AH334" i="2" a="1"/>
  <c r="AH334" i="2" s="1"/>
  <c r="R334" i="2" a="1"/>
  <c r="R334" i="2" s="1"/>
  <c r="Q334" i="2" a="1"/>
  <c r="Q334" i="2" s="1"/>
  <c r="P334" i="2" a="1"/>
  <c r="P334" i="2" s="1"/>
  <c r="H334" i="2" a="1"/>
  <c r="H334" i="2" s="1"/>
  <c r="G334" i="2" a="1"/>
  <c r="G334" i="2" s="1"/>
  <c r="F334" i="2" a="1"/>
  <c r="F334" i="2" s="1"/>
  <c r="D138" i="8" s="1" a="1"/>
  <c r="D138" i="8" s="1"/>
  <c r="D334" i="2" a="1"/>
  <c r="D334" i="2" s="1"/>
  <c r="AJ333" i="2" a="1"/>
  <c r="AJ333" i="2" s="1"/>
  <c r="AN333" i="2" s="1" a="1"/>
  <c r="AN333" i="2" s="1"/>
  <c r="P333" i="2" a="1"/>
  <c r="P333" i="2" s="1"/>
  <c r="H333" i="2" a="1"/>
  <c r="H333" i="2" s="1"/>
  <c r="G333" i="2" a="1"/>
  <c r="G333" i="2" s="1"/>
  <c r="F333" i="2" a="1"/>
  <c r="F333" i="2" s="1"/>
  <c r="D39" i="9" s="1" a="1"/>
  <c r="D39" i="9" s="1"/>
  <c r="D333" i="2" a="1"/>
  <c r="D333" i="2" s="1"/>
  <c r="AH332" i="2" a="1"/>
  <c r="AH332" i="2" s="1"/>
  <c r="R332" i="2" a="1"/>
  <c r="R332" i="2" s="1"/>
  <c r="Q332" i="2" a="1"/>
  <c r="Q332" i="2" s="1"/>
  <c r="P332" i="2" a="1"/>
  <c r="P332" i="2" s="1"/>
  <c r="H332" i="2" a="1"/>
  <c r="H332" i="2" s="1"/>
  <c r="G332" i="2" a="1"/>
  <c r="G332" i="2" s="1"/>
  <c r="F332" i="2" a="1"/>
  <c r="F332" i="2" s="1"/>
  <c r="D137" i="8" s="1" a="1"/>
  <c r="D137" i="8" s="1"/>
  <c r="D332" i="2" a="1"/>
  <c r="D332" i="2" s="1"/>
  <c r="AH331" i="2" a="1"/>
  <c r="AH331" i="2" s="1"/>
  <c r="R331" i="2" a="1"/>
  <c r="R331" i="2" s="1"/>
  <c r="Q331" i="2" a="1"/>
  <c r="Q331" i="2" s="1"/>
  <c r="P331" i="2" a="1"/>
  <c r="P331" i="2" s="1"/>
  <c r="H331" i="2" a="1"/>
  <c r="H331" i="2" s="1"/>
  <c r="G331" i="2" a="1"/>
  <c r="G331" i="2" s="1"/>
  <c r="F331" i="2" a="1"/>
  <c r="F331" i="2" s="1"/>
  <c r="D136" i="8" s="1" a="1"/>
  <c r="D136" i="8" s="1"/>
  <c r="D331" i="2" a="1"/>
  <c r="D331" i="2" s="1"/>
  <c r="AH330" i="2" a="1"/>
  <c r="AH330" i="2" s="1"/>
  <c r="R330" i="2" a="1"/>
  <c r="R330" i="2" s="1"/>
  <c r="Q330" i="2" a="1"/>
  <c r="Q330" i="2" s="1"/>
  <c r="AG330" i="2" s="1" a="1"/>
  <c r="AG330" i="2" s="1"/>
  <c r="P330" i="2" a="1"/>
  <c r="P330" i="2" s="1"/>
  <c r="H330" i="2" a="1"/>
  <c r="H330" i="2" s="1"/>
  <c r="G330" i="2" a="1"/>
  <c r="G330" i="2" s="1"/>
  <c r="F330" i="2" a="1"/>
  <c r="F330" i="2" s="1"/>
  <c r="D330" i="2" a="1"/>
  <c r="D330" i="2" s="1"/>
  <c r="AH329" i="2" a="1"/>
  <c r="AH329" i="2" s="1"/>
  <c r="R329" i="2" a="1"/>
  <c r="R329" i="2" s="1"/>
  <c r="Q329" i="2" a="1"/>
  <c r="Q329" i="2" s="1"/>
  <c r="P329" i="2" a="1"/>
  <c r="P329" i="2" s="1"/>
  <c r="H329" i="2" a="1"/>
  <c r="H329" i="2" s="1"/>
  <c r="G329" i="2" a="1"/>
  <c r="G329" i="2" s="1"/>
  <c r="F329" i="2" a="1"/>
  <c r="F329" i="2" s="1"/>
  <c r="D135" i="8" s="1" a="1"/>
  <c r="D135" i="8" s="1"/>
  <c r="D329" i="2" a="1"/>
  <c r="D329" i="2" s="1"/>
  <c r="AH328" i="2" a="1"/>
  <c r="AH328" i="2" s="1"/>
  <c r="R328" i="2" a="1"/>
  <c r="R328" i="2" s="1"/>
  <c r="Q328" i="2" a="1"/>
  <c r="Q328" i="2" s="1"/>
  <c r="AG328" i="2" s="1" a="1"/>
  <c r="AG328" i="2" s="1"/>
  <c r="P328" i="2" a="1"/>
  <c r="P328" i="2" s="1"/>
  <c r="H328" i="2" a="1"/>
  <c r="H328" i="2" s="1"/>
  <c r="G328" i="2" a="1"/>
  <c r="G328" i="2" s="1"/>
  <c r="F328" i="2" a="1"/>
  <c r="F328" i="2" s="1"/>
  <c r="D134" i="8" s="1" a="1"/>
  <c r="D134" i="8" s="1"/>
  <c r="D328" i="2" a="1"/>
  <c r="D328" i="2" s="1"/>
  <c r="AH327" i="2" a="1"/>
  <c r="AH327" i="2" s="1"/>
  <c r="R327" i="2" a="1"/>
  <c r="R327" i="2" s="1"/>
  <c r="Q327" i="2" a="1"/>
  <c r="Q327" i="2" s="1"/>
  <c r="AD327" i="2" s="1" a="1"/>
  <c r="AD327" i="2" s="1"/>
  <c r="P327" i="2" a="1"/>
  <c r="P327" i="2" s="1"/>
  <c r="H327" i="2" a="1"/>
  <c r="H327" i="2" s="1"/>
  <c r="G327" i="2" a="1"/>
  <c r="G327" i="2" s="1"/>
  <c r="F327" i="2" a="1"/>
  <c r="F327" i="2" s="1"/>
  <c r="D327" i="2" a="1"/>
  <c r="D327" i="2" s="1"/>
  <c r="AH326" i="2" a="1"/>
  <c r="AH326" i="2" s="1"/>
  <c r="R326" i="2" a="1"/>
  <c r="R326" i="2" s="1"/>
  <c r="Q326" i="2" a="1"/>
  <c r="Q326" i="2" s="1"/>
  <c r="AB326" i="2" s="1" a="1"/>
  <c r="AB326" i="2" s="1"/>
  <c r="P326" i="2" a="1"/>
  <c r="P326" i="2" s="1"/>
  <c r="H326" i="2" a="1"/>
  <c r="H326" i="2" s="1"/>
  <c r="G326" i="2" a="1"/>
  <c r="G326" i="2" s="1"/>
  <c r="F326" i="2" a="1"/>
  <c r="F326" i="2" s="1"/>
  <c r="D326" i="2" a="1"/>
  <c r="D326" i="2" s="1"/>
  <c r="AH325" i="2" a="1"/>
  <c r="AH325" i="2" s="1"/>
  <c r="R325" i="2" a="1"/>
  <c r="R325" i="2" s="1"/>
  <c r="Q325" i="2" a="1"/>
  <c r="Q325" i="2" s="1"/>
  <c r="AA325" i="2" s="1" a="1"/>
  <c r="AA325" i="2" s="1"/>
  <c r="P325" i="2" a="1"/>
  <c r="P325" i="2" s="1"/>
  <c r="H325" i="2" a="1"/>
  <c r="H325" i="2" s="1"/>
  <c r="G325" i="2" a="1"/>
  <c r="G325" i="2" s="1"/>
  <c r="F325" i="2" a="1"/>
  <c r="F325" i="2" s="1"/>
  <c r="D325" i="2" a="1"/>
  <c r="D325" i="2" s="1"/>
  <c r="AJ324" i="2" a="1"/>
  <c r="AJ324" i="2" s="1"/>
  <c r="P324" i="2" a="1"/>
  <c r="P324" i="2" s="1"/>
  <c r="H324" i="2" a="1"/>
  <c r="H324" i="2" s="1"/>
  <c r="G324" i="2" a="1"/>
  <c r="G324" i="2" s="1"/>
  <c r="F324" i="2" a="1"/>
  <c r="F324" i="2" s="1"/>
  <c r="D38" i="9" s="1" a="1"/>
  <c r="D38" i="9" s="1"/>
  <c r="D324" i="2" a="1"/>
  <c r="D324" i="2" s="1"/>
  <c r="B38" i="9" s="1" a="1"/>
  <c r="B38" i="9" s="1"/>
  <c r="AH323" i="2" a="1"/>
  <c r="AH323" i="2" s="1"/>
  <c r="R323" i="2" a="1"/>
  <c r="R323" i="2" s="1"/>
  <c r="Q323" i="2" a="1"/>
  <c r="Q323" i="2" s="1"/>
  <c r="P323" i="2" a="1"/>
  <c r="P323" i="2" s="1"/>
  <c r="H323" i="2" a="1"/>
  <c r="H323" i="2" s="1"/>
  <c r="G323" i="2" a="1"/>
  <c r="G323" i="2" s="1"/>
  <c r="F323" i="2" a="1"/>
  <c r="F323" i="2" s="1"/>
  <c r="D323" i="2" a="1"/>
  <c r="D323" i="2" s="1"/>
  <c r="AH322" i="2" a="1"/>
  <c r="AH322" i="2" s="1"/>
  <c r="R322" i="2" a="1"/>
  <c r="R322" i="2" s="1"/>
  <c r="Q322" i="2" a="1"/>
  <c r="Q322" i="2" s="1"/>
  <c r="P322" i="2" a="1"/>
  <c r="P322" i="2" s="1"/>
  <c r="H322" i="2" a="1"/>
  <c r="H322" i="2" s="1"/>
  <c r="G322" i="2" a="1"/>
  <c r="G322" i="2" s="1"/>
  <c r="F322" i="2" a="1"/>
  <c r="F322" i="2" s="1"/>
  <c r="D133" i="8" s="1" a="1"/>
  <c r="D133" i="8" s="1"/>
  <c r="D322" i="2" a="1"/>
  <c r="D322" i="2" s="1"/>
  <c r="AH321" i="2" a="1"/>
  <c r="AH321" i="2" s="1"/>
  <c r="R321" i="2" a="1"/>
  <c r="R321" i="2" s="1"/>
  <c r="Q321" i="2" a="1"/>
  <c r="Q321" i="2" s="1"/>
  <c r="P321" i="2" a="1"/>
  <c r="P321" i="2" s="1"/>
  <c r="H321" i="2" a="1"/>
  <c r="H321" i="2" s="1"/>
  <c r="G321" i="2" a="1"/>
  <c r="G321" i="2" s="1"/>
  <c r="F321" i="2" a="1"/>
  <c r="F321" i="2" s="1"/>
  <c r="D321" i="2" a="1"/>
  <c r="D321" i="2" s="1"/>
  <c r="AH320" i="2" a="1"/>
  <c r="AH320" i="2" s="1"/>
  <c r="R320" i="2" a="1"/>
  <c r="R320" i="2" s="1"/>
  <c r="Q320" i="2" a="1"/>
  <c r="Q320" i="2" s="1"/>
  <c r="P320" i="2" a="1"/>
  <c r="P320" i="2" s="1"/>
  <c r="H320" i="2" a="1"/>
  <c r="H320" i="2" s="1"/>
  <c r="G320" i="2" a="1"/>
  <c r="G320" i="2" s="1"/>
  <c r="F320" i="2" a="1"/>
  <c r="F320" i="2" s="1"/>
  <c r="D132" i="8" s="1" a="1"/>
  <c r="D132" i="8" s="1"/>
  <c r="D320" i="2" a="1"/>
  <c r="D320" i="2" s="1"/>
  <c r="AH319" i="2" a="1"/>
  <c r="AH319" i="2" s="1"/>
  <c r="R319" i="2" a="1"/>
  <c r="R319" i="2" s="1"/>
  <c r="Q319" i="2" a="1"/>
  <c r="Q319" i="2" s="1"/>
  <c r="Z319" i="2" s="1" a="1"/>
  <c r="Z319" i="2" s="1"/>
  <c r="P319" i="2" a="1"/>
  <c r="P319" i="2" s="1"/>
  <c r="H319" i="2" a="1"/>
  <c r="H319" i="2" s="1"/>
  <c r="G319" i="2" a="1"/>
  <c r="G319" i="2" s="1"/>
  <c r="F319" i="2" a="1"/>
  <c r="F319" i="2" s="1"/>
  <c r="D131" i="8" s="1" a="1"/>
  <c r="D131" i="8" s="1"/>
  <c r="D319" i="2" a="1"/>
  <c r="D319" i="2" s="1"/>
  <c r="AH318" i="2" a="1"/>
  <c r="AH318" i="2" s="1"/>
  <c r="R318" i="2" a="1"/>
  <c r="R318" i="2" s="1"/>
  <c r="Q318" i="2" a="1"/>
  <c r="Q318" i="2" s="1"/>
  <c r="AF318" i="2" s="1" a="1"/>
  <c r="AF318" i="2" s="1"/>
  <c r="P318" i="2" a="1"/>
  <c r="P318" i="2" s="1"/>
  <c r="H318" i="2" a="1"/>
  <c r="H318" i="2" s="1"/>
  <c r="G318" i="2" a="1"/>
  <c r="G318" i="2" s="1"/>
  <c r="F318" i="2" a="1"/>
  <c r="F318" i="2" s="1"/>
  <c r="D318" i="2" a="1"/>
  <c r="D318" i="2" s="1"/>
  <c r="AH317" i="2" a="1"/>
  <c r="AH317" i="2" s="1"/>
  <c r="R317" i="2" a="1"/>
  <c r="R317" i="2" s="1"/>
  <c r="Q317" i="2" a="1"/>
  <c r="Q317" i="2" s="1"/>
  <c r="P317" i="2" a="1"/>
  <c r="P317" i="2" s="1"/>
  <c r="H317" i="2" a="1"/>
  <c r="H317" i="2" s="1"/>
  <c r="G317" i="2" a="1"/>
  <c r="G317" i="2" s="1"/>
  <c r="F317" i="2" a="1"/>
  <c r="F317" i="2" s="1"/>
  <c r="D317" i="2" a="1"/>
  <c r="D317" i="2" s="1"/>
  <c r="AH316" i="2" a="1"/>
  <c r="AH316" i="2" s="1"/>
  <c r="R316" i="2" a="1"/>
  <c r="R316" i="2" s="1"/>
  <c r="Q316" i="2" a="1"/>
  <c r="Q316" i="2" s="1"/>
  <c r="AB316" i="2" s="1" a="1"/>
  <c r="AB316" i="2" s="1"/>
  <c r="P316" i="2" a="1"/>
  <c r="P316" i="2" s="1"/>
  <c r="H316" i="2" a="1"/>
  <c r="H316" i="2" s="1"/>
  <c r="G316" i="2" a="1"/>
  <c r="G316" i="2" s="1"/>
  <c r="F316" i="2" a="1"/>
  <c r="F316" i="2" s="1"/>
  <c r="D316" i="2" a="1"/>
  <c r="D316" i="2" s="1"/>
  <c r="AH315" i="2" a="1"/>
  <c r="AH315" i="2" s="1"/>
  <c r="R315" i="2" a="1"/>
  <c r="R315" i="2" s="1"/>
  <c r="Q315" i="2" a="1"/>
  <c r="Q315" i="2" s="1"/>
  <c r="AA315" i="2" s="1" a="1"/>
  <c r="AA315" i="2" s="1"/>
  <c r="P315" i="2" a="1"/>
  <c r="P315" i="2" s="1"/>
  <c r="H315" i="2" a="1"/>
  <c r="H315" i="2" s="1"/>
  <c r="G315" i="2" a="1"/>
  <c r="G315" i="2" s="1"/>
  <c r="F315" i="2" a="1"/>
  <c r="F315" i="2" s="1"/>
  <c r="D315" i="2" a="1"/>
  <c r="D315" i="2" s="1"/>
  <c r="AH314" i="2" a="1"/>
  <c r="AH314" i="2" s="1"/>
  <c r="R314" i="2" a="1"/>
  <c r="R314" i="2" s="1"/>
  <c r="Q314" i="2" a="1"/>
  <c r="Q314" i="2" s="1"/>
  <c r="P314" i="2" a="1"/>
  <c r="P314" i="2" s="1"/>
  <c r="H314" i="2" a="1"/>
  <c r="H314" i="2" s="1"/>
  <c r="G314" i="2" a="1"/>
  <c r="G314" i="2" s="1"/>
  <c r="F314" i="2" a="1"/>
  <c r="F314" i="2" s="1"/>
  <c r="D130" i="8" s="1" a="1"/>
  <c r="D130" i="8" s="1"/>
  <c r="D314" i="2" a="1"/>
  <c r="D314" i="2" s="1"/>
  <c r="B130" i="8" s="1" a="1"/>
  <c r="B130" i="8" s="1"/>
  <c r="AH313" i="2" a="1"/>
  <c r="AH313" i="2" s="1"/>
  <c r="R313" i="2" a="1"/>
  <c r="R313" i="2" s="1"/>
  <c r="Q313" i="2" a="1"/>
  <c r="Q313" i="2" s="1"/>
  <c r="Z313" i="2" s="1" a="1"/>
  <c r="Z313" i="2" s="1"/>
  <c r="P313" i="2" a="1"/>
  <c r="P313" i="2" s="1"/>
  <c r="H313" i="2" a="1"/>
  <c r="H313" i="2" s="1"/>
  <c r="G313" i="2" a="1"/>
  <c r="G313" i="2" s="1"/>
  <c r="F313" i="2" a="1"/>
  <c r="F313" i="2" s="1"/>
  <c r="D313" i="2" a="1"/>
  <c r="D313" i="2" s="1"/>
  <c r="AH312" i="2" a="1"/>
  <c r="AH312" i="2" s="1"/>
  <c r="R312" i="2" a="1"/>
  <c r="R312" i="2" s="1"/>
  <c r="Q312" i="2" a="1"/>
  <c r="Q312" i="2" s="1"/>
  <c r="P312" i="2" a="1"/>
  <c r="P312" i="2" s="1"/>
  <c r="H312" i="2" a="1"/>
  <c r="H312" i="2" s="1"/>
  <c r="G312" i="2" a="1"/>
  <c r="G312" i="2" s="1"/>
  <c r="F312" i="2" a="1"/>
  <c r="F312" i="2" s="1"/>
  <c r="D129" i="8" s="1" a="1"/>
  <c r="D129" i="8" s="1"/>
  <c r="D312" i="2" a="1"/>
  <c r="D312" i="2" s="1"/>
  <c r="AH311" i="2" a="1"/>
  <c r="AH311" i="2" s="1"/>
  <c r="R311" i="2" a="1"/>
  <c r="R311" i="2" s="1"/>
  <c r="Q311" i="2" a="1"/>
  <c r="Q311" i="2" s="1"/>
  <c r="AA311" i="2" s="1" a="1"/>
  <c r="AA311" i="2" s="1"/>
  <c r="P311" i="2" a="1"/>
  <c r="P311" i="2" s="1"/>
  <c r="H311" i="2" a="1"/>
  <c r="H311" i="2" s="1"/>
  <c r="G311" i="2" a="1"/>
  <c r="G311" i="2" s="1"/>
  <c r="F311" i="2" a="1"/>
  <c r="F311" i="2" s="1"/>
  <c r="D128" i="8" s="1" a="1"/>
  <c r="D128" i="8" s="1"/>
  <c r="D311" i="2" a="1"/>
  <c r="D311" i="2" s="1"/>
  <c r="B128" i="8" s="1" a="1"/>
  <c r="B128" i="8" s="1"/>
  <c r="AH310" i="2" a="1"/>
  <c r="AH310" i="2" s="1"/>
  <c r="R310" i="2" a="1"/>
  <c r="R310" i="2" s="1"/>
  <c r="Q310" i="2" a="1"/>
  <c r="Q310" i="2" s="1"/>
  <c r="Z310" i="2" s="1" a="1"/>
  <c r="Z310" i="2" s="1"/>
  <c r="P310" i="2" a="1"/>
  <c r="P310" i="2" s="1"/>
  <c r="H310" i="2" a="1"/>
  <c r="H310" i="2" s="1"/>
  <c r="G310" i="2" a="1"/>
  <c r="G310" i="2" s="1"/>
  <c r="F310" i="2" a="1"/>
  <c r="F310" i="2" s="1"/>
  <c r="D310" i="2" a="1"/>
  <c r="D310" i="2" s="1"/>
  <c r="AH309" i="2" a="1"/>
  <c r="AH309" i="2" s="1"/>
  <c r="R309" i="2" a="1"/>
  <c r="R309" i="2" s="1"/>
  <c r="Q309" i="2" a="1"/>
  <c r="Q309" i="2" s="1"/>
  <c r="P309" i="2" a="1"/>
  <c r="P309" i="2" s="1"/>
  <c r="H309" i="2" a="1"/>
  <c r="H309" i="2" s="1"/>
  <c r="G309" i="2" a="1"/>
  <c r="G309" i="2" s="1"/>
  <c r="F309" i="2" a="1"/>
  <c r="F309" i="2" s="1"/>
  <c r="D127" i="8" s="1" a="1"/>
  <c r="D127" i="8" s="1"/>
  <c r="D309" i="2" a="1"/>
  <c r="D309" i="2" s="1"/>
  <c r="AH308" i="2" a="1"/>
  <c r="AH308" i="2" s="1"/>
  <c r="R308" i="2" a="1"/>
  <c r="R308" i="2" s="1"/>
  <c r="Q308" i="2" a="1"/>
  <c r="Q308" i="2" s="1"/>
  <c r="P308" i="2" a="1"/>
  <c r="P308" i="2" s="1"/>
  <c r="H308" i="2" a="1"/>
  <c r="H308" i="2" s="1"/>
  <c r="G308" i="2" a="1"/>
  <c r="G308" i="2" s="1"/>
  <c r="F308" i="2" a="1"/>
  <c r="F308" i="2" s="1"/>
  <c r="D126" i="8" s="1" a="1"/>
  <c r="D126" i="8" s="1"/>
  <c r="D308" i="2" a="1"/>
  <c r="D308" i="2" s="1"/>
  <c r="B126" i="8" s="1" a="1"/>
  <c r="B126" i="8" s="1"/>
  <c r="AH307" i="2" a="1"/>
  <c r="AH307" i="2" s="1"/>
  <c r="R307" i="2" a="1"/>
  <c r="R307" i="2" s="1"/>
  <c r="Q307" i="2" a="1"/>
  <c r="Q307" i="2" s="1"/>
  <c r="P307" i="2" a="1"/>
  <c r="P307" i="2" s="1"/>
  <c r="H307" i="2" a="1"/>
  <c r="H307" i="2" s="1"/>
  <c r="G307" i="2" a="1"/>
  <c r="G307" i="2" s="1"/>
  <c r="F307" i="2" a="1"/>
  <c r="F307" i="2" s="1"/>
  <c r="D125" i="8" s="1" a="1"/>
  <c r="D125" i="8" s="1"/>
  <c r="D307" i="2" a="1"/>
  <c r="D307" i="2" s="1"/>
  <c r="B125" i="8" s="1" a="1"/>
  <c r="B125" i="8" s="1"/>
  <c r="AJ306" i="2" a="1"/>
  <c r="AJ306" i="2" s="1"/>
  <c r="P306" i="2" a="1"/>
  <c r="P306" i="2" s="1"/>
  <c r="H306" i="2" a="1"/>
  <c r="H306" i="2" s="1"/>
  <c r="G306" i="2" a="1"/>
  <c r="G306" i="2" s="1"/>
  <c r="F306" i="2" a="1"/>
  <c r="F306" i="2" s="1"/>
  <c r="D37" i="9" s="1" a="1"/>
  <c r="D37" i="9" s="1"/>
  <c r="D306" i="2" a="1"/>
  <c r="D306" i="2" s="1"/>
  <c r="AH305" i="2" a="1"/>
  <c r="AH305" i="2" s="1"/>
  <c r="R305" i="2" a="1"/>
  <c r="R305" i="2" s="1"/>
  <c r="Q305" i="2" a="1"/>
  <c r="Q305" i="2" s="1"/>
  <c r="AA305" i="2" s="1" a="1"/>
  <c r="AA305" i="2" s="1"/>
  <c r="P305" i="2" a="1"/>
  <c r="P305" i="2" s="1"/>
  <c r="H305" i="2" a="1"/>
  <c r="H305" i="2" s="1"/>
  <c r="G305" i="2" a="1"/>
  <c r="G305" i="2" s="1"/>
  <c r="F305" i="2" a="1"/>
  <c r="F305" i="2" s="1"/>
  <c r="D305" i="2" a="1"/>
  <c r="D305" i="2" s="1"/>
  <c r="AH304" i="2" a="1"/>
  <c r="AH304" i="2" s="1"/>
  <c r="R304" i="2" a="1"/>
  <c r="R304" i="2" s="1"/>
  <c r="Q304" i="2" a="1"/>
  <c r="Q304" i="2" s="1"/>
  <c r="P304" i="2" a="1"/>
  <c r="P304" i="2" s="1"/>
  <c r="H304" i="2" a="1"/>
  <c r="H304" i="2" s="1"/>
  <c r="G304" i="2" a="1"/>
  <c r="G304" i="2" s="1"/>
  <c r="F304" i="2" a="1"/>
  <c r="F304" i="2" s="1"/>
  <c r="D124" i="8" s="1" a="1"/>
  <c r="D124" i="8" s="1"/>
  <c r="D304" i="2" a="1"/>
  <c r="D304" i="2" s="1"/>
  <c r="AJ303" i="2" a="1"/>
  <c r="AJ303" i="2" s="1"/>
  <c r="P303" i="2" a="1"/>
  <c r="P303" i="2" s="1"/>
  <c r="H303" i="2" a="1"/>
  <c r="H303" i="2" s="1"/>
  <c r="G303" i="2" a="1"/>
  <c r="G303" i="2" s="1"/>
  <c r="F303" i="2" a="1"/>
  <c r="F303" i="2" s="1"/>
  <c r="D36" i="9" s="1" a="1"/>
  <c r="D36" i="9" s="1"/>
  <c r="D303" i="2" a="1"/>
  <c r="D303" i="2" s="1"/>
  <c r="AH302" i="2" a="1"/>
  <c r="AH302" i="2" s="1"/>
  <c r="R302" i="2" a="1"/>
  <c r="R302" i="2" s="1"/>
  <c r="Q302" i="2" a="1"/>
  <c r="Q302" i="2" s="1"/>
  <c r="AB302" i="2" s="1" a="1"/>
  <c r="AB302" i="2" s="1"/>
  <c r="P302" i="2" a="1"/>
  <c r="P302" i="2" s="1"/>
  <c r="H302" i="2" a="1"/>
  <c r="H302" i="2" s="1"/>
  <c r="G302" i="2" a="1"/>
  <c r="G302" i="2" s="1"/>
  <c r="F302" i="2" a="1"/>
  <c r="F302" i="2" s="1"/>
  <c r="D123" i="8" s="1" a="1"/>
  <c r="D123" i="8" s="1"/>
  <c r="D302" i="2" a="1"/>
  <c r="D302" i="2" s="1"/>
  <c r="AH301" i="2" a="1"/>
  <c r="AH301" i="2" s="1"/>
  <c r="R301" i="2" a="1"/>
  <c r="R301" i="2" s="1"/>
  <c r="Q301" i="2" a="1"/>
  <c r="Q301" i="2" s="1"/>
  <c r="P301" i="2" a="1"/>
  <c r="P301" i="2" s="1"/>
  <c r="H301" i="2" a="1"/>
  <c r="H301" i="2" s="1"/>
  <c r="G301" i="2" a="1"/>
  <c r="G301" i="2" s="1"/>
  <c r="F301" i="2" a="1"/>
  <c r="F301" i="2" s="1"/>
  <c r="D301" i="2" a="1"/>
  <c r="D301" i="2" s="1"/>
  <c r="AH300" i="2" a="1"/>
  <c r="AH300" i="2" s="1"/>
  <c r="R300" i="2" a="1"/>
  <c r="R300" i="2" s="1"/>
  <c r="Q300" i="2" a="1"/>
  <c r="Q300" i="2" s="1"/>
  <c r="P300" i="2" a="1"/>
  <c r="P300" i="2" s="1"/>
  <c r="H300" i="2" a="1"/>
  <c r="H300" i="2" s="1"/>
  <c r="G300" i="2" a="1"/>
  <c r="G300" i="2" s="1"/>
  <c r="F300" i="2" a="1"/>
  <c r="F300" i="2" s="1"/>
  <c r="D300" i="2" a="1"/>
  <c r="D300" i="2" s="1"/>
  <c r="AJ299" i="2" a="1"/>
  <c r="AJ299" i="2" s="1"/>
  <c r="P299" i="2" a="1"/>
  <c r="P299" i="2" s="1"/>
  <c r="H299" i="2" a="1"/>
  <c r="H299" i="2" s="1"/>
  <c r="G299" i="2" a="1"/>
  <c r="G299" i="2" s="1"/>
  <c r="F299" i="2" a="1"/>
  <c r="F299" i="2" s="1"/>
  <c r="D35" i="9" s="1" a="1"/>
  <c r="D35" i="9" s="1"/>
  <c r="D299" i="2" a="1"/>
  <c r="D299" i="2" s="1"/>
  <c r="B35" i="9" s="1" a="1"/>
  <c r="B35" i="9" s="1"/>
  <c r="AH298" i="2" a="1"/>
  <c r="AH298" i="2" s="1"/>
  <c r="R298" i="2" a="1"/>
  <c r="R298" i="2" s="1"/>
  <c r="Q298" i="2" a="1"/>
  <c r="Q298" i="2" s="1"/>
  <c r="P298" i="2" a="1"/>
  <c r="P298" i="2" s="1"/>
  <c r="H298" i="2" a="1"/>
  <c r="H298" i="2" s="1"/>
  <c r="G298" i="2" a="1"/>
  <c r="G298" i="2" s="1"/>
  <c r="F298" i="2" a="1"/>
  <c r="F298" i="2" s="1"/>
  <c r="D122" i="8" s="1" a="1"/>
  <c r="D122" i="8" s="1"/>
  <c r="D298" i="2" a="1"/>
  <c r="D298" i="2" s="1"/>
  <c r="B122" i="8" s="1" a="1"/>
  <c r="B122" i="8" s="1"/>
  <c r="AH297" i="2" a="1"/>
  <c r="AH297" i="2" s="1"/>
  <c r="R297" i="2" a="1"/>
  <c r="R297" i="2" s="1"/>
  <c r="Q297" i="2" a="1"/>
  <c r="Q297" i="2" s="1"/>
  <c r="AF297" i="2" s="1" a="1"/>
  <c r="AF297" i="2" s="1"/>
  <c r="P297" i="2" a="1"/>
  <c r="P297" i="2" s="1"/>
  <c r="H297" i="2" a="1"/>
  <c r="H297" i="2" s="1"/>
  <c r="G297" i="2" a="1"/>
  <c r="G297" i="2" s="1"/>
  <c r="F297" i="2" a="1"/>
  <c r="F297" i="2" s="1"/>
  <c r="D121" i="8" s="1" a="1"/>
  <c r="D121" i="8" s="1"/>
  <c r="D297" i="2" a="1"/>
  <c r="D297" i="2" s="1"/>
  <c r="AH296" i="2" a="1"/>
  <c r="AH296" i="2" s="1"/>
  <c r="R296" i="2" a="1"/>
  <c r="R296" i="2" s="1"/>
  <c r="Q296" i="2" a="1"/>
  <c r="Q296" i="2" s="1"/>
  <c r="Z296" i="2" s="1" a="1"/>
  <c r="Z296" i="2" s="1"/>
  <c r="P296" i="2" a="1"/>
  <c r="P296" i="2" s="1"/>
  <c r="H296" i="2" a="1"/>
  <c r="H296" i="2" s="1"/>
  <c r="G296" i="2" a="1"/>
  <c r="G296" i="2" s="1"/>
  <c r="F296" i="2" a="1"/>
  <c r="F296" i="2" s="1"/>
  <c r="D120" i="8" s="1" a="1"/>
  <c r="D120" i="8" s="1"/>
  <c r="D296" i="2" a="1"/>
  <c r="D296" i="2" s="1"/>
  <c r="AH295" i="2" a="1"/>
  <c r="AH295" i="2" s="1"/>
  <c r="R295" i="2" a="1"/>
  <c r="R295" i="2" s="1"/>
  <c r="Q295" i="2" a="1"/>
  <c r="Q295" i="2" s="1"/>
  <c r="P295" i="2" a="1"/>
  <c r="P295" i="2" s="1"/>
  <c r="H295" i="2" a="1"/>
  <c r="H295" i="2" s="1"/>
  <c r="G295" i="2" a="1"/>
  <c r="G295" i="2" s="1"/>
  <c r="F295" i="2" a="1"/>
  <c r="F295" i="2" s="1"/>
  <c r="D295" i="2" a="1"/>
  <c r="D295" i="2" s="1"/>
  <c r="AH294" i="2" a="1"/>
  <c r="AH294" i="2" s="1"/>
  <c r="R294" i="2" a="1"/>
  <c r="R294" i="2" s="1"/>
  <c r="Q294" i="2" a="1"/>
  <c r="Q294" i="2" s="1"/>
  <c r="P294" i="2" a="1"/>
  <c r="P294" i="2" s="1"/>
  <c r="H294" i="2" a="1"/>
  <c r="H294" i="2" s="1"/>
  <c r="G294" i="2" a="1"/>
  <c r="G294" i="2" s="1"/>
  <c r="F294" i="2" a="1"/>
  <c r="F294" i="2" s="1"/>
  <c r="D294" i="2" a="1"/>
  <c r="D294" i="2" s="1"/>
  <c r="AH293" i="2" a="1"/>
  <c r="AH293" i="2" s="1"/>
  <c r="R293" i="2" a="1"/>
  <c r="R293" i="2" s="1"/>
  <c r="Q293" i="2" a="1"/>
  <c r="Q293" i="2" s="1"/>
  <c r="P293" i="2" a="1"/>
  <c r="P293" i="2" s="1"/>
  <c r="H293" i="2" a="1"/>
  <c r="H293" i="2" s="1"/>
  <c r="G293" i="2" a="1"/>
  <c r="G293" i="2" s="1"/>
  <c r="F293" i="2" a="1"/>
  <c r="F293" i="2" s="1"/>
  <c r="D293" i="2" a="1"/>
  <c r="D293" i="2" s="1"/>
  <c r="AH292" i="2" a="1"/>
  <c r="AH292" i="2" s="1"/>
  <c r="R292" i="2" a="1"/>
  <c r="R292" i="2" s="1"/>
  <c r="Q292" i="2" a="1"/>
  <c r="Q292" i="2" s="1"/>
  <c r="P292" i="2" a="1"/>
  <c r="P292" i="2" s="1"/>
  <c r="H292" i="2" a="1"/>
  <c r="H292" i="2" s="1"/>
  <c r="G292" i="2" a="1"/>
  <c r="G292" i="2" s="1"/>
  <c r="F292" i="2" a="1"/>
  <c r="F292" i="2" s="1"/>
  <c r="D119" i="8" s="1" a="1"/>
  <c r="D119" i="8" s="1"/>
  <c r="D292" i="2" a="1"/>
  <c r="D292" i="2" s="1"/>
  <c r="B119" i="8" s="1" a="1"/>
  <c r="B119" i="8" s="1"/>
  <c r="AH291" i="2" a="1"/>
  <c r="AH291" i="2" s="1"/>
  <c r="R291" i="2" a="1"/>
  <c r="R291" i="2" s="1"/>
  <c r="Q291" i="2" a="1"/>
  <c r="Q291" i="2" s="1"/>
  <c r="P291" i="2" a="1"/>
  <c r="P291" i="2" s="1"/>
  <c r="H291" i="2" a="1"/>
  <c r="H291" i="2" s="1"/>
  <c r="G291" i="2" a="1"/>
  <c r="G291" i="2" s="1"/>
  <c r="F291" i="2" a="1"/>
  <c r="F291" i="2" s="1"/>
  <c r="D291" i="2" a="1"/>
  <c r="D291" i="2" s="1"/>
  <c r="AH290" i="2" a="1"/>
  <c r="AH290" i="2" s="1"/>
  <c r="R290" i="2" a="1"/>
  <c r="R290" i="2" s="1"/>
  <c r="Q290" i="2" a="1"/>
  <c r="Q290" i="2" s="1"/>
  <c r="P290" i="2" a="1"/>
  <c r="P290" i="2" s="1"/>
  <c r="H290" i="2" a="1"/>
  <c r="H290" i="2" s="1"/>
  <c r="G290" i="2" a="1"/>
  <c r="G290" i="2" s="1"/>
  <c r="F290" i="2" a="1"/>
  <c r="F290" i="2" s="1"/>
  <c r="D290" i="2" a="1"/>
  <c r="D290" i="2" s="1"/>
  <c r="AJ289" i="2" a="1"/>
  <c r="AJ289" i="2" s="1"/>
  <c r="AN289" i="2" s="1" a="1"/>
  <c r="AN289" i="2" s="1"/>
  <c r="P289" i="2" a="1"/>
  <c r="P289" i="2" s="1"/>
  <c r="H289" i="2" a="1"/>
  <c r="H289" i="2" s="1"/>
  <c r="G289" i="2" a="1"/>
  <c r="G289" i="2" s="1"/>
  <c r="F289" i="2" a="1"/>
  <c r="F289" i="2" s="1"/>
  <c r="D34" i="9" s="1" a="1"/>
  <c r="D34" i="9" s="1"/>
  <c r="D289" i="2" a="1"/>
  <c r="D289" i="2" s="1"/>
  <c r="B34" i="9" s="1" a="1"/>
  <c r="B34" i="9" s="1"/>
  <c r="AH288" i="2" a="1"/>
  <c r="AH288" i="2" s="1"/>
  <c r="R288" i="2" a="1"/>
  <c r="R288" i="2" s="1"/>
  <c r="Q288" i="2" a="1"/>
  <c r="Q288" i="2" s="1"/>
  <c r="P288" i="2" a="1"/>
  <c r="P288" i="2" s="1"/>
  <c r="H288" i="2" a="1"/>
  <c r="H288" i="2" s="1"/>
  <c r="G288" i="2" a="1"/>
  <c r="G288" i="2" s="1"/>
  <c r="F288" i="2" a="1"/>
  <c r="F288" i="2" s="1"/>
  <c r="D118" i="8" s="1" a="1"/>
  <c r="D118" i="8" s="1"/>
  <c r="D288" i="2" a="1"/>
  <c r="D288" i="2" s="1"/>
  <c r="B118" i="8" s="1" a="1"/>
  <c r="B118" i="8" s="1"/>
  <c r="AH287" i="2" a="1"/>
  <c r="AH287" i="2" s="1"/>
  <c r="R287" i="2" a="1"/>
  <c r="R287" i="2" s="1"/>
  <c r="Q287" i="2" a="1"/>
  <c r="Q287" i="2" s="1"/>
  <c r="P287" i="2" a="1"/>
  <c r="P287" i="2" s="1"/>
  <c r="H287" i="2" a="1"/>
  <c r="H287" i="2" s="1"/>
  <c r="G287" i="2" a="1"/>
  <c r="G287" i="2" s="1"/>
  <c r="F287" i="2" a="1"/>
  <c r="F287" i="2" s="1"/>
  <c r="D287" i="2" a="1"/>
  <c r="D287" i="2" s="1"/>
  <c r="AH286" i="2" a="1"/>
  <c r="AH286" i="2" s="1"/>
  <c r="R286" i="2" a="1"/>
  <c r="R286" i="2" s="1"/>
  <c r="Q286" i="2" a="1"/>
  <c r="Q286" i="2" s="1"/>
  <c r="AF286" i="2" s="1" a="1"/>
  <c r="AF286" i="2" s="1"/>
  <c r="P286" i="2" a="1"/>
  <c r="P286" i="2" s="1"/>
  <c r="H286" i="2" a="1"/>
  <c r="H286" i="2" s="1"/>
  <c r="G286" i="2" a="1"/>
  <c r="G286" i="2" s="1"/>
  <c r="F286" i="2" a="1"/>
  <c r="F286" i="2" s="1"/>
  <c r="D117" i="8" s="1" a="1"/>
  <c r="D117" i="8" s="1"/>
  <c r="D286" i="2" a="1"/>
  <c r="D286" i="2" s="1"/>
  <c r="B117" i="8" s="1" a="1"/>
  <c r="B117" i="8" s="1"/>
  <c r="AH285" i="2" a="1"/>
  <c r="AH285" i="2" s="1"/>
  <c r="R285" i="2" a="1"/>
  <c r="R285" i="2" s="1"/>
  <c r="Q285" i="2" a="1"/>
  <c r="Q285" i="2" s="1"/>
  <c r="Z285" i="2" s="1" a="1"/>
  <c r="Z285" i="2" s="1"/>
  <c r="P285" i="2" a="1"/>
  <c r="P285" i="2" s="1"/>
  <c r="H285" i="2" a="1"/>
  <c r="H285" i="2" s="1"/>
  <c r="G285" i="2" a="1"/>
  <c r="G285" i="2" s="1"/>
  <c r="F285" i="2" a="1"/>
  <c r="F285" i="2" s="1"/>
  <c r="D285" i="2" a="1"/>
  <c r="D285" i="2" s="1"/>
  <c r="AH284" i="2" a="1"/>
  <c r="AH284" i="2" s="1"/>
  <c r="R284" i="2" a="1"/>
  <c r="R284" i="2" s="1"/>
  <c r="Q284" i="2" a="1"/>
  <c r="Q284" i="2" s="1"/>
  <c r="AF284" i="2" s="1" a="1"/>
  <c r="AF284" i="2" s="1"/>
  <c r="P284" i="2" a="1"/>
  <c r="P284" i="2" s="1"/>
  <c r="H284" i="2" a="1"/>
  <c r="H284" i="2" s="1"/>
  <c r="G284" i="2" a="1"/>
  <c r="G284" i="2" s="1"/>
  <c r="F284" i="2" a="1"/>
  <c r="F284" i="2" s="1"/>
  <c r="D284" i="2" a="1"/>
  <c r="D284" i="2" s="1"/>
  <c r="AH283" i="2" a="1"/>
  <c r="AH283" i="2" s="1"/>
  <c r="AB283" i="2" a="1"/>
  <c r="AB283" i="2" s="1"/>
  <c r="R283" i="2" a="1"/>
  <c r="R283" i="2" s="1"/>
  <c r="Q283" i="2" a="1"/>
  <c r="Q283" i="2" s="1"/>
  <c r="AA283" i="2" s="1" a="1"/>
  <c r="AA283" i="2" s="1"/>
  <c r="P283" i="2" a="1"/>
  <c r="P283" i="2" s="1"/>
  <c r="H283" i="2" a="1"/>
  <c r="H283" i="2" s="1"/>
  <c r="G283" i="2" a="1"/>
  <c r="G283" i="2" s="1"/>
  <c r="F283" i="2" a="1"/>
  <c r="F283" i="2" s="1"/>
  <c r="D116" i="8" s="1" a="1"/>
  <c r="D116" i="8" s="1"/>
  <c r="D283" i="2" a="1"/>
  <c r="D283" i="2" s="1"/>
  <c r="B116" i="8" s="1" a="1"/>
  <c r="B116" i="8" s="1"/>
  <c r="AH282" i="2" a="1"/>
  <c r="AH282" i="2" s="1"/>
  <c r="R282" i="2" a="1"/>
  <c r="R282" i="2" s="1"/>
  <c r="Q282" i="2" a="1"/>
  <c r="Q282" i="2" s="1"/>
  <c r="P282" i="2" a="1"/>
  <c r="P282" i="2" s="1"/>
  <c r="H282" i="2" a="1"/>
  <c r="H282" i="2" s="1"/>
  <c r="G282" i="2" a="1"/>
  <c r="G282" i="2" s="1"/>
  <c r="F282" i="2" a="1"/>
  <c r="F282" i="2" s="1"/>
  <c r="D115" i="8" s="1" a="1"/>
  <c r="D115" i="8" s="1"/>
  <c r="D282" i="2" a="1"/>
  <c r="D282" i="2" s="1"/>
  <c r="B115" i="8" s="1" a="1"/>
  <c r="B115" i="8" s="1"/>
  <c r="AH281" i="2" a="1"/>
  <c r="AH281" i="2" s="1"/>
  <c r="R281" i="2" a="1"/>
  <c r="R281" i="2" s="1"/>
  <c r="Q281" i="2" a="1"/>
  <c r="Q281" i="2" s="1"/>
  <c r="AF281" i="2" s="1" a="1"/>
  <c r="AF281" i="2" s="1"/>
  <c r="P281" i="2" a="1"/>
  <c r="P281" i="2" s="1"/>
  <c r="H281" i="2" a="1"/>
  <c r="H281" i="2" s="1"/>
  <c r="G281" i="2" a="1"/>
  <c r="G281" i="2" s="1"/>
  <c r="F281" i="2" a="1"/>
  <c r="F281" i="2" s="1"/>
  <c r="D114" i="8" s="1" a="1"/>
  <c r="D114" i="8" s="1"/>
  <c r="D281" i="2" a="1"/>
  <c r="D281" i="2" s="1"/>
  <c r="B114" i="8" s="1" a="1"/>
  <c r="B114" i="8" s="1"/>
  <c r="AH280" i="2" a="1"/>
  <c r="AH280" i="2" s="1"/>
  <c r="R280" i="2" a="1"/>
  <c r="R280" i="2" s="1"/>
  <c r="Q280" i="2" a="1"/>
  <c r="Q280" i="2" s="1"/>
  <c r="AF280" i="2" s="1" a="1"/>
  <c r="AF280" i="2" s="1"/>
  <c r="P280" i="2" a="1"/>
  <c r="P280" i="2" s="1"/>
  <c r="H280" i="2" a="1"/>
  <c r="H280" i="2" s="1"/>
  <c r="G280" i="2" a="1"/>
  <c r="G280" i="2" s="1"/>
  <c r="F280" i="2" a="1"/>
  <c r="F280" i="2" s="1"/>
  <c r="D280" i="2" a="1"/>
  <c r="D280" i="2" s="1"/>
  <c r="AH279" i="2" a="1"/>
  <c r="AH279" i="2" s="1"/>
  <c r="R279" i="2" a="1"/>
  <c r="R279" i="2" s="1"/>
  <c r="Q279" i="2" a="1"/>
  <c r="Q279" i="2" s="1"/>
  <c r="P279" i="2" a="1"/>
  <c r="P279" i="2" s="1"/>
  <c r="H279" i="2" a="1"/>
  <c r="H279" i="2" s="1"/>
  <c r="G279" i="2" a="1"/>
  <c r="G279" i="2" s="1"/>
  <c r="F279" i="2" a="1"/>
  <c r="F279" i="2" s="1"/>
  <c r="D113" i="8" s="1" a="1"/>
  <c r="D113" i="8" s="1"/>
  <c r="D279" i="2" a="1"/>
  <c r="D279" i="2" s="1"/>
  <c r="B113" i="8" s="1" a="1"/>
  <c r="B113" i="8" s="1"/>
  <c r="AH278" i="2" a="1"/>
  <c r="AH278" i="2" s="1"/>
  <c r="R278" i="2" a="1"/>
  <c r="R278" i="2" s="1"/>
  <c r="Q278" i="2" a="1"/>
  <c r="Q278" i="2" s="1"/>
  <c r="AF278" i="2" s="1" a="1"/>
  <c r="AF278" i="2" s="1"/>
  <c r="P278" i="2" a="1"/>
  <c r="P278" i="2" s="1"/>
  <c r="H278" i="2" a="1"/>
  <c r="H278" i="2" s="1"/>
  <c r="G278" i="2" a="1"/>
  <c r="G278" i="2" s="1"/>
  <c r="F278" i="2" a="1"/>
  <c r="F278" i="2" s="1"/>
  <c r="D278" i="2" a="1"/>
  <c r="D278" i="2" s="1"/>
  <c r="AH277" i="2" a="1"/>
  <c r="AH277" i="2" s="1"/>
  <c r="R277" i="2" a="1"/>
  <c r="R277" i="2" s="1"/>
  <c r="Q277" i="2" a="1"/>
  <c r="Q277" i="2" s="1"/>
  <c r="AA277" i="2" s="1" a="1"/>
  <c r="AA277" i="2" s="1"/>
  <c r="P277" i="2" a="1"/>
  <c r="P277" i="2" s="1"/>
  <c r="W277" i="2" s="1" a="1"/>
  <c r="W277" i="2" s="1"/>
  <c r="H277" i="2" a="1"/>
  <c r="H277" i="2" s="1"/>
  <c r="G277" i="2" a="1"/>
  <c r="G277" i="2" s="1"/>
  <c r="F277" i="2" a="1"/>
  <c r="F277" i="2" s="1"/>
  <c r="D112" i="8" s="1" a="1"/>
  <c r="D112" i="8" s="1"/>
  <c r="D277" i="2" a="1"/>
  <c r="D277" i="2" s="1"/>
  <c r="B112" i="8" s="1" a="1"/>
  <c r="B112" i="8" s="1"/>
  <c r="AH276" i="2" a="1"/>
  <c r="AH276" i="2" s="1"/>
  <c r="R276" i="2" a="1"/>
  <c r="R276" i="2" s="1"/>
  <c r="Q276" i="2" a="1"/>
  <c r="Q276" i="2" s="1"/>
  <c r="P276" i="2" a="1"/>
  <c r="P276" i="2" s="1"/>
  <c r="H276" i="2" a="1"/>
  <c r="H276" i="2" s="1"/>
  <c r="G276" i="2" a="1"/>
  <c r="G276" i="2" s="1"/>
  <c r="F276" i="2" a="1"/>
  <c r="F276" i="2" s="1"/>
  <c r="D276" i="2" a="1"/>
  <c r="D276" i="2" s="1"/>
  <c r="AH275" i="2" a="1"/>
  <c r="AH275" i="2" s="1"/>
  <c r="R275" i="2" a="1"/>
  <c r="R275" i="2" s="1"/>
  <c r="Q275" i="2" a="1"/>
  <c r="Q275" i="2" s="1"/>
  <c r="AF275" i="2" s="1" a="1"/>
  <c r="AF275" i="2" s="1"/>
  <c r="P275" i="2" a="1"/>
  <c r="P275" i="2" s="1"/>
  <c r="H275" i="2" a="1"/>
  <c r="H275" i="2" s="1"/>
  <c r="G275" i="2" a="1"/>
  <c r="G275" i="2" s="1"/>
  <c r="F275" i="2" a="1"/>
  <c r="F275" i="2" s="1"/>
  <c r="D111" i="8" s="1" a="1"/>
  <c r="D111" i="8" s="1"/>
  <c r="D275" i="2" a="1"/>
  <c r="D275" i="2" s="1"/>
  <c r="B111" i="8" s="1" a="1"/>
  <c r="B111" i="8" s="1"/>
  <c r="AH274" i="2" a="1"/>
  <c r="AH274" i="2" s="1"/>
  <c r="R274" i="2" a="1"/>
  <c r="R274" i="2" s="1"/>
  <c r="Q274" i="2" a="1"/>
  <c r="Q274" i="2" s="1"/>
  <c r="AF274" i="2" s="1" a="1"/>
  <c r="AF274" i="2" s="1"/>
  <c r="P274" i="2" a="1"/>
  <c r="P274" i="2" s="1"/>
  <c r="H274" i="2" a="1"/>
  <c r="H274" i="2" s="1"/>
  <c r="G274" i="2" a="1"/>
  <c r="G274" i="2" s="1"/>
  <c r="F274" i="2" a="1"/>
  <c r="F274" i="2" s="1"/>
  <c r="D110" i="8" s="1" a="1"/>
  <c r="D110" i="8" s="1"/>
  <c r="D274" i="2" a="1"/>
  <c r="D274" i="2" s="1"/>
  <c r="B110" i="8" s="1" a="1"/>
  <c r="B110" i="8" s="1"/>
  <c r="AH273" i="2" a="1"/>
  <c r="AH273" i="2" s="1"/>
  <c r="R273" i="2" a="1"/>
  <c r="R273" i="2" s="1"/>
  <c r="Q273" i="2" a="1"/>
  <c r="Q273" i="2" s="1"/>
  <c r="AF273" i="2" s="1" a="1"/>
  <c r="AF273" i="2" s="1"/>
  <c r="P273" i="2" a="1"/>
  <c r="P273" i="2" s="1"/>
  <c r="H273" i="2" a="1"/>
  <c r="H273" i="2" s="1"/>
  <c r="G273" i="2" a="1"/>
  <c r="G273" i="2" s="1"/>
  <c r="F273" i="2" a="1"/>
  <c r="F273" i="2" s="1"/>
  <c r="D273" i="2" a="1"/>
  <c r="D273" i="2" s="1"/>
  <c r="AH272" i="2" a="1"/>
  <c r="AH272" i="2" s="1"/>
  <c r="R272" i="2" a="1"/>
  <c r="R272" i="2" s="1"/>
  <c r="Q272" i="2" a="1"/>
  <c r="Q272" i="2" s="1"/>
  <c r="AF272" i="2" s="1" a="1"/>
  <c r="AF272" i="2" s="1"/>
  <c r="P272" i="2" a="1"/>
  <c r="P272" i="2" s="1"/>
  <c r="H272" i="2" a="1"/>
  <c r="H272" i="2" s="1"/>
  <c r="G272" i="2" a="1"/>
  <c r="G272" i="2" s="1"/>
  <c r="F272" i="2" a="1"/>
  <c r="F272" i="2" s="1"/>
  <c r="D109" i="8" s="1" a="1"/>
  <c r="D109" i="8" s="1"/>
  <c r="D272" i="2" a="1"/>
  <c r="D272" i="2" s="1"/>
  <c r="AJ271" i="2" a="1"/>
  <c r="AJ271" i="2" s="1"/>
  <c r="P271" i="2" a="1"/>
  <c r="P271" i="2" s="1"/>
  <c r="H271" i="2" a="1"/>
  <c r="H271" i="2" s="1"/>
  <c r="G271" i="2" a="1"/>
  <c r="G271" i="2" s="1"/>
  <c r="F271" i="2" a="1"/>
  <c r="F271" i="2" s="1"/>
  <c r="D33" i="9" s="1" a="1"/>
  <c r="D33" i="9" s="1"/>
  <c r="D271" i="2" a="1"/>
  <c r="D271" i="2" s="1"/>
  <c r="AH270" i="2" a="1"/>
  <c r="AH270" i="2" s="1"/>
  <c r="R270" i="2" a="1"/>
  <c r="R270" i="2" s="1"/>
  <c r="Q270" i="2" a="1"/>
  <c r="Q270" i="2" s="1"/>
  <c r="AB270" i="2" s="1" a="1"/>
  <c r="AB270" i="2" s="1"/>
  <c r="P270" i="2" a="1"/>
  <c r="P270" i="2" s="1"/>
  <c r="H270" i="2" a="1"/>
  <c r="H270" i="2" s="1"/>
  <c r="G270" i="2" a="1"/>
  <c r="G270" i="2" s="1"/>
  <c r="F270" i="2" a="1"/>
  <c r="F270" i="2" s="1"/>
  <c r="D108" i="8" s="1" a="1"/>
  <c r="D108" i="8" s="1"/>
  <c r="D270" i="2" a="1"/>
  <c r="D270" i="2" s="1"/>
  <c r="AH269" i="2" a="1"/>
  <c r="AH269" i="2" s="1"/>
  <c r="R269" i="2" a="1"/>
  <c r="R269" i="2" s="1"/>
  <c r="Q269" i="2" a="1"/>
  <c r="Q269" i="2" s="1"/>
  <c r="P269" i="2" a="1"/>
  <c r="P269" i="2" s="1"/>
  <c r="H269" i="2" a="1"/>
  <c r="H269" i="2" s="1"/>
  <c r="G269" i="2" a="1"/>
  <c r="G269" i="2" s="1"/>
  <c r="F269" i="2" a="1"/>
  <c r="F269" i="2" s="1"/>
  <c r="D107" i="8" s="1" a="1"/>
  <c r="D107" i="8" s="1"/>
  <c r="D269" i="2" a="1"/>
  <c r="D269" i="2" s="1"/>
  <c r="B107" i="8" s="1" a="1"/>
  <c r="B107" i="8" s="1"/>
  <c r="AH268" i="2" a="1"/>
  <c r="AH268" i="2" s="1"/>
  <c r="R268" i="2" a="1"/>
  <c r="R268" i="2" s="1"/>
  <c r="Q268" i="2" a="1"/>
  <c r="Q268" i="2" s="1"/>
  <c r="P268" i="2" a="1"/>
  <c r="P268" i="2" s="1"/>
  <c r="H268" i="2" a="1"/>
  <c r="H268" i="2" s="1"/>
  <c r="G268" i="2" a="1"/>
  <c r="G268" i="2" s="1"/>
  <c r="F268" i="2" a="1"/>
  <c r="F268" i="2" s="1"/>
  <c r="D106" i="8" s="1" a="1"/>
  <c r="D106" i="8" s="1"/>
  <c r="D268" i="2" a="1"/>
  <c r="D268" i="2" s="1"/>
  <c r="AH267" i="2" a="1"/>
  <c r="AH267" i="2" s="1"/>
  <c r="R267" i="2" a="1"/>
  <c r="R267" i="2" s="1"/>
  <c r="Q267" i="2" a="1"/>
  <c r="Q267" i="2" s="1"/>
  <c r="AG267" i="2" s="1" a="1"/>
  <c r="AG267" i="2" s="1"/>
  <c r="P267" i="2" a="1"/>
  <c r="P267" i="2" s="1"/>
  <c r="H267" i="2" a="1"/>
  <c r="H267" i="2" s="1"/>
  <c r="G267" i="2" a="1"/>
  <c r="G267" i="2" s="1"/>
  <c r="F267" i="2" a="1"/>
  <c r="F267" i="2" s="1"/>
  <c r="D267" i="2" a="1"/>
  <c r="D267" i="2" s="1"/>
  <c r="AH266" i="2" a="1"/>
  <c r="AH266" i="2" s="1"/>
  <c r="R266" i="2" a="1"/>
  <c r="R266" i="2" s="1"/>
  <c r="Q266" i="2" a="1"/>
  <c r="Q266" i="2" s="1"/>
  <c r="P266" i="2" a="1"/>
  <c r="P266" i="2" s="1"/>
  <c r="H266" i="2" a="1"/>
  <c r="H266" i="2" s="1"/>
  <c r="G266" i="2" a="1"/>
  <c r="G266" i="2" s="1"/>
  <c r="F266" i="2" a="1"/>
  <c r="F266" i="2" s="1"/>
  <c r="D105" i="8" s="1" a="1"/>
  <c r="D105" i="8" s="1"/>
  <c r="D266" i="2" a="1"/>
  <c r="D266" i="2" s="1"/>
  <c r="AJ265" i="2" a="1"/>
  <c r="AJ265" i="2" s="1"/>
  <c r="P265" i="2" a="1"/>
  <c r="P265" i="2" s="1"/>
  <c r="H265" i="2" a="1"/>
  <c r="H265" i="2" s="1"/>
  <c r="G265" i="2" a="1"/>
  <c r="G265" i="2" s="1"/>
  <c r="F265" i="2" a="1"/>
  <c r="F265" i="2" s="1"/>
  <c r="D32" i="9" s="1" a="1"/>
  <c r="D32" i="9" s="1"/>
  <c r="D265" i="2" a="1"/>
  <c r="D265" i="2" s="1"/>
  <c r="B32" i="9" s="1" a="1"/>
  <c r="B32" i="9" s="1"/>
  <c r="AH264" i="2" a="1"/>
  <c r="AH264" i="2" s="1"/>
  <c r="R264" i="2" a="1"/>
  <c r="R264" i="2" s="1"/>
  <c r="Q264" i="2" a="1"/>
  <c r="Q264" i="2" s="1"/>
  <c r="AF264" i="2" s="1" a="1"/>
  <c r="AF264" i="2" s="1"/>
  <c r="P264" i="2" a="1"/>
  <c r="P264" i="2" s="1"/>
  <c r="H264" i="2" a="1"/>
  <c r="H264" i="2" s="1"/>
  <c r="G264" i="2" a="1"/>
  <c r="G264" i="2" s="1"/>
  <c r="F264" i="2" a="1"/>
  <c r="F264" i="2" s="1"/>
  <c r="D104" i="8" s="1" a="1"/>
  <c r="D104" i="8" s="1"/>
  <c r="D264" i="2" a="1"/>
  <c r="D264" i="2" s="1"/>
  <c r="B104" i="8" s="1" a="1"/>
  <c r="B104" i="8" s="1"/>
  <c r="AH263" i="2" a="1"/>
  <c r="AH263" i="2" s="1"/>
  <c r="R263" i="2" a="1"/>
  <c r="R263" i="2" s="1"/>
  <c r="Q263" i="2" a="1"/>
  <c r="Q263" i="2" s="1"/>
  <c r="Y263" i="2" s="1" a="1"/>
  <c r="Y263" i="2" s="1"/>
  <c r="P263" i="2" a="1"/>
  <c r="P263" i="2" s="1"/>
  <c r="H263" i="2" a="1"/>
  <c r="H263" i="2" s="1"/>
  <c r="G263" i="2" a="1"/>
  <c r="G263" i="2" s="1"/>
  <c r="F263" i="2" a="1"/>
  <c r="F263" i="2" s="1"/>
  <c r="D263" i="2" a="1"/>
  <c r="D263" i="2" s="1"/>
  <c r="AH262" i="2" a="1"/>
  <c r="AH262" i="2" s="1"/>
  <c r="R262" i="2" a="1"/>
  <c r="R262" i="2" s="1"/>
  <c r="Q262" i="2" a="1"/>
  <c r="Q262" i="2" s="1"/>
  <c r="P262" i="2" a="1"/>
  <c r="P262" i="2" s="1"/>
  <c r="H262" i="2" a="1"/>
  <c r="H262" i="2" s="1"/>
  <c r="G262" i="2" a="1"/>
  <c r="G262" i="2" s="1"/>
  <c r="F262" i="2" a="1"/>
  <c r="F262" i="2" s="1"/>
  <c r="D103" i="8" s="1" a="1"/>
  <c r="D103" i="8" s="1"/>
  <c r="D262" i="2" a="1"/>
  <c r="D262" i="2" s="1"/>
  <c r="B103" i="8" s="1" a="1"/>
  <c r="B103" i="8" s="1"/>
  <c r="AH261" i="2" a="1"/>
  <c r="AH261" i="2" s="1"/>
  <c r="R261" i="2" a="1"/>
  <c r="R261" i="2" s="1"/>
  <c r="Q261" i="2" a="1"/>
  <c r="Q261" i="2" s="1"/>
  <c r="AA261" i="2" s="1" a="1"/>
  <c r="AA261" i="2" s="1"/>
  <c r="P261" i="2" a="1"/>
  <c r="P261" i="2" s="1"/>
  <c r="H261" i="2" a="1"/>
  <c r="H261" i="2" s="1"/>
  <c r="G261" i="2" a="1"/>
  <c r="G261" i="2" s="1"/>
  <c r="F261" i="2" a="1"/>
  <c r="F261" i="2" s="1"/>
  <c r="D261" i="2" a="1"/>
  <c r="D261" i="2" s="1"/>
  <c r="AJ260" i="2" a="1"/>
  <c r="AJ260" i="2" s="1"/>
  <c r="AM260" i="2" s="1" a="1"/>
  <c r="AM260" i="2" s="1"/>
  <c r="P260" i="2" a="1"/>
  <c r="P260" i="2" s="1"/>
  <c r="H260" i="2" a="1"/>
  <c r="H260" i="2" s="1"/>
  <c r="G260" i="2" a="1"/>
  <c r="G260" i="2" s="1"/>
  <c r="F260" i="2" a="1"/>
  <c r="F260" i="2" s="1"/>
  <c r="D31" i="9" s="1" a="1"/>
  <c r="D31" i="9" s="1"/>
  <c r="D260" i="2" a="1"/>
  <c r="D260" i="2" s="1"/>
  <c r="AH259" i="2" a="1"/>
  <c r="AH259" i="2" s="1"/>
  <c r="R259" i="2" a="1"/>
  <c r="R259" i="2" s="1"/>
  <c r="Q259" i="2" a="1"/>
  <c r="Q259" i="2" s="1"/>
  <c r="P259" i="2" a="1"/>
  <c r="P259" i="2" s="1"/>
  <c r="H259" i="2" a="1"/>
  <c r="H259" i="2" s="1"/>
  <c r="G259" i="2" a="1"/>
  <c r="G259" i="2" s="1"/>
  <c r="F259" i="2" a="1"/>
  <c r="F259" i="2" s="1"/>
  <c r="D102" i="8" s="1" a="1"/>
  <c r="D102" i="8" s="1"/>
  <c r="D259" i="2" a="1"/>
  <c r="D259" i="2" s="1"/>
  <c r="AH258" i="2" a="1"/>
  <c r="AH258" i="2" s="1"/>
  <c r="R258" i="2" a="1"/>
  <c r="R258" i="2" s="1"/>
  <c r="Q258" i="2" a="1"/>
  <c r="Q258" i="2" s="1"/>
  <c r="P258" i="2" a="1"/>
  <c r="P258" i="2" s="1"/>
  <c r="H258" i="2" a="1"/>
  <c r="H258" i="2" s="1"/>
  <c r="G258" i="2" a="1"/>
  <c r="G258" i="2" s="1"/>
  <c r="F258" i="2" a="1"/>
  <c r="F258" i="2" s="1"/>
  <c r="D258" i="2" a="1"/>
  <c r="D258" i="2" s="1"/>
  <c r="AH257" i="2" a="1"/>
  <c r="AH257" i="2" s="1"/>
  <c r="R257" i="2" a="1"/>
  <c r="R257" i="2" s="1"/>
  <c r="Q257" i="2" a="1"/>
  <c r="Q257" i="2" s="1"/>
  <c r="AD257" i="2" s="1" a="1"/>
  <c r="AD257" i="2" s="1"/>
  <c r="P257" i="2" a="1"/>
  <c r="P257" i="2" s="1"/>
  <c r="H257" i="2" a="1"/>
  <c r="H257" i="2" s="1"/>
  <c r="G257" i="2" a="1"/>
  <c r="G257" i="2" s="1"/>
  <c r="F257" i="2" a="1"/>
  <c r="F257" i="2" s="1"/>
  <c r="D101" i="8" s="1" a="1"/>
  <c r="D101" i="8" s="1"/>
  <c r="D257" i="2" a="1"/>
  <c r="D257" i="2" s="1"/>
  <c r="AH256" i="2" a="1"/>
  <c r="AH256" i="2" s="1"/>
  <c r="R256" i="2" a="1"/>
  <c r="R256" i="2" s="1"/>
  <c r="Q256" i="2" a="1"/>
  <c r="Q256" i="2" s="1"/>
  <c r="Y256" i="2" s="1" a="1"/>
  <c r="Y256" i="2" s="1"/>
  <c r="P256" i="2" a="1"/>
  <c r="P256" i="2" s="1"/>
  <c r="H256" i="2" a="1"/>
  <c r="H256" i="2" s="1"/>
  <c r="G256" i="2" a="1"/>
  <c r="G256" i="2" s="1"/>
  <c r="F256" i="2" a="1"/>
  <c r="F256" i="2" s="1"/>
  <c r="D100" i="8" s="1" a="1"/>
  <c r="D100" i="8" s="1"/>
  <c r="D256" i="2" a="1"/>
  <c r="D256" i="2" s="1"/>
  <c r="AH255" i="2" a="1"/>
  <c r="AH255" i="2" s="1"/>
  <c r="R255" i="2" a="1"/>
  <c r="R255" i="2" s="1"/>
  <c r="Q255" i="2" a="1"/>
  <c r="Q255" i="2" s="1"/>
  <c r="Y255" i="2" s="1" a="1"/>
  <c r="Y255" i="2" s="1"/>
  <c r="P255" i="2" a="1"/>
  <c r="P255" i="2" s="1"/>
  <c r="H255" i="2" a="1"/>
  <c r="H255" i="2" s="1"/>
  <c r="G255" i="2" a="1"/>
  <c r="G255" i="2" s="1"/>
  <c r="F255" i="2" a="1"/>
  <c r="F255" i="2" s="1"/>
  <c r="D99" i="8" s="1" a="1"/>
  <c r="D99" i="8" s="1"/>
  <c r="D255" i="2" a="1"/>
  <c r="D255" i="2" s="1"/>
  <c r="AH254" i="2" a="1"/>
  <c r="AH254" i="2" s="1"/>
  <c r="R254" i="2" a="1"/>
  <c r="R254" i="2" s="1"/>
  <c r="Q254" i="2" a="1"/>
  <c r="Q254" i="2" s="1"/>
  <c r="P254" i="2" a="1"/>
  <c r="P254" i="2" s="1"/>
  <c r="H254" i="2" a="1"/>
  <c r="H254" i="2" s="1"/>
  <c r="G254" i="2" a="1"/>
  <c r="G254" i="2" s="1"/>
  <c r="F254" i="2" a="1"/>
  <c r="F254" i="2" s="1"/>
  <c r="D98" i="8" s="1" a="1"/>
  <c r="D98" i="8" s="1"/>
  <c r="D254" i="2" a="1"/>
  <c r="D254" i="2" s="1"/>
  <c r="AH253" i="2" a="1"/>
  <c r="AH253" i="2" s="1"/>
  <c r="R253" i="2" a="1"/>
  <c r="R253" i="2" s="1"/>
  <c r="Q253" i="2" a="1"/>
  <c r="Q253" i="2" s="1"/>
  <c r="AG253" i="2" s="1" a="1"/>
  <c r="AG253" i="2" s="1"/>
  <c r="P253" i="2" a="1"/>
  <c r="P253" i="2" s="1"/>
  <c r="H253" i="2" a="1"/>
  <c r="H253" i="2" s="1"/>
  <c r="G253" i="2" a="1"/>
  <c r="G253" i="2" s="1"/>
  <c r="F253" i="2" a="1"/>
  <c r="F253" i="2" s="1"/>
  <c r="D97" i="8" s="1" a="1"/>
  <c r="D97" i="8" s="1"/>
  <c r="D253" i="2" a="1"/>
  <c r="D253" i="2" s="1"/>
  <c r="AH252" i="2" a="1"/>
  <c r="AH252" i="2" s="1"/>
  <c r="R252" i="2" a="1"/>
  <c r="R252" i="2" s="1"/>
  <c r="Q252" i="2" a="1"/>
  <c r="Q252" i="2" s="1"/>
  <c r="P252" i="2" a="1"/>
  <c r="P252" i="2" s="1"/>
  <c r="H252" i="2" a="1"/>
  <c r="H252" i="2" s="1"/>
  <c r="G252" i="2" a="1"/>
  <c r="G252" i="2" s="1"/>
  <c r="F252" i="2" a="1"/>
  <c r="F252" i="2" s="1"/>
  <c r="D252" i="2" a="1"/>
  <c r="D252" i="2" s="1"/>
  <c r="AH251" i="2" a="1"/>
  <c r="AH251" i="2" s="1"/>
  <c r="R251" i="2" a="1"/>
  <c r="R251" i="2" s="1"/>
  <c r="Q251" i="2" a="1"/>
  <c r="Q251" i="2" s="1"/>
  <c r="Y251" i="2" s="1" a="1"/>
  <c r="Y251" i="2" s="1"/>
  <c r="P251" i="2" a="1"/>
  <c r="P251" i="2" s="1"/>
  <c r="H251" i="2" a="1"/>
  <c r="H251" i="2" s="1"/>
  <c r="G251" i="2" a="1"/>
  <c r="G251" i="2" s="1"/>
  <c r="F251" i="2" a="1"/>
  <c r="F251" i="2" s="1"/>
  <c r="D96" i="8" s="1" a="1"/>
  <c r="D96" i="8" s="1"/>
  <c r="D251" i="2" a="1"/>
  <c r="D251" i="2" s="1"/>
  <c r="AH250" i="2" a="1"/>
  <c r="AH250" i="2" s="1"/>
  <c r="R250" i="2" a="1"/>
  <c r="R250" i="2" s="1"/>
  <c r="Q250" i="2" a="1"/>
  <c r="Q250" i="2" s="1"/>
  <c r="AG250" i="2" s="1" a="1"/>
  <c r="AG250" i="2" s="1"/>
  <c r="P250" i="2" a="1"/>
  <c r="P250" i="2" s="1"/>
  <c r="H250" i="2" a="1"/>
  <c r="H250" i="2" s="1"/>
  <c r="G250" i="2" a="1"/>
  <c r="G250" i="2" s="1"/>
  <c r="F250" i="2" a="1"/>
  <c r="F250" i="2" s="1"/>
  <c r="D95" i="8" s="1" a="1"/>
  <c r="D95" i="8" s="1"/>
  <c r="D250" i="2" a="1"/>
  <c r="D250" i="2" s="1"/>
  <c r="AH249" i="2" a="1"/>
  <c r="AH249" i="2" s="1"/>
  <c r="R249" i="2" a="1"/>
  <c r="R249" i="2" s="1"/>
  <c r="Q249" i="2" a="1"/>
  <c r="Q249" i="2" s="1"/>
  <c r="P249" i="2" a="1"/>
  <c r="P249" i="2" s="1"/>
  <c r="H249" i="2" a="1"/>
  <c r="H249" i="2" s="1"/>
  <c r="G249" i="2" a="1"/>
  <c r="G249" i="2" s="1"/>
  <c r="F249" i="2" a="1"/>
  <c r="F249" i="2" s="1"/>
  <c r="D94" i="8" s="1" a="1"/>
  <c r="D94" i="8" s="1"/>
  <c r="D249" i="2" a="1"/>
  <c r="D249" i="2" s="1"/>
  <c r="AH248" i="2" a="1"/>
  <c r="AH248" i="2" s="1"/>
  <c r="R248" i="2" a="1"/>
  <c r="R248" i="2" s="1"/>
  <c r="Q248" i="2" a="1"/>
  <c r="Q248" i="2" s="1"/>
  <c r="AB248" i="2" s="1" a="1"/>
  <c r="AB248" i="2" s="1"/>
  <c r="P248" i="2" a="1"/>
  <c r="P248" i="2" s="1"/>
  <c r="H248" i="2" a="1"/>
  <c r="H248" i="2" s="1"/>
  <c r="G248" i="2" a="1"/>
  <c r="G248" i="2" s="1"/>
  <c r="F248" i="2" a="1"/>
  <c r="F248" i="2" s="1"/>
  <c r="D93" i="8" s="1" a="1"/>
  <c r="D93" i="8" s="1"/>
  <c r="D248" i="2" a="1"/>
  <c r="D248" i="2" s="1"/>
  <c r="AH247" i="2" a="1"/>
  <c r="AH247" i="2" s="1"/>
  <c r="R247" i="2" a="1"/>
  <c r="R247" i="2" s="1"/>
  <c r="Q247" i="2" a="1"/>
  <c r="Q247" i="2" s="1"/>
  <c r="P247" i="2" a="1"/>
  <c r="P247" i="2" s="1"/>
  <c r="H247" i="2" a="1"/>
  <c r="H247" i="2" s="1"/>
  <c r="G247" i="2" a="1"/>
  <c r="G247" i="2" s="1"/>
  <c r="F247" i="2" a="1"/>
  <c r="F247" i="2" s="1"/>
  <c r="D247" i="2" a="1"/>
  <c r="D247" i="2" s="1"/>
  <c r="AH246" i="2" a="1"/>
  <c r="AH246" i="2" s="1"/>
  <c r="R246" i="2" a="1"/>
  <c r="R246" i="2" s="1"/>
  <c r="Q246" i="2" a="1"/>
  <c r="Q246" i="2" s="1"/>
  <c r="P246" i="2" a="1"/>
  <c r="P246" i="2" s="1"/>
  <c r="H246" i="2" a="1"/>
  <c r="H246" i="2" s="1"/>
  <c r="G246" i="2" a="1"/>
  <c r="G246" i="2" s="1"/>
  <c r="F246" i="2" a="1"/>
  <c r="F246" i="2" s="1"/>
  <c r="D246" i="2" a="1"/>
  <c r="D246" i="2" s="1"/>
  <c r="AH245" i="2" a="1"/>
  <c r="AH245" i="2" s="1"/>
  <c r="R245" i="2" a="1"/>
  <c r="R245" i="2" s="1"/>
  <c r="Q245" i="2" a="1"/>
  <c r="Q245" i="2" s="1"/>
  <c r="P245" i="2" a="1"/>
  <c r="P245" i="2" s="1"/>
  <c r="H245" i="2" a="1"/>
  <c r="H245" i="2" s="1"/>
  <c r="G245" i="2" a="1"/>
  <c r="G245" i="2" s="1"/>
  <c r="F245" i="2" a="1"/>
  <c r="F245" i="2" s="1"/>
  <c r="D245" i="2" a="1"/>
  <c r="D245" i="2" s="1"/>
  <c r="AH244" i="2" a="1"/>
  <c r="AH244" i="2" s="1"/>
  <c r="R244" i="2" a="1"/>
  <c r="R244" i="2" s="1"/>
  <c r="Q244" i="2" a="1"/>
  <c r="Q244" i="2" s="1"/>
  <c r="P244" i="2" a="1"/>
  <c r="P244" i="2" s="1"/>
  <c r="H244" i="2" a="1"/>
  <c r="H244" i="2" s="1"/>
  <c r="G244" i="2" a="1"/>
  <c r="G244" i="2" s="1"/>
  <c r="F244" i="2" a="1"/>
  <c r="F244" i="2" s="1"/>
  <c r="D244" i="2" a="1"/>
  <c r="D244" i="2" s="1"/>
  <c r="AH243" i="2" a="1"/>
  <c r="AH243" i="2" s="1"/>
  <c r="R243" i="2" a="1"/>
  <c r="R243" i="2" s="1"/>
  <c r="Q243" i="2" a="1"/>
  <c r="Q243" i="2" s="1"/>
  <c r="AB243" i="2" s="1" a="1"/>
  <c r="AB243" i="2" s="1"/>
  <c r="P243" i="2" a="1"/>
  <c r="P243" i="2" s="1"/>
  <c r="H243" i="2" a="1"/>
  <c r="H243" i="2" s="1"/>
  <c r="G243" i="2" a="1"/>
  <c r="G243" i="2" s="1"/>
  <c r="F243" i="2" a="1"/>
  <c r="F243" i="2" s="1"/>
  <c r="D92" i="8" s="1" a="1"/>
  <c r="D92" i="8" s="1"/>
  <c r="D243" i="2" a="1"/>
  <c r="D243" i="2" s="1"/>
  <c r="AH242" i="2" a="1"/>
  <c r="AH242" i="2" s="1"/>
  <c r="R242" i="2" a="1"/>
  <c r="R242" i="2" s="1"/>
  <c r="Q242" i="2" a="1"/>
  <c r="Q242" i="2" s="1"/>
  <c r="P242" i="2" a="1"/>
  <c r="P242" i="2" s="1"/>
  <c r="H242" i="2" a="1"/>
  <c r="H242" i="2" s="1"/>
  <c r="G242" i="2" a="1"/>
  <c r="G242" i="2" s="1"/>
  <c r="F242" i="2" a="1"/>
  <c r="F242" i="2" s="1"/>
  <c r="D91" i="8" s="1" a="1"/>
  <c r="D91" i="8" s="1"/>
  <c r="D242" i="2" a="1"/>
  <c r="D242" i="2" s="1"/>
  <c r="B91" i="8" s="1" a="1"/>
  <c r="B91" i="8" s="1"/>
  <c r="AH241" i="2" a="1"/>
  <c r="AH241" i="2" s="1"/>
  <c r="R241" i="2" a="1"/>
  <c r="R241" i="2" s="1"/>
  <c r="Q241" i="2" a="1"/>
  <c r="Q241" i="2" s="1"/>
  <c r="AF241" i="2" s="1" a="1"/>
  <c r="AF241" i="2" s="1"/>
  <c r="P241" i="2" a="1"/>
  <c r="P241" i="2" s="1"/>
  <c r="H241" i="2" a="1"/>
  <c r="H241" i="2" s="1"/>
  <c r="G241" i="2" a="1"/>
  <c r="G241" i="2" s="1"/>
  <c r="F241" i="2" a="1"/>
  <c r="F241" i="2" s="1"/>
  <c r="D241" i="2" a="1"/>
  <c r="D241" i="2" s="1"/>
  <c r="AH240" i="2" a="1"/>
  <c r="AH240" i="2" s="1"/>
  <c r="R240" i="2" a="1"/>
  <c r="R240" i="2" s="1"/>
  <c r="Q240" i="2" a="1"/>
  <c r="Q240" i="2" s="1"/>
  <c r="P240" i="2" a="1"/>
  <c r="P240" i="2" s="1"/>
  <c r="H240" i="2" a="1"/>
  <c r="H240" i="2" s="1"/>
  <c r="G240" i="2" a="1"/>
  <c r="G240" i="2" s="1"/>
  <c r="F240" i="2" a="1"/>
  <c r="F240" i="2" s="1"/>
  <c r="D90" i="8" s="1" a="1"/>
  <c r="D90" i="8" s="1"/>
  <c r="D240" i="2" a="1"/>
  <c r="D240" i="2" s="1"/>
  <c r="B90" i="8" s="1" a="1"/>
  <c r="B90" i="8" s="1"/>
  <c r="AH239" i="2" a="1"/>
  <c r="AH239" i="2" s="1"/>
  <c r="R239" i="2" a="1"/>
  <c r="R239" i="2" s="1"/>
  <c r="Q239" i="2" a="1"/>
  <c r="Q239" i="2" s="1"/>
  <c r="P239" i="2" a="1"/>
  <c r="P239" i="2" s="1"/>
  <c r="H239" i="2" a="1"/>
  <c r="H239" i="2" s="1"/>
  <c r="G239" i="2" a="1"/>
  <c r="G239" i="2" s="1"/>
  <c r="F239" i="2" a="1"/>
  <c r="F239" i="2" s="1"/>
  <c r="D239" i="2" a="1"/>
  <c r="D239" i="2" s="1"/>
  <c r="AH238" i="2" a="1"/>
  <c r="AH238" i="2" s="1"/>
  <c r="R238" i="2" a="1"/>
  <c r="R238" i="2" s="1"/>
  <c r="Q238" i="2" a="1"/>
  <c r="Q238" i="2" s="1"/>
  <c r="P238" i="2" a="1"/>
  <c r="P238" i="2" s="1"/>
  <c r="H238" i="2" a="1"/>
  <c r="H238" i="2" s="1"/>
  <c r="G238" i="2" a="1"/>
  <c r="G238" i="2" s="1"/>
  <c r="F238" i="2" a="1"/>
  <c r="F238" i="2" s="1"/>
  <c r="D238" i="2" a="1"/>
  <c r="D238" i="2" s="1"/>
  <c r="AH237" i="2" a="1"/>
  <c r="AH237" i="2" s="1"/>
  <c r="R237" i="2" a="1"/>
  <c r="R237" i="2" s="1"/>
  <c r="Q237" i="2" a="1"/>
  <c r="Q237" i="2" s="1"/>
  <c r="Z237" i="2" s="1" a="1"/>
  <c r="Z237" i="2" s="1"/>
  <c r="P237" i="2" a="1"/>
  <c r="P237" i="2" s="1"/>
  <c r="H237" i="2" a="1"/>
  <c r="H237" i="2" s="1"/>
  <c r="G237" i="2" a="1"/>
  <c r="G237" i="2" s="1"/>
  <c r="F237" i="2" a="1"/>
  <c r="F237" i="2" s="1"/>
  <c r="D237" i="2" a="1"/>
  <c r="D237" i="2" s="1"/>
  <c r="AH236" i="2" a="1"/>
  <c r="AH236" i="2" s="1"/>
  <c r="R236" i="2" a="1"/>
  <c r="R236" i="2" s="1"/>
  <c r="Q236" i="2" a="1"/>
  <c r="Q236" i="2" s="1"/>
  <c r="P236" i="2" a="1"/>
  <c r="P236" i="2" s="1"/>
  <c r="H236" i="2" a="1"/>
  <c r="H236" i="2" s="1"/>
  <c r="G236" i="2" a="1"/>
  <c r="G236" i="2" s="1"/>
  <c r="F236" i="2" a="1"/>
  <c r="F236" i="2" s="1"/>
  <c r="D89" i="8" s="1" a="1"/>
  <c r="D89" i="8" s="1"/>
  <c r="D236" i="2" a="1"/>
  <c r="D236" i="2" s="1"/>
  <c r="B89" i="8" s="1" a="1"/>
  <c r="B89" i="8" s="1"/>
  <c r="AH235" i="2" a="1"/>
  <c r="AH235" i="2" s="1"/>
  <c r="R235" i="2" a="1"/>
  <c r="R235" i="2" s="1"/>
  <c r="Q235" i="2" a="1"/>
  <c r="Q235" i="2" s="1"/>
  <c r="Z235" i="2" s="1" a="1"/>
  <c r="Z235" i="2" s="1"/>
  <c r="P235" i="2" a="1"/>
  <c r="P235" i="2" s="1"/>
  <c r="H235" i="2" a="1"/>
  <c r="H235" i="2" s="1"/>
  <c r="G235" i="2" a="1"/>
  <c r="G235" i="2" s="1"/>
  <c r="F235" i="2" a="1"/>
  <c r="F235" i="2" s="1"/>
  <c r="D235" i="2" a="1"/>
  <c r="D235" i="2" s="1"/>
  <c r="AH234" i="2" a="1"/>
  <c r="AH234" i="2" s="1"/>
  <c r="R234" i="2" a="1"/>
  <c r="R234" i="2" s="1"/>
  <c r="Q234" i="2" a="1"/>
  <c r="Q234" i="2" s="1"/>
  <c r="P234" i="2" a="1"/>
  <c r="P234" i="2" s="1"/>
  <c r="H234" i="2" a="1"/>
  <c r="H234" i="2" s="1"/>
  <c r="G234" i="2" a="1"/>
  <c r="G234" i="2" s="1"/>
  <c r="F234" i="2" a="1"/>
  <c r="F234" i="2" s="1"/>
  <c r="D88" i="8" s="1" a="1"/>
  <c r="D88" i="8" s="1"/>
  <c r="D234" i="2" a="1"/>
  <c r="D234" i="2" s="1"/>
  <c r="AH233" i="2" a="1"/>
  <c r="AH233" i="2" s="1"/>
  <c r="R233" i="2" a="1"/>
  <c r="R233" i="2" s="1"/>
  <c r="Q233" i="2" a="1"/>
  <c r="Q233" i="2" s="1"/>
  <c r="P233" i="2" a="1"/>
  <c r="P233" i="2" s="1"/>
  <c r="H233" i="2" a="1"/>
  <c r="H233" i="2" s="1"/>
  <c r="G233" i="2" a="1"/>
  <c r="G233" i="2" s="1"/>
  <c r="F233" i="2" a="1"/>
  <c r="F233" i="2" s="1"/>
  <c r="D87" i="8" s="1" a="1"/>
  <c r="D87" i="8" s="1"/>
  <c r="D233" i="2" a="1"/>
  <c r="D233" i="2" s="1"/>
  <c r="AH232" i="2" a="1"/>
  <c r="AH232" i="2" s="1"/>
  <c r="R232" i="2" a="1"/>
  <c r="R232" i="2" s="1"/>
  <c r="Q232" i="2" a="1"/>
  <c r="Q232" i="2" s="1"/>
  <c r="P232" i="2" a="1"/>
  <c r="P232" i="2" s="1"/>
  <c r="H232" i="2" a="1"/>
  <c r="H232" i="2" s="1"/>
  <c r="G232" i="2" a="1"/>
  <c r="G232" i="2" s="1"/>
  <c r="F232" i="2" a="1"/>
  <c r="F232" i="2" s="1"/>
  <c r="D86" i="8" s="1" a="1"/>
  <c r="D86" i="8" s="1"/>
  <c r="D232" i="2" a="1"/>
  <c r="D232" i="2" s="1"/>
  <c r="B86" i="8" s="1" a="1"/>
  <c r="B86" i="8" s="1"/>
  <c r="AH231" i="2" a="1"/>
  <c r="AH231" i="2" s="1"/>
  <c r="R231" i="2" a="1"/>
  <c r="R231" i="2" s="1"/>
  <c r="Q231" i="2" a="1"/>
  <c r="Q231" i="2" s="1"/>
  <c r="P231" i="2" a="1"/>
  <c r="P231" i="2" s="1"/>
  <c r="H231" i="2" a="1"/>
  <c r="H231" i="2" s="1"/>
  <c r="G231" i="2" a="1"/>
  <c r="G231" i="2" s="1"/>
  <c r="F231" i="2" a="1"/>
  <c r="F231" i="2" s="1"/>
  <c r="D231" i="2" a="1"/>
  <c r="D231" i="2" s="1"/>
  <c r="AH230" i="2" a="1"/>
  <c r="AH230" i="2" s="1"/>
  <c r="R230" i="2" a="1"/>
  <c r="R230" i="2" s="1"/>
  <c r="Q230" i="2" a="1"/>
  <c r="Q230" i="2" s="1"/>
  <c r="AG230" i="2" s="1" a="1"/>
  <c r="AG230" i="2" s="1"/>
  <c r="P230" i="2" a="1"/>
  <c r="P230" i="2" s="1"/>
  <c r="H230" i="2" a="1"/>
  <c r="H230" i="2" s="1"/>
  <c r="G230" i="2" a="1"/>
  <c r="G230" i="2" s="1"/>
  <c r="F230" i="2" a="1"/>
  <c r="F230" i="2" s="1"/>
  <c r="D85" i="8" s="1" a="1"/>
  <c r="D85" i="8" s="1"/>
  <c r="D230" i="2" a="1"/>
  <c r="D230" i="2" s="1"/>
  <c r="AH229" i="2" a="1"/>
  <c r="AH229" i="2" s="1"/>
  <c r="R229" i="2" a="1"/>
  <c r="R229" i="2" s="1"/>
  <c r="Q229" i="2" a="1"/>
  <c r="Q229" i="2" s="1"/>
  <c r="P229" i="2" a="1"/>
  <c r="P229" i="2" s="1"/>
  <c r="H229" i="2" a="1"/>
  <c r="H229" i="2" s="1"/>
  <c r="G229" i="2" a="1"/>
  <c r="G229" i="2" s="1"/>
  <c r="F229" i="2" a="1"/>
  <c r="F229" i="2" s="1"/>
  <c r="D229" i="2" a="1"/>
  <c r="D229" i="2" s="1"/>
  <c r="AH228" i="2" a="1"/>
  <c r="AH228" i="2" s="1"/>
  <c r="R228" i="2" a="1"/>
  <c r="R228" i="2" s="1"/>
  <c r="Q228" i="2" a="1"/>
  <c r="Q228" i="2" s="1"/>
  <c r="P228" i="2" a="1"/>
  <c r="P228" i="2" s="1"/>
  <c r="H228" i="2" a="1"/>
  <c r="H228" i="2" s="1"/>
  <c r="G228" i="2" a="1"/>
  <c r="G228" i="2" s="1"/>
  <c r="F228" i="2" a="1"/>
  <c r="F228" i="2" s="1"/>
  <c r="D228" i="2" a="1"/>
  <c r="D228" i="2" s="1"/>
  <c r="AH227" i="2" a="1"/>
  <c r="AH227" i="2" s="1"/>
  <c r="R227" i="2" a="1"/>
  <c r="R227" i="2" s="1"/>
  <c r="Q227" i="2" a="1"/>
  <c r="Q227" i="2" s="1"/>
  <c r="P227" i="2" a="1"/>
  <c r="P227" i="2" s="1"/>
  <c r="H227" i="2" a="1"/>
  <c r="H227" i="2" s="1"/>
  <c r="G227" i="2" a="1"/>
  <c r="G227" i="2" s="1"/>
  <c r="F227" i="2" a="1"/>
  <c r="F227" i="2" s="1"/>
  <c r="D84" i="8" s="1" a="1"/>
  <c r="D84" i="8" s="1"/>
  <c r="D227" i="2" a="1"/>
  <c r="D227" i="2" s="1"/>
  <c r="B84" i="8" s="1" a="1"/>
  <c r="B84" i="8" s="1"/>
  <c r="AH226" i="2" a="1"/>
  <c r="AH226" i="2" s="1"/>
  <c r="R226" i="2" a="1"/>
  <c r="R226" i="2" s="1"/>
  <c r="Q226" i="2" a="1"/>
  <c r="Q226" i="2" s="1"/>
  <c r="P226" i="2" a="1"/>
  <c r="P226" i="2" s="1"/>
  <c r="H226" i="2" a="1"/>
  <c r="H226" i="2" s="1"/>
  <c r="G226" i="2" a="1"/>
  <c r="G226" i="2" s="1"/>
  <c r="F226" i="2" a="1"/>
  <c r="F226" i="2" s="1"/>
  <c r="D83" i="8" s="1" a="1"/>
  <c r="D83" i="8" s="1"/>
  <c r="D226" i="2" a="1"/>
  <c r="D226" i="2" s="1"/>
  <c r="B83" i="8" s="1" a="1"/>
  <c r="B83" i="8" s="1"/>
  <c r="AH225" i="2" a="1"/>
  <c r="AH225" i="2" s="1"/>
  <c r="R225" i="2" a="1"/>
  <c r="R225" i="2" s="1"/>
  <c r="Q225" i="2" a="1"/>
  <c r="Q225" i="2" s="1"/>
  <c r="AA225" i="2" s="1" a="1"/>
  <c r="AA225" i="2" s="1"/>
  <c r="P225" i="2" a="1"/>
  <c r="P225" i="2" s="1"/>
  <c r="H225" i="2" a="1"/>
  <c r="H225" i="2" s="1"/>
  <c r="G225" i="2" a="1"/>
  <c r="G225" i="2" s="1"/>
  <c r="F225" i="2" a="1"/>
  <c r="F225" i="2" s="1"/>
  <c r="D82" i="8" s="1" a="1"/>
  <c r="D82" i="8" s="1"/>
  <c r="D225" i="2" a="1"/>
  <c r="D225" i="2" s="1"/>
  <c r="AH224" i="2" a="1"/>
  <c r="AH224" i="2" s="1"/>
  <c r="R224" i="2" a="1"/>
  <c r="R224" i="2" s="1"/>
  <c r="Q224" i="2" a="1"/>
  <c r="Q224" i="2" s="1"/>
  <c r="P224" i="2" a="1"/>
  <c r="P224" i="2" s="1"/>
  <c r="H224" i="2" a="1"/>
  <c r="H224" i="2" s="1"/>
  <c r="G224" i="2" a="1"/>
  <c r="G224" i="2" s="1"/>
  <c r="F224" i="2" a="1"/>
  <c r="F224" i="2" s="1"/>
  <c r="D81" i="8" s="1" a="1"/>
  <c r="D81" i="8" s="1"/>
  <c r="D224" i="2" a="1"/>
  <c r="D224" i="2" s="1"/>
  <c r="AH223" i="2" a="1"/>
  <c r="AH223" i="2" s="1"/>
  <c r="R223" i="2" a="1"/>
  <c r="R223" i="2" s="1"/>
  <c r="Q223" i="2" a="1"/>
  <c r="Q223" i="2" s="1"/>
  <c r="AF223" i="2" s="1" a="1"/>
  <c r="AF223" i="2" s="1"/>
  <c r="P223" i="2" a="1"/>
  <c r="P223" i="2" s="1"/>
  <c r="H223" i="2" a="1"/>
  <c r="H223" i="2" s="1"/>
  <c r="G223" i="2" a="1"/>
  <c r="G223" i="2" s="1"/>
  <c r="F223" i="2" a="1"/>
  <c r="F223" i="2" s="1"/>
  <c r="D80" i="8" s="1" a="1"/>
  <c r="D80" i="8" s="1"/>
  <c r="D223" i="2" a="1"/>
  <c r="D223" i="2" s="1"/>
  <c r="AH222" i="2" a="1"/>
  <c r="AH222" i="2" s="1"/>
  <c r="R222" i="2" a="1"/>
  <c r="R222" i="2" s="1"/>
  <c r="Q222" i="2" a="1"/>
  <c r="Q222" i="2" s="1"/>
  <c r="Y222" i="2" s="1" a="1"/>
  <c r="Y222" i="2" s="1"/>
  <c r="P222" i="2" a="1"/>
  <c r="P222" i="2" s="1"/>
  <c r="H222" i="2" a="1"/>
  <c r="H222" i="2" s="1"/>
  <c r="G222" i="2" a="1"/>
  <c r="G222" i="2" s="1"/>
  <c r="F222" i="2" a="1"/>
  <c r="F222" i="2" s="1"/>
  <c r="D222" i="2" a="1"/>
  <c r="D222" i="2" s="1"/>
  <c r="AH221" i="2" a="1"/>
  <c r="AH221" i="2" s="1"/>
  <c r="R221" i="2" a="1"/>
  <c r="R221" i="2" s="1"/>
  <c r="Q221" i="2" a="1"/>
  <c r="Q221" i="2" s="1"/>
  <c r="AG221" i="2" s="1" a="1"/>
  <c r="AG221" i="2" s="1"/>
  <c r="P221" i="2" a="1"/>
  <c r="P221" i="2" s="1"/>
  <c r="H221" i="2" a="1"/>
  <c r="H221" i="2" s="1"/>
  <c r="G221" i="2" a="1"/>
  <c r="G221" i="2" s="1"/>
  <c r="F221" i="2" a="1"/>
  <c r="F221" i="2" s="1"/>
  <c r="D79" i="8" s="1" a="1"/>
  <c r="D79" i="8" s="1"/>
  <c r="D221" i="2" a="1"/>
  <c r="D221" i="2" s="1"/>
  <c r="B79" i="8" s="1" a="1"/>
  <c r="B79" i="8" s="1"/>
  <c r="AH220" i="2" a="1"/>
  <c r="AH220" i="2" s="1"/>
  <c r="R220" i="2" a="1"/>
  <c r="R220" i="2" s="1"/>
  <c r="Q220" i="2" a="1"/>
  <c r="Q220" i="2" s="1"/>
  <c r="P220" i="2" a="1"/>
  <c r="P220" i="2" s="1"/>
  <c r="H220" i="2" a="1"/>
  <c r="H220" i="2" s="1"/>
  <c r="G220" i="2" a="1"/>
  <c r="G220" i="2" s="1"/>
  <c r="F220" i="2" a="1"/>
  <c r="F220" i="2" s="1"/>
  <c r="D78" i="8" s="1" a="1"/>
  <c r="D78" i="8" s="1"/>
  <c r="D220" i="2" a="1"/>
  <c r="D220" i="2" s="1"/>
  <c r="AH219" i="2" a="1"/>
  <c r="AH219" i="2" s="1"/>
  <c r="R219" i="2" a="1"/>
  <c r="R219" i="2" s="1"/>
  <c r="Q219" i="2" a="1"/>
  <c r="Q219" i="2" s="1"/>
  <c r="P219" i="2" a="1"/>
  <c r="P219" i="2" s="1"/>
  <c r="H219" i="2" a="1"/>
  <c r="H219" i="2" s="1"/>
  <c r="G219" i="2" a="1"/>
  <c r="G219" i="2" s="1"/>
  <c r="F219" i="2" a="1"/>
  <c r="F219" i="2" s="1"/>
  <c r="D219" i="2" a="1"/>
  <c r="D219" i="2" s="1"/>
  <c r="AH218" i="2" a="1"/>
  <c r="AH218" i="2" s="1"/>
  <c r="R218" i="2" a="1"/>
  <c r="R218" i="2" s="1"/>
  <c r="Q218" i="2" a="1"/>
  <c r="Q218" i="2" s="1"/>
  <c r="Z218" i="2" s="1" a="1"/>
  <c r="Z218" i="2" s="1"/>
  <c r="P218" i="2" a="1"/>
  <c r="P218" i="2" s="1"/>
  <c r="H218" i="2" a="1"/>
  <c r="H218" i="2" s="1"/>
  <c r="G218" i="2" a="1"/>
  <c r="G218" i="2" s="1"/>
  <c r="F218" i="2" a="1"/>
  <c r="F218" i="2" s="1"/>
  <c r="D77" i="8" s="1" a="1"/>
  <c r="D77" i="8" s="1"/>
  <c r="D218" i="2" a="1"/>
  <c r="D218" i="2" s="1"/>
  <c r="AH217" i="2" a="1"/>
  <c r="AH217" i="2" s="1"/>
  <c r="R217" i="2" a="1"/>
  <c r="R217" i="2" s="1"/>
  <c r="Q217" i="2" a="1"/>
  <c r="Q217" i="2" s="1"/>
  <c r="P217" i="2" a="1"/>
  <c r="P217" i="2" s="1"/>
  <c r="H217" i="2" a="1"/>
  <c r="H217" i="2" s="1"/>
  <c r="G217" i="2" a="1"/>
  <c r="G217" i="2" s="1"/>
  <c r="F217" i="2" a="1"/>
  <c r="F217" i="2" s="1"/>
  <c r="D217" i="2" a="1"/>
  <c r="D217" i="2" s="1"/>
  <c r="AH216" i="2" a="1"/>
  <c r="AH216" i="2" s="1"/>
  <c r="R216" i="2" a="1"/>
  <c r="R216" i="2" s="1"/>
  <c r="Q216" i="2" a="1"/>
  <c r="Q216" i="2" s="1"/>
  <c r="Y216" i="2" s="1" a="1"/>
  <c r="Y216" i="2" s="1"/>
  <c r="P216" i="2" a="1"/>
  <c r="P216" i="2" s="1"/>
  <c r="H216" i="2" a="1"/>
  <c r="H216" i="2" s="1"/>
  <c r="G216" i="2" a="1"/>
  <c r="G216" i="2" s="1"/>
  <c r="F216" i="2" a="1"/>
  <c r="F216" i="2" s="1"/>
  <c r="D76" i="8" s="1" a="1"/>
  <c r="D76" i="8" s="1"/>
  <c r="D216" i="2" a="1"/>
  <c r="D216" i="2" s="1"/>
  <c r="B76" i="8" s="1" a="1"/>
  <c r="B76" i="8" s="1"/>
  <c r="AH215" i="2" a="1"/>
  <c r="AH215" i="2" s="1"/>
  <c r="R215" i="2" a="1"/>
  <c r="R215" i="2" s="1"/>
  <c r="Q215" i="2" a="1"/>
  <c r="Q215" i="2" s="1"/>
  <c r="AA215" i="2" s="1" a="1"/>
  <c r="AA215" i="2" s="1"/>
  <c r="P215" i="2" a="1"/>
  <c r="P215" i="2" s="1"/>
  <c r="H215" i="2" a="1"/>
  <c r="H215" i="2" s="1"/>
  <c r="G215" i="2" a="1"/>
  <c r="G215" i="2" s="1"/>
  <c r="F215" i="2" a="1"/>
  <c r="F215" i="2" s="1"/>
  <c r="D75" i="8" s="1" a="1"/>
  <c r="D75" i="8" s="1"/>
  <c r="D215" i="2" a="1"/>
  <c r="D215" i="2" s="1"/>
  <c r="AJ214" i="2" a="1"/>
  <c r="AJ214" i="2" s="1"/>
  <c r="AN214" i="2" s="1" a="1"/>
  <c r="AN214" i="2" s="1"/>
  <c r="P214" i="2" a="1"/>
  <c r="P214" i="2" s="1"/>
  <c r="H214" i="2" a="1"/>
  <c r="H214" i="2" s="1"/>
  <c r="G214" i="2" a="1"/>
  <c r="G214" i="2" s="1"/>
  <c r="F214" i="2" a="1"/>
  <c r="F214" i="2" s="1"/>
  <c r="D30" i="9" s="1" a="1"/>
  <c r="D30" i="9" s="1"/>
  <c r="D214" i="2" a="1"/>
  <c r="D214" i="2" s="1"/>
  <c r="AH213" i="2" a="1"/>
  <c r="AH213" i="2" s="1"/>
  <c r="R213" i="2" a="1"/>
  <c r="R213" i="2" s="1"/>
  <c r="Q213" i="2" a="1"/>
  <c r="Q213" i="2" s="1"/>
  <c r="P213" i="2" a="1"/>
  <c r="P213" i="2" s="1"/>
  <c r="H213" i="2" a="1"/>
  <c r="H213" i="2" s="1"/>
  <c r="G213" i="2" a="1"/>
  <c r="G213" i="2" s="1"/>
  <c r="F213" i="2" a="1"/>
  <c r="F213" i="2" s="1"/>
  <c r="D213" i="2" a="1"/>
  <c r="D213" i="2" s="1"/>
  <c r="AJ212" i="2" a="1"/>
  <c r="AJ212" i="2" s="1"/>
  <c r="P212" i="2" a="1"/>
  <c r="P212" i="2" s="1"/>
  <c r="H212" i="2" a="1"/>
  <c r="H212" i="2" s="1"/>
  <c r="G212" i="2" a="1"/>
  <c r="G212" i="2" s="1"/>
  <c r="F212" i="2" a="1"/>
  <c r="F212" i="2" s="1"/>
  <c r="D29" i="9" s="1" a="1"/>
  <c r="D29" i="9" s="1"/>
  <c r="D212" i="2" a="1"/>
  <c r="D212" i="2" s="1"/>
  <c r="AH211" i="2" a="1"/>
  <c r="AH211" i="2" s="1"/>
  <c r="R211" i="2" a="1"/>
  <c r="R211" i="2" s="1"/>
  <c r="Q211" i="2" a="1"/>
  <c r="Q211" i="2" s="1"/>
  <c r="Z211" i="2" s="1" a="1"/>
  <c r="Z211" i="2" s="1"/>
  <c r="P211" i="2" a="1"/>
  <c r="P211" i="2" s="1"/>
  <c r="H211" i="2" a="1"/>
  <c r="H211" i="2" s="1"/>
  <c r="G211" i="2" a="1"/>
  <c r="G211" i="2" s="1"/>
  <c r="F211" i="2" a="1"/>
  <c r="F211" i="2" s="1"/>
  <c r="D74" i="8" s="1" a="1"/>
  <c r="D74" i="8" s="1"/>
  <c r="D211" i="2" a="1"/>
  <c r="D211" i="2" s="1"/>
  <c r="AH210" i="2" a="1"/>
  <c r="AH210" i="2" s="1"/>
  <c r="R210" i="2" a="1"/>
  <c r="R210" i="2" s="1"/>
  <c r="Q210" i="2" a="1"/>
  <c r="Q210" i="2" s="1"/>
  <c r="Z210" i="2" s="1" a="1"/>
  <c r="Z210" i="2" s="1"/>
  <c r="P210" i="2" a="1"/>
  <c r="P210" i="2" s="1"/>
  <c r="H210" i="2" a="1"/>
  <c r="H210" i="2" s="1"/>
  <c r="G210" i="2" a="1"/>
  <c r="G210" i="2" s="1"/>
  <c r="F210" i="2" a="1"/>
  <c r="F210" i="2" s="1"/>
  <c r="D210" i="2" a="1"/>
  <c r="D210" i="2" s="1"/>
  <c r="AH209" i="2" a="1"/>
  <c r="AH209" i="2" s="1"/>
  <c r="R209" i="2" a="1"/>
  <c r="R209" i="2" s="1"/>
  <c r="Q209" i="2" a="1"/>
  <c r="Q209" i="2" s="1"/>
  <c r="Y209" i="2" s="1" a="1"/>
  <c r="Y209" i="2" s="1"/>
  <c r="P209" i="2" a="1"/>
  <c r="P209" i="2" s="1"/>
  <c r="H209" i="2" a="1"/>
  <c r="H209" i="2" s="1"/>
  <c r="G209" i="2" a="1"/>
  <c r="G209" i="2" s="1"/>
  <c r="F209" i="2" a="1"/>
  <c r="F209" i="2" s="1"/>
  <c r="D73" i="8" s="1" a="1"/>
  <c r="D73" i="8" s="1"/>
  <c r="D209" i="2" a="1"/>
  <c r="D209" i="2" s="1"/>
  <c r="B73" i="8" s="1" a="1"/>
  <c r="B73" i="8" s="1"/>
  <c r="AH208" i="2" a="1"/>
  <c r="AH208" i="2" s="1"/>
  <c r="R208" i="2" a="1"/>
  <c r="R208" i="2" s="1"/>
  <c r="Q208" i="2" a="1"/>
  <c r="Q208" i="2" s="1"/>
  <c r="Y208" i="2" s="1" a="1"/>
  <c r="Y208" i="2" s="1"/>
  <c r="P208" i="2" a="1"/>
  <c r="P208" i="2" s="1"/>
  <c r="H208" i="2" a="1"/>
  <c r="H208" i="2" s="1"/>
  <c r="G208" i="2" a="1"/>
  <c r="G208" i="2" s="1"/>
  <c r="F208" i="2" a="1"/>
  <c r="F208" i="2" s="1"/>
  <c r="D208" i="2" a="1"/>
  <c r="D208" i="2" s="1"/>
  <c r="AH207" i="2" a="1"/>
  <c r="AH207" i="2" s="1"/>
  <c r="R207" i="2" a="1"/>
  <c r="R207" i="2" s="1"/>
  <c r="Q207" i="2" a="1"/>
  <c r="Q207" i="2" s="1"/>
  <c r="P207" i="2" a="1"/>
  <c r="P207" i="2" s="1"/>
  <c r="H207" i="2" a="1"/>
  <c r="H207" i="2" s="1"/>
  <c r="G207" i="2" a="1"/>
  <c r="G207" i="2" s="1"/>
  <c r="F207" i="2" a="1"/>
  <c r="F207" i="2" s="1"/>
  <c r="D207" i="2" a="1"/>
  <c r="D207" i="2" s="1"/>
  <c r="AH206" i="2" a="1"/>
  <c r="AH206" i="2" s="1"/>
  <c r="R206" i="2" a="1"/>
  <c r="R206" i="2" s="1"/>
  <c r="Q206" i="2" a="1"/>
  <c r="Q206" i="2" s="1"/>
  <c r="P206" i="2" a="1"/>
  <c r="P206" i="2" s="1"/>
  <c r="H206" i="2" a="1"/>
  <c r="H206" i="2" s="1"/>
  <c r="G206" i="2" a="1"/>
  <c r="G206" i="2" s="1"/>
  <c r="F206" i="2" a="1"/>
  <c r="F206" i="2" s="1"/>
  <c r="D206" i="2" a="1"/>
  <c r="D206" i="2" s="1"/>
  <c r="AH205" i="2" a="1"/>
  <c r="AH205" i="2" s="1"/>
  <c r="R205" i="2" a="1"/>
  <c r="R205" i="2" s="1"/>
  <c r="Q205" i="2" a="1"/>
  <c r="Q205" i="2" s="1"/>
  <c r="Z205" i="2" s="1" a="1"/>
  <c r="Z205" i="2" s="1"/>
  <c r="P205" i="2" a="1"/>
  <c r="P205" i="2" s="1"/>
  <c r="H205" i="2" a="1"/>
  <c r="H205" i="2" s="1"/>
  <c r="G205" i="2" a="1"/>
  <c r="G205" i="2" s="1"/>
  <c r="F205" i="2" a="1"/>
  <c r="F205" i="2" s="1"/>
  <c r="D205" i="2" a="1"/>
  <c r="D205" i="2" s="1"/>
  <c r="AH204" i="2" a="1"/>
  <c r="AH204" i="2" s="1"/>
  <c r="R204" i="2" a="1"/>
  <c r="R204" i="2" s="1"/>
  <c r="Q204" i="2" a="1"/>
  <c r="Q204" i="2" s="1"/>
  <c r="AA204" i="2" s="1" a="1"/>
  <c r="AA204" i="2" s="1"/>
  <c r="P204" i="2" a="1"/>
  <c r="P204" i="2" s="1"/>
  <c r="H204" i="2" a="1"/>
  <c r="H204" i="2" s="1"/>
  <c r="G204" i="2" a="1"/>
  <c r="G204" i="2" s="1"/>
  <c r="F204" i="2" a="1"/>
  <c r="F204" i="2" s="1"/>
  <c r="D204" i="2" a="1"/>
  <c r="D204" i="2" s="1"/>
  <c r="AH203" i="2" a="1"/>
  <c r="AH203" i="2" s="1"/>
  <c r="R203" i="2" a="1"/>
  <c r="R203" i="2" s="1"/>
  <c r="Q203" i="2" a="1"/>
  <c r="Q203" i="2" s="1"/>
  <c r="P203" i="2" a="1"/>
  <c r="P203" i="2" s="1"/>
  <c r="H203" i="2" a="1"/>
  <c r="H203" i="2" s="1"/>
  <c r="G203" i="2" a="1"/>
  <c r="G203" i="2" s="1"/>
  <c r="F203" i="2" a="1"/>
  <c r="F203" i="2" s="1"/>
  <c r="D72" i="8" s="1" a="1"/>
  <c r="D72" i="8" s="1"/>
  <c r="D203" i="2" a="1"/>
  <c r="D203" i="2" s="1"/>
  <c r="B72" i="8" s="1" a="1"/>
  <c r="B72" i="8" s="1"/>
  <c r="AH202" i="2" a="1"/>
  <c r="AH202" i="2" s="1"/>
  <c r="R202" i="2" a="1"/>
  <c r="R202" i="2" s="1"/>
  <c r="Q202" i="2" a="1"/>
  <c r="Q202" i="2" s="1"/>
  <c r="P202" i="2" a="1"/>
  <c r="P202" i="2" s="1"/>
  <c r="H202" i="2" a="1"/>
  <c r="H202" i="2" s="1"/>
  <c r="G202" i="2" a="1"/>
  <c r="G202" i="2" s="1"/>
  <c r="F202" i="2" a="1"/>
  <c r="F202" i="2" s="1"/>
  <c r="D202" i="2" a="1"/>
  <c r="D202" i="2" s="1"/>
  <c r="AH201" i="2" a="1"/>
  <c r="AH201" i="2" s="1"/>
  <c r="R201" i="2" a="1"/>
  <c r="R201" i="2" s="1"/>
  <c r="Q201" i="2" a="1"/>
  <c r="Q201" i="2" s="1"/>
  <c r="P201" i="2" a="1"/>
  <c r="P201" i="2" s="1"/>
  <c r="H201" i="2" a="1"/>
  <c r="H201" i="2" s="1"/>
  <c r="G201" i="2" a="1"/>
  <c r="G201" i="2" s="1"/>
  <c r="F201" i="2" a="1"/>
  <c r="F201" i="2" s="1"/>
  <c r="D71" i="8" s="1" a="1"/>
  <c r="D71" i="8" s="1"/>
  <c r="D201" i="2" a="1"/>
  <c r="D201" i="2" s="1"/>
  <c r="AH200" i="2" a="1"/>
  <c r="AH200" i="2" s="1"/>
  <c r="R200" i="2" a="1"/>
  <c r="R200" i="2" s="1"/>
  <c r="Q200" i="2" a="1"/>
  <c r="Q200" i="2" s="1"/>
  <c r="P200" i="2" a="1"/>
  <c r="P200" i="2" s="1"/>
  <c r="H200" i="2" a="1"/>
  <c r="H200" i="2" s="1"/>
  <c r="G200" i="2" a="1"/>
  <c r="G200" i="2" s="1"/>
  <c r="F200" i="2" a="1"/>
  <c r="F200" i="2" s="1"/>
  <c r="D200" i="2" a="1"/>
  <c r="D200" i="2" s="1"/>
  <c r="AJ199" i="2" a="1"/>
  <c r="AJ199" i="2" s="1"/>
  <c r="P199" i="2" a="1"/>
  <c r="P199" i="2" s="1"/>
  <c r="H199" i="2" a="1"/>
  <c r="H199" i="2" s="1"/>
  <c r="G199" i="2" a="1"/>
  <c r="G199" i="2" s="1"/>
  <c r="F199" i="2" a="1"/>
  <c r="F199" i="2" s="1"/>
  <c r="D28" i="9" s="1" a="1"/>
  <c r="D28" i="9" s="1"/>
  <c r="D199" i="2" a="1"/>
  <c r="D199" i="2" s="1"/>
  <c r="B28" i="9" s="1" a="1"/>
  <c r="B28" i="9" s="1"/>
  <c r="AH198" i="2" a="1"/>
  <c r="AH198" i="2" s="1"/>
  <c r="R198" i="2" a="1"/>
  <c r="R198" i="2" s="1"/>
  <c r="Q198" i="2" a="1"/>
  <c r="Q198" i="2" s="1"/>
  <c r="Z198" i="2" s="1" a="1"/>
  <c r="Z198" i="2" s="1"/>
  <c r="P198" i="2" a="1"/>
  <c r="P198" i="2" s="1"/>
  <c r="H198" i="2" a="1"/>
  <c r="H198" i="2" s="1"/>
  <c r="G198" i="2" a="1"/>
  <c r="G198" i="2" s="1"/>
  <c r="F198" i="2" a="1"/>
  <c r="F198" i="2" s="1"/>
  <c r="D70" i="8" s="1" a="1"/>
  <c r="D70" i="8" s="1"/>
  <c r="D198" i="2" a="1"/>
  <c r="D198" i="2" s="1"/>
  <c r="B70" i="8" s="1" a="1"/>
  <c r="B70" i="8" s="1"/>
  <c r="AH197" i="2" a="1"/>
  <c r="AH197" i="2" s="1"/>
  <c r="R197" i="2" a="1"/>
  <c r="R197" i="2" s="1"/>
  <c r="Q197" i="2" a="1"/>
  <c r="Q197" i="2" s="1"/>
  <c r="P197" i="2" a="1"/>
  <c r="P197" i="2" s="1"/>
  <c r="H197" i="2" a="1"/>
  <c r="H197" i="2" s="1"/>
  <c r="G197" i="2" a="1"/>
  <c r="G197" i="2" s="1"/>
  <c r="F197" i="2" a="1"/>
  <c r="F197" i="2" s="1"/>
  <c r="D69" i="8" s="1" a="1"/>
  <c r="D69" i="8" s="1"/>
  <c r="D197" i="2" a="1"/>
  <c r="D197" i="2" s="1"/>
  <c r="AH196" i="2" a="1"/>
  <c r="AH196" i="2" s="1"/>
  <c r="R196" i="2" a="1"/>
  <c r="R196" i="2" s="1"/>
  <c r="Q196" i="2" a="1"/>
  <c r="Q196" i="2" s="1"/>
  <c r="P196" i="2" a="1"/>
  <c r="P196" i="2" s="1"/>
  <c r="H196" i="2" a="1"/>
  <c r="H196" i="2" s="1"/>
  <c r="G196" i="2" a="1"/>
  <c r="G196" i="2" s="1"/>
  <c r="F196" i="2" a="1"/>
  <c r="F196" i="2" s="1"/>
  <c r="D68" i="8" s="1" a="1"/>
  <c r="D68" i="8" s="1"/>
  <c r="D196" i="2" a="1"/>
  <c r="D196" i="2" s="1"/>
  <c r="AH195" i="2" a="1"/>
  <c r="AH195" i="2" s="1"/>
  <c r="R195" i="2" a="1"/>
  <c r="R195" i="2" s="1"/>
  <c r="Q195" i="2" a="1"/>
  <c r="Q195" i="2" s="1"/>
  <c r="P195" i="2" a="1"/>
  <c r="P195" i="2" s="1"/>
  <c r="H195" i="2" a="1"/>
  <c r="H195" i="2" s="1"/>
  <c r="G195" i="2" a="1"/>
  <c r="G195" i="2" s="1"/>
  <c r="F195" i="2" a="1"/>
  <c r="F195" i="2" s="1"/>
  <c r="D67" i="8" s="1" a="1"/>
  <c r="D67" i="8" s="1"/>
  <c r="D195" i="2" a="1"/>
  <c r="D195" i="2" s="1"/>
  <c r="B67" i="8" s="1" a="1"/>
  <c r="B67" i="8" s="1"/>
  <c r="AH194" i="2" a="1"/>
  <c r="AH194" i="2" s="1"/>
  <c r="R194" i="2" a="1"/>
  <c r="R194" i="2" s="1"/>
  <c r="Q194" i="2" a="1"/>
  <c r="Q194" i="2" s="1"/>
  <c r="AB194" i="2" s="1" a="1"/>
  <c r="AB194" i="2" s="1"/>
  <c r="P194" i="2" a="1"/>
  <c r="P194" i="2" s="1"/>
  <c r="H194" i="2" a="1"/>
  <c r="H194" i="2" s="1"/>
  <c r="G194" i="2" a="1"/>
  <c r="G194" i="2" s="1"/>
  <c r="F194" i="2" a="1"/>
  <c r="F194" i="2" s="1"/>
  <c r="D194" i="2" a="1"/>
  <c r="D194" i="2" s="1"/>
  <c r="AH193" i="2" a="1"/>
  <c r="AH193" i="2" s="1"/>
  <c r="R193" i="2" a="1"/>
  <c r="R193" i="2" s="1"/>
  <c r="Q193" i="2" a="1"/>
  <c r="Q193" i="2" s="1"/>
  <c r="P193" i="2" a="1"/>
  <c r="P193" i="2" s="1"/>
  <c r="H193" i="2" a="1"/>
  <c r="H193" i="2" s="1"/>
  <c r="G193" i="2" a="1"/>
  <c r="G193" i="2" s="1"/>
  <c r="F193" i="2" a="1"/>
  <c r="F193" i="2" s="1"/>
  <c r="D193" i="2" a="1"/>
  <c r="D193" i="2" s="1"/>
  <c r="AH192" i="2" a="1"/>
  <c r="AH192" i="2" s="1"/>
  <c r="R192" i="2" a="1"/>
  <c r="R192" i="2" s="1"/>
  <c r="Q192" i="2" a="1"/>
  <c r="Q192" i="2" s="1"/>
  <c r="P192" i="2" a="1"/>
  <c r="P192" i="2" s="1"/>
  <c r="H192" i="2" a="1"/>
  <c r="H192" i="2" s="1"/>
  <c r="G192" i="2" a="1"/>
  <c r="G192" i="2" s="1"/>
  <c r="F192" i="2" a="1"/>
  <c r="F192" i="2" s="1"/>
  <c r="D192" i="2" a="1"/>
  <c r="D192" i="2" s="1"/>
  <c r="AH191" i="2" a="1"/>
  <c r="AH191" i="2" s="1"/>
  <c r="R191" i="2" a="1"/>
  <c r="R191" i="2" s="1"/>
  <c r="Q191" i="2" a="1"/>
  <c r="Q191" i="2" s="1"/>
  <c r="AD191" i="2" s="1" a="1"/>
  <c r="AD191" i="2" s="1"/>
  <c r="P191" i="2" a="1"/>
  <c r="P191" i="2" s="1"/>
  <c r="H191" i="2" a="1"/>
  <c r="H191" i="2" s="1"/>
  <c r="G191" i="2" a="1"/>
  <c r="G191" i="2" s="1"/>
  <c r="F191" i="2" a="1"/>
  <c r="F191" i="2" s="1"/>
  <c r="D191" i="2" a="1"/>
  <c r="D191" i="2" s="1"/>
  <c r="AJ190" i="2" a="1"/>
  <c r="AJ190" i="2" s="1"/>
  <c r="P190" i="2" a="1"/>
  <c r="P190" i="2" s="1"/>
  <c r="H190" i="2" a="1"/>
  <c r="H190" i="2" s="1"/>
  <c r="G190" i="2" a="1"/>
  <c r="G190" i="2" s="1"/>
  <c r="F190" i="2" a="1"/>
  <c r="F190" i="2" s="1"/>
  <c r="D27" i="9" s="1" a="1"/>
  <c r="D27" i="9" s="1"/>
  <c r="D190" i="2" a="1"/>
  <c r="D190" i="2" s="1"/>
  <c r="AH189" i="2" a="1"/>
  <c r="AH189" i="2" s="1"/>
  <c r="R189" i="2" a="1"/>
  <c r="R189" i="2" s="1"/>
  <c r="Q189" i="2" a="1"/>
  <c r="Q189" i="2" s="1"/>
  <c r="AG189" i="2" s="1" a="1"/>
  <c r="AG189" i="2" s="1"/>
  <c r="P189" i="2" a="1"/>
  <c r="P189" i="2" s="1"/>
  <c r="H189" i="2" a="1"/>
  <c r="H189" i="2" s="1"/>
  <c r="G189" i="2" a="1"/>
  <c r="G189" i="2" s="1"/>
  <c r="F189" i="2" a="1"/>
  <c r="F189" i="2" s="1"/>
  <c r="D66" i="8" s="1" a="1"/>
  <c r="D66" i="8" s="1"/>
  <c r="D189" i="2" a="1"/>
  <c r="D189" i="2" s="1"/>
  <c r="AH188" i="2" a="1"/>
  <c r="AH188" i="2" s="1"/>
  <c r="R188" i="2" a="1"/>
  <c r="R188" i="2" s="1"/>
  <c r="Q188" i="2" a="1"/>
  <c r="Q188" i="2" s="1"/>
  <c r="P188" i="2" a="1"/>
  <c r="P188" i="2" s="1"/>
  <c r="H188" i="2" a="1"/>
  <c r="H188" i="2" s="1"/>
  <c r="G188" i="2" a="1"/>
  <c r="G188" i="2" s="1"/>
  <c r="F188" i="2" a="1"/>
  <c r="F188" i="2" s="1"/>
  <c r="D188" i="2" a="1"/>
  <c r="D188" i="2" s="1"/>
  <c r="AH187" i="2" a="1"/>
  <c r="AH187" i="2" s="1"/>
  <c r="R187" i="2" a="1"/>
  <c r="R187" i="2" s="1"/>
  <c r="Q187" i="2" a="1"/>
  <c r="Q187" i="2" s="1"/>
  <c r="P187" i="2" a="1"/>
  <c r="P187" i="2" s="1"/>
  <c r="H187" i="2" a="1"/>
  <c r="H187" i="2" s="1"/>
  <c r="G187" i="2" a="1"/>
  <c r="G187" i="2" s="1"/>
  <c r="F187" i="2" a="1"/>
  <c r="F187" i="2" s="1"/>
  <c r="D187" i="2" a="1"/>
  <c r="D187" i="2" s="1"/>
  <c r="AH186" i="2" a="1"/>
  <c r="AH186" i="2" s="1"/>
  <c r="R186" i="2" a="1"/>
  <c r="R186" i="2" s="1"/>
  <c r="Q186" i="2" a="1"/>
  <c r="Q186" i="2" s="1"/>
  <c r="AD186" i="2" s="1" a="1"/>
  <c r="AD186" i="2" s="1"/>
  <c r="P186" i="2" a="1"/>
  <c r="P186" i="2" s="1"/>
  <c r="H186" i="2" a="1"/>
  <c r="H186" i="2" s="1"/>
  <c r="G186" i="2" a="1"/>
  <c r="G186" i="2" s="1"/>
  <c r="F186" i="2" a="1"/>
  <c r="F186" i="2" s="1"/>
  <c r="D65" i="8" s="1" a="1"/>
  <c r="D65" i="8" s="1"/>
  <c r="D186" i="2" a="1"/>
  <c r="D186" i="2" s="1"/>
  <c r="B65" i="8" s="1" a="1"/>
  <c r="B65" i="8" s="1"/>
  <c r="AH185" i="2" a="1"/>
  <c r="AH185" i="2" s="1"/>
  <c r="R185" i="2" a="1"/>
  <c r="R185" i="2" s="1"/>
  <c r="Q185" i="2" a="1"/>
  <c r="Q185" i="2" s="1"/>
  <c r="P185" i="2" a="1"/>
  <c r="P185" i="2" s="1"/>
  <c r="H185" i="2" a="1"/>
  <c r="H185" i="2" s="1"/>
  <c r="G185" i="2" a="1"/>
  <c r="G185" i="2" s="1"/>
  <c r="F185" i="2" a="1"/>
  <c r="F185" i="2" s="1"/>
  <c r="D185" i="2" a="1"/>
  <c r="D185" i="2" s="1"/>
  <c r="AH184" i="2" a="1"/>
  <c r="AH184" i="2" s="1"/>
  <c r="R184" i="2" a="1"/>
  <c r="R184" i="2" s="1"/>
  <c r="Q184" i="2" a="1"/>
  <c r="Q184" i="2" s="1"/>
  <c r="Z184" i="2" s="1" a="1"/>
  <c r="Z184" i="2" s="1"/>
  <c r="P184" i="2" a="1"/>
  <c r="P184" i="2" s="1"/>
  <c r="H184" i="2" a="1"/>
  <c r="H184" i="2" s="1"/>
  <c r="G184" i="2" a="1"/>
  <c r="G184" i="2" s="1"/>
  <c r="F184" i="2" a="1"/>
  <c r="F184" i="2" s="1"/>
  <c r="D64" i="8" s="1" a="1"/>
  <c r="D64" i="8" s="1"/>
  <c r="D184" i="2" a="1"/>
  <c r="D184" i="2" s="1"/>
  <c r="AJ183" i="2" a="1"/>
  <c r="AJ183" i="2"/>
  <c r="P183" i="2" a="1"/>
  <c r="P183" i="2" s="1"/>
  <c r="H183" i="2" a="1"/>
  <c r="H183" i="2" s="1"/>
  <c r="G183" i="2" a="1"/>
  <c r="G183" i="2" s="1"/>
  <c r="F183" i="2" a="1"/>
  <c r="F183" i="2" s="1"/>
  <c r="D26" i="9" s="1" a="1"/>
  <c r="D26" i="9" s="1"/>
  <c r="D183" i="2" a="1"/>
  <c r="D183" i="2" s="1"/>
  <c r="B26" i="9" s="1" a="1"/>
  <c r="B26" i="9" s="1"/>
  <c r="AH182" i="2" a="1"/>
  <c r="AH182" i="2" s="1"/>
  <c r="R182" i="2" a="1"/>
  <c r="R182" i="2" s="1"/>
  <c r="Q182" i="2" a="1"/>
  <c r="Q182" i="2" s="1"/>
  <c r="AF182" i="2" s="1" a="1"/>
  <c r="AF182" i="2" s="1"/>
  <c r="P182" i="2" a="1"/>
  <c r="P182" i="2"/>
  <c r="H182" i="2" a="1"/>
  <c r="H182" i="2" s="1"/>
  <c r="G182" i="2" a="1"/>
  <c r="G182" i="2" s="1"/>
  <c r="F182" i="2" a="1"/>
  <c r="F182" i="2" s="1"/>
  <c r="D63" i="8" s="1" a="1"/>
  <c r="D63" i="8" s="1"/>
  <c r="D182" i="2" a="1"/>
  <c r="D182" i="2" s="1"/>
  <c r="AH181" i="2" a="1"/>
  <c r="AH181" i="2" s="1"/>
  <c r="R181" i="2" a="1"/>
  <c r="R181" i="2" s="1"/>
  <c r="Q181" i="2" a="1"/>
  <c r="Q181" i="2" s="1"/>
  <c r="P181" i="2" a="1"/>
  <c r="P181" i="2" s="1"/>
  <c r="H181" i="2" a="1"/>
  <c r="H181" i="2" s="1"/>
  <c r="G181" i="2" a="1"/>
  <c r="G181" i="2" s="1"/>
  <c r="F181" i="2" a="1"/>
  <c r="F181" i="2" s="1"/>
  <c r="D181" i="2" a="1"/>
  <c r="D181" i="2" s="1"/>
  <c r="AJ180" i="2" a="1"/>
  <c r="AJ180" i="2" s="1"/>
  <c r="P180" i="2" a="1"/>
  <c r="P180" i="2" s="1"/>
  <c r="H180" i="2" a="1"/>
  <c r="H180" i="2" s="1"/>
  <c r="G180" i="2" a="1"/>
  <c r="G180" i="2" s="1"/>
  <c r="F180" i="2" a="1"/>
  <c r="F180" i="2" s="1"/>
  <c r="D25" i="9" s="1" a="1"/>
  <c r="D25" i="9" s="1"/>
  <c r="D180" i="2" a="1"/>
  <c r="D180" i="2" s="1"/>
  <c r="B25" i="9" s="1" a="1"/>
  <c r="B25" i="9" s="1"/>
  <c r="AH179" i="2" a="1"/>
  <c r="AH179" i="2" s="1"/>
  <c r="R179" i="2" a="1"/>
  <c r="R179" i="2" s="1"/>
  <c r="Q179" i="2" a="1"/>
  <c r="Q179" i="2" s="1"/>
  <c r="AG179" i="2" s="1" a="1"/>
  <c r="AG179" i="2" s="1"/>
  <c r="P179" i="2" a="1"/>
  <c r="P179" i="2" s="1"/>
  <c r="H179" i="2" a="1"/>
  <c r="H179" i="2" s="1"/>
  <c r="G179" i="2" a="1"/>
  <c r="G179" i="2" s="1"/>
  <c r="F179" i="2" a="1"/>
  <c r="F179" i="2" s="1"/>
  <c r="D62" i="8" s="1" a="1"/>
  <c r="D62" i="8" s="1"/>
  <c r="D179" i="2" a="1"/>
  <c r="D179" i="2" s="1"/>
  <c r="B62" i="8" s="1" a="1"/>
  <c r="B62" i="8" s="1"/>
  <c r="AH178" i="2" a="1"/>
  <c r="AH178" i="2" s="1"/>
  <c r="R178" i="2" a="1"/>
  <c r="R178" i="2" s="1"/>
  <c r="Q178" i="2" a="1"/>
  <c r="Q178" i="2" s="1"/>
  <c r="P178" i="2" a="1"/>
  <c r="P178" i="2" s="1"/>
  <c r="H178" i="2" a="1"/>
  <c r="H178" i="2" s="1"/>
  <c r="G178" i="2" a="1"/>
  <c r="G178" i="2" s="1"/>
  <c r="F178" i="2" a="1"/>
  <c r="F178" i="2" s="1"/>
  <c r="D61" i="8" s="1" a="1"/>
  <c r="D61" i="8" s="1"/>
  <c r="D178" i="2" a="1"/>
  <c r="D178" i="2" s="1"/>
  <c r="AH177" i="2" a="1"/>
  <c r="AH177" i="2" s="1"/>
  <c r="R177" i="2" a="1"/>
  <c r="R177" i="2" s="1"/>
  <c r="Q177" i="2" a="1"/>
  <c r="Q177" i="2" s="1"/>
  <c r="AG177" i="2" s="1" a="1"/>
  <c r="AG177" i="2" s="1"/>
  <c r="P177" i="2" a="1"/>
  <c r="P177" i="2" s="1"/>
  <c r="H177" i="2" a="1"/>
  <c r="H177" i="2" s="1"/>
  <c r="G177" i="2" a="1"/>
  <c r="G177" i="2" s="1"/>
  <c r="F177" i="2" a="1"/>
  <c r="F177" i="2" s="1"/>
  <c r="D60" i="8" s="1" a="1"/>
  <c r="D60" i="8" s="1"/>
  <c r="D177" i="2" a="1"/>
  <c r="D177" i="2" s="1"/>
  <c r="AH176" i="2" a="1"/>
  <c r="AH176" i="2" s="1"/>
  <c r="R176" i="2" a="1"/>
  <c r="R176" i="2" s="1"/>
  <c r="Q176" i="2" a="1"/>
  <c r="Q176" i="2" s="1"/>
  <c r="AF176" i="2" s="1" a="1"/>
  <c r="AF176" i="2" s="1"/>
  <c r="P176" i="2" a="1"/>
  <c r="P176" i="2" s="1"/>
  <c r="H176" i="2" a="1"/>
  <c r="H176" i="2" s="1"/>
  <c r="G176" i="2" a="1"/>
  <c r="G176" i="2" s="1"/>
  <c r="F176" i="2" a="1"/>
  <c r="F176" i="2" s="1"/>
  <c r="D176" i="2" a="1"/>
  <c r="D176" i="2" s="1"/>
  <c r="AH175" i="2" a="1"/>
  <c r="AH175" i="2" s="1"/>
  <c r="R175" i="2" a="1"/>
  <c r="R175" i="2" s="1"/>
  <c r="Q175" i="2" a="1"/>
  <c r="Q175" i="2" s="1"/>
  <c r="P175" i="2" a="1"/>
  <c r="P175" i="2" s="1"/>
  <c r="H175" i="2" a="1"/>
  <c r="H175" i="2" s="1"/>
  <c r="G175" i="2" a="1"/>
  <c r="G175" i="2" s="1"/>
  <c r="F175" i="2" a="1"/>
  <c r="F175" i="2" s="1"/>
  <c r="D59" i="8" s="1" a="1"/>
  <c r="D59" i="8" s="1"/>
  <c r="D175" i="2" a="1"/>
  <c r="D175" i="2" s="1"/>
  <c r="B59" i="8" s="1" a="1"/>
  <c r="B59" i="8" s="1"/>
  <c r="AH174" i="2" a="1"/>
  <c r="AH174" i="2" s="1"/>
  <c r="R174" i="2" a="1"/>
  <c r="R174" i="2" s="1"/>
  <c r="Q174" i="2" a="1"/>
  <c r="Q174" i="2" s="1"/>
  <c r="P174" i="2" a="1"/>
  <c r="P174" i="2" s="1"/>
  <c r="H174" i="2" a="1"/>
  <c r="H174" i="2" s="1"/>
  <c r="G174" i="2" a="1"/>
  <c r="G174" i="2" s="1"/>
  <c r="F174" i="2" a="1"/>
  <c r="F174" i="2" s="1"/>
  <c r="D58" i="8" s="1" a="1"/>
  <c r="D58" i="8" s="1"/>
  <c r="D174" i="2" a="1"/>
  <c r="D174" i="2" s="1"/>
  <c r="B58" i="8" s="1" a="1"/>
  <c r="B58" i="8" s="1"/>
  <c r="AH173" i="2" a="1"/>
  <c r="AH173" i="2" s="1"/>
  <c r="R173" i="2" a="1"/>
  <c r="R173" i="2" s="1"/>
  <c r="Q173" i="2" a="1"/>
  <c r="Q173" i="2" s="1"/>
  <c r="AG173" i="2" s="1" a="1"/>
  <c r="AG173" i="2" s="1"/>
  <c r="P173" i="2" a="1"/>
  <c r="P173" i="2" s="1"/>
  <c r="H173" i="2" a="1"/>
  <c r="H173" i="2" s="1"/>
  <c r="G173" i="2" a="1"/>
  <c r="G173" i="2" s="1"/>
  <c r="F173" i="2" a="1"/>
  <c r="F173" i="2" s="1"/>
  <c r="D173" i="2" a="1"/>
  <c r="D173" i="2" s="1"/>
  <c r="AH172" i="2" a="1"/>
  <c r="AH172" i="2" s="1"/>
  <c r="R172" i="2" a="1"/>
  <c r="R172" i="2" s="1"/>
  <c r="Q172" i="2" a="1"/>
  <c r="Q172" i="2" s="1"/>
  <c r="AG172" i="2" s="1" a="1"/>
  <c r="AG172" i="2" s="1"/>
  <c r="P172" i="2" a="1"/>
  <c r="P172" i="2" s="1"/>
  <c r="H172" i="2" a="1"/>
  <c r="H172" i="2" s="1"/>
  <c r="G172" i="2" a="1"/>
  <c r="G172" i="2" s="1"/>
  <c r="F172" i="2" a="1"/>
  <c r="F172" i="2" s="1"/>
  <c r="D172" i="2" a="1"/>
  <c r="D172" i="2" s="1"/>
  <c r="AH171" i="2" a="1"/>
  <c r="AH171" i="2" s="1"/>
  <c r="R171" i="2" a="1"/>
  <c r="R171" i="2" s="1"/>
  <c r="Q171" i="2" a="1"/>
  <c r="Q171" i="2" s="1"/>
  <c r="AD171" i="2" s="1" a="1"/>
  <c r="AD171" i="2" s="1"/>
  <c r="P171" i="2" a="1"/>
  <c r="P171" i="2" s="1"/>
  <c r="H171" i="2" a="1"/>
  <c r="H171" i="2" s="1"/>
  <c r="G171" i="2" a="1"/>
  <c r="G171" i="2" s="1"/>
  <c r="F171" i="2" a="1"/>
  <c r="F171" i="2" s="1"/>
  <c r="D171" i="2" a="1"/>
  <c r="D171" i="2" s="1"/>
  <c r="AJ170" i="2" a="1"/>
  <c r="AJ170" i="2" s="1"/>
  <c r="P170" i="2" a="1"/>
  <c r="P170" i="2" s="1"/>
  <c r="H170" i="2" a="1"/>
  <c r="H170" i="2" s="1"/>
  <c r="G170" i="2" a="1"/>
  <c r="G170" i="2" s="1"/>
  <c r="F170" i="2" a="1"/>
  <c r="F170" i="2" s="1"/>
  <c r="D24" i="9" s="1" a="1"/>
  <c r="D24" i="9" s="1"/>
  <c r="D170" i="2" a="1"/>
  <c r="D170" i="2" s="1"/>
  <c r="B24" i="9" s="1" a="1"/>
  <c r="B24" i="9" s="1"/>
  <c r="AH169" i="2" a="1"/>
  <c r="AH169" i="2" s="1"/>
  <c r="R169" i="2" a="1"/>
  <c r="R169" i="2" s="1"/>
  <c r="Q169" i="2" a="1"/>
  <c r="Q169" i="2" s="1"/>
  <c r="AG169" i="2" s="1" a="1"/>
  <c r="AG169" i="2" s="1"/>
  <c r="P169" i="2" a="1"/>
  <c r="P169" i="2" s="1"/>
  <c r="H169" i="2" a="1"/>
  <c r="H169" i="2" s="1"/>
  <c r="G169" i="2" a="1"/>
  <c r="G169" i="2" s="1"/>
  <c r="F169" i="2" a="1"/>
  <c r="F169" i="2" s="1"/>
  <c r="D57" i="8" s="1" a="1"/>
  <c r="D57" i="8" s="1"/>
  <c r="D169" i="2" a="1"/>
  <c r="D169" i="2" s="1"/>
  <c r="AH168" i="2" a="1"/>
  <c r="AH168" i="2" s="1"/>
  <c r="R168" i="2" a="1"/>
  <c r="R168" i="2" s="1"/>
  <c r="Q168" i="2" a="1"/>
  <c r="Q168" i="2" s="1"/>
  <c r="Z168" i="2" s="1" a="1"/>
  <c r="Z168" i="2" s="1"/>
  <c r="P168" i="2" a="1"/>
  <c r="P168" i="2" s="1"/>
  <c r="H168" i="2" a="1"/>
  <c r="H168" i="2" s="1"/>
  <c r="G168" i="2" a="1"/>
  <c r="G168" i="2" s="1"/>
  <c r="F168" i="2" a="1"/>
  <c r="F168" i="2" s="1"/>
  <c r="D168" i="2" a="1"/>
  <c r="D168" i="2" s="1"/>
  <c r="AH167" i="2" a="1"/>
  <c r="AH167" i="2" s="1"/>
  <c r="R167" i="2" a="1"/>
  <c r="R167" i="2" s="1"/>
  <c r="Q167" i="2" a="1"/>
  <c r="Q167" i="2" s="1"/>
  <c r="AD167" i="2" s="1" a="1"/>
  <c r="AD167" i="2" s="1"/>
  <c r="P167" i="2" a="1"/>
  <c r="P167" i="2" s="1"/>
  <c r="H167" i="2" a="1"/>
  <c r="H167" i="2" s="1"/>
  <c r="G167" i="2" a="1"/>
  <c r="G167" i="2" s="1"/>
  <c r="F167" i="2" a="1"/>
  <c r="F167" i="2" s="1"/>
  <c r="D167" i="2" a="1"/>
  <c r="D167" i="2" s="1"/>
  <c r="AH166" i="2" a="1"/>
  <c r="AH166" i="2" s="1"/>
  <c r="R166" i="2" a="1"/>
  <c r="R166" i="2" s="1"/>
  <c r="Q166" i="2" a="1"/>
  <c r="Q166" i="2" s="1"/>
  <c r="P166" i="2" a="1"/>
  <c r="P166" i="2" s="1"/>
  <c r="H166" i="2" a="1"/>
  <c r="H166" i="2" s="1"/>
  <c r="G166" i="2" a="1"/>
  <c r="G166" i="2"/>
  <c r="F166" i="2" a="1"/>
  <c r="F166" i="2" s="1"/>
  <c r="D166" i="2" a="1"/>
  <c r="D166" i="2" s="1"/>
  <c r="AH165" i="2" a="1"/>
  <c r="AH165" i="2" s="1"/>
  <c r="R165" i="2" a="1"/>
  <c r="R165" i="2" s="1"/>
  <c r="Q165" i="2" a="1"/>
  <c r="Q165" i="2" s="1"/>
  <c r="P165" i="2" a="1"/>
  <c r="P165" i="2" s="1"/>
  <c r="H165" i="2" a="1"/>
  <c r="H165" i="2" s="1"/>
  <c r="G165" i="2" a="1"/>
  <c r="G165" i="2" s="1"/>
  <c r="F165" i="2" a="1"/>
  <c r="F165" i="2" s="1"/>
  <c r="D165" i="2" a="1"/>
  <c r="D165" i="2" s="1"/>
  <c r="AH164" i="2" a="1"/>
  <c r="AH164" i="2" s="1"/>
  <c r="R164" i="2" a="1"/>
  <c r="R164" i="2" s="1"/>
  <c r="Q164" i="2" a="1"/>
  <c r="Q164" i="2" s="1"/>
  <c r="P164" i="2" a="1"/>
  <c r="P164" i="2" s="1"/>
  <c r="H164" i="2" a="1"/>
  <c r="H164" i="2" s="1"/>
  <c r="G164" i="2" a="1"/>
  <c r="G164" i="2" s="1"/>
  <c r="F164" i="2" a="1"/>
  <c r="F164" i="2" s="1"/>
  <c r="D56" i="8" s="1" a="1"/>
  <c r="D56" i="8" s="1"/>
  <c r="D164" i="2" a="1"/>
  <c r="D164" i="2" s="1"/>
  <c r="AH163" i="2" a="1"/>
  <c r="AH163" i="2" s="1"/>
  <c r="R163" i="2" a="1"/>
  <c r="R163" i="2" s="1"/>
  <c r="Q163" i="2" a="1"/>
  <c r="Q163" i="2" s="1"/>
  <c r="P163" i="2" a="1"/>
  <c r="P163" i="2" s="1"/>
  <c r="H163" i="2" a="1"/>
  <c r="H163" i="2" s="1"/>
  <c r="G163" i="2" a="1"/>
  <c r="G163" i="2" s="1"/>
  <c r="F163" i="2" a="1"/>
  <c r="F163" i="2" s="1"/>
  <c r="D55" i="8" s="1" a="1"/>
  <c r="D55" i="8" s="1"/>
  <c r="D163" i="2" a="1"/>
  <c r="D163" i="2" s="1"/>
  <c r="AH162" i="2" a="1"/>
  <c r="AH162" i="2" s="1"/>
  <c r="R162" i="2" a="1"/>
  <c r="R162" i="2" s="1"/>
  <c r="Q162" i="2" a="1"/>
  <c r="Q162" i="2" s="1"/>
  <c r="Y162" i="2" s="1" a="1"/>
  <c r="Y162" i="2" s="1"/>
  <c r="P162" i="2" a="1"/>
  <c r="P162" i="2" s="1"/>
  <c r="H162" i="2" a="1"/>
  <c r="H162" i="2" s="1"/>
  <c r="G162" i="2" a="1"/>
  <c r="G162" i="2" s="1"/>
  <c r="F162" i="2" a="1"/>
  <c r="F162" i="2" s="1"/>
  <c r="D54" i="8" s="1" a="1"/>
  <c r="D54" i="8" s="1"/>
  <c r="D162" i="2" a="1"/>
  <c r="D162" i="2" s="1"/>
  <c r="B54" i="8" s="1" a="1"/>
  <c r="B54" i="8" s="1"/>
  <c r="AH161" i="2" a="1"/>
  <c r="AH161" i="2" s="1"/>
  <c r="R161" i="2" a="1"/>
  <c r="R161" i="2" s="1"/>
  <c r="Q161" i="2" a="1"/>
  <c r="Q161" i="2" s="1"/>
  <c r="P161" i="2" a="1"/>
  <c r="P161" i="2" s="1"/>
  <c r="H161" i="2" a="1"/>
  <c r="H161" i="2" s="1"/>
  <c r="G161" i="2" a="1"/>
  <c r="G161" i="2" s="1"/>
  <c r="F161" i="2" a="1"/>
  <c r="F161" i="2" s="1"/>
  <c r="D53" i="8" s="1" a="1"/>
  <c r="D53" i="8" s="1"/>
  <c r="D161" i="2" a="1"/>
  <c r="D161" i="2" s="1"/>
  <c r="B53" i="8" s="1" a="1"/>
  <c r="B53" i="8" s="1"/>
  <c r="AH160" i="2" a="1"/>
  <c r="AH160" i="2" s="1"/>
  <c r="R160" i="2" a="1"/>
  <c r="R160" i="2" s="1"/>
  <c r="Q160" i="2" a="1"/>
  <c r="Q160" i="2" s="1"/>
  <c r="P160" i="2" a="1"/>
  <c r="P160" i="2" s="1"/>
  <c r="H160" i="2" a="1"/>
  <c r="H160" i="2" s="1"/>
  <c r="G160" i="2" a="1"/>
  <c r="G160" i="2" s="1"/>
  <c r="F160" i="2" a="1"/>
  <c r="F160" i="2" s="1"/>
  <c r="D160" i="2" a="1"/>
  <c r="D160" i="2" s="1"/>
  <c r="AH159" i="2" a="1"/>
  <c r="AH159" i="2" s="1"/>
  <c r="R159" i="2" a="1"/>
  <c r="R159" i="2" s="1"/>
  <c r="Q159" i="2" a="1"/>
  <c r="Q159" i="2" s="1"/>
  <c r="P159" i="2" a="1"/>
  <c r="P159" i="2" s="1"/>
  <c r="H159" i="2" a="1"/>
  <c r="H159" i="2" s="1"/>
  <c r="G159" i="2" a="1"/>
  <c r="G159" i="2" s="1"/>
  <c r="F159" i="2" a="1"/>
  <c r="F159" i="2" s="1"/>
  <c r="D52" i="8" s="1" a="1"/>
  <c r="D52" i="8" s="1"/>
  <c r="D159" i="2" a="1"/>
  <c r="D159" i="2" s="1"/>
  <c r="AH158" i="2" a="1"/>
  <c r="AH158" i="2" s="1"/>
  <c r="R158" i="2" a="1"/>
  <c r="R158" i="2" s="1"/>
  <c r="Q158" i="2" a="1"/>
  <c r="Q158" i="2" s="1"/>
  <c r="P158" i="2" a="1"/>
  <c r="P158" i="2" s="1"/>
  <c r="H158" i="2" a="1"/>
  <c r="H158" i="2" s="1"/>
  <c r="G158" i="2" a="1"/>
  <c r="G158" i="2" s="1"/>
  <c r="F158" i="2" a="1"/>
  <c r="F158" i="2" s="1"/>
  <c r="D158" i="2" a="1"/>
  <c r="D158" i="2" s="1"/>
  <c r="AH157" i="2" a="1"/>
  <c r="AH157" i="2" s="1"/>
  <c r="R157" i="2" a="1"/>
  <c r="R157" i="2" s="1"/>
  <c r="Q157" i="2" a="1"/>
  <c r="Q157" i="2" s="1"/>
  <c r="AA157" i="2" s="1" a="1"/>
  <c r="AA157" i="2" s="1"/>
  <c r="P157" i="2" a="1"/>
  <c r="P157" i="2" s="1"/>
  <c r="H157" i="2" a="1"/>
  <c r="H157" i="2" s="1"/>
  <c r="G157" i="2" a="1"/>
  <c r="G157" i="2" s="1"/>
  <c r="F157" i="2" a="1"/>
  <c r="F157" i="2" s="1"/>
  <c r="D51" i="8" s="1" a="1"/>
  <c r="D51" i="8" s="1"/>
  <c r="D157" i="2" a="1"/>
  <c r="D157" i="2" s="1"/>
  <c r="B51" i="8" s="1" a="1"/>
  <c r="B51" i="8" s="1"/>
  <c r="AH156" i="2" a="1"/>
  <c r="AH156" i="2" s="1"/>
  <c r="R156" i="2" a="1"/>
  <c r="R156" i="2" s="1"/>
  <c r="Q156" i="2" a="1"/>
  <c r="Q156" i="2" s="1"/>
  <c r="P156" i="2" a="1"/>
  <c r="P156" i="2" s="1"/>
  <c r="H156" i="2" a="1"/>
  <c r="H156" i="2" s="1"/>
  <c r="G156" i="2" a="1"/>
  <c r="G156" i="2" s="1"/>
  <c r="F156" i="2" a="1"/>
  <c r="F156" i="2" s="1"/>
  <c r="D156" i="2" a="1"/>
  <c r="D156" i="2" s="1"/>
  <c r="AH155" i="2" a="1"/>
  <c r="AH155" i="2" s="1"/>
  <c r="R155" i="2" a="1"/>
  <c r="R155" i="2" s="1"/>
  <c r="Q155" i="2" a="1"/>
  <c r="Q155" i="2" s="1"/>
  <c r="P155" i="2" a="1"/>
  <c r="P155" i="2" s="1"/>
  <c r="H155" i="2" a="1"/>
  <c r="H155" i="2" s="1"/>
  <c r="G155" i="2" a="1"/>
  <c r="G155" i="2" s="1"/>
  <c r="F155" i="2" a="1"/>
  <c r="F155" i="2" s="1"/>
  <c r="D155" i="2" a="1"/>
  <c r="D155" i="2" s="1"/>
  <c r="AH154" i="2" a="1"/>
  <c r="AH154" i="2" s="1"/>
  <c r="R154" i="2" a="1"/>
  <c r="R154" i="2" s="1"/>
  <c r="Q154" i="2" a="1"/>
  <c r="Q154" i="2" s="1"/>
  <c r="P154" i="2" a="1"/>
  <c r="P154" i="2" s="1"/>
  <c r="H154" i="2" a="1"/>
  <c r="H154" i="2" s="1"/>
  <c r="G154" i="2" a="1"/>
  <c r="G154" i="2" s="1"/>
  <c r="F154" i="2" a="1"/>
  <c r="F154" i="2" s="1"/>
  <c r="D154" i="2" a="1"/>
  <c r="D154" i="2" s="1"/>
  <c r="AJ153" i="2" a="1"/>
  <c r="AJ153" i="2" s="1"/>
  <c r="P153" i="2" a="1"/>
  <c r="P153" i="2" s="1"/>
  <c r="H153" i="2" a="1"/>
  <c r="H153" i="2" s="1"/>
  <c r="G153" i="2" a="1"/>
  <c r="G153" i="2" s="1"/>
  <c r="F153" i="2" a="1"/>
  <c r="F153" i="2" s="1"/>
  <c r="D23" i="9" s="1" a="1"/>
  <c r="D23" i="9" s="1"/>
  <c r="D153" i="2" a="1"/>
  <c r="D153" i="2" s="1"/>
  <c r="B23" i="9" s="1" a="1"/>
  <c r="B23" i="9" s="1"/>
  <c r="AH152" i="2" a="1"/>
  <c r="AH152" i="2" s="1"/>
  <c r="R152" i="2" a="1"/>
  <c r="R152" i="2" s="1"/>
  <c r="Q152" i="2" a="1"/>
  <c r="Q152" i="2" s="1"/>
  <c r="P152" i="2" a="1"/>
  <c r="P152" i="2" s="1"/>
  <c r="H152" i="2" a="1"/>
  <c r="H152" i="2" s="1"/>
  <c r="G152" i="2" a="1"/>
  <c r="G152" i="2" s="1"/>
  <c r="F152" i="2" a="1"/>
  <c r="F152" i="2" s="1"/>
  <c r="D152" i="2" a="1"/>
  <c r="D152" i="2" s="1"/>
  <c r="AH151" i="2" a="1"/>
  <c r="AH151" i="2" s="1"/>
  <c r="R151" i="2" a="1"/>
  <c r="R151" i="2" s="1"/>
  <c r="Q151" i="2" a="1"/>
  <c r="Q151" i="2" s="1"/>
  <c r="P151" i="2" a="1"/>
  <c r="P151" i="2" s="1"/>
  <c r="H151" i="2" a="1"/>
  <c r="H151" i="2" s="1"/>
  <c r="G151" i="2" a="1"/>
  <c r="G151" i="2" s="1"/>
  <c r="F151" i="2" a="1"/>
  <c r="F151" i="2" s="1"/>
  <c r="D151" i="2" a="1"/>
  <c r="D151" i="2" s="1"/>
  <c r="AH150" i="2" a="1"/>
  <c r="AH150" i="2" s="1"/>
  <c r="R150" i="2" a="1"/>
  <c r="R150" i="2" s="1"/>
  <c r="Q150" i="2" a="1"/>
  <c r="Q150" i="2" s="1"/>
  <c r="P150" i="2" a="1"/>
  <c r="P150" i="2" s="1"/>
  <c r="H150" i="2" a="1"/>
  <c r="H150" i="2" s="1"/>
  <c r="G150" i="2" a="1"/>
  <c r="G150" i="2" s="1"/>
  <c r="F150" i="2" a="1"/>
  <c r="F150" i="2" s="1"/>
  <c r="D150" i="2" a="1"/>
  <c r="D150" i="2" s="1"/>
  <c r="AH149" i="2" a="1"/>
  <c r="AH149" i="2" s="1"/>
  <c r="R149" i="2" a="1"/>
  <c r="R149" i="2" s="1"/>
  <c r="Q149" i="2" a="1"/>
  <c r="Q149" i="2" s="1"/>
  <c r="AB149" i="2" s="1" a="1"/>
  <c r="AB149" i="2" s="1"/>
  <c r="P149" i="2" a="1"/>
  <c r="P149" i="2" s="1"/>
  <c r="H149" i="2" a="1"/>
  <c r="H149" i="2" s="1"/>
  <c r="G149" i="2" a="1"/>
  <c r="G149" i="2" s="1"/>
  <c r="F149" i="2" a="1"/>
  <c r="F149" i="2" s="1"/>
  <c r="D149" i="2" a="1"/>
  <c r="D149" i="2" s="1"/>
  <c r="AH148" i="2" a="1"/>
  <c r="AH148" i="2" s="1"/>
  <c r="R148" i="2" a="1"/>
  <c r="R148" i="2" s="1"/>
  <c r="Q148" i="2" a="1"/>
  <c r="Q148" i="2" s="1"/>
  <c r="AA148" i="2" s="1" a="1"/>
  <c r="AA148" i="2" s="1"/>
  <c r="P148" i="2" a="1"/>
  <c r="P148" i="2" s="1"/>
  <c r="H148" i="2" a="1"/>
  <c r="H148" i="2" s="1"/>
  <c r="G148" i="2" a="1"/>
  <c r="G148" i="2" s="1"/>
  <c r="F148" i="2" a="1"/>
  <c r="F148" i="2" s="1"/>
  <c r="D148" i="2" a="1"/>
  <c r="D148" i="2" s="1"/>
  <c r="AH147" i="2" a="1"/>
  <c r="AH147" i="2" s="1"/>
  <c r="R147" i="2" a="1"/>
  <c r="R147" i="2" s="1"/>
  <c r="Q147" i="2" a="1"/>
  <c r="Q147" i="2" s="1"/>
  <c r="P147" i="2" a="1"/>
  <c r="P147" i="2" s="1"/>
  <c r="H147" i="2" a="1"/>
  <c r="H147" i="2" s="1"/>
  <c r="G147" i="2" a="1"/>
  <c r="G147" i="2" s="1"/>
  <c r="F147" i="2" a="1"/>
  <c r="F147" i="2" s="1"/>
  <c r="D147" i="2" a="1"/>
  <c r="D147" i="2" s="1"/>
  <c r="AJ146" i="2" a="1"/>
  <c r="AJ146" i="2" s="1"/>
  <c r="AN146" i="2" s="1" a="1"/>
  <c r="AN146" i="2" s="1"/>
  <c r="P146" i="2" a="1"/>
  <c r="P146" i="2" s="1"/>
  <c r="H146" i="2" a="1"/>
  <c r="H146" i="2" s="1"/>
  <c r="G146" i="2" a="1"/>
  <c r="G146" i="2" s="1"/>
  <c r="F146" i="2" a="1"/>
  <c r="F146" i="2" s="1"/>
  <c r="D22" i="9" s="1" a="1"/>
  <c r="D22" i="9" s="1"/>
  <c r="D146" i="2" a="1"/>
  <c r="D146" i="2" s="1"/>
  <c r="AH145" i="2" a="1"/>
  <c r="AH145" i="2" s="1"/>
  <c r="R145" i="2" a="1"/>
  <c r="R145" i="2" s="1"/>
  <c r="Q145" i="2" a="1"/>
  <c r="Q145" i="2" s="1"/>
  <c r="P145" i="2" a="1"/>
  <c r="P145" i="2" s="1"/>
  <c r="H145" i="2" a="1"/>
  <c r="H145" i="2" s="1"/>
  <c r="G145" i="2" a="1"/>
  <c r="G145" i="2" s="1"/>
  <c r="F145" i="2" a="1"/>
  <c r="F145" i="2" s="1"/>
  <c r="D50" i="8" s="1" a="1"/>
  <c r="D50" i="8" s="1"/>
  <c r="D145" i="2" a="1"/>
  <c r="D145" i="2" s="1"/>
  <c r="B50" i="8" s="1" a="1"/>
  <c r="B50" i="8" s="1"/>
  <c r="AH144" i="2" a="1"/>
  <c r="AH144" i="2" s="1"/>
  <c r="R144" i="2" a="1"/>
  <c r="R144" i="2" s="1"/>
  <c r="Q144" i="2" a="1"/>
  <c r="Q144" i="2" s="1"/>
  <c r="Y144" i="2" s="1" a="1"/>
  <c r="Y144" i="2" s="1"/>
  <c r="P144" i="2" a="1"/>
  <c r="P144" i="2" s="1"/>
  <c r="H144" i="2" a="1"/>
  <c r="H144" i="2" s="1"/>
  <c r="G144" i="2" a="1"/>
  <c r="G144" i="2" s="1"/>
  <c r="F144" i="2" a="1"/>
  <c r="F144" i="2" s="1"/>
  <c r="D49" i="8" s="1" a="1"/>
  <c r="D49" i="8" s="1"/>
  <c r="D144" i="2" a="1"/>
  <c r="D144" i="2" s="1"/>
  <c r="B49" i="8" s="1" a="1"/>
  <c r="B49" i="8" s="1"/>
  <c r="AH143" i="2" a="1"/>
  <c r="AH143" i="2" s="1"/>
  <c r="R143" i="2" a="1"/>
  <c r="R143" i="2" s="1"/>
  <c r="Q143" i="2" a="1"/>
  <c r="Q143" i="2" s="1"/>
  <c r="AG143" i="2" s="1" a="1"/>
  <c r="AG143" i="2" s="1"/>
  <c r="P143" i="2" a="1"/>
  <c r="P143" i="2" s="1"/>
  <c r="H143" i="2" a="1"/>
  <c r="H143" i="2" s="1"/>
  <c r="G143" i="2" a="1"/>
  <c r="G143" i="2" s="1"/>
  <c r="F143" i="2" a="1"/>
  <c r="F143" i="2" s="1"/>
  <c r="D143" i="2" a="1"/>
  <c r="D143" i="2" s="1"/>
  <c r="AH142" i="2" a="1"/>
  <c r="AH142" i="2" s="1"/>
  <c r="R142" i="2" a="1"/>
  <c r="R142" i="2" s="1"/>
  <c r="Q142" i="2" a="1"/>
  <c r="Q142" i="2" s="1"/>
  <c r="AG142" i="2" s="1" a="1"/>
  <c r="AG142" i="2" s="1"/>
  <c r="P142" i="2" a="1"/>
  <c r="P142" i="2" s="1"/>
  <c r="H142" i="2" a="1"/>
  <c r="H142" i="2" s="1"/>
  <c r="G142" i="2" a="1"/>
  <c r="G142" i="2" s="1"/>
  <c r="F142" i="2" a="1"/>
  <c r="F142" i="2" s="1"/>
  <c r="D48" i="8" s="1" a="1"/>
  <c r="D48" i="8" s="1"/>
  <c r="D142" i="2" a="1"/>
  <c r="D142" i="2" s="1"/>
  <c r="B48" i="8" s="1" a="1"/>
  <c r="B48" i="8" s="1"/>
  <c r="AH141" i="2" a="1"/>
  <c r="AH141" i="2" s="1"/>
  <c r="R141" i="2" a="1"/>
  <c r="R141" i="2" s="1"/>
  <c r="Q141" i="2" a="1"/>
  <c r="Q141" i="2" s="1"/>
  <c r="AB141" i="2" s="1" a="1"/>
  <c r="AB141" i="2" s="1"/>
  <c r="P141" i="2" a="1"/>
  <c r="P141" i="2" s="1"/>
  <c r="H141" i="2" a="1"/>
  <c r="H141" i="2" s="1"/>
  <c r="G141" i="2" a="1"/>
  <c r="G141" i="2" s="1"/>
  <c r="F141" i="2" a="1"/>
  <c r="F141" i="2" s="1"/>
  <c r="D141" i="2" a="1"/>
  <c r="D141" i="2" s="1"/>
  <c r="AH140" i="2" a="1"/>
  <c r="AH140" i="2" s="1"/>
  <c r="R140" i="2" a="1"/>
  <c r="R140" i="2" s="1"/>
  <c r="Q140" i="2" a="1"/>
  <c r="Q140" i="2" s="1"/>
  <c r="AG140" i="2" s="1" a="1"/>
  <c r="AG140" i="2" s="1"/>
  <c r="P140" i="2" a="1"/>
  <c r="P140" i="2" s="1"/>
  <c r="H140" i="2" a="1"/>
  <c r="H140" i="2" s="1"/>
  <c r="G140" i="2" a="1"/>
  <c r="G140" i="2" s="1"/>
  <c r="F140" i="2" a="1"/>
  <c r="F140" i="2" s="1"/>
  <c r="D47" i="8" s="1" a="1"/>
  <c r="D47" i="8" s="1"/>
  <c r="D140" i="2" a="1"/>
  <c r="D140" i="2" s="1"/>
  <c r="B47" i="8" s="1" a="1"/>
  <c r="B47" i="8" s="1"/>
  <c r="AH139" i="2" a="1"/>
  <c r="AH139" i="2" s="1"/>
  <c r="R139" i="2" a="1"/>
  <c r="R139" i="2" s="1"/>
  <c r="Q139" i="2" a="1"/>
  <c r="Q139" i="2" s="1"/>
  <c r="Y139" i="2" s="1" a="1"/>
  <c r="Y139" i="2" s="1"/>
  <c r="P139" i="2" a="1"/>
  <c r="P139" i="2" s="1"/>
  <c r="H139" i="2" a="1"/>
  <c r="H139" i="2" s="1"/>
  <c r="G139" i="2" a="1"/>
  <c r="G139" i="2" s="1"/>
  <c r="F139" i="2" a="1"/>
  <c r="F139" i="2" s="1"/>
  <c r="D139" i="2" a="1"/>
  <c r="D139" i="2" s="1"/>
  <c r="AH138" i="2" a="1"/>
  <c r="AH138" i="2" s="1"/>
  <c r="R138" i="2" a="1"/>
  <c r="R138" i="2" s="1"/>
  <c r="Q138" i="2" a="1"/>
  <c r="Q138" i="2" s="1"/>
  <c r="Y138" i="2" s="1" a="1"/>
  <c r="Y138" i="2" s="1"/>
  <c r="P138" i="2" a="1"/>
  <c r="P138" i="2" s="1"/>
  <c r="H138" i="2" a="1"/>
  <c r="H138" i="2" s="1"/>
  <c r="G138" i="2" a="1"/>
  <c r="G138" i="2" s="1"/>
  <c r="F138" i="2" a="1"/>
  <c r="F138" i="2" s="1"/>
  <c r="D138" i="2" a="1"/>
  <c r="D138" i="2" s="1"/>
  <c r="AH137" i="2" a="1"/>
  <c r="AH137" i="2" s="1"/>
  <c r="R137" i="2" a="1"/>
  <c r="R137" i="2" s="1"/>
  <c r="Q137" i="2" a="1"/>
  <c r="Q137" i="2" s="1"/>
  <c r="Y137" i="2" s="1" a="1"/>
  <c r="Y137" i="2" s="1"/>
  <c r="P137" i="2" a="1"/>
  <c r="P137" i="2" s="1"/>
  <c r="H137" i="2" a="1"/>
  <c r="H137" i="2" s="1"/>
  <c r="G137" i="2" a="1"/>
  <c r="G137" i="2" s="1"/>
  <c r="F137" i="2" a="1"/>
  <c r="F137" i="2" s="1"/>
  <c r="D137" i="2" a="1"/>
  <c r="D137" i="2" s="1"/>
  <c r="AJ136" i="2" a="1"/>
  <c r="AJ136" i="2" s="1"/>
  <c r="AM136" i="2" s="1" a="1"/>
  <c r="AM136" i="2" s="1"/>
  <c r="P136" i="2" a="1"/>
  <c r="P136" i="2" s="1"/>
  <c r="H136" i="2" a="1"/>
  <c r="H136" i="2" s="1"/>
  <c r="G136" i="2" a="1"/>
  <c r="G136" i="2" s="1"/>
  <c r="F136" i="2" a="1"/>
  <c r="F136" i="2" s="1"/>
  <c r="D21" i="9" s="1" a="1"/>
  <c r="D21" i="9" s="1"/>
  <c r="D136" i="2" a="1"/>
  <c r="D136" i="2" s="1"/>
  <c r="AJ135" i="2" a="1"/>
  <c r="AJ135" i="2" s="1"/>
  <c r="P135" i="2" a="1"/>
  <c r="P135" i="2" s="1"/>
  <c r="H135" i="2" a="1"/>
  <c r="H135" i="2" s="1"/>
  <c r="G135" i="2" a="1"/>
  <c r="G135" i="2" s="1"/>
  <c r="F135" i="2" a="1"/>
  <c r="F135" i="2" s="1"/>
  <c r="D20" i="9" s="1" a="1"/>
  <c r="D20" i="9" s="1"/>
  <c r="D135" i="2" a="1"/>
  <c r="D135" i="2" s="1"/>
  <c r="B20" i="9" s="1" a="1"/>
  <c r="B20" i="9" s="1"/>
  <c r="AH134" i="2" a="1"/>
  <c r="AH134" i="2" s="1"/>
  <c r="R134" i="2" a="1"/>
  <c r="R134" i="2" s="1"/>
  <c r="Q134" i="2" a="1"/>
  <c r="Q134" i="2" s="1"/>
  <c r="P134" i="2" a="1"/>
  <c r="P134" i="2" s="1"/>
  <c r="H134" i="2" a="1"/>
  <c r="H134" i="2" s="1"/>
  <c r="G134" i="2" a="1"/>
  <c r="G134" i="2" s="1"/>
  <c r="F134" i="2" a="1"/>
  <c r="F134" i="2" s="1"/>
  <c r="D134" i="2" a="1"/>
  <c r="D134" i="2" s="1"/>
  <c r="AH133" i="2" a="1"/>
  <c r="AH133" i="2" s="1"/>
  <c r="R133" i="2" a="1"/>
  <c r="R133" i="2" s="1"/>
  <c r="Q133" i="2" a="1"/>
  <c r="Q133" i="2" s="1"/>
  <c r="AD133" i="2" s="1" a="1"/>
  <c r="AD133" i="2" s="1"/>
  <c r="P133" i="2" a="1"/>
  <c r="P133" i="2" s="1"/>
  <c r="H133" i="2" a="1"/>
  <c r="H133" i="2" s="1"/>
  <c r="G133" i="2" a="1"/>
  <c r="G133" i="2" s="1"/>
  <c r="F133" i="2" a="1"/>
  <c r="F133" i="2" s="1"/>
  <c r="D133" i="2" a="1"/>
  <c r="D133" i="2" s="1"/>
  <c r="AH132" i="2" a="1"/>
  <c r="AH132" i="2" s="1"/>
  <c r="R132" i="2" a="1"/>
  <c r="R132" i="2" s="1"/>
  <c r="Q132" i="2" a="1"/>
  <c r="Q132" i="2" s="1"/>
  <c r="P132" i="2" a="1"/>
  <c r="P132" i="2" s="1"/>
  <c r="H132" i="2" a="1"/>
  <c r="H132" i="2" s="1"/>
  <c r="G132" i="2" a="1"/>
  <c r="G132" i="2" s="1"/>
  <c r="F132" i="2" a="1"/>
  <c r="F132" i="2" s="1"/>
  <c r="D132" i="2" a="1"/>
  <c r="D132" i="2" s="1"/>
  <c r="AH131" i="2" a="1"/>
  <c r="AH131" i="2" s="1"/>
  <c r="R131" i="2" a="1"/>
  <c r="R131" i="2" s="1"/>
  <c r="Q131" i="2" a="1"/>
  <c r="Q131" i="2" s="1"/>
  <c r="AB131" i="2" s="1" a="1"/>
  <c r="AB131" i="2" s="1"/>
  <c r="P131" i="2" a="1"/>
  <c r="P131" i="2" s="1"/>
  <c r="H131" i="2" a="1"/>
  <c r="H131" i="2" s="1"/>
  <c r="G131" i="2" a="1"/>
  <c r="G131" i="2" s="1"/>
  <c r="F131" i="2" a="1"/>
  <c r="F131" i="2" s="1"/>
  <c r="D46" i="8" s="1" a="1"/>
  <c r="D46" i="8" s="1"/>
  <c r="D131" i="2" a="1"/>
  <c r="D131" i="2" s="1"/>
  <c r="B46" i="8" s="1" a="1"/>
  <c r="B46" i="8" s="1"/>
  <c r="AH130" i="2" a="1"/>
  <c r="AH130" i="2" s="1"/>
  <c r="R130" i="2" a="1"/>
  <c r="R130" i="2" s="1"/>
  <c r="Q130" i="2" a="1"/>
  <c r="Q130" i="2" s="1"/>
  <c r="Y130" i="2" s="1" a="1"/>
  <c r="Y130" i="2" s="1"/>
  <c r="P130" i="2" a="1"/>
  <c r="P130" i="2" s="1"/>
  <c r="H130" i="2" a="1"/>
  <c r="H130" i="2" s="1"/>
  <c r="G130" i="2" a="1"/>
  <c r="G130" i="2" s="1"/>
  <c r="F130" i="2" a="1"/>
  <c r="F130" i="2" s="1"/>
  <c r="D130" i="2" a="1"/>
  <c r="D130" i="2" s="1"/>
  <c r="AH129" i="2" a="1"/>
  <c r="AH129" i="2" s="1"/>
  <c r="R129" i="2" a="1"/>
  <c r="R129" i="2" s="1"/>
  <c r="Q129" i="2" a="1"/>
  <c r="Q129" i="2" s="1"/>
  <c r="P129" i="2" a="1"/>
  <c r="P129" i="2" s="1"/>
  <c r="H129" i="2" a="1"/>
  <c r="H129" i="2" s="1"/>
  <c r="G129" i="2" a="1"/>
  <c r="G129" i="2" s="1"/>
  <c r="F129" i="2" a="1"/>
  <c r="F129" i="2" s="1"/>
  <c r="D129" i="2" a="1"/>
  <c r="D129" i="2" s="1"/>
  <c r="AH128" i="2" a="1"/>
  <c r="AH128" i="2" s="1"/>
  <c r="R128" i="2" a="1"/>
  <c r="R128" i="2" s="1"/>
  <c r="Q128" i="2" a="1"/>
  <c r="Q128" i="2" s="1"/>
  <c r="P128" i="2" a="1"/>
  <c r="P128" i="2" s="1"/>
  <c r="H128" i="2" a="1"/>
  <c r="H128" i="2" s="1"/>
  <c r="G128" i="2" a="1"/>
  <c r="G128" i="2" s="1"/>
  <c r="F128" i="2" a="1"/>
  <c r="F128" i="2" s="1"/>
  <c r="D45" i="8" s="1" a="1"/>
  <c r="D45" i="8" s="1"/>
  <c r="D128" i="2" a="1"/>
  <c r="D128" i="2" s="1"/>
  <c r="B45" i="8" s="1" a="1"/>
  <c r="B45" i="8" s="1"/>
  <c r="AH127" i="2" a="1"/>
  <c r="AH127" i="2" s="1"/>
  <c r="R127" i="2" a="1"/>
  <c r="R127" i="2" s="1"/>
  <c r="Q127" i="2" a="1"/>
  <c r="Q127" i="2" s="1"/>
  <c r="Z127" i="2" s="1" a="1"/>
  <c r="Z127" i="2" s="1"/>
  <c r="P127" i="2" a="1"/>
  <c r="P127" i="2" s="1"/>
  <c r="H127" i="2" a="1"/>
  <c r="H127" i="2" s="1"/>
  <c r="G127" i="2" a="1"/>
  <c r="G127" i="2" s="1"/>
  <c r="F127" i="2" a="1"/>
  <c r="F127" i="2" s="1"/>
  <c r="D44" i="8" s="1" a="1"/>
  <c r="D44" i="8" s="1"/>
  <c r="D127" i="2" a="1"/>
  <c r="D127" i="2" s="1"/>
  <c r="B44" i="8" s="1" a="1"/>
  <c r="B44" i="8" s="1"/>
  <c r="AH126" i="2" a="1"/>
  <c r="AH126" i="2" s="1"/>
  <c r="R126" i="2" a="1"/>
  <c r="R126" i="2" s="1"/>
  <c r="Q126" i="2" a="1"/>
  <c r="Q126" i="2" s="1"/>
  <c r="P126" i="2" a="1"/>
  <c r="P126" i="2" s="1"/>
  <c r="H126" i="2" a="1"/>
  <c r="H126" i="2" s="1"/>
  <c r="G126" i="2" a="1"/>
  <c r="G126" i="2" s="1"/>
  <c r="F126" i="2" a="1"/>
  <c r="F126" i="2" s="1"/>
  <c r="D126" i="2" a="1"/>
  <c r="D126" i="2" s="1"/>
  <c r="AH125" i="2" a="1"/>
  <c r="AH125" i="2" s="1"/>
  <c r="R125" i="2" a="1"/>
  <c r="R125" i="2" s="1"/>
  <c r="Q125" i="2" a="1"/>
  <c r="Q125" i="2" s="1"/>
  <c r="Y125" i="2" s="1" a="1"/>
  <c r="Y125" i="2" s="1"/>
  <c r="P125" i="2" a="1"/>
  <c r="P125" i="2" s="1"/>
  <c r="H125" i="2" a="1"/>
  <c r="H125" i="2" s="1"/>
  <c r="G125" i="2" a="1"/>
  <c r="G125" i="2" s="1"/>
  <c r="F125" i="2" a="1"/>
  <c r="F125" i="2" s="1"/>
  <c r="D125" i="2" a="1"/>
  <c r="D125" i="2" s="1"/>
  <c r="AH124" i="2" a="1"/>
  <c r="AH124" i="2" s="1"/>
  <c r="R124" i="2" a="1"/>
  <c r="R124" i="2" s="1"/>
  <c r="Q124" i="2" a="1"/>
  <c r="Q124" i="2" s="1"/>
  <c r="AA124" i="2" s="1" a="1"/>
  <c r="AA124" i="2" s="1"/>
  <c r="P124" i="2" a="1"/>
  <c r="P124" i="2" s="1"/>
  <c r="H124" i="2" a="1"/>
  <c r="H124" i="2" s="1"/>
  <c r="G124" i="2" a="1"/>
  <c r="G124" i="2" s="1"/>
  <c r="F124" i="2" a="1"/>
  <c r="F124" i="2" s="1"/>
  <c r="D124" i="2" a="1"/>
  <c r="D124" i="2" s="1"/>
  <c r="AH123" i="2" a="1"/>
  <c r="AH123" i="2" s="1"/>
  <c r="R123" i="2" a="1"/>
  <c r="R123" i="2" s="1"/>
  <c r="Q123" i="2" a="1"/>
  <c r="Q123" i="2" s="1"/>
  <c r="P123" i="2" a="1"/>
  <c r="P123" i="2" s="1"/>
  <c r="H123" i="2" a="1"/>
  <c r="H123" i="2" s="1"/>
  <c r="G123" i="2" a="1"/>
  <c r="G123" i="2" s="1"/>
  <c r="F123" i="2" a="1"/>
  <c r="F123" i="2" s="1"/>
  <c r="D123" i="2" a="1"/>
  <c r="D123" i="2" s="1"/>
  <c r="AH122" i="2" a="1"/>
  <c r="AH122" i="2" s="1"/>
  <c r="R122" i="2" a="1"/>
  <c r="R122" i="2" s="1"/>
  <c r="Q122" i="2" a="1"/>
  <c r="Q122" i="2" s="1"/>
  <c r="AB122" i="2" s="1" a="1"/>
  <c r="AB122" i="2" s="1"/>
  <c r="P122" i="2" a="1"/>
  <c r="P122" i="2" s="1"/>
  <c r="H122" i="2" a="1"/>
  <c r="H122" i="2" s="1"/>
  <c r="G122" i="2" a="1"/>
  <c r="G122" i="2" s="1"/>
  <c r="F122" i="2" a="1"/>
  <c r="F122" i="2" s="1"/>
  <c r="D43" i="8" s="1" a="1"/>
  <c r="D43" i="8" s="1"/>
  <c r="D122" i="2" a="1"/>
  <c r="D122" i="2" s="1"/>
  <c r="B43" i="8" s="1" a="1"/>
  <c r="B43" i="8" s="1"/>
  <c r="AH121" i="2" a="1"/>
  <c r="AH121" i="2" s="1"/>
  <c r="R121" i="2" a="1"/>
  <c r="R121" i="2" s="1"/>
  <c r="Q121" i="2" a="1"/>
  <c r="Q121" i="2" s="1"/>
  <c r="Y121" i="2" s="1" a="1"/>
  <c r="Y121" i="2" s="1"/>
  <c r="P121" i="2" a="1"/>
  <c r="P121" i="2" s="1"/>
  <c r="H121" i="2" a="1"/>
  <c r="H121" i="2" s="1"/>
  <c r="G121" i="2" a="1"/>
  <c r="G121" i="2" s="1"/>
  <c r="F121" i="2" a="1"/>
  <c r="F121" i="2" s="1"/>
  <c r="D121" i="2" a="1"/>
  <c r="D121" i="2" s="1"/>
  <c r="AH120" i="2" a="1"/>
  <c r="AH120" i="2" s="1"/>
  <c r="R120" i="2" a="1"/>
  <c r="R120" i="2" s="1"/>
  <c r="Q120" i="2" a="1"/>
  <c r="Q120" i="2" s="1"/>
  <c r="P120" i="2" a="1"/>
  <c r="P120" i="2" s="1"/>
  <c r="H120" i="2" a="1"/>
  <c r="H120" i="2" s="1"/>
  <c r="G120" i="2" a="1"/>
  <c r="G120" i="2" s="1"/>
  <c r="F120" i="2" a="1"/>
  <c r="F120" i="2" s="1"/>
  <c r="D120" i="2" a="1"/>
  <c r="D120" i="2" s="1"/>
  <c r="AH119" i="2" a="1"/>
  <c r="AH119" i="2" s="1"/>
  <c r="R119" i="2" a="1"/>
  <c r="R119" i="2" s="1"/>
  <c r="Q119" i="2" a="1"/>
  <c r="Q119" i="2" s="1"/>
  <c r="P119" i="2" a="1"/>
  <c r="P119" i="2" s="1"/>
  <c r="H119" i="2" a="1"/>
  <c r="H119" i="2" s="1"/>
  <c r="G119" i="2" a="1"/>
  <c r="G119" i="2" s="1"/>
  <c r="F119" i="2" a="1"/>
  <c r="F119" i="2" s="1"/>
  <c r="D42" i="8" s="1" a="1"/>
  <c r="D42" i="8" s="1"/>
  <c r="D119" i="2" a="1"/>
  <c r="D119" i="2" s="1"/>
  <c r="AH118" i="2" a="1"/>
  <c r="AH118" i="2" s="1"/>
  <c r="R118" i="2" a="1"/>
  <c r="R118" i="2" s="1"/>
  <c r="Q118" i="2" a="1"/>
  <c r="Q118" i="2" s="1"/>
  <c r="P118" i="2" a="1"/>
  <c r="P118" i="2" s="1"/>
  <c r="H118" i="2" a="1"/>
  <c r="H118" i="2" s="1"/>
  <c r="G118" i="2" a="1"/>
  <c r="G118" i="2" s="1"/>
  <c r="F118" i="2" a="1"/>
  <c r="F118" i="2" s="1"/>
  <c r="D118" i="2" a="1"/>
  <c r="D118" i="2" s="1"/>
  <c r="AJ117" i="2" a="1"/>
  <c r="AJ117" i="2" s="1"/>
  <c r="P117" i="2" a="1"/>
  <c r="P117" i="2" s="1"/>
  <c r="H117" i="2" a="1"/>
  <c r="H117" i="2" s="1"/>
  <c r="G117" i="2" a="1"/>
  <c r="G117" i="2" s="1"/>
  <c r="F117" i="2" a="1"/>
  <c r="F117" i="2" s="1"/>
  <c r="D19" i="9" s="1" a="1"/>
  <c r="D19" i="9" s="1"/>
  <c r="D117" i="2" a="1"/>
  <c r="D117" i="2" s="1"/>
  <c r="B19" i="9" s="1" a="1"/>
  <c r="B19" i="9" s="1"/>
  <c r="AH116" i="2" a="1"/>
  <c r="AH116" i="2" s="1"/>
  <c r="R116" i="2" a="1"/>
  <c r="R116" i="2" s="1"/>
  <c r="Q116" i="2" a="1"/>
  <c r="Q116" i="2" s="1"/>
  <c r="Y116" i="2" s="1" a="1"/>
  <c r="Y116" i="2" s="1"/>
  <c r="P116" i="2" a="1"/>
  <c r="P116" i="2" s="1"/>
  <c r="H116" i="2" a="1"/>
  <c r="H116" i="2" s="1"/>
  <c r="G116" i="2" a="1"/>
  <c r="G116" i="2" s="1"/>
  <c r="F116" i="2" a="1"/>
  <c r="F116" i="2" s="1"/>
  <c r="D41" i="8" s="1" a="1"/>
  <c r="D41" i="8" s="1"/>
  <c r="D116" i="2" a="1"/>
  <c r="D116" i="2" s="1"/>
  <c r="AH115" i="2" a="1"/>
  <c r="AH115" i="2" s="1"/>
  <c r="R115" i="2" a="1"/>
  <c r="R115" i="2" s="1"/>
  <c r="Q115" i="2" a="1"/>
  <c r="Q115" i="2" s="1"/>
  <c r="P115" i="2" a="1"/>
  <c r="P115" i="2" s="1"/>
  <c r="H115" i="2" a="1"/>
  <c r="H115" i="2" s="1"/>
  <c r="G115" i="2" a="1"/>
  <c r="G115" i="2" s="1"/>
  <c r="F115" i="2" a="1"/>
  <c r="F115" i="2" s="1"/>
  <c r="D115" i="2" a="1"/>
  <c r="D115" i="2" s="1"/>
  <c r="AH114" i="2" a="1"/>
  <c r="AH114" i="2" s="1"/>
  <c r="R114" i="2" a="1"/>
  <c r="R114" i="2" s="1"/>
  <c r="Q114" i="2" a="1"/>
  <c r="Q114" i="2" s="1"/>
  <c r="AF114" i="2" s="1" a="1"/>
  <c r="AF114" i="2" s="1"/>
  <c r="P114" i="2" a="1"/>
  <c r="P114" i="2" s="1"/>
  <c r="H114" i="2" a="1"/>
  <c r="H114" i="2" s="1"/>
  <c r="G114" i="2" a="1"/>
  <c r="G114" i="2" s="1"/>
  <c r="F114" i="2" a="1"/>
  <c r="F114" i="2" s="1"/>
  <c r="D40" i="8" s="1" a="1"/>
  <c r="D40" i="8" s="1"/>
  <c r="D114" i="2" a="1"/>
  <c r="D114" i="2" s="1"/>
  <c r="B40" i="8" s="1" a="1"/>
  <c r="B40" i="8" s="1"/>
  <c r="AH113" i="2" a="1"/>
  <c r="AH113" i="2" s="1"/>
  <c r="R113" i="2" a="1"/>
  <c r="R113" i="2" s="1"/>
  <c r="Q113" i="2" a="1"/>
  <c r="Q113" i="2" s="1"/>
  <c r="AB113" i="2" s="1" a="1"/>
  <c r="AB113" i="2" s="1"/>
  <c r="P113" i="2" a="1"/>
  <c r="P113" i="2" s="1"/>
  <c r="H113" i="2" a="1"/>
  <c r="H113" i="2" s="1"/>
  <c r="G113" i="2" a="1"/>
  <c r="G113" i="2" s="1"/>
  <c r="F113" i="2" a="1"/>
  <c r="F113" i="2" s="1"/>
  <c r="D39" i="8" s="1" a="1"/>
  <c r="D39" i="8" s="1"/>
  <c r="D113" i="2" a="1"/>
  <c r="D113" i="2" s="1"/>
  <c r="B39" i="8" s="1" a="1"/>
  <c r="B39" i="8" s="1"/>
  <c r="AH112" i="2" a="1"/>
  <c r="AH112" i="2" s="1"/>
  <c r="R112" i="2" a="1"/>
  <c r="R112" i="2" s="1"/>
  <c r="Q112" i="2" a="1"/>
  <c r="Q112" i="2" s="1"/>
  <c r="P112" i="2" a="1"/>
  <c r="P112" i="2" s="1"/>
  <c r="H112" i="2" a="1"/>
  <c r="H112" i="2" s="1"/>
  <c r="G112" i="2" a="1"/>
  <c r="G112" i="2" s="1"/>
  <c r="F112" i="2" a="1"/>
  <c r="F112" i="2" s="1"/>
  <c r="D112" i="2" a="1"/>
  <c r="D112" i="2" s="1"/>
  <c r="AH111" i="2" a="1"/>
  <c r="AH111" i="2" s="1"/>
  <c r="R111" i="2" a="1"/>
  <c r="R111" i="2" s="1"/>
  <c r="Q111" i="2" a="1"/>
  <c r="Q111" i="2" s="1"/>
  <c r="P111" i="2" a="1"/>
  <c r="P111" i="2" s="1"/>
  <c r="H111" i="2" a="1"/>
  <c r="H111" i="2" s="1"/>
  <c r="G111" i="2" a="1"/>
  <c r="G111" i="2" s="1"/>
  <c r="F111" i="2" a="1"/>
  <c r="F111" i="2" s="1"/>
  <c r="D111" i="2" a="1"/>
  <c r="D111" i="2" s="1"/>
  <c r="AH110" i="2" a="1"/>
  <c r="AH110" i="2" s="1"/>
  <c r="R110" i="2" a="1"/>
  <c r="R110" i="2" s="1"/>
  <c r="Q110" i="2" a="1"/>
  <c r="Q110" i="2" s="1"/>
  <c r="AA110" i="2" s="1" a="1"/>
  <c r="AA110" i="2" s="1"/>
  <c r="P110" i="2" a="1"/>
  <c r="P110" i="2" s="1"/>
  <c r="H110" i="2" a="1"/>
  <c r="H110" i="2" s="1"/>
  <c r="G110" i="2" a="1"/>
  <c r="G110" i="2" s="1"/>
  <c r="F110" i="2" a="1"/>
  <c r="F110" i="2" s="1"/>
  <c r="D110" i="2" a="1"/>
  <c r="D110" i="2" s="1"/>
  <c r="AJ109" i="2" a="1"/>
  <c r="AJ109" i="2" s="1"/>
  <c r="P109" i="2" a="1"/>
  <c r="P109" i="2" s="1"/>
  <c r="H109" i="2" a="1"/>
  <c r="H109" i="2" s="1"/>
  <c r="G109" i="2" a="1"/>
  <c r="G109" i="2" s="1"/>
  <c r="F109" i="2" a="1"/>
  <c r="F109" i="2" s="1"/>
  <c r="D18" i="9" s="1" a="1"/>
  <c r="D18" i="9" s="1"/>
  <c r="D109" i="2" a="1"/>
  <c r="D109" i="2" s="1"/>
  <c r="B18" i="9" s="1" a="1"/>
  <c r="B18" i="9" s="1"/>
  <c r="AJ108" i="2" a="1"/>
  <c r="AJ108" i="2" s="1"/>
  <c r="AM108" i="2" s="1" a="1"/>
  <c r="AM108" i="2" s="1"/>
  <c r="P108" i="2" a="1"/>
  <c r="P108" i="2" s="1"/>
  <c r="H108" i="2" a="1"/>
  <c r="H108" i="2" s="1"/>
  <c r="G108" i="2" a="1"/>
  <c r="G108" i="2" s="1"/>
  <c r="F108" i="2" a="1"/>
  <c r="F108" i="2" s="1"/>
  <c r="D17" i="9" s="1" a="1"/>
  <c r="D17" i="9" s="1"/>
  <c r="D108" i="2" a="1"/>
  <c r="D108" i="2" s="1"/>
  <c r="B17" i="9" s="1" a="1"/>
  <c r="B17" i="9" s="1"/>
  <c r="AH107" i="2" a="1"/>
  <c r="AH107" i="2" s="1"/>
  <c r="R107" i="2" a="1"/>
  <c r="R107" i="2" s="1"/>
  <c r="Q107" i="2" a="1"/>
  <c r="Q107" i="2" s="1"/>
  <c r="P107" i="2" a="1"/>
  <c r="P107" i="2" s="1"/>
  <c r="H107" i="2" a="1"/>
  <c r="H107" i="2" s="1"/>
  <c r="G107" i="2" a="1"/>
  <c r="G107" i="2" s="1"/>
  <c r="F107" i="2" a="1"/>
  <c r="F107" i="2" s="1"/>
  <c r="D107" i="2" a="1"/>
  <c r="D107" i="2" s="1"/>
  <c r="AH106" i="2" a="1"/>
  <c r="AH106" i="2" s="1"/>
  <c r="R106" i="2" a="1"/>
  <c r="R106" i="2" s="1"/>
  <c r="Q106" i="2" a="1"/>
  <c r="Q106" i="2" s="1"/>
  <c r="AD106" i="2" s="1" a="1"/>
  <c r="AD106" i="2" s="1"/>
  <c r="P106" i="2" a="1"/>
  <c r="P106" i="2" s="1"/>
  <c r="H106" i="2" a="1"/>
  <c r="H106" i="2" s="1"/>
  <c r="G106" i="2" a="1"/>
  <c r="G106" i="2" s="1"/>
  <c r="F106" i="2" a="1"/>
  <c r="F106" i="2" s="1"/>
  <c r="D38" i="8" s="1" a="1"/>
  <c r="D38" i="8" s="1"/>
  <c r="D106" i="2" a="1"/>
  <c r="D106" i="2" s="1"/>
  <c r="AH105" i="2" a="1"/>
  <c r="AH105" i="2" s="1"/>
  <c r="R105" i="2" a="1"/>
  <c r="R105" i="2" s="1"/>
  <c r="Q105" i="2" a="1"/>
  <c r="Q105" i="2" s="1"/>
  <c r="AB105" i="2" s="1" a="1"/>
  <c r="AB105" i="2" s="1"/>
  <c r="P105" i="2" a="1"/>
  <c r="P105" i="2" s="1"/>
  <c r="H105" i="2" a="1"/>
  <c r="H105" i="2" s="1"/>
  <c r="G105" i="2" a="1"/>
  <c r="G105" i="2" s="1"/>
  <c r="F105" i="2" a="1"/>
  <c r="F105" i="2" s="1"/>
  <c r="D37" i="8" s="1" a="1"/>
  <c r="D37" i="8" s="1"/>
  <c r="D105" i="2" a="1"/>
  <c r="D105" i="2" s="1"/>
  <c r="AH104" i="2" a="1"/>
  <c r="AH104" i="2" s="1"/>
  <c r="R104" i="2" a="1"/>
  <c r="R104" i="2" s="1"/>
  <c r="Q104" i="2" a="1"/>
  <c r="Q104" i="2" s="1"/>
  <c r="P104" i="2" a="1"/>
  <c r="P104" i="2" s="1"/>
  <c r="H104" i="2" a="1"/>
  <c r="H104" i="2" s="1"/>
  <c r="G104" i="2" a="1"/>
  <c r="G104" i="2" s="1"/>
  <c r="F104" i="2" a="1"/>
  <c r="F104" i="2" s="1"/>
  <c r="D36" i="8" s="1" a="1"/>
  <c r="D36" i="8" s="1"/>
  <c r="D104" i="2" a="1"/>
  <c r="D104" i="2" s="1"/>
  <c r="B36" i="8" s="1" a="1"/>
  <c r="B36" i="8" s="1"/>
  <c r="AH103" i="2" a="1"/>
  <c r="AH103" i="2" s="1"/>
  <c r="R103" i="2" a="1"/>
  <c r="R103" i="2" s="1"/>
  <c r="Q103" i="2" a="1"/>
  <c r="Q103" i="2" s="1"/>
  <c r="Y103" i="2" s="1" a="1"/>
  <c r="Y103" i="2" s="1"/>
  <c r="P103" i="2" a="1"/>
  <c r="P103" i="2" s="1"/>
  <c r="H103" i="2" a="1"/>
  <c r="H103" i="2" s="1"/>
  <c r="G103" i="2" a="1"/>
  <c r="G103" i="2" s="1"/>
  <c r="F103" i="2" a="1"/>
  <c r="F103" i="2" s="1"/>
  <c r="D103" i="2" a="1"/>
  <c r="D103" i="2" s="1"/>
  <c r="AH102" i="2" a="1"/>
  <c r="AH102" i="2" s="1"/>
  <c r="R102" i="2" a="1"/>
  <c r="R102" i="2" s="1"/>
  <c r="Q102" i="2" a="1"/>
  <c r="Q102" i="2" s="1"/>
  <c r="AG102" i="2" s="1" a="1"/>
  <c r="AG102" i="2" s="1"/>
  <c r="P102" i="2" a="1"/>
  <c r="P102" i="2" s="1"/>
  <c r="H102" i="2" a="1"/>
  <c r="H102" i="2" s="1"/>
  <c r="G102" i="2" a="1"/>
  <c r="G102" i="2" s="1"/>
  <c r="F102" i="2" a="1"/>
  <c r="F102" i="2" s="1"/>
  <c r="D102" i="2" a="1"/>
  <c r="D102" i="2" s="1"/>
  <c r="AH101" i="2" a="1"/>
  <c r="AH101" i="2" s="1"/>
  <c r="R101" i="2" a="1"/>
  <c r="R101" i="2" s="1"/>
  <c r="Q101" i="2" a="1"/>
  <c r="Q101" i="2" s="1"/>
  <c r="AD101" i="2" s="1" a="1"/>
  <c r="AD101" i="2" s="1"/>
  <c r="P101" i="2" a="1"/>
  <c r="P101" i="2" s="1"/>
  <c r="H101" i="2" a="1"/>
  <c r="H101" i="2" s="1"/>
  <c r="G101" i="2" a="1"/>
  <c r="G101" i="2" s="1"/>
  <c r="F101" i="2" a="1"/>
  <c r="F101" i="2" s="1"/>
  <c r="D101" i="2" a="1"/>
  <c r="D101" i="2" s="1"/>
  <c r="AH100" i="2" a="1"/>
  <c r="AH100" i="2" s="1"/>
  <c r="R100" i="2" a="1"/>
  <c r="R100" i="2" s="1"/>
  <c r="Q100" i="2" a="1"/>
  <c r="Q100" i="2" s="1"/>
  <c r="AF100" i="2" s="1" a="1"/>
  <c r="AF100" i="2" s="1"/>
  <c r="P100" i="2" a="1"/>
  <c r="P100" i="2" s="1"/>
  <c r="H100" i="2" a="1"/>
  <c r="H100" i="2" s="1"/>
  <c r="G100" i="2" a="1"/>
  <c r="G100" i="2" s="1"/>
  <c r="F100" i="2" a="1"/>
  <c r="F100" i="2" s="1"/>
  <c r="D100" i="2" a="1"/>
  <c r="D100" i="2" s="1"/>
  <c r="AH99" i="2" a="1"/>
  <c r="AH99" i="2" s="1"/>
  <c r="R99" i="2" a="1"/>
  <c r="R99" i="2" s="1"/>
  <c r="Q99" i="2" a="1"/>
  <c r="Q99" i="2" s="1"/>
  <c r="Y99" i="2" s="1" a="1"/>
  <c r="Y99" i="2" s="1"/>
  <c r="P99" i="2" a="1"/>
  <c r="P99" i="2" s="1"/>
  <c r="H99" i="2" a="1"/>
  <c r="H99" i="2" s="1"/>
  <c r="G99" i="2" a="1"/>
  <c r="G99" i="2" s="1"/>
  <c r="F99" i="2" a="1"/>
  <c r="F99" i="2" s="1"/>
  <c r="D35" i="8" s="1" a="1"/>
  <c r="D35" i="8" s="1"/>
  <c r="D99" i="2" a="1"/>
  <c r="D99" i="2" s="1"/>
  <c r="AH98" i="2" a="1"/>
  <c r="AH98" i="2" s="1"/>
  <c r="R98" i="2" a="1"/>
  <c r="R98" i="2" s="1"/>
  <c r="Q98" i="2" a="1"/>
  <c r="Q98" i="2" s="1"/>
  <c r="Y98" i="2" s="1" a="1"/>
  <c r="Y98" i="2" s="1"/>
  <c r="P98" i="2" a="1"/>
  <c r="P98" i="2" s="1"/>
  <c r="H98" i="2" a="1"/>
  <c r="H98" i="2" s="1"/>
  <c r="G98" i="2" a="1"/>
  <c r="G98" i="2" s="1"/>
  <c r="F98" i="2" a="1"/>
  <c r="F98" i="2" s="1"/>
  <c r="D98" i="2" a="1"/>
  <c r="D98" i="2" s="1"/>
  <c r="AJ97" i="2" a="1"/>
  <c r="AJ97" i="2" s="1"/>
  <c r="P97" i="2" a="1"/>
  <c r="P97" i="2" s="1"/>
  <c r="H97" i="2" a="1"/>
  <c r="H97" i="2" s="1"/>
  <c r="G97" i="2" a="1"/>
  <c r="G97" i="2" s="1"/>
  <c r="F97" i="2" a="1"/>
  <c r="F97" i="2" s="1"/>
  <c r="D16" i="9" s="1" a="1"/>
  <c r="D16" i="9" s="1"/>
  <c r="D97" i="2" a="1"/>
  <c r="D97" i="2" s="1"/>
  <c r="B16" i="9" s="1" a="1"/>
  <c r="B16" i="9" s="1"/>
  <c r="AH96" i="2" a="1"/>
  <c r="AH96" i="2" s="1"/>
  <c r="R96" i="2" a="1"/>
  <c r="R96" i="2" s="1"/>
  <c r="Q96" i="2" a="1"/>
  <c r="Q96" i="2" s="1"/>
  <c r="P96" i="2" a="1"/>
  <c r="P96" i="2" s="1"/>
  <c r="H96" i="2" a="1"/>
  <c r="H96" i="2" s="1"/>
  <c r="G96" i="2" a="1"/>
  <c r="G96" i="2" s="1"/>
  <c r="F96" i="2" a="1"/>
  <c r="F96" i="2" s="1"/>
  <c r="D96" i="2" a="1"/>
  <c r="D96" i="2" s="1"/>
  <c r="AH95" i="2" a="1"/>
  <c r="AH95" i="2" s="1"/>
  <c r="R95" i="2" a="1"/>
  <c r="R95" i="2" s="1"/>
  <c r="Q95" i="2" a="1"/>
  <c r="Q95" i="2" s="1"/>
  <c r="P95" i="2" a="1"/>
  <c r="P95" i="2" s="1"/>
  <c r="H95" i="2" a="1"/>
  <c r="H95" i="2" s="1"/>
  <c r="G95" i="2" a="1"/>
  <c r="G95" i="2" s="1"/>
  <c r="F95" i="2" a="1"/>
  <c r="F95" i="2" s="1"/>
  <c r="D95" i="2" a="1"/>
  <c r="D95" i="2" s="1"/>
  <c r="AH94" i="2" a="1"/>
  <c r="AH94" i="2" s="1"/>
  <c r="R94" i="2" a="1"/>
  <c r="R94" i="2" s="1"/>
  <c r="Q94" i="2" a="1"/>
  <c r="Q94" i="2" s="1"/>
  <c r="P94" i="2" a="1"/>
  <c r="P94" i="2" s="1"/>
  <c r="H94" i="2" a="1"/>
  <c r="H94" i="2" s="1"/>
  <c r="G94" i="2" a="1"/>
  <c r="G94" i="2" s="1"/>
  <c r="F94" i="2" a="1"/>
  <c r="F94" i="2" s="1"/>
  <c r="D94" i="2" a="1"/>
  <c r="D94" i="2" s="1"/>
  <c r="AH93" i="2" a="1"/>
  <c r="AH93" i="2" s="1"/>
  <c r="R93" i="2" a="1"/>
  <c r="R93" i="2" s="1"/>
  <c r="Q93" i="2" a="1"/>
  <c r="Q93" i="2" s="1"/>
  <c r="P93" i="2" a="1"/>
  <c r="P93" i="2" s="1"/>
  <c r="H93" i="2" a="1"/>
  <c r="H93" i="2" s="1"/>
  <c r="G93" i="2" a="1"/>
  <c r="G93" i="2" s="1"/>
  <c r="F93" i="2" a="1"/>
  <c r="F93" i="2" s="1"/>
  <c r="D34" i="8" s="1" a="1"/>
  <c r="D34" i="8" s="1"/>
  <c r="D93" i="2" a="1"/>
  <c r="D93" i="2" s="1"/>
  <c r="B34" i="8" s="1" a="1"/>
  <c r="B34" i="8" s="1"/>
  <c r="AH92" i="2" a="1"/>
  <c r="AH92" i="2" s="1"/>
  <c r="R92" i="2" a="1"/>
  <c r="R92" i="2" s="1"/>
  <c r="Q92" i="2" a="1"/>
  <c r="Q92" i="2" s="1"/>
  <c r="Z92" i="2" s="1" a="1"/>
  <c r="Z92" i="2" s="1"/>
  <c r="P92" i="2" a="1"/>
  <c r="P92" i="2" s="1"/>
  <c r="H92" i="2" a="1"/>
  <c r="H92" i="2" s="1"/>
  <c r="G92" i="2" a="1"/>
  <c r="G92" i="2" s="1"/>
  <c r="F92" i="2" a="1"/>
  <c r="F92" i="2" s="1"/>
  <c r="D33" i="8" s="1" a="1"/>
  <c r="D33" i="8" s="1"/>
  <c r="D92" i="2" a="1"/>
  <c r="D92" i="2" s="1"/>
  <c r="B33" i="8" s="1" a="1"/>
  <c r="B33" i="8" s="1"/>
  <c r="AJ91" i="2" a="1"/>
  <c r="AJ91" i="2" s="1"/>
  <c r="P91" i="2" a="1"/>
  <c r="P91" i="2" s="1"/>
  <c r="H91" i="2" a="1"/>
  <c r="H91" i="2" s="1"/>
  <c r="G91" i="2" a="1"/>
  <c r="G91" i="2" s="1"/>
  <c r="F91" i="2" a="1"/>
  <c r="F91" i="2" s="1"/>
  <c r="D15" i="9" s="1" a="1"/>
  <c r="D15" i="9" s="1"/>
  <c r="D91" i="2" a="1"/>
  <c r="D91" i="2" s="1"/>
  <c r="AH90" i="2" a="1"/>
  <c r="AH90" i="2" s="1"/>
  <c r="R90" i="2" a="1"/>
  <c r="R90" i="2" s="1"/>
  <c r="Q90" i="2" a="1"/>
  <c r="Q90" i="2" s="1"/>
  <c r="AA90" i="2" s="1" a="1"/>
  <c r="AA90" i="2" s="1"/>
  <c r="P90" i="2" a="1"/>
  <c r="P90" i="2" s="1"/>
  <c r="H90" i="2" a="1"/>
  <c r="H90" i="2" s="1"/>
  <c r="G90" i="2" a="1"/>
  <c r="G90" i="2" s="1"/>
  <c r="F90" i="2" a="1"/>
  <c r="F90" i="2" s="1"/>
  <c r="D32" i="8" s="1" a="1"/>
  <c r="D32" i="8" s="1"/>
  <c r="D90" i="2" a="1"/>
  <c r="D90" i="2" s="1"/>
  <c r="AH89" i="2" a="1"/>
  <c r="AH89" i="2" s="1"/>
  <c r="R89" i="2" a="1"/>
  <c r="R89" i="2" s="1"/>
  <c r="Q89" i="2" a="1"/>
  <c r="Q89" i="2" s="1"/>
  <c r="P89" i="2" a="1"/>
  <c r="P89" i="2" s="1"/>
  <c r="H89" i="2" a="1"/>
  <c r="H89" i="2" s="1"/>
  <c r="G89" i="2" a="1"/>
  <c r="G89" i="2" s="1"/>
  <c r="F89" i="2" a="1"/>
  <c r="F89" i="2" s="1"/>
  <c r="D31" i="8" s="1" a="1"/>
  <c r="D31" i="8" s="1"/>
  <c r="D89" i="2" a="1"/>
  <c r="D89" i="2" s="1"/>
  <c r="B31" i="8" s="1" a="1"/>
  <c r="B31" i="8" s="1"/>
  <c r="AH88" i="2" a="1"/>
  <c r="AH88" i="2" s="1"/>
  <c r="R88" i="2" a="1"/>
  <c r="R88" i="2" s="1"/>
  <c r="Q88" i="2" a="1"/>
  <c r="Q88" i="2" s="1"/>
  <c r="Z88" i="2" s="1" a="1"/>
  <c r="Z88" i="2" s="1"/>
  <c r="P88" i="2" a="1"/>
  <c r="P88" i="2" s="1"/>
  <c r="H88" i="2" a="1"/>
  <c r="H88" i="2" s="1"/>
  <c r="G88" i="2" a="1"/>
  <c r="G88" i="2" s="1"/>
  <c r="F88" i="2" a="1"/>
  <c r="F88" i="2" s="1"/>
  <c r="D88" i="2" a="1"/>
  <c r="D88" i="2" s="1"/>
  <c r="AH87" i="2" a="1"/>
  <c r="AH87" i="2" s="1"/>
  <c r="R87" i="2" a="1"/>
  <c r="R87" i="2" s="1"/>
  <c r="Q87" i="2" a="1"/>
  <c r="Q87" i="2" s="1"/>
  <c r="P87" i="2" a="1"/>
  <c r="P87" i="2" s="1"/>
  <c r="H87" i="2" a="1"/>
  <c r="H87" i="2" s="1"/>
  <c r="G87" i="2" a="1"/>
  <c r="G87" i="2" s="1"/>
  <c r="F87" i="2" a="1"/>
  <c r="F87" i="2" s="1"/>
  <c r="D87" i="2" a="1"/>
  <c r="D87" i="2" s="1"/>
  <c r="AH86" i="2" a="1"/>
  <c r="AH86" i="2" s="1"/>
  <c r="R86" i="2" a="1"/>
  <c r="R86" i="2" s="1"/>
  <c r="Q86" i="2" a="1"/>
  <c r="Q86" i="2" s="1"/>
  <c r="P86" i="2" a="1"/>
  <c r="P86" i="2" s="1"/>
  <c r="H86" i="2" a="1"/>
  <c r="H86" i="2" s="1"/>
  <c r="G86" i="2" a="1"/>
  <c r="G86" i="2" s="1"/>
  <c r="F86" i="2" a="1"/>
  <c r="F86" i="2" s="1"/>
  <c r="D30" i="8" s="1" a="1"/>
  <c r="D30" i="8" s="1"/>
  <c r="D86" i="2" a="1"/>
  <c r="D86" i="2" s="1"/>
  <c r="AH85" i="2" a="1"/>
  <c r="AH85" i="2" s="1"/>
  <c r="R85" i="2" a="1"/>
  <c r="R85" i="2" s="1"/>
  <c r="Q85" i="2" a="1"/>
  <c r="Q85" i="2" s="1"/>
  <c r="P85" i="2" a="1"/>
  <c r="P85" i="2" s="1"/>
  <c r="H85" i="2" a="1"/>
  <c r="H85" i="2" s="1"/>
  <c r="G85" i="2" a="1"/>
  <c r="G85" i="2" s="1"/>
  <c r="F85" i="2" a="1"/>
  <c r="F85" i="2" s="1"/>
  <c r="D85" i="2" a="1"/>
  <c r="D85" i="2" s="1"/>
  <c r="AH84" i="2" a="1"/>
  <c r="AH84" i="2" s="1"/>
  <c r="R84" i="2" a="1"/>
  <c r="R84" i="2" s="1"/>
  <c r="Q84" i="2" a="1"/>
  <c r="Q84" i="2" s="1"/>
  <c r="P84" i="2" a="1"/>
  <c r="P84" i="2" s="1"/>
  <c r="H84" i="2" a="1"/>
  <c r="H84" i="2" s="1"/>
  <c r="G84" i="2" a="1"/>
  <c r="G84" i="2" s="1"/>
  <c r="F84" i="2" a="1"/>
  <c r="F84" i="2" s="1"/>
  <c r="D84" i="2" a="1"/>
  <c r="D84" i="2" s="1"/>
  <c r="AH83" i="2" a="1"/>
  <c r="AH83" i="2" s="1"/>
  <c r="R83" i="2" a="1"/>
  <c r="R83" i="2" s="1"/>
  <c r="Q83" i="2" a="1"/>
  <c r="Q83" i="2" s="1"/>
  <c r="P83" i="2" a="1"/>
  <c r="P83" i="2" s="1"/>
  <c r="H83" i="2" a="1"/>
  <c r="H83" i="2" s="1"/>
  <c r="G83" i="2" a="1"/>
  <c r="G83" i="2" s="1"/>
  <c r="F83" i="2" a="1"/>
  <c r="F83" i="2" s="1"/>
  <c r="D83" i="2" a="1"/>
  <c r="D83" i="2" s="1"/>
  <c r="AH82" i="2" a="1"/>
  <c r="AH82" i="2" s="1"/>
  <c r="R82" i="2" a="1"/>
  <c r="R82" i="2" s="1"/>
  <c r="Q82" i="2" a="1"/>
  <c r="Q82" i="2" s="1"/>
  <c r="P82" i="2" a="1"/>
  <c r="P82" i="2" s="1"/>
  <c r="H82" i="2" a="1"/>
  <c r="H82" i="2" s="1"/>
  <c r="G82" i="2" a="1"/>
  <c r="G82" i="2" s="1"/>
  <c r="F82" i="2" a="1"/>
  <c r="F82" i="2" s="1"/>
  <c r="D82" i="2" a="1"/>
  <c r="D82" i="2" s="1"/>
  <c r="AJ81" i="2" a="1"/>
  <c r="AJ81" i="2" s="1"/>
  <c r="P81" i="2" a="1"/>
  <c r="P81" i="2" s="1"/>
  <c r="H81" i="2" a="1"/>
  <c r="H81" i="2" s="1"/>
  <c r="G81" i="2" a="1"/>
  <c r="G81" i="2" s="1"/>
  <c r="F81" i="2" a="1"/>
  <c r="F81" i="2" s="1"/>
  <c r="D14" i="9" s="1" a="1"/>
  <c r="D14" i="9" s="1"/>
  <c r="D81" i="2" a="1"/>
  <c r="D81" i="2" s="1"/>
  <c r="AJ80" i="2" a="1"/>
  <c r="AJ80" i="2" s="1"/>
  <c r="P80" i="2" a="1"/>
  <c r="P80" i="2" s="1"/>
  <c r="H80" i="2" a="1"/>
  <c r="H80" i="2" s="1"/>
  <c r="G80" i="2" a="1"/>
  <c r="G80" i="2" s="1"/>
  <c r="F80" i="2" a="1"/>
  <c r="F80" i="2" s="1"/>
  <c r="D13" i="9" s="1" a="1"/>
  <c r="D13" i="9" s="1"/>
  <c r="D80" i="2" a="1"/>
  <c r="D80" i="2" s="1"/>
  <c r="B13" i="9" s="1" a="1"/>
  <c r="B13" i="9" s="1"/>
  <c r="AH79" i="2" a="1"/>
  <c r="AH79" i="2" s="1"/>
  <c r="R79" i="2" a="1"/>
  <c r="R79" i="2" s="1"/>
  <c r="Q79" i="2" a="1"/>
  <c r="Q79" i="2" s="1"/>
  <c r="P79" i="2" a="1"/>
  <c r="P79" i="2" s="1"/>
  <c r="H79" i="2" a="1"/>
  <c r="H79" i="2" s="1"/>
  <c r="G79" i="2" a="1"/>
  <c r="G79" i="2" s="1"/>
  <c r="F79" i="2" a="1"/>
  <c r="F79" i="2" s="1"/>
  <c r="D79" i="2" a="1"/>
  <c r="D79" i="2" s="1"/>
  <c r="AH78" i="2" a="1"/>
  <c r="AH78" i="2" s="1"/>
  <c r="R78" i="2" a="1"/>
  <c r="R78" i="2" s="1"/>
  <c r="Q78" i="2" a="1"/>
  <c r="Q78" i="2" s="1"/>
  <c r="P78" i="2" a="1"/>
  <c r="P78" i="2" s="1"/>
  <c r="H78" i="2" a="1"/>
  <c r="H78" i="2" s="1"/>
  <c r="G78" i="2" a="1"/>
  <c r="G78" i="2" s="1"/>
  <c r="F78" i="2" a="1"/>
  <c r="F78" i="2" s="1"/>
  <c r="D29" i="8" s="1" a="1"/>
  <c r="D29" i="8" s="1"/>
  <c r="D78" i="2" a="1"/>
  <c r="D78" i="2" s="1"/>
  <c r="AJ77" i="2" a="1"/>
  <c r="AJ77" i="2" s="1"/>
  <c r="AM77" i="2" s="1" a="1"/>
  <c r="AM77" i="2" s="1"/>
  <c r="P77" i="2" a="1"/>
  <c r="P77" i="2" s="1"/>
  <c r="H77" i="2" a="1"/>
  <c r="H77" i="2" s="1"/>
  <c r="G77" i="2" a="1"/>
  <c r="G77" i="2" s="1"/>
  <c r="F77" i="2" a="1"/>
  <c r="F77" i="2" s="1"/>
  <c r="D12" i="9" s="1" a="1"/>
  <c r="D12" i="9" s="1"/>
  <c r="D77" i="2" a="1"/>
  <c r="D77" i="2" s="1"/>
  <c r="B12" i="9" s="1" a="1"/>
  <c r="B12" i="9" s="1"/>
  <c r="AH76" i="2" a="1"/>
  <c r="AH76" i="2" s="1"/>
  <c r="R76" i="2" a="1"/>
  <c r="R76" i="2" s="1"/>
  <c r="Q76" i="2" a="1"/>
  <c r="Q76" i="2" s="1"/>
  <c r="AG76" i="2" s="1" a="1"/>
  <c r="AG76" i="2" s="1"/>
  <c r="P76" i="2" a="1"/>
  <c r="P76" i="2" s="1"/>
  <c r="H76" i="2" a="1"/>
  <c r="H76" i="2" s="1"/>
  <c r="G76" i="2" a="1"/>
  <c r="G76" i="2" s="1"/>
  <c r="F76" i="2" a="1"/>
  <c r="F76" i="2" s="1"/>
  <c r="D76" i="2" a="1"/>
  <c r="D76" i="2" s="1"/>
  <c r="AH75" i="2" a="1"/>
  <c r="AH75" i="2" s="1"/>
  <c r="R75" i="2" a="1"/>
  <c r="R75" i="2" s="1"/>
  <c r="Q75" i="2" a="1"/>
  <c r="Q75" i="2" s="1"/>
  <c r="AG75" i="2" s="1" a="1"/>
  <c r="AG75" i="2" s="1"/>
  <c r="P75" i="2" a="1"/>
  <c r="P75" i="2" s="1"/>
  <c r="H75" i="2" a="1"/>
  <c r="H75" i="2" s="1"/>
  <c r="G75" i="2" a="1"/>
  <c r="G75" i="2" s="1"/>
  <c r="F75" i="2" a="1"/>
  <c r="F75" i="2" s="1"/>
  <c r="D75" i="2" a="1"/>
  <c r="D75" i="2" s="1"/>
  <c r="AH74" i="2" a="1"/>
  <c r="AH74" i="2" s="1"/>
  <c r="R74" i="2" a="1"/>
  <c r="R74" i="2" s="1"/>
  <c r="Q74" i="2" a="1"/>
  <c r="Q74" i="2" s="1"/>
  <c r="P74" i="2" a="1"/>
  <c r="P74" i="2" s="1"/>
  <c r="H74" i="2" a="1"/>
  <c r="H74" i="2" s="1"/>
  <c r="G74" i="2" a="1"/>
  <c r="G74" i="2" s="1"/>
  <c r="F74" i="2" a="1"/>
  <c r="F74" i="2" s="1"/>
  <c r="D28" i="8" s="1" a="1"/>
  <c r="D28" i="8" s="1"/>
  <c r="D74" i="2" a="1"/>
  <c r="D74" i="2" s="1"/>
  <c r="B28" i="8" s="1" a="1"/>
  <c r="B28" i="8" s="1"/>
  <c r="AH73" i="2" a="1"/>
  <c r="AH73" i="2" s="1"/>
  <c r="R73" i="2" a="1"/>
  <c r="R73" i="2" s="1"/>
  <c r="Q73" i="2" a="1"/>
  <c r="Q73" i="2" s="1"/>
  <c r="AG73" i="2" s="1" a="1"/>
  <c r="AG73" i="2" s="1"/>
  <c r="P73" i="2" a="1"/>
  <c r="P73" i="2" s="1"/>
  <c r="H73" i="2" a="1"/>
  <c r="H73" i="2" s="1"/>
  <c r="G73" i="2" a="1"/>
  <c r="G73" i="2" s="1"/>
  <c r="F73" i="2" a="1"/>
  <c r="F73" i="2" s="1"/>
  <c r="D73" i="2" a="1"/>
  <c r="D73" i="2" s="1"/>
  <c r="AH70" i="2" a="1"/>
  <c r="AH70" i="2" s="1"/>
  <c r="R70" i="2" a="1"/>
  <c r="R70" i="2" s="1"/>
  <c r="Q70" i="2" a="1"/>
  <c r="Q70" i="2" s="1"/>
  <c r="Y70" i="2" s="1" a="1"/>
  <c r="Y70" i="2" s="1"/>
  <c r="P70" i="2" a="1"/>
  <c r="P70" i="2" s="1"/>
  <c r="H70" i="2" a="1"/>
  <c r="H70" i="2" s="1"/>
  <c r="G70" i="2" a="1"/>
  <c r="G70" i="2" s="1"/>
  <c r="F70" i="2" a="1"/>
  <c r="F70" i="2" s="1"/>
  <c r="D27" i="8" s="1" a="1"/>
  <c r="D27" i="8" s="1"/>
  <c r="D70" i="2" a="1"/>
  <c r="D70" i="2" s="1"/>
  <c r="B27" i="8" s="1" a="1"/>
  <c r="B27" i="8" s="1"/>
  <c r="AJ72" i="2" a="1"/>
  <c r="AJ72" i="2" s="1"/>
  <c r="P72" i="2" a="1"/>
  <c r="P72" i="2" s="1"/>
  <c r="H72" i="2" a="1"/>
  <c r="H72" i="2" s="1"/>
  <c r="G72" i="2" a="1"/>
  <c r="G72" i="2" s="1"/>
  <c r="F72" i="2" a="1"/>
  <c r="F72" i="2" s="1"/>
  <c r="D11" i="9" s="1" a="1"/>
  <c r="D11" i="9" s="1"/>
  <c r="D72" i="2" a="1"/>
  <c r="D72" i="2" s="1"/>
  <c r="AH71" i="2" a="1"/>
  <c r="AH71" i="2" s="1"/>
  <c r="R71" i="2" a="1"/>
  <c r="R71" i="2" s="1"/>
  <c r="Q71" i="2" a="1"/>
  <c r="Q71" i="2" s="1"/>
  <c r="P71" i="2" a="1"/>
  <c r="P71" i="2" s="1"/>
  <c r="H71" i="2" a="1"/>
  <c r="H71" i="2" s="1"/>
  <c r="G71" i="2" a="1"/>
  <c r="G71" i="2" s="1"/>
  <c r="F71" i="2" a="1"/>
  <c r="F71" i="2" s="1"/>
  <c r="D71" i="2" a="1"/>
  <c r="D71" i="2" s="1"/>
  <c r="AH69" i="2" a="1"/>
  <c r="AH69" i="2" s="1"/>
  <c r="R69" i="2" a="1"/>
  <c r="R69" i="2" s="1"/>
  <c r="Q69" i="2" a="1"/>
  <c r="Q69" i="2" s="1"/>
  <c r="P69" i="2" a="1"/>
  <c r="P69" i="2" s="1"/>
  <c r="H69" i="2" a="1"/>
  <c r="H69" i="2" s="1"/>
  <c r="G69" i="2" a="1"/>
  <c r="G69" i="2" s="1"/>
  <c r="F69" i="2" a="1"/>
  <c r="F69" i="2" s="1"/>
  <c r="D69" i="2" a="1"/>
  <c r="D69" i="2" s="1"/>
  <c r="AH68" i="2" a="1"/>
  <c r="AH68" i="2" s="1"/>
  <c r="R68" i="2" a="1"/>
  <c r="R68" i="2" s="1"/>
  <c r="Q68" i="2" a="1"/>
  <c r="Q68" i="2" s="1"/>
  <c r="P68" i="2" a="1"/>
  <c r="P68" i="2" s="1"/>
  <c r="H68" i="2" a="1"/>
  <c r="H68" i="2" s="1"/>
  <c r="G68" i="2" a="1"/>
  <c r="G68" i="2" s="1"/>
  <c r="F68" i="2" a="1"/>
  <c r="F68" i="2" s="1"/>
  <c r="D68" i="2" a="1"/>
  <c r="D68" i="2" s="1"/>
  <c r="AH67" i="2" a="1"/>
  <c r="AH67" i="2" s="1"/>
  <c r="R67" i="2" a="1"/>
  <c r="R67" i="2" s="1"/>
  <c r="Q67" i="2" a="1"/>
  <c r="Q67" i="2" s="1"/>
  <c r="P67" i="2" a="1"/>
  <c r="P67" i="2" s="1"/>
  <c r="H67" i="2" a="1"/>
  <c r="H67" i="2" s="1"/>
  <c r="G67" i="2" a="1"/>
  <c r="G67" i="2" s="1"/>
  <c r="F67" i="2" a="1"/>
  <c r="F67" i="2" s="1"/>
  <c r="D67" i="2" a="1"/>
  <c r="D67" i="2" s="1"/>
  <c r="AJ66" i="2" a="1"/>
  <c r="AJ66" i="2" s="1"/>
  <c r="P66" i="2" a="1"/>
  <c r="P66" i="2" s="1"/>
  <c r="H66" i="2" a="1"/>
  <c r="H66" i="2" s="1"/>
  <c r="G66" i="2" a="1"/>
  <c r="G66" i="2" s="1"/>
  <c r="F66" i="2" a="1"/>
  <c r="F66" i="2" s="1"/>
  <c r="D10" i="9" s="1" a="1"/>
  <c r="D10" i="9" s="1"/>
  <c r="D66" i="2" a="1"/>
  <c r="D66" i="2" s="1"/>
  <c r="AH65" i="2" a="1"/>
  <c r="AH65" i="2" s="1"/>
  <c r="R65" i="2" a="1"/>
  <c r="R65" i="2" s="1"/>
  <c r="Q65" i="2" a="1"/>
  <c r="Q65" i="2" s="1"/>
  <c r="P65" i="2" a="1"/>
  <c r="P65" i="2" s="1"/>
  <c r="H65" i="2" a="1"/>
  <c r="H65" i="2" s="1"/>
  <c r="G65" i="2" a="1"/>
  <c r="G65" i="2" s="1"/>
  <c r="F65" i="2" a="1"/>
  <c r="F65" i="2" s="1"/>
  <c r="D65" i="2" a="1"/>
  <c r="D65" i="2" s="1"/>
  <c r="AH64" i="2" a="1"/>
  <c r="AH64" i="2" s="1"/>
  <c r="R64" i="2" a="1"/>
  <c r="R64" i="2" s="1"/>
  <c r="Q64" i="2" a="1"/>
  <c r="Q64" i="2" s="1"/>
  <c r="P64" i="2" a="1"/>
  <c r="P64" i="2" s="1"/>
  <c r="H64" i="2" a="1"/>
  <c r="H64" i="2" s="1"/>
  <c r="G64" i="2" a="1"/>
  <c r="G64" i="2" s="1"/>
  <c r="F64" i="2" a="1"/>
  <c r="F64" i="2" s="1"/>
  <c r="D64" i="2" a="1"/>
  <c r="D64" i="2" s="1"/>
  <c r="AJ63" i="2" a="1"/>
  <c r="AJ63" i="2" s="1"/>
  <c r="P63" i="2" a="1"/>
  <c r="P63" i="2" s="1"/>
  <c r="H63" i="2" a="1"/>
  <c r="H63" i="2" s="1"/>
  <c r="G63" i="2" a="1"/>
  <c r="G63" i="2" s="1"/>
  <c r="F63" i="2" a="1"/>
  <c r="F63" i="2" s="1"/>
  <c r="D9" i="9" s="1" a="1"/>
  <c r="D9" i="9" s="1"/>
  <c r="D63" i="2" a="1"/>
  <c r="D63" i="2" s="1"/>
  <c r="AH62" i="2" a="1"/>
  <c r="AH62" i="2" s="1"/>
  <c r="R62" i="2" a="1"/>
  <c r="R62" i="2" s="1"/>
  <c r="Q62" i="2" a="1"/>
  <c r="Q62" i="2" s="1"/>
  <c r="P62" i="2" a="1"/>
  <c r="P62" i="2" s="1"/>
  <c r="H62" i="2" a="1"/>
  <c r="H62" i="2" s="1"/>
  <c r="G62" i="2" a="1"/>
  <c r="G62" i="2" s="1"/>
  <c r="F62" i="2" a="1"/>
  <c r="F62" i="2" s="1"/>
  <c r="D62" i="2" a="1"/>
  <c r="D62" i="2" s="1"/>
  <c r="AH61" i="2" a="1"/>
  <c r="AH61" i="2" s="1"/>
  <c r="R61" i="2" a="1"/>
  <c r="R61" i="2" s="1"/>
  <c r="Q61" i="2" a="1"/>
  <c r="Q61" i="2" s="1"/>
  <c r="P61" i="2" a="1"/>
  <c r="P61" i="2" s="1"/>
  <c r="H61" i="2" a="1"/>
  <c r="H61" i="2" s="1"/>
  <c r="G61" i="2" a="1"/>
  <c r="G61" i="2" s="1"/>
  <c r="F61" i="2" a="1"/>
  <c r="F61" i="2" s="1"/>
  <c r="D26" i="8" s="1" a="1"/>
  <c r="D26" i="8" s="1"/>
  <c r="D61" i="2" a="1"/>
  <c r="D61" i="2" s="1"/>
  <c r="B26" i="8" s="1" a="1"/>
  <c r="B26" i="8" s="1"/>
  <c r="AH60" i="2" a="1"/>
  <c r="AH60" i="2" s="1"/>
  <c r="R60" i="2" a="1"/>
  <c r="R60" i="2" s="1"/>
  <c r="Q60" i="2" a="1"/>
  <c r="Q60" i="2" s="1"/>
  <c r="P60" i="2" a="1"/>
  <c r="P60" i="2" s="1"/>
  <c r="H60" i="2" a="1"/>
  <c r="H60" i="2" s="1"/>
  <c r="G60" i="2" a="1"/>
  <c r="G60" i="2" s="1"/>
  <c r="F60" i="2" a="1"/>
  <c r="F60" i="2" s="1"/>
  <c r="D60" i="2" a="1"/>
  <c r="D60" i="2" s="1"/>
  <c r="AH59" i="2" a="1"/>
  <c r="AH59" i="2" s="1"/>
  <c r="R59" i="2" a="1"/>
  <c r="R59" i="2" s="1"/>
  <c r="Q59" i="2" a="1"/>
  <c r="Q59" i="2" s="1"/>
  <c r="P59" i="2" a="1"/>
  <c r="P59" i="2" s="1"/>
  <c r="H59" i="2" a="1"/>
  <c r="H59" i="2" s="1"/>
  <c r="G59" i="2" a="1"/>
  <c r="G59" i="2" s="1"/>
  <c r="F59" i="2" a="1"/>
  <c r="F59" i="2" s="1"/>
  <c r="D25" i="8" s="1" a="1"/>
  <c r="D25" i="8" s="1"/>
  <c r="D59" i="2" a="1"/>
  <c r="D59" i="2" s="1"/>
  <c r="AH58" i="2" a="1"/>
  <c r="AH58" i="2" s="1"/>
  <c r="R58" i="2" a="1"/>
  <c r="R58" i="2" s="1"/>
  <c r="Q58" i="2" a="1"/>
  <c r="Q58" i="2" s="1"/>
  <c r="P58" i="2" a="1"/>
  <c r="P58" i="2" s="1"/>
  <c r="H58" i="2" a="1"/>
  <c r="H58" i="2" s="1"/>
  <c r="G58" i="2" a="1"/>
  <c r="G58" i="2" s="1"/>
  <c r="F58" i="2" a="1"/>
  <c r="F58" i="2" s="1"/>
  <c r="D24" i="8" s="1" a="1"/>
  <c r="D24" i="8" s="1"/>
  <c r="D58" i="2" a="1"/>
  <c r="D58" i="2" s="1"/>
  <c r="AH57" i="2" a="1"/>
  <c r="AH57" i="2" s="1"/>
  <c r="R57" i="2" a="1"/>
  <c r="R57" i="2" s="1"/>
  <c r="Q57" i="2" a="1"/>
  <c r="Q57" i="2" s="1"/>
  <c r="P57" i="2" a="1"/>
  <c r="P57" i="2" s="1"/>
  <c r="H57" i="2" a="1"/>
  <c r="H57" i="2" s="1"/>
  <c r="G57" i="2" a="1"/>
  <c r="G57" i="2" s="1"/>
  <c r="F57" i="2" a="1"/>
  <c r="F57" i="2" s="1"/>
  <c r="D57" i="2" a="1"/>
  <c r="D57" i="2" s="1"/>
  <c r="AH56" i="2" a="1"/>
  <c r="AH56" i="2" s="1"/>
  <c r="R56" i="2" a="1"/>
  <c r="R56" i="2" s="1"/>
  <c r="Q56" i="2" a="1"/>
  <c r="Q56" i="2" s="1"/>
  <c r="P56" i="2" a="1"/>
  <c r="P56" i="2" s="1"/>
  <c r="H56" i="2" a="1"/>
  <c r="H56" i="2" s="1"/>
  <c r="G56" i="2" a="1"/>
  <c r="G56" i="2" s="1"/>
  <c r="F56" i="2" a="1"/>
  <c r="F56" i="2" s="1"/>
  <c r="D23" i="8" s="1" a="1"/>
  <c r="D23" i="8" s="1"/>
  <c r="D56" i="2" a="1"/>
  <c r="D56" i="2" s="1"/>
  <c r="B23" i="8" s="1" a="1"/>
  <c r="B23" i="8" s="1"/>
  <c r="AH55" i="2" a="1"/>
  <c r="AH55" i="2" s="1"/>
  <c r="R55" i="2" a="1"/>
  <c r="R55" i="2" s="1"/>
  <c r="Q55" i="2" a="1"/>
  <c r="Q55" i="2" s="1"/>
  <c r="Z55" i="2" s="1" a="1"/>
  <c r="Z55" i="2" s="1"/>
  <c r="P55" i="2" a="1"/>
  <c r="P55" i="2" s="1"/>
  <c r="H55" i="2" a="1"/>
  <c r="H55" i="2" s="1"/>
  <c r="G55" i="2" a="1"/>
  <c r="G55" i="2" s="1"/>
  <c r="F55" i="2" a="1"/>
  <c r="F55" i="2" s="1"/>
  <c r="D55" i="2" a="1"/>
  <c r="D55" i="2" s="1"/>
  <c r="AH54" i="2" a="1"/>
  <c r="AH54" i="2" s="1"/>
  <c r="R54" i="2" a="1"/>
  <c r="R54" i="2" s="1"/>
  <c r="Q54" i="2" a="1"/>
  <c r="Q54" i="2" s="1"/>
  <c r="P54" i="2" a="1"/>
  <c r="P54" i="2" s="1"/>
  <c r="H54" i="2" a="1"/>
  <c r="H54" i="2" s="1"/>
  <c r="G54" i="2" a="1"/>
  <c r="G54" i="2" s="1"/>
  <c r="F54" i="2" a="1"/>
  <c r="F54" i="2" s="1"/>
  <c r="D54" i="2" a="1"/>
  <c r="D54" i="2" s="1"/>
  <c r="AH53" i="2" a="1"/>
  <c r="AH53" i="2"/>
  <c r="R53" i="2" a="1"/>
  <c r="R53" i="2" s="1"/>
  <c r="Q53" i="2" a="1"/>
  <c r="Q53" i="2" s="1"/>
  <c r="P53" i="2" a="1"/>
  <c r="P53" i="2" s="1"/>
  <c r="H53" i="2" a="1"/>
  <c r="H53" i="2" s="1"/>
  <c r="G53" i="2" a="1"/>
  <c r="G53" i="2" s="1"/>
  <c r="F53" i="2" a="1"/>
  <c r="F53" i="2" s="1"/>
  <c r="D22" i="8" s="1" a="1"/>
  <c r="D22" i="8" s="1"/>
  <c r="D53" i="2" a="1"/>
  <c r="D53" i="2" s="1"/>
  <c r="AH52" i="2" a="1"/>
  <c r="AH52" i="2" s="1"/>
  <c r="R52" i="2" a="1"/>
  <c r="R52" i="2" s="1"/>
  <c r="Q52" i="2" a="1"/>
  <c r="Q52" i="2" s="1"/>
  <c r="P52" i="2" a="1"/>
  <c r="P52" i="2" s="1"/>
  <c r="H52" i="2" a="1"/>
  <c r="H52" i="2" s="1"/>
  <c r="G52" i="2" a="1"/>
  <c r="G52" i="2" s="1"/>
  <c r="F52" i="2" a="1"/>
  <c r="F52" i="2" s="1"/>
  <c r="D52" i="2" a="1"/>
  <c r="D52" i="2" s="1"/>
  <c r="AH51" i="2" a="1"/>
  <c r="AH51" i="2" s="1"/>
  <c r="R51" i="2" a="1"/>
  <c r="R51" i="2" s="1"/>
  <c r="Q51" i="2" a="1"/>
  <c r="Q51" i="2" s="1"/>
  <c r="P51" i="2" a="1"/>
  <c r="P51" i="2" s="1"/>
  <c r="H51" i="2" a="1"/>
  <c r="H51" i="2" s="1"/>
  <c r="G51" i="2" a="1"/>
  <c r="G51" i="2" s="1"/>
  <c r="F51" i="2" a="1"/>
  <c r="F51" i="2" s="1"/>
  <c r="D21" i="8" s="1" a="1"/>
  <c r="D21" i="8" s="1"/>
  <c r="D51" i="2" a="1"/>
  <c r="D51" i="2" s="1"/>
  <c r="B21" i="8" s="1" a="1"/>
  <c r="B21" i="8" s="1"/>
  <c r="AJ50" i="2" a="1"/>
  <c r="AJ50" i="2" s="1"/>
  <c r="P50" i="2" a="1"/>
  <c r="P50" i="2" s="1"/>
  <c r="H50" i="2" a="1"/>
  <c r="H50" i="2" s="1"/>
  <c r="G50" i="2" a="1"/>
  <c r="G50" i="2" s="1"/>
  <c r="F50" i="2" a="1"/>
  <c r="F50" i="2" s="1"/>
  <c r="D8" i="9" s="1" a="1"/>
  <c r="D8" i="9" s="1"/>
  <c r="D50" i="2" a="1"/>
  <c r="D50" i="2" s="1"/>
  <c r="B8" i="9" s="1" a="1"/>
  <c r="B8" i="9" s="1"/>
  <c r="AH49" i="2" a="1"/>
  <c r="AH49" i="2" s="1"/>
  <c r="R49" i="2" a="1"/>
  <c r="R49" i="2" s="1"/>
  <c r="Q49" i="2" a="1"/>
  <c r="Q49" i="2" s="1"/>
  <c r="P49" i="2" a="1"/>
  <c r="P49" i="2" s="1"/>
  <c r="H49" i="2" a="1"/>
  <c r="H49" i="2" s="1"/>
  <c r="G49" i="2" a="1"/>
  <c r="G49" i="2" s="1"/>
  <c r="F49" i="2" a="1"/>
  <c r="F49" i="2" s="1"/>
  <c r="D49" i="2" a="1"/>
  <c r="D49" i="2" s="1"/>
  <c r="AH48" i="2" a="1"/>
  <c r="AH48" i="2" s="1"/>
  <c r="R48" i="2" a="1"/>
  <c r="R48" i="2" s="1"/>
  <c r="Q48" i="2" a="1"/>
  <c r="Q48" i="2" s="1"/>
  <c r="P48" i="2" a="1"/>
  <c r="P48" i="2" s="1"/>
  <c r="H48" i="2" a="1"/>
  <c r="H48" i="2" s="1"/>
  <c r="G48" i="2" a="1"/>
  <c r="G48" i="2" s="1"/>
  <c r="F48" i="2" a="1"/>
  <c r="F48" i="2" s="1"/>
  <c r="D48" i="2" a="1"/>
  <c r="D48" i="2" s="1"/>
  <c r="AJ47" i="2" a="1"/>
  <c r="AJ47" i="2" s="1"/>
  <c r="AN47" i="2" s="1" a="1"/>
  <c r="AN47" i="2" s="1"/>
  <c r="P47" i="2" a="1"/>
  <c r="P47" i="2" s="1"/>
  <c r="H47" i="2" a="1"/>
  <c r="H47" i="2" s="1"/>
  <c r="G47" i="2" a="1"/>
  <c r="G47" i="2" s="1"/>
  <c r="F47" i="2" a="1"/>
  <c r="F47" i="2" s="1"/>
  <c r="D7" i="9" s="1" a="1"/>
  <c r="D7" i="9" s="1"/>
  <c r="D47" i="2" a="1"/>
  <c r="D47" i="2" s="1"/>
  <c r="B7" i="9" s="1" a="1"/>
  <c r="B7" i="9" s="1"/>
  <c r="AH46" i="2" a="1"/>
  <c r="AH46" i="2" s="1"/>
  <c r="R46" i="2" a="1"/>
  <c r="R46" i="2" s="1"/>
  <c r="Q46" i="2" a="1"/>
  <c r="Q46" i="2" s="1"/>
  <c r="P46" i="2" a="1"/>
  <c r="P46" i="2" s="1"/>
  <c r="H46" i="2" a="1"/>
  <c r="H46" i="2" s="1"/>
  <c r="G46" i="2" a="1"/>
  <c r="G46" i="2" s="1"/>
  <c r="F46" i="2" a="1"/>
  <c r="F46" i="2" s="1"/>
  <c r="D46" i="2" a="1"/>
  <c r="D46" i="2" s="1"/>
  <c r="AJ45" i="2" a="1"/>
  <c r="AJ45" i="2"/>
  <c r="P45" i="2" a="1"/>
  <c r="P45" i="2" s="1"/>
  <c r="H45" i="2" a="1"/>
  <c r="H45" i="2" s="1"/>
  <c r="G45" i="2" a="1"/>
  <c r="G45" i="2" s="1"/>
  <c r="F45" i="2" a="1"/>
  <c r="F45" i="2" s="1"/>
  <c r="D6" i="9" s="1" a="1"/>
  <c r="D6" i="9" s="1"/>
  <c r="D45" i="2" a="1"/>
  <c r="D45" i="2" s="1"/>
  <c r="B6" i="9" s="1" a="1"/>
  <c r="B6" i="9" s="1"/>
  <c r="AH44" i="2" a="1"/>
  <c r="AH44" i="2" s="1"/>
  <c r="R44" i="2" a="1"/>
  <c r="R44" i="2" s="1"/>
  <c r="Q44" i="2" a="1"/>
  <c r="Q44" i="2" s="1"/>
  <c r="AF44" i="2" s="1" a="1"/>
  <c r="AF44" i="2" s="1"/>
  <c r="P44" i="2" a="1"/>
  <c r="P44" i="2" s="1"/>
  <c r="H44" i="2" a="1"/>
  <c r="H44" i="2" s="1"/>
  <c r="G44" i="2" a="1"/>
  <c r="G44" i="2" s="1"/>
  <c r="F44" i="2" a="1"/>
  <c r="F44" i="2" s="1"/>
  <c r="D44" i="2" a="1"/>
  <c r="D44" i="2" s="1"/>
  <c r="AH43" i="2" a="1"/>
  <c r="AH43" i="2" s="1"/>
  <c r="R43" i="2" a="1"/>
  <c r="R43" i="2" s="1"/>
  <c r="Q43" i="2" a="1"/>
  <c r="Q43" i="2" s="1"/>
  <c r="P43" i="2" a="1"/>
  <c r="P43" i="2" s="1"/>
  <c r="H43" i="2" a="1"/>
  <c r="H43" i="2" s="1"/>
  <c r="G43" i="2" a="1"/>
  <c r="G43" i="2" s="1"/>
  <c r="F43" i="2" a="1"/>
  <c r="F43" i="2" s="1"/>
  <c r="D20" i="8" s="1" a="1"/>
  <c r="D20" i="8" s="1"/>
  <c r="D43" i="2" a="1"/>
  <c r="D43" i="2" s="1"/>
  <c r="B20" i="8" s="1" a="1"/>
  <c r="B20" i="8" s="1"/>
  <c r="AH42" i="2" a="1"/>
  <c r="AH42" i="2" s="1"/>
  <c r="R42" i="2" a="1"/>
  <c r="R42" i="2" s="1"/>
  <c r="Q42" i="2" a="1"/>
  <c r="Q42" i="2" s="1"/>
  <c r="Y42" i="2" s="1" a="1"/>
  <c r="Y42" i="2" s="1"/>
  <c r="P42" i="2" a="1"/>
  <c r="P42" i="2" s="1"/>
  <c r="H42" i="2" a="1"/>
  <c r="H42" i="2" s="1"/>
  <c r="G42" i="2" a="1"/>
  <c r="G42" i="2" s="1"/>
  <c r="F42" i="2" a="1"/>
  <c r="F42" i="2" s="1"/>
  <c r="D42" i="2" a="1"/>
  <c r="D42" i="2" s="1"/>
  <c r="AH41" i="2" a="1"/>
  <c r="AH41" i="2" s="1"/>
  <c r="R41" i="2" a="1"/>
  <c r="R41" i="2" s="1"/>
  <c r="Q41" i="2" a="1"/>
  <c r="Q41" i="2" s="1"/>
  <c r="AB41" i="2" s="1" a="1"/>
  <c r="AB41" i="2" s="1"/>
  <c r="P41" i="2" a="1"/>
  <c r="P41" i="2" s="1"/>
  <c r="H41" i="2" a="1"/>
  <c r="H41" i="2" s="1"/>
  <c r="G41" i="2" a="1"/>
  <c r="G41" i="2" s="1"/>
  <c r="F41" i="2" a="1"/>
  <c r="F41" i="2" s="1"/>
  <c r="D41" i="2" a="1"/>
  <c r="D41" i="2" s="1"/>
  <c r="AH40" i="2" a="1"/>
  <c r="AH40" i="2" s="1"/>
  <c r="R40" i="2" a="1"/>
  <c r="R40" i="2" s="1"/>
  <c r="Q40" i="2" a="1"/>
  <c r="Q40" i="2" s="1"/>
  <c r="P40" i="2" a="1"/>
  <c r="P40" i="2" s="1"/>
  <c r="H40" i="2" a="1"/>
  <c r="H40" i="2" s="1"/>
  <c r="G40" i="2" a="1"/>
  <c r="G40" i="2" s="1"/>
  <c r="F40" i="2" a="1"/>
  <c r="F40" i="2" s="1"/>
  <c r="D19" i="8" s="1" a="1"/>
  <c r="D19" i="8" s="1"/>
  <c r="D40" i="2" a="1"/>
  <c r="D40" i="2" s="1"/>
  <c r="B19" i="8" s="1" a="1"/>
  <c r="B19" i="8" s="1"/>
  <c r="AJ39" i="2" a="1"/>
  <c r="AJ39" i="2" s="1"/>
  <c r="P39" i="2" a="1"/>
  <c r="P39" i="2" s="1"/>
  <c r="H39" i="2" a="1"/>
  <c r="H39" i="2" s="1"/>
  <c r="G39" i="2" a="1"/>
  <c r="G39" i="2" s="1"/>
  <c r="F39" i="2" a="1"/>
  <c r="F39" i="2" s="1"/>
  <c r="D5" i="9" s="1" a="1"/>
  <c r="D5" i="9" s="1"/>
  <c r="D39" i="2" a="1"/>
  <c r="D39" i="2" s="1"/>
  <c r="AH38" i="2" a="1"/>
  <c r="AH38" i="2" s="1"/>
  <c r="R38" i="2" a="1"/>
  <c r="R38" i="2" s="1"/>
  <c r="Q38" i="2" a="1"/>
  <c r="Q38" i="2" s="1"/>
  <c r="P38" i="2" a="1"/>
  <c r="P38" i="2" s="1"/>
  <c r="H38" i="2" a="1"/>
  <c r="H38" i="2" s="1"/>
  <c r="G38" i="2" a="1"/>
  <c r="G38" i="2" s="1"/>
  <c r="F38" i="2" a="1"/>
  <c r="F38" i="2" s="1"/>
  <c r="D38" i="2" a="1"/>
  <c r="D38" i="2" s="1"/>
  <c r="AH37" i="2" a="1"/>
  <c r="AH37" i="2" s="1"/>
  <c r="R37" i="2" a="1"/>
  <c r="R37" i="2" s="1"/>
  <c r="Q37" i="2" a="1"/>
  <c r="Q37" i="2" s="1"/>
  <c r="AA37" i="2" s="1" a="1"/>
  <c r="AA37" i="2" s="1"/>
  <c r="P37" i="2" a="1"/>
  <c r="P37" i="2" s="1"/>
  <c r="H37" i="2" a="1"/>
  <c r="H37" i="2" s="1"/>
  <c r="G37" i="2" a="1"/>
  <c r="G37" i="2" s="1"/>
  <c r="F37" i="2" a="1"/>
  <c r="F37" i="2" s="1"/>
  <c r="D37" i="2" a="1"/>
  <c r="D37" i="2" s="1"/>
  <c r="AH36" i="2" a="1"/>
  <c r="AH36" i="2" s="1"/>
  <c r="R36" i="2" a="1"/>
  <c r="R36" i="2" s="1"/>
  <c r="Q36" i="2" a="1"/>
  <c r="Q36" i="2" s="1"/>
  <c r="Z36" i="2" s="1" a="1"/>
  <c r="Z36" i="2" s="1"/>
  <c r="P36" i="2" a="1"/>
  <c r="P36" i="2" s="1"/>
  <c r="H36" i="2" a="1"/>
  <c r="H36" i="2" s="1"/>
  <c r="G36" i="2" a="1"/>
  <c r="G36" i="2" s="1"/>
  <c r="F36" i="2" a="1"/>
  <c r="F36" i="2" s="1"/>
  <c r="D18" i="8" s="1" a="1"/>
  <c r="D18" i="8" s="1"/>
  <c r="D36" i="2" a="1"/>
  <c r="D36" i="2" s="1"/>
  <c r="B18" i="8" s="1" a="1"/>
  <c r="B18" i="8" s="1"/>
  <c r="AH35" i="2" a="1"/>
  <c r="AH35" i="2" s="1"/>
  <c r="R35" i="2" a="1"/>
  <c r="R35" i="2" s="1"/>
  <c r="Q35" i="2" a="1"/>
  <c r="Q35" i="2" s="1"/>
  <c r="P35" i="2" a="1"/>
  <c r="P35" i="2" s="1"/>
  <c r="H35" i="2" a="1"/>
  <c r="H35" i="2" s="1"/>
  <c r="G35" i="2" a="1"/>
  <c r="G35" i="2" s="1"/>
  <c r="F35" i="2" a="1"/>
  <c r="F35" i="2" s="1"/>
  <c r="D35" i="2" a="1"/>
  <c r="D35" i="2" s="1"/>
  <c r="AH34" i="2" a="1"/>
  <c r="AH34" i="2" s="1"/>
  <c r="R34" i="2" a="1"/>
  <c r="R34" i="2" s="1"/>
  <c r="Q34" i="2" a="1"/>
  <c r="Q34" i="2" s="1"/>
  <c r="P34" i="2" a="1"/>
  <c r="P34" i="2" s="1"/>
  <c r="H34" i="2" a="1"/>
  <c r="H34" i="2" s="1"/>
  <c r="G34" i="2" a="1"/>
  <c r="G34" i="2" s="1"/>
  <c r="F34" i="2" a="1"/>
  <c r="F34" i="2" s="1"/>
  <c r="D16" i="8" s="1" a="1"/>
  <c r="D16" i="8" s="1"/>
  <c r="D34" i="2" a="1"/>
  <c r="D34" i="2" s="1"/>
  <c r="AH33" i="2" a="1"/>
  <c r="AH33" i="2" s="1"/>
  <c r="R33" i="2" a="1"/>
  <c r="R33" i="2" s="1"/>
  <c r="Q33" i="2" a="1"/>
  <c r="Q33" i="2" s="1"/>
  <c r="P33" i="2" a="1"/>
  <c r="P33" i="2" s="1"/>
  <c r="H33" i="2" a="1"/>
  <c r="H33" i="2" s="1"/>
  <c r="G33" i="2" a="1"/>
  <c r="G33" i="2" s="1"/>
  <c r="F33" i="2" a="1"/>
  <c r="F33" i="2" s="1"/>
  <c r="D15" i="8" s="1" a="1"/>
  <c r="D15" i="8" s="1"/>
  <c r="D33" i="2" a="1"/>
  <c r="D33" i="2" s="1"/>
  <c r="AH32" i="2" a="1"/>
  <c r="AH32" i="2" s="1"/>
  <c r="R32" i="2" a="1"/>
  <c r="R32" i="2" s="1"/>
  <c r="Q32" i="2" a="1"/>
  <c r="Q32" i="2" s="1"/>
  <c r="P32" i="2" a="1"/>
  <c r="P32" i="2" s="1"/>
  <c r="H32" i="2" a="1"/>
  <c r="H32" i="2" s="1"/>
  <c r="G32" i="2" a="1"/>
  <c r="G32" i="2" s="1"/>
  <c r="F32" i="2" a="1"/>
  <c r="F32" i="2" s="1"/>
  <c r="D32" i="2" a="1"/>
  <c r="D32" i="2" s="1"/>
  <c r="AH31" i="2" a="1"/>
  <c r="AH31" i="2" s="1"/>
  <c r="R31" i="2" a="1"/>
  <c r="R31" i="2" s="1"/>
  <c r="Q31" i="2" a="1"/>
  <c r="Q31" i="2" s="1"/>
  <c r="P31" i="2" a="1"/>
  <c r="P31" i="2" s="1"/>
  <c r="H31" i="2" a="1"/>
  <c r="H31" i="2" s="1"/>
  <c r="G31" i="2" a="1"/>
  <c r="G31" i="2" s="1"/>
  <c r="F31" i="2" a="1"/>
  <c r="F31" i="2" s="1"/>
  <c r="D14" i="8" s="1" a="1"/>
  <c r="D14" i="8" s="1"/>
  <c r="D31" i="2" a="1"/>
  <c r="D31" i="2" s="1"/>
  <c r="B14" i="8" s="1" a="1"/>
  <c r="B14" i="8" s="1"/>
  <c r="AH30" i="2" a="1"/>
  <c r="AH30" i="2" s="1"/>
  <c r="R30" i="2" a="1"/>
  <c r="R30" i="2" s="1"/>
  <c r="Q30" i="2" a="1"/>
  <c r="Q30" i="2" s="1"/>
  <c r="P30" i="2" a="1"/>
  <c r="P30" i="2" s="1"/>
  <c r="H30" i="2" a="1"/>
  <c r="H30" i="2" s="1"/>
  <c r="G30" i="2" a="1"/>
  <c r="G30" i="2" s="1"/>
  <c r="F30" i="2" a="1"/>
  <c r="F30" i="2" s="1"/>
  <c r="D13" i="8" s="1" a="1"/>
  <c r="D13" i="8" s="1"/>
  <c r="D30" i="2" a="1"/>
  <c r="D30" i="2" s="1"/>
  <c r="B13" i="8" s="1" a="1"/>
  <c r="B13" i="8" s="1"/>
  <c r="AH29" i="2" a="1"/>
  <c r="AH29" i="2" s="1"/>
  <c r="R29" i="2" a="1"/>
  <c r="R29" i="2" s="1"/>
  <c r="Q29" i="2" a="1"/>
  <c r="Q29" i="2" s="1"/>
  <c r="Y29" i="2" s="1" a="1"/>
  <c r="Y29" i="2" s="1"/>
  <c r="P29" i="2" a="1"/>
  <c r="P29" i="2" s="1"/>
  <c r="H29" i="2" a="1"/>
  <c r="H29" i="2" s="1"/>
  <c r="G29" i="2" a="1"/>
  <c r="G29" i="2" s="1"/>
  <c r="F29" i="2" a="1"/>
  <c r="F29" i="2" s="1"/>
  <c r="D29" i="2" a="1"/>
  <c r="D29" i="2" s="1"/>
  <c r="AH28" i="2" a="1"/>
  <c r="AH28" i="2" s="1"/>
  <c r="R28" i="2" a="1"/>
  <c r="R28" i="2" s="1"/>
  <c r="Q28" i="2" a="1"/>
  <c r="Q28" i="2" s="1"/>
  <c r="P28" i="2" a="1"/>
  <c r="P28" i="2" s="1"/>
  <c r="H28" i="2" a="1"/>
  <c r="H28" i="2" s="1"/>
  <c r="G28" i="2" a="1"/>
  <c r="G28" i="2" s="1"/>
  <c r="F28" i="2" a="1"/>
  <c r="F28" i="2" s="1"/>
  <c r="D28" i="2" a="1"/>
  <c r="D28" i="2" s="1"/>
  <c r="AH27" i="2" a="1"/>
  <c r="AH27" i="2" s="1"/>
  <c r="R27" i="2" a="1"/>
  <c r="R27" i="2" s="1"/>
  <c r="Q27" i="2" a="1"/>
  <c r="Q27" i="2" s="1"/>
  <c r="P27" i="2" a="1"/>
  <c r="P27" i="2" s="1"/>
  <c r="H27" i="2" a="1"/>
  <c r="H27" i="2" s="1"/>
  <c r="G27" i="2" a="1"/>
  <c r="G27" i="2" s="1"/>
  <c r="F27" i="2" a="1"/>
  <c r="F27" i="2" s="1"/>
  <c r="D27" i="2" a="1"/>
  <c r="D27" i="2" s="1"/>
  <c r="AJ26" i="2" a="1"/>
  <c r="AJ26" i="2" s="1"/>
  <c r="AN26" i="2" s="1" a="1"/>
  <c r="AN26" i="2" s="1"/>
  <c r="P26" i="2" a="1"/>
  <c r="P26" i="2" s="1"/>
  <c r="H26" i="2" a="1"/>
  <c r="H26" i="2" s="1"/>
  <c r="G26" i="2" a="1"/>
  <c r="G26" i="2" s="1"/>
  <c r="F26" i="2" a="1"/>
  <c r="F26" i="2" s="1"/>
  <c r="D4" i="9" s="1" a="1"/>
  <c r="D4" i="9" s="1"/>
  <c r="D26" i="2" a="1"/>
  <c r="D26" i="2" s="1"/>
  <c r="B4" i="9" s="1" a="1"/>
  <c r="B4" i="9" s="1"/>
  <c r="AH25" i="2" a="1"/>
  <c r="AH25" i="2" s="1"/>
  <c r="R25" i="2" a="1"/>
  <c r="R25" i="2" s="1"/>
  <c r="Q25" i="2" a="1"/>
  <c r="Q25" i="2" s="1"/>
  <c r="P25" i="2" a="1"/>
  <c r="P25" i="2" s="1"/>
  <c r="H25" i="2" a="1"/>
  <c r="H25" i="2" s="1"/>
  <c r="G25" i="2" a="1"/>
  <c r="G25" i="2" s="1"/>
  <c r="F25" i="2" a="1"/>
  <c r="F25" i="2" s="1"/>
  <c r="D12" i="8" s="1" a="1"/>
  <c r="D12" i="8" s="1"/>
  <c r="D25" i="2" a="1"/>
  <c r="D25" i="2" s="1"/>
  <c r="B12" i="8" s="1" a="1"/>
  <c r="B12" i="8" s="1"/>
  <c r="AJ24" i="2" a="1"/>
  <c r="AJ24" i="2" s="1"/>
  <c r="P24" i="2" a="1"/>
  <c r="P24" i="2" s="1"/>
  <c r="H24" i="2" a="1"/>
  <c r="H24" i="2" s="1"/>
  <c r="G24" i="2" a="1"/>
  <c r="G24" i="2" s="1"/>
  <c r="E25" i="3" s="1" a="1"/>
  <c r="E25" i="3" s="1"/>
  <c r="F24" i="2" a="1"/>
  <c r="F24" i="2" s="1"/>
  <c r="D24" i="2" a="1"/>
  <c r="D24" i="2" s="1"/>
  <c r="AH23" i="2" a="1"/>
  <c r="AH23" i="2" s="1"/>
  <c r="R23" i="2" a="1"/>
  <c r="R23" i="2" s="1"/>
  <c r="Q23" i="2" a="1"/>
  <c r="Q23" i="2" s="1"/>
  <c r="P23" i="2" a="1"/>
  <c r="P23" i="2" s="1"/>
  <c r="H23" i="2" a="1"/>
  <c r="H23" i="2" s="1"/>
  <c r="G23" i="2" a="1"/>
  <c r="G23" i="2" s="1"/>
  <c r="F23" i="2" a="1"/>
  <c r="F23" i="2" s="1"/>
  <c r="D11" i="8" s="1" a="1"/>
  <c r="D11" i="8" s="1"/>
  <c r="D23" i="2" a="1"/>
  <c r="D23" i="2" s="1"/>
  <c r="B11" i="8" s="1" a="1"/>
  <c r="B11" i="8" s="1"/>
  <c r="AH22" i="2" a="1"/>
  <c r="AH22" i="2" s="1"/>
  <c r="R22" i="2" a="1"/>
  <c r="R22" i="2" s="1"/>
  <c r="Q22" i="2" a="1"/>
  <c r="Q22" i="2" s="1"/>
  <c r="AF22" i="2" s="1" a="1"/>
  <c r="AF22" i="2" s="1"/>
  <c r="P22" i="2" a="1"/>
  <c r="P22" i="2" s="1"/>
  <c r="H22" i="2" a="1"/>
  <c r="H22" i="2" s="1"/>
  <c r="G22" i="2" a="1"/>
  <c r="G22" i="2" s="1"/>
  <c r="F22" i="2" a="1"/>
  <c r="F22" i="2" s="1"/>
  <c r="D22" i="2" a="1"/>
  <c r="D22" i="2" s="1"/>
  <c r="AH21" i="2" a="1"/>
  <c r="AH21" i="2" s="1"/>
  <c r="R21" i="2" a="1"/>
  <c r="R21" i="2" s="1"/>
  <c r="Q21" i="2" a="1"/>
  <c r="Q21" i="2" s="1"/>
  <c r="P21" i="2" a="1"/>
  <c r="P21" i="2" s="1"/>
  <c r="H21" i="2" a="1"/>
  <c r="H21" i="2" s="1"/>
  <c r="G21" i="2" a="1"/>
  <c r="G21" i="2" s="1"/>
  <c r="F21" i="2" a="1"/>
  <c r="F21" i="2" s="1"/>
  <c r="D21" i="2" a="1"/>
  <c r="D21" i="2" s="1"/>
  <c r="AH20" i="2" a="1"/>
  <c r="AH20" i="2" s="1"/>
  <c r="R20" i="2" a="1"/>
  <c r="R20" i="2" s="1"/>
  <c r="Q20" i="2" a="1"/>
  <c r="Q20" i="2" s="1"/>
  <c r="Y20" i="2" s="1" a="1"/>
  <c r="Y20" i="2" s="1"/>
  <c r="P20" i="2" a="1"/>
  <c r="P20" i="2" s="1"/>
  <c r="H20" i="2" a="1"/>
  <c r="H20" i="2" s="1"/>
  <c r="G20" i="2" a="1"/>
  <c r="G20" i="2" s="1"/>
  <c r="F20" i="2" a="1"/>
  <c r="F20" i="2" s="1"/>
  <c r="D10" i="8" s="1" a="1"/>
  <c r="D10" i="8" s="1"/>
  <c r="D20" i="2" a="1"/>
  <c r="D20" i="2" s="1"/>
  <c r="B10" i="8" s="1" a="1"/>
  <c r="B10" i="8" s="1"/>
  <c r="AH19" i="2" a="1"/>
  <c r="AH19" i="2" s="1"/>
  <c r="R19" i="2" a="1"/>
  <c r="R19" i="2" s="1"/>
  <c r="Q19" i="2" a="1"/>
  <c r="Q19" i="2" s="1"/>
  <c r="P19" i="2" a="1"/>
  <c r="P19" i="2" s="1"/>
  <c r="H19" i="2" a="1"/>
  <c r="H19" i="2" s="1"/>
  <c r="G19" i="2" a="1"/>
  <c r="G19" i="2" s="1"/>
  <c r="F19" i="2" a="1"/>
  <c r="F19" i="2" s="1"/>
  <c r="D9" i="8" s="1" a="1"/>
  <c r="D9" i="8" s="1"/>
  <c r="D19" i="2" a="1"/>
  <c r="D19" i="2" s="1"/>
  <c r="AH18" i="2" a="1"/>
  <c r="AH18" i="2" s="1"/>
  <c r="R18" i="2" a="1"/>
  <c r="R18" i="2" s="1"/>
  <c r="Q18" i="2" a="1"/>
  <c r="Q18" i="2" s="1"/>
  <c r="P18" i="2" a="1"/>
  <c r="P18" i="2" s="1"/>
  <c r="H18" i="2" a="1"/>
  <c r="H18" i="2" s="1"/>
  <c r="G18" i="2" a="1"/>
  <c r="G18" i="2" s="1"/>
  <c r="E6" i="3" s="1" a="1"/>
  <c r="E6" i="3" s="1"/>
  <c r="F18" i="2" a="1"/>
  <c r="F18" i="2" s="1"/>
  <c r="D18" i="2" a="1"/>
  <c r="D18" i="2" s="1"/>
  <c r="AH17" i="2" a="1"/>
  <c r="AH17" i="2" s="1"/>
  <c r="R17" i="2" a="1"/>
  <c r="R17" i="2" s="1"/>
  <c r="Q17" i="2" a="1"/>
  <c r="Q17" i="2" s="1"/>
  <c r="AF17" i="2" s="1" a="1"/>
  <c r="AF17" i="2" s="1"/>
  <c r="P17" i="2" a="1"/>
  <c r="P17" i="2" s="1"/>
  <c r="H17" i="2" a="1"/>
  <c r="H17" i="2" s="1"/>
  <c r="G17" i="2" a="1"/>
  <c r="G17" i="2" s="1"/>
  <c r="F17" i="2" a="1"/>
  <c r="F17" i="2" s="1"/>
  <c r="D17" i="2" a="1"/>
  <c r="D17" i="2" s="1"/>
  <c r="AH16" i="2" a="1"/>
  <c r="AH16" i="2" s="1"/>
  <c r="R16" i="2" a="1"/>
  <c r="R16" i="2" s="1"/>
  <c r="Q16" i="2" a="1"/>
  <c r="Q16" i="2" s="1"/>
  <c r="AB16" i="2" s="1" a="1"/>
  <c r="AB16" i="2" s="1"/>
  <c r="P16" i="2" a="1"/>
  <c r="P16" i="2" s="1"/>
  <c r="H16" i="2" a="1"/>
  <c r="H16" i="2" s="1"/>
  <c r="G16" i="2" a="1"/>
  <c r="G16" i="2" s="1"/>
  <c r="F16" i="2" a="1"/>
  <c r="F16" i="2" s="1"/>
  <c r="D16" i="2" a="1"/>
  <c r="D16" i="2" s="1"/>
  <c r="AH15" i="2" a="1"/>
  <c r="AH15" i="2" s="1"/>
  <c r="R15" i="2" a="1"/>
  <c r="R15" i="2" s="1"/>
  <c r="Q15" i="2" a="1"/>
  <c r="Q15" i="2" s="1"/>
  <c r="P15" i="2" a="1"/>
  <c r="P15" i="2" s="1"/>
  <c r="H15" i="2" a="1"/>
  <c r="H15" i="2" s="1"/>
  <c r="G15" i="2" a="1"/>
  <c r="G15" i="2" s="1"/>
  <c r="F15" i="2" a="1"/>
  <c r="F15" i="2" s="1"/>
  <c r="D8" i="8" s="1" a="1"/>
  <c r="D8" i="8" s="1"/>
  <c r="D15" i="2" a="1"/>
  <c r="D15" i="2" s="1"/>
  <c r="B8" i="8" s="1" a="1"/>
  <c r="B8" i="8" s="1"/>
  <c r="AH14" i="2" a="1"/>
  <c r="AH14" i="2" s="1"/>
  <c r="R14" i="2" a="1"/>
  <c r="R14" i="2" s="1"/>
  <c r="Q14" i="2" a="1"/>
  <c r="Q14" i="2" s="1"/>
  <c r="AB14" i="2" s="1" a="1"/>
  <c r="AB14" i="2" s="1"/>
  <c r="P14" i="2" a="1"/>
  <c r="P14" i="2" s="1"/>
  <c r="H14" i="2" a="1"/>
  <c r="H14" i="2" s="1"/>
  <c r="G14" i="2" a="1"/>
  <c r="G14" i="2" s="1"/>
  <c r="F14" i="2" a="1"/>
  <c r="F14" i="2" s="1"/>
  <c r="D14" i="2" a="1"/>
  <c r="D14" i="2" s="1"/>
  <c r="AH13" i="2" a="1"/>
  <c r="AH13" i="2" s="1"/>
  <c r="R13" i="2" a="1"/>
  <c r="R13" i="2" s="1"/>
  <c r="Q13" i="2" a="1"/>
  <c r="Q13" i="2" s="1"/>
  <c r="P13" i="2" a="1"/>
  <c r="P13" i="2" s="1"/>
  <c r="H13" i="2" a="1"/>
  <c r="H13" i="2" s="1"/>
  <c r="G13" i="2" a="1"/>
  <c r="G13" i="2" s="1"/>
  <c r="F13" i="2" a="1"/>
  <c r="F13" i="2" s="1"/>
  <c r="D13" i="2" a="1"/>
  <c r="D13" i="2" s="1"/>
  <c r="AH12" i="2" a="1"/>
  <c r="AH12" i="2" s="1"/>
  <c r="R12" i="2" a="1"/>
  <c r="R12" i="2" s="1"/>
  <c r="Q12" i="2" a="1"/>
  <c r="Q12" i="2" s="1"/>
  <c r="AA12" i="2" s="1" a="1"/>
  <c r="AA12" i="2" s="1"/>
  <c r="P12" i="2" a="1"/>
  <c r="P12" i="2" s="1"/>
  <c r="H12" i="2" a="1"/>
  <c r="H12" i="2" s="1"/>
  <c r="G12" i="2" a="1"/>
  <c r="G12" i="2" s="1"/>
  <c r="F12" i="2" a="1"/>
  <c r="F12" i="2" s="1"/>
  <c r="D12" i="2" a="1"/>
  <c r="D12" i="2" s="1"/>
  <c r="AH11" i="2" a="1"/>
  <c r="AH11" i="2" s="1"/>
  <c r="R11" i="2" a="1"/>
  <c r="R11" i="2" s="1"/>
  <c r="Q11" i="2" a="1"/>
  <c r="Q11" i="2" s="1"/>
  <c r="P11" i="2" a="1"/>
  <c r="P11" i="2" s="1"/>
  <c r="H11" i="2" a="1"/>
  <c r="H11" i="2" s="1"/>
  <c r="G11" i="2" a="1"/>
  <c r="G11" i="2" s="1"/>
  <c r="F11" i="2" a="1"/>
  <c r="F11" i="2" s="1"/>
  <c r="D7" i="8" s="1" a="1"/>
  <c r="D7" i="8" s="1"/>
  <c r="D11" i="2" a="1"/>
  <c r="D11" i="2" s="1"/>
  <c r="B7" i="8" s="1" a="1"/>
  <c r="B7" i="8" s="1"/>
  <c r="AH10" i="2" a="1"/>
  <c r="AH10" i="2" s="1"/>
  <c r="R10" i="2" a="1"/>
  <c r="R10" i="2" s="1"/>
  <c r="Q10" i="2" a="1"/>
  <c r="Q10" i="2" s="1"/>
  <c r="P10" i="2" a="1"/>
  <c r="P10" i="2" s="1"/>
  <c r="H10" i="2" a="1"/>
  <c r="H10" i="2" s="1"/>
  <c r="G10" i="2" a="1"/>
  <c r="G10" i="2" s="1"/>
  <c r="F10" i="2" a="1"/>
  <c r="F10" i="2" s="1"/>
  <c r="D10" i="2" a="1"/>
  <c r="D10" i="2" s="1"/>
  <c r="AH9" i="2" a="1"/>
  <c r="AH9" i="2" s="1"/>
  <c r="R9" i="2" a="1"/>
  <c r="R9" i="2" s="1"/>
  <c r="Q9" i="2" a="1"/>
  <c r="Q9" i="2" s="1"/>
  <c r="P9" i="2" a="1"/>
  <c r="P9" i="2" s="1"/>
  <c r="H9" i="2" a="1"/>
  <c r="H9" i="2" s="1"/>
  <c r="G9" i="2" a="1"/>
  <c r="G9" i="2" s="1"/>
  <c r="F9" i="2" a="1"/>
  <c r="F9" i="2" s="1"/>
  <c r="D6" i="8" s="1" a="1"/>
  <c r="D6" i="8" s="1"/>
  <c r="D9" i="2" a="1"/>
  <c r="D9" i="2" s="1"/>
  <c r="AH8" i="2" a="1"/>
  <c r="AH8" i="2" s="1"/>
  <c r="R8" i="2" a="1"/>
  <c r="R8" i="2" s="1"/>
  <c r="Q8" i="2" a="1"/>
  <c r="Q8" i="2" s="1"/>
  <c r="P8" i="2" a="1"/>
  <c r="P8" i="2" s="1"/>
  <c r="H8" i="2" a="1"/>
  <c r="H8" i="2" s="1"/>
  <c r="G8" i="2" a="1"/>
  <c r="G8" i="2" s="1"/>
  <c r="F8" i="2" a="1"/>
  <c r="F8" i="2" s="1"/>
  <c r="D8" i="2" a="1"/>
  <c r="D8" i="2" s="1"/>
  <c r="AH7" i="2" a="1"/>
  <c r="AH7" i="2" s="1"/>
  <c r="R7" i="2" a="1"/>
  <c r="R7" i="2" s="1"/>
  <c r="Q7" i="2" a="1"/>
  <c r="Q7" i="2" s="1"/>
  <c r="P7" i="2" a="1"/>
  <c r="P7" i="2" s="1"/>
  <c r="H7" i="2" a="1"/>
  <c r="H7" i="2" s="1"/>
  <c r="G7" i="2" a="1"/>
  <c r="G7" i="2" s="1"/>
  <c r="F7" i="2" a="1"/>
  <c r="F7" i="2" s="1"/>
  <c r="D5" i="8" s="1" a="1"/>
  <c r="D5" i="8" s="1"/>
  <c r="D7" i="2" a="1"/>
  <c r="D7" i="2" s="1"/>
  <c r="B5" i="8" s="1" a="1"/>
  <c r="B5" i="8" s="1"/>
  <c r="AH6" i="2" a="1"/>
  <c r="AH6" i="2" s="1"/>
  <c r="R6" i="2" a="1"/>
  <c r="R6" i="2" s="1"/>
  <c r="Q6" i="2" a="1"/>
  <c r="Q6" i="2" s="1"/>
  <c r="P6" i="2" a="1"/>
  <c r="P6" i="2" s="1"/>
  <c r="H6" i="2" a="1"/>
  <c r="H6" i="2" s="1"/>
  <c r="G6" i="2" a="1"/>
  <c r="G6" i="2" s="1"/>
  <c r="E14" i="3" s="1" a="1"/>
  <c r="E14" i="3" s="1"/>
  <c r="F6" i="2" a="1"/>
  <c r="F6" i="2" s="1"/>
  <c r="D6" i="2" a="1"/>
  <c r="D6" i="2" s="1"/>
  <c r="AH5" i="2" a="1"/>
  <c r="AH5" i="2" s="1"/>
  <c r="R5" i="2" a="1"/>
  <c r="R5" i="2" s="1"/>
  <c r="Q5" i="2" a="1"/>
  <c r="Q5" i="2" s="1"/>
  <c r="P5" i="2" a="1"/>
  <c r="P5" i="2" s="1"/>
  <c r="H5" i="2" a="1"/>
  <c r="H5" i="2" s="1"/>
  <c r="G5" i="2" a="1"/>
  <c r="G5" i="2" s="1"/>
  <c r="F5" i="2" a="1"/>
  <c r="F5" i="2" s="1"/>
  <c r="D3" i="8" s="1" a="1"/>
  <c r="D3" i="8" s="1"/>
  <c r="D5" i="2" a="1"/>
  <c r="D5" i="2" s="1"/>
  <c r="B3" i="8" s="1" a="1"/>
  <c r="B3" i="8" s="1"/>
  <c r="AH4" i="2" a="1"/>
  <c r="AH4" i="2" s="1"/>
  <c r="R4" i="2" a="1"/>
  <c r="R4" i="2" s="1"/>
  <c r="Q4" i="2" a="1"/>
  <c r="Q4" i="2" s="1"/>
  <c r="P4" i="2" a="1"/>
  <c r="P4" i="2" s="1"/>
  <c r="H4" i="2" a="1"/>
  <c r="H4" i="2" s="1"/>
  <c r="G4" i="2" a="1"/>
  <c r="G4" i="2" s="1"/>
  <c r="E10" i="3" s="1" a="1"/>
  <c r="E10" i="3" s="1"/>
  <c r="F4" i="2" a="1"/>
  <c r="F4" i="2" s="1"/>
  <c r="D4" i="2" a="1"/>
  <c r="D4" i="2" s="1"/>
  <c r="AH3" i="2" a="1"/>
  <c r="AH3" i="2" s="1"/>
  <c r="R3" i="2" a="1"/>
  <c r="R3" i="2" s="1"/>
  <c r="Q3" i="2" a="1"/>
  <c r="Q3" i="2" s="1"/>
  <c r="P3" i="2" a="1"/>
  <c r="P3" i="2" s="1"/>
  <c r="H3" i="2" a="1"/>
  <c r="H3" i="2" s="1"/>
  <c r="G3" i="2" a="1"/>
  <c r="G3" i="2" s="1"/>
  <c r="E2" i="3" s="1" a="1"/>
  <c r="E2" i="3" s="1"/>
  <c r="F3" i="2" a="1"/>
  <c r="F3" i="2" s="1"/>
  <c r="D3" i="2" a="1"/>
  <c r="D3" i="2" s="1"/>
  <c r="AH2" i="2" a="1"/>
  <c r="AH2" i="2" s="1"/>
  <c r="R2" i="2" a="1"/>
  <c r="R2" i="2" s="1"/>
  <c r="Q2" i="2" a="1"/>
  <c r="Q2" i="2" s="1"/>
  <c r="P2" i="2" a="1"/>
  <c r="P2" i="2" s="1"/>
  <c r="H2" i="2" a="1"/>
  <c r="H2" i="2" s="1"/>
  <c r="G2" i="2" a="1"/>
  <c r="G2" i="2" s="1"/>
  <c r="F2" i="2" a="1"/>
  <c r="F2" i="2" s="1"/>
  <c r="D2" i="2" a="1"/>
  <c r="D2" i="2" s="1"/>
  <c r="I6" i="1" a="1"/>
  <c r="I6" i="1" s="1"/>
  <c r="F6" i="1" a="1"/>
  <c r="F6" i="1"/>
  <c r="B2" i="9" s="1" a="1"/>
  <c r="B2" i="9" s="1"/>
  <c r="I5" i="1" a="1"/>
  <c r="I5" i="1" s="1"/>
  <c r="F5" i="1" a="1"/>
  <c r="F5" i="1" s="1"/>
  <c r="B2" i="8" s="1" a="1"/>
  <c r="B2" i="8" s="1"/>
  <c r="I4" i="1" a="1"/>
  <c r="I4" i="1"/>
  <c r="F4" i="1" a="1"/>
  <c r="F4" i="1" s="1"/>
  <c r="B2" i="7" s="1" a="1"/>
  <c r="B2" i="7" s="1"/>
  <c r="I3" i="1" a="1"/>
  <c r="I3" i="1"/>
  <c r="F3" i="1" a="1"/>
  <c r="F3" i="1" s="1"/>
  <c r="B2" i="6" s="1" a="1"/>
  <c r="B2" i="6" s="1"/>
  <c r="I2" i="1" a="1"/>
  <c r="I2" i="1" s="1"/>
  <c r="F2" i="1" a="1"/>
  <c r="F2" i="1"/>
  <c r="T17" i="2" l="1" a="1"/>
  <c r="T17" i="2" s="1"/>
  <c r="AF330" i="2" a="1"/>
  <c r="AF330" i="2" s="1"/>
  <c r="AB277" i="2" a="1"/>
  <c r="AB277" i="2" s="1"/>
  <c r="S143" i="2" a="1"/>
  <c r="S143" i="2" s="1"/>
  <c r="AP190" i="2" a="1"/>
  <c r="AP190" i="2" s="1"/>
  <c r="S468" i="2" a="1"/>
  <c r="S468" i="2" s="1"/>
  <c r="T346" i="2" a="1"/>
  <c r="T346" i="2" s="1"/>
  <c r="AE351" i="2" a="1"/>
  <c r="AE351" i="2" s="1"/>
  <c r="Y468" i="2" a="1"/>
  <c r="Y468" i="2" s="1"/>
  <c r="S138" i="2" a="1"/>
  <c r="S138" i="2" s="1"/>
  <c r="T338" i="2" a="1"/>
  <c r="T338" i="2" s="1"/>
  <c r="X402" i="2" a="1"/>
  <c r="X402" i="2" s="1"/>
  <c r="X658" i="2" a="1"/>
  <c r="X658" i="2" s="1"/>
  <c r="AA138" i="2" a="1"/>
  <c r="AA138" i="2" s="1"/>
  <c r="AF658" i="2" a="1"/>
  <c r="AF658" i="2" s="1"/>
  <c r="T419" i="2" a="1"/>
  <c r="T419" i="2" s="1"/>
  <c r="AO433" i="2" a="1"/>
  <c r="AO433" i="2" s="1"/>
  <c r="Y438" i="2" a="1"/>
  <c r="Y438" i="2" s="1"/>
  <c r="AC101" i="2" a="1"/>
  <c r="AC101" i="2" s="1"/>
  <c r="T241" i="2" a="1"/>
  <c r="T241" i="2" s="1"/>
  <c r="Z452" i="2" a="1"/>
  <c r="Z452" i="2" s="1"/>
  <c r="AB562" i="2" a="1"/>
  <c r="AB562" i="2" s="1"/>
  <c r="W512" i="2" a="1"/>
  <c r="W512" i="2" s="1"/>
  <c r="Y559" i="2" a="1"/>
  <c r="Y559" i="2" s="1"/>
  <c r="AF138" i="2" a="1"/>
  <c r="AF138" i="2" s="1"/>
  <c r="T644" i="2" a="1"/>
  <c r="T644" i="2" s="1"/>
  <c r="AC645" i="2" a="1"/>
  <c r="AC645" i="2" s="1"/>
  <c r="AB273" i="2" a="1"/>
  <c r="AB273" i="2" s="1"/>
  <c r="Z644" i="2" a="1"/>
  <c r="Z644" i="2" s="1"/>
  <c r="S301" i="2" a="1"/>
  <c r="S301" i="2" s="1"/>
  <c r="Y562" i="2" a="1"/>
  <c r="Y562" i="2" s="1"/>
  <c r="W627" i="2" a="1"/>
  <c r="W627" i="2" s="1"/>
  <c r="AA644" i="2" a="1"/>
  <c r="AA644" i="2" s="1"/>
  <c r="AA473" i="2" a="1"/>
  <c r="AA473" i="2" s="1"/>
  <c r="AF487" i="2" a="1"/>
  <c r="AF487" i="2" s="1"/>
  <c r="T409" i="2" a="1"/>
  <c r="T409" i="2" s="1"/>
  <c r="Z561" i="2" a="1"/>
  <c r="Z561" i="2" s="1"/>
  <c r="AD248" i="2" a="1"/>
  <c r="AD248" i="2" s="1"/>
  <c r="V378" i="2" a="1"/>
  <c r="V378" i="2" s="1"/>
  <c r="Y578" i="2" a="1"/>
  <c r="Y578" i="2" s="1"/>
  <c r="AC641" i="2" a="1"/>
  <c r="AC641" i="2" s="1"/>
  <c r="AF659" i="2" a="1"/>
  <c r="AF659" i="2" s="1"/>
  <c r="AG659" i="2" a="1"/>
  <c r="AG659" i="2" s="1"/>
  <c r="AE612" i="2" a="1"/>
  <c r="AE612" i="2" s="1"/>
  <c r="AE43" i="2" a="1"/>
  <c r="AE43" i="2" s="1"/>
  <c r="W234" i="2" a="1"/>
  <c r="W234" i="2" s="1"/>
  <c r="T245" i="2" a="1"/>
  <c r="T245" i="2" s="1"/>
  <c r="V270" i="2" a="1"/>
  <c r="V270" i="2" s="1"/>
  <c r="AO333" i="2" a="1"/>
  <c r="AO333" i="2" s="1"/>
  <c r="X394" i="2" a="1"/>
  <c r="X394" i="2" s="1"/>
  <c r="Z468" i="2" a="1"/>
  <c r="Z468" i="2" s="1"/>
  <c r="AG248" i="2" a="1"/>
  <c r="AG248" i="2" s="1"/>
  <c r="AF204" i="2" a="1"/>
  <c r="AF204" i="2" s="1"/>
  <c r="AA326" i="2" a="1"/>
  <c r="AA326" i="2" s="1"/>
  <c r="AA468" i="2" a="1"/>
  <c r="AA468" i="2" s="1"/>
  <c r="Z551" i="2" a="1"/>
  <c r="Z551" i="2" s="1"/>
  <c r="S48" i="2" a="1"/>
  <c r="S48" i="2" s="1"/>
  <c r="W22" i="2" a="1"/>
  <c r="W22" i="2" s="1"/>
  <c r="AD326" i="2" a="1"/>
  <c r="AD326" i="2" s="1"/>
  <c r="AF468" i="2" a="1"/>
  <c r="AF468" i="2" s="1"/>
  <c r="AF551" i="2" a="1"/>
  <c r="AF551" i="2" s="1"/>
  <c r="AG629" i="2" a="1"/>
  <c r="AG629" i="2" s="1"/>
  <c r="AE442" i="2" a="1"/>
  <c r="AE442" i="2" s="1"/>
  <c r="Y444" i="2" a="1"/>
  <c r="Y444" i="2" s="1"/>
  <c r="AD444" i="2" a="1"/>
  <c r="AD444" i="2" s="1"/>
  <c r="Z444" i="2" a="1"/>
  <c r="Z444" i="2" s="1"/>
  <c r="Z327" i="2" a="1"/>
  <c r="Z327" i="2" s="1"/>
  <c r="Z328" i="2" a="1"/>
  <c r="Z328" i="2" s="1"/>
  <c r="AD407" i="2" a="1"/>
  <c r="AD407" i="2" s="1"/>
  <c r="AB444" i="2" a="1"/>
  <c r="AB444" i="2" s="1"/>
  <c r="Z31" i="2" a="1"/>
  <c r="Z31" i="2" s="1"/>
  <c r="AF31" i="2" a="1"/>
  <c r="AF31" i="2" s="1"/>
  <c r="AF442" i="2" a="1"/>
  <c r="AF442" i="2" s="1"/>
  <c r="AB443" i="2" a="1"/>
  <c r="AB443" i="2" s="1"/>
  <c r="AG444" i="2" a="1"/>
  <c r="AG444" i="2" s="1"/>
  <c r="AA142" i="2" a="1"/>
  <c r="AA142" i="2" s="1"/>
  <c r="AF327" i="2" a="1"/>
  <c r="AF327" i="2" s="1"/>
  <c r="AA328" i="2" a="1"/>
  <c r="AA328" i="2" s="1"/>
  <c r="W285" i="2" a="1"/>
  <c r="W285" i="2" s="1"/>
  <c r="V25" i="2" a="1"/>
  <c r="V25" i="2" s="1"/>
  <c r="AF235" i="2" a="1"/>
  <c r="AF235" i="2" s="1"/>
  <c r="AA285" i="2" a="1"/>
  <c r="AA285" i="2" s="1"/>
  <c r="AF477" i="2" a="1"/>
  <c r="AF477" i="2" s="1"/>
  <c r="AB477" i="2" a="1"/>
  <c r="AB477" i="2" s="1"/>
  <c r="AK24" i="2" a="1"/>
  <c r="AK24" i="2" s="1"/>
  <c r="AF145" i="2" a="1"/>
  <c r="AF145" i="2" s="1"/>
  <c r="X145" i="2" a="1"/>
  <c r="X145" i="2" s="1"/>
  <c r="X244" i="2" a="1"/>
  <c r="X244" i="2" s="1"/>
  <c r="AB312" i="2" a="1"/>
  <c r="AB312" i="2" s="1"/>
  <c r="AA312" i="2" a="1"/>
  <c r="AA312" i="2" s="1"/>
  <c r="S557" i="2" a="1"/>
  <c r="S557" i="2" s="1"/>
  <c r="Z113" i="2" a="1"/>
  <c r="Z113" i="2" s="1"/>
  <c r="AM535" i="2" a="1"/>
  <c r="AM535" i="2" s="1"/>
  <c r="AN535" i="2" a="1"/>
  <c r="AN535" i="2" s="1"/>
  <c r="S590" i="2" a="1"/>
  <c r="S590" i="2" s="1"/>
  <c r="AE590" i="2" a="1"/>
  <c r="AE590" i="2" s="1"/>
  <c r="W3" i="2" a="1"/>
  <c r="W3" i="2" s="1"/>
  <c r="AD102" i="2" a="1"/>
  <c r="AD102" i="2" s="1"/>
  <c r="AD330" i="2" a="1"/>
  <c r="AD330" i="2" s="1"/>
  <c r="Z330" i="2" a="1"/>
  <c r="Z330" i="2" s="1"/>
  <c r="Y452" i="2" a="1"/>
  <c r="Y452" i="2" s="1"/>
  <c r="AP507" i="2" a="1"/>
  <c r="AP507" i="2" s="1"/>
  <c r="AG556" i="2" a="1"/>
  <c r="AG556" i="2" s="1"/>
  <c r="AF556" i="2" a="1"/>
  <c r="AF556" i="2" s="1"/>
  <c r="V14" i="2" a="1"/>
  <c r="V14" i="2" s="1"/>
  <c r="AD253" i="2" a="1"/>
  <c r="AD253" i="2" s="1"/>
  <c r="AD162" i="2" a="1"/>
  <c r="AD162" i="2" s="1"/>
  <c r="AB12" i="2" a="1"/>
  <c r="AB12" i="2" s="1"/>
  <c r="AC2" i="2" a="1"/>
  <c r="AC2" i="2" s="1"/>
  <c r="AA2" i="2" a="1"/>
  <c r="AA2" i="2" s="1"/>
  <c r="AE121" i="2" a="1"/>
  <c r="AE121" i="2" s="1"/>
  <c r="Z223" i="2" a="1"/>
  <c r="Z223" i="2" s="1"/>
  <c r="AD223" i="2" a="1"/>
  <c r="AD223" i="2" s="1"/>
  <c r="AG380" i="2" a="1"/>
  <c r="AG380" i="2" s="1"/>
  <c r="AB380" i="2" a="1"/>
  <c r="AB380" i="2" s="1"/>
  <c r="AE422" i="2" a="1"/>
  <c r="AE422" i="2" s="1"/>
  <c r="V444" i="2" a="1"/>
  <c r="V444" i="2" s="1"/>
  <c r="S501" i="2" a="1"/>
  <c r="S501" i="2" s="1"/>
  <c r="Y550" i="2" a="1"/>
  <c r="Y550" i="2" s="1"/>
  <c r="AF650" i="2" a="1"/>
  <c r="AF650" i="2" s="1"/>
  <c r="AD650" i="2" a="1"/>
  <c r="AD650" i="2" s="1"/>
  <c r="X564" i="2" a="1"/>
  <c r="X564" i="2" s="1"/>
  <c r="AD659" i="2" a="1"/>
  <c r="AD659" i="2" s="1"/>
  <c r="X664" i="2" a="1"/>
  <c r="X664" i="2" s="1"/>
  <c r="S228" i="2" a="1"/>
  <c r="S228" i="2" s="1"/>
  <c r="S234" i="2" a="1"/>
  <c r="S234" i="2" s="1"/>
  <c r="V235" i="2" a="1"/>
  <c r="V235" i="2" s="1"/>
  <c r="AC426" i="2" a="1"/>
  <c r="AC426" i="2" s="1"/>
  <c r="W462" i="2" a="1"/>
  <c r="W462" i="2" s="1"/>
  <c r="AC476" i="2" a="1"/>
  <c r="AC476" i="2" s="1"/>
  <c r="AK580" i="2" a="1"/>
  <c r="AK580" i="2" s="1"/>
  <c r="AB644" i="2" a="1"/>
  <c r="AB644" i="2" s="1"/>
  <c r="V662" i="2" a="1"/>
  <c r="V662" i="2" s="1"/>
  <c r="AD644" i="2" a="1"/>
  <c r="AD644" i="2" s="1"/>
  <c r="Y143" i="2" a="1"/>
  <c r="Y143" i="2" s="1"/>
  <c r="V325" i="2" a="1"/>
  <c r="V325" i="2" s="1"/>
  <c r="AA408" i="2" a="1"/>
  <c r="AA408" i="2" s="1"/>
  <c r="AC628" i="2" a="1"/>
  <c r="AC628" i="2" s="1"/>
  <c r="AF644" i="2" a="1"/>
  <c r="AF644" i="2" s="1"/>
  <c r="AD37" i="2" a="1"/>
  <c r="AD37" i="2" s="1"/>
  <c r="W46" i="2" a="1"/>
  <c r="W46" i="2" s="1"/>
  <c r="AG70" i="2" a="1"/>
  <c r="AG70" i="2" s="1"/>
  <c r="Y73" i="2" a="1"/>
  <c r="Y73" i="2" s="1"/>
  <c r="AA141" i="2" a="1"/>
  <c r="AA141" i="2" s="1"/>
  <c r="T196" i="2" a="1"/>
  <c r="T196" i="2" s="1"/>
  <c r="AK260" i="2" a="1"/>
  <c r="AK260" i="2" s="1"/>
  <c r="Z277" i="2" a="1"/>
  <c r="Z277" i="2" s="1"/>
  <c r="AC428" i="2" a="1"/>
  <c r="AC428" i="2" s="1"/>
  <c r="AO479" i="2" a="1"/>
  <c r="AO479" i="2" s="1"/>
  <c r="X595" i="2" a="1"/>
  <c r="X595" i="2" s="1"/>
  <c r="AG601" i="2" a="1"/>
  <c r="AG601" i="2" s="1"/>
  <c r="T628" i="2" a="1"/>
  <c r="T628" i="2" s="1"/>
  <c r="X647" i="2" a="1"/>
  <c r="X647" i="2" s="1"/>
  <c r="W552" i="2" a="1"/>
  <c r="W552" i="2" s="1"/>
  <c r="AB659" i="2" a="1"/>
  <c r="AB659" i="2" s="1"/>
  <c r="Z671" i="2" a="1"/>
  <c r="Z671" i="2" s="1"/>
  <c r="AB87" i="2" a="1"/>
  <c r="AB87" i="2" s="1"/>
  <c r="T87" i="2" a="1"/>
  <c r="T87" i="2" s="1"/>
  <c r="AB182" i="2" a="1"/>
  <c r="AB182" i="2" s="1"/>
  <c r="AC14" i="2" a="1"/>
  <c r="AC14" i="2" s="1"/>
  <c r="AA70" i="2" a="1"/>
  <c r="AA70" i="2" s="1"/>
  <c r="V75" i="2" a="1"/>
  <c r="V75" i="2" s="1"/>
  <c r="AP80" i="2" a="1"/>
  <c r="AP80" i="2" s="1"/>
  <c r="AR80" i="2" s="1" a="1"/>
  <c r="AR80" i="2" s="1"/>
  <c r="AG145" i="2" a="1"/>
  <c r="AG145" i="2" s="1"/>
  <c r="AE148" i="2" a="1"/>
  <c r="AE148" i="2" s="1"/>
  <c r="AD182" i="2" a="1"/>
  <c r="AD182" i="2" s="1"/>
  <c r="W282" i="2" a="1"/>
  <c r="W282" i="2" s="1"/>
  <c r="T335" i="2" a="1"/>
  <c r="T335" i="2" s="1"/>
  <c r="AD408" i="2" a="1"/>
  <c r="AD408" i="2" s="1"/>
  <c r="W671" i="2" a="1"/>
  <c r="W671" i="2" s="1"/>
  <c r="S671" i="2" a="1"/>
  <c r="S671" i="2" s="1"/>
  <c r="V20" i="2" a="1"/>
  <c r="V20" i="2" s="1"/>
  <c r="AC22" i="2" a="1"/>
  <c r="AC22" i="2" s="1"/>
  <c r="AA36" i="2" a="1"/>
  <c r="AA36" i="2" s="1"/>
  <c r="AC64" i="2" a="1"/>
  <c r="AC64" i="2" s="1"/>
  <c r="Z73" i="2" a="1"/>
  <c r="Z73" i="2" s="1"/>
  <c r="AC160" i="2" a="1"/>
  <c r="AC160" i="2" s="1"/>
  <c r="AF283" i="2" a="1"/>
  <c r="AF283" i="2" s="1"/>
  <c r="V332" i="2" a="1"/>
  <c r="V332" i="2" s="1"/>
  <c r="T367" i="2" a="1"/>
  <c r="T367" i="2" s="1"/>
  <c r="AP379" i="2" a="1"/>
  <c r="AP379" i="2" s="1"/>
  <c r="Z148" i="2" a="1"/>
  <c r="Z148" i="2" s="1"/>
  <c r="AA281" i="2" a="1"/>
  <c r="AA281" i="2" s="1"/>
  <c r="Z332" i="2" a="1"/>
  <c r="Z332" i="2" s="1"/>
  <c r="AG332" i="2" a="1"/>
  <c r="AG332" i="2" s="1"/>
  <c r="AF424" i="2" a="1"/>
  <c r="AF424" i="2" s="1"/>
  <c r="AC424" i="2" a="1"/>
  <c r="AC424" i="2" s="1"/>
  <c r="AA465" i="2" a="1"/>
  <c r="AA465" i="2" s="1"/>
  <c r="AG465" i="2" a="1"/>
  <c r="AG465" i="2" s="1"/>
  <c r="AD465" i="2" a="1"/>
  <c r="AD465" i="2" s="1"/>
  <c r="Z465" i="2" a="1"/>
  <c r="Z465" i="2" s="1"/>
  <c r="Y465" i="2" a="1"/>
  <c r="Y465" i="2" s="1"/>
  <c r="AF520" i="2" a="1"/>
  <c r="AF520" i="2" s="1"/>
  <c r="S520" i="2" a="1"/>
  <c r="S520" i="2" s="1"/>
  <c r="AB167" i="2" a="1"/>
  <c r="AB167" i="2" s="1"/>
  <c r="AA167" i="2" a="1"/>
  <c r="AA167" i="2" s="1"/>
  <c r="S184" i="2" a="1"/>
  <c r="S184" i="2" s="1"/>
  <c r="AA217" i="2" a="1"/>
  <c r="AA217" i="2" s="1"/>
  <c r="Y217" i="2" a="1"/>
  <c r="Y217" i="2" s="1"/>
  <c r="AB241" i="2" a="1"/>
  <c r="AB241" i="2" s="1"/>
  <c r="Z250" i="2" a="1"/>
  <c r="Z250" i="2" s="1"/>
  <c r="AE269" i="2" a="1"/>
  <c r="AE269" i="2" s="1"/>
  <c r="AA330" i="2" a="1"/>
  <c r="AA330" i="2" s="1"/>
  <c r="AC542" i="2" a="1"/>
  <c r="AC542" i="2" s="1"/>
  <c r="S542" i="2" a="1"/>
  <c r="S542" i="2" s="1"/>
  <c r="AB660" i="2" a="1"/>
  <c r="AB660" i="2" s="1"/>
  <c r="V660" i="2" a="1"/>
  <c r="V660" i="2" s="1"/>
  <c r="AE670" i="2" a="1"/>
  <c r="AE670" i="2" s="1"/>
  <c r="AG670" i="2" a="1"/>
  <c r="AG670" i="2" s="1"/>
  <c r="AF670" i="2" a="1"/>
  <c r="AF670" i="2" s="1"/>
  <c r="Z670" i="2" a="1"/>
  <c r="Z670" i="2" s="1"/>
  <c r="Z100" i="2" a="1"/>
  <c r="Z100" i="2" s="1"/>
  <c r="W182" i="2" a="1"/>
  <c r="W182" i="2" s="1"/>
  <c r="AF191" i="2" a="1"/>
  <c r="AF191" i="2" s="1"/>
  <c r="AA275" i="2" a="1"/>
  <c r="AA275" i="2" s="1"/>
  <c r="AB275" i="2" a="1"/>
  <c r="AB275" i="2" s="1"/>
  <c r="AA332" i="2" a="1"/>
  <c r="AA332" i="2" s="1"/>
  <c r="AC100" i="2" a="1"/>
  <c r="AC100" i="2" s="1"/>
  <c r="S144" i="2" a="1"/>
  <c r="S144" i="2" s="1"/>
  <c r="AK146" i="2" a="1"/>
  <c r="AK146" i="2" s="1"/>
  <c r="AK190" i="2" a="1"/>
  <c r="AK190" i="2" s="1"/>
  <c r="Z326" i="2" a="1"/>
  <c r="Z326" i="2" s="1"/>
  <c r="AG326" i="2" a="1"/>
  <c r="AG326" i="2" s="1"/>
  <c r="AD332" i="2" a="1"/>
  <c r="AD332" i="2" s="1"/>
  <c r="T356" i="2" a="1"/>
  <c r="T356" i="2" s="1"/>
  <c r="AE414" i="2" a="1"/>
  <c r="AE414" i="2" s="1"/>
  <c r="AG488" i="2" a="1"/>
  <c r="AG488" i="2" s="1"/>
  <c r="AD488" i="2" a="1"/>
  <c r="AD488" i="2" s="1"/>
  <c r="AB127" i="2" a="1"/>
  <c r="AB127" i="2" s="1"/>
  <c r="AF189" i="2" a="1"/>
  <c r="AF189" i="2" s="1"/>
  <c r="Y189" i="2" a="1"/>
  <c r="Y189" i="2" s="1"/>
  <c r="AB434" i="2" a="1"/>
  <c r="AB434" i="2" s="1"/>
  <c r="Z106" i="2" a="1"/>
  <c r="Z106" i="2" s="1"/>
  <c r="AA107" i="2" a="1"/>
  <c r="AA107" i="2" s="1"/>
  <c r="AD107" i="2" a="1"/>
  <c r="AD107" i="2" s="1"/>
  <c r="Y17" i="2" a="1"/>
  <c r="Y17" i="2" s="1"/>
  <c r="AC29" i="2" a="1"/>
  <c r="AC29" i="2" s="1"/>
  <c r="AP50" i="2" a="1"/>
  <c r="AP50" i="2" s="1"/>
  <c r="AR50" i="2" s="1" a="1"/>
  <c r="AR50" i="2" s="1"/>
  <c r="AF88" i="2" a="1"/>
  <c r="AF88" i="2" s="1"/>
  <c r="AA103" i="2" a="1"/>
  <c r="AA103" i="2" s="1"/>
  <c r="AG106" i="2" a="1"/>
  <c r="AG106" i="2" s="1"/>
  <c r="Y133" i="2" a="1"/>
  <c r="Y133" i="2" s="1"/>
  <c r="Z145" i="2" a="1"/>
  <c r="Z145" i="2" s="1"/>
  <c r="AE155" i="2" a="1"/>
  <c r="AE155" i="2" s="1"/>
  <c r="V238" i="2" a="1"/>
  <c r="V238" i="2" s="1"/>
  <c r="AF277" i="2" a="1"/>
  <c r="AF277" i="2" s="1"/>
  <c r="V312" i="2" a="1"/>
  <c r="V312" i="2" s="1"/>
  <c r="AO324" i="2" a="1"/>
  <c r="AO324" i="2" s="1"/>
  <c r="AF325" i="2" a="1"/>
  <c r="AF325" i="2" s="1"/>
  <c r="T327" i="2" a="1"/>
  <c r="T327" i="2" s="1"/>
  <c r="AE346" i="2" a="1"/>
  <c r="AE346" i="2" s="1"/>
  <c r="AA407" i="2" a="1"/>
  <c r="AA407" i="2" s="1"/>
  <c r="AD434" i="2" a="1"/>
  <c r="AD434" i="2" s="1"/>
  <c r="AB488" i="2" a="1"/>
  <c r="AB488" i="2" s="1"/>
  <c r="AG517" i="2" a="1"/>
  <c r="AG517" i="2" s="1"/>
  <c r="AF517" i="2" a="1"/>
  <c r="AF517" i="2" s="1"/>
  <c r="AD517" i="2" a="1"/>
  <c r="AD517" i="2" s="1"/>
  <c r="AA517" i="2" a="1"/>
  <c r="AA517" i="2" s="1"/>
  <c r="Z517" i="2" a="1"/>
  <c r="Z517" i="2" s="1"/>
  <c r="AB622" i="2" a="1"/>
  <c r="AB622" i="2" s="1"/>
  <c r="AD622" i="2" a="1"/>
  <c r="AD622" i="2" s="1"/>
  <c r="T75" i="2" a="1"/>
  <c r="T75" i="2" s="1"/>
  <c r="AG103" i="2" a="1"/>
  <c r="AG103" i="2" s="1"/>
  <c r="AG107" i="2" a="1"/>
  <c r="AG107" i="2" s="1"/>
  <c r="AF285" i="2" a="1"/>
  <c r="AF285" i="2" s="1"/>
  <c r="AB285" i="2" a="1"/>
  <c r="AB285" i="2" s="1"/>
  <c r="AG327" i="2" a="1"/>
  <c r="AG327" i="2" s="1"/>
  <c r="AB327" i="2" a="1"/>
  <c r="AB327" i="2" s="1"/>
  <c r="AP389" i="2" a="1"/>
  <c r="AP389" i="2" s="1"/>
  <c r="AF409" i="2" a="1"/>
  <c r="AF409" i="2" s="1"/>
  <c r="Z432" i="2" a="1"/>
  <c r="Z432" i="2" s="1"/>
  <c r="AD432" i="2" a="1"/>
  <c r="AD432" i="2" s="1"/>
  <c r="AB432" i="2" a="1"/>
  <c r="AB432" i="2" s="1"/>
  <c r="AF499" i="2" a="1"/>
  <c r="AF499" i="2" s="1"/>
  <c r="AB499" i="2" a="1"/>
  <c r="AB499" i="2" s="1"/>
  <c r="X667" i="2" a="1"/>
  <c r="X667" i="2" s="1"/>
  <c r="W667" i="2" a="1"/>
  <c r="W667" i="2" s="1"/>
  <c r="V667" i="2" a="1"/>
  <c r="V667" i="2" s="1"/>
  <c r="S667" i="2" a="1"/>
  <c r="S667" i="2" s="1"/>
  <c r="W145" i="2" a="1"/>
  <c r="W145" i="2" s="1"/>
  <c r="W204" i="2" a="1"/>
  <c r="W204" i="2" s="1"/>
  <c r="V293" i="2" a="1"/>
  <c r="V293" i="2" s="1"/>
  <c r="S465" i="2" a="1"/>
  <c r="S465" i="2" s="1"/>
  <c r="W497" i="2" a="1"/>
  <c r="W497" i="2" s="1"/>
  <c r="Z556" i="2" a="1"/>
  <c r="Z556" i="2" s="1"/>
  <c r="X589" i="2" a="1"/>
  <c r="X589" i="2" s="1"/>
  <c r="X599" i="2" a="1"/>
  <c r="X599" i="2" s="1"/>
  <c r="AA659" i="2" a="1"/>
  <c r="AA659" i="2" s="1"/>
  <c r="X660" i="2" a="1"/>
  <c r="X660" i="2" s="1"/>
  <c r="AC670" i="2" a="1"/>
  <c r="AC670" i="2" s="1"/>
  <c r="AO485" i="2" a="1"/>
  <c r="AO485" i="2" s="1"/>
  <c r="S605" i="2" a="1"/>
  <c r="S605" i="2" s="1"/>
  <c r="AC613" i="2" a="1"/>
  <c r="AC613" i="2" s="1"/>
  <c r="S504" i="2" a="1"/>
  <c r="S504" i="2" s="1"/>
  <c r="AD506" i="2" a="1"/>
  <c r="AD506" i="2" s="1"/>
  <c r="V540" i="2" a="1"/>
  <c r="V540" i="2" s="1"/>
  <c r="X649" i="2" a="1"/>
  <c r="X649" i="2" s="1"/>
  <c r="Y477" i="2" a="1"/>
  <c r="Y477" i="2" s="1"/>
  <c r="AC478" i="2" a="1"/>
  <c r="AC478" i="2" s="1"/>
  <c r="AC503" i="2" a="1"/>
  <c r="AC503" i="2" s="1"/>
  <c r="AC429" i="2" a="1"/>
  <c r="AC429" i="2" s="1"/>
  <c r="Z477" i="2" a="1"/>
  <c r="Z477" i="2" s="1"/>
  <c r="V594" i="2" a="1"/>
  <c r="V594" i="2" s="1"/>
  <c r="T595" i="2" a="1"/>
  <c r="T595" i="2" s="1"/>
  <c r="Y638" i="2" a="1"/>
  <c r="Y638" i="2" s="1"/>
  <c r="AE663" i="2" a="1"/>
  <c r="AE663" i="2" s="1"/>
  <c r="Z667" i="2" a="1"/>
  <c r="Z667" i="2" s="1"/>
  <c r="AA671" i="2" a="1"/>
  <c r="AA671" i="2" s="1"/>
  <c r="AE83" i="2" a="1"/>
  <c r="AE83" i="2" s="1"/>
  <c r="AK97" i="2" a="1"/>
  <c r="AK97" i="2" s="1"/>
  <c r="AE111" i="2" a="1"/>
  <c r="AE111" i="2" s="1"/>
  <c r="AK180" i="2" a="1"/>
  <c r="AK180" i="2" s="1"/>
  <c r="V353" i="2" a="1"/>
  <c r="V353" i="2" s="1"/>
  <c r="V391" i="2" a="1"/>
  <c r="V391" i="2" s="1"/>
  <c r="AA442" i="2" a="1"/>
  <c r="AA442" i="2" s="1"/>
  <c r="T455" i="2" a="1"/>
  <c r="T455" i="2" s="1"/>
  <c r="Z473" i="2" a="1"/>
  <c r="Z473" i="2" s="1"/>
  <c r="AA477" i="2" a="1"/>
  <c r="AA477" i="2" s="1"/>
  <c r="W486" i="2" a="1"/>
  <c r="W486" i="2" s="1"/>
  <c r="AP527" i="2" a="1"/>
  <c r="AP527" i="2" s="1"/>
  <c r="AE592" i="2" a="1"/>
  <c r="AE592" i="2" s="1"/>
  <c r="AD595" i="2" a="1"/>
  <c r="AD595" i="2" s="1"/>
  <c r="AC608" i="2" a="1"/>
  <c r="AC608" i="2" s="1"/>
  <c r="Z664" i="2" a="1"/>
  <c r="Z664" i="2" s="1"/>
  <c r="AB667" i="2" a="1"/>
  <c r="AB667" i="2" s="1"/>
  <c r="AB671" i="2" a="1"/>
  <c r="AB671" i="2" s="1"/>
  <c r="Z659" i="2" a="1"/>
  <c r="Z659" i="2" s="1"/>
  <c r="T88" i="2" a="1"/>
  <c r="T88" i="2" s="1"/>
  <c r="AE88" i="2" a="1"/>
  <c r="AE88" i="2" s="1"/>
  <c r="AC88" i="2" a="1"/>
  <c r="AC88" i="2" s="1"/>
  <c r="AG6" i="2" a="1"/>
  <c r="AG6" i="2" s="1"/>
  <c r="V6" i="2" a="1"/>
  <c r="V6" i="2" s="1"/>
  <c r="AB6" i="2" a="1"/>
  <c r="AB6" i="2" s="1"/>
  <c r="AG93" i="2" a="1"/>
  <c r="AG93" i="2" s="1"/>
  <c r="AA93" i="2" a="1"/>
  <c r="AA93" i="2" s="1"/>
  <c r="AA4" i="2" a="1"/>
  <c r="AA4" i="2" s="1"/>
  <c r="AD4" i="2" a="1"/>
  <c r="AD4" i="2" s="1"/>
  <c r="AC4" i="2" a="1"/>
  <c r="AC4" i="2" s="1"/>
  <c r="AB4" i="2" a="1"/>
  <c r="AB4" i="2" s="1"/>
  <c r="V4" i="2" a="1"/>
  <c r="V4" i="2" s="1"/>
  <c r="AE254" i="2" a="1"/>
  <c r="AE254" i="2" s="1"/>
  <c r="AC254" i="2" a="1"/>
  <c r="AC254" i="2" s="1"/>
  <c r="AC33" i="2" a="1"/>
  <c r="AC33" i="2" s="1"/>
  <c r="AG33" i="2" a="1"/>
  <c r="AG33" i="2" s="1"/>
  <c r="AA33" i="2" a="1"/>
  <c r="AA33" i="2" s="1"/>
  <c r="AB123" i="2" a="1"/>
  <c r="AB123" i="2" s="1"/>
  <c r="Y123" i="2" a="1"/>
  <c r="Y123" i="2" s="1"/>
  <c r="Z123" i="2" a="1"/>
  <c r="Z123" i="2" s="1"/>
  <c r="AA123" i="2" a="1"/>
  <c r="AA123" i="2" s="1"/>
  <c r="AF84" i="2" a="1"/>
  <c r="AF84" i="2" s="1"/>
  <c r="AA84" i="2" a="1"/>
  <c r="AA84" i="2" s="1"/>
  <c r="AG300" i="2" a="1"/>
  <c r="AG300" i="2" s="1"/>
  <c r="AC300" i="2" a="1"/>
  <c r="AC300" i="2" s="1"/>
  <c r="Z300" i="2" a="1"/>
  <c r="Z300" i="2" s="1"/>
  <c r="W300" i="2" a="1"/>
  <c r="W300" i="2" s="1"/>
  <c r="AG244" i="2" a="1"/>
  <c r="AG244" i="2" s="1"/>
  <c r="S244" i="2" a="1"/>
  <c r="S244" i="2" s="1"/>
  <c r="AG304" i="2" a="1"/>
  <c r="AG304" i="2" s="1"/>
  <c r="AB304" i="2" a="1"/>
  <c r="AB304" i="2" s="1"/>
  <c r="AA304" i="2" a="1"/>
  <c r="AA304" i="2" s="1"/>
  <c r="Y304" i="2" a="1"/>
  <c r="Y304" i="2" s="1"/>
  <c r="AG398" i="2" a="1"/>
  <c r="AG398" i="2" s="1"/>
  <c r="AD398" i="2" a="1"/>
  <c r="AD398" i="2" s="1"/>
  <c r="Z398" i="2" a="1"/>
  <c r="Z398" i="2" s="1"/>
  <c r="AB495" i="2" a="1"/>
  <c r="AB495" i="2" s="1"/>
  <c r="Y495" i="2" a="1"/>
  <c r="Y495" i="2" s="1"/>
  <c r="AA657" i="2" a="1"/>
  <c r="AA657" i="2" s="1"/>
  <c r="AG657" i="2" a="1"/>
  <c r="AG657" i="2" s="1"/>
  <c r="AD657" i="2" a="1"/>
  <c r="AD657" i="2" s="1"/>
  <c r="AB657" i="2" a="1"/>
  <c r="AB657" i="2" s="1"/>
  <c r="Z657" i="2" a="1"/>
  <c r="Z657" i="2" s="1"/>
  <c r="T657" i="2" a="1"/>
  <c r="T657" i="2" s="1"/>
  <c r="AF287" i="2" a="1"/>
  <c r="AF287" i="2" s="1"/>
  <c r="AB287" i="2" a="1"/>
  <c r="AB287" i="2" s="1"/>
  <c r="AA287" i="2" a="1"/>
  <c r="AA287" i="2" s="1"/>
  <c r="Z287" i="2" a="1"/>
  <c r="Z287" i="2" s="1"/>
  <c r="AC140" i="2" a="1"/>
  <c r="AC140" i="2" s="1"/>
  <c r="AE152" i="2" a="1"/>
  <c r="AE152" i="2" s="1"/>
  <c r="AC165" i="2" a="1"/>
  <c r="AC165" i="2" s="1"/>
  <c r="AA176" i="2" a="1"/>
  <c r="AA176" i="2" s="1"/>
  <c r="Z186" i="2" a="1"/>
  <c r="Z186" i="2" s="1"/>
  <c r="AG207" i="2" a="1"/>
  <c r="AG207" i="2" s="1"/>
  <c r="Z207" i="2" a="1"/>
  <c r="Z207" i="2" s="1"/>
  <c r="W229" i="2" a="1"/>
  <c r="W229" i="2" s="1"/>
  <c r="X323" i="2" a="1"/>
  <c r="X323" i="2" s="1"/>
  <c r="W83" i="2" a="1"/>
  <c r="W83" i="2" s="1"/>
  <c r="S93" i="2" a="1"/>
  <c r="S93" i="2" s="1"/>
  <c r="Z17" i="2" a="1"/>
  <c r="Z17" i="2" s="1"/>
  <c r="W36" i="2" a="1"/>
  <c r="W36" i="2" s="1"/>
  <c r="AA55" i="2" a="1"/>
  <c r="AA55" i="2" s="1"/>
  <c r="AE92" i="2" a="1"/>
  <c r="AE92" i="2" s="1"/>
  <c r="X102" i="2" a="1"/>
  <c r="X102" i="2" s="1"/>
  <c r="AN108" i="2" a="1"/>
  <c r="AN108" i="2" s="1"/>
  <c r="X123" i="2" a="1"/>
  <c r="X123" i="2" s="1"/>
  <c r="AG133" i="2" a="1"/>
  <c r="AG133" i="2" s="1"/>
  <c r="AF140" i="2" a="1"/>
  <c r="AF140" i="2" s="1"/>
  <c r="AC141" i="2" a="1"/>
  <c r="AC141" i="2" s="1"/>
  <c r="AE142" i="2" a="1"/>
  <c r="AE142" i="2" s="1"/>
  <c r="AC145" i="2" a="1"/>
  <c r="AC145" i="2" s="1"/>
  <c r="S145" i="2" a="1"/>
  <c r="S145" i="2" s="1"/>
  <c r="AE167" i="2" a="1"/>
  <c r="AE167" i="2" s="1"/>
  <c r="T171" i="2" a="1"/>
  <c r="T171" i="2" s="1"/>
  <c r="T182" i="2" a="1"/>
  <c r="T182" i="2" s="1"/>
  <c r="S200" i="2" a="1"/>
  <c r="S200" i="2" s="1"/>
  <c r="Z228" i="2" a="1"/>
  <c r="Z228" i="2" s="1"/>
  <c r="AD228" i="2" a="1"/>
  <c r="AD228" i="2" s="1"/>
  <c r="Y228" i="2" a="1"/>
  <c r="Y228" i="2" s="1"/>
  <c r="Y244" i="2" a="1"/>
  <c r="Y244" i="2" s="1"/>
  <c r="AE250" i="2" a="1"/>
  <c r="AE250" i="2" s="1"/>
  <c r="AD482" i="2" a="1"/>
  <c r="AD482" i="2" s="1"/>
  <c r="AF482" i="2" a="1"/>
  <c r="AF482" i="2" s="1"/>
  <c r="AE221" i="2" a="1"/>
  <c r="AE221" i="2" s="1"/>
  <c r="X221" i="2" a="1"/>
  <c r="X221" i="2" s="1"/>
  <c r="W56" i="2" a="1"/>
  <c r="W56" i="2" s="1"/>
  <c r="AA17" i="2" a="1"/>
  <c r="AA17" i="2" s="1"/>
  <c r="AA101" i="2" a="1"/>
  <c r="AA101" i="2" s="1"/>
  <c r="T106" i="2" a="1"/>
  <c r="T106" i="2" s="1"/>
  <c r="AG138" i="2" a="1"/>
  <c r="AG138" i="2" s="1"/>
  <c r="AB138" i="2" a="1"/>
  <c r="AB138" i="2" s="1"/>
  <c r="AB142" i="2" a="1"/>
  <c r="AB142" i="2" s="1"/>
  <c r="Y142" i="2" a="1"/>
  <c r="Y142" i="2" s="1"/>
  <c r="AA184" i="2" a="1"/>
  <c r="AA184" i="2" s="1"/>
  <c r="AG331" i="2" a="1"/>
  <c r="AG331" i="2" s="1"/>
  <c r="AF331" i="2" a="1"/>
  <c r="AF331" i="2" s="1"/>
  <c r="AD331" i="2" a="1"/>
  <c r="AD331" i="2" s="1"/>
  <c r="AB331" i="2" a="1"/>
  <c r="AB331" i="2" s="1"/>
  <c r="AA331" i="2" a="1"/>
  <c r="AA331" i="2" s="1"/>
  <c r="Z340" i="2" a="1"/>
  <c r="Z340" i="2" s="1"/>
  <c r="AE340" i="2" a="1"/>
  <c r="AE340" i="2" s="1"/>
  <c r="AE341" i="2" a="1"/>
  <c r="AE341" i="2" s="1"/>
  <c r="Z341" i="2" a="1"/>
  <c r="Z341" i="2" s="1"/>
  <c r="T341" i="2" a="1"/>
  <c r="T341" i="2" s="1"/>
  <c r="AD358" i="2" a="1"/>
  <c r="AD358" i="2" s="1"/>
  <c r="Y358" i="2" a="1"/>
  <c r="Y358" i="2" s="1"/>
  <c r="X481" i="2" a="1"/>
  <c r="X481" i="2" s="1"/>
  <c r="Z481" i="2" a="1"/>
  <c r="Z481" i="2" s="1"/>
  <c r="Y604" i="2" a="1"/>
  <c r="Y604" i="2" s="1"/>
  <c r="AF604" i="2" a="1"/>
  <c r="AF604" i="2" s="1"/>
  <c r="Z604" i="2" a="1"/>
  <c r="Z604" i="2" s="1"/>
  <c r="AG231" i="2" a="1"/>
  <c r="AG231" i="2" s="1"/>
  <c r="X231" i="2" a="1"/>
  <c r="X231" i="2" s="1"/>
  <c r="AC6" i="2" a="1"/>
  <c r="AC6" i="2" s="1"/>
  <c r="T29" i="2" a="1"/>
  <c r="T29" i="2" s="1"/>
  <c r="AB55" i="2" a="1"/>
  <c r="AB55" i="2" s="1"/>
  <c r="AE2" i="2" a="1"/>
  <c r="AE2" i="2" s="1"/>
  <c r="AB17" i="2" a="1"/>
  <c r="AB17" i="2" s="1"/>
  <c r="AB29" i="2" a="1"/>
  <c r="AB29" i="2" s="1"/>
  <c r="Y31" i="2" a="1"/>
  <c r="Y31" i="2" s="1"/>
  <c r="AF55" i="2" a="1"/>
  <c r="AF55" i="2" s="1"/>
  <c r="AK80" i="2" a="1"/>
  <c r="AK80" i="2" s="1"/>
  <c r="AA102" i="2" a="1"/>
  <c r="AA102" i="2" s="1"/>
  <c r="X106" i="2" a="1"/>
  <c r="X106" i="2" s="1"/>
  <c r="Y141" i="2" a="1"/>
  <c r="Y141" i="2" s="1"/>
  <c r="Z165" i="2" a="1"/>
  <c r="Z165" i="2" s="1"/>
  <c r="AP170" i="2" a="1"/>
  <c r="AP170" i="2" s="1"/>
  <c r="AR170" i="2" s="1" a="1"/>
  <c r="AR170" i="2" s="1"/>
  <c r="AO183" i="2" a="1"/>
  <c r="AO183" i="2" s="1"/>
  <c r="AD184" i="2" a="1"/>
  <c r="AD184" i="2" s="1"/>
  <c r="AB200" i="2" a="1"/>
  <c r="AB200" i="2" s="1"/>
  <c r="X229" i="2" a="1"/>
  <c r="X229" i="2" s="1"/>
  <c r="Y248" i="2" a="1"/>
  <c r="Y248" i="2" s="1"/>
  <c r="Z248" i="2" a="1"/>
  <c r="Z248" i="2" s="1"/>
  <c r="AF313" i="2" a="1"/>
  <c r="AF313" i="2" s="1"/>
  <c r="AB313" i="2" a="1"/>
  <c r="AB313" i="2" s="1"/>
  <c r="Z482" i="2" a="1"/>
  <c r="Z482" i="2" s="1"/>
  <c r="V611" i="2" a="1"/>
  <c r="V611" i="2" s="1"/>
  <c r="V10" i="2" a="1"/>
  <c r="V10" i="2" s="1"/>
  <c r="AF29" i="2" a="1"/>
  <c r="AF29" i="2" s="1"/>
  <c r="AA31" i="2" a="1"/>
  <c r="AA31" i="2" s="1"/>
  <c r="AN80" i="2" a="1"/>
  <c r="AN80" i="2" s="1"/>
  <c r="AF92" i="2" a="1"/>
  <c r="AF92" i="2" s="1"/>
  <c r="Y106" i="2" a="1"/>
  <c r="Y106" i="2" s="1"/>
  <c r="X114" i="2" a="1"/>
  <c r="X114" i="2" s="1"/>
  <c r="T121" i="2" a="1"/>
  <c r="T121" i="2" s="1"/>
  <c r="W127" i="2" a="1"/>
  <c r="W127" i="2" s="1"/>
  <c r="V138" i="2" a="1"/>
  <c r="V138" i="2" s="1"/>
  <c r="V142" i="2" a="1"/>
  <c r="V142" i="2" s="1"/>
  <c r="V145" i="2" a="1"/>
  <c r="V145" i="2" s="1"/>
  <c r="AA165" i="2" a="1"/>
  <c r="AA165" i="2" s="1"/>
  <c r="AG234" i="2" a="1"/>
  <c r="AG234" i="2" s="1"/>
  <c r="AC234" i="2" a="1"/>
  <c r="AC234" i="2" s="1"/>
  <c r="AA234" i="2" a="1"/>
  <c r="AA234" i="2" s="1"/>
  <c r="Y234" i="2" a="1"/>
  <c r="Y234" i="2" s="1"/>
  <c r="Y250" i="2" a="1"/>
  <c r="Y250" i="2" s="1"/>
  <c r="AF279" i="2" a="1"/>
  <c r="AF279" i="2" s="1"/>
  <c r="AB279" i="2" a="1"/>
  <c r="AB279" i="2" s="1"/>
  <c r="AA279" i="2" a="1"/>
  <c r="AA279" i="2" s="1"/>
  <c r="Z279" i="2" a="1"/>
  <c r="Z279" i="2" s="1"/>
  <c r="Z331" i="2" a="1"/>
  <c r="Z331" i="2" s="1"/>
  <c r="W481" i="2" a="1"/>
  <c r="W481" i="2" s="1"/>
  <c r="T159" i="2" a="1"/>
  <c r="T159" i="2" s="1"/>
  <c r="AD165" i="2" a="1"/>
  <c r="AD165" i="2" s="1"/>
  <c r="AE198" i="2" a="1"/>
  <c r="AE198" i="2" s="1"/>
  <c r="AA198" i="2" a="1"/>
  <c r="AA198" i="2" s="1"/>
  <c r="T198" i="2" a="1"/>
  <c r="T198" i="2" s="1"/>
  <c r="S198" i="2" a="1"/>
  <c r="S198" i="2" s="1"/>
  <c r="AA412" i="2" a="1"/>
  <c r="AA412" i="2" s="1"/>
  <c r="Y412" i="2" a="1"/>
  <c r="Y412" i="2" s="1"/>
  <c r="Z458" i="2" a="1"/>
  <c r="Z458" i="2" s="1"/>
  <c r="Y458" i="2" a="1"/>
  <c r="Y458" i="2" s="1"/>
  <c r="Z133" i="2" a="1"/>
  <c r="Z133" i="2" s="1"/>
  <c r="AB133" i="2" a="1"/>
  <c r="AB133" i="2" s="1"/>
  <c r="S23" i="2" a="1"/>
  <c r="S23" i="2" s="1"/>
  <c r="AG31" i="2" a="1"/>
  <c r="AG31" i="2" s="1"/>
  <c r="AD36" i="2" a="1"/>
  <c r="AD36" i="2" s="1"/>
  <c r="X44" i="2" a="1"/>
  <c r="X44" i="2" s="1"/>
  <c r="W61" i="2" a="1"/>
  <c r="W61" i="2" s="1"/>
  <c r="AO77" i="2" a="1"/>
  <c r="AO77" i="2" s="1"/>
  <c r="AC106" i="2" a="1"/>
  <c r="AC106" i="2" s="1"/>
  <c r="Z138" i="2" a="1"/>
  <c r="Z138" i="2" s="1"/>
  <c r="Z142" i="2" a="1"/>
  <c r="Z142" i="2" s="1"/>
  <c r="W177" i="2" a="1"/>
  <c r="W177" i="2" s="1"/>
  <c r="X197" i="2" a="1"/>
  <c r="X197" i="2" s="1"/>
  <c r="AA236" i="2" a="1"/>
  <c r="AA236" i="2" s="1"/>
  <c r="W236" i="2" a="1"/>
  <c r="W236" i="2" s="1"/>
  <c r="AB401" i="2" a="1"/>
  <c r="AB401" i="2" s="1"/>
  <c r="V401" i="2" a="1"/>
  <c r="V401" i="2" s="1"/>
  <c r="AG36" i="2" a="1"/>
  <c r="AG36" i="2" s="1"/>
  <c r="AE42" i="2" a="1"/>
  <c r="AE42" i="2" s="1"/>
  <c r="AP47" i="2" a="1"/>
  <c r="AP47" i="2" s="1"/>
  <c r="W60" i="2" a="1"/>
  <c r="W60" i="2" s="1"/>
  <c r="W76" i="2" a="1"/>
  <c r="W76" i="2" s="1"/>
  <c r="AE106" i="2" a="1"/>
  <c r="AE106" i="2" s="1"/>
  <c r="T134" i="2" a="1"/>
  <c r="T134" i="2" s="1"/>
  <c r="S186" i="2" a="1"/>
  <c r="S186" i="2" s="1"/>
  <c r="AC221" i="2" a="1"/>
  <c r="AC221" i="2" s="1"/>
  <c r="AC222" i="2" a="1"/>
  <c r="AC222" i="2" s="1"/>
  <c r="W222" i="2" a="1"/>
  <c r="W222" i="2" s="1"/>
  <c r="AE440" i="2" a="1"/>
  <c r="AE440" i="2" s="1"/>
  <c r="S440" i="2" a="1"/>
  <c r="S440" i="2" s="1"/>
  <c r="AF457" i="2" a="1"/>
  <c r="AF457" i="2" s="1"/>
  <c r="AA457" i="2" a="1"/>
  <c r="AA457" i="2" s="1"/>
  <c r="AD574" i="2" a="1"/>
  <c r="AD574" i="2" s="1"/>
  <c r="Z574" i="2" a="1"/>
  <c r="Z574" i="2" s="1"/>
  <c r="AP324" i="2" a="1"/>
  <c r="AP324" i="2" s="1"/>
  <c r="AF326" i="2" a="1"/>
  <c r="AF326" i="2" s="1"/>
  <c r="AA343" i="2" a="1"/>
  <c r="AA343" i="2" s="1"/>
  <c r="T343" i="2" a="1"/>
  <c r="T343" i="2" s="1"/>
  <c r="AB645" i="2" a="1"/>
  <c r="AB645" i="2" s="1"/>
  <c r="AF645" i="2" a="1"/>
  <c r="AF645" i="2" s="1"/>
  <c r="AE645" i="2" a="1"/>
  <c r="AE645" i="2" s="1"/>
  <c r="AD645" i="2" a="1"/>
  <c r="AD645" i="2" s="1"/>
  <c r="V645" i="2" a="1"/>
  <c r="V645" i="2" s="1"/>
  <c r="AG656" i="2" a="1"/>
  <c r="AG656" i="2" s="1"/>
  <c r="AA656" i="2" a="1"/>
  <c r="AA656" i="2" s="1"/>
  <c r="Z656" i="2" a="1"/>
  <c r="Z656" i="2" s="1"/>
  <c r="AF393" i="2" a="1"/>
  <c r="AF393" i="2" s="1"/>
  <c r="AD393" i="2" a="1"/>
  <c r="AD393" i="2" s="1"/>
  <c r="AF472" i="2" a="1"/>
  <c r="AF472" i="2" s="1"/>
  <c r="AB472" i="2" a="1"/>
  <c r="AB472" i="2" s="1"/>
  <c r="AA472" i="2" a="1"/>
  <c r="AA472" i="2" s="1"/>
  <c r="Z472" i="2" a="1"/>
  <c r="Z472" i="2" s="1"/>
  <c r="Y472" i="2" a="1"/>
  <c r="Y472" i="2" s="1"/>
  <c r="AG491" i="2" a="1"/>
  <c r="AG491" i="2" s="1"/>
  <c r="X491" i="2" a="1"/>
  <c r="X491" i="2" s="1"/>
  <c r="AB596" i="2" a="1"/>
  <c r="AB596" i="2" s="1"/>
  <c r="AF596" i="2" a="1"/>
  <c r="AF596" i="2" s="1"/>
  <c r="Y609" i="2" a="1"/>
  <c r="Y609" i="2" s="1"/>
  <c r="AF609" i="2" a="1"/>
  <c r="AF609" i="2" s="1"/>
  <c r="Z609" i="2" a="1"/>
  <c r="Z609" i="2" s="1"/>
  <c r="AE620" i="2" a="1"/>
  <c r="AE620" i="2" s="1"/>
  <c r="Y669" i="2" a="1"/>
  <c r="Y669" i="2" s="1"/>
  <c r="AG669" i="2" a="1"/>
  <c r="AG669" i="2" s="1"/>
  <c r="AF669" i="2" a="1"/>
  <c r="AF669" i="2" s="1"/>
  <c r="AD669" i="2" a="1"/>
  <c r="AD669" i="2" s="1"/>
  <c r="AB669" i="2" a="1"/>
  <c r="AB669" i="2" s="1"/>
  <c r="AA669" i="2" a="1"/>
  <c r="AA669" i="2" s="1"/>
  <c r="Z669" i="2" a="1"/>
  <c r="Z669" i="2" s="1"/>
  <c r="W194" i="2" a="1"/>
  <c r="W194" i="2" s="1"/>
  <c r="AP199" i="2" a="1"/>
  <c r="AP199" i="2" s="1"/>
  <c r="AE207" i="2" a="1"/>
  <c r="AE207" i="2" s="1"/>
  <c r="X216" i="2" a="1"/>
  <c r="X216" i="2" s="1"/>
  <c r="W223" i="2" a="1"/>
  <c r="W223" i="2" s="1"/>
  <c r="X230" i="2" a="1"/>
  <c r="X230" i="2" s="1"/>
  <c r="Z273" i="2" a="1"/>
  <c r="Z273" i="2" s="1"/>
  <c r="AA318" i="2" a="1"/>
  <c r="AA318" i="2" s="1"/>
  <c r="AD325" i="2" a="1"/>
  <c r="AD325" i="2" s="1"/>
  <c r="V326" i="2" a="1"/>
  <c r="V326" i="2" s="1"/>
  <c r="Y343" i="2" a="1"/>
  <c r="Y343" i="2" s="1"/>
  <c r="AF440" i="2" a="1"/>
  <c r="AF440" i="2" s="1"/>
  <c r="AD440" i="2" a="1"/>
  <c r="AD440" i="2" s="1"/>
  <c r="Z440" i="2" a="1"/>
  <c r="Z440" i="2" s="1"/>
  <c r="Y440" i="2" a="1"/>
  <c r="Y440" i="2" s="1"/>
  <c r="X454" i="2" a="1"/>
  <c r="X454" i="2" s="1"/>
  <c r="AD454" i="2" a="1"/>
  <c r="AD454" i="2" s="1"/>
  <c r="AD463" i="2" a="1"/>
  <c r="AD463" i="2" s="1"/>
  <c r="AA463" i="2" a="1"/>
  <c r="AA463" i="2" s="1"/>
  <c r="Z463" i="2" a="1"/>
  <c r="Z463" i="2" s="1"/>
  <c r="S463" i="2" a="1"/>
  <c r="S463" i="2" s="1"/>
  <c r="AC471" i="2" a="1"/>
  <c r="AC471" i="2" s="1"/>
  <c r="AC547" i="2" a="1"/>
  <c r="AC547" i="2" s="1"/>
  <c r="AD547" i="2" a="1"/>
  <c r="AD547" i="2" s="1"/>
  <c r="AB547" i="2" a="1"/>
  <c r="AB547" i="2" s="1"/>
  <c r="AA547" i="2" a="1"/>
  <c r="AA547" i="2" s="1"/>
  <c r="Z547" i="2" a="1"/>
  <c r="Z547" i="2" s="1"/>
  <c r="S547" i="2" a="1"/>
  <c r="S547" i="2" s="1"/>
  <c r="AG655" i="2" a="1"/>
  <c r="AG655" i="2" s="1"/>
  <c r="AB655" i="2" a="1"/>
  <c r="AB655" i="2" s="1"/>
  <c r="X668" i="2" a="1"/>
  <c r="X668" i="2" s="1"/>
  <c r="W203" i="2" a="1"/>
  <c r="W203" i="2" s="1"/>
  <c r="Z241" i="2" a="1"/>
  <c r="Z241" i="2" s="1"/>
  <c r="S270" i="2" a="1"/>
  <c r="S270" i="2" s="1"/>
  <c r="AA273" i="2" a="1"/>
  <c r="AA273" i="2" s="1"/>
  <c r="Z281" i="2" a="1"/>
  <c r="Z281" i="2" s="1"/>
  <c r="AF316" i="2" a="1"/>
  <c r="AF316" i="2" s="1"/>
  <c r="AD384" i="2" a="1"/>
  <c r="AD384" i="2" s="1"/>
  <c r="Y470" i="2" a="1"/>
  <c r="Y470" i="2" s="1"/>
  <c r="Z470" i="2" a="1"/>
  <c r="Z470" i="2" s="1"/>
  <c r="Z478" i="2" a="1"/>
  <c r="Z478" i="2" s="1"/>
  <c r="T332" i="2" a="1"/>
  <c r="T332" i="2" s="1"/>
  <c r="AF453" i="2" a="1"/>
  <c r="AF453" i="2" s="1"/>
  <c r="Y453" i="2" a="1"/>
  <c r="Y453" i="2" s="1"/>
  <c r="S453" i="2" a="1"/>
  <c r="S453" i="2" s="1"/>
  <c r="AF462" i="2" a="1"/>
  <c r="AF462" i="2" s="1"/>
  <c r="AC462" i="2" a="1"/>
  <c r="AC462" i="2" s="1"/>
  <c r="Y462" i="2" a="1"/>
  <c r="Y462" i="2" s="1"/>
  <c r="AO576" i="2" a="1"/>
  <c r="AO576" i="2" s="1"/>
  <c r="AN576" i="2" a="1"/>
  <c r="AN576" i="2" s="1"/>
  <c r="T592" i="2" a="1"/>
  <c r="T592" i="2" s="1"/>
  <c r="AE120" i="2" a="1"/>
  <c r="AE120" i="2" s="1"/>
  <c r="W140" i="2" a="1"/>
  <c r="W140" i="2" s="1"/>
  <c r="S181" i="2" a="1"/>
  <c r="S181" i="2" s="1"/>
  <c r="Y218" i="2" a="1"/>
  <c r="Y218" i="2" s="1"/>
  <c r="Y223" i="2" a="1"/>
  <c r="Y223" i="2" s="1"/>
  <c r="AD241" i="2" a="1"/>
  <c r="AD241" i="2" s="1"/>
  <c r="W270" i="2" a="1"/>
  <c r="W270" i="2" s="1"/>
  <c r="Z275" i="2" a="1"/>
  <c r="Z275" i="2" s="1"/>
  <c r="AB281" i="2" a="1"/>
  <c r="AB281" i="2" s="1"/>
  <c r="Z283" i="2" a="1"/>
  <c r="Z283" i="2" s="1"/>
  <c r="AA327" i="2" a="1"/>
  <c r="AA327" i="2" s="1"/>
  <c r="V328" i="2" a="1"/>
  <c r="V328" i="2" s="1"/>
  <c r="AB330" i="2" a="1"/>
  <c r="AB330" i="2" s="1"/>
  <c r="V347" i="2" a="1"/>
  <c r="V347" i="2" s="1"/>
  <c r="S357" i="2" a="1"/>
  <c r="S357" i="2" s="1"/>
  <c r="T359" i="2" a="1"/>
  <c r="T359" i="2" s="1"/>
  <c r="AC448" i="2" a="1"/>
  <c r="AC448" i="2" s="1"/>
  <c r="V459" i="2" a="1"/>
  <c r="V459" i="2" s="1"/>
  <c r="AB486" i="2" a="1"/>
  <c r="AB486" i="2" s="1"/>
  <c r="AG486" i="2" a="1"/>
  <c r="AG486" i="2" s="1"/>
  <c r="AD486" i="2" a="1"/>
  <c r="AD486" i="2" s="1"/>
  <c r="AE504" i="2" a="1"/>
  <c r="AE504" i="2" s="1"/>
  <c r="AB511" i="2" a="1"/>
  <c r="AB511" i="2" s="1"/>
  <c r="AA511" i="2" a="1"/>
  <c r="AA511" i="2" s="1"/>
  <c r="AM576" i="2" a="1"/>
  <c r="AM576" i="2" s="1"/>
  <c r="AE166" i="2" a="1"/>
  <c r="AE166" i="2" s="1"/>
  <c r="AE189" i="2" a="1"/>
  <c r="AE189" i="2" s="1"/>
  <c r="AD218" i="2" a="1"/>
  <c r="AD218" i="2" s="1"/>
  <c r="S254" i="2" a="1"/>
  <c r="S254" i="2" s="1"/>
  <c r="X270" i="2" a="1"/>
  <c r="X270" i="2" s="1"/>
  <c r="V331" i="2" a="1"/>
  <c r="V331" i="2" s="1"/>
  <c r="X370" i="2" a="1"/>
  <c r="X370" i="2" s="1"/>
  <c r="AK377" i="2" a="1"/>
  <c r="AK377" i="2" s="1"/>
  <c r="Z380" i="2" a="1"/>
  <c r="Z380" i="2" s="1"/>
  <c r="AA388" i="2" a="1"/>
  <c r="AA388" i="2" s="1"/>
  <c r="W388" i="2" a="1"/>
  <c r="W388" i="2" s="1"/>
  <c r="S398" i="2" a="1"/>
  <c r="S398" i="2" s="1"/>
  <c r="AF402" i="2" a="1"/>
  <c r="AF402" i="2" s="1"/>
  <c r="AG402" i="2" a="1"/>
  <c r="AG402" i="2" s="1"/>
  <c r="AA402" i="2" a="1"/>
  <c r="AA402" i="2" s="1"/>
  <c r="AG460" i="2" a="1"/>
  <c r="AG460" i="2" s="1"/>
  <c r="AA460" i="2" a="1"/>
  <c r="AA460" i="2" s="1"/>
  <c r="T460" i="2" a="1"/>
  <c r="T460" i="2" s="1"/>
  <c r="AO510" i="2" a="1"/>
  <c r="AO510" i="2" s="1"/>
  <c r="V545" i="2" a="1"/>
  <c r="V545" i="2" s="1"/>
  <c r="AB545" i="2" a="1"/>
  <c r="AB545" i="2" s="1"/>
  <c r="Y545" i="2" a="1"/>
  <c r="Y545" i="2" s="1"/>
  <c r="S574" i="2" a="1"/>
  <c r="S574" i="2" s="1"/>
  <c r="AA647" i="2" a="1"/>
  <c r="AA647" i="2" s="1"/>
  <c r="AG647" i="2" a="1"/>
  <c r="AG647" i="2" s="1"/>
  <c r="AD647" i="2" a="1"/>
  <c r="AD647" i="2" s="1"/>
  <c r="AC647" i="2" a="1"/>
  <c r="AC647" i="2" s="1"/>
  <c r="S647" i="2" a="1"/>
  <c r="S647" i="2" s="1"/>
  <c r="AF452" i="2" a="1"/>
  <c r="AF452" i="2" s="1"/>
  <c r="AE499" i="2" a="1"/>
  <c r="AE499" i="2" s="1"/>
  <c r="Z522" i="2" a="1"/>
  <c r="Z522" i="2" s="1"/>
  <c r="AC529" i="2" a="1"/>
  <c r="AC529" i="2" s="1"/>
  <c r="Y542" i="2" a="1"/>
  <c r="Y542" i="2" s="1"/>
  <c r="AE571" i="2" a="1"/>
  <c r="AE571" i="2" s="1"/>
  <c r="AE572" i="2" a="1"/>
  <c r="AE572" i="2" s="1"/>
  <c r="AC638" i="2" a="1"/>
  <c r="AC638" i="2" s="1"/>
  <c r="AE653" i="2" a="1"/>
  <c r="AE653" i="2" s="1"/>
  <c r="AC660" i="2" a="1"/>
  <c r="AC660" i="2" s="1"/>
  <c r="Z662" i="2" a="1"/>
  <c r="Z662" i="2" s="1"/>
  <c r="AB664" i="2" a="1"/>
  <c r="AB664" i="2" s="1"/>
  <c r="V420" i="2" a="1"/>
  <c r="V420" i="2" s="1"/>
  <c r="V464" i="2" a="1"/>
  <c r="V464" i="2" s="1"/>
  <c r="AD522" i="2" a="1"/>
  <c r="AD522" i="2" s="1"/>
  <c r="Z542" i="2" a="1"/>
  <c r="Z542" i="2" s="1"/>
  <c r="X569" i="2" a="1"/>
  <c r="X569" i="2" s="1"/>
  <c r="T621" i="2" a="1"/>
  <c r="T621" i="2" s="1"/>
  <c r="X659" i="2" a="1"/>
  <c r="X659" i="2" s="1"/>
  <c r="AD660" i="2" a="1"/>
  <c r="AD660" i="2" s="1"/>
  <c r="AC667" i="2" a="1"/>
  <c r="AC667" i="2" s="1"/>
  <c r="AE671" i="2" a="1"/>
  <c r="AE671" i="2" s="1"/>
  <c r="W432" i="2" a="1"/>
  <c r="W432" i="2" s="1"/>
  <c r="X438" i="2" a="1"/>
  <c r="X438" i="2" s="1"/>
  <c r="AF522" i="2" a="1"/>
  <c r="AF522" i="2" s="1"/>
  <c r="AC590" i="2" a="1"/>
  <c r="AC590" i="2" s="1"/>
  <c r="X600" i="2" a="1"/>
  <c r="X600" i="2" s="1"/>
  <c r="T612" i="2" a="1"/>
  <c r="T612" i="2" s="1"/>
  <c r="AE617" i="2" a="1"/>
  <c r="AE617" i="2" s="1"/>
  <c r="X631" i="2" a="1"/>
  <c r="X631" i="2" s="1"/>
  <c r="Z634" i="2" a="1"/>
  <c r="Z634" i="2" s="1"/>
  <c r="AG644" i="2" a="1"/>
  <c r="AG644" i="2" s="1"/>
  <c r="AA649" i="2" a="1"/>
  <c r="AA649" i="2" s="1"/>
  <c r="V650" i="2" a="1"/>
  <c r="V650" i="2" s="1"/>
  <c r="AG660" i="2" a="1"/>
  <c r="AG660" i="2" s="1"/>
  <c r="AD667" i="2" a="1"/>
  <c r="AD667" i="2" s="1"/>
  <c r="AC671" i="2" a="1"/>
  <c r="AC671" i="2" s="1"/>
  <c r="AC452" i="2" a="1"/>
  <c r="AC452" i="2" s="1"/>
  <c r="AC515" i="2" a="1"/>
  <c r="AC515" i="2" s="1"/>
  <c r="Y612" i="2" a="1"/>
  <c r="Y612" i="2" s="1"/>
  <c r="AG649" i="2" a="1"/>
  <c r="AG649" i="2" s="1"/>
  <c r="Z650" i="2" a="1"/>
  <c r="Z650" i="2" s="1"/>
  <c r="Z499" i="2" a="1"/>
  <c r="Z499" i="2" s="1"/>
  <c r="V500" i="2" a="1"/>
  <c r="V500" i="2" s="1"/>
  <c r="AC501" i="2" a="1"/>
  <c r="AC501" i="2" s="1"/>
  <c r="Y517" i="2" a="1"/>
  <c r="Y517" i="2" s="1"/>
  <c r="S518" i="2" a="1"/>
  <c r="S518" i="2" s="1"/>
  <c r="AC585" i="2" a="1"/>
  <c r="AC585" i="2" s="1"/>
  <c r="AB621" i="2" a="1"/>
  <c r="AB621" i="2" s="1"/>
  <c r="AC623" i="2" a="1"/>
  <c r="AC623" i="2" s="1"/>
  <c r="X643" i="2" a="1"/>
  <c r="X643" i="2" s="1"/>
  <c r="AB650" i="2" a="1"/>
  <c r="AB650" i="2" s="1"/>
  <c r="S659" i="2" a="1"/>
  <c r="S659" i="2" s="1"/>
  <c r="Y488" i="2" a="1"/>
  <c r="Y488" i="2" s="1"/>
  <c r="AP489" i="2" a="1"/>
  <c r="AP489" i="2" s="1"/>
  <c r="S533" i="2" a="1"/>
  <c r="S533" i="2" s="1"/>
  <c r="AP535" i="2" a="1"/>
  <c r="AP535" i="2" s="1"/>
  <c r="F86" i="3" a="1"/>
  <c r="F86" i="3" s="1"/>
  <c r="L463" i="3" a="1"/>
  <c r="L463" i="3" s="1"/>
  <c r="F173" i="3" a="1"/>
  <c r="F173" i="3" s="1"/>
  <c r="V37" i="2" a="1"/>
  <c r="V37" i="2" s="1"/>
  <c r="T37" i="2" a="1"/>
  <c r="T37" i="2" s="1"/>
  <c r="W55" i="2" a="1"/>
  <c r="W55" i="2" s="1"/>
  <c r="T55" i="2" a="1"/>
  <c r="T55" i="2" s="1"/>
  <c r="AP26" i="2" a="1"/>
  <c r="AP26" i="2" s="1"/>
  <c r="AR26" i="2" s="1" a="1"/>
  <c r="AR26" i="2" s="1"/>
  <c r="T30" i="2" a="1"/>
  <c r="T30" i="2" s="1"/>
  <c r="AD30" i="2" a="1"/>
  <c r="AD30" i="2" s="1"/>
  <c r="S51" i="2" a="1"/>
  <c r="S51" i="2" s="1"/>
  <c r="V89" i="2" a="1"/>
  <c r="V89" i="2" s="1"/>
  <c r="Y90" i="2" a="1"/>
  <c r="Y90" i="2" s="1"/>
  <c r="AG90" i="2" a="1"/>
  <c r="AG90" i="2" s="1"/>
  <c r="AB118" i="2" a="1"/>
  <c r="AB118" i="2" s="1"/>
  <c r="Z118" i="2" a="1"/>
  <c r="Z118" i="2" s="1"/>
  <c r="AF118" i="2" a="1"/>
  <c r="AF118" i="2" s="1"/>
  <c r="AD118" i="2" a="1"/>
  <c r="AD118" i="2" s="1"/>
  <c r="AA118" i="2" a="1"/>
  <c r="AA118" i="2" s="1"/>
  <c r="Y118" i="2" a="1"/>
  <c r="Y118" i="2" s="1"/>
  <c r="X119" i="2" a="1"/>
  <c r="X119" i="2" s="1"/>
  <c r="AA119" i="2" a="1"/>
  <c r="AA119" i="2" s="1"/>
  <c r="S119" i="2" a="1"/>
  <c r="S119" i="2" s="1"/>
  <c r="AG119" i="2" a="1"/>
  <c r="AG119" i="2" s="1"/>
  <c r="AG8" i="2" a="1"/>
  <c r="AG8" i="2" s="1"/>
  <c r="AA8" i="2" a="1"/>
  <c r="AA8" i="2" s="1"/>
  <c r="AM26" i="2" a="1"/>
  <c r="AM26" i="2" s="1"/>
  <c r="AB61" i="2" a="1"/>
  <c r="AB61" i="2" s="1"/>
  <c r="AA61" i="2" a="1"/>
  <c r="AA61" i="2" s="1"/>
  <c r="Z61" i="2" a="1"/>
  <c r="Z61" i="2" s="1"/>
  <c r="Y61" i="2" a="1"/>
  <c r="Y61" i="2" s="1"/>
  <c r="S61" i="2" a="1"/>
  <c r="S61" i="2" s="1"/>
  <c r="AF61" i="2" a="1"/>
  <c r="AF61" i="2" s="1"/>
  <c r="AC61" i="2" a="1"/>
  <c r="AC61" i="2" s="1"/>
  <c r="AB65" i="2" a="1"/>
  <c r="AB65" i="2" s="1"/>
  <c r="AF65" i="2" a="1"/>
  <c r="AF65" i="2" s="1"/>
  <c r="AD65" i="2" a="1"/>
  <c r="AD65" i="2" s="1"/>
  <c r="AA65" i="2" a="1"/>
  <c r="AA65" i="2" s="1"/>
  <c r="X65" i="2" a="1"/>
  <c r="X65" i="2" s="1"/>
  <c r="AB128" i="2" a="1"/>
  <c r="AB128" i="2" s="1"/>
  <c r="AA128" i="2" a="1"/>
  <c r="AA128" i="2" s="1"/>
  <c r="Z128" i="2" a="1"/>
  <c r="Z128" i="2" s="1"/>
  <c r="Y128" i="2" a="1"/>
  <c r="Y128" i="2" s="1"/>
  <c r="AF128" i="2" a="1"/>
  <c r="AF128" i="2" s="1"/>
  <c r="AD128" i="2" a="1"/>
  <c r="AD128" i="2" s="1"/>
  <c r="X128" i="2" a="1"/>
  <c r="X128" i="2" s="1"/>
  <c r="AD89" i="2" a="1"/>
  <c r="AD89" i="2" s="1"/>
  <c r="AA89" i="2" a="1"/>
  <c r="AA89" i="2" s="1"/>
  <c r="AF89" i="2" a="1"/>
  <c r="AF89" i="2" s="1"/>
  <c r="AD129" i="2" a="1"/>
  <c r="AD129" i="2" s="1"/>
  <c r="AA129" i="2" a="1"/>
  <c r="AA129" i="2" s="1"/>
  <c r="X129" i="2" a="1"/>
  <c r="X129" i="2" s="1"/>
  <c r="V129" i="2" a="1"/>
  <c r="V129" i="2" s="1"/>
  <c r="X192" i="2" a="1"/>
  <c r="X192" i="2" s="1"/>
  <c r="AG192" i="2" a="1"/>
  <c r="AG192" i="2" s="1"/>
  <c r="X13" i="2" a="1"/>
  <c r="X13" i="2" s="1"/>
  <c r="AG13" i="2" a="1"/>
  <c r="AG13" i="2" s="1"/>
  <c r="S13" i="2" a="1"/>
  <c r="S13" i="2" s="1"/>
  <c r="AF13" i="2" a="1"/>
  <c r="AF13" i="2" s="1"/>
  <c r="AD13" i="2" a="1"/>
  <c r="AD13" i="2" s="1"/>
  <c r="Z13" i="2" a="1"/>
  <c r="Z13" i="2" s="1"/>
  <c r="AG40" i="2" a="1"/>
  <c r="AG40" i="2" s="1"/>
  <c r="AB40" i="2" a="1"/>
  <c r="AB40" i="2" s="1"/>
  <c r="AA40" i="2" a="1"/>
  <c r="AA40" i="2" s="1"/>
  <c r="Z40" i="2" a="1"/>
  <c r="Z40" i="2" s="1"/>
  <c r="Z43" i="2" a="1"/>
  <c r="Z43" i="2" s="1"/>
  <c r="Y43" i="2" a="1"/>
  <c r="Y43" i="2" s="1"/>
  <c r="W43" i="2" a="1"/>
  <c r="W43" i="2" s="1"/>
  <c r="AF43" i="2" a="1"/>
  <c r="AF43" i="2" s="1"/>
  <c r="AD115" i="2" a="1"/>
  <c r="AD115" i="2" s="1"/>
  <c r="X115" i="2" a="1"/>
  <c r="X115" i="2" s="1"/>
  <c r="AA115" i="2" a="1"/>
  <c r="AA115" i="2" s="1"/>
  <c r="AG115" i="2" a="1"/>
  <c r="AG115" i="2" s="1"/>
  <c r="AB51" i="2" a="1"/>
  <c r="AB51" i="2" s="1"/>
  <c r="AD51" i="2" a="1"/>
  <c r="AD51" i="2" s="1"/>
  <c r="AA51" i="2" a="1"/>
  <c r="AA51" i="2" s="1"/>
  <c r="Z51" i="2" a="1"/>
  <c r="Z51" i="2" s="1"/>
  <c r="Y51" i="2" a="1"/>
  <c r="Y51" i="2" s="1"/>
  <c r="W54" i="2" a="1"/>
  <c r="W54" i="2" s="1"/>
  <c r="V54" i="2" a="1"/>
  <c r="V54" i="2" s="1"/>
  <c r="T54" i="2" a="1"/>
  <c r="T54" i="2" s="1"/>
  <c r="S54" i="2" a="1"/>
  <c r="S54" i="2" s="1"/>
  <c r="AC54" i="2" a="1"/>
  <c r="AC54" i="2" s="1"/>
  <c r="AE54" i="2" a="1"/>
  <c r="AE54" i="2" s="1"/>
  <c r="Z54" i="2" a="1"/>
  <c r="Z54" i="2" s="1"/>
  <c r="AA10" i="2" a="1"/>
  <c r="AA10" i="2" s="1"/>
  <c r="AB10" i="2" a="1"/>
  <c r="AB10" i="2" s="1"/>
  <c r="T10" i="2" a="1"/>
  <c r="T10" i="2" s="1"/>
  <c r="T23" i="2" a="1"/>
  <c r="T23" i="2" s="1"/>
  <c r="U113" i="12" a="1"/>
  <c r="U113" i="12" s="1"/>
  <c r="W42" i="2" a="1"/>
  <c r="W42" i="2" s="1"/>
  <c r="AF51" i="2" a="1"/>
  <c r="AF51" i="2" s="1"/>
  <c r="AB54" i="2" a="1"/>
  <c r="AB54" i="2" s="1"/>
  <c r="Y65" i="2" a="1"/>
  <c r="Y65" i="2" s="1"/>
  <c r="X12" i="2" a="1"/>
  <c r="X12" i="2" s="1"/>
  <c r="AC12" i="2" a="1"/>
  <c r="AC12" i="2" s="1"/>
  <c r="Y94" i="2" a="1"/>
  <c r="Y94" i="2" s="1"/>
  <c r="AF94" i="2" a="1"/>
  <c r="AF94" i="2" s="1"/>
  <c r="AG94" i="2" a="1"/>
  <c r="AG94" i="2" s="1"/>
  <c r="X18" i="2" a="1"/>
  <c r="X18" i="2" s="1"/>
  <c r="P6" i="3" s="1" a="1"/>
  <c r="P6" i="3" s="1"/>
  <c r="AC18" i="2" a="1"/>
  <c r="AC18" i="2" s="1"/>
  <c r="AD61" i="2" a="1"/>
  <c r="AD61" i="2" s="1"/>
  <c r="AD62" i="2" a="1"/>
  <c r="AD62" i="2" s="1"/>
  <c r="V62" i="2" a="1"/>
  <c r="V62" i="2" s="1"/>
  <c r="Z65" i="2" a="1"/>
  <c r="Z65" i="2" s="1"/>
  <c r="AF2" i="2" a="1"/>
  <c r="AF2" i="2" s="1"/>
  <c r="AB2" i="2" a="1"/>
  <c r="AB2" i="2" s="1"/>
  <c r="Z2" i="2" a="1"/>
  <c r="Z2" i="2" s="1"/>
  <c r="T2" i="2" a="1"/>
  <c r="T2" i="2" s="1"/>
  <c r="AC34" i="2" a="1"/>
  <c r="AC34" i="2" s="1"/>
  <c r="W34" i="2" a="1"/>
  <c r="W34" i="2" s="1"/>
  <c r="S36" i="2" a="1"/>
  <c r="S36" i="2" s="1"/>
  <c r="AB56" i="2" a="1"/>
  <c r="AB56" i="2" s="1"/>
  <c r="AD56" i="2" a="1"/>
  <c r="AD56" i="2" s="1"/>
  <c r="AA56" i="2" a="1"/>
  <c r="AA56" i="2" s="1"/>
  <c r="Z56" i="2" a="1"/>
  <c r="Z56" i="2" s="1"/>
  <c r="Y56" i="2" a="1"/>
  <c r="Y56" i="2" s="1"/>
  <c r="S56" i="2" a="1"/>
  <c r="S56" i="2" s="1"/>
  <c r="AF56" i="2" a="1"/>
  <c r="AF56" i="2" s="1"/>
  <c r="AC68" i="2" a="1"/>
  <c r="AC68" i="2" s="1"/>
  <c r="AD69" i="2" a="1"/>
  <c r="AD69" i="2" s="1"/>
  <c r="AA69" i="2" a="1"/>
  <c r="AA69" i="2" s="1"/>
  <c r="Z69" i="2" a="1"/>
  <c r="Z69" i="2" s="1"/>
  <c r="Y69" i="2" a="1"/>
  <c r="Y69" i="2" s="1"/>
  <c r="AG69" i="2" a="1"/>
  <c r="AG69" i="2" s="1"/>
  <c r="AF69" i="2" a="1"/>
  <c r="AF69" i="2" s="1"/>
  <c r="AC132" i="2" a="1"/>
  <c r="AC132" i="2" s="1"/>
  <c r="AB132" i="2" a="1"/>
  <c r="AB132" i="2" s="1"/>
  <c r="Z132" i="2" a="1"/>
  <c r="Z132" i="2" s="1"/>
  <c r="W132" i="2" a="1"/>
  <c r="W132" i="2" s="1"/>
  <c r="X23" i="2" a="1"/>
  <c r="X23" i="2" s="1"/>
  <c r="AG23" i="2" a="1"/>
  <c r="AG23" i="2" s="1"/>
  <c r="AF23" i="2" a="1"/>
  <c r="AF23" i="2" s="1"/>
  <c r="AC23" i="2" a="1"/>
  <c r="AC23" i="2" s="1"/>
  <c r="AA23" i="2" a="1"/>
  <c r="AA23" i="2" s="1"/>
  <c r="Z23" i="2" a="1"/>
  <c r="Z23" i="2" s="1"/>
  <c r="T8" i="2" a="1"/>
  <c r="T8" i="2" s="1"/>
  <c r="AE35" i="2" a="1"/>
  <c r="AE35" i="2" s="1"/>
  <c r="AB35" i="2" a="1"/>
  <c r="AB35" i="2" s="1"/>
  <c r="V8" i="2" a="1"/>
  <c r="V8" i="2" s="1"/>
  <c r="T13" i="2" a="1"/>
  <c r="T13" i="2" s="1"/>
  <c r="AO45" i="2" a="1"/>
  <c r="AO45" i="2" s="1"/>
  <c r="X17" i="2" a="1"/>
  <c r="X17" i="2" s="1"/>
  <c r="AC17" i="2" a="1"/>
  <c r="AC17" i="2" s="1"/>
  <c r="Y28" i="2" a="1"/>
  <c r="Y28" i="2" s="1"/>
  <c r="V28" i="2" a="1"/>
  <c r="V28" i="2" s="1"/>
  <c r="Y37" i="2" a="1"/>
  <c r="Y37" i="2" s="1"/>
  <c r="S37" i="2" a="1"/>
  <c r="S37" i="2" s="1"/>
  <c r="AG37" i="2" a="1"/>
  <c r="AG37" i="2" s="1"/>
  <c r="AE67" i="2" a="1"/>
  <c r="AE67" i="2" s="1"/>
  <c r="W67" i="2" a="1"/>
  <c r="W67" i="2" s="1"/>
  <c r="W100" i="2" a="1"/>
  <c r="W100" i="2" s="1"/>
  <c r="T100" i="2" a="1"/>
  <c r="T100" i="2" s="1"/>
  <c r="AE100" i="2" a="1"/>
  <c r="AE100" i="2" s="1"/>
  <c r="AE112" i="2" a="1"/>
  <c r="AE112" i="2" s="1"/>
  <c r="W112" i="2" a="1"/>
  <c r="W112" i="2" s="1"/>
  <c r="S32" i="2" a="1"/>
  <c r="S32" i="2" s="1"/>
  <c r="AD32" i="2" a="1"/>
  <c r="AD32" i="2" s="1"/>
  <c r="T16" i="2" a="1"/>
  <c r="T16" i="2" s="1"/>
  <c r="V16" i="2" a="1"/>
  <c r="V16" i="2" s="1"/>
  <c r="AC16" i="2" a="1"/>
  <c r="AC16" i="2" s="1"/>
  <c r="AA13" i="2" a="1"/>
  <c r="AA13" i="2" s="1"/>
  <c r="AC25" i="2" a="1"/>
  <c r="AC25" i="2" s="1"/>
  <c r="AG85" i="2" a="1"/>
  <c r="AG85" i="2" s="1"/>
  <c r="AA85" i="2" a="1"/>
  <c r="AA85" i="2" s="1"/>
  <c r="Y85" i="2" a="1"/>
  <c r="Y85" i="2" s="1"/>
  <c r="V90" i="2" a="1"/>
  <c r="V90" i="2" s="1"/>
  <c r="AO91" i="2" a="1"/>
  <c r="AO91" i="2" s="1"/>
  <c r="AM91" i="2" a="1"/>
  <c r="AM91" i="2" s="1"/>
  <c r="AG134" i="2" a="1"/>
  <c r="AG134" i="2" s="1"/>
  <c r="Z134" i="2" a="1"/>
  <c r="Z134" i="2" s="1"/>
  <c r="Y134" i="2" a="1"/>
  <c r="Y134" i="2" s="1"/>
  <c r="AB134" i="2" a="1"/>
  <c r="AB134" i="2" s="1"/>
  <c r="AC28" i="2" a="1"/>
  <c r="AC28" i="2" s="1"/>
  <c r="Z33" i="2" a="1"/>
  <c r="Z33" i="2" s="1"/>
  <c r="T76" i="2" a="1"/>
  <c r="T76" i="2" s="1"/>
  <c r="AN77" i="2" a="1"/>
  <c r="AN77" i="2" s="1"/>
  <c r="W88" i="2" a="1"/>
  <c r="W88" i="2" s="1"/>
  <c r="AO108" i="2" a="1"/>
  <c r="AO108" i="2" s="1"/>
  <c r="AD110" i="2" a="1"/>
  <c r="AD110" i="2" s="1"/>
  <c r="S124" i="2" a="1"/>
  <c r="S124" i="2" s="1"/>
  <c r="AB137" i="2" a="1"/>
  <c r="AB137" i="2" s="1"/>
  <c r="W137" i="2" a="1"/>
  <c r="W137" i="2" s="1"/>
  <c r="AG137" i="2" a="1"/>
  <c r="AG137" i="2" s="1"/>
  <c r="S137" i="2" a="1"/>
  <c r="S137" i="2" s="1"/>
  <c r="AF137" i="2" a="1"/>
  <c r="AF137" i="2" s="1"/>
  <c r="V156" i="2" a="1"/>
  <c r="V156" i="2" s="1"/>
  <c r="AA156" i="2" a="1"/>
  <c r="AA156" i="2" s="1"/>
  <c r="AG174" i="2" a="1"/>
  <c r="AG174" i="2" s="1"/>
  <c r="AD174" i="2" a="1"/>
  <c r="AD174" i="2" s="1"/>
  <c r="AC174" i="2" a="1"/>
  <c r="AC174" i="2" s="1"/>
  <c r="Z174" i="2" a="1"/>
  <c r="Z174" i="2" s="1"/>
  <c r="W174" i="2" a="1"/>
  <c r="W174" i="2" s="1"/>
  <c r="V174" i="2" a="1"/>
  <c r="V174" i="2" s="1"/>
  <c r="AO180" i="2" a="1"/>
  <c r="AO180" i="2" s="1"/>
  <c r="AN180" i="2" a="1"/>
  <c r="AN180" i="2" s="1"/>
  <c r="AM180" i="2" a="1"/>
  <c r="AM180" i="2" s="1"/>
  <c r="AB104" i="2" a="1"/>
  <c r="AB104" i="2" s="1"/>
  <c r="Y104" i="2" a="1"/>
  <c r="Y104" i="2" s="1"/>
  <c r="Y114" i="2" a="1"/>
  <c r="Y114" i="2" s="1"/>
  <c r="AO212" i="2" a="1"/>
  <c r="AO212" i="2" s="1"/>
  <c r="AM212" i="2" a="1"/>
  <c r="AM212" i="2" s="1"/>
  <c r="AG233" i="2" a="1"/>
  <c r="AG233" i="2" s="1"/>
  <c r="AF233" i="2" a="1"/>
  <c r="AF233" i="2" s="1"/>
  <c r="AA233" i="2" a="1"/>
  <c r="AA233" i="2" s="1"/>
  <c r="Z233" i="2" a="1"/>
  <c r="Z233" i="2" s="1"/>
  <c r="T233" i="2" a="1"/>
  <c r="T233" i="2" s="1"/>
  <c r="S233" i="2" a="1"/>
  <c r="S233" i="2" s="1"/>
  <c r="AC261" i="2" a="1"/>
  <c r="AC261" i="2" s="1"/>
  <c r="X261" i="2" a="1"/>
  <c r="X261" i="2" s="1"/>
  <c r="V261" i="2" a="1"/>
  <c r="V261" i="2" s="1"/>
  <c r="Y354" i="2" a="1"/>
  <c r="Y354" i="2" s="1"/>
  <c r="AF354" i="2" a="1"/>
  <c r="AF354" i="2" s="1"/>
  <c r="Y151" i="2" a="1"/>
  <c r="Y151" i="2" s="1"/>
  <c r="T151" i="2" a="1"/>
  <c r="T151" i="2" s="1"/>
  <c r="Z151" i="2" a="1"/>
  <c r="Z151" i="2" s="1"/>
  <c r="W175" i="2" a="1"/>
  <c r="W175" i="2" s="1"/>
  <c r="AG175" i="2" a="1"/>
  <c r="AG175" i="2" s="1"/>
  <c r="AA202" i="2" a="1"/>
  <c r="AA202" i="2" s="1"/>
  <c r="Z202" i="2" a="1"/>
  <c r="Z202" i="2" s="1"/>
  <c r="S202" i="2" a="1"/>
  <c r="S202" i="2" s="1"/>
  <c r="AG29" i="2" a="1"/>
  <c r="AG29" i="2" s="1"/>
  <c r="AE46" i="2" a="1"/>
  <c r="AE46" i="2" s="1"/>
  <c r="Z70" i="2" a="1"/>
  <c r="Z70" i="2" s="1"/>
  <c r="AA73" i="2" a="1"/>
  <c r="AA73" i="2" s="1"/>
  <c r="Y75" i="2" a="1"/>
  <c r="Y75" i="2" s="1"/>
  <c r="X76" i="2" a="1"/>
  <c r="X76" i="2" s="1"/>
  <c r="AM80" i="2" a="1"/>
  <c r="AM80" i="2" s="1"/>
  <c r="AD84" i="2" a="1"/>
  <c r="AD84" i="2" s="1"/>
  <c r="V87" i="2" a="1"/>
  <c r="V87" i="2" s="1"/>
  <c r="W99" i="2" a="1"/>
  <c r="W99" i="2" s="1"/>
  <c r="V106" i="2" a="1"/>
  <c r="V106" i="2" s="1"/>
  <c r="AB112" i="2" a="1"/>
  <c r="AB112" i="2" s="1"/>
  <c r="S112" i="2" a="1"/>
  <c r="S112" i="2" s="1"/>
  <c r="AA114" i="2" a="1"/>
  <c r="AA114" i="2" s="1"/>
  <c r="W121" i="2" a="1"/>
  <c r="W121" i="2" s="1"/>
  <c r="AD124" i="2" a="1"/>
  <c r="AD124" i="2" s="1"/>
  <c r="AF144" i="2" a="1"/>
  <c r="AF144" i="2" s="1"/>
  <c r="AE144" i="2" a="1"/>
  <c r="AE144" i="2" s="1"/>
  <c r="AB144" i="2" a="1"/>
  <c r="AB144" i="2" s="1"/>
  <c r="AA144" i="2" a="1"/>
  <c r="AA144" i="2" s="1"/>
  <c r="AD160" i="2" a="1"/>
  <c r="AD160" i="2" s="1"/>
  <c r="AA160" i="2" a="1"/>
  <c r="AA160" i="2" s="1"/>
  <c r="Z160" i="2" a="1"/>
  <c r="Z160" i="2" s="1"/>
  <c r="X160" i="2" a="1"/>
  <c r="X160" i="2" s="1"/>
  <c r="V160" i="2" a="1"/>
  <c r="V160" i="2" s="1"/>
  <c r="AG160" i="2" a="1"/>
  <c r="AG160" i="2" s="1"/>
  <c r="AG166" i="2" a="1"/>
  <c r="AG166" i="2" s="1"/>
  <c r="AA166" i="2" a="1"/>
  <c r="AA166" i="2" s="1"/>
  <c r="AA232" i="2" a="1"/>
  <c r="AA232" i="2" s="1"/>
  <c r="Y232" i="2" a="1"/>
  <c r="Y232" i="2" s="1"/>
  <c r="W232" i="2" a="1"/>
  <c r="W232" i="2" s="1"/>
  <c r="AC232" i="2" a="1"/>
  <c r="AC232" i="2" s="1"/>
  <c r="AG232" i="2" a="1"/>
  <c r="AG232" i="2" s="1"/>
  <c r="AF232" i="2" a="1"/>
  <c r="AF232" i="2" s="1"/>
  <c r="AD93" i="2" a="1"/>
  <c r="AD93" i="2" s="1"/>
  <c r="AB99" i="2" a="1"/>
  <c r="AB99" i="2" s="1"/>
  <c r="AB101" i="2" a="1"/>
  <c r="AB101" i="2" s="1"/>
  <c r="Z101" i="2" a="1"/>
  <c r="Z101" i="2" s="1"/>
  <c r="AE101" i="2" a="1"/>
  <c r="AE101" i="2" s="1"/>
  <c r="AD114" i="2" a="1"/>
  <c r="AD114" i="2" s="1"/>
  <c r="AB126" i="2" a="1"/>
  <c r="AB126" i="2" s="1"/>
  <c r="AE126" i="2" a="1"/>
  <c r="AE126" i="2" s="1"/>
  <c r="W126" i="2" a="1"/>
  <c r="W126" i="2" s="1"/>
  <c r="Z137" i="2" a="1"/>
  <c r="Z137" i="2" s="1"/>
  <c r="X151" i="2" a="1"/>
  <c r="X151" i="2" s="1"/>
  <c r="S174" i="2" a="1"/>
  <c r="S174" i="2" s="1"/>
  <c r="S177" i="2" a="1"/>
  <c r="S177" i="2" s="1"/>
  <c r="X191" i="2" a="1"/>
  <c r="X191" i="2" s="1"/>
  <c r="S191" i="2" a="1"/>
  <c r="S191" i="2" s="1"/>
  <c r="X220" i="2" a="1"/>
  <c r="X220" i="2" s="1"/>
  <c r="AG220" i="2" a="1"/>
  <c r="AG220" i="2" s="1"/>
  <c r="V330" i="2" a="1"/>
  <c r="V330" i="2" s="1"/>
  <c r="T330" i="2" a="1"/>
  <c r="T330" i="2" s="1"/>
  <c r="Y76" i="2" a="1"/>
  <c r="Y76" i="2" s="1"/>
  <c r="W87" i="2" a="1"/>
  <c r="W87" i="2" s="1"/>
  <c r="S65" i="2" a="1"/>
  <c r="S65" i="2" s="1"/>
  <c r="AF73" i="2" a="1"/>
  <c r="AF73" i="2" s="1"/>
  <c r="AE75" i="2" a="1"/>
  <c r="AE75" i="2" s="1"/>
  <c r="Z76" i="2" a="1"/>
  <c r="Z76" i="2" s="1"/>
  <c r="AC87" i="2" a="1"/>
  <c r="AC87" i="2" s="1"/>
  <c r="T92" i="2" a="1"/>
  <c r="T92" i="2" s="1"/>
  <c r="AF93" i="2" a="1"/>
  <c r="AF93" i="2" s="1"/>
  <c r="V94" i="2" a="1"/>
  <c r="V94" i="2" s="1"/>
  <c r="AF101" i="2" a="1"/>
  <c r="AF101" i="2" s="1"/>
  <c r="S102" i="2" a="1"/>
  <c r="S102" i="2" s="1"/>
  <c r="AB106" i="2" a="1"/>
  <c r="AB106" i="2" s="1"/>
  <c r="AA106" i="2" a="1"/>
  <c r="AA106" i="2" s="1"/>
  <c r="AF106" i="2" a="1"/>
  <c r="AF106" i="2" s="1"/>
  <c r="V115" i="2" a="1"/>
  <c r="V115" i="2" s="1"/>
  <c r="AG124" i="2" a="1"/>
  <c r="AG124" i="2" s="1"/>
  <c r="AA137" i="2" a="1"/>
  <c r="AA137" i="2" s="1"/>
  <c r="V141" i="2" a="1"/>
  <c r="V141" i="2" s="1"/>
  <c r="AG141" i="2" a="1"/>
  <c r="AG141" i="2" s="1"/>
  <c r="T141" i="2" a="1"/>
  <c r="T141" i="2" s="1"/>
  <c r="AF141" i="2" a="1"/>
  <c r="AF141" i="2" s="1"/>
  <c r="AE174" i="2" a="1"/>
  <c r="AE174" i="2" s="1"/>
  <c r="AE202" i="2" a="1"/>
  <c r="AE202" i="2" s="1"/>
  <c r="Y258" i="2" a="1"/>
  <c r="Y258" i="2" s="1"/>
  <c r="S258" i="2" a="1"/>
  <c r="S258" i="2" s="1"/>
  <c r="AG258" i="2" a="1"/>
  <c r="AG258" i="2" s="1"/>
  <c r="Z258" i="2" a="1"/>
  <c r="Z258" i="2" s="1"/>
  <c r="AE258" i="2" a="1"/>
  <c r="AE258" i="2" s="1"/>
  <c r="AD258" i="2" a="1"/>
  <c r="AD258" i="2" s="1"/>
  <c r="AB258" i="2" a="1"/>
  <c r="AB258" i="2" s="1"/>
  <c r="AF266" i="2" a="1"/>
  <c r="AF266" i="2" s="1"/>
  <c r="Z266" i="2" a="1"/>
  <c r="Z266" i="2" s="1"/>
  <c r="X266" i="2" a="1"/>
  <c r="X266" i="2" s="1"/>
  <c r="W266" i="2" a="1"/>
  <c r="W266" i="2" s="1"/>
  <c r="AD73" i="2" a="1"/>
  <c r="AD73" i="2" s="1"/>
  <c r="AB75" i="2" a="1"/>
  <c r="AB75" i="2" s="1"/>
  <c r="AC8" i="2" a="1"/>
  <c r="AC8" i="2" s="1"/>
  <c r="V23" i="2" a="1"/>
  <c r="V23" i="2" s="1"/>
  <c r="Z64" i="2" a="1"/>
  <c r="Z64" i="2" s="1"/>
  <c r="AD70" i="2" a="1"/>
  <c r="AD70" i="2" s="1"/>
  <c r="AF75" i="2" a="1"/>
  <c r="AF75" i="2" s="1"/>
  <c r="AE87" i="2" a="1"/>
  <c r="AE87" i="2" s="1"/>
  <c r="AC92" i="2" a="1"/>
  <c r="AC92" i="2" s="1"/>
  <c r="T101" i="2" a="1"/>
  <c r="T101" i="2" s="1"/>
  <c r="AA139" i="2" a="1"/>
  <c r="AA139" i="2" s="1"/>
  <c r="AF139" i="2" a="1"/>
  <c r="AF139" i="2" s="1"/>
  <c r="AB139" i="2" a="1"/>
  <c r="AB139" i="2" s="1"/>
  <c r="Z139" i="2" a="1"/>
  <c r="Z139" i="2" s="1"/>
  <c r="AG151" i="2" a="1"/>
  <c r="AG151" i="2" s="1"/>
  <c r="AE161" i="2" a="1"/>
  <c r="AE161" i="2" s="1"/>
  <c r="AC161" i="2" a="1"/>
  <c r="AC161" i="2" s="1"/>
  <c r="Y161" i="2" a="1"/>
  <c r="Y161" i="2" s="1"/>
  <c r="AB168" i="2" a="1"/>
  <c r="AB168" i="2" s="1"/>
  <c r="AD168" i="2" a="1"/>
  <c r="AD168" i="2" s="1"/>
  <c r="W219" i="2" a="1"/>
  <c r="W219" i="2" s="1"/>
  <c r="X219" i="2" a="1"/>
  <c r="X219" i="2" s="1"/>
  <c r="AB268" i="2" a="1"/>
  <c r="AB268" i="2" s="1"/>
  <c r="X268" i="2" a="1"/>
  <c r="X268" i="2" s="1"/>
  <c r="X83" i="2" a="1"/>
  <c r="X83" i="2" s="1"/>
  <c r="AF64" i="2" a="1"/>
  <c r="AF64" i="2" s="1"/>
  <c r="AF70" i="2" a="1"/>
  <c r="AF70" i="2" s="1"/>
  <c r="W75" i="2" a="1"/>
  <c r="W75" i="2" s="1"/>
  <c r="AC76" i="2" a="1"/>
  <c r="AC76" i="2" s="1"/>
  <c r="Z83" i="2" a="1"/>
  <c r="Z83" i="2" s="1"/>
  <c r="AG87" i="2" a="1"/>
  <c r="AG87" i="2" s="1"/>
  <c r="X101" i="2" a="1"/>
  <c r="X101" i="2" s="1"/>
  <c r="AG101" i="2" a="1"/>
  <c r="AG101" i="2" s="1"/>
  <c r="AD137" i="2" a="1"/>
  <c r="AD137" i="2" s="1"/>
  <c r="AF143" i="2" a="1"/>
  <c r="AF143" i="2" s="1"/>
  <c r="AB143" i="2" a="1"/>
  <c r="AB143" i="2" s="1"/>
  <c r="Z143" i="2" a="1"/>
  <c r="Z143" i="2" s="1"/>
  <c r="W185" i="2" a="1"/>
  <c r="W185" i="2" s="1"/>
  <c r="AD185" i="2" a="1"/>
  <c r="AD185" i="2" s="1"/>
  <c r="AC191" i="2" a="1"/>
  <c r="AC191" i="2" s="1"/>
  <c r="S223" i="2" a="1"/>
  <c r="S223" i="2" s="1"/>
  <c r="X242" i="2" a="1"/>
  <c r="X242" i="2" s="1"/>
  <c r="Y242" i="2" a="1"/>
  <c r="Y242" i="2" s="1"/>
  <c r="AF173" i="2" a="1"/>
  <c r="AF173" i="2" s="1"/>
  <c r="AB173" i="2" a="1"/>
  <c r="AB173" i="2" s="1"/>
  <c r="T173" i="2" a="1"/>
  <c r="T173" i="2" s="1"/>
  <c r="S173" i="2" a="1"/>
  <c r="S173" i="2" s="1"/>
  <c r="AP180" i="2" a="1"/>
  <c r="AP180" i="2" s="1"/>
  <c r="X187" i="2" a="1"/>
  <c r="X187" i="2" s="1"/>
  <c r="AD187" i="2" a="1"/>
  <c r="AD187" i="2" s="1"/>
  <c r="V193" i="2" a="1"/>
  <c r="V193" i="2" s="1"/>
  <c r="S193" i="2" a="1"/>
  <c r="S193" i="2" s="1"/>
  <c r="AG193" i="2" a="1"/>
  <c r="AG193" i="2" s="1"/>
  <c r="AE193" i="2" a="1"/>
  <c r="AE193" i="2" s="1"/>
  <c r="AD193" i="2" a="1"/>
  <c r="AD193" i="2" s="1"/>
  <c r="AC193" i="2" a="1"/>
  <c r="AC193" i="2" s="1"/>
  <c r="AA193" i="2" a="1"/>
  <c r="AA193" i="2" s="1"/>
  <c r="T193" i="2" a="1"/>
  <c r="T193" i="2" s="1"/>
  <c r="Y245" i="2" a="1"/>
  <c r="Y245" i="2" s="1"/>
  <c r="AB245" i="2" a="1"/>
  <c r="AB245" i="2" s="1"/>
  <c r="Z245" i="2" a="1"/>
  <c r="Z245" i="2" s="1"/>
  <c r="T252" i="2" a="1"/>
  <c r="T252" i="2" s="1"/>
  <c r="AE76" i="2" a="1"/>
  <c r="AE76" i="2" s="1"/>
  <c r="AB114" i="2" a="1"/>
  <c r="AB114" i="2" s="1"/>
  <c r="Z114" i="2" a="1"/>
  <c r="Z114" i="2" s="1"/>
  <c r="X118" i="2" a="1"/>
  <c r="X118" i="2" s="1"/>
  <c r="T6" i="2" a="1"/>
  <c r="T6" i="2" s="1"/>
  <c r="V18" i="2" a="1"/>
  <c r="V18" i="2" s="1"/>
  <c r="Z29" i="2" a="1"/>
  <c r="Z29" i="2" s="1"/>
  <c r="T33" i="2" a="1"/>
  <c r="T33" i="2" s="1"/>
  <c r="AE44" i="2" a="1"/>
  <c r="AE44" i="2" s="1"/>
  <c r="AF76" i="2" a="1"/>
  <c r="AF76" i="2" s="1"/>
  <c r="AF83" i="2" a="1"/>
  <c r="AF83" i="2" s="1"/>
  <c r="Y101" i="2" a="1"/>
  <c r="Y101" i="2" s="1"/>
  <c r="AD103" i="2" a="1"/>
  <c r="AD103" i="2" s="1"/>
  <c r="S116" i="2" a="1"/>
  <c r="S116" i="2" s="1"/>
  <c r="Z141" i="2" a="1"/>
  <c r="Z141" i="2" s="1"/>
  <c r="S168" i="2" a="1"/>
  <c r="S168" i="2" s="1"/>
  <c r="AO170" i="2" a="1"/>
  <c r="AO170" i="2" s="1"/>
  <c r="AF181" i="2" a="1"/>
  <c r="AF181" i="2" s="1"/>
  <c r="AB181" i="2" a="1"/>
  <c r="AB181" i="2" s="1"/>
  <c r="AF213" i="2" a="1"/>
  <c r="AF213" i="2" s="1"/>
  <c r="AC213" i="2" a="1"/>
  <c r="AC213" i="2" s="1"/>
  <c r="AB213" i="2" a="1"/>
  <c r="AB213" i="2" s="1"/>
  <c r="Y213" i="2" a="1"/>
  <c r="Y213" i="2" s="1"/>
  <c r="W213" i="2" a="1"/>
  <c r="W213" i="2" s="1"/>
  <c r="Z252" i="2" a="1"/>
  <c r="Z252" i="2" s="1"/>
  <c r="AG252" i="2" a="1"/>
  <c r="AG252" i="2" s="1"/>
  <c r="AO146" i="2" a="1"/>
  <c r="AO146" i="2" s="1"/>
  <c r="AB148" i="2" a="1"/>
  <c r="AB148" i="2" s="1"/>
  <c r="AK183" i="2" a="1"/>
  <c r="AK183" i="2" s="1"/>
  <c r="Y210" i="2" a="1"/>
  <c r="Y210" i="2" s="1"/>
  <c r="AB210" i="2" a="1"/>
  <c r="AB210" i="2" s="1"/>
  <c r="X210" i="2" a="1"/>
  <c r="X210" i="2" s="1"/>
  <c r="S210" i="2" a="1"/>
  <c r="S210" i="2" s="1"/>
  <c r="AC263" i="2" a="1"/>
  <c r="AC263" i="2" s="1"/>
  <c r="AF263" i="2" a="1"/>
  <c r="AF263" i="2" s="1"/>
  <c r="AF282" i="2" a="1"/>
  <c r="AF282" i="2" s="1"/>
  <c r="AB282" i="2" a="1"/>
  <c r="AB282" i="2" s="1"/>
  <c r="AA282" i="2" a="1"/>
  <c r="AA282" i="2" s="1"/>
  <c r="Z282" i="2" a="1"/>
  <c r="Z282" i="2" s="1"/>
  <c r="AB329" i="2" a="1"/>
  <c r="AB329" i="2" s="1"/>
  <c r="AA329" i="2" a="1"/>
  <c r="AA329" i="2" s="1"/>
  <c r="Z329" i="2" a="1"/>
  <c r="Z329" i="2" s="1"/>
  <c r="V329" i="2" a="1"/>
  <c r="V329" i="2" s="1"/>
  <c r="T329" i="2" a="1"/>
  <c r="T329" i="2" s="1"/>
  <c r="AG329" i="2" a="1"/>
  <c r="AG329" i="2" s="1"/>
  <c r="AD329" i="2" a="1"/>
  <c r="AD329" i="2" s="1"/>
  <c r="Z387" i="2" a="1"/>
  <c r="Z387" i="2" s="1"/>
  <c r="AE387" i="2" a="1"/>
  <c r="AE387" i="2" s="1"/>
  <c r="AC387" i="2" a="1"/>
  <c r="AC387" i="2" s="1"/>
  <c r="X387" i="2" a="1"/>
  <c r="X387" i="2" s="1"/>
  <c r="V387" i="2" a="1"/>
  <c r="V387" i="2" s="1"/>
  <c r="AG387" i="2" a="1"/>
  <c r="AG387" i="2" s="1"/>
  <c r="W387" i="2" a="1"/>
  <c r="W387" i="2" s="1"/>
  <c r="AF276" i="2" a="1"/>
  <c r="AF276" i="2" s="1"/>
  <c r="AB276" i="2" a="1"/>
  <c r="AB276" i="2" s="1"/>
  <c r="AA276" i="2" a="1"/>
  <c r="AA276" i="2" s="1"/>
  <c r="W304" i="2" a="1"/>
  <c r="W304" i="2" s="1"/>
  <c r="AD123" i="2" a="1"/>
  <c r="AD123" i="2" s="1"/>
  <c r="AD138" i="2" a="1"/>
  <c r="AD138" i="2" s="1"/>
  <c r="AD142" i="2" a="1"/>
  <c r="AD142" i="2" s="1"/>
  <c r="AB145" i="2" a="1"/>
  <c r="AB145" i="2" s="1"/>
  <c r="S148" i="2" a="1"/>
  <c r="S148" i="2" s="1"/>
  <c r="AF148" i="2" a="1"/>
  <c r="AF148" i="2" s="1"/>
  <c r="AE165" i="2" a="1"/>
  <c r="AE165" i="2" s="1"/>
  <c r="V177" i="2" a="1"/>
  <c r="V177" i="2" s="1"/>
  <c r="T184" i="2" a="1"/>
  <c r="T184" i="2" s="1"/>
  <c r="AG184" i="2" a="1"/>
  <c r="AG184" i="2" s="1"/>
  <c r="AB191" i="2" a="1"/>
  <c r="AB191" i="2" s="1"/>
  <c r="T191" i="2" a="1"/>
  <c r="T191" i="2" s="1"/>
  <c r="AD198" i="2" a="1"/>
  <c r="AD198" i="2" s="1"/>
  <c r="AD210" i="2" a="1"/>
  <c r="AD210" i="2" s="1"/>
  <c r="S218" i="2" a="1"/>
  <c r="S218" i="2" s="1"/>
  <c r="Y231" i="2" a="1"/>
  <c r="Y231" i="2" s="1"/>
  <c r="AE238" i="2" a="1"/>
  <c r="AE238" i="2" s="1"/>
  <c r="AE291" i="2" a="1"/>
  <c r="AE291" i="2" s="1"/>
  <c r="AP306" i="2" a="1"/>
  <c r="AP306" i="2" s="1"/>
  <c r="AK306" i="2" a="1"/>
  <c r="AK306" i="2" s="1"/>
  <c r="AO306" i="2" a="1"/>
  <c r="AO306" i="2" s="1"/>
  <c r="AF329" i="2" a="1"/>
  <c r="AF329" i="2" s="1"/>
  <c r="AF123" i="2" a="1"/>
  <c r="AF123" i="2" s="1"/>
  <c r="T148" i="2" a="1"/>
  <c r="T148" i="2" s="1"/>
  <c r="AE159" i="2" a="1"/>
  <c r="AE159" i="2" s="1"/>
  <c r="Y184" i="2" a="1"/>
  <c r="Y184" i="2" s="1"/>
  <c r="AE186" i="2" a="1"/>
  <c r="AE186" i="2" s="1"/>
  <c r="AB186" i="2" a="1"/>
  <c r="AB186" i="2" s="1"/>
  <c r="AA186" i="2" a="1"/>
  <c r="AA186" i="2" s="1"/>
  <c r="AC238" i="2" a="1"/>
  <c r="AC238" i="2" s="1"/>
  <c r="Y238" i="2" a="1"/>
  <c r="Y238" i="2" s="1"/>
  <c r="X238" i="2" a="1"/>
  <c r="X238" i="2" s="1"/>
  <c r="Z239" i="2" a="1"/>
  <c r="Z239" i="2" s="1"/>
  <c r="T239" i="2" a="1"/>
  <c r="T239" i="2" s="1"/>
  <c r="X239" i="2" a="1"/>
  <c r="X239" i="2" s="1"/>
  <c r="Y246" i="2" a="1"/>
  <c r="Y246" i="2" s="1"/>
  <c r="W246" i="2" a="1"/>
  <c r="W246" i="2" s="1"/>
  <c r="AB263" i="2" a="1"/>
  <c r="AB263" i="2" s="1"/>
  <c r="Z276" i="2" a="1"/>
  <c r="Z276" i="2" s="1"/>
  <c r="AE296" i="2" a="1"/>
  <c r="AE296" i="2" s="1"/>
  <c r="AC296" i="2" a="1"/>
  <c r="AC296" i="2" s="1"/>
  <c r="AA296" i="2" a="1"/>
  <c r="AA296" i="2" s="1"/>
  <c r="Y296" i="2" a="1"/>
  <c r="Y296" i="2" s="1"/>
  <c r="AB301" i="2" a="1"/>
  <c r="AB301" i="2" s="1"/>
  <c r="AC301" i="2" a="1"/>
  <c r="AC301" i="2" s="1"/>
  <c r="X301" i="2" a="1"/>
  <c r="X301" i="2" s="1"/>
  <c r="W301" i="2" a="1"/>
  <c r="W301" i="2" s="1"/>
  <c r="AD301" i="2" a="1"/>
  <c r="AD301" i="2" s="1"/>
  <c r="AG302" i="2" a="1"/>
  <c r="AG302" i="2" s="1"/>
  <c r="AD302" i="2" a="1"/>
  <c r="AD302" i="2" s="1"/>
  <c r="Z302" i="2" a="1"/>
  <c r="Z302" i="2" s="1"/>
  <c r="AD366" i="2" a="1"/>
  <c r="AD366" i="2" s="1"/>
  <c r="Y366" i="2" a="1"/>
  <c r="Y366" i="2" s="1"/>
  <c r="AB369" i="2" a="1"/>
  <c r="AB369" i="2" s="1"/>
  <c r="Y369" i="2" a="1"/>
  <c r="Y369" i="2" s="1"/>
  <c r="AG369" i="2" a="1"/>
  <c r="AG369" i="2" s="1"/>
  <c r="S369" i="2" a="1"/>
  <c r="S369" i="2" s="1"/>
  <c r="AF142" i="2" a="1"/>
  <c r="AF142" i="2" s="1"/>
  <c r="X148" i="2" a="1"/>
  <c r="X148" i="2" s="1"/>
  <c r="V168" i="2" a="1"/>
  <c r="V168" i="2" s="1"/>
  <c r="AK170" i="2" a="1"/>
  <c r="AK170" i="2" s="1"/>
  <c r="AB177" i="2" a="1"/>
  <c r="AB177" i="2" s="1"/>
  <c r="W195" i="2" a="1"/>
  <c r="W195" i="2" s="1"/>
  <c r="AF195" i="2" a="1"/>
  <c r="AF195" i="2" s="1"/>
  <c r="AD195" i="2" a="1"/>
  <c r="AD195" i="2" s="1"/>
  <c r="AC203" i="2" a="1"/>
  <c r="AC203" i="2" s="1"/>
  <c r="Y203" i="2" a="1"/>
  <c r="Y203" i="2" s="1"/>
  <c r="Y204" i="2" a="1"/>
  <c r="Y204" i="2" s="1"/>
  <c r="AB204" i="2" a="1"/>
  <c r="AB204" i="2" s="1"/>
  <c r="S204" i="2" a="1"/>
  <c r="S204" i="2" s="1"/>
  <c r="Y221" i="2" a="1"/>
  <c r="Y221" i="2" s="1"/>
  <c r="T221" i="2" a="1"/>
  <c r="T221" i="2" s="1"/>
  <c r="AG254" i="2" a="1"/>
  <c r="AG254" i="2" s="1"/>
  <c r="Y254" i="2" a="1"/>
  <c r="Y254" i="2" s="1"/>
  <c r="X254" i="2" a="1"/>
  <c r="X254" i="2" s="1"/>
  <c r="AB254" i="2" a="1"/>
  <c r="AB254" i="2" s="1"/>
  <c r="AD259" i="2" a="1"/>
  <c r="AD259" i="2" s="1"/>
  <c r="T259" i="2" a="1"/>
  <c r="T259" i="2" s="1"/>
  <c r="AD294" i="2" a="1"/>
  <c r="AD294" i="2" s="1"/>
  <c r="AF294" i="2" a="1"/>
  <c r="AF294" i="2" s="1"/>
  <c r="Z294" i="2" a="1"/>
  <c r="Z294" i="2" s="1"/>
  <c r="Y294" i="2" a="1"/>
  <c r="Y294" i="2" s="1"/>
  <c r="AK303" i="2" a="1"/>
  <c r="AK303" i="2" s="1"/>
  <c r="V314" i="2" a="1"/>
  <c r="V314" i="2" s="1"/>
  <c r="AG314" i="2" a="1"/>
  <c r="AG314" i="2" s="1"/>
  <c r="AE314" i="2" a="1"/>
  <c r="AE314" i="2" s="1"/>
  <c r="W314" i="2" a="1"/>
  <c r="W314" i="2" s="1"/>
  <c r="V322" i="2" a="1"/>
  <c r="V322" i="2" s="1"/>
  <c r="AC323" i="2" a="1"/>
  <c r="AC323" i="2" s="1"/>
  <c r="AE145" i="2" a="1"/>
  <c r="AE145" i="2" s="1"/>
  <c r="AE162" i="2" a="1"/>
  <c r="AE162" i="2" s="1"/>
  <c r="S176" i="2" a="1"/>
  <c r="S176" i="2" s="1"/>
  <c r="AD177" i="2" a="1"/>
  <c r="AD177" i="2" s="1"/>
  <c r="V182" i="2" a="1"/>
  <c r="V182" i="2" s="1"/>
  <c r="X200" i="2" a="1"/>
  <c r="X200" i="2" s="1"/>
  <c r="AA222" i="2" a="1"/>
  <c r="AA222" i="2" s="1"/>
  <c r="AG222" i="2" a="1"/>
  <c r="AG222" i="2" s="1"/>
  <c r="AF222" i="2" a="1"/>
  <c r="AF222" i="2" s="1"/>
  <c r="AC227" i="2" a="1"/>
  <c r="AC227" i="2" s="1"/>
  <c r="AG301" i="2" a="1"/>
  <c r="AG301" i="2" s="1"/>
  <c r="Y302" i="2" a="1"/>
  <c r="Y302" i="2" s="1"/>
  <c r="AB322" i="2" a="1"/>
  <c r="AB322" i="2" s="1"/>
  <c r="AA322" i="2" a="1"/>
  <c r="AA322" i="2" s="1"/>
  <c r="AG375" i="2" a="1"/>
  <c r="AG375" i="2" s="1"/>
  <c r="AB375" i="2" a="1"/>
  <c r="AB375" i="2" s="1"/>
  <c r="S375" i="2" a="1"/>
  <c r="S375" i="2" s="1"/>
  <c r="Y375" i="2" a="1"/>
  <c r="Y375" i="2" s="1"/>
  <c r="X375" i="2" a="1"/>
  <c r="X375" i="2" s="1"/>
  <c r="Y148" i="2" a="1"/>
  <c r="Y148" i="2" s="1"/>
  <c r="AE160" i="2" a="1"/>
  <c r="AE160" i="2" s="1"/>
  <c r="X174" i="2" a="1"/>
  <c r="X174" i="2" s="1"/>
  <c r="AF177" i="2" a="1"/>
  <c r="AF177" i="2" s="1"/>
  <c r="Y200" i="2" a="1"/>
  <c r="Y200" i="2" s="1"/>
  <c r="AF200" i="2" a="1"/>
  <c r="AF200" i="2" s="1"/>
  <c r="AD200" i="2" a="1"/>
  <c r="AD200" i="2" s="1"/>
  <c r="AC200" i="2" a="1"/>
  <c r="AC200" i="2" s="1"/>
  <c r="AA227" i="2" a="1"/>
  <c r="AA227" i="2" s="1"/>
  <c r="Y227" i="2" a="1"/>
  <c r="Y227" i="2" s="1"/>
  <c r="AB255" i="2" a="1"/>
  <c r="AB255" i="2" s="1"/>
  <c r="Z255" i="2" a="1"/>
  <c r="Z255" i="2" s="1"/>
  <c r="AF288" i="2" a="1"/>
  <c r="AF288" i="2" s="1"/>
  <c r="AB288" i="2" a="1"/>
  <c r="AB288" i="2" s="1"/>
  <c r="Z288" i="2" a="1"/>
  <c r="Z288" i="2" s="1"/>
  <c r="T250" i="2" a="1"/>
  <c r="T250" i="2" s="1"/>
  <c r="S250" i="2" a="1"/>
  <c r="S250" i="2" s="1"/>
  <c r="X250" i="2" a="1"/>
  <c r="X250" i="2" s="1"/>
  <c r="AD349" i="2" a="1"/>
  <c r="AD349" i="2" s="1"/>
  <c r="AA349" i="2" a="1"/>
  <c r="AA349" i="2" s="1"/>
  <c r="AB374" i="2" a="1"/>
  <c r="AB374" i="2" s="1"/>
  <c r="AG374" i="2" a="1"/>
  <c r="AG374" i="2" s="1"/>
  <c r="T374" i="2" a="1"/>
  <c r="T374" i="2" s="1"/>
  <c r="S374" i="2" a="1"/>
  <c r="S374" i="2" s="1"/>
  <c r="Y374" i="2" a="1"/>
  <c r="Y374" i="2" s="1"/>
  <c r="AE461" i="2" a="1"/>
  <c r="AE461" i="2" s="1"/>
  <c r="Y461" i="2" a="1"/>
  <c r="Y461" i="2" s="1"/>
  <c r="AB184" i="2" a="1"/>
  <c r="AB184" i="2" s="1"/>
  <c r="AF184" i="2" a="1"/>
  <c r="AF184" i="2" s="1"/>
  <c r="AE184" i="2" a="1"/>
  <c r="AE184" i="2" s="1"/>
  <c r="V184" i="2" a="1"/>
  <c r="V184" i="2" s="1"/>
  <c r="AC184" i="2" a="1"/>
  <c r="AC184" i="2" s="1"/>
  <c r="AB189" i="2" a="1"/>
  <c r="AB189" i="2" s="1"/>
  <c r="AD189" i="2" a="1"/>
  <c r="AD189" i="2" s="1"/>
  <c r="AA189" i="2" a="1"/>
  <c r="AA189" i="2" s="1"/>
  <c r="Z189" i="2" a="1"/>
  <c r="Z189" i="2" s="1"/>
  <c r="X226" i="2" a="1"/>
  <c r="X226" i="2" s="1"/>
  <c r="Y226" i="2" a="1"/>
  <c r="Y226" i="2" s="1"/>
  <c r="AA288" i="2" a="1"/>
  <c r="AA288" i="2" s="1"/>
  <c r="AE350" i="2" a="1"/>
  <c r="AE350" i="2" s="1"/>
  <c r="Z350" i="2" a="1"/>
  <c r="Z350" i="2" s="1"/>
  <c r="AC359" i="2" a="1"/>
  <c r="AC359" i="2" s="1"/>
  <c r="Z359" i="2" a="1"/>
  <c r="Z359" i="2" s="1"/>
  <c r="S359" i="2" a="1"/>
  <c r="S359" i="2" s="1"/>
  <c r="X408" i="2" a="1"/>
  <c r="X408" i="2" s="1"/>
  <c r="S408" i="2" a="1"/>
  <c r="S408" i="2" s="1"/>
  <c r="AE231" i="2" a="1"/>
  <c r="AE231" i="2" s="1"/>
  <c r="AD256" i="2" a="1"/>
  <c r="AD256" i="2" s="1"/>
  <c r="AF291" i="2" a="1"/>
  <c r="AF291" i="2" s="1"/>
  <c r="AF323" i="2" a="1"/>
  <c r="AF323" i="2" s="1"/>
  <c r="AB325" i="2" a="1"/>
  <c r="AB325" i="2" s="1"/>
  <c r="T369" i="2" a="1"/>
  <c r="T369" i="2" s="1"/>
  <c r="Y373" i="2" a="1"/>
  <c r="Y373" i="2" s="1"/>
  <c r="AG373" i="2" a="1"/>
  <c r="AG373" i="2" s="1"/>
  <c r="AB373" i="2" a="1"/>
  <c r="AB373" i="2" s="1"/>
  <c r="X396" i="2" a="1"/>
  <c r="X396" i="2" s="1"/>
  <c r="AB396" i="2" a="1"/>
  <c r="AB396" i="2" s="1"/>
  <c r="AC401" i="2" a="1"/>
  <c r="AC401" i="2" s="1"/>
  <c r="AE401" i="2" a="1"/>
  <c r="AE401" i="2" s="1"/>
  <c r="Z401" i="2" a="1"/>
  <c r="Z401" i="2" s="1"/>
  <c r="X401" i="2" a="1"/>
  <c r="X401" i="2" s="1"/>
  <c r="AG416" i="2" a="1"/>
  <c r="AG416" i="2" s="1"/>
  <c r="AA416" i="2" a="1"/>
  <c r="AA416" i="2" s="1"/>
  <c r="AB494" i="2" a="1"/>
  <c r="AB494" i="2" s="1"/>
  <c r="AF494" i="2" a="1"/>
  <c r="AF494" i="2" s="1"/>
  <c r="AD494" i="2" a="1"/>
  <c r="AD494" i="2" s="1"/>
  <c r="AC494" i="2" a="1"/>
  <c r="AC494" i="2" s="1"/>
  <c r="AA494" i="2" a="1"/>
  <c r="AA494" i="2" s="1"/>
  <c r="AC365" i="2" a="1"/>
  <c r="AC365" i="2" s="1"/>
  <c r="S365" i="2" a="1"/>
  <c r="S365" i="2" s="1"/>
  <c r="W562" i="2" a="1"/>
  <c r="W562" i="2" s="1"/>
  <c r="AC562" i="2" a="1"/>
  <c r="AC562" i="2" s="1"/>
  <c r="S562" i="2" a="1"/>
  <c r="S562" i="2" s="1"/>
  <c r="AE566" i="2" a="1"/>
  <c r="AE566" i="2" s="1"/>
  <c r="V334" i="2" a="1"/>
  <c r="V334" i="2" s="1"/>
  <c r="AB370" i="2" a="1"/>
  <c r="AB370" i="2" s="1"/>
  <c r="Y370" i="2" a="1"/>
  <c r="Y370" i="2" s="1"/>
  <c r="S370" i="2" a="1"/>
  <c r="S370" i="2" s="1"/>
  <c r="AG370" i="2" a="1"/>
  <c r="AG370" i="2" s="1"/>
  <c r="AA403" i="2" a="1"/>
  <c r="AA403" i="2" s="1"/>
  <c r="AF403" i="2" a="1"/>
  <c r="AF403" i="2" s="1"/>
  <c r="Y403" i="2" a="1"/>
  <c r="Y403" i="2" s="1"/>
  <c r="AG403" i="2" a="1"/>
  <c r="AG403" i="2" s="1"/>
  <c r="Y417" i="2" a="1"/>
  <c r="Y417" i="2" s="1"/>
  <c r="AD417" i="2" a="1"/>
  <c r="AD417" i="2" s="1"/>
  <c r="AA417" i="2" a="1"/>
  <c r="AA417" i="2" s="1"/>
  <c r="W420" i="2" a="1"/>
  <c r="W420" i="2" s="1"/>
  <c r="AG420" i="2" a="1"/>
  <c r="AG420" i="2" s="1"/>
  <c r="Z420" i="2" a="1"/>
  <c r="Z420" i="2" s="1"/>
  <c r="AG519" i="2" a="1"/>
  <c r="AG519" i="2" s="1"/>
  <c r="AB519" i="2" a="1"/>
  <c r="AB519" i="2" s="1"/>
  <c r="AA519" i="2" a="1"/>
  <c r="AA519" i="2" s="1"/>
  <c r="Y519" i="2" a="1"/>
  <c r="Y519" i="2" s="1"/>
  <c r="AG325" i="2" a="1"/>
  <c r="AG325" i="2" s="1"/>
  <c r="AM333" i="2" a="1"/>
  <c r="AM333" i="2" s="1"/>
  <c r="V352" i="2" a="1"/>
  <c r="V352" i="2" s="1"/>
  <c r="AA353" i="2" a="1"/>
  <c r="AA353" i="2" s="1"/>
  <c r="Z353" i="2" a="1"/>
  <c r="Z353" i="2" s="1"/>
  <c r="Z365" i="2" a="1"/>
  <c r="Z365" i="2" s="1"/>
  <c r="AC367" i="2" a="1"/>
  <c r="AC367" i="2" s="1"/>
  <c r="Z367" i="2" a="1"/>
  <c r="Z367" i="2" s="1"/>
  <c r="S367" i="2" a="1"/>
  <c r="S367" i="2" s="1"/>
  <c r="X376" i="2" a="1"/>
  <c r="X376" i="2" s="1"/>
  <c r="S404" i="2" a="1"/>
  <c r="S404" i="2" s="1"/>
  <c r="AG421" i="2" a="1"/>
  <c r="AG421" i="2" s="1"/>
  <c r="AD421" i="2" a="1"/>
  <c r="AD421" i="2" s="1"/>
  <c r="AB449" i="2" a="1"/>
  <c r="AB449" i="2" s="1"/>
  <c r="AD449" i="2" a="1"/>
  <c r="AD449" i="2" s="1"/>
  <c r="Y449" i="2" a="1"/>
  <c r="Y449" i="2" s="1"/>
  <c r="X508" i="2" a="1"/>
  <c r="X508" i="2" s="1"/>
  <c r="W508" i="2" a="1"/>
  <c r="W508" i="2" s="1"/>
  <c r="AB532" i="2" a="1"/>
  <c r="AB532" i="2" s="1"/>
  <c r="Z532" i="2" a="1"/>
  <c r="Z532" i="2" s="1"/>
  <c r="V532" i="2" a="1"/>
  <c r="V532" i="2" s="1"/>
  <c r="Z272" i="2" a="1"/>
  <c r="Z272" i="2" s="1"/>
  <c r="Z274" i="2" a="1"/>
  <c r="Z274" i="2" s="1"/>
  <c r="Z278" i="2" a="1"/>
  <c r="Z278" i="2" s="1"/>
  <c r="Z280" i="2" a="1"/>
  <c r="Z280" i="2" s="1"/>
  <c r="Z284" i="2" a="1"/>
  <c r="Z284" i="2" s="1"/>
  <c r="Z286" i="2" a="1"/>
  <c r="Z286" i="2" s="1"/>
  <c r="Z361" i="2" a="1"/>
  <c r="Z361" i="2" s="1"/>
  <c r="S361" i="2" a="1"/>
  <c r="S361" i="2" s="1"/>
  <c r="Y376" i="2" a="1"/>
  <c r="Y376" i="2" s="1"/>
  <c r="T376" i="2" a="1"/>
  <c r="T376" i="2" s="1"/>
  <c r="AG376" i="2" a="1"/>
  <c r="AG376" i="2" s="1"/>
  <c r="X404" i="2" a="1"/>
  <c r="X404" i="2" s="1"/>
  <c r="AF404" i="2" a="1"/>
  <c r="AF404" i="2" s="1"/>
  <c r="AG411" i="2" a="1"/>
  <c r="AG411" i="2" s="1"/>
  <c r="AF411" i="2" a="1"/>
  <c r="AF411" i="2" s="1"/>
  <c r="AA411" i="2" a="1"/>
  <c r="AA411" i="2" s="1"/>
  <c r="V411" i="2" a="1"/>
  <c r="V411" i="2" s="1"/>
  <c r="AG423" i="2" a="1"/>
  <c r="AG423" i="2" s="1"/>
  <c r="AF423" i="2" a="1"/>
  <c r="AF423" i="2" s="1"/>
  <c r="Y441" i="2" a="1"/>
  <c r="Y441" i="2" s="1"/>
  <c r="Z441" i="2" a="1"/>
  <c r="Z441" i="2" s="1"/>
  <c r="AA448" i="2" a="1"/>
  <c r="AA448" i="2" s="1"/>
  <c r="AE448" i="2" a="1"/>
  <c r="AE448" i="2" s="1"/>
  <c r="S448" i="2" a="1"/>
  <c r="S448" i="2" s="1"/>
  <c r="AD448" i="2" a="1"/>
  <c r="AD448" i="2" s="1"/>
  <c r="AB448" i="2" a="1"/>
  <c r="AB448" i="2" s="1"/>
  <c r="Y448" i="2" a="1"/>
  <c r="Y448" i="2" s="1"/>
  <c r="V521" i="2" a="1"/>
  <c r="V521" i="2" s="1"/>
  <c r="AE521" i="2" a="1"/>
  <c r="AE521" i="2" s="1"/>
  <c r="AB521" i="2" a="1"/>
  <c r="AB521" i="2" s="1"/>
  <c r="AA521" i="2" a="1"/>
  <c r="AA521" i="2" s="1"/>
  <c r="Y521" i="2" a="1"/>
  <c r="Y521" i="2" s="1"/>
  <c r="AD531" i="2" a="1"/>
  <c r="AD531" i="2" s="1"/>
  <c r="Z531" i="2" a="1"/>
  <c r="Z531" i="2" s="1"/>
  <c r="AG531" i="2" a="1"/>
  <c r="AG531" i="2" s="1"/>
  <c r="AC217" i="2" a="1"/>
  <c r="AC217" i="2" s="1"/>
  <c r="AE234" i="2" a="1"/>
  <c r="AE234" i="2" s="1"/>
  <c r="AB244" i="2" a="1"/>
  <c r="AB244" i="2" s="1"/>
  <c r="AA272" i="2" a="1"/>
  <c r="AA272" i="2" s="1"/>
  <c r="AA274" i="2" a="1"/>
  <c r="AA274" i="2" s="1"/>
  <c r="AA278" i="2" a="1"/>
  <c r="AA278" i="2" s="1"/>
  <c r="AA280" i="2" a="1"/>
  <c r="AA280" i="2" s="1"/>
  <c r="AA284" i="2" a="1"/>
  <c r="AA284" i="2" s="1"/>
  <c r="AA286" i="2" a="1"/>
  <c r="AA286" i="2" s="1"/>
  <c r="AM289" i="2" a="1"/>
  <c r="AM289" i="2" s="1"/>
  <c r="V305" i="2" a="1"/>
  <c r="V305" i="2" s="1"/>
  <c r="V323" i="2" a="1"/>
  <c r="V323" i="2" s="1"/>
  <c r="T325" i="2" a="1"/>
  <c r="T325" i="2" s="1"/>
  <c r="AB328" i="2" a="1"/>
  <c r="AB328" i="2" s="1"/>
  <c r="AB332" i="2" a="1"/>
  <c r="AB332" i="2" s="1"/>
  <c r="AE334" i="2" a="1"/>
  <c r="AE334" i="2" s="1"/>
  <c r="T344" i="2" a="1"/>
  <c r="T344" i="2" s="1"/>
  <c r="Y353" i="2" a="1"/>
  <c r="Y353" i="2" s="1"/>
  <c r="AD362" i="2" a="1"/>
  <c r="AD362" i="2" s="1"/>
  <c r="Y362" i="2" a="1"/>
  <c r="Y362" i="2" s="1"/>
  <c r="T363" i="2" a="1"/>
  <c r="T363" i="2" s="1"/>
  <c r="T370" i="2" a="1"/>
  <c r="T370" i="2" s="1"/>
  <c r="AB371" i="2" a="1"/>
  <c r="AB371" i="2" s="1"/>
  <c r="Y371" i="2" a="1"/>
  <c r="Y371" i="2" s="1"/>
  <c r="X372" i="2" a="1"/>
  <c r="X372" i="2" s="1"/>
  <c r="S390" i="2" a="1"/>
  <c r="S390" i="2" s="1"/>
  <c r="AB390" i="2" a="1"/>
  <c r="AB390" i="2" s="1"/>
  <c r="AD403" i="2" a="1"/>
  <c r="AD403" i="2" s="1"/>
  <c r="AB417" i="2" a="1"/>
  <c r="AB417" i="2" s="1"/>
  <c r="AA420" i="2" a="1"/>
  <c r="AA420" i="2" s="1"/>
  <c r="S421" i="2" a="1"/>
  <c r="S421" i="2" s="1"/>
  <c r="AE428" i="2" a="1"/>
  <c r="AE428" i="2" s="1"/>
  <c r="T428" i="2" a="1"/>
  <c r="T428" i="2" s="1"/>
  <c r="X449" i="2" a="1"/>
  <c r="X449" i="2" s="1"/>
  <c r="AC467" i="2" a="1"/>
  <c r="AC467" i="2" s="1"/>
  <c r="AB467" i="2" a="1"/>
  <c r="AB467" i="2" s="1"/>
  <c r="Z467" i="2" a="1"/>
  <c r="Z467" i="2" s="1"/>
  <c r="Y467" i="2" a="1"/>
  <c r="Y467" i="2" s="1"/>
  <c r="AF467" i="2" a="1"/>
  <c r="AF467" i="2" s="1"/>
  <c r="AA467" i="2" a="1"/>
  <c r="AA467" i="2" s="1"/>
  <c r="AE187" i="2" a="1"/>
  <c r="AE187" i="2" s="1"/>
  <c r="AC244" i="2" a="1"/>
  <c r="AC244" i="2" s="1"/>
  <c r="AB272" i="2" a="1"/>
  <c r="AB272" i="2" s="1"/>
  <c r="AB274" i="2" a="1"/>
  <c r="AB274" i="2" s="1"/>
  <c r="AB278" i="2" a="1"/>
  <c r="AB278" i="2" s="1"/>
  <c r="AB280" i="2" a="1"/>
  <c r="AB280" i="2" s="1"/>
  <c r="AB284" i="2" a="1"/>
  <c r="AB284" i="2" s="1"/>
  <c r="AB286" i="2" a="1"/>
  <c r="AB286" i="2" s="1"/>
  <c r="S304" i="2" a="1"/>
  <c r="S304" i="2" s="1"/>
  <c r="AB305" i="2" a="1"/>
  <c r="AB305" i="2" s="1"/>
  <c r="AF319" i="2" a="1"/>
  <c r="AF319" i="2" s="1"/>
  <c r="Z323" i="2" a="1"/>
  <c r="Z323" i="2" s="1"/>
  <c r="AD328" i="2" a="1"/>
  <c r="AD328" i="2" s="1"/>
  <c r="AD339" i="2" a="1"/>
  <c r="AD339" i="2" s="1"/>
  <c r="AA344" i="2" a="1"/>
  <c r="AA344" i="2" s="1"/>
  <c r="AF353" i="2" a="1"/>
  <c r="AF353" i="2" s="1"/>
  <c r="S372" i="2" a="1"/>
  <c r="S372" i="2" s="1"/>
  <c r="AB372" i="2" a="1"/>
  <c r="AB372" i="2" s="1"/>
  <c r="T372" i="2" a="1"/>
  <c r="T372" i="2" s="1"/>
  <c r="S376" i="2" a="1"/>
  <c r="S376" i="2" s="1"/>
  <c r="X391" i="2" a="1"/>
  <c r="X391" i="2" s="1"/>
  <c r="AE391" i="2" a="1"/>
  <c r="AE391" i="2" s="1"/>
  <c r="AB391" i="2" a="1"/>
  <c r="AB391" i="2" s="1"/>
  <c r="Z391" i="2" a="1"/>
  <c r="Z391" i="2" s="1"/>
  <c r="X412" i="2" a="1"/>
  <c r="X412" i="2" s="1"/>
  <c r="AE412" i="2" a="1"/>
  <c r="AE412" i="2" s="1"/>
  <c r="AB412" i="2" a="1"/>
  <c r="AB412" i="2" s="1"/>
  <c r="W412" i="2" a="1"/>
  <c r="W412" i="2" s="1"/>
  <c r="AB446" i="2" a="1"/>
  <c r="AB446" i="2" s="1"/>
  <c r="V446" i="2" a="1"/>
  <c r="V446" i="2" s="1"/>
  <c r="AB457" i="2" a="1"/>
  <c r="AB457" i="2" s="1"/>
  <c r="Y457" i="2" a="1"/>
  <c r="Y457" i="2" s="1"/>
  <c r="Z457" i="2" a="1"/>
  <c r="Z457" i="2" s="1"/>
  <c r="AE517" i="2" a="1"/>
  <c r="AE517" i="2" s="1"/>
  <c r="X517" i="2" a="1"/>
  <c r="X517" i="2" s="1"/>
  <c r="T517" i="2" a="1"/>
  <c r="T517" i="2" s="1"/>
  <c r="AE244" i="2" a="1"/>
  <c r="AE244" i="2" s="1"/>
  <c r="W256" i="2" a="1"/>
  <c r="W256" i="2" s="1"/>
  <c r="V297" i="2" a="1"/>
  <c r="V297" i="2" s="1"/>
  <c r="V304" i="2" a="1"/>
  <c r="V304" i="2" s="1"/>
  <c r="AG305" i="2" a="1"/>
  <c r="AG305" i="2" s="1"/>
  <c r="S315" i="2" a="1"/>
  <c r="S315" i="2" s="1"/>
  <c r="AG319" i="2" a="1"/>
  <c r="AG319" i="2" s="1"/>
  <c r="AB323" i="2" a="1"/>
  <c r="AB323" i="2" s="1"/>
  <c r="Z325" i="2" a="1"/>
  <c r="Z325" i="2" s="1"/>
  <c r="AF328" i="2" a="1"/>
  <c r="AF328" i="2" s="1"/>
  <c r="AF332" i="2" a="1"/>
  <c r="AF332" i="2" s="1"/>
  <c r="AF339" i="2" a="1"/>
  <c r="AF339" i="2" s="1"/>
  <c r="V342" i="2" a="1"/>
  <c r="V342" i="2" s="1"/>
  <c r="AD344" i="2" a="1"/>
  <c r="AD344" i="2" s="1"/>
  <c r="T351" i="2" a="1"/>
  <c r="T351" i="2" s="1"/>
  <c r="Z351" i="2" a="1"/>
  <c r="Z351" i="2" s="1"/>
  <c r="AC357" i="2" a="1"/>
  <c r="AC357" i="2" s="1"/>
  <c r="Z357" i="2" a="1"/>
  <c r="Z357" i="2" s="1"/>
  <c r="T357" i="2" a="1"/>
  <c r="T357" i="2" s="1"/>
  <c r="T361" i="2" a="1"/>
  <c r="T361" i="2" s="1"/>
  <c r="AC363" i="2" a="1"/>
  <c r="AC363" i="2" s="1"/>
  <c r="S363" i="2" a="1"/>
  <c r="S363" i="2" s="1"/>
  <c r="AB376" i="2" a="1"/>
  <c r="AB376" i="2" s="1"/>
  <c r="AE390" i="2" a="1"/>
  <c r="AE390" i="2" s="1"/>
  <c r="X392" i="2" a="1"/>
  <c r="X392" i="2" s="1"/>
  <c r="AA392" i="2" a="1"/>
  <c r="AA392" i="2" s="1"/>
  <c r="AF392" i="2" a="1"/>
  <c r="AF392" i="2" s="1"/>
  <c r="AF398" i="2" a="1"/>
  <c r="AF398" i="2" s="1"/>
  <c r="AC398" i="2" a="1"/>
  <c r="AC398" i="2" s="1"/>
  <c r="AA398" i="2" a="1"/>
  <c r="AA398" i="2" s="1"/>
  <c r="AM410" i="2" a="1"/>
  <c r="AM410" i="2" s="1"/>
  <c r="AK410" i="2" a="1"/>
  <c r="AK410" i="2" s="1"/>
  <c r="AG429" i="2" a="1"/>
  <c r="AG429" i="2" s="1"/>
  <c r="V429" i="2" a="1"/>
  <c r="V429" i="2" s="1"/>
  <c r="Y436" i="2" a="1"/>
  <c r="Y436" i="2" s="1"/>
  <c r="W436" i="2" a="1"/>
  <c r="W436" i="2" s="1"/>
  <c r="V436" i="2" a="1"/>
  <c r="V436" i="2" s="1"/>
  <c r="T442" i="2" a="1"/>
  <c r="T442" i="2" s="1"/>
  <c r="AP525" i="2" a="1"/>
  <c r="AP525" i="2" s="1"/>
  <c r="V335" i="2" a="1"/>
  <c r="V335" i="2" s="1"/>
  <c r="AF344" i="2" a="1"/>
  <c r="AF344" i="2" s="1"/>
  <c r="Y364" i="2" a="1"/>
  <c r="Y364" i="2" s="1"/>
  <c r="AD364" i="2" a="1"/>
  <c r="AD364" i="2" s="1"/>
  <c r="Y372" i="2" a="1"/>
  <c r="Y372" i="2" s="1"/>
  <c r="T373" i="2" a="1"/>
  <c r="T373" i="2" s="1"/>
  <c r="T384" i="2" a="1"/>
  <c r="T384" i="2" s="1"/>
  <c r="AM385" i="2" a="1"/>
  <c r="AM385" i="2" s="1"/>
  <c r="AN385" i="2" a="1"/>
  <c r="AN385" i="2" s="1"/>
  <c r="AP385" i="2" a="1"/>
  <c r="AP385" i="2" s="1"/>
  <c r="AM389" i="2" a="1"/>
  <c r="AM389" i="2" s="1"/>
  <c r="AN389" i="2" a="1"/>
  <c r="AN389" i="2" s="1"/>
  <c r="T391" i="2" a="1"/>
  <c r="T391" i="2" s="1"/>
  <c r="AG393" i="2" a="1"/>
  <c r="AG393" i="2" s="1"/>
  <c r="Z393" i="2" a="1"/>
  <c r="Z393" i="2" s="1"/>
  <c r="Y393" i="2" a="1"/>
  <c r="Y393" i="2" s="1"/>
  <c r="AA393" i="2" a="1"/>
  <c r="AA393" i="2" s="1"/>
  <c r="AC411" i="2" a="1"/>
  <c r="AC411" i="2" s="1"/>
  <c r="AF430" i="2" a="1"/>
  <c r="AF430" i="2" s="1"/>
  <c r="AA430" i="2" a="1"/>
  <c r="AA430" i="2" s="1"/>
  <c r="Y430" i="2" a="1"/>
  <c r="Y430" i="2" s="1"/>
  <c r="Y435" i="2" a="1"/>
  <c r="Y435" i="2" s="1"/>
  <c r="AB435" i="2" a="1"/>
  <c r="AB435" i="2" s="1"/>
  <c r="X442" i="2" a="1"/>
  <c r="X442" i="2" s="1"/>
  <c r="Y493" i="2" a="1"/>
  <c r="Y493" i="2" s="1"/>
  <c r="AD493" i="2" a="1"/>
  <c r="AD493" i="2" s="1"/>
  <c r="AC493" i="2" a="1"/>
  <c r="AC493" i="2" s="1"/>
  <c r="AA493" i="2" a="1"/>
  <c r="AA493" i="2" s="1"/>
  <c r="Z493" i="2" a="1"/>
  <c r="Z493" i="2" s="1"/>
  <c r="AF493" i="2" a="1"/>
  <c r="AF493" i="2" s="1"/>
  <c r="W493" i="2" a="1"/>
  <c r="W493" i="2" s="1"/>
  <c r="T493" i="2" a="1"/>
  <c r="T493" i="2" s="1"/>
  <c r="Z546" i="2" a="1"/>
  <c r="Z546" i="2" s="1"/>
  <c r="AG546" i="2" a="1"/>
  <c r="AG546" i="2" s="1"/>
  <c r="AF546" i="2" a="1"/>
  <c r="AF546" i="2" s="1"/>
  <c r="Y406" i="2" a="1"/>
  <c r="Y406" i="2" s="1"/>
  <c r="AG406" i="2" a="1"/>
  <c r="AG406" i="2" s="1"/>
  <c r="Z407" i="2" a="1"/>
  <c r="Z407" i="2" s="1"/>
  <c r="X417" i="2" a="1"/>
  <c r="X417" i="2" s="1"/>
  <c r="AA434" i="2" a="1"/>
  <c r="AA434" i="2" s="1"/>
  <c r="Z443" i="2" a="1"/>
  <c r="Z443" i="2" s="1"/>
  <c r="AG455" i="2" a="1"/>
  <c r="AG455" i="2" s="1"/>
  <c r="X493" i="2" a="1"/>
  <c r="X493" i="2" s="1"/>
  <c r="AC532" i="2" a="1"/>
  <c r="AC532" i="2" s="1"/>
  <c r="W380" i="2" a="1"/>
  <c r="W380" i="2" s="1"/>
  <c r="AA406" i="2" a="1"/>
  <c r="AA406" i="2" s="1"/>
  <c r="AF407" i="2" a="1"/>
  <c r="AF407" i="2" s="1"/>
  <c r="W408" i="2" a="1"/>
  <c r="W408" i="2" s="1"/>
  <c r="X422" i="2" a="1"/>
  <c r="X422" i="2" s="1"/>
  <c r="AE424" i="2" a="1"/>
  <c r="AE424" i="2" s="1"/>
  <c r="S434" i="2" a="1"/>
  <c r="S434" i="2" s="1"/>
  <c r="AF434" i="2" a="1"/>
  <c r="AF434" i="2" s="1"/>
  <c r="T440" i="2" a="1"/>
  <c r="T440" i="2" s="1"/>
  <c r="Y442" i="2" a="1"/>
  <c r="Y442" i="2" s="1"/>
  <c r="AF444" i="2" a="1"/>
  <c r="AF444" i="2" s="1"/>
  <c r="AA444" i="2" a="1"/>
  <c r="AA444" i="2" s="1"/>
  <c r="S449" i="2" a="1"/>
  <c r="S449" i="2" s="1"/>
  <c r="W494" i="2" a="1"/>
  <c r="W494" i="2" s="1"/>
  <c r="Y518" i="2" a="1"/>
  <c r="Y518" i="2" s="1"/>
  <c r="X518" i="2" a="1"/>
  <c r="X518" i="2" s="1"/>
  <c r="AG518" i="2" a="1"/>
  <c r="AG518" i="2" s="1"/>
  <c r="AD518" i="2" a="1"/>
  <c r="AD518" i="2" s="1"/>
  <c r="Y555" i="2" a="1"/>
  <c r="Y555" i="2" s="1"/>
  <c r="AB555" i="2" a="1"/>
  <c r="AB555" i="2" s="1"/>
  <c r="V555" i="2" a="1"/>
  <c r="V555" i="2" s="1"/>
  <c r="AO580" i="2" a="1"/>
  <c r="AO580" i="2" s="1"/>
  <c r="AN580" i="2" a="1"/>
  <c r="AN580" i="2" s="1"/>
  <c r="Y599" i="2" a="1"/>
  <c r="Y599" i="2" s="1"/>
  <c r="AE599" i="2" a="1"/>
  <c r="AE599" i="2" s="1"/>
  <c r="AF599" i="2" a="1"/>
  <c r="AF599" i="2" s="1"/>
  <c r="Z599" i="2" a="1"/>
  <c r="Z599" i="2" s="1"/>
  <c r="AG407" i="2" a="1"/>
  <c r="AG407" i="2" s="1"/>
  <c r="AC414" i="2" a="1"/>
  <c r="AC414" i="2" s="1"/>
  <c r="AA438" i="2" a="1"/>
  <c r="AA438" i="2" s="1"/>
  <c r="AD438" i="2" a="1"/>
  <c r="AD438" i="2" s="1"/>
  <c r="X440" i="2" a="1"/>
  <c r="X440" i="2" s="1"/>
  <c r="Z442" i="2" a="1"/>
  <c r="Z442" i="2" s="1"/>
  <c r="AB452" i="2" a="1"/>
  <c r="AB452" i="2" s="1"/>
  <c r="AD453" i="2" a="1"/>
  <c r="AD453" i="2" s="1"/>
  <c r="AA453" i="2" a="1"/>
  <c r="AA453" i="2" s="1"/>
  <c r="Z453" i="2" a="1"/>
  <c r="Z453" i="2" s="1"/>
  <c r="S487" i="2" a="1"/>
  <c r="S487" i="2" s="1"/>
  <c r="Y502" i="2" a="1"/>
  <c r="Y502" i="2" s="1"/>
  <c r="Z502" i="2" a="1"/>
  <c r="Z502" i="2" s="1"/>
  <c r="S505" i="2" a="1"/>
  <c r="S505" i="2" s="1"/>
  <c r="V528" i="2" a="1"/>
  <c r="V528" i="2" s="1"/>
  <c r="Z528" i="2" a="1"/>
  <c r="Z528" i="2" s="1"/>
  <c r="T528" i="2" a="1"/>
  <c r="T528" i="2" s="1"/>
  <c r="AG528" i="2" a="1"/>
  <c r="AG528" i="2" s="1"/>
  <c r="AB540" i="2" a="1"/>
  <c r="AB540" i="2" s="1"/>
  <c r="Y540" i="2" a="1"/>
  <c r="Y540" i="2" s="1"/>
  <c r="AD554" i="2" a="1"/>
  <c r="AD554" i="2" s="1"/>
  <c r="Y554" i="2" a="1"/>
  <c r="Y554" i="2" s="1"/>
  <c r="V560" i="2" a="1"/>
  <c r="V560" i="2" s="1"/>
  <c r="Y560" i="2" a="1"/>
  <c r="Y560" i="2" s="1"/>
  <c r="W585" i="2" a="1"/>
  <c r="W585" i="2" s="1"/>
  <c r="X585" i="2" a="1"/>
  <c r="X585" i="2" s="1"/>
  <c r="AG585" i="2" a="1"/>
  <c r="AG585" i="2" s="1"/>
  <c r="T585" i="2" a="1"/>
  <c r="T585" i="2" s="1"/>
  <c r="Y585" i="2" a="1"/>
  <c r="Y585" i="2" s="1"/>
  <c r="AA585" i="2" a="1"/>
  <c r="AA585" i="2" s="1"/>
  <c r="S585" i="2" a="1"/>
  <c r="S585" i="2" s="1"/>
  <c r="AE585" i="2" a="1"/>
  <c r="AE585" i="2" s="1"/>
  <c r="AD585" i="2" a="1"/>
  <c r="AD585" i="2" s="1"/>
  <c r="AD475" i="2" a="1"/>
  <c r="AD475" i="2" s="1"/>
  <c r="AB475" i="2" a="1"/>
  <c r="AB475" i="2" s="1"/>
  <c r="Z475" i="2" a="1"/>
  <c r="Z475" i="2" s="1"/>
  <c r="Y475" i="2" a="1"/>
  <c r="Y475" i="2" s="1"/>
  <c r="T475" i="2" a="1"/>
  <c r="T475" i="2" s="1"/>
  <c r="AG475" i="2" a="1"/>
  <c r="AG475" i="2" s="1"/>
  <c r="AE487" i="2" a="1"/>
  <c r="AE487" i="2" s="1"/>
  <c r="AA487" i="2" a="1"/>
  <c r="AA487" i="2" s="1"/>
  <c r="Z487" i="2" a="1"/>
  <c r="Z487" i="2" s="1"/>
  <c r="Y487" i="2" a="1"/>
  <c r="Y487" i="2" s="1"/>
  <c r="AD487" i="2" a="1"/>
  <c r="AD487" i="2" s="1"/>
  <c r="AF505" i="2" a="1"/>
  <c r="AF505" i="2" s="1"/>
  <c r="Z505" i="2" a="1"/>
  <c r="Z505" i="2" s="1"/>
  <c r="Y505" i="2" a="1"/>
  <c r="Y505" i="2" s="1"/>
  <c r="Z509" i="2" a="1"/>
  <c r="Z509" i="2" s="1"/>
  <c r="AA509" i="2" a="1"/>
  <c r="AA509" i="2" s="1"/>
  <c r="AN534" i="2" a="1"/>
  <c r="AN534" i="2" s="1"/>
  <c r="AM534" i="2" a="1"/>
  <c r="AM534" i="2" s="1"/>
  <c r="Z541" i="2" a="1"/>
  <c r="Z541" i="2" s="1"/>
  <c r="AG541" i="2" a="1"/>
  <c r="AG541" i="2" s="1"/>
  <c r="AF541" i="2" a="1"/>
  <c r="AF541" i="2" s="1"/>
  <c r="AB552" i="2" a="1"/>
  <c r="AB552" i="2" s="1"/>
  <c r="AC552" i="2" a="1"/>
  <c r="AC552" i="2" s="1"/>
  <c r="AA552" i="2" a="1"/>
  <c r="AA552" i="2" s="1"/>
  <c r="Z552" i="2" a="1"/>
  <c r="Z552" i="2" s="1"/>
  <c r="Y552" i="2" a="1"/>
  <c r="Y552" i="2" s="1"/>
  <c r="S552" i="2" a="1"/>
  <c r="S552" i="2" s="1"/>
  <c r="AD552" i="2" a="1"/>
  <c r="AD552" i="2" s="1"/>
  <c r="T578" i="2" a="1"/>
  <c r="T578" i="2" s="1"/>
  <c r="S578" i="2" a="1"/>
  <c r="S578" i="2" s="1"/>
  <c r="V586" i="2" a="1"/>
  <c r="V586" i="2" s="1"/>
  <c r="AG586" i="2" a="1"/>
  <c r="AG586" i="2" s="1"/>
  <c r="AF586" i="2" a="1"/>
  <c r="AF586" i="2" s="1"/>
  <c r="AB586" i="2" a="1"/>
  <c r="AB586" i="2" s="1"/>
  <c r="Y586" i="2" a="1"/>
  <c r="Y586" i="2" s="1"/>
  <c r="T375" i="2" a="1"/>
  <c r="T375" i="2" s="1"/>
  <c r="AP427" i="2" a="1"/>
  <c r="AP427" i="2" s="1"/>
  <c r="X441" i="2" a="1"/>
  <c r="X441" i="2" s="1"/>
  <c r="AF443" i="2" a="1"/>
  <c r="AF443" i="2" s="1"/>
  <c r="AA443" i="2" a="1"/>
  <c r="AA443" i="2" s="1"/>
  <c r="AD478" i="2" a="1"/>
  <c r="AD478" i="2" s="1"/>
  <c r="S478" i="2" a="1"/>
  <c r="S478" i="2" s="1"/>
  <c r="AF478" i="2" a="1"/>
  <c r="AF478" i="2" s="1"/>
  <c r="Y478" i="2" a="1"/>
  <c r="Y478" i="2" s="1"/>
  <c r="X488" i="2" a="1"/>
  <c r="X488" i="2" s="1"/>
  <c r="V488" i="2" a="1"/>
  <c r="V488" i="2" s="1"/>
  <c r="Y514" i="2" a="1"/>
  <c r="Y514" i="2" s="1"/>
  <c r="Z514" i="2" a="1"/>
  <c r="Z514" i="2" s="1"/>
  <c r="S514" i="2" a="1"/>
  <c r="S514" i="2" s="1"/>
  <c r="X584" i="2" a="1"/>
  <c r="X584" i="2" s="1"/>
  <c r="T358" i="2" a="1"/>
  <c r="T358" i="2" s="1"/>
  <c r="T365" i="2" a="1"/>
  <c r="T365" i="2" s="1"/>
  <c r="T371" i="2" a="1"/>
  <c r="T371" i="2" s="1"/>
  <c r="X374" i="2" a="1"/>
  <c r="X374" i="2" s="1"/>
  <c r="W415" i="2" a="1"/>
  <c r="W415" i="2" s="1"/>
  <c r="AE421" i="2" a="1"/>
  <c r="AE421" i="2" s="1"/>
  <c r="Y434" i="2" a="1"/>
  <c r="Y434" i="2" s="1"/>
  <c r="Y443" i="2" a="1"/>
  <c r="Y443" i="2" s="1"/>
  <c r="Z455" i="2" a="1"/>
  <c r="Z455" i="2" s="1"/>
  <c r="AC458" i="2" a="1"/>
  <c r="AC458" i="2" s="1"/>
  <c r="S470" i="2" a="1"/>
  <c r="S470" i="2" s="1"/>
  <c r="AG470" i="2" a="1"/>
  <c r="AG470" i="2" s="1"/>
  <c r="AD470" i="2" a="1"/>
  <c r="AD470" i="2" s="1"/>
  <c r="AB470" i="2" a="1"/>
  <c r="AB470" i="2" s="1"/>
  <c r="AA470" i="2" a="1"/>
  <c r="AA470" i="2" s="1"/>
  <c r="T470" i="2" a="1"/>
  <c r="T470" i="2" s="1"/>
  <c r="AG498" i="2" a="1"/>
  <c r="AG498" i="2" s="1"/>
  <c r="AA498" i="2" a="1"/>
  <c r="AA498" i="2" s="1"/>
  <c r="V406" i="2" a="1"/>
  <c r="V406" i="2" s="1"/>
  <c r="Z415" i="2" a="1"/>
  <c r="Z415" i="2" s="1"/>
  <c r="Y424" i="2" a="1"/>
  <c r="Y424" i="2" s="1"/>
  <c r="X424" i="2" a="1"/>
  <c r="X424" i="2" s="1"/>
  <c r="Z434" i="2" a="1"/>
  <c r="Z434" i="2" s="1"/>
  <c r="V435" i="2" a="1"/>
  <c r="V435" i="2" s="1"/>
  <c r="AA455" i="2" a="1"/>
  <c r="AA455" i="2" s="1"/>
  <c r="AD458" i="2" a="1"/>
  <c r="AD458" i="2" s="1"/>
  <c r="AF458" i="2" a="1"/>
  <c r="AF458" i="2" s="1"/>
  <c r="AA458" i="2" a="1"/>
  <c r="AA458" i="2" s="1"/>
  <c r="S458" i="2" a="1"/>
  <c r="S458" i="2" s="1"/>
  <c r="Y483" i="2" a="1"/>
  <c r="Y483" i="2" s="1"/>
  <c r="AG483" i="2" a="1"/>
  <c r="AG483" i="2" s="1"/>
  <c r="AF483" i="2" a="1"/>
  <c r="AF483" i="2" s="1"/>
  <c r="AD483" i="2" a="1"/>
  <c r="AD483" i="2" s="1"/>
  <c r="Z483" i="2" a="1"/>
  <c r="Z483" i="2" s="1"/>
  <c r="AM490" i="2" a="1"/>
  <c r="AM490" i="2" s="1"/>
  <c r="AP490" i="2" a="1"/>
  <c r="AP490" i="2" s="1"/>
  <c r="AR490" i="2" s="1" a="1"/>
  <c r="AR490" i="2" s="1"/>
  <c r="AN490" i="2" a="1"/>
  <c r="AN490" i="2" s="1"/>
  <c r="AK490" i="2" a="1"/>
  <c r="AK490" i="2" s="1"/>
  <c r="W516" i="2" a="1"/>
  <c r="W516" i="2" s="1"/>
  <c r="AC516" i="2" a="1"/>
  <c r="AC516" i="2" s="1"/>
  <c r="AB536" i="2" a="1"/>
  <c r="AB536" i="2" s="1"/>
  <c r="AA536" i="2" a="1"/>
  <c r="AA536" i="2" s="1"/>
  <c r="AD549" i="2" a="1"/>
  <c r="AD549" i="2" s="1"/>
  <c r="Y549" i="2" a="1"/>
  <c r="Y549" i="2" s="1"/>
  <c r="AB581" i="2" a="1"/>
  <c r="AB581" i="2" s="1"/>
  <c r="AG581" i="2" a="1"/>
  <c r="AG581" i="2" s="1"/>
  <c r="AB465" i="2" a="1"/>
  <c r="AB465" i="2" s="1"/>
  <c r="AF473" i="2" a="1"/>
  <c r="AF473" i="2" s="1"/>
  <c r="AP485" i="2" a="1"/>
  <c r="AP485" i="2" s="1"/>
  <c r="AO523" i="2" a="1"/>
  <c r="AO523" i="2" s="1"/>
  <c r="AC586" i="2" a="1"/>
  <c r="AC586" i="2" s="1"/>
  <c r="V606" i="2" a="1"/>
  <c r="V606" i="2" s="1"/>
  <c r="AD637" i="2" a="1"/>
  <c r="AD637" i="2" s="1"/>
  <c r="AF639" i="2" a="1"/>
  <c r="AF639" i="2" s="1"/>
  <c r="AA639" i="2" a="1"/>
  <c r="AA639" i="2" s="1"/>
  <c r="Z639" i="2" a="1"/>
  <c r="Z639" i="2" s="1"/>
  <c r="T639" i="2" a="1"/>
  <c r="T639" i="2" s="1"/>
  <c r="T649" i="2" a="1"/>
  <c r="T649" i="2" s="1"/>
  <c r="Y614" i="2" a="1"/>
  <c r="Y614" i="2" s="1"/>
  <c r="Z614" i="2" a="1"/>
  <c r="Z614" i="2" s="1"/>
  <c r="AA614" i="2" a="1"/>
  <c r="AA614" i="2" s="1"/>
  <c r="AB642" i="2" a="1"/>
  <c r="AB642" i="2" s="1"/>
  <c r="AC642" i="2" a="1"/>
  <c r="AC642" i="2" s="1"/>
  <c r="V642" i="2" a="1"/>
  <c r="V642" i="2" s="1"/>
  <c r="AD642" i="2" a="1"/>
  <c r="AD642" i="2" s="1"/>
  <c r="AA652" i="2" a="1"/>
  <c r="AA652" i="2" s="1"/>
  <c r="V652" i="2" a="1"/>
  <c r="V652" i="2" s="1"/>
  <c r="T652" i="2" a="1"/>
  <c r="T652" i="2" s="1"/>
  <c r="AF652" i="2" a="1"/>
  <c r="AF652" i="2" s="1"/>
  <c r="AD652" i="2" a="1"/>
  <c r="AD652" i="2" s="1"/>
  <c r="AC652" i="2" a="1"/>
  <c r="AC652" i="2" s="1"/>
  <c r="AB652" i="2" a="1"/>
  <c r="AB652" i="2" s="1"/>
  <c r="W652" i="2" a="1"/>
  <c r="W652" i="2" s="1"/>
  <c r="AE607" i="2" a="1"/>
  <c r="AE607" i="2" s="1"/>
  <c r="AG651" i="2" a="1"/>
  <c r="AG651" i="2" s="1"/>
  <c r="AA651" i="2" a="1"/>
  <c r="AA651" i="2" s="1"/>
  <c r="AA482" i="2" a="1"/>
  <c r="AA482" i="2" s="1"/>
  <c r="AB491" i="2" a="1"/>
  <c r="AB491" i="2" s="1"/>
  <c r="AA499" i="2" a="1"/>
  <c r="AA499" i="2" s="1"/>
  <c r="X504" i="2" a="1"/>
  <c r="X504" i="2" s="1"/>
  <c r="Y512" i="2" a="1"/>
  <c r="Y512" i="2" s="1"/>
  <c r="AA542" i="2" a="1"/>
  <c r="AA542" i="2" s="1"/>
  <c r="W547" i="2" a="1"/>
  <c r="W547" i="2" s="1"/>
  <c r="Y557" i="2" a="1"/>
  <c r="Y557" i="2" s="1"/>
  <c r="AF561" i="2" a="1"/>
  <c r="AF561" i="2" s="1"/>
  <c r="Z562" i="2" a="1"/>
  <c r="Z562" i="2" s="1"/>
  <c r="AA562" i="2" a="1"/>
  <c r="AA562" i="2" s="1"/>
  <c r="AE578" i="2" a="1"/>
  <c r="AE578" i="2" s="1"/>
  <c r="W582" i="2" a="1"/>
  <c r="W582" i="2" s="1"/>
  <c r="AF592" i="2" a="1"/>
  <c r="AF592" i="2" s="1"/>
  <c r="W608" i="2" a="1"/>
  <c r="W608" i="2" s="1"/>
  <c r="AD619" i="2" a="1"/>
  <c r="AD619" i="2" s="1"/>
  <c r="Y619" i="2" a="1"/>
  <c r="Y619" i="2" s="1"/>
  <c r="AG619" i="2" a="1"/>
  <c r="AG619" i="2" s="1"/>
  <c r="AF619" i="2" a="1"/>
  <c r="AF619" i="2" s="1"/>
  <c r="Z619" i="2" a="1"/>
  <c r="Z619" i="2" s="1"/>
  <c r="AG623" i="2" a="1"/>
  <c r="AG623" i="2" s="1"/>
  <c r="S623" i="2" a="1"/>
  <c r="S623" i="2" s="1"/>
  <c r="AF623" i="2" a="1"/>
  <c r="AF623" i="2" s="1"/>
  <c r="AA623" i="2" a="1"/>
  <c r="AA623" i="2" s="1"/>
  <c r="Y623" i="2" a="1"/>
  <c r="Y623" i="2" s="1"/>
  <c r="T623" i="2" a="1"/>
  <c r="T623" i="2" s="1"/>
  <c r="S652" i="2" a="1"/>
  <c r="S652" i="2" s="1"/>
  <c r="V454" i="2" a="1"/>
  <c r="V454" i="2" s="1"/>
  <c r="Z462" i="2" a="1"/>
  <c r="Z462" i="2" s="1"/>
  <c r="AE481" i="2" a="1"/>
  <c r="AE481" i="2" s="1"/>
  <c r="V483" i="2" a="1"/>
  <c r="V483" i="2" s="1"/>
  <c r="W484" i="2" a="1"/>
  <c r="W484" i="2" s="1"/>
  <c r="Y486" i="2" a="1"/>
  <c r="Y486" i="2" s="1"/>
  <c r="Y504" i="2" a="1"/>
  <c r="Y504" i="2" s="1"/>
  <c r="Y520" i="2" a="1"/>
  <c r="Y520" i="2" s="1"/>
  <c r="AB542" i="2" a="1"/>
  <c r="AB542" i="2" s="1"/>
  <c r="Z557" i="2" a="1"/>
  <c r="Z557" i="2" s="1"/>
  <c r="Z594" i="2" a="1"/>
  <c r="Z594" i="2" s="1"/>
  <c r="AG639" i="2" a="1"/>
  <c r="AG639" i="2" s="1"/>
  <c r="Z651" i="2" a="1"/>
  <c r="Z651" i="2" s="1"/>
  <c r="Z652" i="2" a="1"/>
  <c r="Z652" i="2" s="1"/>
  <c r="Y654" i="2" a="1"/>
  <c r="Y654" i="2" s="1"/>
  <c r="Z654" i="2" a="1"/>
  <c r="Z654" i="2" s="1"/>
  <c r="T654" i="2" a="1"/>
  <c r="T654" i="2" s="1"/>
  <c r="AG654" i="2" a="1"/>
  <c r="AG654" i="2" s="1"/>
  <c r="AF654" i="2" a="1"/>
  <c r="AF654" i="2" s="1"/>
  <c r="AD654" i="2" a="1"/>
  <c r="AD654" i="2" s="1"/>
  <c r="AA654" i="2" a="1"/>
  <c r="AA654" i="2" s="1"/>
  <c r="T655" i="2" a="1"/>
  <c r="T655" i="2" s="1"/>
  <c r="AE655" i="2" a="1"/>
  <c r="AE655" i="2" s="1"/>
  <c r="AD655" i="2" a="1"/>
  <c r="AD655" i="2" s="1"/>
  <c r="Z655" i="2" a="1"/>
  <c r="Z655" i="2" s="1"/>
  <c r="V655" i="2" a="1"/>
  <c r="V655" i="2" s="1"/>
  <c r="S655" i="2" a="1"/>
  <c r="S655" i="2" s="1"/>
  <c r="AF655" i="2" a="1"/>
  <c r="AF655" i="2" s="1"/>
  <c r="X657" i="2" a="1"/>
  <c r="X657" i="2" s="1"/>
  <c r="AC657" i="2" a="1"/>
  <c r="AC657" i="2" s="1"/>
  <c r="W657" i="2" a="1"/>
  <c r="W657" i="2" s="1"/>
  <c r="V657" i="2" a="1"/>
  <c r="V657" i="2" s="1"/>
  <c r="S657" i="2" a="1"/>
  <c r="S657" i="2" s="1"/>
  <c r="T665" i="2" a="1"/>
  <c r="T665" i="2" s="1"/>
  <c r="S665" i="2" a="1"/>
  <c r="S665" i="2" s="1"/>
  <c r="AG665" i="2" a="1"/>
  <c r="AG665" i="2" s="1"/>
  <c r="AE665" i="2" a="1"/>
  <c r="AE665" i="2" s="1"/>
  <c r="AC665" i="2" a="1"/>
  <c r="AC665" i="2" s="1"/>
  <c r="AB665" i="2" a="1"/>
  <c r="AB665" i="2" s="1"/>
  <c r="Z665" i="2" a="1"/>
  <c r="Z665" i="2" s="1"/>
  <c r="W665" i="2" a="1"/>
  <c r="W665" i="2" s="1"/>
  <c r="V665" i="2" a="1"/>
  <c r="V665" i="2" s="1"/>
  <c r="AF666" i="2" a="1"/>
  <c r="AF666" i="2" s="1"/>
  <c r="AA666" i="2" a="1"/>
  <c r="AA666" i="2" s="1"/>
  <c r="Z666" i="2" a="1"/>
  <c r="Z666" i="2" s="1"/>
  <c r="AG666" i="2" a="1"/>
  <c r="AG666" i="2" s="1"/>
  <c r="AE666" i="2" a="1"/>
  <c r="AE666" i="2" s="1"/>
  <c r="AB666" i="2" a="1"/>
  <c r="AB666" i="2" s="1"/>
  <c r="AA462" i="2" a="1"/>
  <c r="AA462" i="2" s="1"/>
  <c r="AC463" i="2" a="1"/>
  <c r="AC463" i="2" s="1"/>
  <c r="AC468" i="2" a="1"/>
  <c r="AC468" i="2" s="1"/>
  <c r="S473" i="2" a="1"/>
  <c r="S473" i="2" s="1"/>
  <c r="Z486" i="2" a="1"/>
  <c r="Z486" i="2" s="1"/>
  <c r="AD499" i="2" a="1"/>
  <c r="AD499" i="2" s="1"/>
  <c r="X500" i="2" a="1"/>
  <c r="X500" i="2" s="1"/>
  <c r="Z512" i="2" a="1"/>
  <c r="Z512" i="2" s="1"/>
  <c r="AA520" i="2" a="1"/>
  <c r="AA520" i="2" s="1"/>
  <c r="AC536" i="2" a="1"/>
  <c r="AC536" i="2" s="1"/>
  <c r="AD542" i="2" a="1"/>
  <c r="AD542" i="2" s="1"/>
  <c r="AC556" i="2" a="1"/>
  <c r="AC556" i="2" s="1"/>
  <c r="AB557" i="2" a="1"/>
  <c r="AB557" i="2" s="1"/>
  <c r="AG561" i="2" a="1"/>
  <c r="AG561" i="2" s="1"/>
  <c r="S587" i="2" a="1"/>
  <c r="S587" i="2" s="1"/>
  <c r="AE594" i="2" a="1"/>
  <c r="AE594" i="2" s="1"/>
  <c r="AB611" i="2" a="1"/>
  <c r="AB611" i="2" s="1"/>
  <c r="AA611" i="2" a="1"/>
  <c r="AA611" i="2" s="1"/>
  <c r="AG611" i="2" a="1"/>
  <c r="AG611" i="2" s="1"/>
  <c r="AF614" i="2" a="1"/>
  <c r="AF614" i="2" s="1"/>
  <c r="AF624" i="2" a="1"/>
  <c r="AF624" i="2" s="1"/>
  <c r="T624" i="2" a="1"/>
  <c r="T624" i="2" s="1"/>
  <c r="S624" i="2" a="1"/>
  <c r="S624" i="2" s="1"/>
  <c r="Z624" i="2" a="1"/>
  <c r="Z624" i="2" s="1"/>
  <c r="AG628" i="2" a="1"/>
  <c r="AG628" i="2" s="1"/>
  <c r="AA628" i="2" a="1"/>
  <c r="AA628" i="2" s="1"/>
  <c r="Y628" i="2" a="1"/>
  <c r="Y628" i="2" s="1"/>
  <c r="S628" i="2" a="1"/>
  <c r="S628" i="2" s="1"/>
  <c r="AF628" i="2" a="1"/>
  <c r="AF628" i="2" s="1"/>
  <c r="AB628" i="2" a="1"/>
  <c r="AB628" i="2" s="1"/>
  <c r="AE652" i="2" a="1"/>
  <c r="AE652" i="2" s="1"/>
  <c r="AB462" i="2" a="1"/>
  <c r="AB462" i="2" s="1"/>
  <c r="T465" i="2" a="1"/>
  <c r="T465" i="2" s="1"/>
  <c r="Y473" i="2" a="1"/>
  <c r="Y473" i="2" s="1"/>
  <c r="AA486" i="2" a="1"/>
  <c r="AA486" i="2" s="1"/>
  <c r="V495" i="2" a="1"/>
  <c r="V495" i="2" s="1"/>
  <c r="AA504" i="2" a="1"/>
  <c r="AA504" i="2" s="1"/>
  <c r="AB520" i="2" a="1"/>
  <c r="AB520" i="2" s="1"/>
  <c r="W542" i="2" a="1"/>
  <c r="W542" i="2" s="1"/>
  <c r="AC557" i="2" a="1"/>
  <c r="AC557" i="2" s="1"/>
  <c r="AK576" i="2" a="1"/>
  <c r="AK576" i="2" s="1"/>
  <c r="AA601" i="2" a="1"/>
  <c r="AA601" i="2" s="1"/>
  <c r="S610" i="2" a="1"/>
  <c r="S610" i="2" s="1"/>
  <c r="AG614" i="2" a="1"/>
  <c r="AG614" i="2" s="1"/>
  <c r="AA619" i="2" a="1"/>
  <c r="AA619" i="2" s="1"/>
  <c r="X620" i="2" a="1"/>
  <c r="X620" i="2" s="1"/>
  <c r="T620" i="2" a="1"/>
  <c r="T620" i="2" s="1"/>
  <c r="S620" i="2" a="1"/>
  <c r="S620" i="2" s="1"/>
  <c r="AF620" i="2" a="1"/>
  <c r="AF620" i="2" s="1"/>
  <c r="Y620" i="2" a="1"/>
  <c r="Y620" i="2" s="1"/>
  <c r="S621" i="2" a="1"/>
  <c r="S621" i="2" s="1"/>
  <c r="U621" i="2" s="1" a="1"/>
  <c r="U621" i="2" s="1"/>
  <c r="V623" i="2" a="1"/>
  <c r="V623" i="2" s="1"/>
  <c r="AB627" i="2" a="1"/>
  <c r="AB627" i="2" s="1"/>
  <c r="AD627" i="2" a="1"/>
  <c r="AD627" i="2" s="1"/>
  <c r="AG633" i="2" a="1"/>
  <c r="AG633" i="2" s="1"/>
  <c r="AF633" i="2" a="1"/>
  <c r="AF633" i="2" s="1"/>
  <c r="AC633" i="2" a="1"/>
  <c r="AC633" i="2" s="1"/>
  <c r="AB633" i="2" a="1"/>
  <c r="AB633" i="2" s="1"/>
  <c r="Y633" i="2" a="1"/>
  <c r="Y633" i="2" s="1"/>
  <c r="V633" i="2" a="1"/>
  <c r="V633" i="2" s="1"/>
  <c r="S633" i="2" a="1"/>
  <c r="S633" i="2" s="1"/>
  <c r="AG652" i="2" a="1"/>
  <c r="AG652" i="2" s="1"/>
  <c r="AG653" i="2" a="1"/>
  <c r="AG653" i="2" s="1"/>
  <c r="S654" i="2" a="1"/>
  <c r="S654" i="2" s="1"/>
  <c r="W655" i="2" a="1"/>
  <c r="W655" i="2" s="1"/>
  <c r="AD665" i="2" a="1"/>
  <c r="AD665" i="2" s="1"/>
  <c r="W666" i="2" a="1"/>
  <c r="W666" i="2" s="1"/>
  <c r="X669" i="2" a="1"/>
  <c r="X669" i="2" s="1"/>
  <c r="T669" i="2" a="1"/>
  <c r="T669" i="2" s="1"/>
  <c r="AB504" i="2" a="1"/>
  <c r="AB504" i="2" s="1"/>
  <c r="AF512" i="2" a="1"/>
  <c r="AF512" i="2" s="1"/>
  <c r="V520" i="2" a="1"/>
  <c r="V520" i="2" s="1"/>
  <c r="AO534" i="2" a="1"/>
  <c r="AO534" i="2" s="1"/>
  <c r="AD557" i="2" a="1"/>
  <c r="AD557" i="2" s="1"/>
  <c r="AD587" i="2" a="1"/>
  <c r="AD587" i="2" s="1"/>
  <c r="Y587" i="2" a="1"/>
  <c r="Y587" i="2" s="1"/>
  <c r="T587" i="2" a="1"/>
  <c r="T587" i="2" s="1"/>
  <c r="AE587" i="2" a="1"/>
  <c r="AE587" i="2" s="1"/>
  <c r="AE602" i="2" a="1"/>
  <c r="AE602" i="2" s="1"/>
  <c r="T602" i="2" a="1"/>
  <c r="T602" i="2" s="1"/>
  <c r="AB632" i="2" a="1"/>
  <c r="AB632" i="2" s="1"/>
  <c r="AD632" i="2" a="1"/>
  <c r="AD632" i="2" s="1"/>
  <c r="W632" i="2" a="1"/>
  <c r="W632" i="2" s="1"/>
  <c r="AG646" i="2" a="1"/>
  <c r="AG646" i="2" s="1"/>
  <c r="AE646" i="2" a="1"/>
  <c r="AE646" i="2" s="1"/>
  <c r="Z646" i="2" a="1"/>
  <c r="Z646" i="2" s="1"/>
  <c r="W646" i="2" a="1"/>
  <c r="W646" i="2" s="1"/>
  <c r="AE520" i="2" a="1"/>
  <c r="AE520" i="2" s="1"/>
  <c r="Y547" i="2" a="1"/>
  <c r="Y547" i="2" s="1"/>
  <c r="V550" i="2" a="1"/>
  <c r="V550" i="2" s="1"/>
  <c r="W557" i="2" a="1"/>
  <c r="W557" i="2" s="1"/>
  <c r="AE621" i="2" a="1"/>
  <c r="AE621" i="2" s="1"/>
  <c r="X621" i="2" a="1"/>
  <c r="X621" i="2" s="1"/>
  <c r="AG621" i="2" a="1"/>
  <c r="AG621" i="2" s="1"/>
  <c r="AF621" i="2" a="1"/>
  <c r="AF621" i="2" s="1"/>
  <c r="Z621" i="2" a="1"/>
  <c r="Z621" i="2" s="1"/>
  <c r="AF629" i="2" a="1"/>
  <c r="AF629" i="2" s="1"/>
  <c r="AA629" i="2" a="1"/>
  <c r="AA629" i="2" s="1"/>
  <c r="T629" i="2" a="1"/>
  <c r="T629" i="2" s="1"/>
  <c r="S629" i="2" a="1"/>
  <c r="S629" i="2" s="1"/>
  <c r="AG638" i="2" a="1"/>
  <c r="AG638" i="2" s="1"/>
  <c r="AB638" i="2" a="1"/>
  <c r="AB638" i="2" s="1"/>
  <c r="AA638" i="2" a="1"/>
  <c r="AA638" i="2" s="1"/>
  <c r="V638" i="2" a="1"/>
  <c r="V638" i="2" s="1"/>
  <c r="T638" i="2" a="1"/>
  <c r="T638" i="2" s="1"/>
  <c r="S638" i="2" a="1"/>
  <c r="S638" i="2" s="1"/>
  <c r="AC650" i="2" a="1"/>
  <c r="AC650" i="2" s="1"/>
  <c r="AE650" i="2" a="1"/>
  <c r="AE650" i="2" s="1"/>
  <c r="W650" i="2" a="1"/>
  <c r="W650" i="2" s="1"/>
  <c r="S650" i="2" a="1"/>
  <c r="S650" i="2" s="1"/>
  <c r="AC378" i="2" a="1"/>
  <c r="AC378" i="2" s="1"/>
  <c r="AE411" i="2" a="1"/>
  <c r="AE411" i="2" s="1"/>
  <c r="AC453" i="2" a="1"/>
  <c r="AC453" i="2" s="1"/>
  <c r="Y463" i="2" a="1"/>
  <c r="Y463" i="2" s="1"/>
  <c r="AC473" i="2" a="1"/>
  <c r="AC473" i="2" s="1"/>
  <c r="AF486" i="2" a="1"/>
  <c r="AF486" i="2" s="1"/>
  <c r="AE567" i="2" a="1"/>
  <c r="AE567" i="2" s="1"/>
  <c r="W587" i="2" a="1"/>
  <c r="W587" i="2" s="1"/>
  <c r="Y602" i="2" a="1"/>
  <c r="Y602" i="2" s="1"/>
  <c r="W613" i="2" a="1"/>
  <c r="W613" i="2" s="1"/>
  <c r="Z620" i="2" a="1"/>
  <c r="Z620" i="2" s="1"/>
  <c r="AG624" i="2" a="1"/>
  <c r="AG624" i="2" s="1"/>
  <c r="V628" i="2" a="1"/>
  <c r="V628" i="2" s="1"/>
  <c r="T633" i="2" a="1"/>
  <c r="T633" i="2" s="1"/>
  <c r="AF634" i="2" a="1"/>
  <c r="AF634" i="2" s="1"/>
  <c r="S634" i="2" a="1"/>
  <c r="S634" i="2" s="1"/>
  <c r="AG634" i="2" a="1"/>
  <c r="AG634" i="2" s="1"/>
  <c r="T634" i="2" a="1"/>
  <c r="T634" i="2" s="1"/>
  <c r="X644" i="2" a="1"/>
  <c r="X644" i="2" s="1"/>
  <c r="S644" i="2" a="1"/>
  <c r="S644" i="2" s="1"/>
  <c r="AA646" i="2" a="1"/>
  <c r="AA646" i="2" s="1"/>
  <c r="V647" i="2" a="1"/>
  <c r="V647" i="2" s="1"/>
  <c r="AC577" i="2" a="1"/>
  <c r="AC577" i="2" s="1"/>
  <c r="AD582" i="2" a="1"/>
  <c r="AD582" i="2" s="1"/>
  <c r="AB647" i="2" a="1"/>
  <c r="AB647" i="2" s="1"/>
  <c r="AF649" i="2" a="1"/>
  <c r="AF649" i="2" s="1"/>
  <c r="AC655" i="2" a="1"/>
  <c r="AC655" i="2" s="1"/>
  <c r="X662" i="2" a="1"/>
  <c r="X662" i="2" s="1"/>
  <c r="AD662" i="2" a="1"/>
  <c r="AD662" i="2" s="1"/>
  <c r="AC663" i="2" a="1"/>
  <c r="AC663" i="2" s="1"/>
  <c r="AG664" i="2" a="1"/>
  <c r="AG664" i="2" s="1"/>
  <c r="AG667" i="2" a="1"/>
  <c r="AG667" i="2" s="1"/>
  <c r="S669" i="2" a="1"/>
  <c r="S669" i="2" s="1"/>
  <c r="E463" i="3" a="1"/>
  <c r="E463" i="3" s="1"/>
  <c r="AE662" i="2" a="1"/>
  <c r="AE662" i="2" s="1"/>
  <c r="J202" i="3" a="1"/>
  <c r="J202" i="3" s="1"/>
  <c r="AF662" i="2" a="1"/>
  <c r="AF662" i="2" s="1"/>
  <c r="L434" i="3" a="1"/>
  <c r="L434" i="3" s="1"/>
  <c r="AE647" i="2" a="1"/>
  <c r="AE647" i="2" s="1"/>
  <c r="AE648" i="2" a="1"/>
  <c r="AE648" i="2" s="1"/>
  <c r="AE660" i="2" a="1"/>
  <c r="AE660" i="2" s="1"/>
  <c r="S662" i="2" a="1"/>
  <c r="S662" i="2" s="1"/>
  <c r="AG662" i="2" a="1"/>
  <c r="AG662" i="2" s="1"/>
  <c r="AF663" i="2" a="1"/>
  <c r="AF663" i="2" s="1"/>
  <c r="S642" i="2" a="1"/>
  <c r="S642" i="2" s="1"/>
  <c r="T645" i="2" a="1"/>
  <c r="T645" i="2" s="1"/>
  <c r="AG645" i="2" a="1"/>
  <c r="AG645" i="2" s="1"/>
  <c r="AF647" i="2" a="1"/>
  <c r="AF647" i="2" s="1"/>
  <c r="S649" i="2" a="1"/>
  <c r="S649" i="2" s="1"/>
  <c r="X652" i="2" a="1"/>
  <c r="X652" i="2" s="1"/>
  <c r="X653" i="2" a="1"/>
  <c r="X653" i="2" s="1"/>
  <c r="X654" i="2" a="1"/>
  <c r="X654" i="2" s="1"/>
  <c r="T660" i="2" a="1"/>
  <c r="T660" i="2" s="1"/>
  <c r="AF660" i="2" a="1"/>
  <c r="AF660" i="2" s="1"/>
  <c r="Z661" i="2" a="1"/>
  <c r="Z661" i="2" s="1"/>
  <c r="T662" i="2" a="1"/>
  <c r="T662" i="2" s="1"/>
  <c r="AG663" i="2" a="1"/>
  <c r="AG663" i="2" s="1"/>
  <c r="S664" i="2" a="1"/>
  <c r="S664" i="2" s="1"/>
  <c r="X666" i="2" a="1"/>
  <c r="X666" i="2" s="1"/>
  <c r="T670" i="2" a="1"/>
  <c r="T670" i="2" s="1"/>
  <c r="I405" i="3" a="1"/>
  <c r="I405" i="3" s="1"/>
  <c r="W603" i="2" a="1"/>
  <c r="W603" i="2" s="1"/>
  <c r="AC618" i="2" a="1"/>
  <c r="AC618" i="2" s="1"/>
  <c r="W622" i="2" a="1"/>
  <c r="W622" i="2" s="1"/>
  <c r="S645" i="2" a="1"/>
  <c r="S645" i="2" s="1"/>
  <c r="T647" i="2" a="1"/>
  <c r="T647" i="2" s="1"/>
  <c r="Z649" i="2" a="1"/>
  <c r="Z649" i="2" s="1"/>
  <c r="S660" i="2" a="1"/>
  <c r="S660" i="2" s="1"/>
  <c r="W662" i="2" a="1"/>
  <c r="W662" i="2" s="1"/>
  <c r="AA664" i="2" a="1"/>
  <c r="AA664" i="2" s="1"/>
  <c r="X665" i="2" a="1"/>
  <c r="X665" i="2" s="1"/>
  <c r="W670" i="2" a="1"/>
  <c r="W670" i="2" s="1"/>
  <c r="S582" i="2" a="1"/>
  <c r="S582" i="2" s="1"/>
  <c r="AC603" i="2" a="1"/>
  <c r="AC603" i="2" s="1"/>
  <c r="S637" i="2" a="1"/>
  <c r="S637" i="2" s="1"/>
  <c r="AE643" i="2" a="1"/>
  <c r="AE643" i="2" s="1"/>
  <c r="W645" i="2" a="1"/>
  <c r="W645" i="2" s="1"/>
  <c r="W647" i="2" a="1"/>
  <c r="W647" i="2" s="1"/>
  <c r="AB649" i="2" a="1"/>
  <c r="AB649" i="2" s="1"/>
  <c r="T650" i="2" a="1"/>
  <c r="T650" i="2" s="1"/>
  <c r="AG650" i="2" a="1"/>
  <c r="AG650" i="2" s="1"/>
  <c r="AE657" i="2" a="1"/>
  <c r="AE657" i="2" s="1"/>
  <c r="AE658" i="2" a="1"/>
  <c r="AE658" i="2" s="1"/>
  <c r="W660" i="2" a="1"/>
  <c r="W660" i="2" s="1"/>
  <c r="AB662" i="2" a="1"/>
  <c r="AB662" i="2" s="1"/>
  <c r="AD664" i="2" a="1"/>
  <c r="AD664" i="2" s="1"/>
  <c r="AE667" i="2" a="1"/>
  <c r="AE667" i="2" s="1"/>
  <c r="AE668" i="2" a="1"/>
  <c r="AE668" i="2" s="1"/>
  <c r="AB670" i="2" a="1"/>
  <c r="AB670" i="2" s="1"/>
  <c r="AC595" i="2" a="1"/>
  <c r="AC595" i="2" s="1"/>
  <c r="Z645" i="2" a="1"/>
  <c r="Z645" i="2" s="1"/>
  <c r="Z647" i="2" a="1"/>
  <c r="Z647" i="2" s="1"/>
  <c r="AD649" i="2" a="1"/>
  <c r="AD649" i="2" s="1"/>
  <c r="AF657" i="2" a="1"/>
  <c r="AF657" i="2" s="1"/>
  <c r="Z660" i="2" a="1"/>
  <c r="Z660" i="2" s="1"/>
  <c r="AC662" i="2" a="1"/>
  <c r="AC662" i="2" s="1"/>
  <c r="AF664" i="2" a="1"/>
  <c r="AF664" i="2" s="1"/>
  <c r="AF667" i="2" a="1"/>
  <c r="AF667" i="2" s="1"/>
  <c r="AD670" i="2" a="1"/>
  <c r="AD670" i="2" s="1"/>
  <c r="O376" i="3" a="1"/>
  <c r="O376" i="3" s="1"/>
  <c r="F347" i="3" a="1"/>
  <c r="F347" i="3" s="1"/>
  <c r="N86" i="3" a="1"/>
  <c r="N86" i="3" s="1"/>
  <c r="J231" i="3" a="1"/>
  <c r="J231" i="3" s="1"/>
  <c r="J173" i="3" a="1"/>
  <c r="J173" i="3" s="1"/>
  <c r="K347" i="3" a="1"/>
  <c r="K347" i="3" s="1"/>
  <c r="L115" i="3" a="1"/>
  <c r="L115" i="3" s="1"/>
  <c r="N405" i="3" a="1"/>
  <c r="N405" i="3" s="1"/>
  <c r="K260" i="3" a="1"/>
  <c r="K260" i="3" s="1"/>
  <c r="J434" i="3" a="1"/>
  <c r="J434" i="3" s="1"/>
  <c r="O434" i="3" a="1"/>
  <c r="O434" i="3" s="1"/>
  <c r="K463" i="3" a="1"/>
  <c r="K463" i="3" s="1"/>
  <c r="N463" i="3" a="1"/>
  <c r="N463" i="3" s="1"/>
  <c r="I463" i="3" a="1"/>
  <c r="I463" i="3" s="1"/>
  <c r="M463" i="3" a="1"/>
  <c r="M463" i="3" s="1"/>
  <c r="I173" i="3" a="1"/>
  <c r="I173" i="3" s="1"/>
  <c r="N51" i="3" a="1"/>
  <c r="N51" i="3" s="1"/>
  <c r="O51" i="3" a="1"/>
  <c r="O51" i="3" s="1"/>
  <c r="O202" i="3" a="1"/>
  <c r="O202" i="3" s="1"/>
  <c r="K289" i="3" a="1"/>
  <c r="K289" i="3" s="1"/>
  <c r="L347" i="3" a="1"/>
  <c r="L347" i="3" s="1"/>
  <c r="F202" i="3" a="1"/>
  <c r="F202" i="3" s="1"/>
  <c r="O318" i="3" a="1"/>
  <c r="O318" i="3" s="1"/>
  <c r="I376" i="3" a="1"/>
  <c r="I376" i="3" s="1"/>
  <c r="O144" i="3" a="1"/>
  <c r="O144" i="3" s="1"/>
  <c r="L138" i="3" a="1"/>
  <c r="L138" i="3" s="1"/>
  <c r="G202" i="3" a="1"/>
  <c r="G202" i="3" s="1"/>
  <c r="I202" i="3" a="1"/>
  <c r="I202" i="3" s="1"/>
  <c r="J376" i="3" a="1"/>
  <c r="J376" i="3" s="1"/>
  <c r="J405" i="3" a="1"/>
  <c r="J405" i="3" s="1"/>
  <c r="F144" i="3" a="1"/>
  <c r="F144" i="3" s="1"/>
  <c r="O57" i="3" a="1"/>
  <c r="O57" i="3" s="1"/>
  <c r="E173" i="3" a="1"/>
  <c r="E173" i="3" s="1"/>
  <c r="O173" i="3" a="1"/>
  <c r="O173" i="3" s="1"/>
  <c r="F318" i="3" a="1"/>
  <c r="F318" i="3" s="1"/>
  <c r="E260" i="3" a="1"/>
  <c r="E260" i="3" s="1"/>
  <c r="Q167" i="3" a="1"/>
  <c r="Q167" i="3" s="1"/>
  <c r="F231" i="3" a="1"/>
  <c r="F231" i="3" s="1"/>
  <c r="O260" i="3" a="1"/>
  <c r="O260" i="3" s="1"/>
  <c r="K434" i="3" a="1"/>
  <c r="K434" i="3" s="1"/>
  <c r="F289" i="3" a="1"/>
  <c r="F289" i="3" s="1"/>
  <c r="I254" i="3" a="1"/>
  <c r="I254" i="3" s="1"/>
  <c r="I231" i="3" a="1"/>
  <c r="I231" i="3" s="1"/>
  <c r="E347" i="3" a="1"/>
  <c r="E347" i="3" s="1"/>
  <c r="T457" i="3" a="1"/>
  <c r="T457" i="3" s="1"/>
  <c r="N434" i="3" a="1"/>
  <c r="N434" i="3" s="1"/>
  <c r="G463" i="3" a="1"/>
  <c r="G463" i="3" s="1"/>
  <c r="N376" i="3" a="1"/>
  <c r="N376" i="3" s="1"/>
  <c r="G86" i="3" a="1"/>
  <c r="G86" i="3" s="1"/>
  <c r="X80" i="3" a="1"/>
  <c r="X80" i="3" s="1"/>
  <c r="S109" i="3" a="1"/>
  <c r="S109" i="3" s="1"/>
  <c r="M109" i="3" a="1"/>
  <c r="M109" i="3" s="1"/>
  <c r="T51" i="3" a="1"/>
  <c r="T51" i="3" s="1"/>
  <c r="M51" i="3" a="1"/>
  <c r="M51" i="3" s="1"/>
  <c r="L51" i="3" a="1"/>
  <c r="L51" i="3" s="1"/>
  <c r="X51" i="3" a="1"/>
  <c r="X51" i="3" s="1"/>
  <c r="M57" i="3" a="1"/>
  <c r="M57" i="3" s="1"/>
  <c r="E57" i="3" a="1"/>
  <c r="E57" i="3" s="1"/>
  <c r="I86" i="3" a="1"/>
  <c r="I86" i="3" s="1"/>
  <c r="O86" i="3" a="1"/>
  <c r="O86" i="3" s="1"/>
  <c r="W167" i="3" a="1"/>
  <c r="W167" i="3" s="1"/>
  <c r="E196" i="3" a="1"/>
  <c r="E196" i="3" s="1"/>
  <c r="J86" i="3" a="1"/>
  <c r="J86" i="3" s="1"/>
  <c r="M173" i="3" a="1"/>
  <c r="M173" i="3" s="1"/>
  <c r="L225" i="3" a="1"/>
  <c r="L225" i="3" s="1"/>
  <c r="V51" i="3" a="1"/>
  <c r="V51" i="3" s="1"/>
  <c r="G57" i="3" a="1"/>
  <c r="G57" i="3" s="1"/>
  <c r="N80" i="3" a="1"/>
  <c r="N80" i="3" s="1"/>
  <c r="K86" i="3" a="1"/>
  <c r="K86" i="3" s="1"/>
  <c r="U109" i="3" a="1"/>
  <c r="U109" i="3" s="1"/>
  <c r="Q138" i="3" a="1"/>
  <c r="Q138" i="3" s="1"/>
  <c r="T109" i="3" a="1"/>
  <c r="T109" i="3" s="1"/>
  <c r="L109" i="3" a="1"/>
  <c r="L109" i="3" s="1"/>
  <c r="K144" i="3" a="1"/>
  <c r="K144" i="3" s="1"/>
  <c r="Q196" i="3" a="1"/>
  <c r="Q196" i="3" s="1"/>
  <c r="F51" i="3" a="1"/>
  <c r="F51" i="3" s="1"/>
  <c r="K57" i="3" a="1"/>
  <c r="K57" i="3" s="1"/>
  <c r="K138" i="3" a="1"/>
  <c r="K138" i="3" s="1"/>
  <c r="Y138" i="3" a="1"/>
  <c r="Y138" i="3" s="1"/>
  <c r="G51" i="3" a="1"/>
  <c r="G51" i="3" s="1"/>
  <c r="Q51" i="3" a="1"/>
  <c r="Q51" i="3" s="1"/>
  <c r="I57" i="3" a="1"/>
  <c r="I57" i="3" s="1"/>
  <c r="E109" i="3" a="1"/>
  <c r="E109" i="3" s="1"/>
  <c r="K115" i="3" a="1"/>
  <c r="K115" i="3" s="1"/>
  <c r="M80" i="3" a="1"/>
  <c r="M80" i="3" s="1"/>
  <c r="E28" i="3" a="1"/>
  <c r="E28" i="3" s="1"/>
  <c r="J57" i="3" a="1"/>
  <c r="J57" i="3" s="1"/>
  <c r="I80" i="3" a="1"/>
  <c r="I80" i="3" s="1"/>
  <c r="M86" i="3" a="1"/>
  <c r="M86" i="3" s="1"/>
  <c r="F109" i="3" a="1"/>
  <c r="F109" i="3" s="1"/>
  <c r="N144" i="3" a="1"/>
  <c r="N144" i="3" s="1"/>
  <c r="W196" i="3" a="1"/>
  <c r="W196" i="3" s="1"/>
  <c r="N57" i="3" a="1"/>
  <c r="N57" i="3" s="1"/>
  <c r="J51" i="3" a="1"/>
  <c r="J51" i="3" s="1"/>
  <c r="F115" i="3" a="1"/>
  <c r="F115" i="3" s="1"/>
  <c r="E115" i="3" a="1"/>
  <c r="E115" i="3" s="1"/>
  <c r="K167" i="3" a="1"/>
  <c r="K167" i="3" s="1"/>
  <c r="K196" i="3" a="1"/>
  <c r="K196" i="3" s="1"/>
  <c r="G347" i="3" a="1"/>
  <c r="G347" i="3" s="1"/>
  <c r="K202" i="3" a="1"/>
  <c r="K202" i="3" s="1"/>
  <c r="M231" i="3" a="1"/>
  <c r="M231" i="3" s="1"/>
  <c r="Q254" i="3" a="1"/>
  <c r="Q254" i="3" s="1"/>
  <c r="G144" i="3" a="1"/>
  <c r="G144" i="3" s="1"/>
  <c r="E144" i="3" a="1"/>
  <c r="E144" i="3" s="1"/>
  <c r="V196" i="3" a="1"/>
  <c r="V196" i="3" s="1"/>
  <c r="K225" i="3" a="1"/>
  <c r="K225" i="3" s="1"/>
  <c r="I144" i="3" a="1"/>
  <c r="I144" i="3" s="1"/>
  <c r="M202" i="3" a="1"/>
  <c r="M202" i="3" s="1"/>
  <c r="N202" i="3" a="1"/>
  <c r="N202" i="3" s="1"/>
  <c r="E231" i="3" a="1"/>
  <c r="E231" i="3" s="1"/>
  <c r="M115" i="3" a="1"/>
  <c r="M115" i="3" s="1"/>
  <c r="E225" i="3" a="1"/>
  <c r="E225" i="3" s="1"/>
  <c r="Q225" i="3" a="1"/>
  <c r="Q225" i="3" s="1"/>
  <c r="J260" i="3" a="1"/>
  <c r="J260" i="3" s="1"/>
  <c r="I260" i="3" a="1"/>
  <c r="I260" i="3" s="1"/>
  <c r="L144" i="3" a="1"/>
  <c r="L144" i="3" s="1"/>
  <c r="V167" i="3" a="1"/>
  <c r="V167" i="3" s="1"/>
  <c r="K173" i="3" a="1"/>
  <c r="K173" i="3" s="1"/>
  <c r="V225" i="3" a="1"/>
  <c r="V225" i="3" s="1"/>
  <c r="K231" i="3" a="1"/>
  <c r="K231" i="3" s="1"/>
  <c r="W254" i="3" a="1"/>
  <c r="W254" i="3" s="1"/>
  <c r="G289" i="3" a="1"/>
  <c r="G289" i="3" s="1"/>
  <c r="O289" i="3" a="1"/>
  <c r="O289" i="3" s="1"/>
  <c r="I370" i="3" a="1"/>
  <c r="I370" i="3" s="1"/>
  <c r="Q399" i="3" a="1"/>
  <c r="Q399" i="3" s="1"/>
  <c r="E202" i="3" a="1"/>
  <c r="E202" i="3" s="1"/>
  <c r="F225" i="3" a="1"/>
  <c r="F225" i="3" s="1"/>
  <c r="J289" i="3" a="1"/>
  <c r="J289" i="3" s="1"/>
  <c r="I289" i="3" a="1"/>
  <c r="I289" i="3" s="1"/>
  <c r="J283" i="3" a="1"/>
  <c r="J283" i="3" s="1"/>
  <c r="Q283" i="3" a="1"/>
  <c r="Q283" i="3" s="1"/>
  <c r="X283" i="3" a="1"/>
  <c r="X283" i="3" s="1"/>
  <c r="W312" i="3" a="1"/>
  <c r="W312" i="3" s="1"/>
  <c r="G231" i="3" a="1"/>
  <c r="G231" i="3" s="1"/>
  <c r="O231" i="3" a="1"/>
  <c r="O231" i="3" s="1"/>
  <c r="M260" i="3" a="1"/>
  <c r="M260" i="3" s="1"/>
  <c r="Q341" i="3" a="1"/>
  <c r="Q341" i="3" s="1"/>
  <c r="E289" i="3" a="1"/>
  <c r="E289" i="3" s="1"/>
  <c r="I312" i="3" a="1"/>
  <c r="I312" i="3" s="1"/>
  <c r="I341" i="3" a="1"/>
  <c r="I341" i="3" s="1"/>
  <c r="G260" i="3" a="1"/>
  <c r="G260" i="3" s="1"/>
  <c r="O347" i="3" a="1"/>
  <c r="O347" i="3" s="1"/>
  <c r="E428" i="3" a="1"/>
  <c r="E428" i="3" s="1"/>
  <c r="O312" i="3" a="1"/>
  <c r="O312" i="3" s="1"/>
  <c r="G318" i="3" a="1"/>
  <c r="G318" i="3" s="1"/>
  <c r="E318" i="3" a="1"/>
  <c r="E318" i="3" s="1"/>
  <c r="J341" i="3" a="1"/>
  <c r="J341" i="3" s="1"/>
  <c r="X341" i="3" a="1"/>
  <c r="X341" i="3" s="1"/>
  <c r="J347" i="3" a="1"/>
  <c r="J347" i="3" s="1"/>
  <c r="Q370" i="3" a="1"/>
  <c r="Q370" i="3" s="1"/>
  <c r="Y370" i="3" a="1"/>
  <c r="Y370" i="3" s="1"/>
  <c r="S399" i="3" a="1"/>
  <c r="S399" i="3" s="1"/>
  <c r="F457" i="3" a="1"/>
  <c r="F457" i="3" s="1"/>
  <c r="I318" i="3" a="1"/>
  <c r="I318" i="3" s="1"/>
  <c r="J370" i="3" a="1"/>
  <c r="J370" i="3" s="1"/>
  <c r="G405" i="3" a="1"/>
  <c r="G405" i="3" s="1"/>
  <c r="J318" i="3" a="1"/>
  <c r="J318" i="3" s="1"/>
  <c r="N318" i="3" a="1"/>
  <c r="N318" i="3" s="1"/>
  <c r="L376" i="3" a="1"/>
  <c r="L376" i="3" s="1"/>
  <c r="U399" i="3" a="1"/>
  <c r="U399" i="3" s="1"/>
  <c r="K318" i="3" a="1"/>
  <c r="K318" i="3" s="1"/>
  <c r="M376" i="3" a="1"/>
  <c r="M376" i="3" s="1"/>
  <c r="E399" i="3" a="1"/>
  <c r="E399" i="3" s="1"/>
  <c r="L289" i="3" a="1"/>
  <c r="L289" i="3" s="1"/>
  <c r="L318" i="3" a="1"/>
  <c r="L318" i="3" s="1"/>
  <c r="N347" i="3" a="1"/>
  <c r="N347" i="3" s="1"/>
  <c r="F376" i="3" a="1"/>
  <c r="F376" i="3" s="1"/>
  <c r="K405" i="3" a="1"/>
  <c r="K405" i="3" s="1"/>
  <c r="E457" i="3" a="1"/>
  <c r="E457" i="3" s="1"/>
  <c r="O399" i="3" a="1"/>
  <c r="O399" i="3" s="1"/>
  <c r="T428" i="3" a="1"/>
  <c r="T428" i="3" s="1"/>
  <c r="M457" i="3" a="1"/>
  <c r="M457" i="3" s="1"/>
  <c r="G376" i="3" a="1"/>
  <c r="G376" i="3" s="1"/>
  <c r="E376" i="3" a="1"/>
  <c r="E376" i="3" s="1"/>
  <c r="F405" i="3" a="1"/>
  <c r="F405" i="3" s="1"/>
  <c r="V457" i="3" a="1"/>
  <c r="V457" i="3" s="1"/>
  <c r="O428" i="3" a="1"/>
  <c r="O428" i="3" s="1"/>
  <c r="P457" i="3" a="1"/>
  <c r="P457" i="3" s="1"/>
  <c r="X457" i="3" a="1"/>
  <c r="X457" i="3" s="1"/>
  <c r="O463" i="3" a="1"/>
  <c r="O463" i="3" s="1"/>
  <c r="E434" i="3" a="1"/>
  <c r="E434" i="3" s="1"/>
  <c r="L405" i="3" a="1"/>
  <c r="L405" i="3" s="1"/>
  <c r="F434" i="3" a="1"/>
  <c r="F434" i="3" s="1"/>
  <c r="M434" i="3" a="1"/>
  <c r="M434" i="3" s="1"/>
  <c r="N457" i="3" a="1"/>
  <c r="N457" i="3" s="1"/>
  <c r="G434" i="3" a="1"/>
  <c r="G434" i="3" s="1"/>
  <c r="I434" i="3" a="1"/>
  <c r="I434" i="3" s="1"/>
  <c r="D4" i="5" a="1"/>
  <c r="D4" i="5" s="1"/>
  <c r="D4" i="4" a="1"/>
  <c r="D4" i="4" s="1"/>
  <c r="D2" i="3" a="1"/>
  <c r="D2" i="3" s="1"/>
  <c r="U5" i="12" a="1"/>
  <c r="U5" i="12" s="1"/>
  <c r="D6" i="7" a="1"/>
  <c r="D6" i="7" s="1"/>
  <c r="D6" i="6" a="1"/>
  <c r="D6" i="6" s="1"/>
  <c r="D13" i="4" a="1"/>
  <c r="D13" i="4" s="1"/>
  <c r="D6" i="3" a="1"/>
  <c r="D6" i="3" s="1"/>
  <c r="E10" i="12" a="1"/>
  <c r="E10" i="12" s="1"/>
  <c r="B8" i="6" a="1"/>
  <c r="B8" i="6" s="1"/>
  <c r="B15" i="4" a="1"/>
  <c r="B15" i="4" s="1"/>
  <c r="B24" i="4" a="1"/>
  <c r="B24" i="4" s="1"/>
  <c r="B14" i="5" a="1"/>
  <c r="B14" i="5" s="1"/>
  <c r="AE41" i="2" a="1"/>
  <c r="AE41" i="2" s="1"/>
  <c r="X41" i="2" a="1"/>
  <c r="X41" i="2" s="1"/>
  <c r="B22" i="8" a="1"/>
  <c r="B22" i="8" s="1"/>
  <c r="E18" i="12" a="1"/>
  <c r="E18" i="12" s="1"/>
  <c r="B24" i="8" a="1"/>
  <c r="B24" i="8" s="1"/>
  <c r="E36" i="12" a="1"/>
  <c r="E36" i="12" s="1"/>
  <c r="E43" i="12" a="1"/>
  <c r="E43" i="12" s="1"/>
  <c r="E148" i="12" a="1"/>
  <c r="E148" i="12" s="1"/>
  <c r="U305" i="12" a="1"/>
  <c r="U305" i="12" s="1"/>
  <c r="S103" i="2" a="1"/>
  <c r="S103" i="2" s="1"/>
  <c r="V103" i="2" a="1"/>
  <c r="V103" i="2" s="1"/>
  <c r="D8" i="6" a="1"/>
  <c r="D8" i="6" s="1"/>
  <c r="D15" i="4" a="1"/>
  <c r="D15" i="4" s="1"/>
  <c r="B5" i="9" a="1"/>
  <c r="B5" i="9" s="1"/>
  <c r="U18" i="12" a="1"/>
  <c r="U18" i="12" s="1"/>
  <c r="E14" i="12" a="1"/>
  <c r="E14" i="12" s="1"/>
  <c r="B25" i="8" a="1"/>
  <c r="B25" i="8" s="1"/>
  <c r="B25" i="7" a="1"/>
  <c r="B25" i="7" s="1"/>
  <c r="B22" i="6" a="1"/>
  <c r="B22" i="6" s="1"/>
  <c r="B44" i="4" a="1"/>
  <c r="B44" i="4" s="1"/>
  <c r="AF86" i="2" a="1"/>
  <c r="AF86" i="2" s="1"/>
  <c r="Z86" i="2" a="1"/>
  <c r="Z86" i="2" s="1"/>
  <c r="X86" i="2" a="1"/>
  <c r="X86" i="2" s="1"/>
  <c r="AC86" i="2" a="1"/>
  <c r="AC86" i="2" s="1"/>
  <c r="W86" i="2" a="1"/>
  <c r="W86" i="2" s="1"/>
  <c r="AA86" i="2" a="1"/>
  <c r="AA86" i="2" s="1"/>
  <c r="AD86" i="2" a="1"/>
  <c r="AD86" i="2" s="1"/>
  <c r="S86" i="2" a="1"/>
  <c r="S86" i="2" s="1"/>
  <c r="AB86" i="2" a="1"/>
  <c r="AB86" i="2" s="1"/>
  <c r="Y86" i="2" a="1"/>
  <c r="Y86" i="2" s="1"/>
  <c r="AG86" i="2" a="1"/>
  <c r="AG86" i="2" s="1"/>
  <c r="V86" i="2" a="1"/>
  <c r="V86" i="2" s="1"/>
  <c r="AE86" i="2" a="1"/>
  <c r="AE86" i="2" s="1"/>
  <c r="T86" i="2" a="1"/>
  <c r="T86" i="2" s="1"/>
  <c r="B15" i="9" a="1"/>
  <c r="B15" i="9" s="1"/>
  <c r="E61" i="12" a="1"/>
  <c r="E61" i="12" s="1"/>
  <c r="W9" i="2" a="1"/>
  <c r="W9" i="2" s="1"/>
  <c r="Z9" i="2" a="1"/>
  <c r="Z9" i="2" s="1"/>
  <c r="T9" i="2" a="1"/>
  <c r="T9" i="2" s="1"/>
  <c r="AC9" i="2" a="1"/>
  <c r="AC9" i="2" s="1"/>
  <c r="V9" i="2" a="1"/>
  <c r="V9" i="2" s="1"/>
  <c r="AB9" i="2" a="1"/>
  <c r="AB9" i="2" s="1"/>
  <c r="X9" i="2" a="1"/>
  <c r="X9" i="2" s="1"/>
  <c r="AG9" i="2" a="1"/>
  <c r="AG9" i="2" s="1"/>
  <c r="S9" i="2" a="1"/>
  <c r="S9" i="2" s="1"/>
  <c r="Y9" i="2" a="1"/>
  <c r="Y9" i="2" s="1"/>
  <c r="AD9" i="2" a="1"/>
  <c r="AD9" i="2" s="1"/>
  <c r="AA9" i="2" a="1"/>
  <c r="AA9" i="2" s="1"/>
  <c r="AF9" i="2" a="1"/>
  <c r="AF9" i="2" s="1"/>
  <c r="AE9" i="2" a="1"/>
  <c r="AE9" i="2" s="1"/>
  <c r="Y14" i="3" a="1"/>
  <c r="Y14" i="3" s="1"/>
  <c r="E24" i="12" a="1"/>
  <c r="E24" i="12" s="1"/>
  <c r="E26" i="12" a="1"/>
  <c r="E26" i="12" s="1"/>
  <c r="J14" i="3" a="1"/>
  <c r="J14" i="3" s="1"/>
  <c r="U116" i="12" a="1"/>
  <c r="U116" i="12" s="1"/>
  <c r="E17" i="12" a="1"/>
  <c r="E17" i="12" s="1"/>
  <c r="D7" i="7" a="1"/>
  <c r="D7" i="7" s="1"/>
  <c r="D17" i="4" a="1"/>
  <c r="D17" i="4" s="1"/>
  <c r="B8" i="7" a="1"/>
  <c r="B8" i="7" s="1"/>
  <c r="B11" i="5" a="1"/>
  <c r="B11" i="5" s="1"/>
  <c r="B18" i="4" a="1"/>
  <c r="B18" i="4" s="1"/>
  <c r="E103" i="12" a="1"/>
  <c r="E103" i="12" s="1"/>
  <c r="B15" i="8" a="1"/>
  <c r="B15" i="8" s="1"/>
  <c r="E110" i="12" a="1"/>
  <c r="E110" i="12" s="1"/>
  <c r="B19" i="5" a="1"/>
  <c r="B19" i="5" s="1"/>
  <c r="B34" i="4" a="1"/>
  <c r="B34" i="4" s="1"/>
  <c r="D17" i="6" a="1"/>
  <c r="D17" i="6" s="1"/>
  <c r="D30" i="4" a="1"/>
  <c r="D30" i="4" s="1"/>
  <c r="AC73" i="2" a="1"/>
  <c r="AC73" i="2" s="1"/>
  <c r="S73" i="2" a="1"/>
  <c r="S73" i="2" s="1"/>
  <c r="X73" i="2" a="1"/>
  <c r="X73" i="2" s="1"/>
  <c r="V73" i="2" a="1"/>
  <c r="V73" i="2" s="1"/>
  <c r="AF78" i="2" a="1"/>
  <c r="AF78" i="2" s="1"/>
  <c r="T78" i="2" a="1"/>
  <c r="T78" i="2" s="1"/>
  <c r="Z78" i="2" a="1"/>
  <c r="Z78" i="2" s="1"/>
  <c r="AC78" i="2" a="1"/>
  <c r="AC78" i="2" s="1"/>
  <c r="W78" i="2" a="1"/>
  <c r="W78" i="2" s="1"/>
  <c r="AA78" i="2" a="1"/>
  <c r="AA78" i="2" s="1"/>
  <c r="AG78" i="2" a="1"/>
  <c r="AG78" i="2" s="1"/>
  <c r="V78" i="2" a="1"/>
  <c r="V78" i="2" s="1"/>
  <c r="AE78" i="2" a="1"/>
  <c r="AE78" i="2" s="1"/>
  <c r="Y78" i="2" a="1"/>
  <c r="Y78" i="2" s="1"/>
  <c r="AB78" i="2" a="1"/>
  <c r="AB78" i="2" s="1"/>
  <c r="AD78" i="2" a="1"/>
  <c r="AD78" i="2" s="1"/>
  <c r="S78" i="2" a="1"/>
  <c r="S78" i="2" s="1"/>
  <c r="X78" i="2" a="1"/>
  <c r="X78" i="2" s="1"/>
  <c r="X84" i="2" a="1"/>
  <c r="X84" i="2" s="1"/>
  <c r="W84" i="2" a="1"/>
  <c r="W84" i="2" s="1"/>
  <c r="S84" i="2" a="1"/>
  <c r="S84" i="2" s="1"/>
  <c r="AC84" i="2" a="1"/>
  <c r="AC84" i="2" s="1"/>
  <c r="U207" i="12" a="1"/>
  <c r="U207" i="12" s="1"/>
  <c r="AC27" i="2" a="1"/>
  <c r="AC27" i="2" s="1"/>
  <c r="W27" i="2" a="1"/>
  <c r="W27" i="2" s="1"/>
  <c r="Z27" i="2" a="1"/>
  <c r="Z27" i="2" s="1"/>
  <c r="X27" i="2" a="1"/>
  <c r="X27" i="2" s="1"/>
  <c r="AD27" i="2" a="1"/>
  <c r="AD27" i="2" s="1"/>
  <c r="V27" i="2" a="1"/>
  <c r="V27" i="2" s="1"/>
  <c r="AG27" i="2" a="1"/>
  <c r="AG27" i="2" s="1"/>
  <c r="S27" i="2" a="1"/>
  <c r="S27" i="2" s="1"/>
  <c r="AB27" i="2" a="1"/>
  <c r="AB27" i="2" s="1"/>
  <c r="AF27" i="2" a="1"/>
  <c r="AF27" i="2" s="1"/>
  <c r="Y27" i="2" a="1"/>
  <c r="Y27" i="2" s="1"/>
  <c r="AA27" i="2" a="1"/>
  <c r="AA27" i="2" s="1"/>
  <c r="T27" i="2" a="1"/>
  <c r="T27" i="2" s="1"/>
  <c r="AE27" i="2" a="1"/>
  <c r="AE27" i="2" s="1"/>
  <c r="X11" i="2" a="1"/>
  <c r="X11" i="2" s="1"/>
  <c r="AA11" i="2" a="1"/>
  <c r="AA11" i="2" s="1"/>
  <c r="V11" i="2" a="1"/>
  <c r="V11" i="2" s="1"/>
  <c r="AB11" i="2" a="1"/>
  <c r="AB11" i="2" s="1"/>
  <c r="T11" i="2" a="1"/>
  <c r="T11" i="2" s="1"/>
  <c r="AE11" i="2" a="1"/>
  <c r="AE11" i="2" s="1"/>
  <c r="AG11" i="2" a="1"/>
  <c r="AG11" i="2" s="1"/>
  <c r="Z11" i="2" a="1"/>
  <c r="Z11" i="2" s="1"/>
  <c r="S11" i="2" a="1"/>
  <c r="S11" i="2" s="1"/>
  <c r="AF11" i="2" a="1"/>
  <c r="AF11" i="2" s="1"/>
  <c r="Y11" i="2" a="1"/>
  <c r="Y11" i="2" s="1"/>
  <c r="AD11" i="2" a="1"/>
  <c r="AD11" i="2" s="1"/>
  <c r="W11" i="2" a="1"/>
  <c r="W11" i="2" s="1"/>
  <c r="AC11" i="2" a="1"/>
  <c r="AC11" i="2" s="1"/>
  <c r="AC49" i="2" a="1"/>
  <c r="AC49" i="2" s="1"/>
  <c r="W49" i="2" a="1"/>
  <c r="W49" i="2" s="1"/>
  <c r="AF49" i="2" a="1"/>
  <c r="AF49" i="2" s="1"/>
  <c r="AB49" i="2" a="1"/>
  <c r="AB49" i="2" s="1"/>
  <c r="T49" i="2" a="1"/>
  <c r="T49" i="2" s="1"/>
  <c r="AG49" i="2" a="1"/>
  <c r="AG49" i="2" s="1"/>
  <c r="Y49" i="2" a="1"/>
  <c r="Y49" i="2" s="1"/>
  <c r="AA49" i="2" a="1"/>
  <c r="AA49" i="2" s="1"/>
  <c r="S49" i="2" a="1"/>
  <c r="S49" i="2" s="1"/>
  <c r="Z49" i="2" a="1"/>
  <c r="Z49" i="2" s="1"/>
  <c r="X49" i="2" a="1"/>
  <c r="X49" i="2" s="1"/>
  <c r="AE49" i="2" a="1"/>
  <c r="AE49" i="2" s="1"/>
  <c r="AD49" i="2" a="1"/>
  <c r="AD49" i="2" s="1"/>
  <c r="V49" i="2" a="1"/>
  <c r="V49" i="2" s="1"/>
  <c r="B10" i="9" a="1"/>
  <c r="B10" i="9" s="1"/>
  <c r="X79" i="2" a="1"/>
  <c r="X79" i="2" s="1"/>
  <c r="AC79" i="2" a="1"/>
  <c r="AC79" i="2" s="1"/>
  <c r="AA79" i="2" a="1"/>
  <c r="AA79" i="2" s="1"/>
  <c r="AF79" i="2" a="1"/>
  <c r="AF79" i="2" s="1"/>
  <c r="AD79" i="2" a="1"/>
  <c r="AD79" i="2" s="1"/>
  <c r="S79" i="2" a="1"/>
  <c r="S79" i="2" s="1"/>
  <c r="AE79" i="2" a="1"/>
  <c r="AE79" i="2" s="1"/>
  <c r="AB79" i="2" a="1"/>
  <c r="AB79" i="2" s="1"/>
  <c r="Y79" i="2" a="1"/>
  <c r="Y79" i="2" s="1"/>
  <c r="Z79" i="2" a="1"/>
  <c r="Z79" i="2" s="1"/>
  <c r="W79" i="2" a="1"/>
  <c r="W79" i="2" s="1"/>
  <c r="AG79" i="2" a="1"/>
  <c r="AG79" i="2" s="1"/>
  <c r="V79" i="2" a="1"/>
  <c r="V79" i="2" s="1"/>
  <c r="T79" i="2" a="1"/>
  <c r="T79" i="2" s="1"/>
  <c r="D26" i="7" a="1"/>
  <c r="D26" i="7" s="1"/>
  <c r="D45" i="4" a="1"/>
  <c r="D45" i="4" s="1"/>
  <c r="J25" i="3" a="1"/>
  <c r="J25" i="3" s="1"/>
  <c r="J28" i="3" s="1" a="1"/>
  <c r="J28" i="3" s="1"/>
  <c r="D9" i="7" a="1"/>
  <c r="D9" i="7" s="1"/>
  <c r="D12" i="5" a="1"/>
  <c r="D12" i="5" s="1"/>
  <c r="D19" i="4" a="1"/>
  <c r="D19" i="4" s="1"/>
  <c r="S10" i="3" a="1"/>
  <c r="S10" i="3" s="1"/>
  <c r="N6" i="3" a="1"/>
  <c r="N6" i="3" s="1"/>
  <c r="E47" i="12" a="1"/>
  <c r="E47" i="12" s="1"/>
  <c r="AC40" i="2" a="1"/>
  <c r="AC40" i="2" s="1"/>
  <c r="S40" i="2" a="1"/>
  <c r="S40" i="2" s="1"/>
  <c r="S70" i="2" a="1"/>
  <c r="S70" i="2" s="1"/>
  <c r="AE70" i="2" a="1"/>
  <c r="AE70" i="2" s="1"/>
  <c r="T70" i="2" a="1"/>
  <c r="T70" i="2" s="1"/>
  <c r="X70" i="2" a="1"/>
  <c r="X70" i="2" s="1"/>
  <c r="V70" i="2" a="1"/>
  <c r="V70" i="2" s="1"/>
  <c r="AC70" i="2" a="1"/>
  <c r="AC70" i="2" s="1"/>
  <c r="W70" i="2" a="1"/>
  <c r="W70" i="2" s="1"/>
  <c r="U166" i="12" a="1"/>
  <c r="U166" i="12" s="1"/>
  <c r="E76" i="12" a="1"/>
  <c r="E76" i="12" s="1"/>
  <c r="AF95" i="2" a="1"/>
  <c r="AF95" i="2" s="1"/>
  <c r="Z95" i="2" a="1"/>
  <c r="Z95" i="2" s="1"/>
  <c r="X95" i="2" a="1"/>
  <c r="X95" i="2" s="1"/>
  <c r="AC95" i="2" a="1"/>
  <c r="AC95" i="2" s="1"/>
  <c r="AG95" i="2" a="1"/>
  <c r="AG95" i="2" s="1"/>
  <c r="AA95" i="2" a="1"/>
  <c r="AA95" i="2" s="1"/>
  <c r="Y95" i="2" a="1"/>
  <c r="Y95" i="2" s="1"/>
  <c r="W95" i="2" a="1"/>
  <c r="W95" i="2" s="1"/>
  <c r="V95" i="2" a="1"/>
  <c r="V95" i="2" s="1"/>
  <c r="AE95" i="2" a="1"/>
  <c r="AE95" i="2" s="1"/>
  <c r="T95" i="2" a="1"/>
  <c r="T95" i="2" s="1"/>
  <c r="AD95" i="2" a="1"/>
  <c r="AD95" i="2" s="1"/>
  <c r="S95" i="2" a="1"/>
  <c r="S95" i="2" s="1"/>
  <c r="AB95" i="2" a="1"/>
  <c r="AB95" i="2" s="1"/>
  <c r="AF38" i="2" a="1"/>
  <c r="AF38" i="2" s="1"/>
  <c r="Z38" i="2" a="1"/>
  <c r="Z38" i="2" s="1"/>
  <c r="X38" i="2" a="1"/>
  <c r="X38" i="2" s="1"/>
  <c r="AD38" i="2" a="1"/>
  <c r="AD38" i="2" s="1"/>
  <c r="V38" i="2" a="1"/>
  <c r="V38" i="2" s="1"/>
  <c r="AC38" i="2" a="1"/>
  <c r="AC38" i="2" s="1"/>
  <c r="AB38" i="2" a="1"/>
  <c r="AB38" i="2" s="1"/>
  <c r="AG38" i="2" a="1"/>
  <c r="AG38" i="2" s="1"/>
  <c r="T38" i="2" a="1"/>
  <c r="T38" i="2" s="1"/>
  <c r="Y38" i="2" a="1"/>
  <c r="Y38" i="2" s="1"/>
  <c r="AA38" i="2" a="1"/>
  <c r="AA38" i="2" s="1"/>
  <c r="S38" i="2" a="1"/>
  <c r="S38" i="2" s="1"/>
  <c r="AE38" i="2" a="1"/>
  <c r="AE38" i="2" s="1"/>
  <c r="W38" i="2" a="1"/>
  <c r="W38" i="2" s="1"/>
  <c r="W671" i="12" a="1"/>
  <c r="W671" i="12" s="1"/>
  <c r="AK39" i="2" a="1"/>
  <c r="AK39" i="2" s="1"/>
  <c r="AN39" i="2" a="1"/>
  <c r="AN39" i="2" s="1"/>
  <c r="AO39" i="2" a="1"/>
  <c r="AO39" i="2" s="1"/>
  <c r="AM39" i="2" a="1"/>
  <c r="AM39" i="2" s="1"/>
  <c r="AP39" i="2" a="1"/>
  <c r="AP39" i="2" s="1"/>
  <c r="D18" i="5" a="1"/>
  <c r="D18" i="5" s="1"/>
  <c r="D33" i="4" a="1"/>
  <c r="D33" i="4" s="1"/>
  <c r="AR47" i="2" a="1"/>
  <c r="AR47" i="2" s="1"/>
  <c r="B9" i="9" a="1"/>
  <c r="B9" i="9" s="1"/>
  <c r="E51" i="12" a="1"/>
  <c r="E51" i="12" s="1"/>
  <c r="AD96" i="2" a="1"/>
  <c r="AD96" i="2" s="1"/>
  <c r="S96" i="2" a="1"/>
  <c r="S96" i="2" s="1"/>
  <c r="X96" i="2" a="1"/>
  <c r="X96" i="2" s="1"/>
  <c r="AG96" i="2" a="1"/>
  <c r="AG96" i="2" s="1"/>
  <c r="AA96" i="2" a="1"/>
  <c r="AA96" i="2" s="1"/>
  <c r="AF96" i="2" a="1"/>
  <c r="AF96" i="2" s="1"/>
  <c r="Y96" i="2" a="1"/>
  <c r="Y96" i="2" s="1"/>
  <c r="W96" i="2" a="1"/>
  <c r="W96" i="2" s="1"/>
  <c r="V96" i="2" a="1"/>
  <c r="V96" i="2" s="1"/>
  <c r="AE96" i="2" a="1"/>
  <c r="AE96" i="2" s="1"/>
  <c r="T96" i="2" a="1"/>
  <c r="T96" i="2" s="1"/>
  <c r="AC96" i="2" a="1"/>
  <c r="AC96" i="2" s="1"/>
  <c r="AB96" i="2" a="1"/>
  <c r="AB96" i="2" s="1"/>
  <c r="Z96" i="2" a="1"/>
  <c r="Z96" i="2" s="1"/>
  <c r="U7" i="12" a="1"/>
  <c r="U7" i="12" s="1"/>
  <c r="D9" i="5" a="1"/>
  <c r="D9" i="5" s="1"/>
  <c r="D11" i="4" a="1"/>
  <c r="D11" i="4" s="1"/>
  <c r="E23" i="12" a="1"/>
  <c r="E23" i="12" s="1"/>
  <c r="E113" i="12" a="1"/>
  <c r="E113" i="12" s="1"/>
  <c r="U63" i="12" a="1"/>
  <c r="U63" i="12" s="1"/>
  <c r="AF15" i="2" a="1"/>
  <c r="AF15" i="2" s="1"/>
  <c r="AC15" i="2" a="1"/>
  <c r="AC15" i="2" s="1"/>
  <c r="V15" i="2" a="1"/>
  <c r="V15" i="2" s="1"/>
  <c r="AG15" i="2" a="1"/>
  <c r="AG15" i="2" s="1"/>
  <c r="S15" i="2" a="1"/>
  <c r="S15" i="2" s="1"/>
  <c r="Y15" i="2" a="1"/>
  <c r="Y15" i="2" s="1"/>
  <c r="Z15" i="2" a="1"/>
  <c r="Z15" i="2" s="1"/>
  <c r="AB15" i="2" a="1"/>
  <c r="AB15" i="2" s="1"/>
  <c r="T15" i="2" a="1"/>
  <c r="T15" i="2" s="1"/>
  <c r="AA15" i="2" a="1"/>
  <c r="AA15" i="2" s="1"/>
  <c r="AE15" i="2" a="1"/>
  <c r="AE15" i="2" s="1"/>
  <c r="X15" i="2" a="1"/>
  <c r="X15" i="2" s="1"/>
  <c r="AD15" i="2" a="1"/>
  <c r="AD15" i="2" s="1"/>
  <c r="W15" i="2" a="1"/>
  <c r="W15" i="2" s="1"/>
  <c r="U8" i="12" a="1"/>
  <c r="U8" i="12" s="1"/>
  <c r="W30" i="2" a="1"/>
  <c r="W30" i="2" s="1"/>
  <c r="X30" i="2" a="1"/>
  <c r="X30" i="2" s="1"/>
  <c r="X35" i="2" a="1"/>
  <c r="X35" i="2" s="1"/>
  <c r="AC35" i="2" a="1"/>
  <c r="AC35" i="2" s="1"/>
  <c r="U86" i="12" a="1"/>
  <c r="U86" i="12" s="1"/>
  <c r="Z52" i="2" a="1"/>
  <c r="Z52" i="2" s="1"/>
  <c r="AE52" i="2" a="1"/>
  <c r="AE52" i="2" s="1"/>
  <c r="T52" i="2" a="1"/>
  <c r="T52" i="2" s="1"/>
  <c r="W52" i="2" a="1"/>
  <c r="W52" i="2" s="1"/>
  <c r="S52" i="2" a="1"/>
  <c r="S52" i="2" s="1"/>
  <c r="AA52" i="2" a="1"/>
  <c r="AA52" i="2" s="1"/>
  <c r="AF52" i="2" a="1"/>
  <c r="AF52" i="2" s="1"/>
  <c r="AG52" i="2" a="1"/>
  <c r="AG52" i="2" s="1"/>
  <c r="Y52" i="2" a="1"/>
  <c r="Y52" i="2" s="1"/>
  <c r="X52" i="2" a="1"/>
  <c r="X52" i="2" s="1"/>
  <c r="AC52" i="2" a="1"/>
  <c r="AC52" i="2" s="1"/>
  <c r="AB52" i="2" a="1"/>
  <c r="AB52" i="2" s="1"/>
  <c r="AD52" i="2" a="1"/>
  <c r="AD52" i="2" s="1"/>
  <c r="V52" i="2" a="1"/>
  <c r="V52" i="2" s="1"/>
  <c r="Z57" i="2" a="1"/>
  <c r="Z57" i="2" s="1"/>
  <c r="AE57" i="2" a="1"/>
  <c r="AE57" i="2" s="1"/>
  <c r="T57" i="2" a="1"/>
  <c r="T57" i="2" s="1"/>
  <c r="W57" i="2" a="1"/>
  <c r="W57" i="2" s="1"/>
  <c r="AF57" i="2" a="1"/>
  <c r="AF57" i="2" s="1"/>
  <c r="AD57" i="2" a="1"/>
  <c r="AD57" i="2" s="1"/>
  <c r="AC57" i="2" a="1"/>
  <c r="AC57" i="2" s="1"/>
  <c r="AB57" i="2" a="1"/>
  <c r="AB57" i="2" s="1"/>
  <c r="AA57" i="2" a="1"/>
  <c r="AA57" i="2" s="1"/>
  <c r="AG57" i="2" a="1"/>
  <c r="AG57" i="2" s="1"/>
  <c r="Y57" i="2" a="1"/>
  <c r="Y57" i="2" s="1"/>
  <c r="S57" i="2" a="1"/>
  <c r="S57" i="2" s="1"/>
  <c r="X57" i="2" a="1"/>
  <c r="X57" i="2" s="1"/>
  <c r="V57" i="2" a="1"/>
  <c r="V57" i="2" s="1"/>
  <c r="AC58" i="2" a="1"/>
  <c r="AC58" i="2" s="1"/>
  <c r="W58" i="2" a="1"/>
  <c r="W58" i="2" s="1"/>
  <c r="AF58" i="2" a="1"/>
  <c r="AF58" i="2" s="1"/>
  <c r="V58" i="2" a="1"/>
  <c r="V58" i="2" s="1"/>
  <c r="AD58" i="2" a="1"/>
  <c r="AD58" i="2" s="1"/>
  <c r="Z58" i="2" a="1"/>
  <c r="Z58" i="2" s="1"/>
  <c r="AB58" i="2" a="1"/>
  <c r="AB58" i="2" s="1"/>
  <c r="T58" i="2" a="1"/>
  <c r="T58" i="2" s="1"/>
  <c r="AA58" i="2" a="1"/>
  <c r="AA58" i="2" s="1"/>
  <c r="S58" i="2" a="1"/>
  <c r="S58" i="2" s="1"/>
  <c r="Y58" i="2" a="1"/>
  <c r="Y58" i="2" s="1"/>
  <c r="AG58" i="2" a="1"/>
  <c r="AG58" i="2" s="1"/>
  <c r="X58" i="2" a="1"/>
  <c r="X58" i="2" s="1"/>
  <c r="AE58" i="2" a="1"/>
  <c r="AE58" i="2" s="1"/>
  <c r="V69" i="2" a="1"/>
  <c r="V69" i="2" s="1"/>
  <c r="AC69" i="2" a="1"/>
  <c r="AC69" i="2" s="1"/>
  <c r="S69" i="2" a="1"/>
  <c r="S69" i="2" s="1"/>
  <c r="X69" i="2" a="1"/>
  <c r="X69" i="2" s="1"/>
  <c r="Z71" i="2" a="1"/>
  <c r="Z71" i="2" s="1"/>
  <c r="T71" i="2" a="1"/>
  <c r="T71" i="2" s="1"/>
  <c r="AE71" i="2" a="1"/>
  <c r="AE71" i="2" s="1"/>
  <c r="AC71" i="2" a="1"/>
  <c r="AC71" i="2" s="1"/>
  <c r="AF71" i="2" a="1"/>
  <c r="AF71" i="2" s="1"/>
  <c r="AB71" i="2" a="1"/>
  <c r="AB71" i="2" s="1"/>
  <c r="W71" i="2" a="1"/>
  <c r="W71" i="2" s="1"/>
  <c r="AA71" i="2" a="1"/>
  <c r="AA71" i="2" s="1"/>
  <c r="AG71" i="2" a="1"/>
  <c r="AG71" i="2" s="1"/>
  <c r="X71" i="2" a="1"/>
  <c r="X71" i="2" s="1"/>
  <c r="V71" i="2" a="1"/>
  <c r="V71" i="2" s="1"/>
  <c r="AD71" i="2" a="1"/>
  <c r="AD71" i="2" s="1"/>
  <c r="S71" i="2" a="1"/>
  <c r="S71" i="2" s="1"/>
  <c r="Y71" i="2" a="1"/>
  <c r="Y71" i="2" s="1"/>
  <c r="U57" i="12" a="1"/>
  <c r="U57" i="12" s="1"/>
  <c r="B37" i="8" a="1"/>
  <c r="B37" i="8" s="1"/>
  <c r="E13" i="12" a="1"/>
  <c r="E13" i="12" s="1"/>
  <c r="J6" i="3" a="1"/>
  <c r="J6" i="3" s="1"/>
  <c r="D3" i="9" a="1"/>
  <c r="D3" i="9" s="1"/>
  <c r="D25" i="3" a="1"/>
  <c r="D25" i="3" s="1"/>
  <c r="AC53" i="2" a="1"/>
  <c r="AC53" i="2" s="1"/>
  <c r="W53" i="2" a="1"/>
  <c r="W53" i="2" s="1"/>
  <c r="AF53" i="2" a="1"/>
  <c r="AF53" i="2" s="1"/>
  <c r="Z53" i="2" a="1"/>
  <c r="Z53" i="2" s="1"/>
  <c r="AG53" i="2" a="1"/>
  <c r="AG53" i="2" s="1"/>
  <c r="Y53" i="2" a="1"/>
  <c r="Y53" i="2" s="1"/>
  <c r="V53" i="2" a="1"/>
  <c r="V53" i="2" s="1"/>
  <c r="AB53" i="2" a="1"/>
  <c r="AB53" i="2" s="1"/>
  <c r="X53" i="2" a="1"/>
  <c r="X53" i="2" s="1"/>
  <c r="AE53" i="2" a="1"/>
  <c r="AE53" i="2" s="1"/>
  <c r="AD53" i="2" a="1"/>
  <c r="AD53" i="2" s="1"/>
  <c r="T53" i="2" a="1"/>
  <c r="T53" i="2" s="1"/>
  <c r="AA53" i="2" a="1"/>
  <c r="AA53" i="2" s="1"/>
  <c r="S53" i="2" a="1"/>
  <c r="S53" i="2" s="1"/>
  <c r="AA59" i="2" a="1"/>
  <c r="AA59" i="2" s="1"/>
  <c r="AF59" i="2" a="1"/>
  <c r="AF59" i="2" s="1"/>
  <c r="AD59" i="2" a="1"/>
  <c r="AD59" i="2" s="1"/>
  <c r="X59" i="2" a="1"/>
  <c r="X59" i="2" s="1"/>
  <c r="AB59" i="2" a="1"/>
  <c r="AB59" i="2" s="1"/>
  <c r="T59" i="2" a="1"/>
  <c r="T59" i="2" s="1"/>
  <c r="Y59" i="2" a="1"/>
  <c r="Y59" i="2" s="1"/>
  <c r="AE59" i="2" a="1"/>
  <c r="AE59" i="2" s="1"/>
  <c r="Z59" i="2" a="1"/>
  <c r="Z59" i="2" s="1"/>
  <c r="W59" i="2" a="1"/>
  <c r="W59" i="2" s="1"/>
  <c r="AG59" i="2" a="1"/>
  <c r="AG59" i="2" s="1"/>
  <c r="AC59" i="2" a="1"/>
  <c r="AC59" i="2" s="1"/>
  <c r="V59" i="2" a="1"/>
  <c r="V59" i="2" s="1"/>
  <c r="S59" i="2" a="1"/>
  <c r="S59" i="2" s="1"/>
  <c r="U201" i="12" a="1"/>
  <c r="U201" i="12" s="1"/>
  <c r="U62" i="12" a="1"/>
  <c r="U62" i="12" s="1"/>
  <c r="E4" i="12" a="1"/>
  <c r="E4" i="12" s="1"/>
  <c r="AF5" i="2" a="1"/>
  <c r="AF5" i="2" s="1"/>
  <c r="AC5" i="2" a="1"/>
  <c r="AC5" i="2" s="1"/>
  <c r="AB5" i="2" a="1"/>
  <c r="AB5" i="2" s="1"/>
  <c r="Y5" i="2" a="1"/>
  <c r="Y5" i="2" s="1"/>
  <c r="AD5" i="2" a="1"/>
  <c r="AD5" i="2" s="1"/>
  <c r="AG5" i="2" a="1"/>
  <c r="AG5" i="2" s="1"/>
  <c r="Z5" i="2" a="1"/>
  <c r="Z5" i="2" s="1"/>
  <c r="S5" i="2" a="1"/>
  <c r="S5" i="2" s="1"/>
  <c r="AE5" i="2" a="1"/>
  <c r="AE5" i="2" s="1"/>
  <c r="V5" i="2" a="1"/>
  <c r="V5" i="2" s="1"/>
  <c r="T5" i="2" a="1"/>
  <c r="T5" i="2" s="1"/>
  <c r="AA5" i="2" a="1"/>
  <c r="AA5" i="2" s="1"/>
  <c r="X5" i="2" a="1"/>
  <c r="X5" i="2" s="1"/>
  <c r="W5" i="2" a="1"/>
  <c r="W5" i="2" s="1"/>
  <c r="W19" i="2" a="1"/>
  <c r="W19" i="2" s="1"/>
  <c r="Z19" i="2" a="1"/>
  <c r="Z19" i="2" s="1"/>
  <c r="T19" i="2" a="1"/>
  <c r="T19" i="2" s="1"/>
  <c r="AD19" i="2" a="1"/>
  <c r="AD19" i="2" s="1"/>
  <c r="AA19" i="2" a="1"/>
  <c r="AA19" i="2" s="1"/>
  <c r="S19" i="2" a="1"/>
  <c r="S19" i="2" s="1"/>
  <c r="AG19" i="2" a="1"/>
  <c r="AG19" i="2" s="1"/>
  <c r="V19" i="2" a="1"/>
  <c r="V19" i="2" s="1"/>
  <c r="AB19" i="2" a="1"/>
  <c r="AB19" i="2" s="1"/>
  <c r="Y19" i="2" a="1"/>
  <c r="Y19" i="2" s="1"/>
  <c r="AF19" i="2" a="1"/>
  <c r="AF19" i="2" s="1"/>
  <c r="AC19" i="2" a="1"/>
  <c r="AC19" i="2" s="1"/>
  <c r="AE19" i="2" a="1"/>
  <c r="AE19" i="2" s="1"/>
  <c r="X19" i="2" a="1"/>
  <c r="X19" i="2" s="1"/>
  <c r="U29" i="12" a="1"/>
  <c r="U29" i="12" s="1"/>
  <c r="B16" i="7" a="1"/>
  <c r="B16" i="7" s="1"/>
  <c r="B15" i="6" a="1"/>
  <c r="B15" i="6" s="1"/>
  <c r="B28" i="4" a="1"/>
  <c r="B28" i="4" s="1"/>
  <c r="U14" i="12" a="1"/>
  <c r="U14" i="12" s="1"/>
  <c r="E129" i="12" a="1"/>
  <c r="E129" i="12" s="1"/>
  <c r="E21" i="12" a="1"/>
  <c r="E21" i="12" s="1"/>
  <c r="X64" i="2" a="1"/>
  <c r="X64" i="2" s="1"/>
  <c r="W64" i="2" a="1"/>
  <c r="W64" i="2" s="1"/>
  <c r="W625" i="12" a="1"/>
  <c r="W625" i="12" s="1"/>
  <c r="AM66" i="2" a="1"/>
  <c r="AM66" i="2" s="1"/>
  <c r="AP66" i="2" a="1"/>
  <c r="AP66" i="2" s="1"/>
  <c r="AN66" i="2" a="1"/>
  <c r="AN66" i="2" s="1"/>
  <c r="AO66" i="2" a="1"/>
  <c r="AO66" i="2" s="1"/>
  <c r="AK66" i="2" a="1"/>
  <c r="AK66" i="2" s="1"/>
  <c r="U59" i="12" a="1"/>
  <c r="U59" i="12" s="1"/>
  <c r="AD82" i="2" a="1"/>
  <c r="AD82" i="2" s="1"/>
  <c r="S82" i="2" a="1"/>
  <c r="S82" i="2" s="1"/>
  <c r="X82" i="2" a="1"/>
  <c r="X82" i="2" s="1"/>
  <c r="AA82" i="2" a="1"/>
  <c r="AA82" i="2" s="1"/>
  <c r="AF82" i="2" a="1"/>
  <c r="AF82" i="2" s="1"/>
  <c r="Y82" i="2" a="1"/>
  <c r="Y82" i="2" s="1"/>
  <c r="AE82" i="2" a="1"/>
  <c r="AE82" i="2" s="1"/>
  <c r="T82" i="2" a="1"/>
  <c r="T82" i="2" s="1"/>
  <c r="AC82" i="2" a="1"/>
  <c r="AC82" i="2" s="1"/>
  <c r="Z82" i="2" a="1"/>
  <c r="Z82" i="2" s="1"/>
  <c r="W82" i="2" a="1"/>
  <c r="W82" i="2" s="1"/>
  <c r="AG82" i="2" a="1"/>
  <c r="AG82" i="2" s="1"/>
  <c r="V82" i="2" a="1"/>
  <c r="V82" i="2" s="1"/>
  <c r="AB82" i="2" a="1"/>
  <c r="AB82" i="2" s="1"/>
  <c r="B23" i="6" a="1"/>
  <c r="B23" i="6" s="1"/>
  <c r="B50" i="4" a="1"/>
  <c r="B50" i="4" s="1"/>
  <c r="X21" i="2" a="1"/>
  <c r="X21" i="2" s="1"/>
  <c r="AA21" i="2" a="1"/>
  <c r="AA21" i="2" s="1"/>
  <c r="AD21" i="2" a="1"/>
  <c r="AD21" i="2" s="1"/>
  <c r="W21" i="2" a="1"/>
  <c r="W21" i="2" s="1"/>
  <c r="AC21" i="2" a="1"/>
  <c r="AC21" i="2" s="1"/>
  <c r="V21" i="2" a="1"/>
  <c r="V21" i="2" s="1"/>
  <c r="S21" i="2" a="1"/>
  <c r="S21" i="2" s="1"/>
  <c r="Z21" i="2" a="1"/>
  <c r="Z21" i="2" s="1"/>
  <c r="AB21" i="2" a="1"/>
  <c r="AB21" i="2" s="1"/>
  <c r="Y21" i="2" a="1"/>
  <c r="Y21" i="2" s="1"/>
  <c r="T21" i="2" a="1"/>
  <c r="T21" i="2" s="1"/>
  <c r="AG21" i="2" a="1"/>
  <c r="AG21" i="2" s="1"/>
  <c r="AF21" i="2" a="1"/>
  <c r="AF21" i="2" s="1"/>
  <c r="AE21" i="2" a="1"/>
  <c r="AE21" i="2" s="1"/>
  <c r="V31" i="2" a="1"/>
  <c r="V31" i="2" s="1"/>
  <c r="AC31" i="2" a="1"/>
  <c r="AC31" i="2" s="1"/>
  <c r="S31" i="2" a="1"/>
  <c r="S31" i="2" s="1"/>
  <c r="B16" i="8" a="1"/>
  <c r="B16" i="8" s="1"/>
  <c r="D15" i="7" a="1"/>
  <c r="D15" i="7" s="1"/>
  <c r="D13" i="6" a="1"/>
  <c r="D13" i="6" s="1"/>
  <c r="D26" i="4" a="1"/>
  <c r="D26" i="4" s="1"/>
  <c r="E122" i="12" a="1"/>
  <c r="E122" i="12" s="1"/>
  <c r="E155" i="12" a="1"/>
  <c r="E155" i="12" s="1"/>
  <c r="U129" i="12" a="1"/>
  <c r="U129" i="12" s="1"/>
  <c r="U21" i="12" a="1"/>
  <c r="U21" i="12" s="1"/>
  <c r="B35" i="8" a="1"/>
  <c r="B35" i="8" s="1"/>
  <c r="S107" i="2" a="1"/>
  <c r="S107" i="2" s="1"/>
  <c r="V107" i="2" a="1"/>
  <c r="V107" i="2" s="1"/>
  <c r="AC107" i="2" a="1"/>
  <c r="AC107" i="2" s="1"/>
  <c r="X107" i="2" a="1"/>
  <c r="X107" i="2" s="1"/>
  <c r="U4" i="12" a="1"/>
  <c r="U4" i="12" s="1"/>
  <c r="I2" i="3" a="1"/>
  <c r="I2" i="3" s="1"/>
  <c r="AE3" i="2" a="1"/>
  <c r="AE3" i="2" s="1"/>
  <c r="Y3" i="2" a="1"/>
  <c r="Y3" i="2" s="1"/>
  <c r="AB3" i="2" a="1"/>
  <c r="AB3" i="2" s="1"/>
  <c r="U3" i="12" a="1"/>
  <c r="U3" i="12" s="1"/>
  <c r="Z10" i="3" a="1"/>
  <c r="Z10" i="3" s="1"/>
  <c r="L14" i="3" a="1"/>
  <c r="L14" i="3" s="1"/>
  <c r="AG7" i="2" a="1"/>
  <c r="AG7" i="2" s="1"/>
  <c r="V7" i="2" a="1"/>
  <c r="V7" i="2" s="1"/>
  <c r="AD7" i="2" a="1"/>
  <c r="AD7" i="2" s="1"/>
  <c r="S7" i="2" a="1"/>
  <c r="S7" i="2" s="1"/>
  <c r="AE7" i="2" a="1"/>
  <c r="AE7" i="2" s="1"/>
  <c r="D4" i="7" a="1"/>
  <c r="D4" i="7" s="1"/>
  <c r="D7" i="4" a="1"/>
  <c r="D7" i="4" s="1"/>
  <c r="D16" i="7" a="1"/>
  <c r="D16" i="7" s="1"/>
  <c r="D15" i="6" a="1"/>
  <c r="D15" i="6" s="1"/>
  <c r="D28" i="4" a="1"/>
  <c r="D28" i="4" s="1"/>
  <c r="E22" i="12" a="1"/>
  <c r="E22" i="12" s="1"/>
  <c r="AF74" i="2" a="1"/>
  <c r="AF74" i="2" s="1"/>
  <c r="Z74" i="2" a="1"/>
  <c r="Z74" i="2" s="1"/>
  <c r="AE74" i="2" a="1"/>
  <c r="AE74" i="2" s="1"/>
  <c r="T74" i="2" a="1"/>
  <c r="T74" i="2" s="1"/>
  <c r="AC74" i="2" a="1"/>
  <c r="AC74" i="2" s="1"/>
  <c r="AA74" i="2" a="1"/>
  <c r="AA74" i="2" s="1"/>
  <c r="AD3" i="2" a="1"/>
  <c r="AD3" i="2" s="1"/>
  <c r="D3" i="7" a="1"/>
  <c r="D3" i="7" s="1"/>
  <c r="D5" i="4" a="1"/>
  <c r="D5" i="4" s="1"/>
  <c r="D10" i="3" a="1"/>
  <c r="D10" i="3" s="1"/>
  <c r="T10" i="3" a="1"/>
  <c r="T10" i="3" s="1"/>
  <c r="D5" i="5" a="1"/>
  <c r="D5" i="5" s="1"/>
  <c r="D6" i="4" a="1"/>
  <c r="D6" i="4" s="1"/>
  <c r="Y46" i="2" a="1"/>
  <c r="Y46" i="2" s="1"/>
  <c r="U27" i="12" a="1"/>
  <c r="U27" i="12" s="1"/>
  <c r="B17" i="7" a="1"/>
  <c r="B17" i="7" s="1"/>
  <c r="B16" i="6" a="1"/>
  <c r="B16" i="6" s="1"/>
  <c r="B29" i="4" a="1"/>
  <c r="B29" i="4" s="1"/>
  <c r="Y60" i="2" a="1"/>
  <c r="Y60" i="2" s="1"/>
  <c r="S60" i="2" a="1"/>
  <c r="S60" i="2" s="1"/>
  <c r="AD60" i="2" a="1"/>
  <c r="AD60" i="2" s="1"/>
  <c r="X60" i="2" a="1"/>
  <c r="X60" i="2" s="1"/>
  <c r="AG60" i="2" a="1"/>
  <c r="AG60" i="2" s="1"/>
  <c r="V60" i="2" a="1"/>
  <c r="V60" i="2" s="1"/>
  <c r="AE60" i="2" a="1"/>
  <c r="AE60" i="2" s="1"/>
  <c r="B2" i="5" a="1"/>
  <c r="B2" i="5" s="1"/>
  <c r="B2" i="4" a="1"/>
  <c r="B2" i="4" s="1"/>
  <c r="Z3" i="2" a="1"/>
  <c r="Z3" i="2" s="1"/>
  <c r="V10" i="3" a="1"/>
  <c r="V10" i="3" s="1"/>
  <c r="W2" i="2" a="1"/>
  <c r="W2" i="2" s="1"/>
  <c r="AG3" i="2" a="1"/>
  <c r="AG3" i="2" s="1"/>
  <c r="I10" i="3" a="1"/>
  <c r="I10" i="3" s="1"/>
  <c r="W4" i="2" a="1"/>
  <c r="W4" i="2" s="1"/>
  <c r="Z4" i="2" a="1"/>
  <c r="Z4" i="2" s="1"/>
  <c r="T4" i="2" a="1"/>
  <c r="T4" i="2" s="1"/>
  <c r="W6" i="2" a="1"/>
  <c r="W6" i="2" s="1"/>
  <c r="AA7" i="2" a="1"/>
  <c r="AA7" i="2" s="1"/>
  <c r="E8" i="12" a="1"/>
  <c r="E8" i="12" s="1"/>
  <c r="AF18" i="2" a="1"/>
  <c r="AF18" i="2" s="1"/>
  <c r="B10" i="5" a="1"/>
  <c r="B10" i="5" s="1"/>
  <c r="B16" i="4" a="1"/>
  <c r="B16" i="4" s="1"/>
  <c r="T60" i="2" a="1"/>
  <c r="T60" i="2" s="1"/>
  <c r="AB60" i="2" a="1"/>
  <c r="AB60" i="2" s="1"/>
  <c r="Z62" i="2" a="1"/>
  <c r="Z62" i="2" s="1"/>
  <c r="T62" i="2" a="1"/>
  <c r="T62" i="2" s="1"/>
  <c r="AE62" i="2" a="1"/>
  <c r="AE62" i="2" s="1"/>
  <c r="W62" i="2" a="1"/>
  <c r="W62" i="2" s="1"/>
  <c r="AF62" i="2" a="1"/>
  <c r="AF62" i="2" s="1"/>
  <c r="Y62" i="2" a="1"/>
  <c r="Y62" i="2" s="1"/>
  <c r="AG67" i="2" a="1"/>
  <c r="AG67" i="2" s="1"/>
  <c r="AA67" i="2" a="1"/>
  <c r="AA67" i="2" s="1"/>
  <c r="AF67" i="2" a="1"/>
  <c r="AF67" i="2" s="1"/>
  <c r="AD67" i="2" a="1"/>
  <c r="AD67" i="2" s="1"/>
  <c r="S67" i="2" a="1"/>
  <c r="S67" i="2" s="1"/>
  <c r="AB67" i="2" a="1"/>
  <c r="AB67" i="2" s="1"/>
  <c r="V67" i="2" a="1"/>
  <c r="V67" i="2" s="1"/>
  <c r="U60" i="12" a="1"/>
  <c r="U60" i="12" s="1"/>
  <c r="E41" i="12" a="1"/>
  <c r="E41" i="12" s="1"/>
  <c r="AE6" i="2" a="1"/>
  <c r="AE6" i="2" s="1"/>
  <c r="Y2" i="2" a="1"/>
  <c r="Y2" i="2" s="1"/>
  <c r="Y4" i="2" a="1"/>
  <c r="Y4" i="2" s="1"/>
  <c r="B4" i="8" a="1"/>
  <c r="B4" i="8" s="1"/>
  <c r="B14" i="3" a="1"/>
  <c r="B14" i="3" s="1"/>
  <c r="Y6" i="2" a="1"/>
  <c r="Y6" i="2" s="1"/>
  <c r="AF6" i="2" a="1"/>
  <c r="AF6" i="2" s="1"/>
  <c r="AC7" i="2" a="1"/>
  <c r="AC7" i="2" s="1"/>
  <c r="Z8" i="2" a="1"/>
  <c r="Z8" i="2" s="1"/>
  <c r="B4" i="7" a="1"/>
  <c r="B4" i="7" s="1"/>
  <c r="B7" i="4" a="1"/>
  <c r="B7" i="4" s="1"/>
  <c r="S10" i="2" a="1"/>
  <c r="S10" i="2" s="1"/>
  <c r="Z10" i="2" a="1"/>
  <c r="Z10" i="2" s="1"/>
  <c r="AG10" i="2" a="1"/>
  <c r="AG10" i="2" s="1"/>
  <c r="AE13" i="2" a="1"/>
  <c r="AE13" i="2" s="1"/>
  <c r="Y13" i="2" a="1"/>
  <c r="Y13" i="2" s="1"/>
  <c r="AB13" i="2" a="1"/>
  <c r="AB13" i="2" s="1"/>
  <c r="W13" i="2" a="1"/>
  <c r="W13" i="2" s="1"/>
  <c r="AA14" i="2" a="1"/>
  <c r="AA14" i="2" s="1"/>
  <c r="U20" i="12" a="1"/>
  <c r="U20" i="12" s="1"/>
  <c r="AG17" i="2" a="1"/>
  <c r="AG17" i="2" s="1"/>
  <c r="V17" i="2" a="1"/>
  <c r="V17" i="2" s="1"/>
  <c r="AD17" i="2" a="1"/>
  <c r="AD17" i="2" s="1"/>
  <c r="S17" i="2" a="1"/>
  <c r="S17" i="2" s="1"/>
  <c r="AE17" i="2" a="1"/>
  <c r="AE17" i="2" s="1"/>
  <c r="T18" i="2" a="1"/>
  <c r="T18" i="2" s="1"/>
  <c r="AA18" i="2" a="1"/>
  <c r="AA18" i="2" s="1"/>
  <c r="U13" i="12" a="1"/>
  <c r="U13" i="12" s="1"/>
  <c r="Z6" i="3" a="1"/>
  <c r="Z6" i="3" s="1"/>
  <c r="T20" i="2" a="1"/>
  <c r="T20" i="2" s="1"/>
  <c r="D10" i="5" a="1"/>
  <c r="D10" i="5" s="1"/>
  <c r="D16" i="4" a="1"/>
  <c r="D16" i="4" s="1"/>
  <c r="AB22" i="2" a="1"/>
  <c r="AB22" i="2" s="1"/>
  <c r="AC30" i="2" a="1"/>
  <c r="AC30" i="2" s="1"/>
  <c r="AB32" i="2" a="1"/>
  <c r="AB32" i="2" s="1"/>
  <c r="Y33" i="2" a="1"/>
  <c r="Y33" i="2" s="1"/>
  <c r="V34" i="2" a="1"/>
  <c r="V34" i="2" s="1"/>
  <c r="B10" i="7" a="1"/>
  <c r="B10" i="7" s="1"/>
  <c r="B9" i="6" a="1"/>
  <c r="B9" i="6" s="1"/>
  <c r="B13" i="5" a="1"/>
  <c r="B13" i="5" s="1"/>
  <c r="B20" i="4" a="1"/>
  <c r="B20" i="4" s="1"/>
  <c r="S35" i="2" a="1"/>
  <c r="S35" i="2" s="1"/>
  <c r="Z35" i="2" a="1"/>
  <c r="Z35" i="2" s="1"/>
  <c r="AC37" i="2" a="1"/>
  <c r="AC37" i="2" s="1"/>
  <c r="W37" i="2" a="1"/>
  <c r="W37" i="2" s="1"/>
  <c r="AB37" i="2" a="1"/>
  <c r="AB37" i="2" s="1"/>
  <c r="Z37" i="2" a="1"/>
  <c r="Z37" i="2" s="1"/>
  <c r="AF37" i="2" a="1"/>
  <c r="AF37" i="2" s="1"/>
  <c r="D12" i="7" a="1"/>
  <c r="D12" i="7" s="1"/>
  <c r="D11" i="6" a="1"/>
  <c r="D11" i="6" s="1"/>
  <c r="D22" i="4" a="1"/>
  <c r="D22" i="4" s="1"/>
  <c r="AD41" i="2" a="1"/>
  <c r="AD41" i="2" s="1"/>
  <c r="AC42" i="2" a="1"/>
  <c r="AC42" i="2" s="1"/>
  <c r="AC43" i="2" a="1"/>
  <c r="AC43" i="2" s="1"/>
  <c r="W44" i="2" a="1"/>
  <c r="W44" i="2" s="1"/>
  <c r="AD44" i="2" a="1"/>
  <c r="AD44" i="2" s="1"/>
  <c r="AN45" i="2" a="1"/>
  <c r="AN45" i="2" s="1"/>
  <c r="D16" i="5" a="1"/>
  <c r="D16" i="5" s="1"/>
  <c r="D31" i="4" a="1"/>
  <c r="D31" i="4" s="1"/>
  <c r="AD46" i="2" a="1"/>
  <c r="AD46" i="2" s="1"/>
  <c r="AD48" i="2" a="1"/>
  <c r="AD48" i="2" s="1"/>
  <c r="AM50" i="2" a="1"/>
  <c r="AM50" i="2" s="1"/>
  <c r="X56" i="2" a="1"/>
  <c r="X56" i="2" s="1"/>
  <c r="U144" i="12" a="1"/>
  <c r="U144" i="12" s="1"/>
  <c r="AB62" i="2" a="1"/>
  <c r="AB62" i="2" s="1"/>
  <c r="AB64" i="2" a="1"/>
  <c r="AB64" i="2" s="1"/>
  <c r="AC67" i="2" a="1"/>
  <c r="AC67" i="2" s="1"/>
  <c r="X68" i="2" a="1"/>
  <c r="X68" i="2" s="1"/>
  <c r="U56" i="12" a="1"/>
  <c r="U56" i="12" s="1"/>
  <c r="W74" i="2" a="1"/>
  <c r="W74" i="2" s="1"/>
  <c r="AG74" i="2" a="1"/>
  <c r="AG74" i="2" s="1"/>
  <c r="AK77" i="2" a="1"/>
  <c r="AK77" i="2" s="1"/>
  <c r="V85" i="2" a="1"/>
  <c r="V85" i="2" s="1"/>
  <c r="E25" i="12" a="1"/>
  <c r="E25" i="12" s="1"/>
  <c r="S94" i="2" a="1"/>
  <c r="S94" i="2" s="1"/>
  <c r="AD94" i="2" a="1"/>
  <c r="AD94" i="2" s="1"/>
  <c r="V98" i="2" a="1"/>
  <c r="V98" i="2" s="1"/>
  <c r="AG98" i="2" a="1"/>
  <c r="AG98" i="2" s="1"/>
  <c r="U82" i="12" a="1"/>
  <c r="U82" i="12" s="1"/>
  <c r="V102" i="2" a="1"/>
  <c r="V102" i="2" s="1"/>
  <c r="W104" i="2" a="1"/>
  <c r="W104" i="2" s="1"/>
  <c r="Z105" i="2" a="1"/>
  <c r="Z105" i="2" s="1"/>
  <c r="B36" i="5" a="1"/>
  <c r="B36" i="5" s="1"/>
  <c r="B65" i="4" a="1"/>
  <c r="B65" i="4" s="1"/>
  <c r="X110" i="2" a="1"/>
  <c r="X110" i="2" s="1"/>
  <c r="B31" i="7" a="1"/>
  <c r="B31" i="7" s="1"/>
  <c r="B59" i="4" a="1"/>
  <c r="B59" i="4" s="1"/>
  <c r="U146" i="12" a="1"/>
  <c r="U146" i="12" s="1"/>
  <c r="V116" i="2" a="1"/>
  <c r="V116" i="2" s="1"/>
  <c r="B41" i="5" a="1"/>
  <c r="B41" i="5" s="1"/>
  <c r="B75" i="4" a="1"/>
  <c r="B75" i="4" s="1"/>
  <c r="D34" i="7" a="1"/>
  <c r="D34" i="7" s="1"/>
  <c r="D29" i="6" a="1"/>
  <c r="D29" i="6" s="1"/>
  <c r="D64" i="4" a="1"/>
  <c r="D64" i="4" s="1"/>
  <c r="AA121" i="2" a="1"/>
  <c r="AA121" i="2" s="1"/>
  <c r="AF121" i="2" a="1"/>
  <c r="AF121" i="2" s="1"/>
  <c r="Z121" i="2" a="1"/>
  <c r="Z121" i="2" s="1"/>
  <c r="AD121" i="2" a="1"/>
  <c r="AD121" i="2" s="1"/>
  <c r="S121" i="2" a="1"/>
  <c r="S121" i="2" s="1"/>
  <c r="X121" i="2" a="1"/>
  <c r="X121" i="2" s="1"/>
  <c r="AG121" i="2" a="1"/>
  <c r="AG121" i="2" s="1"/>
  <c r="V121" i="2" a="1"/>
  <c r="V121" i="2" s="1"/>
  <c r="AC121" i="2" a="1"/>
  <c r="AC121" i="2" s="1"/>
  <c r="U212" i="12" a="1"/>
  <c r="U212" i="12" s="1"/>
  <c r="V124" i="2" a="1"/>
  <c r="V124" i="2" s="1"/>
  <c r="AF127" i="2" a="1"/>
  <c r="AF127" i="2" s="1"/>
  <c r="V130" i="2" a="1"/>
  <c r="V130" i="2" s="1"/>
  <c r="B21" i="9" a="1"/>
  <c r="B21" i="9" s="1"/>
  <c r="D44" i="7" a="1"/>
  <c r="D44" i="7" s="1"/>
  <c r="D35" i="6" a="1"/>
  <c r="D35" i="6" s="1"/>
  <c r="D76" i="4" a="1"/>
  <c r="D76" i="4" s="1"/>
  <c r="U87" i="12" a="1"/>
  <c r="U87" i="12" s="1"/>
  <c r="U124" i="12" a="1"/>
  <c r="U124" i="12" s="1"/>
  <c r="AA163" i="2" a="1"/>
  <c r="AA163" i="2" s="1"/>
  <c r="AE163" i="2" a="1"/>
  <c r="AE163" i="2" s="1"/>
  <c r="T163" i="2" a="1"/>
  <c r="T163" i="2" s="1"/>
  <c r="AC163" i="2" a="1"/>
  <c r="AC163" i="2" s="1"/>
  <c r="S163" i="2" a="1"/>
  <c r="S163" i="2" s="1"/>
  <c r="Z163" i="2" a="1"/>
  <c r="Z163" i="2" s="1"/>
  <c r="AG163" i="2" a="1"/>
  <c r="AG163" i="2" s="1"/>
  <c r="Y163" i="2" a="1"/>
  <c r="Y163" i="2" s="1"/>
  <c r="AF163" i="2" a="1"/>
  <c r="AF163" i="2" s="1"/>
  <c r="X163" i="2" a="1"/>
  <c r="X163" i="2" s="1"/>
  <c r="W163" i="2" a="1"/>
  <c r="W163" i="2" s="1"/>
  <c r="AD163" i="2" a="1"/>
  <c r="AD163" i="2" s="1"/>
  <c r="V163" i="2" a="1"/>
  <c r="V163" i="2" s="1"/>
  <c r="AB163" i="2" a="1"/>
  <c r="AB163" i="2" s="1"/>
  <c r="U65" i="12" a="1"/>
  <c r="U65" i="12" s="1"/>
  <c r="V276" i="2" a="1"/>
  <c r="V276" i="2" s="1"/>
  <c r="T276" i="2" a="1"/>
  <c r="T276" i="2" s="1"/>
  <c r="W276" i="2" a="1"/>
  <c r="W276" i="2" s="1"/>
  <c r="U6" i="12" a="1"/>
  <c r="U6" i="12" s="1"/>
  <c r="B17" i="6" a="1"/>
  <c r="B17" i="6" s="1"/>
  <c r="B30" i="4" a="1"/>
  <c r="B30" i="4" s="1"/>
  <c r="D20" i="7" a="1"/>
  <c r="D20" i="7" s="1"/>
  <c r="D36" i="4" a="1"/>
  <c r="D36" i="4" s="1"/>
  <c r="W621" i="12" a="1"/>
  <c r="W621" i="12" s="1"/>
  <c r="AK72" i="2" a="1"/>
  <c r="AK72" i="2" s="1"/>
  <c r="AN72" i="2" a="1"/>
  <c r="AN72" i="2" s="1"/>
  <c r="W627" i="12" a="1"/>
  <c r="W627" i="12" s="1"/>
  <c r="AP81" i="2" a="1"/>
  <c r="AP81" i="2" s="1"/>
  <c r="AM81" i="2" a="1"/>
  <c r="AM81" i="2" s="1"/>
  <c r="AK81" i="2" a="1"/>
  <c r="AK81" i="2" s="1"/>
  <c r="T14" i="3" a="1"/>
  <c r="T14" i="3" s="1"/>
  <c r="X7" i="2" a="1"/>
  <c r="X7" i="2" s="1"/>
  <c r="AD25" i="2" a="1"/>
  <c r="AD25" i="2" s="1"/>
  <c r="X25" i="2" a="1"/>
  <c r="X25" i="2" s="1"/>
  <c r="AA25" i="2" a="1"/>
  <c r="AA25" i="2" s="1"/>
  <c r="U39" i="12" a="1"/>
  <c r="U39" i="12" s="1"/>
  <c r="W643" i="12" a="1"/>
  <c r="W643" i="12" s="1"/>
  <c r="AO47" i="2" a="1"/>
  <c r="AO47" i="2" s="1"/>
  <c r="AQ47" i="2" s="1" a="1"/>
  <c r="AQ47" i="2" s="1"/>
  <c r="W8" i="2" a="1"/>
  <c r="W8" i="2" s="1"/>
  <c r="E5" i="12" a="1"/>
  <c r="E5" i="12" s="1"/>
  <c r="U109" i="12" a="1"/>
  <c r="U109" i="12" s="1"/>
  <c r="B3" i="5" a="1"/>
  <c r="B3" i="5" s="1"/>
  <c r="B3" i="4" a="1"/>
  <c r="B3" i="4" s="1"/>
  <c r="E22" i="3" a="1"/>
  <c r="E22" i="3" s="1"/>
  <c r="V3" i="2" a="1"/>
  <c r="V3" i="2" s="1"/>
  <c r="AC3" i="2" a="1"/>
  <c r="AC3" i="2" s="1"/>
  <c r="B3" i="7" a="1"/>
  <c r="B3" i="7" s="1"/>
  <c r="B5" i="4" a="1"/>
  <c r="B5" i="4" s="1"/>
  <c r="B10" i="3" a="1"/>
  <c r="B10" i="3" s="1"/>
  <c r="S4" i="2" a="1"/>
  <c r="S4" i="2" s="1"/>
  <c r="AG4" i="2" a="1"/>
  <c r="AG4" i="2" s="1"/>
  <c r="S6" i="2" a="1"/>
  <c r="S6" i="2" s="1"/>
  <c r="Z6" i="2" a="1"/>
  <c r="Z6" i="2" s="1"/>
  <c r="W7" i="2" a="1"/>
  <c r="W7" i="2" s="1"/>
  <c r="S8" i="2" a="1"/>
  <c r="S8" i="2" s="1"/>
  <c r="T12" i="2" a="1"/>
  <c r="T12" i="2" s="1"/>
  <c r="E80" i="12" a="1"/>
  <c r="E80" i="12" s="1"/>
  <c r="D4" i="6" a="1"/>
  <c r="D4" i="6" s="1"/>
  <c r="D7" i="5" a="1"/>
  <c r="D7" i="5" s="1"/>
  <c r="D9" i="4" a="1"/>
  <c r="D9" i="4" s="1"/>
  <c r="E45" i="12" a="1"/>
  <c r="E45" i="12" s="1"/>
  <c r="AB20" i="2" a="1"/>
  <c r="AB20" i="2" s="1"/>
  <c r="AO24" i="2" a="1"/>
  <c r="AO24" i="2" s="1"/>
  <c r="AB25" i="2" a="1"/>
  <c r="AB25" i="2" s="1"/>
  <c r="AK26" i="2" a="1"/>
  <c r="AK26" i="2" s="1"/>
  <c r="E11" i="12" a="1"/>
  <c r="E11" i="12" s="1"/>
  <c r="AB28" i="2" a="1"/>
  <c r="AB28" i="2" s="1"/>
  <c r="V32" i="2" a="1"/>
  <c r="V32" i="2" s="1"/>
  <c r="S33" i="2" a="1"/>
  <c r="S33" i="2" s="1"/>
  <c r="T35" i="2" a="1"/>
  <c r="T35" i="2" s="1"/>
  <c r="AE40" i="2" a="1"/>
  <c r="AE40" i="2" s="1"/>
  <c r="T40" i="2" a="1"/>
  <c r="T40" i="2" s="1"/>
  <c r="Y40" i="2" a="1"/>
  <c r="Y40" i="2" s="1"/>
  <c r="W40" i="2" a="1"/>
  <c r="W40" i="2" s="1"/>
  <c r="X40" i="2" a="1"/>
  <c r="X40" i="2" s="1"/>
  <c r="AF40" i="2" a="1"/>
  <c r="AF40" i="2" s="1"/>
  <c r="V41" i="2" a="1"/>
  <c r="V41" i="2" s="1"/>
  <c r="D13" i="7" a="1"/>
  <c r="D13" i="7" s="1"/>
  <c r="D12" i="6" a="1"/>
  <c r="D12" i="6" s="1"/>
  <c r="D23" i="4" a="1"/>
  <c r="D23" i="4" s="1"/>
  <c r="V42" i="2" a="1"/>
  <c r="V42" i="2" s="1"/>
  <c r="AD42" i="2" a="1"/>
  <c r="AD42" i="2" s="1"/>
  <c r="V43" i="2" a="1"/>
  <c r="V43" i="2" s="1"/>
  <c r="D14" i="7" a="1"/>
  <c r="D14" i="7" s="1"/>
  <c r="D15" i="5" a="1"/>
  <c r="D15" i="5" s="1"/>
  <c r="D25" i="4" a="1"/>
  <c r="D25" i="4" s="1"/>
  <c r="AF48" i="2" a="1"/>
  <c r="AF48" i="2" s="1"/>
  <c r="AO50" i="2" a="1"/>
  <c r="AO50" i="2" s="1"/>
  <c r="AC51" i="2" a="1"/>
  <c r="AC51" i="2" s="1"/>
  <c r="AF60" i="2" a="1"/>
  <c r="AF60" i="2" s="1"/>
  <c r="S62" i="2" a="1"/>
  <c r="S62" i="2" s="1"/>
  <c r="AC62" i="2" a="1"/>
  <c r="AC62" i="2" s="1"/>
  <c r="B21" i="7" a="1"/>
  <c r="B21" i="7" s="1"/>
  <c r="B20" i="6" a="1"/>
  <c r="B20" i="6" s="1"/>
  <c r="B37" i="4" a="1"/>
  <c r="B37" i="4" s="1"/>
  <c r="T67" i="2" a="1"/>
  <c r="T67" i="2" s="1"/>
  <c r="Z68" i="2" a="1"/>
  <c r="Z68" i="2" s="1"/>
  <c r="X74" i="2" a="1"/>
  <c r="X74" i="2" s="1"/>
  <c r="D25" i="5" a="1"/>
  <c r="D25" i="5" s="1"/>
  <c r="D47" i="4" a="1"/>
  <c r="D47" i="4" s="1"/>
  <c r="T83" i="2" a="1"/>
  <c r="T83" i="2" s="1"/>
  <c r="D27" i="5" a="1"/>
  <c r="D27" i="5" s="1"/>
  <c r="D49" i="4" a="1"/>
  <c r="D49" i="4" s="1"/>
  <c r="AE84" i="2" a="1"/>
  <c r="AE84" i="2" s="1"/>
  <c r="B26" i="7" a="1"/>
  <c r="B26" i="7" s="1"/>
  <c r="B45" i="4" a="1"/>
  <c r="B45" i="4" s="1"/>
  <c r="AG88" i="2" a="1"/>
  <c r="AG88" i="2" s="1"/>
  <c r="V88" i="2" a="1"/>
  <c r="V88" i="2" s="1"/>
  <c r="AA88" i="2" a="1"/>
  <c r="AA88" i="2" s="1"/>
  <c r="Y88" i="2" a="1"/>
  <c r="Y88" i="2" s="1"/>
  <c r="AD88" i="2" a="1"/>
  <c r="AD88" i="2" s="1"/>
  <c r="S88" i="2" a="1"/>
  <c r="S88" i="2" s="1"/>
  <c r="AB88" i="2" a="1"/>
  <c r="AB88" i="2" s="1"/>
  <c r="W89" i="2" a="1"/>
  <c r="W89" i="2" s="1"/>
  <c r="AF90" i="2" a="1"/>
  <c r="AF90" i="2" s="1"/>
  <c r="AB92" i="2" a="1"/>
  <c r="AB92" i="2" s="1"/>
  <c r="V92" i="2" a="1"/>
  <c r="V92" i="2" s="1"/>
  <c r="AA92" i="2" a="1"/>
  <c r="AA92" i="2" s="1"/>
  <c r="AG92" i="2" a="1"/>
  <c r="AG92" i="2" s="1"/>
  <c r="Y92" i="2" a="1"/>
  <c r="Y92" i="2" s="1"/>
  <c r="AD92" i="2" a="1"/>
  <c r="AD92" i="2" s="1"/>
  <c r="S92" i="2" a="1"/>
  <c r="S92" i="2" s="1"/>
  <c r="W92" i="2" a="1"/>
  <c r="W92" i="2" s="1"/>
  <c r="U66" i="12" a="1"/>
  <c r="U66" i="12" s="1"/>
  <c r="T99" i="2" a="1"/>
  <c r="T99" i="2" s="1"/>
  <c r="AE99" i="2" a="1"/>
  <c r="AE99" i="2" s="1"/>
  <c r="E82" i="12" a="1"/>
  <c r="E82" i="12" s="1"/>
  <c r="E216" i="12" a="1"/>
  <c r="E216" i="12" s="1"/>
  <c r="AC111" i="2" a="1"/>
  <c r="AC111" i="2" s="1"/>
  <c r="W111" i="2" a="1"/>
  <c r="W111" i="2" s="1"/>
  <c r="AB111" i="2" a="1"/>
  <c r="AB111" i="2" s="1"/>
  <c r="AF111" i="2" a="1"/>
  <c r="AF111" i="2" s="1"/>
  <c r="Z111" i="2" a="1"/>
  <c r="Z111" i="2" s="1"/>
  <c r="AD111" i="2" a="1"/>
  <c r="AD111" i="2" s="1"/>
  <c r="X111" i="2" a="1"/>
  <c r="X111" i="2" s="1"/>
  <c r="AA111" i="2" a="1"/>
  <c r="AA111" i="2" s="1"/>
  <c r="D32" i="7" a="1"/>
  <c r="D32" i="7" s="1"/>
  <c r="D28" i="6" a="1"/>
  <c r="D28" i="6" s="1"/>
  <c r="D60" i="4" a="1"/>
  <c r="D60" i="4" s="1"/>
  <c r="AA112" i="2" a="1"/>
  <c r="AA112" i="2" s="1"/>
  <c r="AF112" i="2" a="1"/>
  <c r="AF112" i="2" s="1"/>
  <c r="Z112" i="2" a="1"/>
  <c r="Z112" i="2" s="1"/>
  <c r="AD112" i="2" a="1"/>
  <c r="AD112" i="2" s="1"/>
  <c r="X112" i="2" a="1"/>
  <c r="X112" i="2" s="1"/>
  <c r="AC112" i="2" a="1"/>
  <c r="AC112" i="2" s="1"/>
  <c r="AG112" i="2" a="1"/>
  <c r="AG112" i="2" s="1"/>
  <c r="V112" i="2" a="1"/>
  <c r="V112" i="2" s="1"/>
  <c r="X120" i="2" a="1"/>
  <c r="X120" i="2" s="1"/>
  <c r="AC120" i="2" a="1"/>
  <c r="AC120" i="2" s="1"/>
  <c r="W120" i="2" a="1"/>
  <c r="W120" i="2" s="1"/>
  <c r="AB120" i="2" a="1"/>
  <c r="AB120" i="2" s="1"/>
  <c r="AF120" i="2" a="1"/>
  <c r="AF120" i="2" s="1"/>
  <c r="Z120" i="2" a="1"/>
  <c r="Z120" i="2" s="1"/>
  <c r="AD120" i="2" a="1"/>
  <c r="AD120" i="2" s="1"/>
  <c r="S120" i="2" a="1"/>
  <c r="S120" i="2" s="1"/>
  <c r="AA120" i="2" a="1"/>
  <c r="AA120" i="2" s="1"/>
  <c r="E93" i="12" a="1"/>
  <c r="E93" i="12" s="1"/>
  <c r="X124" i="2" a="1"/>
  <c r="X124" i="2" s="1"/>
  <c r="B36" i="7" a="1"/>
  <c r="B36" i="7" s="1"/>
  <c r="B67" i="4" a="1"/>
  <c r="B67" i="4" s="1"/>
  <c r="B37" i="5" a="1"/>
  <c r="B37" i="5" s="1"/>
  <c r="D43" i="5" a="1"/>
  <c r="D43" i="5" s="1"/>
  <c r="D78" i="4" a="1"/>
  <c r="D78" i="4" s="1"/>
  <c r="AA126" i="2" a="1"/>
  <c r="AA126" i="2" s="1"/>
  <c r="AF126" i="2" a="1"/>
  <c r="AF126" i="2" s="1"/>
  <c r="Z126" i="2" a="1"/>
  <c r="Z126" i="2" s="1"/>
  <c r="AD126" i="2" a="1"/>
  <c r="AD126" i="2" s="1"/>
  <c r="S126" i="2" a="1"/>
  <c r="S126" i="2" s="1"/>
  <c r="X126" i="2" a="1"/>
  <c r="X126" i="2" s="1"/>
  <c r="AG126" i="2" a="1"/>
  <c r="AG126" i="2" s="1"/>
  <c r="V126" i="2" a="1"/>
  <c r="V126" i="2" s="1"/>
  <c r="AC126" i="2" a="1"/>
  <c r="AC126" i="2" s="1"/>
  <c r="U256" i="12" a="1"/>
  <c r="U256" i="12" s="1"/>
  <c r="B43" i="7" a="1"/>
  <c r="B43" i="7" s="1"/>
  <c r="B34" i="6" a="1"/>
  <c r="B34" i="6" s="1"/>
  <c r="B40" i="5" a="1"/>
  <c r="B40" i="5" s="1"/>
  <c r="B74" i="4" a="1"/>
  <c r="B74" i="4" s="1"/>
  <c r="E102" i="12" a="1"/>
  <c r="E102" i="12" s="1"/>
  <c r="X175" i="2" a="1"/>
  <c r="X175" i="2" s="1"/>
  <c r="AE175" i="2" a="1"/>
  <c r="AE175" i="2" s="1"/>
  <c r="B71" i="8" a="1"/>
  <c r="B71" i="8" s="1"/>
  <c r="U157" i="12" a="1"/>
  <c r="U157" i="12" s="1"/>
  <c r="B71" i="7" a="1"/>
  <c r="B71" i="7" s="1"/>
  <c r="B59" i="6" a="1"/>
  <c r="B59" i="6" s="1"/>
  <c r="B120" i="4" a="1"/>
  <c r="B120" i="4" s="1"/>
  <c r="U138" i="12" a="1"/>
  <c r="U138" i="12" s="1"/>
  <c r="U159" i="12" a="1"/>
  <c r="U159" i="12" s="1"/>
  <c r="AD34" i="2" a="1"/>
  <c r="AD34" i="2" s="1"/>
  <c r="S34" i="2" a="1"/>
  <c r="S34" i="2" s="1"/>
  <c r="AA34" i="2" a="1"/>
  <c r="AA34" i="2" s="1"/>
  <c r="D23" i="7" a="1"/>
  <c r="D23" i="7" s="1"/>
  <c r="D39" i="4" a="1"/>
  <c r="D39" i="4" s="1"/>
  <c r="U53" i="12" a="1"/>
  <c r="U53" i="12" s="1"/>
  <c r="U41" i="12" a="1"/>
  <c r="U41" i="12" s="1"/>
  <c r="B30" i="8" a="1"/>
  <c r="B30" i="8" s="1"/>
  <c r="E75" i="12" a="1"/>
  <c r="E75" i="12" s="1"/>
  <c r="X89" i="2" a="1"/>
  <c r="X89" i="2" s="1"/>
  <c r="E174" i="12" a="1"/>
  <c r="E174" i="12" s="1"/>
  <c r="X93" i="2" a="1"/>
  <c r="X93" i="2" s="1"/>
  <c r="W609" i="12" a="1"/>
  <c r="W609" i="12" s="1"/>
  <c r="AO97" i="2" a="1"/>
  <c r="AO97" i="2" s="1"/>
  <c r="AP97" i="2" a="1"/>
  <c r="AP97" i="2" s="1"/>
  <c r="B29" i="7" a="1"/>
  <c r="B29" i="7" s="1"/>
  <c r="B54" i="4" a="1"/>
  <c r="B54" i="4" s="1"/>
  <c r="AD105" i="2" a="1"/>
  <c r="AD105" i="2" s="1"/>
  <c r="S105" i="2" a="1"/>
  <c r="S105" i="2" s="1"/>
  <c r="X105" i="2" a="1"/>
  <c r="X105" i="2" s="1"/>
  <c r="AC105" i="2" a="1"/>
  <c r="AC105" i="2" s="1"/>
  <c r="AG105" i="2" a="1"/>
  <c r="AG105" i="2" s="1"/>
  <c r="V105" i="2" a="1"/>
  <c r="V105" i="2" s="1"/>
  <c r="AA105" i="2" a="1"/>
  <c r="AA105" i="2" s="1"/>
  <c r="Y105" i="2" a="1"/>
  <c r="Y105" i="2" s="1"/>
  <c r="D31" i="7" a="1"/>
  <c r="D31" i="7" s="1"/>
  <c r="D59" i="4" a="1"/>
  <c r="D59" i="4" s="1"/>
  <c r="E85" i="12" a="1"/>
  <c r="E85" i="12" s="1"/>
  <c r="S114" i="2" a="1"/>
  <c r="S114" i="2" s="1"/>
  <c r="W114" i="2" a="1"/>
  <c r="W114" i="2" s="1"/>
  <c r="B27" i="6" a="1"/>
  <c r="B27" i="6" s="1"/>
  <c r="B32" i="5" a="1"/>
  <c r="B32" i="5" s="1"/>
  <c r="B58" i="4" a="1"/>
  <c r="B58" i="4" s="1"/>
  <c r="B41" i="8" a="1"/>
  <c r="B41" i="8" s="1"/>
  <c r="AC118" i="2" a="1"/>
  <c r="AC118" i="2" s="1"/>
  <c r="W118" i="2" a="1"/>
  <c r="W118" i="2" s="1"/>
  <c r="B42" i="8" a="1"/>
  <c r="B42" i="8" s="1"/>
  <c r="D41" i="5" a="1"/>
  <c r="D41" i="5" s="1"/>
  <c r="D75" i="4" a="1"/>
  <c r="D75" i="4" s="1"/>
  <c r="X125" i="2" a="1"/>
  <c r="X125" i="2" s="1"/>
  <c r="AC125" i="2" a="1"/>
  <c r="AC125" i="2" s="1"/>
  <c r="W125" i="2" a="1"/>
  <c r="W125" i="2" s="1"/>
  <c r="AB125" i="2" a="1"/>
  <c r="AB125" i="2" s="1"/>
  <c r="AF125" i="2" a="1"/>
  <c r="AF125" i="2" s="1"/>
  <c r="Z125" i="2" a="1"/>
  <c r="Z125" i="2" s="1"/>
  <c r="AD125" i="2" a="1"/>
  <c r="AD125" i="2" s="1"/>
  <c r="S125" i="2" a="1"/>
  <c r="S125" i="2" s="1"/>
  <c r="AA125" i="2" a="1"/>
  <c r="AA125" i="2" s="1"/>
  <c r="E90" i="12" a="1"/>
  <c r="E90" i="12" s="1"/>
  <c r="B38" i="7" a="1"/>
  <c r="B38" i="7" s="1"/>
  <c r="B31" i="6" a="1"/>
  <c r="B31" i="6" s="1"/>
  <c r="B38" i="5" a="1"/>
  <c r="B38" i="5" s="1"/>
  <c r="B69" i="4" a="1"/>
  <c r="B69" i="4" s="1"/>
  <c r="AA131" i="2" a="1"/>
  <c r="AA131" i="2" s="1"/>
  <c r="AF131" i="2" a="1"/>
  <c r="AF131" i="2" s="1"/>
  <c r="Z131" i="2" a="1"/>
  <c r="Z131" i="2" s="1"/>
  <c r="AD131" i="2" a="1"/>
  <c r="AD131" i="2" s="1"/>
  <c r="S131" i="2" a="1"/>
  <c r="S131" i="2" s="1"/>
  <c r="X131" i="2" a="1"/>
  <c r="X131" i="2" s="1"/>
  <c r="AC131" i="2" a="1"/>
  <c r="AC131" i="2" s="1"/>
  <c r="W131" i="2" a="1"/>
  <c r="W131" i="2" s="1"/>
  <c r="AG131" i="2" a="1"/>
  <c r="AG131" i="2" s="1"/>
  <c r="V131" i="2" a="1"/>
  <c r="V131" i="2" s="1"/>
  <c r="AE131" i="2" a="1"/>
  <c r="AE131" i="2" s="1"/>
  <c r="E70" i="12" a="1"/>
  <c r="E70" i="12" s="1"/>
  <c r="B41" i="7" a="1"/>
  <c r="B41" i="7" s="1"/>
  <c r="B33" i="6" a="1"/>
  <c r="B33" i="6" s="1"/>
  <c r="B72" i="4" a="1"/>
  <c r="B72" i="4" s="1"/>
  <c r="E266" i="12" a="1"/>
  <c r="E266" i="12" s="1"/>
  <c r="Z147" i="2" a="1"/>
  <c r="Z147" i="2" s="1"/>
  <c r="T147" i="2" a="1"/>
  <c r="T147" i="2" s="1"/>
  <c r="X147" i="2" a="1"/>
  <c r="X147" i="2" s="1"/>
  <c r="AG147" i="2" a="1"/>
  <c r="AG147" i="2" s="1"/>
  <c r="S147" i="2" a="1"/>
  <c r="S147" i="2" s="1"/>
  <c r="Y147" i="2" a="1"/>
  <c r="Y147" i="2" s="1"/>
  <c r="AF147" i="2" a="1"/>
  <c r="AF147" i="2" s="1"/>
  <c r="AE147" i="2" a="1"/>
  <c r="AE147" i="2" s="1"/>
  <c r="AD147" i="2" a="1"/>
  <c r="AD147" i="2" s="1"/>
  <c r="W147" i="2" a="1"/>
  <c r="W147" i="2" s="1"/>
  <c r="AC147" i="2" a="1"/>
  <c r="AC147" i="2" s="1"/>
  <c r="V147" i="2" a="1"/>
  <c r="V147" i="2" s="1"/>
  <c r="AB147" i="2" a="1"/>
  <c r="AB147" i="2" s="1"/>
  <c r="AA147" i="2" a="1"/>
  <c r="AA147" i="2" s="1"/>
  <c r="D36" i="6" a="1"/>
  <c r="D36" i="6" s="1"/>
  <c r="D47" i="7" a="1"/>
  <c r="D47" i="7" s="1"/>
  <c r="D82" i="4" a="1"/>
  <c r="D82" i="4" s="1"/>
  <c r="U259" i="12" a="1"/>
  <c r="U259" i="12" s="1"/>
  <c r="Y164" i="2" a="1"/>
  <c r="Y164" i="2" s="1"/>
  <c r="S164" i="2" a="1"/>
  <c r="S164" i="2" s="1"/>
  <c r="W164" i="2" a="1"/>
  <c r="W164" i="2" s="1"/>
  <c r="AA164" i="2" a="1"/>
  <c r="AA164" i="2" s="1"/>
  <c r="T164" i="2" a="1"/>
  <c r="T164" i="2" s="1"/>
  <c r="Z164" i="2" a="1"/>
  <c r="Z164" i="2" s="1"/>
  <c r="AG164" i="2" a="1"/>
  <c r="AG164" i="2" s="1"/>
  <c r="AF164" i="2" a="1"/>
  <c r="AF164" i="2" s="1"/>
  <c r="X164" i="2" a="1"/>
  <c r="X164" i="2" s="1"/>
  <c r="AE164" i="2" a="1"/>
  <c r="AE164" i="2" s="1"/>
  <c r="AD164" i="2" a="1"/>
  <c r="AD164" i="2" s="1"/>
  <c r="V164" i="2" a="1"/>
  <c r="V164" i="2" s="1"/>
  <c r="AC164" i="2" a="1"/>
  <c r="AC164" i="2" s="1"/>
  <c r="AB164" i="2" a="1"/>
  <c r="AB164" i="2" s="1"/>
  <c r="U91" i="12" a="1"/>
  <c r="U91" i="12" s="1"/>
  <c r="D47" i="6" a="1"/>
  <c r="D47" i="6" s="1"/>
  <c r="D100" i="4" a="1"/>
  <c r="D100" i="4" s="1"/>
  <c r="B74" i="8" a="1"/>
  <c r="B74" i="8" s="1"/>
  <c r="AF224" i="2" a="1"/>
  <c r="AF224" i="2" s="1"/>
  <c r="AE224" i="2" a="1"/>
  <c r="AE224" i="2" s="1"/>
  <c r="T224" i="2" a="1"/>
  <c r="T224" i="2" s="1"/>
  <c r="Y224" i="2" a="1"/>
  <c r="Y224" i="2" s="1"/>
  <c r="AC224" i="2" a="1"/>
  <c r="AC224" i="2" s="1"/>
  <c r="AG224" i="2" a="1"/>
  <c r="AG224" i="2" s="1"/>
  <c r="AA224" i="2" a="1"/>
  <c r="AA224" i="2" s="1"/>
  <c r="AB224" i="2" a="1"/>
  <c r="AB224" i="2" s="1"/>
  <c r="Z224" i="2" a="1"/>
  <c r="Z224" i="2" s="1"/>
  <c r="X224" i="2" a="1"/>
  <c r="X224" i="2" s="1"/>
  <c r="W224" i="2" a="1"/>
  <c r="W224" i="2" s="1"/>
  <c r="V224" i="2" a="1"/>
  <c r="V224" i="2" s="1"/>
  <c r="AD224" i="2" a="1"/>
  <c r="AD224" i="2" s="1"/>
  <c r="S224" i="2" a="1"/>
  <c r="S224" i="2" s="1"/>
  <c r="D3" i="6" a="1"/>
  <c r="D3" i="6" s="1"/>
  <c r="D6" i="5" a="1"/>
  <c r="D6" i="5" s="1"/>
  <c r="D8" i="4" a="1"/>
  <c r="D8" i="4" s="1"/>
  <c r="U6" i="3" a="1"/>
  <c r="U6" i="3" s="1"/>
  <c r="E191" i="12" a="1"/>
  <c r="E191" i="12" s="1"/>
  <c r="U191" i="12" a="1"/>
  <c r="U191" i="12" s="1"/>
  <c r="AB44" i="2" a="1"/>
  <c r="AB44" i="2" s="1"/>
  <c r="V44" i="2" a="1"/>
  <c r="V44" i="2" s="1"/>
  <c r="AG44" i="2" a="1"/>
  <c r="AG44" i="2" s="1"/>
  <c r="AA44" i="2" a="1"/>
  <c r="AA44" i="2" s="1"/>
  <c r="Y44" i="2" a="1"/>
  <c r="Y44" i="2" s="1"/>
  <c r="AA46" i="2" a="1"/>
  <c r="AA46" i="2" s="1"/>
  <c r="AF46" i="2" a="1"/>
  <c r="AF46" i="2" s="1"/>
  <c r="Z46" i="2" a="1"/>
  <c r="Z46" i="2" s="1"/>
  <c r="X46" i="2" a="1"/>
  <c r="X46" i="2" s="1"/>
  <c r="AG46" i="2" a="1"/>
  <c r="AG46" i="2" s="1"/>
  <c r="AG48" i="2" a="1"/>
  <c r="AG48" i="2" s="1"/>
  <c r="W51" i="2" a="1"/>
  <c r="W51" i="2" s="1"/>
  <c r="B14" i="6" a="1"/>
  <c r="B14" i="6" s="1"/>
  <c r="B27" i="4" a="1"/>
  <c r="B27" i="4" s="1"/>
  <c r="B19" i="7" a="1"/>
  <c r="B19" i="7" s="1"/>
  <c r="B19" i="6" a="1"/>
  <c r="B19" i="6" s="1"/>
  <c r="B35" i="4" a="1"/>
  <c r="B35" i="4" s="1"/>
  <c r="E56" i="12" a="1"/>
  <c r="E56" i="12" s="1"/>
  <c r="AA68" i="2" a="1"/>
  <c r="AA68" i="2" s="1"/>
  <c r="E166" i="12" a="1"/>
  <c r="E166" i="12" s="1"/>
  <c r="Y74" i="2" a="1"/>
  <c r="Y74" i="2" s="1"/>
  <c r="U76" i="12" a="1"/>
  <c r="U76" i="12" s="1"/>
  <c r="AC85" i="2" a="1"/>
  <c r="AC85" i="2" s="1"/>
  <c r="W85" i="2" a="1"/>
  <c r="W85" i="2" s="1"/>
  <c r="AB85" i="2" a="1"/>
  <c r="AB85" i="2" s="1"/>
  <c r="Z85" i="2" a="1"/>
  <c r="Z85" i="2" s="1"/>
  <c r="AE85" i="2" a="1"/>
  <c r="AE85" i="2" s="1"/>
  <c r="T85" i="2" a="1"/>
  <c r="T85" i="2" s="1"/>
  <c r="X85" i="2" a="1"/>
  <c r="X85" i="2" s="1"/>
  <c r="U189" i="12" a="1"/>
  <c r="U189" i="12" s="1"/>
  <c r="E62" i="12" a="1"/>
  <c r="E62" i="12" s="1"/>
  <c r="E201" i="12" a="1"/>
  <c r="E201" i="12" s="1"/>
  <c r="AE105" i="2" a="1"/>
  <c r="AE105" i="2" s="1"/>
  <c r="W623" i="12" a="1"/>
  <c r="W623" i="12" s="1"/>
  <c r="AK109" i="2" a="1"/>
  <c r="AK109" i="2" s="1"/>
  <c r="AO109" i="2" a="1"/>
  <c r="AO109" i="2" s="1"/>
  <c r="D36" i="5" a="1"/>
  <c r="D36" i="5" s="1"/>
  <c r="D65" i="4" a="1"/>
  <c r="D65" i="4" s="1"/>
  <c r="Z110" i="2" a="1"/>
  <c r="Z110" i="2" s="1"/>
  <c r="AE110" i="2" a="1"/>
  <c r="AE110" i="2" s="1"/>
  <c r="T110" i="2" a="1"/>
  <c r="T110" i="2" s="1"/>
  <c r="Y110" i="2" a="1"/>
  <c r="Y110" i="2" s="1"/>
  <c r="S110" i="2" a="1"/>
  <c r="S110" i="2" s="1"/>
  <c r="W110" i="2" a="1"/>
  <c r="W110" i="2" s="1"/>
  <c r="AB110" i="2" a="1"/>
  <c r="AB110" i="2" s="1"/>
  <c r="AF110" i="2" a="1"/>
  <c r="AF110" i="2" s="1"/>
  <c r="AC110" i="2" a="1"/>
  <c r="AC110" i="2" s="1"/>
  <c r="W113" i="2" a="1"/>
  <c r="W113" i="2" s="1"/>
  <c r="AC116" i="2" a="1"/>
  <c r="AC116" i="2" s="1"/>
  <c r="W116" i="2" a="1"/>
  <c r="W116" i="2" s="1"/>
  <c r="AB116" i="2" a="1"/>
  <c r="AB116" i="2" s="1"/>
  <c r="AF116" i="2" a="1"/>
  <c r="AF116" i="2" s="1"/>
  <c r="Z116" i="2" a="1"/>
  <c r="Z116" i="2" s="1"/>
  <c r="AD116" i="2" a="1"/>
  <c r="AD116" i="2" s="1"/>
  <c r="X116" i="2" a="1"/>
  <c r="X116" i="2" s="1"/>
  <c r="AA116" i="2" a="1"/>
  <c r="AA116" i="2" s="1"/>
  <c r="W661" i="12" a="1"/>
  <c r="W661" i="12" s="1"/>
  <c r="AN117" i="2" a="1"/>
  <c r="AN117" i="2" s="1"/>
  <c r="AK117" i="2" a="1"/>
  <c r="AK117" i="2" s="1"/>
  <c r="AO117" i="2" a="1"/>
  <c r="AO117" i="2" s="1"/>
  <c r="U93" i="12" a="1"/>
  <c r="U93" i="12" s="1"/>
  <c r="W122" i="2" a="1"/>
  <c r="W122" i="2" s="1"/>
  <c r="AC123" i="2" a="1"/>
  <c r="AC123" i="2" s="1"/>
  <c r="W123" i="2" a="1"/>
  <c r="W123" i="2" s="1"/>
  <c r="B35" i="7" a="1"/>
  <c r="B35" i="7" s="1"/>
  <c r="B30" i="6" a="1"/>
  <c r="B30" i="6" s="1"/>
  <c r="B66" i="4" a="1"/>
  <c r="B66" i="4" s="1"/>
  <c r="D36" i="7" a="1"/>
  <c r="D36" i="7" s="1"/>
  <c r="D37" i="5" a="1"/>
  <c r="D37" i="5" s="1"/>
  <c r="D67" i="4" a="1"/>
  <c r="D67" i="4" s="1"/>
  <c r="X130" i="2" a="1"/>
  <c r="X130" i="2" s="1"/>
  <c r="AC130" i="2" a="1"/>
  <c r="AC130" i="2" s="1"/>
  <c r="W130" i="2" a="1"/>
  <c r="W130" i="2" s="1"/>
  <c r="AB130" i="2" a="1"/>
  <c r="AB130" i="2" s="1"/>
  <c r="AF130" i="2" a="1"/>
  <c r="AF130" i="2" s="1"/>
  <c r="Z130" i="2" a="1"/>
  <c r="Z130" i="2" s="1"/>
  <c r="AD130" i="2" a="1"/>
  <c r="AD130" i="2" s="1"/>
  <c r="S130" i="2" a="1"/>
  <c r="S130" i="2" s="1"/>
  <c r="AA130" i="2" a="1"/>
  <c r="AA130" i="2" s="1"/>
  <c r="U382" i="12" a="1"/>
  <c r="U382" i="12" s="1"/>
  <c r="U70" i="12" a="1"/>
  <c r="U70" i="12" s="1"/>
  <c r="B48" i="5" a="1"/>
  <c r="B48" i="5" s="1"/>
  <c r="B86" i="4" a="1"/>
  <c r="B86" i="4" s="1"/>
  <c r="U196" i="12" a="1"/>
  <c r="U196" i="12" s="1"/>
  <c r="U143" i="12" a="1"/>
  <c r="U143" i="12" s="1"/>
  <c r="AD150" i="2" a="1"/>
  <c r="AD150" i="2" s="1"/>
  <c r="S150" i="2" a="1"/>
  <c r="S150" i="2" s="1"/>
  <c r="W150" i="2" a="1"/>
  <c r="W150" i="2" s="1"/>
  <c r="AA150" i="2" a="1"/>
  <c r="AA150" i="2" s="1"/>
  <c r="AF150" i="2" a="1"/>
  <c r="AF150" i="2" s="1"/>
  <c r="X150" i="2" a="1"/>
  <c r="X150" i="2" s="1"/>
  <c r="AE150" i="2" a="1"/>
  <c r="AE150" i="2" s="1"/>
  <c r="V150" i="2" a="1"/>
  <c r="V150" i="2" s="1"/>
  <c r="AC150" i="2" a="1"/>
  <c r="AC150" i="2" s="1"/>
  <c r="AB150" i="2" a="1"/>
  <c r="AB150" i="2" s="1"/>
  <c r="T150" i="2" a="1"/>
  <c r="T150" i="2" s="1"/>
  <c r="Z150" i="2" a="1"/>
  <c r="Z150" i="2" s="1"/>
  <c r="AG150" i="2" a="1"/>
  <c r="AG150" i="2" s="1"/>
  <c r="Y150" i="2" a="1"/>
  <c r="Y150" i="2" s="1"/>
  <c r="B55" i="8" a="1"/>
  <c r="B55" i="8" s="1"/>
  <c r="D43" i="6" a="1"/>
  <c r="D43" i="6" s="1"/>
  <c r="D54" i="7" a="1"/>
  <c r="D54" i="7" s="1"/>
  <c r="D92" i="4" a="1"/>
  <c r="D92" i="4" s="1"/>
  <c r="B27" i="9" a="1"/>
  <c r="B27" i="9" s="1"/>
  <c r="AR190" i="2" a="1"/>
  <c r="AR190" i="2" s="1"/>
  <c r="E183" i="12" a="1"/>
  <c r="E183" i="12" s="1"/>
  <c r="AR199" i="2" a="1"/>
  <c r="AR199" i="2" s="1"/>
  <c r="B60" i="5" a="1"/>
  <c r="B60" i="5" s="1"/>
  <c r="B117" i="4" a="1"/>
  <c r="B117" i="4" s="1"/>
  <c r="O2" i="3" a="1"/>
  <c r="O2" i="3" s="1"/>
  <c r="U26" i="12" a="1"/>
  <c r="U26" i="12" s="1"/>
  <c r="Z14" i="3" a="1"/>
  <c r="Z14" i="3" s="1"/>
  <c r="B7" i="6" a="1"/>
  <c r="B7" i="6" s="1"/>
  <c r="B14" i="4" a="1"/>
  <c r="B14" i="4" s="1"/>
  <c r="E15" i="12" a="1"/>
  <c r="E15" i="12" s="1"/>
  <c r="X48" i="2" a="1"/>
  <c r="X48" i="2" s="1"/>
  <c r="U155" i="12" a="1"/>
  <c r="U155" i="12" s="1"/>
  <c r="W641" i="12" a="1"/>
  <c r="W641" i="12" s="1"/>
  <c r="AK63" i="2" a="1"/>
  <c r="AK63" i="2" s="1"/>
  <c r="AP63" i="2" a="1"/>
  <c r="AP63" i="2" s="1"/>
  <c r="AN63" i="2" a="1"/>
  <c r="AN63" i="2" s="1"/>
  <c r="V65" i="2" a="1"/>
  <c r="V65" i="2" s="1"/>
  <c r="AC65" i="2" a="1"/>
  <c r="AC65" i="2" s="1"/>
  <c r="W65" i="2" a="1"/>
  <c r="W65" i="2" s="1"/>
  <c r="D3" i="5" a="1"/>
  <c r="D3" i="5" s="1"/>
  <c r="D3" i="4" a="1"/>
  <c r="D3" i="4" s="1"/>
  <c r="Y7" i="2" a="1"/>
  <c r="Y7" i="2" s="1"/>
  <c r="AF7" i="2" a="1"/>
  <c r="AF7" i="2" s="1"/>
  <c r="AE89" i="2" a="1"/>
  <c r="AE89" i="2" s="1"/>
  <c r="B32" i="8" a="1"/>
  <c r="B32" i="8" s="1"/>
  <c r="AE93" i="2" a="1"/>
  <c r="AE93" i="2" s="1"/>
  <c r="U32" i="12" a="1"/>
  <c r="U32" i="12" s="1"/>
  <c r="D29" i="7" a="1"/>
  <c r="D29" i="7" s="1"/>
  <c r="D54" i="4" a="1"/>
  <c r="D54" i="4" s="1"/>
  <c r="AC98" i="2" a="1"/>
  <c r="AC98" i="2" s="1"/>
  <c r="W98" i="2" a="1"/>
  <c r="W98" i="2" s="1"/>
  <c r="AF98" i="2" a="1"/>
  <c r="AF98" i="2" s="1"/>
  <c r="Z98" i="2" a="1"/>
  <c r="Z98" i="2" s="1"/>
  <c r="T98" i="2" a="1"/>
  <c r="T98" i="2" s="1"/>
  <c r="AE98" i="2" a="1"/>
  <c r="AE98" i="2" s="1"/>
  <c r="X98" i="2" a="1"/>
  <c r="X98" i="2" s="1"/>
  <c r="AA98" i="2" a="1"/>
  <c r="AA98" i="2" s="1"/>
  <c r="B31" i="5" a="1"/>
  <c r="B31" i="5" s="1"/>
  <c r="B57" i="4" a="1"/>
  <c r="B57" i="4" s="1"/>
  <c r="U61" i="12" a="1"/>
  <c r="U61" i="12" s="1"/>
  <c r="AA104" i="2" a="1"/>
  <c r="AA104" i="2" s="1"/>
  <c r="AF104" i="2" a="1"/>
  <c r="AF104" i="2" s="1"/>
  <c r="Z104" i="2" a="1"/>
  <c r="Z104" i="2" s="1"/>
  <c r="AE104" i="2" a="1"/>
  <c r="AE104" i="2" s="1"/>
  <c r="T104" i="2" a="1"/>
  <c r="T104" i="2" s="1"/>
  <c r="X104" i="2" a="1"/>
  <c r="X104" i="2" s="1"/>
  <c r="AC104" i="2" a="1"/>
  <c r="AC104" i="2" s="1"/>
  <c r="AG104" i="2" a="1"/>
  <c r="AG104" i="2" s="1"/>
  <c r="V104" i="2" a="1"/>
  <c r="V104" i="2" s="1"/>
  <c r="AF105" i="2" a="1"/>
  <c r="AF105" i="2" s="1"/>
  <c r="U85" i="12" a="1"/>
  <c r="U85" i="12" s="1"/>
  <c r="D33" i="7" a="1"/>
  <c r="D33" i="7" s="1"/>
  <c r="D34" i="5" a="1"/>
  <c r="D34" i="5" s="1"/>
  <c r="D62" i="4" a="1"/>
  <c r="D62" i="4" s="1"/>
  <c r="Z119" i="2" a="1"/>
  <c r="Z119" i="2" s="1"/>
  <c r="AE119" i="2" a="1"/>
  <c r="AE119" i="2" s="1"/>
  <c r="T119" i="2" a="1"/>
  <c r="T119" i="2" s="1"/>
  <c r="U119" i="2" s="1" a="1"/>
  <c r="U119" i="2" s="1"/>
  <c r="Y119" i="2" a="1"/>
  <c r="Y119" i="2" s="1"/>
  <c r="AC119" i="2" a="1"/>
  <c r="AC119" i="2" s="1"/>
  <c r="W119" i="2" a="1"/>
  <c r="W119" i="2" s="1"/>
  <c r="AB119" i="2" a="1"/>
  <c r="AB119" i="2" s="1"/>
  <c r="AF119" i="2" a="1"/>
  <c r="AF119" i="2" s="1"/>
  <c r="Z122" i="2" a="1"/>
  <c r="Z122" i="2" s="1"/>
  <c r="U90" i="12" a="1"/>
  <c r="U90" i="12" s="1"/>
  <c r="AC128" i="2" a="1"/>
  <c r="AC128" i="2" s="1"/>
  <c r="W128" i="2" a="1"/>
  <c r="W128" i="2" s="1"/>
  <c r="B37" i="7" a="1"/>
  <c r="B37" i="7" s="1"/>
  <c r="B68" i="4" a="1"/>
  <c r="B68" i="4" s="1"/>
  <c r="D38" i="5" a="1"/>
  <c r="D38" i="5" s="1"/>
  <c r="D38" i="7" a="1"/>
  <c r="D38" i="7" s="1"/>
  <c r="D31" i="6" a="1"/>
  <c r="D31" i="6" s="1"/>
  <c r="D69" i="4" a="1"/>
  <c r="D69" i="4" s="1"/>
  <c r="B39" i="7" a="1"/>
  <c r="B39" i="7" s="1"/>
  <c r="B70" i="4" a="1"/>
  <c r="B70" i="4" s="1"/>
  <c r="B44" i="5" a="1"/>
  <c r="B44" i="5" s="1"/>
  <c r="B79" i="4" a="1"/>
  <c r="B79" i="4" s="1"/>
  <c r="AE134" i="2" a="1"/>
  <c r="AE134" i="2" s="1"/>
  <c r="E203" i="12" a="1"/>
  <c r="E203" i="12" s="1"/>
  <c r="E84" i="12" a="1"/>
  <c r="E84" i="12" s="1"/>
  <c r="Y154" i="2" a="1"/>
  <c r="Y154" i="2" s="1"/>
  <c r="S154" i="2" a="1"/>
  <c r="S154" i="2" s="1"/>
  <c r="W154" i="2" a="1"/>
  <c r="W154" i="2" s="1"/>
  <c r="AA154" i="2" a="1"/>
  <c r="AA154" i="2" s="1"/>
  <c r="AF154" i="2" a="1"/>
  <c r="AF154" i="2" s="1"/>
  <c r="X154" i="2" a="1"/>
  <c r="X154" i="2" s="1"/>
  <c r="AE154" i="2" a="1"/>
  <c r="AE154" i="2" s="1"/>
  <c r="AD154" i="2" a="1"/>
  <c r="AD154" i="2" s="1"/>
  <c r="V154" i="2" a="1"/>
  <c r="V154" i="2" s="1"/>
  <c r="AC154" i="2" a="1"/>
  <c r="AC154" i="2" s="1"/>
  <c r="AB154" i="2" a="1"/>
  <c r="AB154" i="2" s="1"/>
  <c r="T154" i="2" a="1"/>
  <c r="T154" i="2" s="1"/>
  <c r="Z154" i="2" a="1"/>
  <c r="Z154" i="2" s="1"/>
  <c r="AG154" i="2" a="1"/>
  <c r="AG154" i="2" s="1"/>
  <c r="U126" i="12" a="1"/>
  <c r="U126" i="12" s="1"/>
  <c r="B68" i="7" a="1"/>
  <c r="B68" i="7" s="1"/>
  <c r="B57" i="6" a="1"/>
  <c r="B57" i="6" s="1"/>
  <c r="B116" i="4" a="1"/>
  <c r="B116" i="4" s="1"/>
  <c r="U177" i="12" a="1"/>
  <c r="U177" i="12" s="1"/>
  <c r="U379" i="12" a="1"/>
  <c r="U379" i="12" s="1"/>
  <c r="U22" i="12" a="1"/>
  <c r="U22" i="12" s="1"/>
  <c r="E144" i="12" a="1"/>
  <c r="E144" i="12" s="1"/>
  <c r="B27" i="7" a="1"/>
  <c r="B27" i="7" s="1"/>
  <c r="B26" i="5" a="1"/>
  <c r="B26" i="5" s="1"/>
  <c r="B48" i="4" a="1"/>
  <c r="B48" i="4" s="1"/>
  <c r="N14" i="3" a="1"/>
  <c r="N14" i="3" s="1"/>
  <c r="U14" i="3" a="1"/>
  <c r="U14" i="3" s="1"/>
  <c r="Z7" i="2" a="1"/>
  <c r="Z7" i="2" s="1"/>
  <c r="B6" i="8" a="1"/>
  <c r="B6" i="8" s="1"/>
  <c r="AF10" i="2" a="1"/>
  <c r="AF10" i="2" s="1"/>
  <c r="AC10" i="2" a="1"/>
  <c r="AC10" i="2" s="1"/>
  <c r="W12" i="2" a="1"/>
  <c r="W12" i="2" s="1"/>
  <c r="W14" i="2" a="1"/>
  <c r="W14" i="2" s="1"/>
  <c r="Z14" i="2" a="1"/>
  <c r="Z14" i="2" s="1"/>
  <c r="T14" i="2" a="1"/>
  <c r="T14" i="2" s="1"/>
  <c r="AD14" i="2" a="1"/>
  <c r="AD14" i="2" s="1"/>
  <c r="U80" i="12" a="1"/>
  <c r="U80" i="12" s="1"/>
  <c r="X16" i="2" a="1"/>
  <c r="X16" i="2" s="1"/>
  <c r="AA16" i="2" a="1"/>
  <c r="AA16" i="2" s="1"/>
  <c r="W16" i="2" a="1"/>
  <c r="W16" i="2" s="1"/>
  <c r="AD16" i="2" a="1"/>
  <c r="AD16" i="2" s="1"/>
  <c r="AD18" i="2" a="1"/>
  <c r="AD18" i="2" s="1"/>
  <c r="E116" i="12" a="1"/>
  <c r="E116" i="12" s="1"/>
  <c r="X20" i="2" a="1"/>
  <c r="X20" i="2" s="1"/>
  <c r="AE20" i="2" a="1"/>
  <c r="AE20" i="2" s="1"/>
  <c r="D7" i="6" a="1"/>
  <c r="D7" i="6" s="1"/>
  <c r="D14" i="4" a="1"/>
  <c r="D14" i="4" s="1"/>
  <c r="X22" i="2" a="1"/>
  <c r="X22" i="2" s="1"/>
  <c r="U23" i="2" a="1"/>
  <c r="U23" i="2" s="1"/>
  <c r="AE25" i="2" a="1"/>
  <c r="AE25" i="2" s="1"/>
  <c r="E19" i="12" a="1"/>
  <c r="E19" i="12" s="1"/>
  <c r="AE28" i="2" a="1"/>
  <c r="AE28" i="2" s="1"/>
  <c r="D8" i="7" a="1"/>
  <c r="D8" i="7" s="1"/>
  <c r="D11" i="5" a="1"/>
  <c r="D11" i="5" s="1"/>
  <c r="D18" i="4" a="1"/>
  <c r="D18" i="4" s="1"/>
  <c r="AF30" i="2" a="1"/>
  <c r="AF30" i="2" s="1"/>
  <c r="E12" i="12" a="1"/>
  <c r="E12" i="12" s="1"/>
  <c r="Y32" i="2" a="1"/>
  <c r="Y32" i="2" s="1"/>
  <c r="AF32" i="2" a="1"/>
  <c r="AF32" i="2" s="1"/>
  <c r="AB33" i="2" a="1"/>
  <c r="AB33" i="2" s="1"/>
  <c r="AF34" i="2" a="1"/>
  <c r="AF34" i="2" s="1"/>
  <c r="AD35" i="2" a="1"/>
  <c r="AD35" i="2" s="1"/>
  <c r="AC36" i="2" a="1"/>
  <c r="AC36" i="2" s="1"/>
  <c r="B11" i="7" a="1"/>
  <c r="B11" i="7" s="1"/>
  <c r="B10" i="6" a="1"/>
  <c r="B10" i="6" s="1"/>
  <c r="B21" i="4" a="1"/>
  <c r="B21" i="4" s="1"/>
  <c r="U50" i="12" a="1"/>
  <c r="U50" i="12" s="1"/>
  <c r="Z44" i="2" a="1"/>
  <c r="Z44" i="2" s="1"/>
  <c r="AA48" i="2" a="1"/>
  <c r="AA48" i="2" s="1"/>
  <c r="U49" i="12" a="1"/>
  <c r="U49" i="12" s="1"/>
  <c r="X51" i="2" a="1"/>
  <c r="X51" i="2" s="1"/>
  <c r="D19" i="5" a="1"/>
  <c r="D19" i="5" s="1"/>
  <c r="D34" i="4" a="1"/>
  <c r="D34" i="4" s="1"/>
  <c r="AC55" i="2" a="1"/>
  <c r="AC55" i="2" s="1"/>
  <c r="AG62" i="2" a="1"/>
  <c r="AG62" i="2" s="1"/>
  <c r="AM63" i="2" a="1"/>
  <c r="AM63" i="2" s="1"/>
  <c r="AL63" i="2" s="1" a="1"/>
  <c r="AL63" i="2" s="1"/>
  <c r="X67" i="2" a="1"/>
  <c r="X67" i="2" s="1"/>
  <c r="U35" i="12" a="1"/>
  <c r="U35" i="12" s="1"/>
  <c r="D22" i="7" a="1"/>
  <c r="D22" i="7" s="1"/>
  <c r="D20" i="5" a="1"/>
  <c r="D20" i="5" s="1"/>
  <c r="D38" i="4" a="1"/>
  <c r="D38" i="4" s="1"/>
  <c r="AM72" i="2" a="1"/>
  <c r="AM72" i="2" s="1"/>
  <c r="AL72" i="2" s="1" a="1"/>
  <c r="AL72" i="2" s="1"/>
  <c r="W73" i="2" a="1"/>
  <c r="W73" i="2" s="1"/>
  <c r="AB74" i="2" a="1"/>
  <c r="AB74" i="2" s="1"/>
  <c r="AP77" i="2" a="1"/>
  <c r="AP77" i="2" s="1"/>
  <c r="E55" i="12" a="1"/>
  <c r="E55" i="12" s="1"/>
  <c r="U25" i="12" a="1"/>
  <c r="U25" i="12" s="1"/>
  <c r="B30" i="5" a="1"/>
  <c r="B30" i="5" s="1"/>
  <c r="B56" i="4" a="1"/>
  <c r="B56" i="4" s="1"/>
  <c r="AM97" i="2" a="1"/>
  <c r="AM97" i="2" s="1"/>
  <c r="AL97" i="2" s="1" a="1"/>
  <c r="AL97" i="2" s="1"/>
  <c r="AC102" i="2" a="1"/>
  <c r="AC102" i="2" s="1"/>
  <c r="AC103" i="2" a="1"/>
  <c r="AC103" i="2" s="1"/>
  <c r="E224" i="12" a="1"/>
  <c r="E224" i="12" s="1"/>
  <c r="AD104" i="2" a="1"/>
  <c r="AD104" i="2" s="1"/>
  <c r="T105" i="2" a="1"/>
  <c r="T105" i="2" s="1"/>
  <c r="D17" i="8" a="1"/>
  <c r="D17" i="8" s="1"/>
  <c r="D35" i="5" a="1"/>
  <c r="D35" i="5" s="1"/>
  <c r="D63" i="4" a="1"/>
  <c r="D63" i="4" s="1"/>
  <c r="AE107" i="2" a="1"/>
  <c r="AE107" i="2" s="1"/>
  <c r="AM109" i="2" a="1"/>
  <c r="AM109" i="2" s="1"/>
  <c r="E69" i="12" a="1"/>
  <c r="E69" i="12" s="1"/>
  <c r="S111" i="2" a="1"/>
  <c r="S111" i="2" s="1"/>
  <c r="T112" i="2" a="1"/>
  <c r="T112" i="2" s="1"/>
  <c r="D27" i="6" a="1"/>
  <c r="D27" i="6" s="1"/>
  <c r="D32" i="5" a="1"/>
  <c r="D32" i="5" s="1"/>
  <c r="D58" i="4" a="1"/>
  <c r="D58" i="4" s="1"/>
  <c r="Z115" i="2" a="1"/>
  <c r="Z115" i="2" s="1"/>
  <c r="AE115" i="2" a="1"/>
  <c r="AE115" i="2" s="1"/>
  <c r="T115" i="2" a="1"/>
  <c r="T115" i="2" s="1"/>
  <c r="Y115" i="2" a="1"/>
  <c r="Y115" i="2" s="1"/>
  <c r="S115" i="2" a="1"/>
  <c r="S115" i="2" s="1"/>
  <c r="W115" i="2" a="1"/>
  <c r="W115" i="2" s="1"/>
  <c r="AB115" i="2" a="1"/>
  <c r="AB115" i="2" s="1"/>
  <c r="AF115" i="2" a="1"/>
  <c r="AF115" i="2" s="1"/>
  <c r="AC115" i="2" a="1"/>
  <c r="AC115" i="2" s="1"/>
  <c r="AD119" i="2" a="1"/>
  <c r="AD119" i="2" s="1"/>
  <c r="D42" i="5" a="1"/>
  <c r="D42" i="5" s="1"/>
  <c r="D77" i="4" a="1"/>
  <c r="D77" i="4" s="1"/>
  <c r="Z124" i="2" a="1"/>
  <c r="Z124" i="2" s="1"/>
  <c r="AE124" i="2" a="1"/>
  <c r="AE124" i="2" s="1"/>
  <c r="T124" i="2" a="1"/>
  <c r="T124" i="2" s="1"/>
  <c r="U124" i="2" s="1" a="1"/>
  <c r="U124" i="2" s="1"/>
  <c r="Y124" i="2" a="1"/>
  <c r="Y124" i="2" s="1"/>
  <c r="AC124" i="2" a="1"/>
  <c r="AC124" i="2" s="1"/>
  <c r="W124" i="2" a="1"/>
  <c r="W124" i="2" s="1"/>
  <c r="AB124" i="2" a="1"/>
  <c r="AB124" i="2" s="1"/>
  <c r="AF124" i="2" a="1"/>
  <c r="AF124" i="2" s="1"/>
  <c r="AE125" i="2" a="1"/>
  <c r="AE125" i="2" s="1"/>
  <c r="T126" i="2" a="1"/>
  <c r="T126" i="2" s="1"/>
  <c r="E253" i="12" a="1"/>
  <c r="E253" i="12" s="1"/>
  <c r="D50" i="5" a="1"/>
  <c r="D50" i="5" s="1"/>
  <c r="D96" i="4" a="1"/>
  <c r="D96" i="4" s="1"/>
  <c r="B56" i="8" a="1"/>
  <c r="B56" i="8" s="1"/>
  <c r="D55" i="7" a="1"/>
  <c r="D55" i="7" s="1"/>
  <c r="D46" i="6" a="1"/>
  <c r="D46" i="6" s="1"/>
  <c r="D95" i="4" a="1"/>
  <c r="D95" i="4" s="1"/>
  <c r="B57" i="7" a="1"/>
  <c r="B57" i="7" s="1"/>
  <c r="B54" i="5" a="1"/>
  <c r="B54" i="5" s="1"/>
  <c r="B101" i="4" a="1"/>
  <c r="B101" i="4" s="1"/>
  <c r="D52" i="6" a="1"/>
  <c r="D52" i="6" s="1"/>
  <c r="D61" i="7" a="1"/>
  <c r="D61" i="7" s="1"/>
  <c r="D106" i="4" a="1"/>
  <c r="D106" i="4" s="1"/>
  <c r="E452" i="12" a="1"/>
  <c r="E452" i="12" s="1"/>
  <c r="AL260" i="2" a="1"/>
  <c r="AL260" i="2" s="1"/>
  <c r="V281" i="2" a="1"/>
  <c r="V281" i="2" s="1"/>
  <c r="T281" i="2" a="1"/>
  <c r="T281" i="2" s="1"/>
  <c r="W281" i="2" a="1"/>
  <c r="W281" i="2" s="1"/>
  <c r="E9" i="12" a="1"/>
  <c r="E9" i="12" s="1"/>
  <c r="E31" i="12" a="1"/>
  <c r="E31" i="12" s="1"/>
  <c r="E2" i="12" a="1"/>
  <c r="E2" i="12" s="1"/>
  <c r="J2" i="3" a="1"/>
  <c r="J2" i="3" s="1"/>
  <c r="X3" i="2" a="1"/>
  <c r="X3" i="2" s="1"/>
  <c r="N10" i="3" a="1"/>
  <c r="N10" i="3" s="1"/>
  <c r="U33" i="12" a="1"/>
  <c r="U33" i="12" s="1"/>
  <c r="W10" i="2" a="1"/>
  <c r="W10" i="2" s="1"/>
  <c r="AD10" i="2" a="1"/>
  <c r="AD10" i="2" s="1"/>
  <c r="AG12" i="2" a="1"/>
  <c r="AG12" i="2" s="1"/>
  <c r="V12" i="2" a="1"/>
  <c r="V12" i="2" s="1"/>
  <c r="AD12" i="2" a="1"/>
  <c r="AD12" i="2" s="1"/>
  <c r="S12" i="2" a="1"/>
  <c r="S12" i="2" s="1"/>
  <c r="AE12" i="2" a="1"/>
  <c r="AE12" i="2" s="1"/>
  <c r="U9" i="12" a="1"/>
  <c r="U9" i="12" s="1"/>
  <c r="X14" i="2" a="1"/>
  <c r="X14" i="2" s="1"/>
  <c r="AE14" i="2" a="1"/>
  <c r="AE14" i="2" s="1"/>
  <c r="AE16" i="2" a="1"/>
  <c r="AE16" i="2" s="1"/>
  <c r="D5" i="7" a="1"/>
  <c r="D5" i="7" s="1"/>
  <c r="D5" i="6" a="1"/>
  <c r="D5" i="6" s="1"/>
  <c r="D12" i="4" a="1"/>
  <c r="D12" i="4" s="1"/>
  <c r="Y22" i="2" a="1"/>
  <c r="Y22" i="2" s="1"/>
  <c r="Y25" i="2" a="1"/>
  <c r="Y25" i="2" s="1"/>
  <c r="V29" i="2" a="1"/>
  <c r="V29" i="2" s="1"/>
  <c r="S30" i="2" a="1"/>
  <c r="S30" i="2" s="1"/>
  <c r="Z30" i="2" a="1"/>
  <c r="Z30" i="2" s="1"/>
  <c r="V33" i="2" a="1"/>
  <c r="V33" i="2" s="1"/>
  <c r="Z34" i="2" a="1"/>
  <c r="Z34" i="2" s="1"/>
  <c r="AG34" i="2" a="1"/>
  <c r="AG34" i="2" s="1"/>
  <c r="W35" i="2" a="1"/>
  <c r="W35" i="2" s="1"/>
  <c r="S41" i="2" a="1"/>
  <c r="S41" i="2" s="1"/>
  <c r="E29" i="12" a="1"/>
  <c r="E29" i="12" s="1"/>
  <c r="E86" i="12" a="1"/>
  <c r="E86" i="12" s="1"/>
  <c r="S44" i="2" a="1"/>
  <c r="S44" i="2" s="1"/>
  <c r="AK45" i="2" a="1"/>
  <c r="AK45" i="2" s="1"/>
  <c r="S46" i="2" a="1"/>
  <c r="S46" i="2" s="1"/>
  <c r="AK47" i="2" a="1"/>
  <c r="AK47" i="2" s="1"/>
  <c r="AE55" i="2" a="1"/>
  <c r="AE55" i="2" s="1"/>
  <c r="AC56" i="2" a="1"/>
  <c r="AC56" i="2" s="1"/>
  <c r="AA60" i="2" a="1"/>
  <c r="AA60" i="2" s="1"/>
  <c r="X62" i="2" a="1"/>
  <c r="X62" i="2" s="1"/>
  <c r="U52" i="12" a="1"/>
  <c r="U52" i="12" s="1"/>
  <c r="U36" i="12" a="1"/>
  <c r="U36" i="12" s="1"/>
  <c r="E38" i="12" a="1"/>
  <c r="E38" i="12" s="1"/>
  <c r="Y67" i="2" a="1"/>
  <c r="Y67" i="2" s="1"/>
  <c r="D22" i="5" a="1"/>
  <c r="D22" i="5" s="1"/>
  <c r="D41" i="4" a="1"/>
  <c r="D41" i="4" s="1"/>
  <c r="E40" i="12" a="1"/>
  <c r="E40" i="12" s="1"/>
  <c r="S74" i="2" a="1"/>
  <c r="S74" i="2" s="1"/>
  <c r="D24" i="5" a="1"/>
  <c r="D24" i="5" s="1"/>
  <c r="D46" i="4" a="1"/>
  <c r="D46" i="4" s="1"/>
  <c r="AN81" i="2" a="1"/>
  <c r="AN81" i="2" s="1"/>
  <c r="S85" i="2" a="1"/>
  <c r="S85" i="2" s="1"/>
  <c r="AD85" i="2" a="1"/>
  <c r="AD85" i="2" s="1"/>
  <c r="AC89" i="2" a="1"/>
  <c r="AC89" i="2" s="1"/>
  <c r="AC90" i="2" a="1"/>
  <c r="AC90" i="2" s="1"/>
  <c r="W90" i="2" a="1"/>
  <c r="W90" i="2" s="1"/>
  <c r="AB90" i="2" a="1"/>
  <c r="AB90" i="2" s="1"/>
  <c r="Z90" i="2" a="1"/>
  <c r="Z90" i="2" s="1"/>
  <c r="AE90" i="2" a="1"/>
  <c r="AE90" i="2" s="1"/>
  <c r="T90" i="2" a="1"/>
  <c r="T90" i="2" s="1"/>
  <c r="X90" i="2" a="1"/>
  <c r="X90" i="2" s="1"/>
  <c r="E202" i="12" a="1"/>
  <c r="E202" i="12" s="1"/>
  <c r="AC93" i="2" a="1"/>
  <c r="AC93" i="2" s="1"/>
  <c r="AB98" i="2" a="1"/>
  <c r="AB98" i="2" s="1"/>
  <c r="AA99" i="2" a="1"/>
  <c r="AA99" i="2" s="1"/>
  <c r="AF99" i="2" a="1"/>
  <c r="AF99" i="2" s="1"/>
  <c r="Z99" i="2" a="1"/>
  <c r="Z99" i="2" s="1"/>
  <c r="X99" i="2" a="1"/>
  <c r="X99" i="2" s="1"/>
  <c r="AC99" i="2" a="1"/>
  <c r="AC99" i="2" s="1"/>
  <c r="AG99" i="2" a="1"/>
  <c r="AG99" i="2" s="1"/>
  <c r="V99" i="2" a="1"/>
  <c r="V99" i="2" s="1"/>
  <c r="D33" i="5" a="1"/>
  <c r="D33" i="5" s="1"/>
  <c r="D61" i="4" a="1"/>
  <c r="D61" i="4" s="1"/>
  <c r="AE102" i="2" a="1"/>
  <c r="AE102" i="2" s="1"/>
  <c r="D30" i="7" a="1"/>
  <c r="D30" i="7" s="1"/>
  <c r="D26" i="6" a="1"/>
  <c r="D26" i="6" s="1"/>
  <c r="D55" i="4" a="1"/>
  <c r="D55" i="4" s="1"/>
  <c r="E77" i="12" a="1"/>
  <c r="E77" i="12" s="1"/>
  <c r="AN109" i="2" a="1"/>
  <c r="AN109" i="2" s="1"/>
  <c r="AG110" i="2" a="1"/>
  <c r="AG110" i="2" s="1"/>
  <c r="T111" i="2" a="1"/>
  <c r="T111" i="2" s="1"/>
  <c r="AG111" i="2" a="1"/>
  <c r="AG111" i="2" s="1"/>
  <c r="E146" i="12" a="1"/>
  <c r="E146" i="12" s="1"/>
  <c r="AC114" i="2" a="1"/>
  <c r="AC114" i="2" s="1"/>
  <c r="AE116" i="2" a="1"/>
  <c r="AE116" i="2" s="1"/>
  <c r="AM117" i="2" a="1"/>
  <c r="AM117" i="2" s="1"/>
  <c r="E95" i="12" a="1"/>
  <c r="E95" i="12" s="1"/>
  <c r="E292" i="12" a="1"/>
  <c r="E292" i="12" s="1"/>
  <c r="T120" i="2" a="1"/>
  <c r="T120" i="2" s="1"/>
  <c r="AG120" i="2" a="1"/>
  <c r="AG120" i="2" s="1"/>
  <c r="D35" i="7" a="1"/>
  <c r="D35" i="7" s="1"/>
  <c r="D30" i="6" a="1"/>
  <c r="D30" i="6" s="1"/>
  <c r="D66" i="4" a="1"/>
  <c r="D66" i="4" s="1"/>
  <c r="Z129" i="2" a="1"/>
  <c r="Z129" i="2" s="1"/>
  <c r="AE129" i="2" a="1"/>
  <c r="AE129" i="2" s="1"/>
  <c r="T129" i="2" a="1"/>
  <c r="T129" i="2" s="1"/>
  <c r="Y129" i="2" a="1"/>
  <c r="Y129" i="2" s="1"/>
  <c r="AC129" i="2" a="1"/>
  <c r="AC129" i="2" s="1"/>
  <c r="W129" i="2" a="1"/>
  <c r="W129" i="2" s="1"/>
  <c r="AB129" i="2" a="1"/>
  <c r="AB129" i="2" s="1"/>
  <c r="AF129" i="2" a="1"/>
  <c r="AF129" i="2" s="1"/>
  <c r="AE130" i="2" a="1"/>
  <c r="AE130" i="2" s="1"/>
  <c r="T131" i="2" a="1"/>
  <c r="T131" i="2" s="1"/>
  <c r="Y132" i="2" a="1"/>
  <c r="Y132" i="2" s="1"/>
  <c r="AD132" i="2" a="1"/>
  <c r="AD132" i="2" s="1"/>
  <c r="S132" i="2" a="1"/>
  <c r="S132" i="2" s="1"/>
  <c r="X132" i="2" a="1"/>
  <c r="X132" i="2" s="1"/>
  <c r="AG132" i="2" a="1"/>
  <c r="AG132" i="2" s="1"/>
  <c r="V132" i="2" a="1"/>
  <c r="V132" i="2" s="1"/>
  <c r="AA132" i="2" a="1"/>
  <c r="AA132" i="2" s="1"/>
  <c r="AF132" i="2" a="1"/>
  <c r="AF132" i="2" s="1"/>
  <c r="AE132" i="2" a="1"/>
  <c r="AE132" i="2" s="1"/>
  <c r="T132" i="2" a="1"/>
  <c r="T132" i="2" s="1"/>
  <c r="U28" i="12" a="1"/>
  <c r="U28" i="12" s="1"/>
  <c r="E96" i="12" a="1"/>
  <c r="E96" i="12" s="1"/>
  <c r="S156" i="2" a="1"/>
  <c r="S156" i="2" s="1"/>
  <c r="AE156" i="2" a="1"/>
  <c r="AE156" i="2" s="1"/>
  <c r="W156" i="2" a="1"/>
  <c r="W156" i="2" s="1"/>
  <c r="E128" i="12" a="1"/>
  <c r="E128" i="12" s="1"/>
  <c r="Y178" i="2" a="1"/>
  <c r="Y178" i="2" s="1"/>
  <c r="X178" i="2" a="1"/>
  <c r="X178" i="2" s="1"/>
  <c r="AC178" i="2" a="1"/>
  <c r="AC178" i="2" s="1"/>
  <c r="W178" i="2" a="1"/>
  <c r="W178" i="2" s="1"/>
  <c r="AA178" i="2" a="1"/>
  <c r="AA178" i="2" s="1"/>
  <c r="AD178" i="2" a="1"/>
  <c r="AD178" i="2" s="1"/>
  <c r="AB178" i="2" a="1"/>
  <c r="AB178" i="2" s="1"/>
  <c r="T178" i="2" a="1"/>
  <c r="T178" i="2" s="1"/>
  <c r="S178" i="2" a="1"/>
  <c r="S178" i="2" s="1"/>
  <c r="Z178" i="2" a="1"/>
  <c r="Z178" i="2" s="1"/>
  <c r="AG178" i="2" a="1"/>
  <c r="AG178" i="2" s="1"/>
  <c r="AF178" i="2" a="1"/>
  <c r="AF178" i="2" s="1"/>
  <c r="V178" i="2" a="1"/>
  <c r="V178" i="2" s="1"/>
  <c r="AE178" i="2" a="1"/>
  <c r="AE178" i="2" s="1"/>
  <c r="U387" i="12" a="1"/>
  <c r="U387" i="12" s="1"/>
  <c r="B74" i="7" a="1"/>
  <c r="B74" i="7" s="1"/>
  <c r="B64" i="6" a="1"/>
  <c r="B64" i="6" s="1"/>
  <c r="B126" i="4" a="1"/>
  <c r="B126" i="4" s="1"/>
  <c r="U366" i="12" a="1"/>
  <c r="U366" i="12" s="1"/>
  <c r="Z48" i="2" a="1"/>
  <c r="Z48" i="2" s="1"/>
  <c r="T48" i="2" a="1"/>
  <c r="T48" i="2" s="1"/>
  <c r="U48" i="2" s="1" a="1"/>
  <c r="U48" i="2" s="1"/>
  <c r="AE48" i="2" a="1"/>
  <c r="AE48" i="2" s="1"/>
  <c r="Y48" i="2" a="1"/>
  <c r="Y48" i="2" s="1"/>
  <c r="W48" i="2" a="1"/>
  <c r="W48" i="2" s="1"/>
  <c r="U54" i="2" a="1"/>
  <c r="U54" i="2" s="1"/>
  <c r="B24" i="7" a="1"/>
  <c r="B24" i="7" s="1"/>
  <c r="B43" i="4" a="1"/>
  <c r="B43" i="4" s="1"/>
  <c r="D4" i="8" a="1"/>
  <c r="D4" i="8" s="1"/>
  <c r="D14" i="3" a="1"/>
  <c r="D14" i="3" s="1"/>
  <c r="E16" i="12" a="1"/>
  <c r="E16" i="12" s="1"/>
  <c r="AC32" i="2" a="1"/>
  <c r="AC32" i="2" s="1"/>
  <c r="W32" i="2" a="1"/>
  <c r="W32" i="2" s="1"/>
  <c r="Z32" i="2" a="1"/>
  <c r="Z32" i="2" s="1"/>
  <c r="X32" i="2" a="1"/>
  <c r="X32" i="2" s="1"/>
  <c r="U47" i="12" a="1"/>
  <c r="U47" i="12" s="1"/>
  <c r="E30" i="12" a="1"/>
  <c r="E30" i="12" s="1"/>
  <c r="U118" i="12" a="1"/>
  <c r="U118" i="12" s="1"/>
  <c r="D24" i="7" a="1"/>
  <c r="D24" i="7" s="1"/>
  <c r="D43" i="4" a="1"/>
  <c r="D43" i="4" s="1"/>
  <c r="U16" i="12" a="1"/>
  <c r="U16" i="12" s="1"/>
  <c r="AE8" i="2" a="1"/>
  <c r="AE8" i="2" s="1"/>
  <c r="Y8" i="2" a="1"/>
  <c r="Y8" i="2" s="1"/>
  <c r="AB8" i="2" a="1"/>
  <c r="AB8" i="2" s="1"/>
  <c r="S3" i="2" a="1"/>
  <c r="S3" i="2" s="1"/>
  <c r="I14" i="3" a="1"/>
  <c r="I14" i="3" s="1"/>
  <c r="X6" i="2" a="1"/>
  <c r="X6" i="2" s="1"/>
  <c r="AA6" i="2" a="1"/>
  <c r="AA6" i="2" s="1"/>
  <c r="E20" i="12" a="1"/>
  <c r="E20" i="12" s="1"/>
  <c r="B16" i="5" a="1"/>
  <c r="B16" i="5" s="1"/>
  <c r="B31" i="4" a="1"/>
  <c r="B31" i="4" s="1"/>
  <c r="E42" i="12" a="1"/>
  <c r="E42" i="12" s="1"/>
  <c r="U42" i="12" a="1"/>
  <c r="U42" i="12" s="1"/>
  <c r="D17" i="7" a="1"/>
  <c r="D17" i="7" s="1"/>
  <c r="D16" i="6" a="1"/>
  <c r="D16" i="6" s="1"/>
  <c r="D29" i="4" a="1"/>
  <c r="D29" i="4" s="1"/>
  <c r="E53" i="12" a="1"/>
  <c r="E53" i="12" s="1"/>
  <c r="Y113" i="2" a="1"/>
  <c r="Y113" i="2" s="1"/>
  <c r="S113" i="2" a="1"/>
  <c r="S113" i="2" s="1"/>
  <c r="AD113" i="2" a="1"/>
  <c r="AD113" i="2" s="1"/>
  <c r="X113" i="2" a="1"/>
  <c r="X113" i="2" s="1"/>
  <c r="AC113" i="2" a="1"/>
  <c r="AC113" i="2" s="1"/>
  <c r="AG113" i="2" a="1"/>
  <c r="AG113" i="2" s="1"/>
  <c r="V113" i="2" a="1"/>
  <c r="V113" i="2" s="1"/>
  <c r="AA113" i="2" a="1"/>
  <c r="AA113" i="2" s="1"/>
  <c r="AE113" i="2" a="1"/>
  <c r="AE113" i="2" s="1"/>
  <c r="T113" i="2" a="1"/>
  <c r="T113" i="2" s="1"/>
  <c r="E46" i="12" a="1"/>
  <c r="E46" i="12" s="1"/>
  <c r="S118" i="2" a="1"/>
  <c r="S118" i="2" s="1"/>
  <c r="Y122" i="2" a="1"/>
  <c r="Y122" i="2" s="1"/>
  <c r="AD122" i="2" a="1"/>
  <c r="AD122" i="2" s="1"/>
  <c r="S122" i="2" a="1"/>
  <c r="S122" i="2" s="1"/>
  <c r="X122" i="2" a="1"/>
  <c r="X122" i="2" s="1"/>
  <c r="AG122" i="2" a="1"/>
  <c r="AG122" i="2" s="1"/>
  <c r="V122" i="2" a="1"/>
  <c r="V122" i="2" s="1"/>
  <c r="AA122" i="2" a="1"/>
  <c r="AA122" i="2" s="1"/>
  <c r="AE122" i="2" a="1"/>
  <c r="AE122" i="2" s="1"/>
  <c r="T122" i="2" a="1"/>
  <c r="T122" i="2" s="1"/>
  <c r="AC122" i="2" a="1"/>
  <c r="AC122" i="2" s="1"/>
  <c r="E79" i="12" a="1"/>
  <c r="E79" i="12" s="1"/>
  <c r="E104" i="12" a="1"/>
  <c r="E104" i="12" s="1"/>
  <c r="T125" i="2" a="1"/>
  <c r="T125" i="2" s="1"/>
  <c r="AG125" i="2" a="1"/>
  <c r="AG125" i="2" s="1"/>
  <c r="D37" i="7" a="1"/>
  <c r="D37" i="7" s="1"/>
  <c r="D68" i="4" a="1"/>
  <c r="D68" i="4" s="1"/>
  <c r="E28" i="12" a="1"/>
  <c r="E28" i="12" s="1"/>
  <c r="S134" i="2" a="1"/>
  <c r="S134" i="2" s="1"/>
  <c r="W635" i="12" a="1"/>
  <c r="W635" i="12" s="1"/>
  <c r="AM135" i="2" a="1"/>
  <c r="AM135" i="2" s="1"/>
  <c r="AK135" i="2" a="1"/>
  <c r="AK135" i="2" s="1"/>
  <c r="AP135" i="2" a="1"/>
  <c r="AP135" i="2" s="1"/>
  <c r="AO135" i="2" a="1"/>
  <c r="AO135" i="2" s="1"/>
  <c r="U81" i="12" a="1"/>
  <c r="U81" i="12" s="1"/>
  <c r="S157" i="2" a="1"/>
  <c r="S157" i="2" s="1"/>
  <c r="AE157" i="2" a="1"/>
  <c r="AE157" i="2" s="1"/>
  <c r="W157" i="2" a="1"/>
  <c r="W157" i="2" s="1"/>
  <c r="D53" i="7" a="1"/>
  <c r="D53" i="7" s="1"/>
  <c r="D91" i="4" a="1"/>
  <c r="D91" i="4" s="1"/>
  <c r="AR180" i="2" a="1"/>
  <c r="AR180" i="2" s="1"/>
  <c r="AQ180" i="2" a="1"/>
  <c r="AQ180" i="2" s="1"/>
  <c r="AF201" i="2" a="1"/>
  <c r="AF201" i="2" s="1"/>
  <c r="AE201" i="2" a="1"/>
  <c r="AE201" i="2" s="1"/>
  <c r="T201" i="2" a="1"/>
  <c r="T201" i="2" s="1"/>
  <c r="Y201" i="2" a="1"/>
  <c r="Y201" i="2" s="1"/>
  <c r="S201" i="2" a="1"/>
  <c r="S201" i="2" s="1"/>
  <c r="W201" i="2" a="1"/>
  <c r="W201" i="2" s="1"/>
  <c r="AD201" i="2" a="1"/>
  <c r="AD201" i="2" s="1"/>
  <c r="AC201" i="2" a="1"/>
  <c r="AC201" i="2" s="1"/>
  <c r="AB201" i="2" a="1"/>
  <c r="AB201" i="2" s="1"/>
  <c r="AA201" i="2" a="1"/>
  <c r="AA201" i="2" s="1"/>
  <c r="Z201" i="2" a="1"/>
  <c r="Z201" i="2" s="1"/>
  <c r="X201" i="2" a="1"/>
  <c r="X201" i="2" s="1"/>
  <c r="AG201" i="2" a="1"/>
  <c r="AG201" i="2" s="1"/>
  <c r="V201" i="2" a="1"/>
  <c r="V201" i="2" s="1"/>
  <c r="E145" i="12" a="1"/>
  <c r="E145" i="12" s="1"/>
  <c r="AD240" i="2" a="1"/>
  <c r="AD240" i="2" s="1"/>
  <c r="X240" i="2" a="1"/>
  <c r="X240" i="2" s="1"/>
  <c r="AF240" i="2" a="1"/>
  <c r="AF240" i="2" s="1"/>
  <c r="Z240" i="2" a="1"/>
  <c r="Z240" i="2" s="1"/>
  <c r="T240" i="2" a="1"/>
  <c r="T240" i="2" s="1"/>
  <c r="AB240" i="2" a="1"/>
  <c r="AB240" i="2" s="1"/>
  <c r="V240" i="2" a="1"/>
  <c r="V240" i="2" s="1"/>
  <c r="S240" i="2" a="1"/>
  <c r="S240" i="2" s="1"/>
  <c r="AE240" i="2" a="1"/>
  <c r="AE240" i="2" s="1"/>
  <c r="AC240" i="2" a="1"/>
  <c r="AC240" i="2" s="1"/>
  <c r="AA240" i="2" a="1"/>
  <c r="AA240" i="2" s="1"/>
  <c r="Y240" i="2" a="1"/>
  <c r="Y240" i="2" s="1"/>
  <c r="W240" i="2" a="1"/>
  <c r="W240" i="2" s="1"/>
  <c r="AG240" i="2" a="1"/>
  <c r="AG240" i="2" s="1"/>
  <c r="B77" i="7" a="1"/>
  <c r="B77" i="7" s="1"/>
  <c r="B67" i="6" a="1"/>
  <c r="B67" i="6" s="1"/>
  <c r="B130" i="4" a="1"/>
  <c r="B130" i="4" s="1"/>
  <c r="Y68" i="2" a="1"/>
  <c r="Y68" i="2" s="1"/>
  <c r="AD68" i="2" a="1"/>
  <c r="AD68" i="2" s="1"/>
  <c r="S68" i="2" a="1"/>
  <c r="S68" i="2" s="1"/>
  <c r="AB68" i="2" a="1"/>
  <c r="AB68" i="2" s="1"/>
  <c r="V68" i="2" a="1"/>
  <c r="V68" i="2" s="1"/>
  <c r="AE68" i="2" a="1"/>
  <c r="AE68" i="2" s="1"/>
  <c r="T68" i="2" a="1"/>
  <c r="T68" i="2" s="1"/>
  <c r="B22" i="7" a="1"/>
  <c r="B22" i="7" s="1"/>
  <c r="B20" i="5" a="1"/>
  <c r="B20" i="5" s="1"/>
  <c r="B38" i="4" a="1"/>
  <c r="B38" i="4" s="1"/>
  <c r="E63" i="12" a="1"/>
  <c r="E63" i="12" s="1"/>
  <c r="B9" i="8" a="1"/>
  <c r="B9" i="8" s="1"/>
  <c r="AF20" i="2" a="1"/>
  <c r="AF20" i="2" s="1"/>
  <c r="AC20" i="2" a="1"/>
  <c r="AC20" i="2" s="1"/>
  <c r="W669" i="12" a="1"/>
  <c r="W669" i="12" s="1"/>
  <c r="I25" i="3" a="1"/>
  <c r="I25" i="3" s="1"/>
  <c r="I28" i="3" s="1" a="1"/>
  <c r="I28" i="3" s="1"/>
  <c r="AP24" i="2" a="1"/>
  <c r="AP24" i="2" s="1"/>
  <c r="AM24" i="2" a="1"/>
  <c r="AM24" i="2" s="1"/>
  <c r="B7" i="7" a="1"/>
  <c r="B7" i="7" s="1"/>
  <c r="B17" i="4" a="1"/>
  <c r="B17" i="4" s="1"/>
  <c r="AF28" i="2" a="1"/>
  <c r="AF28" i="2" s="1"/>
  <c r="X28" i="2" a="1"/>
  <c r="X28" i="2" s="1"/>
  <c r="AD28" i="2" a="1"/>
  <c r="AD28" i="2" s="1"/>
  <c r="U24" i="12" a="1"/>
  <c r="U24" i="12" s="1"/>
  <c r="AE30" i="2" a="1"/>
  <c r="AE30" i="2" s="1"/>
  <c r="U134" i="12" a="1"/>
  <c r="U134" i="12" s="1"/>
  <c r="X34" i="2" a="1"/>
  <c r="X34" i="2" s="1"/>
  <c r="AE34" i="2" a="1"/>
  <c r="AE34" i="2" s="1"/>
  <c r="D10" i="7" a="1"/>
  <c r="D10" i="7" s="1"/>
  <c r="D13" i="5" a="1"/>
  <c r="D13" i="5" s="1"/>
  <c r="D9" i="6" a="1"/>
  <c r="D9" i="6" s="1"/>
  <c r="D20" i="4" a="1"/>
  <c r="D20" i="4" s="1"/>
  <c r="E34" i="12" a="1"/>
  <c r="E34" i="12" s="1"/>
  <c r="U45" i="12" a="1"/>
  <c r="U45" i="12" s="1"/>
  <c r="W20" i="2" a="1"/>
  <c r="W20" i="2" s="1"/>
  <c r="AG22" i="2" a="1"/>
  <c r="AG22" i="2" s="1"/>
  <c r="V22" i="2" a="1"/>
  <c r="V22" i="2" s="1"/>
  <c r="AD22" i="2" a="1"/>
  <c r="AD22" i="2" s="1"/>
  <c r="S22" i="2" a="1"/>
  <c r="S22" i="2" s="1"/>
  <c r="AG41" i="2" a="1"/>
  <c r="AG41" i="2" s="1"/>
  <c r="AF42" i="2" a="1"/>
  <c r="AF42" i="2" s="1"/>
  <c r="Z42" i="2" a="1"/>
  <c r="Z42" i="2" s="1"/>
  <c r="X42" i="2" a="1"/>
  <c r="X42" i="2" s="1"/>
  <c r="AG42" i="2" a="1"/>
  <c r="AG42" i="2" s="1"/>
  <c r="AD43" i="2" a="1"/>
  <c r="AD43" i="2" s="1"/>
  <c r="S43" i="2" a="1"/>
  <c r="S43" i="2" s="1"/>
  <c r="X43" i="2" a="1"/>
  <c r="X43" i="2" s="1"/>
  <c r="AG43" i="2" a="1"/>
  <c r="AG43" i="2" s="1"/>
  <c r="AA43" i="2" a="1"/>
  <c r="AA43" i="2" s="1"/>
  <c r="E39" i="12" a="1"/>
  <c r="E39" i="12" s="1"/>
  <c r="W617" i="12" a="1"/>
  <c r="W617" i="12" s="1"/>
  <c r="AM45" i="2" a="1"/>
  <c r="AM45" i="2" s="1"/>
  <c r="AP45" i="2" a="1"/>
  <c r="AP45" i="2" s="1"/>
  <c r="U30" i="12" a="1"/>
  <c r="U30" i="12" s="1"/>
  <c r="W645" i="12" a="1"/>
  <c r="W645" i="12" s="1"/>
  <c r="AN50" i="2" a="1"/>
  <c r="AN50" i="2" s="1"/>
  <c r="D25" i="7" a="1"/>
  <c r="D25" i="7" s="1"/>
  <c r="D22" i="6" a="1"/>
  <c r="D22" i="6" s="1"/>
  <c r="D44" i="4" a="1"/>
  <c r="D44" i="4" s="1"/>
  <c r="B23" i="5" a="1"/>
  <c r="B23" i="5" s="1"/>
  <c r="B21" i="6" a="1"/>
  <c r="B21" i="6" s="1"/>
  <c r="B42" i="4" a="1"/>
  <c r="B42" i="4" s="1"/>
  <c r="AF25" i="2" a="1"/>
  <c r="AF25" i="2" s="1"/>
  <c r="B9" i="7" a="1"/>
  <c r="B9" i="7" s="1"/>
  <c r="B12" i="5" a="1"/>
  <c r="B12" i="5" s="1"/>
  <c r="B19" i="4" a="1"/>
  <c r="B19" i="4" s="1"/>
  <c r="U130" i="12" a="1"/>
  <c r="U130" i="12" s="1"/>
  <c r="AA41" i="2" a="1"/>
  <c r="AA41" i="2" s="1"/>
  <c r="S42" i="2" a="1"/>
  <c r="S42" i="2" s="1"/>
  <c r="AA42" i="2" a="1"/>
  <c r="AA42" i="2" s="1"/>
  <c r="T44" i="2" a="1"/>
  <c r="T44" i="2" s="1"/>
  <c r="AB46" i="2" a="1"/>
  <c r="AB46" i="2" s="1"/>
  <c r="B18" i="5" a="1"/>
  <c r="B18" i="5" s="1"/>
  <c r="B33" i="4" a="1"/>
  <c r="B33" i="4" s="1"/>
  <c r="AB48" i="2" a="1"/>
  <c r="AB48" i="2" s="1"/>
  <c r="AK50" i="2" a="1"/>
  <c r="AK50" i="2" s="1"/>
  <c r="U122" i="12" a="1"/>
  <c r="U122" i="12" s="1"/>
  <c r="D27" i="7" a="1"/>
  <c r="D27" i="7" s="1"/>
  <c r="D26" i="5" a="1"/>
  <c r="D26" i="5" s="1"/>
  <c r="D48" i="4" a="1"/>
  <c r="D48" i="4" s="1"/>
  <c r="B28" i="5" a="1"/>
  <c r="B28" i="5" s="1"/>
  <c r="B51" i="4" a="1"/>
  <c r="B51" i="4" s="1"/>
  <c r="E305" i="12" a="1"/>
  <c r="E305" i="12" s="1"/>
  <c r="B24" i="6" a="1"/>
  <c r="B24" i="6" s="1"/>
  <c r="B29" i="5" a="1"/>
  <c r="B29" i="5" s="1"/>
  <c r="B52" i="4" a="1"/>
  <c r="B52" i="4" s="1"/>
  <c r="E54" i="12" a="1"/>
  <c r="E54" i="12" s="1"/>
  <c r="U224" i="12" a="1"/>
  <c r="U224" i="12" s="1"/>
  <c r="B38" i="8" a="1"/>
  <c r="B38" i="8" s="1"/>
  <c r="AG2" i="2" a="1"/>
  <c r="AG2" i="2" s="1"/>
  <c r="V2" i="2" a="1"/>
  <c r="V2" i="2" s="1"/>
  <c r="AD2" i="2" a="1"/>
  <c r="AD2" i="2" s="1"/>
  <c r="S2" i="2" a="1"/>
  <c r="S2" i="2" s="1"/>
  <c r="T3" i="2" a="1"/>
  <c r="T3" i="2" s="1"/>
  <c r="AA3" i="2" a="1"/>
  <c r="AA3" i="2" s="1"/>
  <c r="U2" i="12" a="1"/>
  <c r="U2" i="12" s="1"/>
  <c r="Z2" i="3" a="1"/>
  <c r="Z2" i="3" s="1"/>
  <c r="X4" i="2" a="1"/>
  <c r="X4" i="2" s="1"/>
  <c r="E6" i="12" a="1"/>
  <c r="E6" i="12" s="1"/>
  <c r="X8" i="2" a="1"/>
  <c r="X8" i="2" s="1"/>
  <c r="AF12" i="2" a="1"/>
  <c r="AF12" i="2" s="1"/>
  <c r="B7" i="5" a="1"/>
  <c r="B7" i="5" s="1"/>
  <c r="B4" i="6" a="1"/>
  <c r="B4" i="6" s="1"/>
  <c r="B9" i="4" a="1"/>
  <c r="B9" i="4" s="1"/>
  <c r="Y16" i="2" a="1"/>
  <c r="Y16" i="2" s="1"/>
  <c r="S20" i="2" a="1"/>
  <c r="S20" i="2" s="1"/>
  <c r="AG20" i="2" a="1"/>
  <c r="AG20" i="2" s="1"/>
  <c r="T41" i="2" a="1"/>
  <c r="T41" i="2" s="1"/>
  <c r="B13" i="7" a="1"/>
  <c r="B13" i="7" s="1"/>
  <c r="B12" i="6" a="1"/>
  <c r="B12" i="6" s="1"/>
  <c r="B23" i="4" a="1"/>
  <c r="B23" i="4" s="1"/>
  <c r="E35" i="12" a="1"/>
  <c r="E35" i="12" s="1"/>
  <c r="Z67" i="2" a="1"/>
  <c r="Z67" i="2" s="1"/>
  <c r="W68" i="2" a="1"/>
  <c r="W68" i="2" s="1"/>
  <c r="AF68" i="2" a="1"/>
  <c r="AF68" i="2" s="1"/>
  <c r="W69" i="2" a="1"/>
  <c r="W69" i="2" s="1"/>
  <c r="B11" i="9" a="1"/>
  <c r="B11" i="9" s="1"/>
  <c r="AO72" i="2" a="1"/>
  <c r="AO72" i="2" s="1"/>
  <c r="V74" i="2" a="1"/>
  <c r="V74" i="2" s="1"/>
  <c r="AD74" i="2" a="1"/>
  <c r="AD74" i="2" s="1"/>
  <c r="X75" i="2" a="1"/>
  <c r="X75" i="2" s="1"/>
  <c r="AC75" i="2" a="1"/>
  <c r="AC75" i="2" s="1"/>
  <c r="AA75" i="2" a="1"/>
  <c r="AA75" i="2" s="1"/>
  <c r="AD75" i="2" a="1"/>
  <c r="AD75" i="2" s="1"/>
  <c r="S75" i="2" a="1"/>
  <c r="S75" i="2" s="1"/>
  <c r="W105" i="2" a="1"/>
  <c r="W105" i="2" s="1"/>
  <c r="V120" i="2" a="1"/>
  <c r="V120" i="2" s="1"/>
  <c r="B34" i="7" a="1"/>
  <c r="B34" i="7" s="1"/>
  <c r="B29" i="6" a="1"/>
  <c r="B29" i="6" s="1"/>
  <c r="B64" i="4" a="1"/>
  <c r="B64" i="4" s="1"/>
  <c r="E212" i="12" a="1"/>
  <c r="E212" i="12" s="1"/>
  <c r="Y126" i="2" a="1"/>
  <c r="Y126" i="2" s="1"/>
  <c r="Y127" i="2" a="1"/>
  <c r="Y127" i="2" s="1"/>
  <c r="AD127" i="2" a="1"/>
  <c r="AD127" i="2" s="1"/>
  <c r="S127" i="2" a="1"/>
  <c r="S127" i="2" s="1"/>
  <c r="X127" i="2" a="1"/>
  <c r="X127" i="2" s="1"/>
  <c r="AG127" i="2" a="1"/>
  <c r="AG127" i="2" s="1"/>
  <c r="V127" i="2" a="1"/>
  <c r="V127" i="2" s="1"/>
  <c r="AA127" i="2" a="1"/>
  <c r="AA127" i="2" s="1"/>
  <c r="AE127" i="2" a="1"/>
  <c r="AE127" i="2" s="1"/>
  <c r="T127" i="2" a="1"/>
  <c r="T127" i="2" s="1"/>
  <c r="AC127" i="2" a="1"/>
  <c r="AC127" i="2" s="1"/>
  <c r="E222" i="12" a="1"/>
  <c r="E222" i="12" s="1"/>
  <c r="E68" i="12" a="1"/>
  <c r="E68" i="12" s="1"/>
  <c r="T130" i="2" a="1"/>
  <c r="T130" i="2" s="1"/>
  <c r="AG130" i="2" a="1"/>
  <c r="AG130" i="2" s="1"/>
  <c r="Y131" i="2" a="1"/>
  <c r="Y131" i="2" s="1"/>
  <c r="AE133" i="2" a="1"/>
  <c r="AE133" i="2" s="1"/>
  <c r="S133" i="2" a="1"/>
  <c r="S133" i="2" s="1"/>
  <c r="X133" i="2" a="1"/>
  <c r="X133" i="2" s="1"/>
  <c r="AN135" i="2" a="1"/>
  <c r="AN135" i="2" s="1"/>
  <c r="W647" i="12" a="1"/>
  <c r="W647" i="12" s="1"/>
  <c r="AN136" i="2" a="1"/>
  <c r="AN136" i="2" s="1"/>
  <c r="AK136" i="2" a="1"/>
  <c r="AK136" i="2" s="1"/>
  <c r="AL136" i="2" s="1" a="1"/>
  <c r="AL136" i="2" s="1"/>
  <c r="AP136" i="2" a="1"/>
  <c r="AP136" i="2" s="1"/>
  <c r="AO136" i="2" a="1"/>
  <c r="AO136" i="2" s="1"/>
  <c r="X137" i="2" a="1"/>
  <c r="X137" i="2" s="1"/>
  <c r="V137" i="2" a="1"/>
  <c r="V137" i="2" s="1"/>
  <c r="T137" i="2" a="1"/>
  <c r="T137" i="2" s="1"/>
  <c r="U137" i="2" s="1" a="1"/>
  <c r="U137" i="2" s="1"/>
  <c r="AE137" i="2" a="1"/>
  <c r="AE137" i="2" s="1"/>
  <c r="AC137" i="2" a="1"/>
  <c r="AC137" i="2" s="1"/>
  <c r="E100" i="12" a="1"/>
  <c r="E100" i="12" s="1"/>
  <c r="AA149" i="2" a="1"/>
  <c r="AA149" i="2" s="1"/>
  <c r="AE149" i="2" a="1"/>
  <c r="AE149" i="2" s="1"/>
  <c r="Y149" i="2" a="1"/>
  <c r="Y149" i="2" s="1"/>
  <c r="S149" i="2" a="1"/>
  <c r="S149" i="2" s="1"/>
  <c r="AG149" i="2" a="1"/>
  <c r="AG149" i="2" s="1"/>
  <c r="Z149" i="2" a="1"/>
  <c r="Z149" i="2" s="1"/>
  <c r="AF149" i="2" a="1"/>
  <c r="AF149" i="2" s="1"/>
  <c r="X149" i="2" a="1"/>
  <c r="X149" i="2" s="1"/>
  <c r="AD149" i="2" a="1"/>
  <c r="AD149" i="2" s="1"/>
  <c r="W149" i="2" a="1"/>
  <c r="W149" i="2" s="1"/>
  <c r="AC149" i="2" a="1"/>
  <c r="AC149" i="2" s="1"/>
  <c r="V149" i="2" a="1"/>
  <c r="V149" i="2" s="1"/>
  <c r="T149" i="2" a="1"/>
  <c r="T149" i="2" s="1"/>
  <c r="U111" i="12" a="1"/>
  <c r="U111" i="12" s="1"/>
  <c r="D44" i="6" a="1"/>
  <c r="D44" i="6" s="1"/>
  <c r="D93" i="4" a="1"/>
  <c r="D93" i="4" s="1"/>
  <c r="B61" i="8" a="1"/>
  <c r="B61" i="8" s="1"/>
  <c r="AC188" i="2" a="1"/>
  <c r="AC188" i="2" s="1"/>
  <c r="T188" i="2" a="1"/>
  <c r="T188" i="2" s="1"/>
  <c r="D67" i="7" a="1"/>
  <c r="D67" i="7" s="1"/>
  <c r="D115" i="4" a="1"/>
  <c r="D115" i="4" s="1"/>
  <c r="E114" i="12" a="1"/>
  <c r="E114" i="12" s="1"/>
  <c r="U135" i="12" a="1"/>
  <c r="U135" i="12" s="1"/>
  <c r="T255" i="2" a="1"/>
  <c r="T255" i="2" s="1"/>
  <c r="AE255" i="2" a="1"/>
  <c r="AE255" i="2" s="1"/>
  <c r="S255" i="2" a="1"/>
  <c r="S255" i="2" s="1"/>
  <c r="AC255" i="2" a="1"/>
  <c r="AC255" i="2" s="1"/>
  <c r="X255" i="2" a="1"/>
  <c r="X255" i="2" s="1"/>
  <c r="B100" i="8" a="1"/>
  <c r="B100" i="8" s="1"/>
  <c r="AC41" i="2" a="1"/>
  <c r="AC41" i="2" s="1"/>
  <c r="W41" i="2" a="1"/>
  <c r="W41" i="2" s="1"/>
  <c r="Z41" i="2" a="1"/>
  <c r="Z41" i="2" s="1"/>
  <c r="AQ50" i="2" a="1"/>
  <c r="AQ50" i="2" s="1"/>
  <c r="E33" i="12" a="1"/>
  <c r="E33" i="12" s="1"/>
  <c r="B5" i="6" a="1"/>
  <c r="B5" i="6" s="1"/>
  <c r="B5" i="7" a="1"/>
  <c r="B5" i="7" s="1"/>
  <c r="B12" i="4" a="1"/>
  <c r="B12" i="4" s="1"/>
  <c r="AG30" i="2" a="1"/>
  <c r="AG30" i="2" s="1"/>
  <c r="V30" i="2" a="1"/>
  <c r="V30" i="2" s="1"/>
  <c r="Y30" i="2" a="1"/>
  <c r="Y30" i="2" s="1"/>
  <c r="AF41" i="2" a="1"/>
  <c r="AF41" i="2" s="1"/>
  <c r="U23" i="12" a="1"/>
  <c r="U23" i="12" s="1"/>
  <c r="I6" i="3" a="1"/>
  <c r="I6" i="3" s="1"/>
  <c r="AE18" i="2" a="1"/>
  <c r="AE18" i="2" s="1"/>
  <c r="Y18" i="2" a="1"/>
  <c r="Y18" i="2" s="1"/>
  <c r="AB18" i="2" a="1"/>
  <c r="AB18" i="2" s="1"/>
  <c r="W18" i="2" a="1"/>
  <c r="W18" i="2" s="1"/>
  <c r="AD20" i="2" a="1"/>
  <c r="AD20" i="2" s="1"/>
  <c r="U10" i="12" a="1"/>
  <c r="U10" i="12" s="1"/>
  <c r="AE22" i="2" a="1"/>
  <c r="AE22" i="2" s="1"/>
  <c r="W25" i="2" a="1"/>
  <c r="W25" i="2" s="1"/>
  <c r="U11" i="12" a="1"/>
  <c r="U11" i="12" s="1"/>
  <c r="W28" i="2" a="1"/>
  <c r="W28" i="2" s="1"/>
  <c r="E109" i="12" a="1"/>
  <c r="E109" i="12" s="1"/>
  <c r="AE32" i="2" a="1"/>
  <c r="AE32" i="2" s="1"/>
  <c r="E130" i="12" a="1"/>
  <c r="E130" i="12" s="1"/>
  <c r="Y34" i="2" a="1"/>
  <c r="Y34" i="2" s="1"/>
  <c r="U34" i="12" a="1"/>
  <c r="U34" i="12" s="1"/>
  <c r="Y41" i="2" a="1"/>
  <c r="Y41" i="2" s="1"/>
  <c r="E27" i="12" a="1"/>
  <c r="E27" i="12" s="1"/>
  <c r="Z60" i="2" a="1"/>
  <c r="Z60" i="2" s="1"/>
  <c r="B24" i="5" a="1"/>
  <c r="B24" i="5" s="1"/>
  <c r="B46" i="4" a="1"/>
  <c r="B46" i="4" s="1"/>
  <c r="AF3" i="2" a="1"/>
  <c r="AF3" i="2" s="1"/>
  <c r="U10" i="3" a="1"/>
  <c r="U10" i="3" s="1"/>
  <c r="U31" i="12" a="1"/>
  <c r="U31" i="12" s="1"/>
  <c r="AD6" i="2" a="1"/>
  <c r="AD6" i="2" s="1"/>
  <c r="T7" i="2" a="1"/>
  <c r="T7" i="2" s="1"/>
  <c r="AD8" i="2" a="1"/>
  <c r="AD8" i="2" s="1"/>
  <c r="E7" i="12" a="1"/>
  <c r="E7" i="12" s="1"/>
  <c r="X10" i="2" a="1"/>
  <c r="X10" i="2" s="1"/>
  <c r="AE10" i="2" a="1"/>
  <c r="AE10" i="2" s="1"/>
  <c r="D8" i="5" a="1"/>
  <c r="D8" i="5" s="1"/>
  <c r="D10" i="4" a="1"/>
  <c r="D10" i="4" s="1"/>
  <c r="U13" i="2" a="1"/>
  <c r="U13" i="2" s="1"/>
  <c r="AF14" i="2" a="1"/>
  <c r="AF14" i="2" s="1"/>
  <c r="Z22" i="2" a="1"/>
  <c r="Z22" i="2" s="1"/>
  <c r="B3" i="9" a="1"/>
  <c r="B3" i="9" s="1"/>
  <c r="B25" i="3" a="1"/>
  <c r="B25" i="3" s="1"/>
  <c r="S28" i="2" a="1"/>
  <c r="S28" i="2" s="1"/>
  <c r="AG32" i="2" a="1"/>
  <c r="AG32" i="2" s="1"/>
  <c r="AF33" i="2" a="1"/>
  <c r="AF33" i="2" s="1"/>
  <c r="X33" i="2" a="1"/>
  <c r="X33" i="2" s="1"/>
  <c r="AD33" i="2" a="1"/>
  <c r="AD33" i="2" s="1"/>
  <c r="T34" i="2" a="1"/>
  <c r="T34" i="2" s="1"/>
  <c r="AG35" i="2" a="1"/>
  <c r="AG35" i="2" s="1"/>
  <c r="V35" i="2" a="1"/>
  <c r="V35" i="2" s="1"/>
  <c r="AA35" i="2" a="1"/>
  <c r="AA35" i="2" s="1"/>
  <c r="Y35" i="2" a="1"/>
  <c r="Y35" i="2" s="1"/>
  <c r="V36" i="2" a="1"/>
  <c r="V36" i="2" s="1"/>
  <c r="B12" i="7" a="1"/>
  <c r="B12" i="7" s="1"/>
  <c r="B11" i="6" a="1"/>
  <c r="B11" i="6" s="1"/>
  <c r="B22" i="4" a="1"/>
  <c r="B22" i="4" s="1"/>
  <c r="U182" i="12" a="1"/>
  <c r="U182" i="12" s="1"/>
  <c r="U174" i="12" a="1"/>
  <c r="U174" i="12" s="1"/>
  <c r="D56" i="4" a="1"/>
  <c r="D56" i="4" s="1"/>
  <c r="D30" i="5" a="1"/>
  <c r="D30" i="5" s="1"/>
  <c r="AC94" i="2" a="1"/>
  <c r="AC94" i="2" s="1"/>
  <c r="W94" i="2" a="1"/>
  <c r="W94" i="2" s="1"/>
  <c r="Z94" i="2" a="1"/>
  <c r="Z94" i="2" s="1"/>
  <c r="AE94" i="2" a="1"/>
  <c r="AE94" i="2" s="1"/>
  <c r="T94" i="2" a="1"/>
  <c r="T94" i="2" s="1"/>
  <c r="X94" i="2" a="1"/>
  <c r="X94" i="2" s="1"/>
  <c r="B28" i="7" a="1"/>
  <c r="B28" i="7" s="1"/>
  <c r="B25" i="6" a="1"/>
  <c r="B25" i="6" s="1"/>
  <c r="B53" i="4" a="1"/>
  <c r="B53" i="4" s="1"/>
  <c r="AN97" i="2" a="1"/>
  <c r="AN97" i="2" s="1"/>
  <c r="S98" i="2" a="1"/>
  <c r="S98" i="2" s="1"/>
  <c r="AD98" i="2" a="1"/>
  <c r="AD98" i="2" s="1"/>
  <c r="S104" i="2" a="1"/>
  <c r="S104" i="2" s="1"/>
  <c r="AE4" i="2" a="1"/>
  <c r="AE4" i="2" s="1"/>
  <c r="AB7" i="2" a="1"/>
  <c r="AB7" i="2" s="1"/>
  <c r="Y12" i="2" a="1"/>
  <c r="Y12" i="2" s="1"/>
  <c r="Y14" i="2" a="1"/>
  <c r="Y14" i="2" s="1"/>
  <c r="AF16" i="2" a="1"/>
  <c r="AF16" i="2" s="1"/>
  <c r="Z18" i="2" a="1"/>
  <c r="Z18" i="2" s="1"/>
  <c r="Z20" i="2" a="1"/>
  <c r="Z20" i="2" s="1"/>
  <c r="U17" i="12" a="1"/>
  <c r="U17" i="12" s="1"/>
  <c r="AE23" i="2" a="1"/>
  <c r="AE23" i="2" s="1"/>
  <c r="Y23" i="2" a="1"/>
  <c r="Y23" i="2" s="1"/>
  <c r="AB23" i="2" a="1"/>
  <c r="AB23" i="2" s="1"/>
  <c r="W23" i="2" a="1"/>
  <c r="W23" i="2" s="1"/>
  <c r="S25" i="2" a="1"/>
  <c r="S25" i="2" s="1"/>
  <c r="Z25" i="2" a="1"/>
  <c r="Z25" i="2" s="1"/>
  <c r="AG25" i="2" a="1"/>
  <c r="AG25" i="2" s="1"/>
  <c r="Z28" i="2" a="1"/>
  <c r="Z28" i="2" s="1"/>
  <c r="AG28" i="2" a="1"/>
  <c r="AG28" i="2" s="1"/>
  <c r="AD29" i="2" a="1"/>
  <c r="AD29" i="2" s="1"/>
  <c r="S29" i="2" a="1"/>
  <c r="S29" i="2" s="1"/>
  <c r="AA29" i="2" a="1"/>
  <c r="AA29" i="2" s="1"/>
  <c r="W29" i="2" a="1"/>
  <c r="W29" i="2" s="1"/>
  <c r="AA30" i="2" a="1"/>
  <c r="AA30" i="2" s="1"/>
  <c r="AE31" i="2" a="1"/>
  <c r="AE31" i="2" s="1"/>
  <c r="T31" i="2" a="1"/>
  <c r="T31" i="2" s="1"/>
  <c r="AB31" i="2" a="1"/>
  <c r="AB31" i="2" s="1"/>
  <c r="W31" i="2" a="1"/>
  <c r="W31" i="2" s="1"/>
  <c r="AD31" i="2" a="1"/>
  <c r="AD31" i="2" s="1"/>
  <c r="T32" i="2" a="1"/>
  <c r="T32" i="2" s="1"/>
  <c r="AA32" i="2" a="1"/>
  <c r="AA32" i="2" s="1"/>
  <c r="U12" i="12" a="1"/>
  <c r="U12" i="12" s="1"/>
  <c r="W33" i="2" a="1"/>
  <c r="W33" i="2" s="1"/>
  <c r="E44" i="12" a="1"/>
  <c r="E44" i="12" s="1"/>
  <c r="AF35" i="2" a="1"/>
  <c r="AF35" i="2" s="1"/>
  <c r="D11" i="7" a="1"/>
  <c r="D11" i="7" s="1"/>
  <c r="D10" i="6" a="1"/>
  <c r="D10" i="6" s="1"/>
  <c r="D21" i="4" a="1"/>
  <c r="D21" i="4" s="1"/>
  <c r="D14" i="5" a="1"/>
  <c r="D14" i="5" s="1"/>
  <c r="D24" i="4" a="1"/>
  <c r="D24" i="4" s="1"/>
  <c r="AB42" i="2" a="1"/>
  <c r="AB42" i="2" s="1"/>
  <c r="T43" i="2" a="1"/>
  <c r="T43" i="2" s="1"/>
  <c r="AB43" i="2" a="1"/>
  <c r="AB43" i="2" s="1"/>
  <c r="B14" i="7" a="1"/>
  <c r="B14" i="7" s="1"/>
  <c r="B15" i="5" a="1"/>
  <c r="B15" i="5" s="1"/>
  <c r="B25" i="4" a="1"/>
  <c r="B25" i="4" s="1"/>
  <c r="AC44" i="2" a="1"/>
  <c r="AC44" i="2" s="1"/>
  <c r="T46" i="2" a="1"/>
  <c r="T46" i="2" s="1"/>
  <c r="AM47" i="2" a="1"/>
  <c r="AM47" i="2" s="1"/>
  <c r="AC48" i="2" a="1"/>
  <c r="AC48" i="2" s="1"/>
  <c r="B15" i="7" a="1"/>
  <c r="B15" i="7" s="1"/>
  <c r="B13" i="6" a="1"/>
  <c r="B13" i="6" s="1"/>
  <c r="B26" i="4" a="1"/>
  <c r="B26" i="4" s="1"/>
  <c r="AA54" i="2" a="1"/>
  <c r="AA54" i="2" s="1"/>
  <c r="AF54" i="2" a="1"/>
  <c r="AF54" i="2" s="1"/>
  <c r="AD54" i="2" a="1"/>
  <c r="AD54" i="2" s="1"/>
  <c r="X54" i="2" a="1"/>
  <c r="X54" i="2" s="1"/>
  <c r="B18" i="7" a="1"/>
  <c r="B18" i="7" s="1"/>
  <c r="B18" i="6" a="1"/>
  <c r="B18" i="6" s="1"/>
  <c r="B17" i="5" a="1"/>
  <c r="B17" i="5" s="1"/>
  <c r="B32" i="4" a="1"/>
  <c r="B32" i="4" s="1"/>
  <c r="AA62" i="2" a="1"/>
  <c r="AA62" i="2" s="1"/>
  <c r="AO63" i="2" a="1"/>
  <c r="AO63" i="2" s="1"/>
  <c r="Y64" i="2" a="1"/>
  <c r="Y64" i="2" s="1"/>
  <c r="S64" i="2" a="1"/>
  <c r="S64" i="2" s="1"/>
  <c r="AD64" i="2" a="1"/>
  <c r="AD64" i="2" s="1"/>
  <c r="AG64" i="2" a="1"/>
  <c r="AG64" i="2" s="1"/>
  <c r="V64" i="2" a="1"/>
  <c r="V64" i="2" s="1"/>
  <c r="AE64" i="2" a="1"/>
  <c r="AE64" i="2" s="1"/>
  <c r="T64" i="2" a="1"/>
  <c r="T64" i="2" s="1"/>
  <c r="B21" i="5" a="1"/>
  <c r="B21" i="5" s="1"/>
  <c r="B40" i="4" a="1"/>
  <c r="B40" i="4" s="1"/>
  <c r="E182" i="12" a="1"/>
  <c r="E182" i="12" s="1"/>
  <c r="AO81" i="2" a="1"/>
  <c r="AO81" i="2" s="1"/>
  <c r="AG83" i="2" a="1"/>
  <c r="AG83" i="2" s="1"/>
  <c r="V83" i="2" a="1"/>
  <c r="V83" i="2" s="1"/>
  <c r="AA83" i="2" a="1"/>
  <c r="AA83" i="2" s="1"/>
  <c r="Y83" i="2" a="1"/>
  <c r="Y83" i="2" s="1"/>
  <c r="S83" i="2" a="1"/>
  <c r="S83" i="2" s="1"/>
  <c r="AD83" i="2" a="1"/>
  <c r="AD83" i="2" s="1"/>
  <c r="AB83" i="2" a="1"/>
  <c r="AB83" i="2" s="1"/>
  <c r="AF85" i="2" a="1"/>
  <c r="AF85" i="2" s="1"/>
  <c r="AD87" i="2" a="1"/>
  <c r="AD87" i="2" s="1"/>
  <c r="S87" i="2" a="1"/>
  <c r="S87" i="2" s="1"/>
  <c r="X87" i="2" a="1"/>
  <c r="X87" i="2" s="1"/>
  <c r="AA87" i="2" a="1"/>
  <c r="AA87" i="2" s="1"/>
  <c r="AF87" i="2" a="1"/>
  <c r="AF87" i="2" s="1"/>
  <c r="Y87" i="2" a="1"/>
  <c r="Y87" i="2" s="1"/>
  <c r="Z87" i="2" a="1"/>
  <c r="Z87" i="2" s="1"/>
  <c r="X88" i="2" a="1"/>
  <c r="X88" i="2" s="1"/>
  <c r="S89" i="2" a="1"/>
  <c r="S89" i="2" s="1"/>
  <c r="E178" i="12" a="1"/>
  <c r="E178" i="12" s="1"/>
  <c r="W663" i="12" a="1"/>
  <c r="W663" i="12" s="1"/>
  <c r="AN91" i="2" a="1"/>
  <c r="AN91" i="2" s="1"/>
  <c r="AK91" i="2" a="1"/>
  <c r="AK91" i="2" s="1"/>
  <c r="AP91" i="2" a="1"/>
  <c r="AP91" i="2" s="1"/>
  <c r="X92" i="2" a="1"/>
  <c r="X92" i="2" s="1"/>
  <c r="AA94" i="2" a="1"/>
  <c r="AA94" i="2" s="1"/>
  <c r="D23" i="6" a="1"/>
  <c r="D23" i="6" s="1"/>
  <c r="D50" i="4" a="1"/>
  <c r="D50" i="4" s="1"/>
  <c r="V101" i="2" a="1"/>
  <c r="V101" i="2" s="1"/>
  <c r="S101" i="2" a="1"/>
  <c r="S101" i="2" s="1"/>
  <c r="W101" i="2" a="1"/>
  <c r="W101" i="2" s="1"/>
  <c r="AP109" i="2" a="1"/>
  <c r="AP109" i="2" s="1"/>
  <c r="V110" i="2" a="1"/>
  <c r="V110" i="2" s="1"/>
  <c r="V111" i="2" a="1"/>
  <c r="V111" i="2" s="1"/>
  <c r="Y112" i="2" a="1"/>
  <c r="Y112" i="2" s="1"/>
  <c r="E207" i="12" a="1"/>
  <c r="E207" i="12" s="1"/>
  <c r="T116" i="2" a="1"/>
  <c r="T116" i="2" s="1"/>
  <c r="U116" i="2" s="1" a="1"/>
  <c r="U116" i="2" s="1"/>
  <c r="AG116" i="2" a="1"/>
  <c r="AG116" i="2" s="1"/>
  <c r="AP117" i="2" a="1"/>
  <c r="AP117" i="2" s="1"/>
  <c r="S123" i="2" a="1"/>
  <c r="S123" i="2" s="1"/>
  <c r="X2" i="2" a="1"/>
  <c r="X2" i="2" s="1"/>
  <c r="E3" i="12" a="1"/>
  <c r="E3" i="12" s="1"/>
  <c r="J10" i="3" a="1"/>
  <c r="J10" i="3" s="1"/>
  <c r="AF4" i="2" a="1"/>
  <c r="AF4" i="2" s="1"/>
  <c r="AF8" i="2" a="1"/>
  <c r="AF8" i="2" s="1"/>
  <c r="Y10" i="2" a="1"/>
  <c r="Y10" i="2" s="1"/>
  <c r="B3" i="6" a="1"/>
  <c r="B3" i="6" s="1"/>
  <c r="B6" i="5" a="1"/>
  <c r="B6" i="5" s="1"/>
  <c r="B8" i="4" a="1"/>
  <c r="B8" i="4" s="1"/>
  <c r="Z12" i="2" a="1"/>
  <c r="Z12" i="2" s="1"/>
  <c r="V13" i="2" a="1"/>
  <c r="V13" i="2" s="1"/>
  <c r="AC13" i="2" a="1"/>
  <c r="AC13" i="2" s="1"/>
  <c r="B9" i="5" a="1"/>
  <c r="B9" i="5" s="1"/>
  <c r="B11" i="4" a="1"/>
  <c r="B11" i="4" s="1"/>
  <c r="S14" i="2" a="1"/>
  <c r="S14" i="2" s="1"/>
  <c r="AG14" i="2" a="1"/>
  <c r="AG14" i="2" s="1"/>
  <c r="S16" i="2" a="1"/>
  <c r="S16" i="2" s="1"/>
  <c r="Z16" i="2" a="1"/>
  <c r="Z16" i="2" s="1"/>
  <c r="AG16" i="2" a="1"/>
  <c r="AG16" i="2" s="1"/>
  <c r="W17" i="2" a="1"/>
  <c r="W17" i="2" s="1"/>
  <c r="S18" i="2" a="1"/>
  <c r="S18" i="2" s="1"/>
  <c r="AG18" i="2" a="1"/>
  <c r="AG18" i="2" s="1"/>
  <c r="AA20" i="2" a="1"/>
  <c r="AA20" i="2" s="1"/>
  <c r="T22" i="2" a="1"/>
  <c r="T22" i="2" s="1"/>
  <c r="AA22" i="2" a="1"/>
  <c r="AA22" i="2" s="1"/>
  <c r="AD23" i="2" a="1"/>
  <c r="AD23" i="2" s="1"/>
  <c r="AN24" i="2" a="1"/>
  <c r="AN24" i="2" s="1"/>
  <c r="T25" i="2" a="1"/>
  <c r="T25" i="2" s="1"/>
  <c r="W659" i="12" a="1"/>
  <c r="W659" i="12" s="1"/>
  <c r="AO26" i="2" a="1"/>
  <c r="AO26" i="2" s="1"/>
  <c r="AL26" i="2" a="1"/>
  <c r="AL26" i="2" s="1"/>
  <c r="T28" i="2" a="1"/>
  <c r="T28" i="2" s="1"/>
  <c r="AA28" i="2" a="1"/>
  <c r="AA28" i="2" s="1"/>
  <c r="U19" i="12" a="1"/>
  <c r="U19" i="12" s="1"/>
  <c r="X29" i="2" a="1"/>
  <c r="X29" i="2" s="1"/>
  <c r="AE29" i="2" a="1"/>
  <c r="AE29" i="2" s="1"/>
  <c r="AB30" i="2" a="1"/>
  <c r="AB30" i="2" s="1"/>
  <c r="X31" i="2" a="1"/>
  <c r="X31" i="2" s="1"/>
  <c r="E134" i="12" a="1"/>
  <c r="E134" i="12" s="1"/>
  <c r="AE33" i="2" a="1"/>
  <c r="AE33" i="2" s="1"/>
  <c r="AB34" i="2" a="1"/>
  <c r="AB34" i="2" s="1"/>
  <c r="U44" i="12" a="1"/>
  <c r="U44" i="12" s="1"/>
  <c r="AE36" i="2" a="1"/>
  <c r="AE36" i="2" s="1"/>
  <c r="T36" i="2" a="1"/>
  <c r="T36" i="2" s="1"/>
  <c r="Y36" i="2" a="1"/>
  <c r="Y36" i="2" s="1"/>
  <c r="AB36" i="2" a="1"/>
  <c r="AB36" i="2" s="1"/>
  <c r="X36" i="2" a="1"/>
  <c r="X36" i="2" s="1"/>
  <c r="AF36" i="2" a="1"/>
  <c r="AF36" i="2" s="1"/>
  <c r="X37" i="2" a="1"/>
  <c r="X37" i="2" s="1"/>
  <c r="AE37" i="2" a="1"/>
  <c r="AE37" i="2" s="1"/>
  <c r="V40" i="2" a="1"/>
  <c r="V40" i="2" s="1"/>
  <c r="AD40" i="2" a="1"/>
  <c r="AD40" i="2" s="1"/>
  <c r="T42" i="2" a="1"/>
  <c r="T42" i="2" s="1"/>
  <c r="V46" i="2" a="1"/>
  <c r="V46" i="2" s="1"/>
  <c r="AC46" i="2" a="1"/>
  <c r="AC46" i="2" s="1"/>
  <c r="V48" i="2" a="1"/>
  <c r="V48" i="2" s="1"/>
  <c r="U184" i="12" a="1"/>
  <c r="U184" i="12" s="1"/>
  <c r="Y54" i="2" a="1"/>
  <c r="Y54" i="2" s="1"/>
  <c r="AG54" i="2" a="1"/>
  <c r="AG54" i="2" s="1"/>
  <c r="Y55" i="2" a="1"/>
  <c r="Y55" i="2" s="1"/>
  <c r="S55" i="2" a="1"/>
  <c r="S55" i="2" s="1"/>
  <c r="AD55" i="2" a="1"/>
  <c r="AD55" i="2" s="1"/>
  <c r="X55" i="2" a="1"/>
  <c r="X55" i="2" s="1"/>
  <c r="AG55" i="2" a="1"/>
  <c r="AG55" i="2" s="1"/>
  <c r="V55" i="2" a="1"/>
  <c r="V55" i="2" s="1"/>
  <c r="AC60" i="2" a="1"/>
  <c r="AC60" i="2" s="1"/>
  <c r="X61" i="2" a="1"/>
  <c r="X61" i="2" s="1"/>
  <c r="E52" i="12" a="1"/>
  <c r="E52" i="12" s="1"/>
  <c r="AA64" i="2" a="1"/>
  <c r="AA64" i="2" s="1"/>
  <c r="AG68" i="2" a="1"/>
  <c r="AG68" i="2" s="1"/>
  <c r="AP72" i="2" a="1"/>
  <c r="AP72" i="2" s="1"/>
  <c r="E60" i="12" a="1"/>
  <c r="E60" i="12" s="1"/>
  <c r="Z75" i="2" a="1"/>
  <c r="Z75" i="2" s="1"/>
  <c r="B25" i="5" a="1"/>
  <c r="B25" i="5" s="1"/>
  <c r="B47" i="4" a="1"/>
  <c r="B47" i="4" s="1"/>
  <c r="B29" i="8" a="1"/>
  <c r="B29" i="8" s="1"/>
  <c r="U200" i="12" a="1"/>
  <c r="U200" i="12" s="1"/>
  <c r="W611" i="12" a="1"/>
  <c r="W611" i="12" s="1"/>
  <c r="AO80" i="2" a="1"/>
  <c r="AO80" i="2" s="1"/>
  <c r="AQ80" i="2" s="1" a="1"/>
  <c r="AQ80" i="2" s="1"/>
  <c r="AL80" i="2" a="1"/>
  <c r="AL80" i="2" s="1"/>
  <c r="B14" i="9" a="1"/>
  <c r="B14" i="9" s="1"/>
  <c r="AC83" i="2" a="1"/>
  <c r="AC83" i="2" s="1"/>
  <c r="S90" i="2" a="1"/>
  <c r="S90" i="2" s="1"/>
  <c r="AD90" i="2" a="1"/>
  <c r="AD90" i="2" s="1"/>
  <c r="AB94" i="2" a="1"/>
  <c r="AB94" i="2" s="1"/>
  <c r="S99" i="2" a="1"/>
  <c r="S99" i="2" s="1"/>
  <c r="AD99" i="2" a="1"/>
  <c r="AD99" i="2" s="1"/>
  <c r="AD100" i="2" a="1"/>
  <c r="AD100" i="2" s="1"/>
  <c r="S100" i="2" a="1"/>
  <c r="S100" i="2" s="1"/>
  <c r="X100" i="2" a="1"/>
  <c r="X100" i="2" s="1"/>
  <c r="AG100" i="2" a="1"/>
  <c r="AG100" i="2" s="1"/>
  <c r="V100" i="2" a="1"/>
  <c r="V100" i="2" s="1"/>
  <c r="AA100" i="2" a="1"/>
  <c r="AA100" i="2" s="1"/>
  <c r="Y100" i="2" a="1"/>
  <c r="Y100" i="2" s="1"/>
  <c r="AB100" i="2" a="1"/>
  <c r="AB100" i="2" s="1"/>
  <c r="D29" i="5" a="1"/>
  <c r="D29" i="5" s="1"/>
  <c r="D24" i="6" a="1"/>
  <c r="D24" i="6" s="1"/>
  <c r="D52" i="4" a="1"/>
  <c r="D52" i="4" s="1"/>
  <c r="U216" i="12" a="1"/>
  <c r="U216" i="12" s="1"/>
  <c r="Y111" i="2" a="1"/>
  <c r="Y111" i="2" s="1"/>
  <c r="B32" i="7" a="1"/>
  <c r="B32" i="7" s="1"/>
  <c r="B28" i="6" a="1"/>
  <c r="B28" i="6" s="1"/>
  <c r="B60" i="4" a="1"/>
  <c r="B60" i="4" s="1"/>
  <c r="AF113" i="2" a="1"/>
  <c r="AF113" i="2" s="1"/>
  <c r="V119" i="2" a="1"/>
  <c r="V119" i="2" s="1"/>
  <c r="Y120" i="2" a="1"/>
  <c r="Y120" i="2" s="1"/>
  <c r="AB121" i="2" a="1"/>
  <c r="AB121" i="2" s="1"/>
  <c r="AF122" i="2" a="1"/>
  <c r="AF122" i="2" s="1"/>
  <c r="V125" i="2" a="1"/>
  <c r="V125" i="2" s="1"/>
  <c r="B43" i="5" a="1"/>
  <c r="B43" i="5" s="1"/>
  <c r="B78" i="4" a="1"/>
  <c r="B78" i="4" s="1"/>
  <c r="E256" i="12" a="1"/>
  <c r="E256" i="12" s="1"/>
  <c r="S128" i="2" a="1"/>
  <c r="S128" i="2" s="1"/>
  <c r="S129" i="2" a="1"/>
  <c r="S129" i="2" s="1"/>
  <c r="AG129" i="2" a="1"/>
  <c r="AG129" i="2" s="1"/>
  <c r="S139" i="2" a="1"/>
  <c r="S139" i="2" s="1"/>
  <c r="AE139" i="2" a="1"/>
  <c r="AE139" i="2" s="1"/>
  <c r="T142" i="2" a="1"/>
  <c r="T142" i="2" s="1"/>
  <c r="S142" i="2" a="1"/>
  <c r="S142" i="2" s="1"/>
  <c r="X142" i="2" a="1"/>
  <c r="X142" i="2" s="1"/>
  <c r="AC142" i="2" a="1"/>
  <c r="AC142" i="2" s="1"/>
  <c r="W142" i="2" a="1"/>
  <c r="W142" i="2" s="1"/>
  <c r="E87" i="12" a="1"/>
  <c r="E87" i="12" s="1"/>
  <c r="D46" i="7" a="1"/>
  <c r="D46" i="7" s="1"/>
  <c r="D81" i="4" a="1"/>
  <c r="D81" i="4" s="1"/>
  <c r="E121" i="12" a="1"/>
  <c r="E121" i="12" s="1"/>
  <c r="B60" i="8" a="1"/>
  <c r="B60" i="8" s="1"/>
  <c r="B63" i="8" a="1"/>
  <c r="B63" i="8" s="1"/>
  <c r="U293" i="12" a="1"/>
  <c r="U293" i="12" s="1"/>
  <c r="X188" i="2" a="1"/>
  <c r="X188" i="2" s="1"/>
  <c r="AF206" i="2" a="1"/>
  <c r="AF206" i="2" s="1"/>
  <c r="AE206" i="2" a="1"/>
  <c r="AE206" i="2" s="1"/>
  <c r="T206" i="2" a="1"/>
  <c r="T206" i="2" s="1"/>
  <c r="Y206" i="2" a="1"/>
  <c r="Y206" i="2" s="1"/>
  <c r="S206" i="2" a="1"/>
  <c r="S206" i="2" s="1"/>
  <c r="W206" i="2" a="1"/>
  <c r="W206" i="2" s="1"/>
  <c r="AA206" i="2" a="1"/>
  <c r="AA206" i="2" s="1"/>
  <c r="AG206" i="2" a="1"/>
  <c r="AG206" i="2" s="1"/>
  <c r="V206" i="2" a="1"/>
  <c r="V206" i="2" s="1"/>
  <c r="AD206" i="2" a="1"/>
  <c r="AD206" i="2" s="1"/>
  <c r="AC206" i="2" a="1"/>
  <c r="AC206" i="2" s="1"/>
  <c r="AB206" i="2" a="1"/>
  <c r="AB206" i="2" s="1"/>
  <c r="Z206" i="2" a="1"/>
  <c r="Z206" i="2" s="1"/>
  <c r="X206" i="2" a="1"/>
  <c r="X206" i="2" s="1"/>
  <c r="E37" i="12" a="1"/>
  <c r="E37" i="12" s="1"/>
  <c r="AB76" i="2" a="1"/>
  <c r="AB76" i="2" s="1"/>
  <c r="U43" i="12" a="1"/>
  <c r="U43" i="12" s="1"/>
  <c r="Z84" i="2" a="1"/>
  <c r="Z84" i="2" s="1"/>
  <c r="U75" i="12" a="1"/>
  <c r="U75" i="12" s="1"/>
  <c r="Z89" i="2" a="1"/>
  <c r="Z89" i="2" s="1"/>
  <c r="Z93" i="2" a="1"/>
  <c r="Z93" i="2" s="1"/>
  <c r="Z102" i="2" a="1"/>
  <c r="Z102" i="2" s="1"/>
  <c r="AF102" i="2" a="1"/>
  <c r="AF102" i="2" s="1"/>
  <c r="X103" i="2" a="1"/>
  <c r="X103" i="2" s="1"/>
  <c r="W106" i="2" a="1"/>
  <c r="W106" i="2" s="1"/>
  <c r="Z107" i="2" a="1"/>
  <c r="Z107" i="2" s="1"/>
  <c r="AF107" i="2" a="1"/>
  <c r="AF107" i="2" s="1"/>
  <c r="D42" i="7" a="1"/>
  <c r="D42" i="7" s="1"/>
  <c r="D39" i="5" a="1"/>
  <c r="D39" i="5" s="1"/>
  <c r="D73" i="4" a="1"/>
  <c r="D73" i="4" s="1"/>
  <c r="V140" i="2" a="1"/>
  <c r="V140" i="2" s="1"/>
  <c r="E89" i="12" a="1"/>
  <c r="E89" i="12" s="1"/>
  <c r="U266" i="12" a="1"/>
  <c r="U266" i="12" s="1"/>
  <c r="AE143" i="2" a="1"/>
  <c r="AE143" i="2" s="1"/>
  <c r="T143" i="2" a="1"/>
  <c r="T143" i="2" s="1"/>
  <c r="X143" i="2" a="1"/>
  <c r="X143" i="2" s="1"/>
  <c r="T144" i="2" a="1"/>
  <c r="T144" i="2" s="1"/>
  <c r="E124" i="12" a="1"/>
  <c r="E124" i="12" s="1"/>
  <c r="AB151" i="2" a="1"/>
  <c r="AB151" i="2" s="1"/>
  <c r="AF151" i="2" a="1"/>
  <c r="AF151" i="2" s="1"/>
  <c r="AD151" i="2" a="1"/>
  <c r="AD151" i="2" s="1"/>
  <c r="S151" i="2" a="1"/>
  <c r="S151" i="2" s="1"/>
  <c r="W152" i="2" a="1"/>
  <c r="W152" i="2" s="1"/>
  <c r="W155" i="2" a="1"/>
  <c r="W155" i="2" s="1"/>
  <c r="D41" i="6" a="1"/>
  <c r="D41" i="6" s="1"/>
  <c r="D88" i="4" a="1"/>
  <c r="D88" i="4" s="1"/>
  <c r="T161" i="2" a="1"/>
  <c r="T161" i="2" s="1"/>
  <c r="T162" i="2" a="1"/>
  <c r="T162" i="2" s="1"/>
  <c r="AB162" i="2" a="1"/>
  <c r="AB162" i="2" s="1"/>
  <c r="B53" i="5" a="1"/>
  <c r="B53" i="5" s="1"/>
  <c r="B99" i="4" a="1"/>
  <c r="B99" i="4" s="1"/>
  <c r="U128" i="12" a="1"/>
  <c r="U128" i="12" s="1"/>
  <c r="T169" i="2" a="1"/>
  <c r="T169" i="2" s="1"/>
  <c r="AB169" i="2" a="1"/>
  <c r="AB169" i="2" s="1"/>
  <c r="X171" i="2" a="1"/>
  <c r="X171" i="2" s="1"/>
  <c r="AB171" i="2" a="1"/>
  <c r="AB171" i="2" s="1"/>
  <c r="AG171" i="2" a="1"/>
  <c r="AG171" i="2" s="1"/>
  <c r="V171" i="2" a="1"/>
  <c r="V171" i="2" s="1"/>
  <c r="Z171" i="2" a="1"/>
  <c r="Z171" i="2" s="1"/>
  <c r="Y171" i="2" a="1"/>
  <c r="Y171" i="2" s="1"/>
  <c r="S172" i="2" a="1"/>
  <c r="S172" i="2" s="1"/>
  <c r="AB172" i="2" a="1"/>
  <c r="AB172" i="2" s="1"/>
  <c r="D45" i="6" a="1"/>
  <c r="D45" i="6" s="1"/>
  <c r="D49" i="5" a="1"/>
  <c r="D49" i="5" s="1"/>
  <c r="D94" i="4" a="1"/>
  <c r="D94" i="4" s="1"/>
  <c r="T175" i="2" a="1"/>
  <c r="T175" i="2" s="1"/>
  <c r="AC175" i="2" a="1"/>
  <c r="AC175" i="2" s="1"/>
  <c r="W176" i="2" a="1"/>
  <c r="W176" i="2" s="1"/>
  <c r="E297" i="12" a="1"/>
  <c r="E297" i="12" s="1"/>
  <c r="X179" i="2" a="1"/>
  <c r="X179" i="2" s="1"/>
  <c r="W181" i="2" a="1"/>
  <c r="W181" i="2" s="1"/>
  <c r="S182" i="2" a="1"/>
  <c r="S182" i="2" s="1"/>
  <c r="E296" i="12" a="1"/>
  <c r="E296" i="12" s="1"/>
  <c r="U296" i="12" a="1"/>
  <c r="U296" i="12" s="1"/>
  <c r="AC185" i="2" a="1"/>
  <c r="AC185" i="2" s="1"/>
  <c r="Y186" i="2" a="1"/>
  <c r="Y186" i="2" s="1"/>
  <c r="X186" i="2" a="1"/>
  <c r="X186" i="2" s="1"/>
  <c r="AC186" i="2" a="1"/>
  <c r="AC186" i="2" s="1"/>
  <c r="AG186" i="2" a="1"/>
  <c r="AG186" i="2" s="1"/>
  <c r="V186" i="2" a="1"/>
  <c r="V186" i="2" s="1"/>
  <c r="T187" i="2" a="1"/>
  <c r="T187" i="2" s="1"/>
  <c r="U119" i="12" a="1"/>
  <c r="U119" i="12" s="1"/>
  <c r="E48" i="12" a="1"/>
  <c r="E48" i="12" s="1"/>
  <c r="E101" i="12" a="1"/>
  <c r="E101" i="12" s="1"/>
  <c r="B60" i="7" a="1"/>
  <c r="B60" i="7" s="1"/>
  <c r="B51" i="6" a="1"/>
  <c r="B51" i="6" s="1"/>
  <c r="B105" i="4" a="1"/>
  <c r="B105" i="4" s="1"/>
  <c r="T195" i="2" a="1"/>
  <c r="T195" i="2" s="1"/>
  <c r="X198" i="2" a="1"/>
  <c r="X198" i="2" s="1"/>
  <c r="W198" i="2" a="1"/>
  <c r="W198" i="2" s="1"/>
  <c r="AB198" i="2" a="1"/>
  <c r="AB198" i="2" s="1"/>
  <c r="AF198" i="2" a="1"/>
  <c r="AF198" i="2" s="1"/>
  <c r="Y198" i="2" a="1"/>
  <c r="Y198" i="2" s="1"/>
  <c r="U299" i="12" a="1"/>
  <c r="U299" i="12" s="1"/>
  <c r="E117" i="12" a="1"/>
  <c r="E117" i="12" s="1"/>
  <c r="AD202" i="2" a="1"/>
  <c r="AD202" i="2" s="1"/>
  <c r="X202" i="2" a="1"/>
  <c r="X202" i="2" s="1"/>
  <c r="W202" i="2" a="1"/>
  <c r="W202" i="2" s="1"/>
  <c r="AB202" i="2" a="1"/>
  <c r="AB202" i="2" s="1"/>
  <c r="AF202" i="2" a="1"/>
  <c r="AF202" i="2" s="1"/>
  <c r="U92" i="12" a="1"/>
  <c r="U92" i="12" s="1"/>
  <c r="T203" i="2" a="1"/>
  <c r="T203" i="2" s="1"/>
  <c r="E157" i="12" a="1"/>
  <c r="E157" i="12" s="1"/>
  <c r="B64" i="7" a="1"/>
  <c r="B64" i="7" s="1"/>
  <c r="B110" i="4" a="1"/>
  <c r="B110" i="4" s="1"/>
  <c r="V207" i="2" a="1"/>
  <c r="V207" i="2" s="1"/>
  <c r="T208" i="2" a="1"/>
  <c r="T208" i="2" s="1"/>
  <c r="AE208" i="2" a="1"/>
  <c r="AE208" i="2" s="1"/>
  <c r="U150" i="12" a="1"/>
  <c r="U150" i="12" s="1"/>
  <c r="V211" i="2" a="1"/>
  <c r="V211" i="2" s="1"/>
  <c r="AG211" i="2" a="1"/>
  <c r="AG211" i="2" s="1"/>
  <c r="AD215" i="2" a="1"/>
  <c r="AD215" i="2" s="1"/>
  <c r="S215" i="2" a="1"/>
  <c r="S215" i="2" s="1"/>
  <c r="AC215" i="2" a="1"/>
  <c r="AC215" i="2" s="1"/>
  <c r="W215" i="2" a="1"/>
  <c r="W215" i="2" s="1"/>
  <c r="AF215" i="2" a="1"/>
  <c r="AF215" i="2" s="1"/>
  <c r="Y215" i="2" a="1"/>
  <c r="Y215" i="2" s="1"/>
  <c r="Z215" i="2" a="1"/>
  <c r="Z215" i="2" s="1"/>
  <c r="E112" i="12" a="1"/>
  <c r="E112" i="12" s="1"/>
  <c r="AD225" i="2" a="1"/>
  <c r="AD225" i="2" s="1"/>
  <c r="S225" i="2" a="1"/>
  <c r="S225" i="2" s="1"/>
  <c r="AC225" i="2" a="1"/>
  <c r="AC225" i="2" s="1"/>
  <c r="W225" i="2" a="1"/>
  <c r="W225" i="2" s="1"/>
  <c r="AF225" i="2" a="1"/>
  <c r="AF225" i="2" s="1"/>
  <c r="Y225" i="2" a="1"/>
  <c r="Y225" i="2" s="1"/>
  <c r="Z225" i="2" a="1"/>
  <c r="Z225" i="2" s="1"/>
  <c r="E422" i="12" a="1"/>
  <c r="E422" i="12" s="1"/>
  <c r="E377" i="12" a="1"/>
  <c r="E377" i="12" s="1"/>
  <c r="T235" i="2" a="1"/>
  <c r="T235" i="2" s="1"/>
  <c r="U114" i="12" a="1"/>
  <c r="U114" i="12" s="1"/>
  <c r="B92" i="8" a="1"/>
  <c r="B92" i="8" s="1"/>
  <c r="D75" i="7" a="1"/>
  <c r="D75" i="7" s="1"/>
  <c r="D65" i="6" a="1"/>
  <c r="D65" i="6" s="1"/>
  <c r="D127" i="4" a="1"/>
  <c r="D127" i="4" s="1"/>
  <c r="AE245" i="2" a="1"/>
  <c r="AE245" i="2" s="1"/>
  <c r="B93" i="8" a="1"/>
  <c r="B93" i="8" s="1"/>
  <c r="AC248" i="2" a="1"/>
  <c r="AC248" i="2" s="1"/>
  <c r="T248" i="2" a="1"/>
  <c r="T248" i="2" s="1"/>
  <c r="W248" i="2" a="1"/>
  <c r="W248" i="2" s="1"/>
  <c r="X248" i="2" a="1"/>
  <c r="X248" i="2" s="1"/>
  <c r="U490" i="12" a="1"/>
  <c r="U490" i="12" s="1"/>
  <c r="E332" i="12" a="1"/>
  <c r="E332" i="12" s="1"/>
  <c r="X252" i="2" a="1"/>
  <c r="X252" i="2" s="1"/>
  <c r="AF253" i="2" a="1"/>
  <c r="AF253" i="2" s="1"/>
  <c r="AA253" i="2" a="1"/>
  <c r="AA253" i="2" s="1"/>
  <c r="V253" i="2" a="1"/>
  <c r="V253" i="2" s="1"/>
  <c r="S253" i="2" a="1"/>
  <c r="S253" i="2" s="1"/>
  <c r="T253" i="2" a="1"/>
  <c r="T253" i="2" s="1"/>
  <c r="Y253" i="2" a="1"/>
  <c r="Y253" i="2" s="1"/>
  <c r="AE253" i="2" a="1"/>
  <c r="AE253" i="2" s="1"/>
  <c r="X253" i="2" a="1"/>
  <c r="X253" i="2" s="1"/>
  <c r="AC253" i="2" a="1"/>
  <c r="AC253" i="2" s="1"/>
  <c r="U345" i="12" a="1"/>
  <c r="U345" i="12" s="1"/>
  <c r="B101" i="8" a="1"/>
  <c r="B101" i="8" s="1"/>
  <c r="B102" i="8" a="1"/>
  <c r="B102" i="8" s="1"/>
  <c r="AF259" i="2" a="1"/>
  <c r="AF259" i="2" s="1"/>
  <c r="AA259" i="2" a="1"/>
  <c r="AA259" i="2" s="1"/>
  <c r="V259" i="2" a="1"/>
  <c r="V259" i="2" s="1"/>
  <c r="AC259" i="2" a="1"/>
  <c r="AC259" i="2" s="1"/>
  <c r="W259" i="2" a="1"/>
  <c r="W259" i="2" s="1"/>
  <c r="AE259" i="2" a="1"/>
  <c r="AE259" i="2" s="1"/>
  <c r="X259" i="2" a="1"/>
  <c r="X259" i="2" s="1"/>
  <c r="AB259" i="2" a="1"/>
  <c r="AB259" i="2" s="1"/>
  <c r="AG259" i="2" a="1"/>
  <c r="AG259" i="2" s="1"/>
  <c r="Z259" i="2" a="1"/>
  <c r="Z259" i="2" s="1"/>
  <c r="S259" i="2" a="1"/>
  <c r="S259" i="2" s="1"/>
  <c r="W615" i="12" a="1"/>
  <c r="W615" i="12" s="1"/>
  <c r="AM271" i="2" a="1"/>
  <c r="AM271" i="2" s="1"/>
  <c r="AK271" i="2" a="1"/>
  <c r="AK271" i="2" s="1"/>
  <c r="AN271" i="2" a="1"/>
  <c r="AN271" i="2" s="1"/>
  <c r="U160" i="12" a="1"/>
  <c r="U160" i="12" s="1"/>
  <c r="E419" i="12" a="1"/>
  <c r="E419" i="12" s="1"/>
  <c r="U492" i="12" a="1"/>
  <c r="U492" i="12" s="1"/>
  <c r="E442" i="12" a="1"/>
  <c r="E442" i="12" s="1"/>
  <c r="U466" i="12" a="1"/>
  <c r="U466" i="12" s="1"/>
  <c r="E209" i="12" a="1"/>
  <c r="E209" i="12" s="1"/>
  <c r="AG298" i="2" a="1"/>
  <c r="AG298" i="2" s="1"/>
  <c r="AB298" i="2" a="1"/>
  <c r="AB298" i="2" s="1"/>
  <c r="W298" i="2" a="1"/>
  <c r="W298" i="2" s="1"/>
  <c r="AD298" i="2" a="1"/>
  <c r="AD298" i="2" s="1"/>
  <c r="X298" i="2" a="1"/>
  <c r="X298" i="2" s="1"/>
  <c r="T298" i="2" a="1"/>
  <c r="T298" i="2" s="1"/>
  <c r="AF298" i="2" a="1"/>
  <c r="AF298" i="2" s="1"/>
  <c r="V298" i="2" a="1"/>
  <c r="V298" i="2" s="1"/>
  <c r="AE298" i="2" a="1"/>
  <c r="AE298" i="2" s="1"/>
  <c r="AC298" i="2" a="1"/>
  <c r="AC298" i="2" s="1"/>
  <c r="S298" i="2" a="1"/>
  <c r="S298" i="2" s="1"/>
  <c r="Z298" i="2" a="1"/>
  <c r="Z298" i="2" s="1"/>
  <c r="Y298" i="2" a="1"/>
  <c r="Y298" i="2" s="1"/>
  <c r="B83" i="5" a="1"/>
  <c r="B83" i="5" s="1"/>
  <c r="B165" i="4" a="1"/>
  <c r="B165" i="4" s="1"/>
  <c r="U562" i="12" a="1"/>
  <c r="U562" i="12" s="1"/>
  <c r="U84" i="12" a="1"/>
  <c r="U84" i="12" s="1"/>
  <c r="Z152" i="2" a="1"/>
  <c r="Z152" i="2" s="1"/>
  <c r="T152" i="2" a="1"/>
  <c r="T152" i="2" s="1"/>
  <c r="X152" i="2" a="1"/>
  <c r="X152" i="2" s="1"/>
  <c r="AB152" i="2" a="1"/>
  <c r="AB152" i="2" s="1"/>
  <c r="AF152" i="2" a="1"/>
  <c r="AF152" i="2" s="1"/>
  <c r="W657" i="12" a="1"/>
  <c r="W657" i="12" s="1"/>
  <c r="AK153" i="2" a="1"/>
  <c r="AK153" i="2" s="1"/>
  <c r="AO153" i="2" a="1"/>
  <c r="AO153" i="2" s="1"/>
  <c r="AM153" i="2" a="1"/>
  <c r="AM153" i="2" s="1"/>
  <c r="E88" i="12" a="1"/>
  <c r="E88" i="12" s="1"/>
  <c r="U88" i="12" a="1"/>
  <c r="U88" i="12" s="1"/>
  <c r="AB155" i="2" a="1"/>
  <c r="AB155" i="2" s="1"/>
  <c r="AF155" i="2" a="1"/>
  <c r="AF155" i="2" s="1"/>
  <c r="Y155" i="2" a="1"/>
  <c r="Y155" i="2" s="1"/>
  <c r="S155" i="2" a="1"/>
  <c r="S155" i="2" s="1"/>
  <c r="AA158" i="2" a="1"/>
  <c r="AA158" i="2" s="1"/>
  <c r="AE158" i="2" a="1"/>
  <c r="AE158" i="2" s="1"/>
  <c r="T158" i="2" a="1"/>
  <c r="T158" i="2" s="1"/>
  <c r="AC158" i="2" a="1"/>
  <c r="AC158" i="2" s="1"/>
  <c r="W158" i="2" a="1"/>
  <c r="W158" i="2" s="1"/>
  <c r="D51" i="5" a="1"/>
  <c r="D51" i="5" s="1"/>
  <c r="D97" i="4" a="1"/>
  <c r="D97" i="4" s="1"/>
  <c r="U102" i="12" a="1"/>
  <c r="U102" i="12" s="1"/>
  <c r="AD169" i="2" a="1"/>
  <c r="AD169" i="2" s="1"/>
  <c r="E106" i="12" a="1"/>
  <c r="E106" i="12" s="1"/>
  <c r="AC172" i="2" a="1"/>
  <c r="AC172" i="2" s="1"/>
  <c r="E425" i="12" a="1"/>
  <c r="E425" i="12" s="1"/>
  <c r="D56" i="7" a="1"/>
  <c r="D56" i="7" s="1"/>
  <c r="D52" i="5" a="1"/>
  <c r="D52" i="5" s="1"/>
  <c r="D98" i="4" a="1"/>
  <c r="D98" i="4" s="1"/>
  <c r="AB179" i="2" a="1"/>
  <c r="AB179" i="2" s="1"/>
  <c r="AA179" i="2" a="1"/>
  <c r="AA179" i="2" s="1"/>
  <c r="AF179" i="2" a="1"/>
  <c r="AF179" i="2" s="1"/>
  <c r="Y179" i="2" a="1"/>
  <c r="Y179" i="2" s="1"/>
  <c r="U161" i="12" a="1"/>
  <c r="U161" i="12" s="1"/>
  <c r="E293" i="12" a="1"/>
  <c r="E293" i="12" s="1"/>
  <c r="B47" i="6" a="1"/>
  <c r="B47" i="6" s="1"/>
  <c r="B100" i="4" a="1"/>
  <c r="B100" i="4" s="1"/>
  <c r="D58" i="7" a="1"/>
  <c r="D58" i="7" s="1"/>
  <c r="D49" i="6" a="1"/>
  <c r="D49" i="6" s="1"/>
  <c r="D103" i="4" a="1"/>
  <c r="D103" i="4" s="1"/>
  <c r="T189" i="2" a="1"/>
  <c r="T189" i="2" s="1"/>
  <c r="AC189" i="2" a="1"/>
  <c r="AC189" i="2" s="1"/>
  <c r="B59" i="5" a="1"/>
  <c r="B59" i="5" s="1"/>
  <c r="B114" i="4" a="1"/>
  <c r="B114" i="4" s="1"/>
  <c r="U193" i="2" a="1"/>
  <c r="U193" i="2" s="1"/>
  <c r="U183" i="12" a="1"/>
  <c r="U183" i="12" s="1"/>
  <c r="W196" i="2" a="1"/>
  <c r="W196" i="2" s="1"/>
  <c r="AG196" i="2" a="1"/>
  <c r="AG196" i="2" s="1"/>
  <c r="V196" i="2" a="1"/>
  <c r="V196" i="2" s="1"/>
  <c r="AA196" i="2" a="1"/>
  <c r="AA196" i="2" s="1"/>
  <c r="AE196" i="2" a="1"/>
  <c r="AE196" i="2" s="1"/>
  <c r="Y196" i="2" a="1"/>
  <c r="Y196" i="2" s="1"/>
  <c r="Z196" i="2" a="1"/>
  <c r="Z196" i="2" s="1"/>
  <c r="V197" i="2" a="1"/>
  <c r="V197" i="2" s="1"/>
  <c r="D64" i="7" a="1"/>
  <c r="D64" i="7" s="1"/>
  <c r="D110" i="4" a="1"/>
  <c r="D110" i="4" s="1"/>
  <c r="W205" i="2" a="1"/>
  <c r="W205" i="2" s="1"/>
  <c r="AG205" i="2" a="1"/>
  <c r="AG205" i="2" s="1"/>
  <c r="V205" i="2" a="1"/>
  <c r="V205" i="2" s="1"/>
  <c r="AA205" i="2" a="1"/>
  <c r="AA205" i="2" s="1"/>
  <c r="AE205" i="2" a="1"/>
  <c r="AE205" i="2" s="1"/>
  <c r="T205" i="2" a="1"/>
  <c r="T205" i="2" s="1"/>
  <c r="AC205" i="2" a="1"/>
  <c r="AC205" i="2" s="1"/>
  <c r="B65" i="7" a="1"/>
  <c r="B65" i="7" s="1"/>
  <c r="B55" i="6" a="1"/>
  <c r="B55" i="6" s="1"/>
  <c r="B112" i="4" a="1"/>
  <c r="B112" i="4" s="1"/>
  <c r="U107" i="12" a="1"/>
  <c r="U107" i="12" s="1"/>
  <c r="U607" i="12" a="1"/>
  <c r="U607" i="12" s="1"/>
  <c r="U376" i="12" a="1"/>
  <c r="U376" i="12" s="1"/>
  <c r="B77" i="8" a="1"/>
  <c r="B77" i="8" s="1"/>
  <c r="B70" i="7" a="1"/>
  <c r="B70" i="7" s="1"/>
  <c r="B61" i="5" a="1"/>
  <c r="B61" i="5" s="1"/>
  <c r="B119" i="4" a="1"/>
  <c r="B119" i="4" s="1"/>
  <c r="D74" i="7" a="1"/>
  <c r="D74" i="7" s="1"/>
  <c r="D64" i="6" a="1"/>
  <c r="D64" i="6" s="1"/>
  <c r="D126" i="4" a="1"/>
  <c r="D126" i="4" s="1"/>
  <c r="E108" i="12" a="1"/>
  <c r="E108" i="12" s="1"/>
  <c r="U496" i="12" a="1"/>
  <c r="U496" i="12" s="1"/>
  <c r="AF243" i="2" a="1"/>
  <c r="AF243" i="2" s="1"/>
  <c r="AA243" i="2" a="1"/>
  <c r="AA243" i="2" s="1"/>
  <c r="V243" i="2" a="1"/>
  <c r="V243" i="2" s="1"/>
  <c r="S243" i="2" a="1"/>
  <c r="S243" i="2" s="1"/>
  <c r="T243" i="2" a="1"/>
  <c r="T243" i="2" s="1"/>
  <c r="Y243" i="2" a="1"/>
  <c r="Y243" i="2" s="1"/>
  <c r="AE243" i="2" a="1"/>
  <c r="AE243" i="2" s="1"/>
  <c r="X243" i="2" a="1"/>
  <c r="X243" i="2" s="1"/>
  <c r="AC243" i="2" a="1"/>
  <c r="AC243" i="2" s="1"/>
  <c r="E135" i="12" a="1"/>
  <c r="E135" i="12" s="1"/>
  <c r="U139" i="12" a="1"/>
  <c r="U139" i="12" s="1"/>
  <c r="B64" i="5" a="1"/>
  <c r="B64" i="5" s="1"/>
  <c r="B62" i="6" a="1"/>
  <c r="B62" i="6" s="1"/>
  <c r="B124" i="4" a="1"/>
  <c r="B124" i="4" s="1"/>
  <c r="B94" i="8" a="1"/>
  <c r="B94" i="8" s="1"/>
  <c r="AF249" i="2" a="1"/>
  <c r="AF249" i="2" s="1"/>
  <c r="AA249" i="2" a="1"/>
  <c r="AA249" i="2" s="1"/>
  <c r="V249" i="2" a="1"/>
  <c r="V249" i="2" s="1"/>
  <c r="AC249" i="2" a="1"/>
  <c r="AC249" i="2" s="1"/>
  <c r="W249" i="2" a="1"/>
  <c r="W249" i="2" s="1"/>
  <c r="AE249" i="2" a="1"/>
  <c r="AE249" i="2" s="1"/>
  <c r="X249" i="2" a="1"/>
  <c r="X249" i="2" s="1"/>
  <c r="AB249" i="2" a="1"/>
  <c r="AB249" i="2" s="1"/>
  <c r="AG249" i="2" a="1"/>
  <c r="AG249" i="2" s="1"/>
  <c r="Z249" i="2" a="1"/>
  <c r="Z249" i="2" s="1"/>
  <c r="S249" i="2" a="1"/>
  <c r="S249" i="2" s="1"/>
  <c r="U250" i="2" a="1"/>
  <c r="U250" i="2" s="1"/>
  <c r="D66" i="6" a="1"/>
  <c r="D66" i="6" s="1"/>
  <c r="D129" i="4" a="1"/>
  <c r="D129" i="4" s="1"/>
  <c r="AE264" i="2" a="1"/>
  <c r="AE264" i="2" s="1"/>
  <c r="Z264" i="2" a="1"/>
  <c r="Z264" i="2" s="1"/>
  <c r="T264" i="2" a="1"/>
  <c r="T264" i="2" s="1"/>
  <c r="W264" i="2" a="1"/>
  <c r="W264" i="2" s="1"/>
  <c r="V264" i="2" a="1"/>
  <c r="V264" i="2" s="1"/>
  <c r="AC264" i="2" a="1"/>
  <c r="AC264" i="2" s="1"/>
  <c r="AB264" i="2" a="1"/>
  <c r="AB264" i="2" s="1"/>
  <c r="X264" i="2" a="1"/>
  <c r="X264" i="2" s="1"/>
  <c r="AG264" i="2" a="1"/>
  <c r="AG264" i="2" s="1"/>
  <c r="E479" i="12" a="1"/>
  <c r="E479" i="12" s="1"/>
  <c r="AD267" i="2" a="1"/>
  <c r="AD267" i="2" s="1"/>
  <c r="Y267" i="2" a="1"/>
  <c r="Y267" i="2" s="1"/>
  <c r="T267" i="2" a="1"/>
  <c r="T267" i="2" s="1"/>
  <c r="S267" i="2" a="1"/>
  <c r="S267" i="2" s="1"/>
  <c r="X267" i="2" a="1"/>
  <c r="X267" i="2" s="1"/>
  <c r="AA267" i="2" a="1"/>
  <c r="AA267" i="2" s="1"/>
  <c r="Z267" i="2" a="1"/>
  <c r="Z267" i="2" s="1"/>
  <c r="AF267" i="2" a="1"/>
  <c r="AF267" i="2" s="1"/>
  <c r="AC267" i="2" a="1"/>
  <c r="AC267" i="2" s="1"/>
  <c r="V275" i="2" a="1"/>
  <c r="V275" i="2" s="1"/>
  <c r="T275" i="2" a="1"/>
  <c r="T275" i="2" s="1"/>
  <c r="D81" i="7" a="1"/>
  <c r="D81" i="7" s="1"/>
  <c r="D69" i="6" a="1"/>
  <c r="D69" i="6" s="1"/>
  <c r="D139" i="4" a="1"/>
  <c r="D139" i="4" s="1"/>
  <c r="V280" i="2" a="1"/>
  <c r="V280" i="2" s="1"/>
  <c r="T280" i="2" a="1"/>
  <c r="T280" i="2" s="1"/>
  <c r="V285" i="2" a="1"/>
  <c r="V285" i="2" s="1"/>
  <c r="T285" i="2" a="1"/>
  <c r="T285" i="2" s="1"/>
  <c r="E558" i="12" a="1"/>
  <c r="E558" i="12" s="1"/>
  <c r="D84" i="7" a="1"/>
  <c r="D84" i="7" s="1"/>
  <c r="D71" i="6" a="1"/>
  <c r="D71" i="6" s="1"/>
  <c r="D71" i="5" a="1"/>
  <c r="D71" i="5" s="1"/>
  <c r="D143" i="4" a="1"/>
  <c r="D143" i="4" s="1"/>
  <c r="V288" i="2" a="1"/>
  <c r="V288" i="2" s="1"/>
  <c r="T288" i="2" a="1"/>
  <c r="T288" i="2" s="1"/>
  <c r="W288" i="2" a="1"/>
  <c r="W288" i="2" s="1"/>
  <c r="B123" i="8" a="1"/>
  <c r="B123" i="8" s="1"/>
  <c r="AD321" i="2" a="1"/>
  <c r="AD321" i="2" s="1"/>
  <c r="Y321" i="2" a="1"/>
  <c r="Y321" i="2" s="1"/>
  <c r="T321" i="2" a="1"/>
  <c r="T321" i="2" s="1"/>
  <c r="AF321" i="2" a="1"/>
  <c r="AF321" i="2" s="1"/>
  <c r="Z321" i="2" a="1"/>
  <c r="Z321" i="2" s="1"/>
  <c r="S321" i="2" a="1"/>
  <c r="S321" i="2" s="1"/>
  <c r="X321" i="2" a="1"/>
  <c r="X321" i="2" s="1"/>
  <c r="V321" i="2" a="1"/>
  <c r="V321" i="2" s="1"/>
  <c r="AG321" i="2" a="1"/>
  <c r="AG321" i="2" s="1"/>
  <c r="AE321" i="2" a="1"/>
  <c r="AE321" i="2" s="1"/>
  <c r="AC321" i="2" a="1"/>
  <c r="AC321" i="2" s="1"/>
  <c r="AB321" i="2" a="1"/>
  <c r="AB321" i="2" s="1"/>
  <c r="W321" i="2" a="1"/>
  <c r="W321" i="2" s="1"/>
  <c r="E382" i="12" a="1"/>
  <c r="E382" i="12" s="1"/>
  <c r="D32" i="6" a="1"/>
  <c r="D32" i="6" s="1"/>
  <c r="D40" i="7" a="1"/>
  <c r="D40" i="7" s="1"/>
  <c r="D71" i="4" a="1"/>
  <c r="D71" i="4" s="1"/>
  <c r="D44" i="5" a="1"/>
  <c r="D44" i="5" s="1"/>
  <c r="D79" i="4" a="1"/>
  <c r="D79" i="4" s="1"/>
  <c r="AC138" i="2" a="1"/>
  <c r="AC138" i="2" s="1"/>
  <c r="D45" i="7" a="1"/>
  <c r="D45" i="7" s="1"/>
  <c r="D80" i="4" a="1"/>
  <c r="D80" i="4" s="1"/>
  <c r="E71" i="12" a="1"/>
  <c r="E71" i="12" s="1"/>
  <c r="X155" i="2" a="1"/>
  <c r="X155" i="2" s="1"/>
  <c r="Z156" i="2" a="1"/>
  <c r="Z156" i="2" s="1"/>
  <c r="AD156" i="2" a="1"/>
  <c r="AD156" i="2" s="1"/>
  <c r="X156" i="2" a="1"/>
  <c r="X156" i="2" s="1"/>
  <c r="AB156" i="2" a="1"/>
  <c r="AB156" i="2" s="1"/>
  <c r="AF156" i="2" a="1"/>
  <c r="AF156" i="2" s="1"/>
  <c r="AC157" i="2" a="1"/>
  <c r="AC157" i="2" s="1"/>
  <c r="AG157" i="2" a="1"/>
  <c r="AG157" i="2" s="1"/>
  <c r="V157" i="2" a="1"/>
  <c r="V157" i="2" s="1"/>
  <c r="Z157" i="2" a="1"/>
  <c r="Z157" i="2" s="1"/>
  <c r="X157" i="2" a="1"/>
  <c r="X157" i="2" s="1"/>
  <c r="AF157" i="2" a="1"/>
  <c r="AF157" i="2" s="1"/>
  <c r="X158" i="2" a="1"/>
  <c r="X158" i="2" s="1"/>
  <c r="AF158" i="2" a="1"/>
  <c r="AF158" i="2" s="1"/>
  <c r="Y159" i="2" a="1"/>
  <c r="Y159" i="2" s="1"/>
  <c r="S159" i="2" a="1"/>
  <c r="S159" i="2" s="1"/>
  <c r="W159" i="2" a="1"/>
  <c r="W159" i="2" s="1"/>
  <c r="AA159" i="2" a="1"/>
  <c r="AA159" i="2" s="1"/>
  <c r="X159" i="2" a="1"/>
  <c r="X159" i="2" s="1"/>
  <c r="AF159" i="2" a="1"/>
  <c r="AF159" i="2" s="1"/>
  <c r="T165" i="2" a="1"/>
  <c r="T165" i="2" s="1"/>
  <c r="B52" i="7" a="1"/>
  <c r="B52" i="7" s="1"/>
  <c r="B90" i="4" a="1"/>
  <c r="B90" i="4" s="1"/>
  <c r="S166" i="2" a="1"/>
  <c r="S166" i="2" s="1"/>
  <c r="S167" i="2" a="1"/>
  <c r="S167" i="2" s="1"/>
  <c r="B54" i="7" a="1"/>
  <c r="B54" i="7" s="1"/>
  <c r="B43" i="6" a="1"/>
  <c r="B43" i="6" s="1"/>
  <c r="B92" i="4" a="1"/>
  <c r="B92" i="4" s="1"/>
  <c r="B57" i="8" a="1"/>
  <c r="B57" i="8" s="1"/>
  <c r="AE169" i="2" a="1"/>
  <c r="AE169" i="2" s="1"/>
  <c r="B44" i="6" a="1"/>
  <c r="B44" i="6" s="1"/>
  <c r="B93" i="4" a="1"/>
  <c r="B93" i="4" s="1"/>
  <c r="AD172" i="2" a="1"/>
  <c r="AD172" i="2" s="1"/>
  <c r="Y173" i="2" a="1"/>
  <c r="Y173" i="2" s="1"/>
  <c r="X173" i="2" a="1"/>
  <c r="X173" i="2" s="1"/>
  <c r="AC173" i="2" a="1"/>
  <c r="AC173" i="2" s="1"/>
  <c r="W173" i="2" a="1"/>
  <c r="W173" i="2" s="1"/>
  <c r="AA173" i="2" a="1"/>
  <c r="AA173" i="2" s="1"/>
  <c r="U133" i="12" a="1"/>
  <c r="U133" i="12" s="1"/>
  <c r="X176" i="2" a="1"/>
  <c r="X176" i="2" s="1"/>
  <c r="AB176" i="2" a="1"/>
  <c r="AB176" i="2" s="1"/>
  <c r="AG176" i="2" a="1"/>
  <c r="AG176" i="2" s="1"/>
  <c r="V176" i="2" a="1"/>
  <c r="V176" i="2" s="1"/>
  <c r="Z176" i="2" a="1"/>
  <c r="Z176" i="2" s="1"/>
  <c r="Y176" i="2" a="1"/>
  <c r="Y176" i="2" s="1"/>
  <c r="D57" i="7" a="1"/>
  <c r="D57" i="7" s="1"/>
  <c r="D54" i="5" a="1"/>
  <c r="D54" i="5" s="1"/>
  <c r="D101" i="4" a="1"/>
  <c r="D101" i="4" s="1"/>
  <c r="B56" i="5" a="1"/>
  <c r="B56" i="5" s="1"/>
  <c r="B107" i="4" a="1"/>
  <c r="B107" i="4" s="1"/>
  <c r="AF188" i="2" a="1"/>
  <c r="AF188" i="2" s="1"/>
  <c r="Z188" i="2" a="1"/>
  <c r="Z188" i="2" s="1"/>
  <c r="Y188" i="2" a="1"/>
  <c r="Y188" i="2" s="1"/>
  <c r="AD188" i="2" a="1"/>
  <c r="AD188" i="2" s="1"/>
  <c r="S188" i="2" a="1"/>
  <c r="S188" i="2" s="1"/>
  <c r="W188" i="2" a="1"/>
  <c r="W188" i="2" s="1"/>
  <c r="AA188" i="2" a="1"/>
  <c r="AA188" i="2" s="1"/>
  <c r="U140" i="12" a="1"/>
  <c r="U140" i="12" s="1"/>
  <c r="E335" i="12" a="1"/>
  <c r="E335" i="12" s="1"/>
  <c r="E299" i="12" a="1"/>
  <c r="E299" i="12" s="1"/>
  <c r="E92" i="12" a="1"/>
  <c r="E92" i="12" s="1"/>
  <c r="AE203" i="2" a="1"/>
  <c r="AE203" i="2" s="1"/>
  <c r="E348" i="12" a="1"/>
  <c r="E348" i="12" s="1"/>
  <c r="AB205" i="2" a="1"/>
  <c r="AB205" i="2" s="1"/>
  <c r="D60" i="5" a="1"/>
  <c r="D60" i="5" s="1"/>
  <c r="D117" i="4" a="1"/>
  <c r="D117" i="4" s="1"/>
  <c r="W208" i="2" a="1"/>
  <c r="W208" i="2" s="1"/>
  <c r="U115" i="12" a="1"/>
  <c r="U115" i="12" s="1"/>
  <c r="W209" i="2" a="1"/>
  <c r="W209" i="2" s="1"/>
  <c r="AB215" i="2" a="1"/>
  <c r="AB215" i="2" s="1"/>
  <c r="B62" i="5" a="1"/>
  <c r="B62" i="5" s="1"/>
  <c r="B122" i="4" a="1"/>
  <c r="B122" i="4" s="1"/>
  <c r="B78" i="8" a="1"/>
  <c r="B78" i="8" s="1"/>
  <c r="V220" i="2" a="1"/>
  <c r="V220" i="2" s="1"/>
  <c r="U354" i="12" a="1"/>
  <c r="U354" i="12" s="1"/>
  <c r="AB225" i="2" a="1"/>
  <c r="AB225" i="2" s="1"/>
  <c r="D70" i="7" a="1"/>
  <c r="D70" i="7" s="1"/>
  <c r="D119" i="4" a="1"/>
  <c r="D119" i="4" s="1"/>
  <c r="D61" i="5" a="1"/>
  <c r="D61" i="5" s="1"/>
  <c r="B85" i="8" a="1"/>
  <c r="B85" i="8" s="1"/>
  <c r="V230" i="2" a="1"/>
  <c r="V230" i="2" s="1"/>
  <c r="U431" i="12" a="1"/>
  <c r="U431" i="12" s="1"/>
  <c r="T231" i="2" a="1"/>
  <c r="T231" i="2" s="1"/>
  <c r="U233" i="2" a="1"/>
  <c r="U233" i="2" s="1"/>
  <c r="Y236" i="2" a="1"/>
  <c r="Y236" i="2" s="1"/>
  <c r="B73" i="7" a="1"/>
  <c r="B73" i="7" s="1"/>
  <c r="B63" i="6" a="1"/>
  <c r="B63" i="6" s="1"/>
  <c r="B125" i="4" a="1"/>
  <c r="B125" i="4" s="1"/>
  <c r="V239" i="2" a="1"/>
  <c r="V239" i="2" s="1"/>
  <c r="U145" i="12" a="1"/>
  <c r="U145" i="12" s="1"/>
  <c r="X241" i="2" a="1"/>
  <c r="X241" i="2" s="1"/>
  <c r="AD243" i="2" a="1"/>
  <c r="AD243" i="2" s="1"/>
  <c r="AD249" i="2" a="1"/>
  <c r="AD249" i="2" s="1"/>
  <c r="U332" i="12" a="1"/>
  <c r="U332" i="12" s="1"/>
  <c r="D67" i="6" a="1"/>
  <c r="D67" i="6" s="1"/>
  <c r="D77" i="7" a="1"/>
  <c r="D77" i="7" s="1"/>
  <c r="D130" i="4" a="1"/>
  <c r="D130" i="4" s="1"/>
  <c r="E363" i="12" a="1"/>
  <c r="E363" i="12" s="1"/>
  <c r="AF257" i="2" a="1"/>
  <c r="AF257" i="2" s="1"/>
  <c r="AA257" i="2" a="1"/>
  <c r="AA257" i="2" s="1"/>
  <c r="V257" i="2" a="1"/>
  <c r="V257" i="2" s="1"/>
  <c r="AB257" i="2" a="1"/>
  <c r="AB257" i="2" s="1"/>
  <c r="AG257" i="2" a="1"/>
  <c r="AG257" i="2" s="1"/>
  <c r="Z257" i="2" a="1"/>
  <c r="Z257" i="2" s="1"/>
  <c r="S257" i="2" a="1"/>
  <c r="S257" i="2" s="1"/>
  <c r="Y257" i="2" a="1"/>
  <c r="Y257" i="2" s="1"/>
  <c r="AE257" i="2" a="1"/>
  <c r="AE257" i="2" s="1"/>
  <c r="X257" i="2" a="1"/>
  <c r="X257" i="2" s="1"/>
  <c r="AC257" i="2" a="1"/>
  <c r="AC257" i="2" s="1"/>
  <c r="T257" i="2" a="1"/>
  <c r="T257" i="2" s="1"/>
  <c r="E414" i="12" a="1"/>
  <c r="E414" i="12" s="1"/>
  <c r="AE262" i="2" a="1"/>
  <c r="AE262" i="2" s="1"/>
  <c r="Z262" i="2" a="1"/>
  <c r="Z262" i="2" s="1"/>
  <c r="T262" i="2" a="1"/>
  <c r="T262" i="2" s="1"/>
  <c r="AD262" i="2" a="1"/>
  <c r="AD262" i="2" s="1"/>
  <c r="W262" i="2" a="1"/>
  <c r="W262" i="2" s="1"/>
  <c r="AC262" i="2" a="1"/>
  <c r="AC262" i="2" s="1"/>
  <c r="V262" i="2" a="1"/>
  <c r="V262" i="2" s="1"/>
  <c r="AB262" i="2" a="1"/>
  <c r="AB262" i="2" s="1"/>
  <c r="AG262" i="2" a="1"/>
  <c r="AG262" i="2" s="1"/>
  <c r="S262" i="2" a="1"/>
  <c r="S262" i="2" s="1"/>
  <c r="X262" i="2" a="1"/>
  <c r="X262" i="2" s="1"/>
  <c r="AF262" i="2" a="1"/>
  <c r="AF262" i="2" s="1"/>
  <c r="E458" i="12" a="1"/>
  <c r="E458" i="12" s="1"/>
  <c r="V272" i="2" a="1"/>
  <c r="V272" i="2" s="1"/>
  <c r="T272" i="2" a="1"/>
  <c r="T272" i="2" s="1"/>
  <c r="U356" i="12" a="1"/>
  <c r="U356" i="12" s="1"/>
  <c r="E160" i="12" a="1"/>
  <c r="E160" i="12" s="1"/>
  <c r="U170" i="12" a="1"/>
  <c r="U170" i="12" s="1"/>
  <c r="E492" i="12" a="1"/>
  <c r="E492" i="12" s="1"/>
  <c r="U169" i="12" a="1"/>
  <c r="U169" i="12" s="1"/>
  <c r="AG290" i="2" a="1"/>
  <c r="AG290" i="2" s="1"/>
  <c r="AB290" i="2" a="1"/>
  <c r="AB290" i="2" s="1"/>
  <c r="W290" i="2" a="1"/>
  <c r="W290" i="2" s="1"/>
  <c r="T290" i="2" a="1"/>
  <c r="T290" i="2" s="1"/>
  <c r="AD290" i="2" a="1"/>
  <c r="AD290" i="2" s="1"/>
  <c r="V290" i="2" a="1"/>
  <c r="V290" i="2" s="1"/>
  <c r="AC290" i="2" a="1"/>
  <c r="AC290" i="2" s="1"/>
  <c r="AA290" i="2" a="1"/>
  <c r="AA290" i="2" s="1"/>
  <c r="S290" i="2" a="1"/>
  <c r="S290" i="2" s="1"/>
  <c r="Y290" i="2" a="1"/>
  <c r="Y290" i="2" s="1"/>
  <c r="X290" i="2" a="1"/>
  <c r="X290" i="2" s="1"/>
  <c r="AE290" i="2" a="1"/>
  <c r="AE290" i="2" s="1"/>
  <c r="E606" i="12" a="1"/>
  <c r="E606" i="12" s="1"/>
  <c r="AQ306" i="2" a="1"/>
  <c r="AQ306" i="2" s="1"/>
  <c r="AR306" i="2" a="1"/>
  <c r="AR306" i="2" s="1"/>
  <c r="AD309" i="2" a="1"/>
  <c r="AD309" i="2" s="1"/>
  <c r="Y309" i="2" a="1"/>
  <c r="Y309" i="2" s="1"/>
  <c r="T309" i="2" a="1"/>
  <c r="T309" i="2" s="1"/>
  <c r="AE309" i="2" a="1"/>
  <c r="AE309" i="2" s="1"/>
  <c r="X309" i="2" a="1"/>
  <c r="X309" i="2" s="1"/>
  <c r="V309" i="2" a="1"/>
  <c r="V309" i="2" s="1"/>
  <c r="AA309" i="2" a="1"/>
  <c r="AA309" i="2" s="1"/>
  <c r="AG309" i="2" a="1"/>
  <c r="AG309" i="2" s="1"/>
  <c r="W309" i="2" a="1"/>
  <c r="W309" i="2" s="1"/>
  <c r="AF309" i="2" a="1"/>
  <c r="AF309" i="2" s="1"/>
  <c r="AC309" i="2" a="1"/>
  <c r="AC309" i="2" s="1"/>
  <c r="S309" i="2" a="1"/>
  <c r="S309" i="2" s="1"/>
  <c r="AB309" i="2" a="1"/>
  <c r="AB309" i="2" s="1"/>
  <c r="Z309" i="2" a="1"/>
  <c r="Z309" i="2" s="1"/>
  <c r="U583" i="12" a="1"/>
  <c r="U583" i="12" s="1"/>
  <c r="AG336" i="2" a="1"/>
  <c r="AG336" i="2" s="1"/>
  <c r="AB336" i="2" a="1"/>
  <c r="AB336" i="2" s="1"/>
  <c r="W336" i="2" a="1"/>
  <c r="W336" i="2" s="1"/>
  <c r="AA336" i="2" a="1"/>
  <c r="AA336" i="2" s="1"/>
  <c r="AF336" i="2" a="1"/>
  <c r="AF336" i="2" s="1"/>
  <c r="Z336" i="2" a="1"/>
  <c r="Z336" i="2" s="1"/>
  <c r="Y336" i="2" a="1"/>
  <c r="Y336" i="2" s="1"/>
  <c r="S336" i="2" a="1"/>
  <c r="S336" i="2" s="1"/>
  <c r="AD336" i="2" a="1"/>
  <c r="AD336" i="2" s="1"/>
  <c r="X336" i="2" a="1"/>
  <c r="X336" i="2" s="1"/>
  <c r="V336" i="2" a="1"/>
  <c r="V336" i="2" s="1"/>
  <c r="T336" i="2" a="1"/>
  <c r="T336" i="2" s="1"/>
  <c r="AE336" i="2" a="1"/>
  <c r="AE336" i="2" s="1"/>
  <c r="AC336" i="2" a="1"/>
  <c r="AC336" i="2" s="1"/>
  <c r="U531" i="12" a="1"/>
  <c r="U531" i="12" s="1"/>
  <c r="B27" i="5" a="1"/>
  <c r="B27" i="5" s="1"/>
  <c r="B49" i="4" a="1"/>
  <c r="B49" i="4" s="1"/>
  <c r="AG84" i="2" a="1"/>
  <c r="AG84" i="2" s="1"/>
  <c r="E189" i="12" a="1"/>
  <c r="E189" i="12" s="1"/>
  <c r="V93" i="2" a="1"/>
  <c r="V93" i="2" s="1"/>
  <c r="AB93" i="2" a="1"/>
  <c r="AB93" i="2" s="1"/>
  <c r="U202" i="12" a="1"/>
  <c r="U202" i="12" s="1"/>
  <c r="B33" i="5" a="1"/>
  <c r="B33" i="5" s="1"/>
  <c r="B61" i="4" a="1"/>
  <c r="B61" i="4" s="1"/>
  <c r="AB102" i="2" a="1"/>
  <c r="AB102" i="2" s="1"/>
  <c r="U54" i="12" a="1"/>
  <c r="U54" i="12" s="1"/>
  <c r="T103" i="2" a="1"/>
  <c r="T103" i="2" s="1"/>
  <c r="AE103" i="2" a="1"/>
  <c r="AE103" i="2" s="1"/>
  <c r="S106" i="2" a="1"/>
  <c r="S106" i="2" s="1"/>
  <c r="B17" i="8" a="1"/>
  <c r="B17" i="8" s="1"/>
  <c r="B35" i="5" a="1"/>
  <c r="B35" i="5" s="1"/>
  <c r="B63" i="4" a="1"/>
  <c r="B63" i="4" s="1"/>
  <c r="AB107" i="2" a="1"/>
  <c r="AB107" i="2" s="1"/>
  <c r="U46" i="12" a="1"/>
  <c r="U46" i="12" s="1"/>
  <c r="U104" i="12" a="1"/>
  <c r="U104" i="12" s="1"/>
  <c r="U68" i="12" a="1"/>
  <c r="U68" i="12" s="1"/>
  <c r="D43" i="7" a="1"/>
  <c r="D43" i="7" s="1"/>
  <c r="D40" i="5" a="1"/>
  <c r="D40" i="5" s="1"/>
  <c r="D34" i="6" a="1"/>
  <c r="D34" i="6" s="1"/>
  <c r="D74" i="4" a="1"/>
  <c r="D74" i="4" s="1"/>
  <c r="U94" i="12" a="1"/>
  <c r="U94" i="12" s="1"/>
  <c r="AA140" i="2" a="1"/>
  <c r="AA140" i="2" s="1"/>
  <c r="Y140" i="2" a="1"/>
  <c r="Y140" i="2" s="1"/>
  <c r="AD140" i="2" a="1"/>
  <c r="AD140" i="2" s="1"/>
  <c r="U89" i="12" a="1"/>
  <c r="U89" i="12" s="1"/>
  <c r="B44" i="7" a="1"/>
  <c r="B44" i="7" s="1"/>
  <c r="B35" i="6" a="1"/>
  <c r="B35" i="6" s="1"/>
  <c r="B76" i="4" a="1"/>
  <c r="B76" i="4" s="1"/>
  <c r="U253" i="12" a="1"/>
  <c r="U253" i="12" s="1"/>
  <c r="B46" i="7" a="1"/>
  <c r="B46" i="7" s="1"/>
  <c r="B81" i="4" a="1"/>
  <c r="B81" i="4" s="1"/>
  <c r="B48" i="7" a="1"/>
  <c r="B48" i="7" s="1"/>
  <c r="B37" i="6" a="1"/>
  <c r="B37" i="6" s="1"/>
  <c r="B45" i="5" a="1"/>
  <c r="B45" i="5" s="1"/>
  <c r="B83" i="4" a="1"/>
  <c r="B83" i="4" s="1"/>
  <c r="U71" i="12" a="1"/>
  <c r="U71" i="12" s="1"/>
  <c r="E73" i="12" a="1"/>
  <c r="E73" i="12" s="1"/>
  <c r="Y152" i="2" a="1"/>
  <c r="Y152" i="2" s="1"/>
  <c r="AG152" i="2" a="1"/>
  <c r="AG152" i="2" s="1"/>
  <c r="B51" i="7" a="1"/>
  <c r="B51" i="7" s="1"/>
  <c r="B42" i="6" a="1"/>
  <c r="B42" i="6" s="1"/>
  <c r="B89" i="4" a="1"/>
  <c r="B89" i="4" s="1"/>
  <c r="E97" i="12" a="1"/>
  <c r="E97" i="12" s="1"/>
  <c r="AG155" i="2" a="1"/>
  <c r="AG155" i="2" s="1"/>
  <c r="Y156" i="2" a="1"/>
  <c r="Y156" i="2" s="1"/>
  <c r="E259" i="12" a="1"/>
  <c r="E259" i="12" s="1"/>
  <c r="Y157" i="2" a="1"/>
  <c r="Y157" i="2" s="1"/>
  <c r="E126" i="12" a="1"/>
  <c r="E126" i="12" s="1"/>
  <c r="Y158" i="2" a="1"/>
  <c r="Y158" i="2" s="1"/>
  <c r="AG158" i="2" a="1"/>
  <c r="AG158" i="2" s="1"/>
  <c r="AG159" i="2" a="1"/>
  <c r="AG159" i="2" s="1"/>
  <c r="W160" i="2" a="1"/>
  <c r="W160" i="2" s="1"/>
  <c r="V161" i="2" a="1"/>
  <c r="V161" i="2" s="1"/>
  <c r="T166" i="2" a="1"/>
  <c r="T166" i="2" s="1"/>
  <c r="B53" i="7" a="1"/>
  <c r="B53" i="7" s="1"/>
  <c r="B91" i="4" a="1"/>
  <c r="B91" i="4" s="1"/>
  <c r="T167" i="2" a="1"/>
  <c r="T167" i="2" s="1"/>
  <c r="V169" i="2" a="1"/>
  <c r="V169" i="2" s="1"/>
  <c r="S171" i="2" a="1"/>
  <c r="S171" i="2" s="1"/>
  <c r="AA171" i="2" a="1"/>
  <c r="AA171" i="2" s="1"/>
  <c r="V172" i="2" a="1"/>
  <c r="V172" i="2" s="1"/>
  <c r="Z173" i="2" a="1"/>
  <c r="Z173" i="2" s="1"/>
  <c r="V175" i="2" a="1"/>
  <c r="V175" i="2" s="1"/>
  <c r="AF175" i="2" a="1"/>
  <c r="AF175" i="2" s="1"/>
  <c r="E67" i="12" a="1"/>
  <c r="E67" i="12" s="1"/>
  <c r="AC177" i="2" a="1"/>
  <c r="AC177" i="2" s="1"/>
  <c r="E317" i="12" a="1"/>
  <c r="E317" i="12" s="1"/>
  <c r="Z179" i="2" a="1"/>
  <c r="Z179" i="2" s="1"/>
  <c r="AG181" i="2" a="1"/>
  <c r="AG181" i="2" s="1"/>
  <c r="AA181" i="2" a="1"/>
  <c r="AA181" i="2" s="1"/>
  <c r="Z181" i="2" a="1"/>
  <c r="Z181" i="2" s="1"/>
  <c r="AE181" i="2" a="1"/>
  <c r="AE181" i="2" s="1"/>
  <c r="T181" i="2" a="1"/>
  <c r="T181" i="2" s="1"/>
  <c r="X181" i="2" a="1"/>
  <c r="X181" i="2" s="1"/>
  <c r="Y181" i="2" a="1"/>
  <c r="Y181" i="2" s="1"/>
  <c r="AE182" i="2" a="1"/>
  <c r="AE182" i="2" s="1"/>
  <c r="W655" i="12" a="1"/>
  <c r="W655" i="12" s="1"/>
  <c r="AP183" i="2" a="1"/>
  <c r="AP183" i="2" s="1"/>
  <c r="AN183" i="2" a="1"/>
  <c r="AN183" i="2" s="1"/>
  <c r="AF187" i="2" a="1"/>
  <c r="AF187" i="2" s="1"/>
  <c r="E119" i="12" a="1"/>
  <c r="E119" i="12" s="1"/>
  <c r="V189" i="2" a="1"/>
  <c r="V189" i="2" s="1"/>
  <c r="D59" i="5" a="1"/>
  <c r="D59" i="5" s="1"/>
  <c r="D114" i="4" a="1"/>
  <c r="D114" i="4" s="1"/>
  <c r="AF192" i="2" a="1"/>
  <c r="AF192" i="2" s="1"/>
  <c r="AE192" i="2" a="1"/>
  <c r="AE192" i="2" s="1"/>
  <c r="Y192" i="2" a="1"/>
  <c r="Y192" i="2" s="1"/>
  <c r="AD192" i="2" a="1"/>
  <c r="AD192" i="2" s="1"/>
  <c r="S192" i="2" a="1"/>
  <c r="S192" i="2" s="1"/>
  <c r="W192" i="2" a="1"/>
  <c r="W192" i="2" s="1"/>
  <c r="Z192" i="2" a="1"/>
  <c r="Z192" i="2" s="1"/>
  <c r="D60" i="7" a="1"/>
  <c r="D60" i="7" s="1"/>
  <c r="D51" i="6" a="1"/>
  <c r="D51" i="6" s="1"/>
  <c r="D105" i="4" a="1"/>
  <c r="D105" i="4" s="1"/>
  <c r="AG194" i="2" a="1"/>
  <c r="AG194" i="2" s="1"/>
  <c r="V194" i="2" a="1"/>
  <c r="V194" i="2" s="1"/>
  <c r="AF194" i="2" a="1"/>
  <c r="AF194" i="2" s="1"/>
  <c r="Z194" i="2" a="1"/>
  <c r="Z194" i="2" s="1"/>
  <c r="T194" i="2" a="1"/>
  <c r="T194" i="2" s="1"/>
  <c r="X194" i="2" a="1"/>
  <c r="X194" i="2" s="1"/>
  <c r="Y194" i="2" a="1"/>
  <c r="Y194" i="2" s="1"/>
  <c r="AB196" i="2" a="1"/>
  <c r="AB196" i="2" s="1"/>
  <c r="B69" i="8" a="1"/>
  <c r="B69" i="8" s="1"/>
  <c r="AG197" i="2" a="1"/>
  <c r="AG197" i="2" s="1"/>
  <c r="U198" i="2" a="1"/>
  <c r="U198" i="2" s="1"/>
  <c r="U423" i="12" a="1"/>
  <c r="U423" i="12" s="1"/>
  <c r="AD205" i="2" a="1"/>
  <c r="AD205" i="2" s="1"/>
  <c r="B56" i="6" a="1"/>
  <c r="B56" i="6" s="1"/>
  <c r="B66" i="7" a="1"/>
  <c r="B66" i="7" s="1"/>
  <c r="B113" i="4" a="1"/>
  <c r="B113" i="4" s="1"/>
  <c r="B67" i="7" a="1"/>
  <c r="B67" i="7" s="1"/>
  <c r="B115" i="4" a="1"/>
  <c r="B115" i="4" s="1"/>
  <c r="X211" i="2" a="1"/>
  <c r="X211" i="2" s="1"/>
  <c r="AB216" i="2" a="1"/>
  <c r="AB216" i="2" s="1"/>
  <c r="V216" i="2" a="1"/>
  <c r="V216" i="2" s="1"/>
  <c r="AF216" i="2" a="1"/>
  <c r="AF216" i="2" s="1"/>
  <c r="Z216" i="2" a="1"/>
  <c r="Z216" i="2" s="1"/>
  <c r="AD216" i="2" a="1"/>
  <c r="AD216" i="2" s="1"/>
  <c r="S216" i="2" a="1"/>
  <c r="S216" i="2" s="1"/>
  <c r="W216" i="2" a="1"/>
  <c r="W216" i="2" s="1"/>
  <c r="AA216" i="2" a="1"/>
  <c r="AA216" i="2" s="1"/>
  <c r="AC218" i="2" a="1"/>
  <c r="AC218" i="2" s="1"/>
  <c r="AB218" i="2" a="1"/>
  <c r="AB218" i="2" s="1"/>
  <c r="V218" i="2" a="1"/>
  <c r="V218" i="2" s="1"/>
  <c r="AG218" i="2" a="1"/>
  <c r="AG218" i="2" s="1"/>
  <c r="AA218" i="2" a="1"/>
  <c r="AA218" i="2" s="1"/>
  <c r="AE218" i="2" a="1"/>
  <c r="AE218" i="2" s="1"/>
  <c r="T218" i="2" a="1"/>
  <c r="T218" i="2" s="1"/>
  <c r="X218" i="2" a="1"/>
  <c r="X218" i="2" s="1"/>
  <c r="D68" i="7" a="1"/>
  <c r="D68" i="7" s="1"/>
  <c r="D57" i="6" a="1"/>
  <c r="D57" i="6" s="1"/>
  <c r="D116" i="4" a="1"/>
  <c r="D116" i="4" s="1"/>
  <c r="AF219" i="2" a="1"/>
  <c r="AF219" i="2" s="1"/>
  <c r="AE219" i="2" a="1"/>
  <c r="AE219" i="2" s="1"/>
  <c r="T219" i="2" a="1"/>
  <c r="T219" i="2" s="1"/>
  <c r="Y219" i="2" a="1"/>
  <c r="Y219" i="2" s="1"/>
  <c r="AC219" i="2" a="1"/>
  <c r="AC219" i="2" s="1"/>
  <c r="AG219" i="2" a="1"/>
  <c r="AG219" i="2" s="1"/>
  <c r="AA219" i="2" a="1"/>
  <c r="AA219" i="2" s="1"/>
  <c r="Z219" i="2" a="1"/>
  <c r="Z219" i="2" s="1"/>
  <c r="AB226" i="2" a="1"/>
  <c r="AB226" i="2" s="1"/>
  <c r="V226" i="2" a="1"/>
  <c r="V226" i="2" s="1"/>
  <c r="AF226" i="2" a="1"/>
  <c r="AF226" i="2" s="1"/>
  <c r="Z226" i="2" a="1"/>
  <c r="Z226" i="2" s="1"/>
  <c r="AD226" i="2" a="1"/>
  <c r="AD226" i="2" s="1"/>
  <c r="S226" i="2" a="1"/>
  <c r="S226" i="2" s="1"/>
  <c r="W226" i="2" a="1"/>
  <c r="W226" i="2" s="1"/>
  <c r="AA226" i="2" a="1"/>
  <c r="AA226" i="2" s="1"/>
  <c r="AC228" i="2" a="1"/>
  <c r="AC228" i="2" s="1"/>
  <c r="AB228" i="2" a="1"/>
  <c r="AB228" i="2" s="1"/>
  <c r="V228" i="2" a="1"/>
  <c r="V228" i="2" s="1"/>
  <c r="AG228" i="2" a="1"/>
  <c r="AG228" i="2" s="1"/>
  <c r="AA228" i="2" a="1"/>
  <c r="AA228" i="2" s="1"/>
  <c r="AE228" i="2" a="1"/>
  <c r="AE228" i="2" s="1"/>
  <c r="T228" i="2" a="1"/>
  <c r="T228" i="2" s="1"/>
  <c r="X228" i="2" a="1"/>
  <c r="X228" i="2" s="1"/>
  <c r="D71" i="7" a="1"/>
  <c r="D71" i="7" s="1"/>
  <c r="D59" i="6" a="1"/>
  <c r="D59" i="6" s="1"/>
  <c r="D120" i="4" a="1"/>
  <c r="D120" i="4" s="1"/>
  <c r="AF229" i="2" a="1"/>
  <c r="AF229" i="2" s="1"/>
  <c r="AE229" i="2" a="1"/>
  <c r="AE229" i="2" s="1"/>
  <c r="T229" i="2" a="1"/>
  <c r="T229" i="2" s="1"/>
  <c r="Y229" i="2" a="1"/>
  <c r="Y229" i="2" s="1"/>
  <c r="AC229" i="2" a="1"/>
  <c r="AC229" i="2" s="1"/>
  <c r="AG229" i="2" a="1"/>
  <c r="AG229" i="2" s="1"/>
  <c r="AA229" i="2" a="1"/>
  <c r="AA229" i="2" s="1"/>
  <c r="Z229" i="2" a="1"/>
  <c r="Z229" i="2" s="1"/>
  <c r="U309" i="12" a="1"/>
  <c r="U309" i="12" s="1"/>
  <c r="AE237" i="2" a="1"/>
  <c r="AE237" i="2" s="1"/>
  <c r="T237" i="2" a="1"/>
  <c r="T237" i="2" s="1"/>
  <c r="Y237" i="2" a="1"/>
  <c r="Y237" i="2" s="1"/>
  <c r="X237" i="2" a="1"/>
  <c r="X237" i="2" s="1"/>
  <c r="AG237" i="2" a="1"/>
  <c r="AG237" i="2" s="1"/>
  <c r="AA237" i="2" a="1"/>
  <c r="AA237" i="2" s="1"/>
  <c r="AB237" i="2" a="1"/>
  <c r="AB237" i="2" s="1"/>
  <c r="B61" i="6" a="1"/>
  <c r="B61" i="6" s="1"/>
  <c r="B63" i="5" a="1"/>
  <c r="B63" i="5" s="1"/>
  <c r="B123" i="4" a="1"/>
  <c r="B123" i="4" s="1"/>
  <c r="AF242" i="2" a="1"/>
  <c r="AF242" i="2" s="1"/>
  <c r="AE242" i="2" a="1"/>
  <c r="AE242" i="2" s="1"/>
  <c r="T242" i="2" a="1"/>
  <c r="T242" i="2" s="1"/>
  <c r="AC242" i="2" a="1"/>
  <c r="AC242" i="2" s="1"/>
  <c r="W242" i="2" a="1"/>
  <c r="W242" i="2" s="1"/>
  <c r="AB242" i="2" a="1"/>
  <c r="AB242" i="2" s="1"/>
  <c r="V242" i="2" a="1"/>
  <c r="V242" i="2" s="1"/>
  <c r="Z242" i="2" a="1"/>
  <c r="Z242" i="2" s="1"/>
  <c r="S242" i="2" a="1"/>
  <c r="S242" i="2" s="1"/>
  <c r="AD242" i="2" a="1"/>
  <c r="AD242" i="2" s="1"/>
  <c r="AA242" i="2" a="1"/>
  <c r="AA242" i="2" s="1"/>
  <c r="E370" i="12" a="1"/>
  <c r="E370" i="12" s="1"/>
  <c r="X245" i="2" a="1"/>
  <c r="X245" i="2" s="1"/>
  <c r="B67" i="5" a="1"/>
  <c r="B67" i="5" s="1"/>
  <c r="B134" i="4" a="1"/>
  <c r="B134" i="4" s="1"/>
  <c r="D62" i="6" a="1"/>
  <c r="D62" i="6" s="1"/>
  <c r="D64" i="5" a="1"/>
  <c r="D64" i="5" s="1"/>
  <c r="D124" i="4" a="1"/>
  <c r="D124" i="4" s="1"/>
  <c r="AF247" i="2" a="1"/>
  <c r="AF247" i="2" s="1"/>
  <c r="AA247" i="2" a="1"/>
  <c r="AA247" i="2" s="1"/>
  <c r="V247" i="2" a="1"/>
  <c r="V247" i="2" s="1"/>
  <c r="AB247" i="2" a="1"/>
  <c r="AB247" i="2" s="1"/>
  <c r="AG247" i="2" a="1"/>
  <c r="AG247" i="2" s="1"/>
  <c r="Z247" i="2" a="1"/>
  <c r="Z247" i="2" s="1"/>
  <c r="S247" i="2" a="1"/>
  <c r="S247" i="2" s="1"/>
  <c r="Y247" i="2" a="1"/>
  <c r="Y247" i="2" s="1"/>
  <c r="AE247" i="2" a="1"/>
  <c r="AE247" i="2" s="1"/>
  <c r="X247" i="2" a="1"/>
  <c r="X247" i="2" s="1"/>
  <c r="AC247" i="2" a="1"/>
  <c r="AC247" i="2" s="1"/>
  <c r="T247" i="2" a="1"/>
  <c r="T247" i="2" s="1"/>
  <c r="E366" i="12" a="1"/>
  <c r="E366" i="12" s="1"/>
  <c r="U452" i="12" a="1"/>
  <c r="U452" i="12" s="1"/>
  <c r="E164" i="12" a="1"/>
  <c r="E164" i="12" s="1"/>
  <c r="U414" i="12" a="1"/>
  <c r="U414" i="12" s="1"/>
  <c r="E393" i="12" a="1"/>
  <c r="E393" i="12" s="1"/>
  <c r="U393" i="12" a="1"/>
  <c r="U393" i="12" s="1"/>
  <c r="B106" i="8" a="1"/>
  <c r="B106" i="8" s="1"/>
  <c r="AO271" i="2" a="1"/>
  <c r="AO271" i="2" s="1"/>
  <c r="V273" i="2" a="1"/>
  <c r="V273" i="2" s="1"/>
  <c r="T273" i="2" a="1"/>
  <c r="T273" i="2" s="1"/>
  <c r="V274" i="2" a="1"/>
  <c r="V274" i="2" s="1"/>
  <c r="T274" i="2" a="1"/>
  <c r="T274" i="2" s="1"/>
  <c r="V279" i="2" a="1"/>
  <c r="V279" i="2" s="1"/>
  <c r="T279" i="2" a="1"/>
  <c r="T279" i="2" s="1"/>
  <c r="V284" i="2" a="1"/>
  <c r="V284" i="2" s="1"/>
  <c r="T284" i="2" a="1"/>
  <c r="T284" i="2" s="1"/>
  <c r="E466" i="12" a="1"/>
  <c r="E466" i="12" s="1"/>
  <c r="E141" i="12" a="1"/>
  <c r="E141" i="12" s="1"/>
  <c r="D68" i="6" a="1"/>
  <c r="D68" i="6" s="1"/>
  <c r="D138" i="4" a="1"/>
  <c r="D138" i="4" s="1"/>
  <c r="AG295" i="2" a="1"/>
  <c r="AG295" i="2" s="1"/>
  <c r="AB295" i="2" a="1"/>
  <c r="AB295" i="2" s="1"/>
  <c r="W295" i="2" a="1"/>
  <c r="W295" i="2" s="1"/>
  <c r="AD295" i="2" a="1"/>
  <c r="AD295" i="2" s="1"/>
  <c r="X295" i="2" a="1"/>
  <c r="X295" i="2" s="1"/>
  <c r="T295" i="2" a="1"/>
  <c r="T295" i="2" s="1"/>
  <c r="AE295" i="2" a="1"/>
  <c r="AE295" i="2" s="1"/>
  <c r="V295" i="2" a="1"/>
  <c r="V295" i="2" s="1"/>
  <c r="AC295" i="2" a="1"/>
  <c r="AC295" i="2" s="1"/>
  <c r="S295" i="2" a="1"/>
  <c r="S295" i="2" s="1"/>
  <c r="Z295" i="2" a="1"/>
  <c r="Z295" i="2" s="1"/>
  <c r="Y295" i="2" a="1"/>
  <c r="Y295" i="2" s="1"/>
  <c r="AF295" i="2" a="1"/>
  <c r="AF295" i="2" s="1"/>
  <c r="AA298" i="2" a="1"/>
  <c r="AA298" i="2" s="1"/>
  <c r="W636" i="12" a="1"/>
  <c r="W636" i="12" s="1"/>
  <c r="AP299" i="2" a="1"/>
  <c r="AP299" i="2" s="1"/>
  <c r="AK299" i="2" a="1"/>
  <c r="AK299" i="2" s="1"/>
  <c r="AO299" i="2" a="1"/>
  <c r="AO299" i="2" s="1"/>
  <c r="AN299" i="2" a="1"/>
  <c r="AN299" i="2" s="1"/>
  <c r="AM299" i="2" a="1"/>
  <c r="AM299" i="2" s="1"/>
  <c r="B82" i="5" a="1"/>
  <c r="B82" i="5" s="1"/>
  <c r="B161" i="4" a="1"/>
  <c r="B161" i="4" s="1"/>
  <c r="X313" i="2" a="1"/>
  <c r="X313" i="2" s="1"/>
  <c r="W313" i="2" a="1"/>
  <c r="W313" i="2" s="1"/>
  <c r="AC313" i="2" a="1"/>
  <c r="AC313" i="2" s="1"/>
  <c r="AG337" i="2" a="1"/>
  <c r="AG337" i="2" s="1"/>
  <c r="AB337" i="2" a="1"/>
  <c r="AB337" i="2" s="1"/>
  <c r="W337" i="2" a="1"/>
  <c r="W337" i="2" s="1"/>
  <c r="AC337" i="2" a="1"/>
  <c r="AC337" i="2" s="1"/>
  <c r="AA337" i="2" a="1"/>
  <c r="AA337" i="2" s="1"/>
  <c r="Z337" i="2" a="1"/>
  <c r="Z337" i="2" s="1"/>
  <c r="AF337" i="2" a="1"/>
  <c r="AF337" i="2" s="1"/>
  <c r="Y337" i="2" a="1"/>
  <c r="Y337" i="2" s="1"/>
  <c r="S337" i="2" a="1"/>
  <c r="S337" i="2" s="1"/>
  <c r="AE337" i="2" a="1"/>
  <c r="AE337" i="2" s="1"/>
  <c r="X337" i="2" a="1"/>
  <c r="X337" i="2" s="1"/>
  <c r="V337" i="2" a="1"/>
  <c r="V337" i="2" s="1"/>
  <c r="T337" i="2" a="1"/>
  <c r="T337" i="2" s="1"/>
  <c r="AD337" i="2" a="1"/>
  <c r="AD337" i="2" s="1"/>
  <c r="AG345" i="2" a="1"/>
  <c r="AG345" i="2" s="1"/>
  <c r="AB345" i="2" a="1"/>
  <c r="AB345" i="2" s="1"/>
  <c r="W345" i="2" a="1"/>
  <c r="W345" i="2" s="1"/>
  <c r="AC345" i="2" a="1"/>
  <c r="AC345" i="2" s="1"/>
  <c r="X345" i="2" a="1"/>
  <c r="X345" i="2" s="1"/>
  <c r="S345" i="2" a="1"/>
  <c r="S345" i="2" s="1"/>
  <c r="V345" i="2" a="1"/>
  <c r="V345" i="2" s="1"/>
  <c r="AA345" i="2" a="1"/>
  <c r="AA345" i="2" s="1"/>
  <c r="T345" i="2" a="1"/>
  <c r="T345" i="2" s="1"/>
  <c r="AF345" i="2" a="1"/>
  <c r="AF345" i="2" s="1"/>
  <c r="Y345" i="2" a="1"/>
  <c r="Y345" i="2" s="1"/>
  <c r="AE345" i="2" a="1"/>
  <c r="AE345" i="2" s="1"/>
  <c r="AD345" i="2" a="1"/>
  <c r="AD345" i="2" s="1"/>
  <c r="Z345" i="2" a="1"/>
  <c r="Z345" i="2" s="1"/>
  <c r="U197" i="12" a="1"/>
  <c r="U197" i="12" s="1"/>
  <c r="E200" i="12" a="1"/>
  <c r="E200" i="12" s="1"/>
  <c r="D21" i="6" a="1"/>
  <c r="D21" i="6" s="1"/>
  <c r="D23" i="5" a="1"/>
  <c r="D23" i="5" s="1"/>
  <c r="D42" i="4" a="1"/>
  <c r="D42" i="4" s="1"/>
  <c r="V84" i="2" a="1"/>
  <c r="V84" i="2" s="1"/>
  <c r="D28" i="5" a="1"/>
  <c r="D28" i="5" s="1"/>
  <c r="D51" i="4" a="1"/>
  <c r="D51" i="4" s="1"/>
  <c r="AG89" i="2" a="1"/>
  <c r="AG89" i="2" s="1"/>
  <c r="E57" i="12" a="1"/>
  <c r="E57" i="12" s="1"/>
  <c r="U77" i="12" a="1"/>
  <c r="U77" i="12" s="1"/>
  <c r="U69" i="12" a="1"/>
  <c r="U69" i="12" s="1"/>
  <c r="U292" i="12" a="1"/>
  <c r="U292" i="12" s="1"/>
  <c r="D41" i="7" a="1"/>
  <c r="D41" i="7" s="1"/>
  <c r="D33" i="6" a="1"/>
  <c r="D33" i="6" s="1"/>
  <c r="D72" i="4" a="1"/>
  <c r="D72" i="4" s="1"/>
  <c r="W138" i="2" a="1"/>
  <c r="W138" i="2" s="1"/>
  <c r="B4" i="4" a="1"/>
  <c r="B4" i="4" s="1"/>
  <c r="B4" i="5" a="1"/>
  <c r="B4" i="5" s="1"/>
  <c r="B2" i="3" a="1"/>
  <c r="B2" i="3" s="1"/>
  <c r="B5" i="5" a="1"/>
  <c r="B5" i="5" s="1"/>
  <c r="B6" i="4" a="1"/>
  <c r="B6" i="4" s="1"/>
  <c r="B8" i="5" a="1"/>
  <c r="B8" i="5" s="1"/>
  <c r="B10" i="4" a="1"/>
  <c r="B10" i="4" s="1"/>
  <c r="B6" i="7" a="1"/>
  <c r="B6" i="7" s="1"/>
  <c r="B6" i="6" a="1"/>
  <c r="B6" i="6" s="1"/>
  <c r="B13" i="4" a="1"/>
  <c r="B13" i="4" s="1"/>
  <c r="B6" i="3" a="1"/>
  <c r="B6" i="3" s="1"/>
  <c r="U103" i="12" a="1"/>
  <c r="U103" i="12" s="1"/>
  <c r="U110" i="12" a="1"/>
  <c r="U110" i="12" s="1"/>
  <c r="T51" i="2" a="1"/>
  <c r="T51" i="2" s="1"/>
  <c r="AE51" i="2" a="1"/>
  <c r="AE51" i="2" s="1"/>
  <c r="T56" i="2" a="1"/>
  <c r="T56" i="2" s="1"/>
  <c r="AE56" i="2" a="1"/>
  <c r="AE56" i="2" s="1"/>
  <c r="T61" i="2" a="1"/>
  <c r="T61" i="2" s="1"/>
  <c r="U61" i="2" s="1" a="1"/>
  <c r="U61" i="2" s="1"/>
  <c r="AE61" i="2" a="1"/>
  <c r="AE61" i="2" s="1"/>
  <c r="T65" i="2" a="1"/>
  <c r="T65" i="2" s="1"/>
  <c r="U65" i="2" s="1" a="1"/>
  <c r="U65" i="2" s="1"/>
  <c r="AE65" i="2" a="1"/>
  <c r="AE65" i="2" s="1"/>
  <c r="D21" i="7" a="1"/>
  <c r="D21" i="7" s="1"/>
  <c r="D20" i="6" a="1"/>
  <c r="D20" i="6" s="1"/>
  <c r="D37" i="4" a="1"/>
  <c r="D37" i="4" s="1"/>
  <c r="T69" i="2" a="1"/>
  <c r="T69" i="2" s="1"/>
  <c r="AE69" i="2" a="1"/>
  <c r="AE69" i="2" s="1"/>
  <c r="E59" i="12" a="1"/>
  <c r="E59" i="12" s="1"/>
  <c r="AB70" i="2" a="1"/>
  <c r="AB70" i="2" s="1"/>
  <c r="T73" i="2" a="1"/>
  <c r="T73" i="2" s="1"/>
  <c r="AE73" i="2" a="1"/>
  <c r="AE73" i="2" s="1"/>
  <c r="S76" i="2" a="1"/>
  <c r="S76" i="2" s="1"/>
  <c r="AD76" i="2" a="1"/>
  <c r="AD76" i="2" s="1"/>
  <c r="W619" i="12" a="1"/>
  <c r="W619" i="12" s="1"/>
  <c r="AB84" i="2" a="1"/>
  <c r="AB84" i="2" s="1"/>
  <c r="U51" i="12" a="1"/>
  <c r="U51" i="12" s="1"/>
  <c r="AB89" i="2" a="1"/>
  <c r="AB89" i="2" s="1"/>
  <c r="U148" i="12" a="1"/>
  <c r="U148" i="12" s="1"/>
  <c r="W93" i="2" a="1"/>
  <c r="W93" i="2" s="1"/>
  <c r="W102" i="2" a="1"/>
  <c r="W102" i="2" s="1"/>
  <c r="Z103" i="2" a="1"/>
  <c r="Z103" i="2" s="1"/>
  <c r="AF103" i="2" a="1"/>
  <c r="AF103" i="2" s="1"/>
  <c r="W107" i="2" a="1"/>
  <c r="W107" i="2" s="1"/>
  <c r="T114" i="2" a="1"/>
  <c r="T114" i="2" s="1"/>
  <c r="AE114" i="2" a="1"/>
  <c r="AE114" i="2" s="1"/>
  <c r="T118" i="2" a="1"/>
  <c r="T118" i="2" s="1"/>
  <c r="AE118" i="2" a="1"/>
  <c r="AE118" i="2" s="1"/>
  <c r="T123" i="2" a="1"/>
  <c r="T123" i="2" s="1"/>
  <c r="AE123" i="2" a="1"/>
  <c r="AE123" i="2" s="1"/>
  <c r="T128" i="2" a="1"/>
  <c r="T128" i="2" s="1"/>
  <c r="AE128" i="2" a="1"/>
  <c r="AE128" i="2" s="1"/>
  <c r="T133" i="2" a="1"/>
  <c r="T133" i="2" s="1"/>
  <c r="U72" i="12" a="1"/>
  <c r="U72" i="12" s="1"/>
  <c r="AE138" i="2" a="1"/>
  <c r="AE138" i="2" s="1"/>
  <c r="T138" i="2" a="1"/>
  <c r="T138" i="2" s="1"/>
  <c r="U138" i="2" s="1" a="1"/>
  <c r="U138" i="2" s="1"/>
  <c r="X138" i="2" a="1"/>
  <c r="X138" i="2" s="1"/>
  <c r="T139" i="2" a="1"/>
  <c r="T139" i="2" s="1"/>
  <c r="X140" i="2" a="1"/>
  <c r="X140" i="2" s="1"/>
  <c r="AE140" i="2" a="1"/>
  <c r="AE140" i="2" s="1"/>
  <c r="D48" i="5" a="1"/>
  <c r="D48" i="5" s="1"/>
  <c r="D86" i="4" a="1"/>
  <c r="D86" i="4" s="1"/>
  <c r="AA143" i="2" a="1"/>
  <c r="AA143" i="2" s="1"/>
  <c r="AC144" i="2" a="1"/>
  <c r="AC144" i="2" s="1"/>
  <c r="AG144" i="2" a="1"/>
  <c r="AG144" i="2" s="1"/>
  <c r="V144" i="2" a="1"/>
  <c r="V144" i="2" s="1"/>
  <c r="W144" i="2" a="1"/>
  <c r="W144" i="2" s="1"/>
  <c r="AD144" i="2" a="1"/>
  <c r="AD144" i="2" s="1"/>
  <c r="T145" i="2" a="1"/>
  <c r="T145" i="2" s="1"/>
  <c r="AA151" i="2" a="1"/>
  <c r="AA151" i="2" s="1"/>
  <c r="U73" i="12" a="1"/>
  <c r="U73" i="12" s="1"/>
  <c r="B38" i="6" a="1"/>
  <c r="B38" i="6" s="1"/>
  <c r="B46" i="5" a="1"/>
  <c r="B46" i="5" s="1"/>
  <c r="B84" i="4" a="1"/>
  <c r="B84" i="4" s="1"/>
  <c r="Z155" i="2" a="1"/>
  <c r="Z155" i="2" s="1"/>
  <c r="U97" i="12" a="1"/>
  <c r="U97" i="12" s="1"/>
  <c r="AG156" i="2" a="1"/>
  <c r="AG156" i="2" s="1"/>
  <c r="Z158" i="2" a="1"/>
  <c r="Z158" i="2" s="1"/>
  <c r="E250" i="12" a="1"/>
  <c r="E250" i="12" s="1"/>
  <c r="Z159" i="2" a="1"/>
  <c r="Z159" i="2" s="1"/>
  <c r="U250" i="12" a="1"/>
  <c r="U250" i="12" s="1"/>
  <c r="AB160" i="2" a="1"/>
  <c r="AB160" i="2" s="1"/>
  <c r="AF160" i="2" a="1"/>
  <c r="AF160" i="2" s="1"/>
  <c r="Y160" i="2" a="1"/>
  <c r="Y160" i="2" s="1"/>
  <c r="S160" i="2" a="1"/>
  <c r="S160" i="2" s="1"/>
  <c r="W161" i="2" a="1"/>
  <c r="W161" i="2" s="1"/>
  <c r="W162" i="2" a="1"/>
  <c r="W162" i="2" s="1"/>
  <c r="D53" i="5" a="1"/>
  <c r="D53" i="5" s="1"/>
  <c r="D99" i="4" a="1"/>
  <c r="D99" i="4" s="1"/>
  <c r="AF169" i="2" a="1"/>
  <c r="AF169" i="2" s="1"/>
  <c r="W633" i="12" a="1"/>
  <c r="W633" i="12" s="1"/>
  <c r="AN170" i="2" a="1"/>
  <c r="AN170" i="2" s="1"/>
  <c r="AQ170" i="2" a="1"/>
  <c r="AQ170" i="2" s="1"/>
  <c r="AC171" i="2" a="1"/>
  <c r="AC171" i="2" s="1"/>
  <c r="AF172" i="2" a="1"/>
  <c r="AF172" i="2" s="1"/>
  <c r="E133" i="12" a="1"/>
  <c r="E133" i="12" s="1"/>
  <c r="T174" i="2" a="1"/>
  <c r="T174" i="2" s="1"/>
  <c r="U333" i="12" a="1"/>
  <c r="U333" i="12" s="1"/>
  <c r="U184" i="2" a="1"/>
  <c r="U184" i="2" s="1"/>
  <c r="T186" i="2" a="1"/>
  <c r="T186" i="2" s="1"/>
  <c r="U127" i="12" a="1"/>
  <c r="U127" i="12" s="1"/>
  <c r="AB188" i="2" a="1"/>
  <c r="AB188" i="2" s="1"/>
  <c r="B66" i="8" a="1"/>
  <c r="B66" i="8" s="1"/>
  <c r="W649" i="12" a="1"/>
  <c r="W649" i="12" s="1"/>
  <c r="AO190" i="2" a="1"/>
  <c r="AO190" i="2" s="1"/>
  <c r="AM190" i="2" a="1"/>
  <c r="AM190" i="2" s="1"/>
  <c r="AL190" i="2" s="1" a="1"/>
  <c r="AL190" i="2" s="1"/>
  <c r="U191" i="2" a="1"/>
  <c r="U191" i="2" s="1"/>
  <c r="AA192" i="2" a="1"/>
  <c r="AA192" i="2" s="1"/>
  <c r="AA194" i="2" a="1"/>
  <c r="AA194" i="2" s="1"/>
  <c r="S196" i="2" a="1"/>
  <c r="S196" i="2" s="1"/>
  <c r="AC196" i="2" a="1"/>
  <c r="AC196" i="2" s="1"/>
  <c r="U264" i="12" a="1"/>
  <c r="U264" i="12" s="1"/>
  <c r="AC198" i="2" a="1"/>
  <c r="AC198" i="2" s="1"/>
  <c r="T202" i="2" a="1"/>
  <c r="T202" i="2" s="1"/>
  <c r="AC202" i="2" a="1"/>
  <c r="AC202" i="2" s="1"/>
  <c r="S205" i="2" a="1"/>
  <c r="S205" i="2" s="1"/>
  <c r="E125" i="12" a="1"/>
  <c r="E125" i="12" s="1"/>
  <c r="D65" i="7" a="1"/>
  <c r="D65" i="7" s="1"/>
  <c r="D55" i="6" a="1"/>
  <c r="D55" i="6" s="1"/>
  <c r="D112" i="4" a="1"/>
  <c r="D112" i="4" s="1"/>
  <c r="AD207" i="2" a="1"/>
  <c r="AD207" i="2" s="1"/>
  <c r="X207" i="2" a="1"/>
  <c r="X207" i="2" s="1"/>
  <c r="W207" i="2" a="1"/>
  <c r="W207" i="2" s="1"/>
  <c r="AB207" i="2" a="1"/>
  <c r="AB207" i="2" s="1"/>
  <c r="AF207" i="2" a="1"/>
  <c r="AF207" i="2" s="1"/>
  <c r="Y207" i="2" a="1"/>
  <c r="Y207" i="2" s="1"/>
  <c r="S207" i="2" a="1"/>
  <c r="S207" i="2" s="1"/>
  <c r="AA207" i="2" a="1"/>
  <c r="AA207" i="2" s="1"/>
  <c r="W210" i="2" a="1"/>
  <c r="W210" i="2" s="1"/>
  <c r="AG210" i="2" a="1"/>
  <c r="AG210" i="2" s="1"/>
  <c r="V210" i="2" a="1"/>
  <c r="V210" i="2" s="1"/>
  <c r="AA210" i="2" a="1"/>
  <c r="AA210" i="2" s="1"/>
  <c r="AE210" i="2" a="1"/>
  <c r="AE210" i="2" s="1"/>
  <c r="T210" i="2" a="1"/>
  <c r="T210" i="2" s="1"/>
  <c r="AC210" i="2" a="1"/>
  <c r="AC210" i="2" s="1"/>
  <c r="B29" i="9" a="1"/>
  <c r="B29" i="9" s="1"/>
  <c r="U120" i="12" a="1"/>
  <c r="U120" i="12" s="1"/>
  <c r="T215" i="2" a="1"/>
  <c r="T215" i="2" s="1"/>
  <c r="AE215" i="2" a="1"/>
  <c r="AE215" i="2" s="1"/>
  <c r="E368" i="12" a="1"/>
  <c r="E368" i="12" s="1"/>
  <c r="AC216" i="2" a="1"/>
  <c r="AC216" i="2" s="1"/>
  <c r="AE217" i="2" a="1"/>
  <c r="AE217" i="2" s="1"/>
  <c r="T217" i="2" a="1"/>
  <c r="T217" i="2" s="1"/>
  <c r="AD217" i="2" a="1"/>
  <c r="AD217" i="2" s="1"/>
  <c r="S217" i="2" a="1"/>
  <c r="S217" i="2" s="1"/>
  <c r="X217" i="2" a="1"/>
  <c r="X217" i="2" s="1"/>
  <c r="AB217" i="2" a="1"/>
  <c r="AB217" i="2" s="1"/>
  <c r="V217" i="2" a="1"/>
  <c r="V217" i="2" s="1"/>
  <c r="Z217" i="2" a="1"/>
  <c r="Z217" i="2" s="1"/>
  <c r="AB219" i="2" a="1"/>
  <c r="AB219" i="2" s="1"/>
  <c r="U365" i="12" a="1"/>
  <c r="U365" i="12" s="1"/>
  <c r="U112" i="12" a="1"/>
  <c r="U112" i="12" s="1"/>
  <c r="U401" i="12" a="1"/>
  <c r="U401" i="12" s="1"/>
  <c r="T225" i="2" a="1"/>
  <c r="T225" i="2" s="1"/>
  <c r="AE225" i="2" a="1"/>
  <c r="AE225" i="2" s="1"/>
  <c r="E388" i="12" a="1"/>
  <c r="E388" i="12" s="1"/>
  <c r="AC226" i="2" a="1"/>
  <c r="AC226" i="2" s="1"/>
  <c r="AE227" i="2" a="1"/>
  <c r="AE227" i="2" s="1"/>
  <c r="T227" i="2" a="1"/>
  <c r="T227" i="2" s="1"/>
  <c r="AD227" i="2" a="1"/>
  <c r="AD227" i="2" s="1"/>
  <c r="S227" i="2" a="1"/>
  <c r="S227" i="2" s="1"/>
  <c r="X227" i="2" a="1"/>
  <c r="X227" i="2" s="1"/>
  <c r="AB227" i="2" a="1"/>
  <c r="AB227" i="2" s="1"/>
  <c r="V227" i="2" a="1"/>
  <c r="V227" i="2" s="1"/>
  <c r="Z227" i="2" a="1"/>
  <c r="Z227" i="2" s="1"/>
  <c r="AB229" i="2" a="1"/>
  <c r="AB229" i="2" s="1"/>
  <c r="U142" i="12" a="1"/>
  <c r="U142" i="12" s="1"/>
  <c r="U422" i="12" a="1"/>
  <c r="U422" i="12" s="1"/>
  <c r="U377" i="12" a="1"/>
  <c r="U377" i="12" s="1"/>
  <c r="E153" i="12" a="1"/>
  <c r="E153" i="12" s="1"/>
  <c r="AC237" i="2" a="1"/>
  <c r="AC237" i="2" s="1"/>
  <c r="AG243" i="2" a="1"/>
  <c r="AG243" i="2" s="1"/>
  <c r="AD247" i="2" a="1"/>
  <c r="AD247" i="2" s="1"/>
  <c r="E490" i="12" a="1"/>
  <c r="E490" i="12" s="1"/>
  <c r="T249" i="2" a="1"/>
  <c r="T249" i="2" s="1"/>
  <c r="B96" i="8" a="1"/>
  <c r="B96" i="8" s="1"/>
  <c r="AF251" i="2" a="1"/>
  <c r="AF251" i="2" s="1"/>
  <c r="AA251" i="2" a="1"/>
  <c r="AA251" i="2" s="1"/>
  <c r="V251" i="2" a="1"/>
  <c r="V251" i="2" s="1"/>
  <c r="X251" i="2" a="1"/>
  <c r="X251" i="2" s="1"/>
  <c r="AE251" i="2" a="1"/>
  <c r="AE251" i="2" s="1"/>
  <c r="AD251" i="2" a="1"/>
  <c r="AD251" i="2" s="1"/>
  <c r="W251" i="2" a="1"/>
  <c r="W251" i="2" s="1"/>
  <c r="AB251" i="2" a="1"/>
  <c r="AB251" i="2" s="1"/>
  <c r="AG251" i="2" a="1"/>
  <c r="AG251" i="2" s="1"/>
  <c r="Z251" i="2" a="1"/>
  <c r="Z251" i="2" s="1"/>
  <c r="S251" i="2" a="1"/>
  <c r="S251" i="2" s="1"/>
  <c r="E132" i="12" a="1"/>
  <c r="E132" i="12" s="1"/>
  <c r="U363" i="12" a="1"/>
  <c r="U363" i="12" s="1"/>
  <c r="AF256" i="2" a="1"/>
  <c r="AF256" i="2" s="1"/>
  <c r="AA256" i="2" a="1"/>
  <c r="AA256" i="2" s="1"/>
  <c r="V256" i="2" a="1"/>
  <c r="V256" i="2" s="1"/>
  <c r="AC256" i="2" a="1"/>
  <c r="AC256" i="2" s="1"/>
  <c r="AG256" i="2" a="1"/>
  <c r="AG256" i="2" s="1"/>
  <c r="Z256" i="2" a="1"/>
  <c r="Z256" i="2" s="1"/>
  <c r="S256" i="2" a="1"/>
  <c r="S256" i="2" s="1"/>
  <c r="AE256" i="2" a="1"/>
  <c r="AE256" i="2" s="1"/>
  <c r="X256" i="2" a="1"/>
  <c r="X256" i="2" s="1"/>
  <c r="AB256" i="2" a="1"/>
  <c r="AB256" i="2" s="1"/>
  <c r="E427" i="12" a="1"/>
  <c r="E427" i="12" s="1"/>
  <c r="S264" i="2" a="1"/>
  <c r="S264" i="2" s="1"/>
  <c r="V267" i="2" a="1"/>
  <c r="V267" i="2" s="1"/>
  <c r="AD268" i="2" a="1"/>
  <c r="AD268" i="2" s="1"/>
  <c r="Y268" i="2" a="1"/>
  <c r="Y268" i="2" s="1"/>
  <c r="T268" i="2" a="1"/>
  <c r="T268" i="2" s="1"/>
  <c r="AF268" i="2" a="1"/>
  <c r="AF268" i="2" s="1"/>
  <c r="Z268" i="2" a="1"/>
  <c r="Z268" i="2" s="1"/>
  <c r="AE268" i="2" a="1"/>
  <c r="AE268" i="2" s="1"/>
  <c r="AA268" i="2" a="1"/>
  <c r="AA268" i="2" s="1"/>
  <c r="S268" i="2" a="1"/>
  <c r="S268" i="2" s="1"/>
  <c r="AC268" i="2" a="1"/>
  <c r="AC268" i="2" s="1"/>
  <c r="AG268" i="2" a="1"/>
  <c r="AG268" i="2" s="1"/>
  <c r="AP271" i="2" a="1"/>
  <c r="AP271" i="2" s="1"/>
  <c r="U439" i="12" a="1"/>
  <c r="U439" i="12" s="1"/>
  <c r="E356" i="12" a="1"/>
  <c r="E356" i="12" s="1"/>
  <c r="U374" i="12" a="1"/>
  <c r="U374" i="12" s="1"/>
  <c r="E170" i="12" a="1"/>
  <c r="E170" i="12" s="1"/>
  <c r="U175" i="12" a="1"/>
  <c r="U175" i="12" s="1"/>
  <c r="E169" i="12" a="1"/>
  <c r="E169" i="12" s="1"/>
  <c r="U217" i="12" a="1"/>
  <c r="U217" i="12" s="1"/>
  <c r="AG292" i="2" a="1"/>
  <c r="AG292" i="2" s="1"/>
  <c r="AB292" i="2" a="1"/>
  <c r="AB292" i="2" s="1"/>
  <c r="W292" i="2" a="1"/>
  <c r="W292" i="2" s="1"/>
  <c r="T292" i="2" a="1"/>
  <c r="T292" i="2" s="1"/>
  <c r="AA292" i="2" a="1"/>
  <c r="AA292" i="2" s="1"/>
  <c r="S292" i="2" a="1"/>
  <c r="S292" i="2" s="1"/>
  <c r="Z292" i="2" a="1"/>
  <c r="Z292" i="2" s="1"/>
  <c r="Y292" i="2" a="1"/>
  <c r="Y292" i="2" s="1"/>
  <c r="AF292" i="2" a="1"/>
  <c r="AF292" i="2" s="1"/>
  <c r="X292" i="2" a="1"/>
  <c r="X292" i="2" s="1"/>
  <c r="AD292" i="2" a="1"/>
  <c r="AD292" i="2" s="1"/>
  <c r="V292" i="2" a="1"/>
  <c r="V292" i="2" s="1"/>
  <c r="AC292" i="2" a="1"/>
  <c r="AC292" i="2" s="1"/>
  <c r="B73" i="6" a="1"/>
  <c r="B73" i="6" s="1"/>
  <c r="B146" i="4" a="1"/>
  <c r="B146" i="4" s="1"/>
  <c r="B72" i="5" a="1"/>
  <c r="B72" i="5" s="1"/>
  <c r="AA321" i="2" a="1"/>
  <c r="AA321" i="2" s="1"/>
  <c r="U359" i="2" a="1"/>
  <c r="U359" i="2" s="1"/>
  <c r="U96" i="12" a="1"/>
  <c r="U96" i="12" s="1"/>
  <c r="E196" i="12" a="1"/>
  <c r="E196" i="12" s="1"/>
  <c r="X144" i="2" a="1"/>
  <c r="X144" i="2" s="1"/>
  <c r="W631" i="12" a="1"/>
  <c r="W631" i="12" s="1"/>
  <c r="AP146" i="2" a="1"/>
  <c r="AP146" i="2" s="1"/>
  <c r="D48" i="7" a="1"/>
  <c r="D48" i="7" s="1"/>
  <c r="D37" i="6" a="1"/>
  <c r="D37" i="6" s="1"/>
  <c r="D45" i="5" a="1"/>
  <c r="D45" i="5" s="1"/>
  <c r="D83" i="4" a="1"/>
  <c r="D83" i="4" s="1"/>
  <c r="S152" i="2" a="1"/>
  <c r="S152" i="2" s="1"/>
  <c r="AA152" i="2" a="1"/>
  <c r="AA152" i="2" s="1"/>
  <c r="AA155" i="2" a="1"/>
  <c r="AA155" i="2" s="1"/>
  <c r="U121" i="12" a="1"/>
  <c r="U121" i="12" s="1"/>
  <c r="Z161" i="2" a="1"/>
  <c r="Z161" i="2" s="1"/>
  <c r="AD161" i="2" a="1"/>
  <c r="AD161" i="2" s="1"/>
  <c r="X161" i="2" a="1"/>
  <c r="X161" i="2" s="1"/>
  <c r="AB161" i="2" a="1"/>
  <c r="AB161" i="2" s="1"/>
  <c r="AF161" i="2" a="1"/>
  <c r="AF161" i="2" s="1"/>
  <c r="AC162" i="2" a="1"/>
  <c r="AC162" i="2" s="1"/>
  <c r="AG162" i="2" a="1"/>
  <c r="AG162" i="2" s="1"/>
  <c r="V162" i="2" a="1"/>
  <c r="V162" i="2" s="1"/>
  <c r="Z162" i="2" a="1"/>
  <c r="Z162" i="2" s="1"/>
  <c r="X162" i="2" a="1"/>
  <c r="X162" i="2" s="1"/>
  <c r="AF162" i="2" a="1"/>
  <c r="AF162" i="2" s="1"/>
  <c r="V165" i="2" a="1"/>
  <c r="V165" i="2" s="1"/>
  <c r="AC166" i="2" a="1"/>
  <c r="AC166" i="2" s="1"/>
  <c r="X169" i="2" a="1"/>
  <c r="X169" i="2" s="1"/>
  <c r="W172" i="2" a="1"/>
  <c r="W172" i="2" s="1"/>
  <c r="S179" i="2" a="1"/>
  <c r="S179" i="2" s="1"/>
  <c r="AC179" i="2" a="1"/>
  <c r="AC179" i="2" s="1"/>
  <c r="E161" i="12" a="1"/>
  <c r="E161" i="12" s="1"/>
  <c r="D56" i="5" a="1"/>
  <c r="D56" i="5" s="1"/>
  <c r="D107" i="4" a="1"/>
  <c r="D107" i="4" s="1"/>
  <c r="X189" i="2" a="1"/>
  <c r="X189" i="2" s="1"/>
  <c r="W189" i="2" a="1"/>
  <c r="W189" i="2" s="1"/>
  <c r="B59" i="7" a="1"/>
  <c r="B59" i="7" s="1"/>
  <c r="B50" i="6" a="1"/>
  <c r="B50" i="6" s="1"/>
  <c r="B104" i="4" a="1"/>
  <c r="B104" i="4" s="1"/>
  <c r="E140" i="12" a="1"/>
  <c r="E140" i="12" s="1"/>
  <c r="U421" i="12" a="1"/>
  <c r="U421" i="12" s="1"/>
  <c r="AF197" i="2" a="1"/>
  <c r="AF197" i="2" s="1"/>
  <c r="AE197" i="2" a="1"/>
  <c r="AE197" i="2" s="1"/>
  <c r="Y197" i="2" a="1"/>
  <c r="Y197" i="2" s="1"/>
  <c r="AD197" i="2" a="1"/>
  <c r="AD197" i="2" s="1"/>
  <c r="S197" i="2" a="1"/>
  <c r="S197" i="2" s="1"/>
  <c r="W197" i="2" a="1"/>
  <c r="W197" i="2" s="1"/>
  <c r="Z197" i="2" a="1"/>
  <c r="Z197" i="2" s="1"/>
  <c r="W665" i="12" a="1"/>
  <c r="W665" i="12" s="1"/>
  <c r="AO199" i="2" a="1"/>
  <c r="AO199" i="2" s="1"/>
  <c r="AN199" i="2" a="1"/>
  <c r="AN199" i="2" s="1"/>
  <c r="AM199" i="2" a="1"/>
  <c r="AM199" i="2" s="1"/>
  <c r="AE209" i="2" a="1"/>
  <c r="AE209" i="2" s="1"/>
  <c r="T209" i="2" a="1"/>
  <c r="T209" i="2" s="1"/>
  <c r="AD209" i="2" a="1"/>
  <c r="AD209" i="2" s="1"/>
  <c r="X209" i="2" a="1"/>
  <c r="X209" i="2" s="1"/>
  <c r="AC209" i="2" a="1"/>
  <c r="AC209" i="2" s="1"/>
  <c r="AG209" i="2" a="1"/>
  <c r="AG209" i="2" s="1"/>
  <c r="V209" i="2" a="1"/>
  <c r="V209" i="2" s="1"/>
  <c r="Z209" i="2" a="1"/>
  <c r="Z209" i="2" s="1"/>
  <c r="AA209" i="2" a="1"/>
  <c r="AA209" i="2" s="1"/>
  <c r="E150" i="12" a="1"/>
  <c r="E150" i="12" s="1"/>
  <c r="AF211" i="2" a="1"/>
  <c r="AF211" i="2" s="1"/>
  <c r="AE211" i="2" a="1"/>
  <c r="AE211" i="2" s="1"/>
  <c r="T211" i="2" a="1"/>
  <c r="T211" i="2" s="1"/>
  <c r="Y211" i="2" a="1"/>
  <c r="Y211" i="2" s="1"/>
  <c r="S211" i="2" a="1"/>
  <c r="S211" i="2" s="1"/>
  <c r="W211" i="2" a="1"/>
  <c r="W211" i="2" s="1"/>
  <c r="AA211" i="2" a="1"/>
  <c r="AA211" i="2" s="1"/>
  <c r="E151" i="12" a="1"/>
  <c r="E151" i="12" s="1"/>
  <c r="AD220" i="2" a="1"/>
  <c r="AD220" i="2" s="1"/>
  <c r="S220" i="2" a="1"/>
  <c r="S220" i="2" s="1"/>
  <c r="AC220" i="2" a="1"/>
  <c r="AC220" i="2" s="1"/>
  <c r="W220" i="2" a="1"/>
  <c r="W220" i="2" s="1"/>
  <c r="AF220" i="2" a="1"/>
  <c r="AF220" i="2" s="1"/>
  <c r="Y220" i="2" a="1"/>
  <c r="Y220" i="2" s="1"/>
  <c r="Z220" i="2" a="1"/>
  <c r="Z220" i="2" s="1"/>
  <c r="B81" i="8" a="1"/>
  <c r="B81" i="8" s="1"/>
  <c r="E325" i="12" a="1"/>
  <c r="E325" i="12" s="1"/>
  <c r="AD230" i="2" a="1"/>
  <c r="AD230" i="2" s="1"/>
  <c r="S230" i="2" a="1"/>
  <c r="S230" i="2" s="1"/>
  <c r="AC230" i="2" a="1"/>
  <c r="AC230" i="2" s="1"/>
  <c r="W230" i="2" a="1"/>
  <c r="W230" i="2" s="1"/>
  <c r="AF230" i="2" a="1"/>
  <c r="AF230" i="2" s="1"/>
  <c r="Y230" i="2" a="1"/>
  <c r="Y230" i="2" s="1"/>
  <c r="Z230" i="2" a="1"/>
  <c r="Z230" i="2" s="1"/>
  <c r="B72" i="7" a="1"/>
  <c r="B72" i="7" s="1"/>
  <c r="B60" i="6" a="1"/>
  <c r="B60" i="6" s="1"/>
  <c r="B121" i="4" a="1"/>
  <c r="B121" i="4" s="1"/>
  <c r="B88" i="8" a="1"/>
  <c r="B88" i="8" s="1"/>
  <c r="AG236" i="2" a="1"/>
  <c r="AG236" i="2" s="1"/>
  <c r="V236" i="2" a="1"/>
  <c r="V236" i="2" s="1"/>
  <c r="S236" i="2" a="1"/>
  <c r="S236" i="2" s="1"/>
  <c r="X236" i="2" a="1"/>
  <c r="X236" i="2" s="1"/>
  <c r="AD236" i="2" a="1"/>
  <c r="AD236" i="2" s="1"/>
  <c r="AB236" i="2" a="1"/>
  <c r="AB236" i="2" s="1"/>
  <c r="AF236" i="2" a="1"/>
  <c r="AF236" i="2" s="1"/>
  <c r="Z236" i="2" a="1"/>
  <c r="Z236" i="2" s="1"/>
  <c r="T236" i="2" a="1"/>
  <c r="T236" i="2" s="1"/>
  <c r="D73" i="7" a="1"/>
  <c r="D73" i="7" s="1"/>
  <c r="D63" i="6" a="1"/>
  <c r="D63" i="6" s="1"/>
  <c r="D125" i="4" a="1"/>
  <c r="D125" i="4" s="1"/>
  <c r="AD237" i="2" a="1"/>
  <c r="AD237" i="2" s="1"/>
  <c r="D63" i="5" a="1"/>
  <c r="D63" i="5" s="1"/>
  <c r="D61" i="6" a="1"/>
  <c r="D61" i="6" s="1"/>
  <c r="D123" i="4" a="1"/>
  <c r="D123" i="4" s="1"/>
  <c r="E432" i="12" a="1"/>
  <c r="E432" i="12" s="1"/>
  <c r="U370" i="12" a="1"/>
  <c r="U370" i="12" s="1"/>
  <c r="D67" i="5" a="1"/>
  <c r="D67" i="5" s="1"/>
  <c r="D134" i="4" a="1"/>
  <c r="D134" i="4" s="1"/>
  <c r="AF246" i="2" a="1"/>
  <c r="AF246" i="2" s="1"/>
  <c r="AA246" i="2" a="1"/>
  <c r="AA246" i="2" s="1"/>
  <c r="V246" i="2" a="1"/>
  <c r="V246" i="2" s="1"/>
  <c r="AC246" i="2" a="1"/>
  <c r="AC246" i="2" s="1"/>
  <c r="AG246" i="2" a="1"/>
  <c r="AG246" i="2" s="1"/>
  <c r="Z246" i="2" a="1"/>
  <c r="Z246" i="2" s="1"/>
  <c r="S246" i="2" a="1"/>
  <c r="S246" i="2" s="1"/>
  <c r="AE246" i="2" a="1"/>
  <c r="AE246" i="2" s="1"/>
  <c r="X246" i="2" a="1"/>
  <c r="X246" i="2" s="1"/>
  <c r="AB246" i="2" a="1"/>
  <c r="AB246" i="2" s="1"/>
  <c r="E123" i="12" a="1"/>
  <c r="E123" i="12" s="1"/>
  <c r="B99" i="8" a="1"/>
  <c r="B99" i="8" s="1"/>
  <c r="B31" i="9" a="1"/>
  <c r="B31" i="9" s="1"/>
  <c r="W651" i="12" a="1"/>
  <c r="W651" i="12" s="1"/>
  <c r="AN265" i="2" a="1"/>
  <c r="AN265" i="2" s="1"/>
  <c r="AM265" i="2" a="1"/>
  <c r="AM265" i="2" s="1"/>
  <c r="AK265" i="2" a="1"/>
  <c r="AK265" i="2" s="1"/>
  <c r="AO265" i="2" a="1"/>
  <c r="AO265" i="2" s="1"/>
  <c r="W267" i="2" a="1"/>
  <c r="W267" i="2" s="1"/>
  <c r="U469" i="12" a="1"/>
  <c r="U469" i="12" s="1"/>
  <c r="E383" i="12" a="1"/>
  <c r="E383" i="12" s="1"/>
  <c r="U383" i="12" a="1"/>
  <c r="U383" i="12" s="1"/>
  <c r="W275" i="2" a="1"/>
  <c r="W275" i="2" s="1"/>
  <c r="D80" i="7" a="1"/>
  <c r="D80" i="7" s="1"/>
  <c r="D137" i="4" a="1"/>
  <c r="D137" i="4" s="1"/>
  <c r="V278" i="2" a="1"/>
  <c r="V278" i="2" s="1"/>
  <c r="T278" i="2" a="1"/>
  <c r="T278" i="2" s="1"/>
  <c r="W280" i="2" a="1"/>
  <c r="W280" i="2" s="1"/>
  <c r="V283" i="2" a="1"/>
  <c r="V283" i="2" s="1"/>
  <c r="T283" i="2" a="1"/>
  <c r="T283" i="2" s="1"/>
  <c r="V287" i="2" a="1"/>
  <c r="V287" i="2" s="1"/>
  <c r="T287" i="2" a="1"/>
  <c r="T287" i="2" s="1"/>
  <c r="W287" i="2" a="1"/>
  <c r="W287" i="2" s="1"/>
  <c r="AD308" i="2" a="1"/>
  <c r="AD308" i="2" s="1"/>
  <c r="Y308" i="2" a="1"/>
  <c r="Y308" i="2" s="1"/>
  <c r="T308" i="2" a="1"/>
  <c r="T308" i="2" s="1"/>
  <c r="X308" i="2" a="1"/>
  <c r="X308" i="2" s="1"/>
  <c r="AB308" i="2" a="1"/>
  <c r="AB308" i="2" s="1"/>
  <c r="AG308" i="2" a="1"/>
  <c r="AG308" i="2" s="1"/>
  <c r="AE308" i="2" a="1"/>
  <c r="AE308" i="2" s="1"/>
  <c r="AC308" i="2" a="1"/>
  <c r="AC308" i="2" s="1"/>
  <c r="S308" i="2" a="1"/>
  <c r="S308" i="2" s="1"/>
  <c r="AA308" i="2" a="1"/>
  <c r="AA308" i="2" s="1"/>
  <c r="Z308" i="2" a="1"/>
  <c r="Z308" i="2" s="1"/>
  <c r="W308" i="2" a="1"/>
  <c r="W308" i="2" s="1"/>
  <c r="AF308" i="2" a="1"/>
  <c r="AF308" i="2" s="1"/>
  <c r="V308" i="2" a="1"/>
  <c r="V308" i="2" s="1"/>
  <c r="S317" i="2" a="1"/>
  <c r="S317" i="2" s="1"/>
  <c r="AE317" i="2" a="1"/>
  <c r="AE317" i="2" s="1"/>
  <c r="X317" i="2" a="1"/>
  <c r="X317" i="2" s="1"/>
  <c r="V317" i="2" a="1"/>
  <c r="V317" i="2" s="1"/>
  <c r="U235" i="12" a="1"/>
  <c r="U235" i="12" s="1"/>
  <c r="E143" i="12" a="1"/>
  <c r="E143" i="12" s="1"/>
  <c r="AN153" i="2" a="1"/>
  <c r="AN153" i="2" s="1"/>
  <c r="D51" i="7" a="1"/>
  <c r="D51" i="7" s="1"/>
  <c r="D42" i="6" a="1"/>
  <c r="D42" i="6" s="1"/>
  <c r="D89" i="4" a="1"/>
  <c r="D89" i="4" s="1"/>
  <c r="T155" i="2" a="1"/>
  <c r="T155" i="2" s="1"/>
  <c r="B41" i="6" a="1"/>
  <c r="B41" i="6" s="1"/>
  <c r="B88" i="4" a="1"/>
  <c r="B88" i="4" s="1"/>
  <c r="B50" i="5" a="1"/>
  <c r="B50" i="5" s="1"/>
  <c r="B96" i="4" a="1"/>
  <c r="B96" i="4" s="1"/>
  <c r="S158" i="2" a="1"/>
  <c r="S158" i="2" s="1"/>
  <c r="B52" i="8" a="1"/>
  <c r="B52" i="8" s="1"/>
  <c r="E99" i="12" a="1"/>
  <c r="E99" i="12" s="1"/>
  <c r="E289" i="12" a="1"/>
  <c r="E289" i="12" s="1"/>
  <c r="E279" i="12" a="1"/>
  <c r="E279" i="12" s="1"/>
  <c r="W165" i="2" a="1"/>
  <c r="W165" i="2" s="1"/>
  <c r="D52" i="7" a="1"/>
  <c r="D52" i="7" s="1"/>
  <c r="D90" i="4" a="1"/>
  <c r="D90" i="4" s="1"/>
  <c r="V166" i="2" a="1"/>
  <c r="V166" i="2" s="1"/>
  <c r="Y169" i="2" a="1"/>
  <c r="Y169" i="2" s="1"/>
  <c r="S169" i="2" a="1"/>
  <c r="S169" i="2" s="1"/>
  <c r="AC169" i="2" a="1"/>
  <c r="AC169" i="2" s="1"/>
  <c r="W169" i="2" a="1"/>
  <c r="W169" i="2" s="1"/>
  <c r="AA169" i="2" a="1"/>
  <c r="AA169" i="2" s="1"/>
  <c r="U255" i="12" a="1"/>
  <c r="U255" i="12" s="1"/>
  <c r="AA172" i="2" a="1"/>
  <c r="AA172" i="2" s="1"/>
  <c r="Z172" i="2" a="1"/>
  <c r="Z172" i="2" s="1"/>
  <c r="AE172" i="2" a="1"/>
  <c r="AE172" i="2" s="1"/>
  <c r="T172" i="2" a="1"/>
  <c r="T172" i="2" s="1"/>
  <c r="X172" i="2" a="1"/>
  <c r="X172" i="2" s="1"/>
  <c r="U602" i="12" a="1"/>
  <c r="U602" i="12" s="1"/>
  <c r="Z175" i="2" a="1"/>
  <c r="Z175" i="2" s="1"/>
  <c r="Y175" i="2" a="1"/>
  <c r="Y175" i="2" s="1"/>
  <c r="AD175" i="2" a="1"/>
  <c r="AD175" i="2" s="1"/>
  <c r="S175" i="2" a="1"/>
  <c r="S175" i="2" s="1"/>
  <c r="AB175" i="2" a="1"/>
  <c r="AB175" i="2" s="1"/>
  <c r="AC176" i="2" a="1"/>
  <c r="AC176" i="2" s="1"/>
  <c r="E333" i="12" a="1"/>
  <c r="E333" i="12" s="1"/>
  <c r="T179" i="2" a="1"/>
  <c r="T179" i="2" s="1"/>
  <c r="U285" i="12" a="1"/>
  <c r="U285" i="12" s="1"/>
  <c r="B64" i="8" a="1"/>
  <c r="B64" i="8" s="1"/>
  <c r="AG185" i="2" a="1"/>
  <c r="AG185" i="2" s="1"/>
  <c r="V185" i="2" a="1"/>
  <c r="V185" i="2" s="1"/>
  <c r="AF185" i="2" a="1"/>
  <c r="AF185" i="2" s="1"/>
  <c r="Z185" i="2" a="1"/>
  <c r="Z185" i="2" s="1"/>
  <c r="AE185" i="2" a="1"/>
  <c r="AE185" i="2" s="1"/>
  <c r="T185" i="2" a="1"/>
  <c r="T185" i="2" s="1"/>
  <c r="X185" i="2" a="1"/>
  <c r="X185" i="2" s="1"/>
  <c r="Y185" i="2" a="1"/>
  <c r="Y185" i="2" s="1"/>
  <c r="W187" i="2" a="1"/>
  <c r="W187" i="2" s="1"/>
  <c r="AG187" i="2" a="1"/>
  <c r="AG187" i="2" s="1"/>
  <c r="V187" i="2" a="1"/>
  <c r="V187" i="2" s="1"/>
  <c r="AA187" i="2" a="1"/>
  <c r="AA187" i="2" s="1"/>
  <c r="Y187" i="2" a="1"/>
  <c r="Y187" i="2" s="1"/>
  <c r="AB192" i="2" a="1"/>
  <c r="AB192" i="2" s="1"/>
  <c r="S194" i="2" a="1"/>
  <c r="S194" i="2" s="1"/>
  <c r="AE195" i="2" a="1"/>
  <c r="AE195" i="2" s="1"/>
  <c r="Y195" i="2" a="1"/>
  <c r="Y195" i="2" s="1"/>
  <c r="X195" i="2" a="1"/>
  <c r="X195" i="2" s="1"/>
  <c r="AC195" i="2" a="1"/>
  <c r="AC195" i="2" s="1"/>
  <c r="AG195" i="2" a="1"/>
  <c r="AG195" i="2" s="1"/>
  <c r="V195" i="2" a="1"/>
  <c r="V195" i="2" s="1"/>
  <c r="Z195" i="2" a="1"/>
  <c r="Z195" i="2" s="1"/>
  <c r="AD196" i="2" a="1"/>
  <c r="AD196" i="2" s="1"/>
  <c r="AA197" i="2" a="1"/>
  <c r="AA197" i="2" s="1"/>
  <c r="B61" i="7" a="1"/>
  <c r="B61" i="7" s="1"/>
  <c r="B52" i="6" a="1"/>
  <c r="B52" i="6" s="1"/>
  <c r="B106" i="4" a="1"/>
  <c r="B106" i="4" s="1"/>
  <c r="E423" i="12" a="1"/>
  <c r="E423" i="12" s="1"/>
  <c r="B62" i="7" a="1"/>
  <c r="B62" i="7" s="1"/>
  <c r="B57" i="5" a="1"/>
  <c r="B57" i="5" s="1"/>
  <c r="B53" i="6" a="1"/>
  <c r="B53" i="6" s="1"/>
  <c r="B108" i="4" a="1"/>
  <c r="B108" i="4" s="1"/>
  <c r="AG203" i="2" a="1"/>
  <c r="AG203" i="2" s="1"/>
  <c r="V203" i="2" a="1"/>
  <c r="V203" i="2" s="1"/>
  <c r="AF203" i="2" a="1"/>
  <c r="AF203" i="2" s="1"/>
  <c r="Z203" i="2" a="1"/>
  <c r="Z203" i="2" s="1"/>
  <c r="AD203" i="2" a="1"/>
  <c r="AD203" i="2" s="1"/>
  <c r="X203" i="2" a="1"/>
  <c r="X203" i="2" s="1"/>
  <c r="AF205" i="2" a="1"/>
  <c r="AF205" i="2" s="1"/>
  <c r="E107" i="12" a="1"/>
  <c r="E107" i="12" s="1"/>
  <c r="AC207" i="2" a="1"/>
  <c r="AC207" i="2" s="1"/>
  <c r="D66" i="7" a="1"/>
  <c r="D66" i="7" s="1"/>
  <c r="D56" i="6" a="1"/>
  <c r="D56" i="6" s="1"/>
  <c r="D113" i="4" a="1"/>
  <c r="D113" i="4" s="1"/>
  <c r="AG208" i="2" a="1"/>
  <c r="AG208" i="2" s="1"/>
  <c r="V208" i="2" a="1"/>
  <c r="V208" i="2" s="1"/>
  <c r="AF208" i="2" a="1"/>
  <c r="AF208" i="2" s="1"/>
  <c r="Z208" i="2" a="1"/>
  <c r="Z208" i="2" s="1"/>
  <c r="AD208" i="2" a="1"/>
  <c r="AD208" i="2" s="1"/>
  <c r="X208" i="2" a="1"/>
  <c r="X208" i="2" s="1"/>
  <c r="AB208" i="2" a="1"/>
  <c r="AB208" i="2" s="1"/>
  <c r="AA208" i="2" a="1"/>
  <c r="AA208" i="2" s="1"/>
  <c r="E607" i="12" a="1"/>
  <c r="E607" i="12" s="1"/>
  <c r="AB209" i="2" a="1"/>
  <c r="AB209" i="2" s="1"/>
  <c r="AB211" i="2" a="1"/>
  <c r="AB211" i="2" s="1"/>
  <c r="B30" i="9" a="1"/>
  <c r="B30" i="9" s="1"/>
  <c r="AG215" i="2" a="1"/>
  <c r="AG215" i="2" s="1"/>
  <c r="AA220" i="2" a="1"/>
  <c r="AA220" i="2" s="1"/>
  <c r="B80" i="8" a="1"/>
  <c r="B80" i="8" s="1"/>
  <c r="AG225" i="2" a="1"/>
  <c r="AG225" i="2" s="1"/>
  <c r="AA230" i="2" a="1"/>
  <c r="AA230" i="2" s="1"/>
  <c r="B87" i="8" a="1"/>
  <c r="B87" i="8" s="1"/>
  <c r="B65" i="5" a="1"/>
  <c r="B65" i="5" s="1"/>
  <c r="B131" i="4" a="1"/>
  <c r="B131" i="4" s="1"/>
  <c r="E321" i="12" a="1"/>
  <c r="E321" i="12" s="1"/>
  <c r="AC236" i="2" a="1"/>
  <c r="AC236" i="2" s="1"/>
  <c r="S237" i="2" a="1"/>
  <c r="S237" i="2" s="1"/>
  <c r="AF237" i="2" a="1"/>
  <c r="AF237" i="2" s="1"/>
  <c r="B76" i="7" a="1"/>
  <c r="B76" i="7" s="1"/>
  <c r="B128" i="4" a="1"/>
  <c r="B128" i="4" s="1"/>
  <c r="AD246" i="2" a="1"/>
  <c r="AD246" i="2" s="1"/>
  <c r="B95" i="8" a="1"/>
  <c r="B95" i="8" s="1"/>
  <c r="AC251" i="2" a="1"/>
  <c r="AC251" i="2" s="1"/>
  <c r="S252" i="2" a="1"/>
  <c r="S252" i="2" s="1"/>
  <c r="W253" i="2" a="1"/>
  <c r="W253" i="2" s="1"/>
  <c r="B98" i="8" a="1"/>
  <c r="B98" i="8" s="1"/>
  <c r="E345" i="12" a="1"/>
  <c r="E345" i="12" s="1"/>
  <c r="E372" i="12" a="1"/>
  <c r="E372" i="12" s="1"/>
  <c r="D78" i="7" a="1"/>
  <c r="D78" i="7" s="1"/>
  <c r="D133" i="4" a="1"/>
  <c r="D133" i="4" s="1"/>
  <c r="AD269" i="2" a="1"/>
  <c r="AD269" i="2" s="1"/>
  <c r="Y269" i="2" a="1"/>
  <c r="Y269" i="2" s="1"/>
  <c r="T269" i="2" a="1"/>
  <c r="T269" i="2" s="1"/>
  <c r="AG269" i="2" a="1"/>
  <c r="AG269" i="2" s="1"/>
  <c r="S269" i="2" a="1"/>
  <c r="S269" i="2" s="1"/>
  <c r="AC269" i="2" a="1"/>
  <c r="AC269" i="2" s="1"/>
  <c r="AB269" i="2" a="1"/>
  <c r="AB269" i="2" s="1"/>
  <c r="AA269" i="2" a="1"/>
  <c r="AA269" i="2" s="1"/>
  <c r="Z269" i="2" a="1"/>
  <c r="Z269" i="2" s="1"/>
  <c r="AF269" i="2" a="1"/>
  <c r="AF269" i="2" s="1"/>
  <c r="X269" i="2" a="1"/>
  <c r="X269" i="2" s="1"/>
  <c r="V269" i="2" a="1"/>
  <c r="V269" i="2" s="1"/>
  <c r="B109" i="8" a="1"/>
  <c r="B109" i="8" s="1"/>
  <c r="E162" i="12" a="1"/>
  <c r="E162" i="12" s="1"/>
  <c r="U162" i="12" a="1"/>
  <c r="U162" i="12" s="1"/>
  <c r="E439" i="12" a="1"/>
  <c r="E439" i="12" s="1"/>
  <c r="U204" i="12" a="1"/>
  <c r="U204" i="12" s="1"/>
  <c r="E374" i="12" a="1"/>
  <c r="E374" i="12" s="1"/>
  <c r="U502" i="12" a="1"/>
  <c r="U502" i="12" s="1"/>
  <c r="E175" i="12" a="1"/>
  <c r="E175" i="12" s="1"/>
  <c r="AC302" i="2" a="1"/>
  <c r="AC302" i="2" s="1"/>
  <c r="W302" i="2" a="1"/>
  <c r="W302" i="2" s="1"/>
  <c r="X302" i="2" a="1"/>
  <c r="X302" i="2" s="1"/>
  <c r="AE302" i="2" a="1"/>
  <c r="AE302" i="2" s="1"/>
  <c r="T302" i="2" a="1"/>
  <c r="T302" i="2" s="1"/>
  <c r="U412" i="12" a="1"/>
  <c r="U412" i="12" s="1"/>
  <c r="U526" i="12" a="1"/>
  <c r="U526" i="12" s="1"/>
  <c r="AE318" i="2" a="1"/>
  <c r="AE318" i="2" s="1"/>
  <c r="AC318" i="2" a="1"/>
  <c r="AC318" i="2" s="1"/>
  <c r="W318" i="2" a="1"/>
  <c r="W318" i="2" s="1"/>
  <c r="B26" i="6" a="1"/>
  <c r="B26" i="6" s="1"/>
  <c r="B30" i="7" a="1"/>
  <c r="B30" i="7" s="1"/>
  <c r="B55" i="4" a="1"/>
  <c r="B55" i="4" s="1"/>
  <c r="AB103" i="2" a="1"/>
  <c r="AB103" i="2" s="1"/>
  <c r="U74" i="12" a="1"/>
  <c r="U74" i="12" s="1"/>
  <c r="W637" i="12" a="1"/>
  <c r="W637" i="12" s="1"/>
  <c r="U78" i="12" a="1"/>
  <c r="U78" i="12" s="1"/>
  <c r="U275" i="12" a="1"/>
  <c r="U275" i="12" s="1"/>
  <c r="U105" i="12" a="1"/>
  <c r="U105" i="12" s="1"/>
  <c r="U58" i="12" a="1"/>
  <c r="U58" i="12" s="1"/>
  <c r="U64" i="12" a="1"/>
  <c r="U64" i="12" s="1"/>
  <c r="AF134" i="2" a="1"/>
  <c r="AF134" i="2" s="1"/>
  <c r="AA134" i="2" a="1"/>
  <c r="AA134" i="2" s="1"/>
  <c r="V134" i="2" a="1"/>
  <c r="V134" i="2" s="1"/>
  <c r="AC134" i="2" a="1"/>
  <c r="AC134" i="2" s="1"/>
  <c r="B42" i="7" a="1"/>
  <c r="B42" i="7" s="1"/>
  <c r="B39" i="5" a="1"/>
  <c r="B39" i="5" s="1"/>
  <c r="B73" i="4" a="1"/>
  <c r="B73" i="4" s="1"/>
  <c r="S140" i="2" a="1"/>
  <c r="S140" i="2" s="1"/>
  <c r="Z140" i="2" a="1"/>
  <c r="Z140" i="2" s="1"/>
  <c r="U203" i="12" a="1"/>
  <c r="U203" i="12" s="1"/>
  <c r="V143" i="2" a="1"/>
  <c r="V143" i="2" s="1"/>
  <c r="B22" i="9" a="1"/>
  <c r="B22" i="9" s="1"/>
  <c r="E81" i="12" a="1"/>
  <c r="E81" i="12" s="1"/>
  <c r="B47" i="7" a="1"/>
  <c r="B47" i="7" s="1"/>
  <c r="B36" i="6" a="1"/>
  <c r="B36" i="6" s="1"/>
  <c r="B82" i="4" a="1"/>
  <c r="B82" i="4" s="1"/>
  <c r="AC151" i="2" a="1"/>
  <c r="AC151" i="2" s="1"/>
  <c r="T156" i="2" a="1"/>
  <c r="T156" i="2" s="1"/>
  <c r="T157" i="2" a="1"/>
  <c r="T157" i="2" s="1"/>
  <c r="AB157" i="2" a="1"/>
  <c r="AB157" i="2" s="1"/>
  <c r="AB158" i="2" a="1"/>
  <c r="AB158" i="2" s="1"/>
  <c r="AB159" i="2" a="1"/>
  <c r="AB159" i="2" s="1"/>
  <c r="B51" i="5" a="1"/>
  <c r="B51" i="5" s="1"/>
  <c r="B97" i="4" a="1"/>
  <c r="B97" i="4" s="1"/>
  <c r="U99" i="12" a="1"/>
  <c r="U99" i="12" s="1"/>
  <c r="E314" i="12" a="1"/>
  <c r="E314" i="12" s="1"/>
  <c r="AG161" i="2" a="1"/>
  <c r="AG161" i="2" s="1"/>
  <c r="U289" i="12" a="1"/>
  <c r="U289" i="12" s="1"/>
  <c r="U279" i="12" a="1"/>
  <c r="U279" i="12" s="1"/>
  <c r="E330" i="12" a="1"/>
  <c r="E330" i="12" s="1"/>
  <c r="U330" i="12" a="1"/>
  <c r="U330" i="12" s="1"/>
  <c r="AB165" i="2" a="1"/>
  <c r="AB165" i="2" s="1"/>
  <c r="AF165" i="2" a="1"/>
  <c r="AF165" i="2" s="1"/>
  <c r="Y165" i="2" a="1"/>
  <c r="Y165" i="2" s="1"/>
  <c r="S165" i="2" a="1"/>
  <c r="S165" i="2" s="1"/>
  <c r="W166" i="2" a="1"/>
  <c r="W166" i="2" s="1"/>
  <c r="W167" i="2" a="1"/>
  <c r="W167" i="2" s="1"/>
  <c r="AA168" i="2" a="1"/>
  <c r="AA168" i="2" s="1"/>
  <c r="AE168" i="2" a="1"/>
  <c r="AE168" i="2" s="1"/>
  <c r="T168" i="2" a="1"/>
  <c r="T168" i="2" s="1"/>
  <c r="U168" i="2" s="1" a="1"/>
  <c r="U168" i="2" s="1"/>
  <c r="AC168" i="2" a="1"/>
  <c r="AC168" i="2" s="1"/>
  <c r="W168" i="2" a="1"/>
  <c r="W168" i="2" s="1"/>
  <c r="Z169" i="2" a="1"/>
  <c r="Z169" i="2" s="1"/>
  <c r="B55" i="7" a="1"/>
  <c r="B55" i="7" s="1"/>
  <c r="B46" i="6" a="1"/>
  <c r="B46" i="6" s="1"/>
  <c r="B95" i="4" a="1"/>
  <c r="B95" i="4" s="1"/>
  <c r="AE171" i="2" a="1"/>
  <c r="AE171" i="2" s="1"/>
  <c r="Y172" i="2" a="1"/>
  <c r="Y172" i="2" s="1"/>
  <c r="AD173" i="2" a="1"/>
  <c r="AD173" i="2" s="1"/>
  <c r="T176" i="2" a="1"/>
  <c r="T176" i="2" s="1"/>
  <c r="AD176" i="2" a="1"/>
  <c r="AD176" i="2" s="1"/>
  <c r="AD179" i="2" a="1"/>
  <c r="AD179" i="2" s="1"/>
  <c r="AC181" i="2" a="1"/>
  <c r="AC181" i="2" s="1"/>
  <c r="Y182" i="2" a="1"/>
  <c r="Y182" i="2" s="1"/>
  <c r="X182" i="2" a="1"/>
  <c r="X182" i="2" s="1"/>
  <c r="AC182" i="2" a="1"/>
  <c r="AC182" i="2" s="1"/>
  <c r="AG182" i="2" a="1"/>
  <c r="AG182" i="2" s="1"/>
  <c r="AA182" i="2" a="1"/>
  <c r="AA182" i="2" s="1"/>
  <c r="X184" i="2" a="1"/>
  <c r="X184" i="2" s="1"/>
  <c r="W184" i="2" a="1"/>
  <c r="W184" i="2" s="1"/>
  <c r="E91" i="12" a="1"/>
  <c r="E91" i="12" s="1"/>
  <c r="AA185" i="2" a="1"/>
  <c r="AA185" i="2" s="1"/>
  <c r="AF186" i="2" a="1"/>
  <c r="AF186" i="2" s="1"/>
  <c r="E127" i="12" a="1"/>
  <c r="E127" i="12" s="1"/>
  <c r="Z187" i="2" a="1"/>
  <c r="Z187" i="2" s="1"/>
  <c r="V188" i="2" a="1"/>
  <c r="V188" i="2" s="1"/>
  <c r="AE188" i="2" a="1"/>
  <c r="AE188" i="2" s="1"/>
  <c r="D59" i="7" a="1"/>
  <c r="D59" i="7" s="1"/>
  <c r="D50" i="6" a="1"/>
  <c r="D50" i="6" s="1"/>
  <c r="D104" i="4" a="1"/>
  <c r="D104" i="4" s="1"/>
  <c r="U48" i="12" a="1"/>
  <c r="U48" i="12" s="1"/>
  <c r="T192" i="2" a="1"/>
  <c r="T192" i="2" s="1"/>
  <c r="AC192" i="2" a="1"/>
  <c r="AC192" i="2" s="1"/>
  <c r="AC194" i="2" a="1"/>
  <c r="AC194" i="2" s="1"/>
  <c r="E421" i="12" a="1"/>
  <c r="E421" i="12" s="1"/>
  <c r="B68" i="8" a="1"/>
  <c r="B68" i="8" s="1"/>
  <c r="E264" i="12" a="1"/>
  <c r="E264" i="12" s="1"/>
  <c r="V198" i="2" a="1"/>
  <c r="V198" i="2" s="1"/>
  <c r="AK199" i="2" a="1"/>
  <c r="AK199" i="2" s="1"/>
  <c r="U117" i="12" a="1"/>
  <c r="U117" i="12" s="1"/>
  <c r="V202" i="2" a="1"/>
  <c r="V202" i="2" s="1"/>
  <c r="E387" i="12" a="1"/>
  <c r="E387" i="12" s="1"/>
  <c r="AA203" i="2" a="1"/>
  <c r="AA203" i="2" s="1"/>
  <c r="B63" i="7" a="1"/>
  <c r="B63" i="7" s="1"/>
  <c r="B109" i="4" a="1"/>
  <c r="B109" i="4" s="1"/>
  <c r="U348" i="12" a="1"/>
  <c r="U348" i="12" s="1"/>
  <c r="T207" i="2" a="1"/>
  <c r="T207" i="2" s="1"/>
  <c r="E115" i="12" a="1"/>
  <c r="E115" i="12" s="1"/>
  <c r="E376" i="12" a="1"/>
  <c r="E376" i="12" s="1"/>
  <c r="AC211" i="2" a="1"/>
  <c r="AC211" i="2" s="1"/>
  <c r="W613" i="12" a="1"/>
  <c r="W613" i="12" s="1"/>
  <c r="AP212" i="2" a="1"/>
  <c r="AP212" i="2" s="1"/>
  <c r="AN212" i="2" a="1"/>
  <c r="AN212" i="2" s="1"/>
  <c r="B54" i="6" a="1"/>
  <c r="B54" i="6" s="1"/>
  <c r="B58" i="5" a="1"/>
  <c r="B58" i="5" s="1"/>
  <c r="B111" i="4" a="1"/>
  <c r="B111" i="4" s="1"/>
  <c r="B75" i="8" a="1"/>
  <c r="B75" i="8" s="1"/>
  <c r="V215" i="2" a="1"/>
  <c r="V215" i="2" s="1"/>
  <c r="U358" i="12" a="1"/>
  <c r="U358" i="12" s="1"/>
  <c r="T216" i="2" a="1"/>
  <c r="T216" i="2" s="1"/>
  <c r="AE216" i="2" a="1"/>
  <c r="AE216" i="2" s="1"/>
  <c r="AF217" i="2" a="1"/>
  <c r="AF217" i="2" s="1"/>
  <c r="S219" i="2" a="1"/>
  <c r="S219" i="2" s="1"/>
  <c r="AD219" i="2" a="1"/>
  <c r="AD219" i="2" s="1"/>
  <c r="AB220" i="2" a="1"/>
  <c r="AB220" i="2" s="1"/>
  <c r="B69" i="7" a="1"/>
  <c r="B69" i="7" s="1"/>
  <c r="B58" i="6" a="1"/>
  <c r="B58" i="6" s="1"/>
  <c r="B118" i="4" a="1"/>
  <c r="B118" i="4" s="1"/>
  <c r="B82" i="8" a="1"/>
  <c r="B82" i="8" s="1"/>
  <c r="V225" i="2" a="1"/>
  <c r="V225" i="2" s="1"/>
  <c r="U404" i="12" a="1"/>
  <c r="U404" i="12" s="1"/>
  <c r="T226" i="2" a="1"/>
  <c r="T226" i="2" s="1"/>
  <c r="AE226" i="2" a="1"/>
  <c r="AE226" i="2" s="1"/>
  <c r="AF227" i="2" a="1"/>
  <c r="AF227" i="2" s="1"/>
  <c r="S229" i="2" a="1"/>
  <c r="S229" i="2" s="1"/>
  <c r="AD229" i="2" a="1"/>
  <c r="AD229" i="2" s="1"/>
  <c r="AB230" i="2" a="1"/>
  <c r="AB230" i="2" s="1"/>
  <c r="AD235" i="2" a="1"/>
  <c r="AD235" i="2" s="1"/>
  <c r="X235" i="2" a="1"/>
  <c r="X235" i="2" s="1"/>
  <c r="AE235" i="2" a="1"/>
  <c r="AE235" i="2" s="1"/>
  <c r="Y235" i="2" a="1"/>
  <c r="Y235" i="2" s="1"/>
  <c r="AC235" i="2" a="1"/>
  <c r="AC235" i="2" s="1"/>
  <c r="W235" i="2" a="1"/>
  <c r="W235" i="2" s="1"/>
  <c r="AG235" i="2" a="1"/>
  <c r="AG235" i="2" s="1"/>
  <c r="AA235" i="2" a="1"/>
  <c r="AA235" i="2" s="1"/>
  <c r="S235" i="2" a="1"/>
  <c r="S235" i="2" s="1"/>
  <c r="AE236" i="2" a="1"/>
  <c r="AE236" i="2" s="1"/>
  <c r="U153" i="12" a="1"/>
  <c r="U153" i="12" s="1"/>
  <c r="B66" i="5" a="1"/>
  <c r="B66" i="5" s="1"/>
  <c r="B132" i="4" a="1"/>
  <c r="B132" i="4" s="1"/>
  <c r="AF239" i="2" a="1"/>
  <c r="AF239" i="2" s="1"/>
  <c r="AG239" i="2" a="1"/>
  <c r="AG239" i="2" s="1"/>
  <c r="AA239" i="2" a="1"/>
  <c r="AA239" i="2" s="1"/>
  <c r="S239" i="2" a="1"/>
  <c r="S239" i="2" s="1"/>
  <c r="AE239" i="2" a="1"/>
  <c r="AE239" i="2" s="1"/>
  <c r="Y239" i="2" a="1"/>
  <c r="Y239" i="2" s="1"/>
  <c r="AC239" i="2" a="1"/>
  <c r="AC239" i="2" s="1"/>
  <c r="W239" i="2" a="1"/>
  <c r="W239" i="2" s="1"/>
  <c r="AB239" i="2" a="1"/>
  <c r="AB239" i="2" s="1"/>
  <c r="AG242" i="2" a="1"/>
  <c r="AG242" i="2" s="1"/>
  <c r="W243" i="2" a="1"/>
  <c r="W243" i="2" s="1"/>
  <c r="B75" i="7" a="1"/>
  <c r="B75" i="7" s="1"/>
  <c r="B65" i="6" a="1"/>
  <c r="B65" i="6" s="1"/>
  <c r="B127" i="4" a="1"/>
  <c r="B127" i="4" s="1"/>
  <c r="D76" i="7" a="1"/>
  <c r="D76" i="7" s="1"/>
  <c r="D128" i="4" a="1"/>
  <c r="D128" i="4" s="1"/>
  <c r="E139" i="12" a="1"/>
  <c r="E139" i="12" s="1"/>
  <c r="E156" i="12" a="1"/>
  <c r="E156" i="12" s="1"/>
  <c r="S248" i="2" a="1"/>
  <c r="S248" i="2" s="1"/>
  <c r="AE248" i="2" a="1"/>
  <c r="AE248" i="2" s="1"/>
  <c r="U132" i="12" a="1"/>
  <c r="U132" i="12" s="1"/>
  <c r="Y259" i="2" a="1"/>
  <c r="Y259" i="2" s="1"/>
  <c r="AE261" i="2" a="1"/>
  <c r="AE261" i="2" s="1"/>
  <c r="Z261" i="2" a="1"/>
  <c r="Z261" i="2" s="1"/>
  <c r="T261" i="2" a="1"/>
  <c r="T261" i="2" s="1"/>
  <c r="AG261" i="2" a="1"/>
  <c r="AG261" i="2" s="1"/>
  <c r="S261" i="2" a="1"/>
  <c r="S261" i="2" s="1"/>
  <c r="AF261" i="2" a="1"/>
  <c r="AF261" i="2" s="1"/>
  <c r="Y261" i="2" a="1"/>
  <c r="Y261" i="2" s="1"/>
  <c r="AD261" i="2" a="1"/>
  <c r="AD261" i="2" s="1"/>
  <c r="W261" i="2" a="1"/>
  <c r="W261" i="2" s="1"/>
  <c r="AB261" i="2" a="1"/>
  <c r="AB261" i="2" s="1"/>
  <c r="Y264" i="2" a="1"/>
  <c r="Y264" i="2" s="1"/>
  <c r="AB267" i="2" a="1"/>
  <c r="AB267" i="2" s="1"/>
  <c r="B108" i="8" a="1"/>
  <c r="B108" i="8" s="1"/>
  <c r="AD270" i="2" a="1"/>
  <c r="AD270" i="2" s="1"/>
  <c r="Y270" i="2" a="1"/>
  <c r="Y270" i="2" s="1"/>
  <c r="T270" i="2" a="1"/>
  <c r="T270" i="2" s="1"/>
  <c r="AA270" i="2" a="1"/>
  <c r="AA270" i="2" s="1"/>
  <c r="AF270" i="2" a="1"/>
  <c r="AF270" i="2" s="1"/>
  <c r="Z270" i="2" a="1"/>
  <c r="Z270" i="2" s="1"/>
  <c r="AG270" i="2" a="1"/>
  <c r="AG270" i="2" s="1"/>
  <c r="AE270" i="2" a="1"/>
  <c r="AE270" i="2" s="1"/>
  <c r="AC270" i="2" a="1"/>
  <c r="AC270" i="2" s="1"/>
  <c r="W272" i="2" a="1"/>
  <c r="W272" i="2" s="1"/>
  <c r="B79" i="7" a="1"/>
  <c r="B79" i="7" s="1"/>
  <c r="B135" i="4" a="1"/>
  <c r="B135" i="4" s="1"/>
  <c r="W274" i="2" a="1"/>
  <c r="W274" i="2" s="1"/>
  <c r="V277" i="2" a="1"/>
  <c r="V277" i="2" s="1"/>
  <c r="T277" i="2" a="1"/>
  <c r="T277" i="2" s="1"/>
  <c r="W279" i="2" a="1"/>
  <c r="W279" i="2" s="1"/>
  <c r="D82" i="7" a="1"/>
  <c r="D82" i="7" s="1"/>
  <c r="D70" i="6" a="1"/>
  <c r="D70" i="6" s="1"/>
  <c r="D69" i="5" a="1"/>
  <c r="D69" i="5" s="1"/>
  <c r="D140" i="4" a="1"/>
  <c r="D140" i="4" s="1"/>
  <c r="V282" i="2" a="1"/>
  <c r="V282" i="2" s="1"/>
  <c r="T282" i="2" a="1"/>
  <c r="T282" i="2" s="1"/>
  <c r="W284" i="2" a="1"/>
  <c r="W284" i="2" s="1"/>
  <c r="D75" i="5" a="1"/>
  <c r="D75" i="5" s="1"/>
  <c r="D152" i="4" a="1"/>
  <c r="D152" i="4" s="1"/>
  <c r="E217" i="12" a="1"/>
  <c r="E217" i="12" s="1"/>
  <c r="AO289" i="2" a="1"/>
  <c r="AO289" i="2" s="1"/>
  <c r="AP289" i="2" a="1"/>
  <c r="AP289" i="2" s="1"/>
  <c r="Z290" i="2" a="1"/>
  <c r="Z290" i="2" s="1"/>
  <c r="AA295" i="2" a="1"/>
  <c r="AA295" i="2" s="1"/>
  <c r="AG297" i="2" a="1"/>
  <c r="AG297" i="2" s="1"/>
  <c r="AB297" i="2" a="1"/>
  <c r="AB297" i="2" s="1"/>
  <c r="W297" i="2" a="1"/>
  <c r="W297" i="2" s="1"/>
  <c r="AD297" i="2" a="1"/>
  <c r="AD297" i="2" s="1"/>
  <c r="X297" i="2" a="1"/>
  <c r="X297" i="2" s="1"/>
  <c r="T297" i="2" a="1"/>
  <c r="T297" i="2" s="1"/>
  <c r="AA297" i="2" a="1"/>
  <c r="AA297" i="2" s="1"/>
  <c r="Z297" i="2" a="1"/>
  <c r="Z297" i="2" s="1"/>
  <c r="Y297" i="2" a="1"/>
  <c r="Y297" i="2" s="1"/>
  <c r="AE297" i="2" a="1"/>
  <c r="AE297" i="2" s="1"/>
  <c r="AC297" i="2" a="1"/>
  <c r="AC297" i="2" s="1"/>
  <c r="S297" i="2" a="1"/>
  <c r="S297" i="2" s="1"/>
  <c r="B76" i="6" a="1"/>
  <c r="B76" i="6" s="1"/>
  <c r="B87" i="7" a="1"/>
  <c r="B87" i="7" s="1"/>
  <c r="B149" i="4" a="1"/>
  <c r="B149" i="4" s="1"/>
  <c r="V313" i="2" a="1"/>
  <c r="V313" i="2" s="1"/>
  <c r="AR324" i="2" a="1"/>
  <c r="AR324" i="2" s="1"/>
  <c r="AQ324" i="2" a="1"/>
  <c r="AQ324" i="2" s="1"/>
  <c r="U15" i="12" a="1"/>
  <c r="U15" i="12" s="1"/>
  <c r="V51" i="2" a="1"/>
  <c r="V51" i="2" s="1"/>
  <c r="AG51" i="2" a="1"/>
  <c r="AG51" i="2" s="1"/>
  <c r="V56" i="2" a="1"/>
  <c r="V56" i="2" s="1"/>
  <c r="AG56" i="2" a="1"/>
  <c r="AG56" i="2" s="1"/>
  <c r="B20" i="7" a="1"/>
  <c r="B20" i="7" s="1"/>
  <c r="B36" i="4" a="1"/>
  <c r="B36" i="4" s="1"/>
  <c r="B22" i="5" a="1"/>
  <c r="B22" i="5" s="1"/>
  <c r="B41" i="4" a="1"/>
  <c r="B41" i="4" s="1"/>
  <c r="AB69" i="2" a="1"/>
  <c r="AB69" i="2" s="1"/>
  <c r="U40" i="12" a="1"/>
  <c r="U40" i="12" s="1"/>
  <c r="AA76" i="2" a="1"/>
  <c r="AA76" i="2" s="1"/>
  <c r="Y84" i="2" a="1"/>
  <c r="Y84" i="2" s="1"/>
  <c r="U55" i="12" a="1"/>
  <c r="U55" i="12" s="1"/>
  <c r="Y89" i="2" a="1"/>
  <c r="Y89" i="2" s="1"/>
  <c r="E66" i="12" a="1"/>
  <c r="E66" i="12" s="1"/>
  <c r="D31" i="5" a="1"/>
  <c r="D31" i="5" s="1"/>
  <c r="D57" i="4" a="1"/>
  <c r="D57" i="4" s="1"/>
  <c r="Y102" i="2" a="1"/>
  <c r="Y102" i="2" s="1"/>
  <c r="E74" i="12" a="1"/>
  <c r="E74" i="12" s="1"/>
  <c r="W103" i="2" a="1"/>
  <c r="W103" i="2" s="1"/>
  <c r="Y107" i="2" a="1"/>
  <c r="Y107" i="2" s="1"/>
  <c r="AP108" i="2" a="1"/>
  <c r="AP108" i="2" s="1"/>
  <c r="E78" i="12" a="1"/>
  <c r="E78" i="12" s="1"/>
  <c r="V114" i="2" a="1"/>
  <c r="V114" i="2" s="1"/>
  <c r="AG114" i="2" a="1"/>
  <c r="AG114" i="2" s="1"/>
  <c r="E275" i="12" a="1"/>
  <c r="E275" i="12" s="1"/>
  <c r="B33" i="7" a="1"/>
  <c r="B33" i="7" s="1"/>
  <c r="B34" i="5" a="1"/>
  <c r="B34" i="5" s="1"/>
  <c r="B62" i="4" a="1"/>
  <c r="B62" i="4" s="1"/>
  <c r="V118" i="2" a="1"/>
  <c r="V118" i="2" s="1"/>
  <c r="AG118" i="2" a="1"/>
  <c r="AG118" i="2" s="1"/>
  <c r="E105" i="12" a="1"/>
  <c r="E105" i="12" s="1"/>
  <c r="B42" i="5" a="1"/>
  <c r="B42" i="5" s="1"/>
  <c r="B77" i="4" a="1"/>
  <c r="B77" i="4" s="1"/>
  <c r="V123" i="2" a="1"/>
  <c r="V123" i="2" s="1"/>
  <c r="AG123" i="2" a="1"/>
  <c r="AG123" i="2" s="1"/>
  <c r="E58" i="12" a="1"/>
  <c r="E58" i="12" s="1"/>
  <c r="V128" i="2" a="1"/>
  <c r="V128" i="2" s="1"/>
  <c r="AG128" i="2" a="1"/>
  <c r="AG128" i="2" s="1"/>
  <c r="E64" i="12" a="1"/>
  <c r="E64" i="12" s="1"/>
  <c r="D39" i="7" a="1"/>
  <c r="D39" i="7" s="1"/>
  <c r="D70" i="4" a="1"/>
  <c r="D70" i="4" s="1"/>
  <c r="B40" i="7" a="1"/>
  <c r="B40" i="7" s="1"/>
  <c r="B32" i="6" a="1"/>
  <c r="B32" i="6" s="1"/>
  <c r="B71" i="4" a="1"/>
  <c r="B71" i="4" s="1"/>
  <c r="AF133" i="2" a="1"/>
  <c r="AF133" i="2" s="1"/>
  <c r="AA133" i="2" a="1"/>
  <c r="AA133" i="2" s="1"/>
  <c r="V133" i="2" a="1"/>
  <c r="V133" i="2" s="1"/>
  <c r="AC133" i="2" a="1"/>
  <c r="AC133" i="2" s="1"/>
  <c r="W134" i="2" a="1"/>
  <c r="W134" i="2" s="1"/>
  <c r="E72" i="12" a="1"/>
  <c r="E72" i="12" s="1"/>
  <c r="U100" i="12" a="1"/>
  <c r="U100" i="12" s="1"/>
  <c r="AC139" i="2" a="1"/>
  <c r="AC139" i="2" s="1"/>
  <c r="AG139" i="2" a="1"/>
  <c r="AG139" i="2" s="1"/>
  <c r="V139" i="2" a="1"/>
  <c r="V139" i="2" s="1"/>
  <c r="W139" i="2" a="1"/>
  <c r="W139" i="2" s="1"/>
  <c r="AD139" i="2" a="1"/>
  <c r="AD139" i="2" s="1"/>
  <c r="T140" i="2" a="1"/>
  <c r="T140" i="2" s="1"/>
  <c r="AC143" i="2" a="1"/>
  <c r="AC143" i="2" s="1"/>
  <c r="D49" i="7" a="1"/>
  <c r="D49" i="7" s="1"/>
  <c r="D47" i="5" a="1"/>
  <c r="D47" i="5" s="1"/>
  <c r="D39" i="6" a="1"/>
  <c r="D39" i="6" s="1"/>
  <c r="D85" i="4" a="1"/>
  <c r="D85" i="4" s="1"/>
  <c r="V151" i="2" a="1"/>
  <c r="V151" i="2" s="1"/>
  <c r="AC152" i="2" a="1"/>
  <c r="AC152" i="2" s="1"/>
  <c r="D46" i="5" a="1"/>
  <c r="D46" i="5" s="1"/>
  <c r="D38" i="6" a="1"/>
  <c r="D38" i="6" s="1"/>
  <c r="D84" i="4" a="1"/>
  <c r="D84" i="4" s="1"/>
  <c r="AC155" i="2" a="1"/>
  <c r="AC155" i="2" s="1"/>
  <c r="AC159" i="2" a="1"/>
  <c r="AC159" i="2" s="1"/>
  <c r="U314" i="12" a="1"/>
  <c r="U314" i="12" s="1"/>
  <c r="X165" i="2" a="1"/>
  <c r="X165" i="2" s="1"/>
  <c r="Z166" i="2" a="1"/>
  <c r="Z166" i="2" s="1"/>
  <c r="AD166" i="2" a="1"/>
  <c r="AD166" i="2" s="1"/>
  <c r="X166" i="2" a="1"/>
  <c r="X166" i="2" s="1"/>
  <c r="AB166" i="2" a="1"/>
  <c r="AB166" i="2" s="1"/>
  <c r="AF166" i="2" a="1"/>
  <c r="AF166" i="2" s="1"/>
  <c r="AC167" i="2" a="1"/>
  <c r="AC167" i="2" s="1"/>
  <c r="AG167" i="2" a="1"/>
  <c r="AG167" i="2" s="1"/>
  <c r="V167" i="2" a="1"/>
  <c r="V167" i="2" s="1"/>
  <c r="Z167" i="2" a="1"/>
  <c r="Z167" i="2" s="1"/>
  <c r="X167" i="2" a="1"/>
  <c r="X167" i="2" s="1"/>
  <c r="AF167" i="2" a="1"/>
  <c r="AF167" i="2" s="1"/>
  <c r="X168" i="2" a="1"/>
  <c r="X168" i="2" s="1"/>
  <c r="AF168" i="2" a="1"/>
  <c r="AF168" i="2" s="1"/>
  <c r="E255" i="12" a="1"/>
  <c r="E255" i="12" s="1"/>
  <c r="W171" i="2" a="1"/>
  <c r="W171" i="2" s="1"/>
  <c r="AF171" i="2" a="1"/>
  <c r="AF171" i="2" s="1"/>
  <c r="E602" i="12" a="1"/>
  <c r="E602" i="12" s="1"/>
  <c r="B45" i="6" a="1"/>
  <c r="B45" i="6" s="1"/>
  <c r="B49" i="5" a="1"/>
  <c r="B49" i="5" s="1"/>
  <c r="B94" i="4" a="1"/>
  <c r="B94" i="4" s="1"/>
  <c r="U173" i="2" a="1"/>
  <c r="U173" i="2" s="1"/>
  <c r="AE173" i="2" a="1"/>
  <c r="AE173" i="2" s="1"/>
  <c r="E312" i="12" a="1"/>
  <c r="E312" i="12" s="1"/>
  <c r="AA175" i="2" a="1"/>
  <c r="AA175" i="2" s="1"/>
  <c r="AA177" i="2" a="1"/>
  <c r="AA177" i="2" s="1"/>
  <c r="Z177" i="2" a="1"/>
  <c r="Z177" i="2" s="1"/>
  <c r="AE177" i="2" a="1"/>
  <c r="AE177" i="2" s="1"/>
  <c r="T177" i="2" a="1"/>
  <c r="T177" i="2" s="1"/>
  <c r="U177" i="2" s="1" a="1"/>
  <c r="U177" i="2" s="1"/>
  <c r="X177" i="2" a="1"/>
  <c r="X177" i="2" s="1"/>
  <c r="U297" i="12" a="1"/>
  <c r="U297" i="12" s="1"/>
  <c r="V179" i="2" a="1"/>
  <c r="V179" i="2" s="1"/>
  <c r="AE179" i="2" a="1"/>
  <c r="AE179" i="2" s="1"/>
  <c r="W639" i="12" a="1"/>
  <c r="W639" i="12" s="1"/>
  <c r="AL180" i="2" a="1"/>
  <c r="AL180" i="2" s="1"/>
  <c r="AD181" i="2" a="1"/>
  <c r="AD181" i="2" s="1"/>
  <c r="Z182" i="2" a="1"/>
  <c r="Z182" i="2" s="1"/>
  <c r="AM183" i="2" a="1"/>
  <c r="AM183" i="2" s="1"/>
  <c r="AL183" i="2" s="1" a="1"/>
  <c r="AL183" i="2" s="1"/>
  <c r="AB185" i="2" a="1"/>
  <c r="AB185" i="2" s="1"/>
  <c r="W186" i="2" a="1"/>
  <c r="W186" i="2" s="1"/>
  <c r="AB187" i="2" a="1"/>
  <c r="AB187" i="2" s="1"/>
  <c r="B58" i="7" a="1"/>
  <c r="B58" i="7" s="1"/>
  <c r="B49" i="6" a="1"/>
  <c r="B49" i="6" s="1"/>
  <c r="B103" i="4" a="1"/>
  <c r="B103" i="4" s="1"/>
  <c r="E378" i="12" a="1"/>
  <c r="E378" i="12" s="1"/>
  <c r="U378" i="12" a="1"/>
  <c r="U378" i="12" s="1"/>
  <c r="D48" i="6" a="1"/>
  <c r="D48" i="6" s="1"/>
  <c r="D55" i="5" a="1"/>
  <c r="D55" i="5" s="1"/>
  <c r="D102" i="4" a="1"/>
  <c r="D102" i="4" s="1"/>
  <c r="X193" i="2" a="1"/>
  <c r="X193" i="2" s="1"/>
  <c r="W193" i="2" a="1"/>
  <c r="W193" i="2" s="1"/>
  <c r="AB193" i="2" a="1"/>
  <c r="AB193" i="2" s="1"/>
  <c r="AF193" i="2" a="1"/>
  <c r="AF193" i="2" s="1"/>
  <c r="Y193" i="2" a="1"/>
  <c r="Y193" i="2" s="1"/>
  <c r="U101" i="12" a="1"/>
  <c r="U101" i="12" s="1"/>
  <c r="AD194" i="2" a="1"/>
  <c r="AD194" i="2" s="1"/>
  <c r="AA195" i="2" a="1"/>
  <c r="AA195" i="2" s="1"/>
  <c r="AF196" i="2" a="1"/>
  <c r="AF196" i="2" s="1"/>
  <c r="AB197" i="2" a="1"/>
  <c r="AB197" i="2" s="1"/>
  <c r="AB203" i="2" a="1"/>
  <c r="AB203" i="2" s="1"/>
  <c r="X205" i="2" a="1"/>
  <c r="X205" i="2" s="1"/>
  <c r="U125" i="12" a="1"/>
  <c r="U125" i="12" s="1"/>
  <c r="AC208" i="2" a="1"/>
  <c r="AC208" i="2" s="1"/>
  <c r="S209" i="2" a="1"/>
  <c r="S209" i="2" s="1"/>
  <c r="AD211" i="2" a="1"/>
  <c r="AD211" i="2" s="1"/>
  <c r="AE213" i="2" a="1"/>
  <c r="AE213" i="2" s="1"/>
  <c r="T213" i="2" a="1"/>
  <c r="T213" i="2" s="1"/>
  <c r="AD213" i="2" a="1"/>
  <c r="AD213" i="2" s="1"/>
  <c r="S213" i="2" a="1"/>
  <c r="S213" i="2" s="1"/>
  <c r="X213" i="2" a="1"/>
  <c r="X213" i="2" s="1"/>
  <c r="AG213" i="2" a="1"/>
  <c r="AG213" i="2" s="1"/>
  <c r="V213" i="2" a="1"/>
  <c r="V213" i="2" s="1"/>
  <c r="Z213" i="2" a="1"/>
  <c r="Z213" i="2" s="1"/>
  <c r="AA213" i="2" a="1"/>
  <c r="AA213" i="2" s="1"/>
  <c r="W667" i="12" a="1"/>
  <c r="W667" i="12" s="1"/>
  <c r="AP214" i="2" a="1"/>
  <c r="AP214" i="2" s="1"/>
  <c r="AO214" i="2" a="1"/>
  <c r="AO214" i="2" s="1"/>
  <c r="AM214" i="2" a="1"/>
  <c r="AM214" i="2" s="1"/>
  <c r="AK214" i="2" a="1"/>
  <c r="AK214" i="2" s="1"/>
  <c r="X215" i="2" a="1"/>
  <c r="X215" i="2" s="1"/>
  <c r="AG216" i="2" a="1"/>
  <c r="AG216" i="2" s="1"/>
  <c r="AG217" i="2" a="1"/>
  <c r="AG217" i="2" s="1"/>
  <c r="AF218" i="2" a="1"/>
  <c r="AF218" i="2" s="1"/>
  <c r="AB221" i="2" a="1"/>
  <c r="AB221" i="2" s="1"/>
  <c r="V221" i="2" a="1"/>
  <c r="V221" i="2" s="1"/>
  <c r="AF221" i="2" a="1"/>
  <c r="AF221" i="2" s="1"/>
  <c r="Z221" i="2" a="1"/>
  <c r="Z221" i="2" s="1"/>
  <c r="AD221" i="2" a="1"/>
  <c r="AD221" i="2" s="1"/>
  <c r="S221" i="2" a="1"/>
  <c r="S221" i="2" s="1"/>
  <c r="W221" i="2" a="1"/>
  <c r="W221" i="2" s="1"/>
  <c r="AA221" i="2" a="1"/>
  <c r="AA221" i="2" s="1"/>
  <c r="AC223" i="2" a="1"/>
  <c r="AC223" i="2" s="1"/>
  <c r="AB223" i="2" a="1"/>
  <c r="AB223" i="2" s="1"/>
  <c r="V223" i="2" a="1"/>
  <c r="V223" i="2" s="1"/>
  <c r="AG223" i="2" a="1"/>
  <c r="AG223" i="2" s="1"/>
  <c r="AA223" i="2" a="1"/>
  <c r="AA223" i="2" s="1"/>
  <c r="AE223" i="2" a="1"/>
  <c r="AE223" i="2" s="1"/>
  <c r="T223" i="2" a="1"/>
  <c r="T223" i="2" s="1"/>
  <c r="X223" i="2" a="1"/>
  <c r="X223" i="2" s="1"/>
  <c r="X225" i="2" a="1"/>
  <c r="X225" i="2" s="1"/>
  <c r="AG226" i="2" a="1"/>
  <c r="AG226" i="2" s="1"/>
  <c r="AG227" i="2" a="1"/>
  <c r="AG227" i="2" s="1"/>
  <c r="AF228" i="2" a="1"/>
  <c r="AF228" i="2" s="1"/>
  <c r="AB231" i="2" a="1"/>
  <c r="AB231" i="2" s="1"/>
  <c r="V231" i="2" a="1"/>
  <c r="V231" i="2" s="1"/>
  <c r="AF231" i="2" a="1"/>
  <c r="AF231" i="2" s="1"/>
  <c r="Z231" i="2" a="1"/>
  <c r="Z231" i="2" s="1"/>
  <c r="AD231" i="2" a="1"/>
  <c r="AD231" i="2" s="1"/>
  <c r="S231" i="2" a="1"/>
  <c r="S231" i="2" s="1"/>
  <c r="W231" i="2" a="1"/>
  <c r="W231" i="2" s="1"/>
  <c r="AA231" i="2" a="1"/>
  <c r="AA231" i="2" s="1"/>
  <c r="W233" i="2" a="1"/>
  <c r="W233" i="2" s="1"/>
  <c r="X233" i="2" a="1"/>
  <c r="X233" i="2" s="1"/>
  <c r="AC233" i="2" a="1"/>
  <c r="AC233" i="2" s="1"/>
  <c r="AB233" i="2" a="1"/>
  <c r="AB233" i="2" s="1"/>
  <c r="V233" i="2" a="1"/>
  <c r="V233" i="2" s="1"/>
  <c r="AE233" i="2" a="1"/>
  <c r="AE233" i="2" s="1"/>
  <c r="Y233" i="2" a="1"/>
  <c r="Y233" i="2" s="1"/>
  <c r="E159" i="12" a="1"/>
  <c r="E159" i="12" s="1"/>
  <c r="AB235" i="2" a="1"/>
  <c r="AB235" i="2" s="1"/>
  <c r="V237" i="2" a="1"/>
  <c r="V237" i="2" s="1"/>
  <c r="E496" i="12" a="1"/>
  <c r="E496" i="12" s="1"/>
  <c r="S241" i="2" a="1"/>
  <c r="S241" i="2" s="1"/>
  <c r="U432" i="12" a="1"/>
  <c r="U432" i="12" s="1"/>
  <c r="AC245" i="2" a="1"/>
  <c r="AC245" i="2" s="1"/>
  <c r="Y249" i="2" a="1"/>
  <c r="Y249" i="2" s="1"/>
  <c r="T251" i="2" a="1"/>
  <c r="T251" i="2" s="1"/>
  <c r="U346" i="12" a="1"/>
  <c r="U346" i="12" s="1"/>
  <c r="Z253" i="2" a="1"/>
  <c r="Z253" i="2" s="1"/>
  <c r="T256" i="2" a="1"/>
  <c r="T256" i="2" s="1"/>
  <c r="U372" i="12" a="1"/>
  <c r="U372" i="12" s="1"/>
  <c r="W257" i="2" a="1"/>
  <c r="W257" i="2" s="1"/>
  <c r="U167" i="12" a="1"/>
  <c r="U167" i="12" s="1"/>
  <c r="Y262" i="2" a="1"/>
  <c r="Y262" i="2" s="1"/>
  <c r="E154" i="12" a="1"/>
  <c r="E154" i="12" s="1"/>
  <c r="AA264" i="2" a="1"/>
  <c r="AA264" i="2" s="1"/>
  <c r="AP265" i="2" a="1"/>
  <c r="AP265" i="2" s="1"/>
  <c r="V268" i="2" a="1"/>
  <c r="V268" i="2" s="1"/>
  <c r="D79" i="7" a="1"/>
  <c r="D79" i="7" s="1"/>
  <c r="D135" i="4" a="1"/>
  <c r="D135" i="4" s="1"/>
  <c r="W273" i="2" a="1"/>
  <c r="W273" i="2" s="1"/>
  <c r="U419" i="12" a="1"/>
  <c r="U419" i="12" s="1"/>
  <c r="E204" i="12" a="1"/>
  <c r="E204" i="12" s="1"/>
  <c r="U442" i="12" a="1"/>
  <c r="U442" i="12" s="1"/>
  <c r="E502" i="12" a="1"/>
  <c r="E502" i="12" s="1"/>
  <c r="U558" i="12" a="1"/>
  <c r="U558" i="12" s="1"/>
  <c r="AF290" i="2" a="1"/>
  <c r="AF290" i="2" s="1"/>
  <c r="AG291" i="2" a="1"/>
  <c r="AG291" i="2" s="1"/>
  <c r="AB291" i="2" a="1"/>
  <c r="AB291" i="2" s="1"/>
  <c r="W291" i="2" a="1"/>
  <c r="W291" i="2" s="1"/>
  <c r="T291" i="2" a="1"/>
  <c r="T291" i="2" s="1"/>
  <c r="AC291" i="2" a="1"/>
  <c r="AC291" i="2" s="1"/>
  <c r="AA291" i="2" a="1"/>
  <c r="AA291" i="2" s="1"/>
  <c r="S291" i="2" a="1"/>
  <c r="S291" i="2" s="1"/>
  <c r="Z291" i="2" a="1"/>
  <c r="Z291" i="2" s="1"/>
  <c r="Y291" i="2" a="1"/>
  <c r="Y291" i="2" s="1"/>
  <c r="X291" i="2" a="1"/>
  <c r="X291" i="2" s="1"/>
  <c r="AD291" i="2" a="1"/>
  <c r="AD291" i="2" s="1"/>
  <c r="V291" i="2" a="1"/>
  <c r="V291" i="2" s="1"/>
  <c r="AD311" i="2" a="1"/>
  <c r="AD311" i="2" s="1"/>
  <c r="Y311" i="2" a="1"/>
  <c r="Y311" i="2" s="1"/>
  <c r="T311" i="2" a="1"/>
  <c r="T311" i="2" s="1"/>
  <c r="AF311" i="2" a="1"/>
  <c r="AF311" i="2" s="1"/>
  <c r="Z311" i="2" a="1"/>
  <c r="Z311" i="2" s="1"/>
  <c r="S311" i="2" a="1"/>
  <c r="S311" i="2" s="1"/>
  <c r="X311" i="2" a="1"/>
  <c r="X311" i="2" s="1"/>
  <c r="V311" i="2" a="1"/>
  <c r="V311" i="2" s="1"/>
  <c r="AG311" i="2" a="1"/>
  <c r="AG311" i="2" s="1"/>
  <c r="AE311" i="2" a="1"/>
  <c r="AE311" i="2" s="1"/>
  <c r="AC311" i="2" a="1"/>
  <c r="AC311" i="2" s="1"/>
  <c r="AB311" i="2" a="1"/>
  <c r="AB311" i="2" s="1"/>
  <c r="W311" i="2" a="1"/>
  <c r="W311" i="2" s="1"/>
  <c r="AD320" i="2" a="1"/>
  <c r="AD320" i="2" s="1"/>
  <c r="Y320" i="2" a="1"/>
  <c r="Y320" i="2" s="1"/>
  <c r="T320" i="2" a="1"/>
  <c r="T320" i="2" s="1"/>
  <c r="S320" i="2" a="1"/>
  <c r="S320" i="2" s="1"/>
  <c r="AE320" i="2" a="1"/>
  <c r="AE320" i="2" s="1"/>
  <c r="AC320" i="2" a="1"/>
  <c r="AC320" i="2" s="1"/>
  <c r="W320" i="2" a="1"/>
  <c r="W320" i="2" s="1"/>
  <c r="AB320" i="2" a="1"/>
  <c r="AB320" i="2" s="1"/>
  <c r="V320" i="2" a="1"/>
  <c r="V320" i="2" s="1"/>
  <c r="AG320" i="2" a="1"/>
  <c r="AG320" i="2" s="1"/>
  <c r="AF320" i="2" a="1"/>
  <c r="AF320" i="2" s="1"/>
  <c r="AA320" i="2" a="1"/>
  <c r="AA320" i="2" s="1"/>
  <c r="Z320" i="2" a="1"/>
  <c r="Z320" i="2" s="1"/>
  <c r="X320" i="2" a="1"/>
  <c r="X320" i="2" s="1"/>
  <c r="D78" i="6" a="1"/>
  <c r="D78" i="6" s="1"/>
  <c r="D151" i="4" a="1"/>
  <c r="D151" i="4" s="1"/>
  <c r="E49" i="12" a="1"/>
  <c r="E49" i="12" s="1"/>
  <c r="E184" i="12" a="1"/>
  <c r="E184" i="12" s="1"/>
  <c r="D14" i="6" a="1"/>
  <c r="D14" i="6" s="1"/>
  <c r="D27" i="4" a="1"/>
  <c r="D27" i="4" s="1"/>
  <c r="E118" i="12" a="1"/>
  <c r="E118" i="12" s="1"/>
  <c r="D18" i="7" a="1"/>
  <c r="D18" i="7" s="1"/>
  <c r="D18" i="6" a="1"/>
  <c r="D18" i="6" s="1"/>
  <c r="D17" i="5" a="1"/>
  <c r="D17" i="5" s="1"/>
  <c r="D32" i="4" a="1"/>
  <c r="D32" i="4" s="1"/>
  <c r="V61" i="2" a="1"/>
  <c r="V61" i="2" s="1"/>
  <c r="AG61" i="2" a="1"/>
  <c r="AG61" i="2" s="1"/>
  <c r="D19" i="7" a="1"/>
  <c r="D19" i="7" s="1"/>
  <c r="D19" i="6" a="1"/>
  <c r="D19" i="6" s="1"/>
  <c r="D35" i="4" a="1"/>
  <c r="D35" i="4" s="1"/>
  <c r="AG65" i="2" a="1"/>
  <c r="AG65" i="2" s="1"/>
  <c r="D21" i="5" a="1"/>
  <c r="D21" i="5" s="1"/>
  <c r="D40" i="4" a="1"/>
  <c r="D40" i="4" s="1"/>
  <c r="U37" i="12" a="1"/>
  <c r="U37" i="12" s="1"/>
  <c r="B23" i="7" a="1"/>
  <c r="B23" i="7" s="1"/>
  <c r="B39" i="4" a="1"/>
  <c r="B39" i="4" s="1"/>
  <c r="AB73" i="2" a="1"/>
  <c r="AB73" i="2" s="1"/>
  <c r="U178" i="12" a="1"/>
  <c r="U178" i="12" s="1"/>
  <c r="Y93" i="2" a="1"/>
  <c r="Y93" i="2" s="1"/>
  <c r="E50" i="12" a="1"/>
  <c r="E50" i="12" s="1"/>
  <c r="U38" i="12" a="1"/>
  <c r="U38" i="12" s="1"/>
  <c r="V76" i="2" a="1"/>
  <c r="V76" i="2" s="1"/>
  <c r="T84" i="2" a="1"/>
  <c r="T84" i="2" s="1"/>
  <c r="T89" i="2" a="1"/>
  <c r="T89" i="2" s="1"/>
  <c r="T93" i="2" a="1"/>
  <c r="T93" i="2" s="1"/>
  <c r="U93" i="2" s="1" a="1"/>
  <c r="U93" i="2" s="1"/>
  <c r="E32" i="12" a="1"/>
  <c r="E32" i="12" s="1"/>
  <c r="D28" i="7" a="1"/>
  <c r="D28" i="7" s="1"/>
  <c r="D25" i="6" a="1"/>
  <c r="D25" i="6" s="1"/>
  <c r="D53" i="4" a="1"/>
  <c r="D53" i="4" s="1"/>
  <c r="T102" i="2" a="1"/>
  <c r="T102" i="2" s="1"/>
  <c r="T107" i="2" a="1"/>
  <c r="T107" i="2" s="1"/>
  <c r="AK108" i="2" a="1"/>
  <c r="AK108" i="2" s="1"/>
  <c r="U95" i="12" a="1"/>
  <c r="U95" i="12" s="1"/>
  <c r="U79" i="12" a="1"/>
  <c r="U79" i="12" s="1"/>
  <c r="U222" i="12" a="1"/>
  <c r="U222" i="12" s="1"/>
  <c r="W133" i="2" a="1"/>
  <c r="W133" i="2" s="1"/>
  <c r="X134" i="2" a="1"/>
  <c r="X134" i="2" s="1"/>
  <c r="AD134" i="2" a="1"/>
  <c r="AD134" i="2" s="1"/>
  <c r="E94" i="12" a="1"/>
  <c r="E94" i="12" s="1"/>
  <c r="X139" i="2" a="1"/>
  <c r="X139" i="2" s="1"/>
  <c r="AB140" i="2" a="1"/>
  <c r="AB140" i="2" s="1"/>
  <c r="AD141" i="2" a="1"/>
  <c r="AD141" i="2" s="1"/>
  <c r="S141" i="2" a="1"/>
  <c r="S141" i="2" s="1"/>
  <c r="W141" i="2" a="1"/>
  <c r="W141" i="2" s="1"/>
  <c r="X141" i="2" a="1"/>
  <c r="X141" i="2" s="1"/>
  <c r="AE141" i="2" a="1"/>
  <c r="AE141" i="2" s="1"/>
  <c r="W143" i="2" a="1"/>
  <c r="W143" i="2" s="1"/>
  <c r="AD143" i="2" a="1"/>
  <c r="AD143" i="2" s="1"/>
  <c r="Z144" i="2" a="1"/>
  <c r="Z144" i="2" s="1"/>
  <c r="AA145" i="2" a="1"/>
  <c r="AA145" i="2" s="1"/>
  <c r="Y145" i="2" a="1"/>
  <c r="Y145" i="2" s="1"/>
  <c r="AD145" i="2" a="1"/>
  <c r="AD145" i="2" s="1"/>
  <c r="AM146" i="2" a="1"/>
  <c r="AM146" i="2" s="1"/>
  <c r="B45" i="7" a="1"/>
  <c r="B45" i="7" s="1"/>
  <c r="B80" i="4" a="1"/>
  <c r="B80" i="4" s="1"/>
  <c r="AC148" i="2" a="1"/>
  <c r="AC148" i="2" s="1"/>
  <c r="AG148" i="2" a="1"/>
  <c r="AG148" i="2" s="1"/>
  <c r="V148" i="2" a="1"/>
  <c r="V148" i="2" s="1"/>
  <c r="W148" i="2" a="1"/>
  <c r="W148" i="2" s="1"/>
  <c r="AD148" i="2" a="1"/>
  <c r="AD148" i="2" s="1"/>
  <c r="W151" i="2" a="1"/>
  <c r="W151" i="2" s="1"/>
  <c r="AE151" i="2" a="1"/>
  <c r="AE151" i="2" s="1"/>
  <c r="D50" i="7" a="1"/>
  <c r="D50" i="7" s="1"/>
  <c r="D40" i="6" a="1"/>
  <c r="D40" i="6" s="1"/>
  <c r="D87" i="4" a="1"/>
  <c r="D87" i="4" s="1"/>
  <c r="V152" i="2" a="1"/>
  <c r="V152" i="2" s="1"/>
  <c r="AD152" i="2" a="1"/>
  <c r="AD152" i="2" s="1"/>
  <c r="AP153" i="2" a="1"/>
  <c r="AP153" i="2" s="1"/>
  <c r="V155" i="2" a="1"/>
  <c r="V155" i="2" s="1"/>
  <c r="AD155" i="2" a="1"/>
  <c r="AD155" i="2" s="1"/>
  <c r="AC156" i="2" a="1"/>
  <c r="AC156" i="2" s="1"/>
  <c r="AD157" i="2" a="1"/>
  <c r="AD157" i="2" s="1"/>
  <c r="V158" i="2" a="1"/>
  <c r="V158" i="2" s="1"/>
  <c r="AD158" i="2" a="1"/>
  <c r="AD158" i="2" s="1"/>
  <c r="V159" i="2" a="1"/>
  <c r="V159" i="2" s="1"/>
  <c r="AD159" i="2" a="1"/>
  <c r="AD159" i="2" s="1"/>
  <c r="T160" i="2" a="1"/>
  <c r="T160" i="2" s="1"/>
  <c r="S161" i="2" a="1"/>
  <c r="S161" i="2" s="1"/>
  <c r="AA161" i="2" a="1"/>
  <c r="AA161" i="2" s="1"/>
  <c r="S162" i="2" a="1"/>
  <c r="S162" i="2" s="1"/>
  <c r="AA162" i="2" a="1"/>
  <c r="AA162" i="2" s="1"/>
  <c r="AG165" i="2" a="1"/>
  <c r="AG165" i="2" s="1"/>
  <c r="Y166" i="2" a="1"/>
  <c r="Y166" i="2" s="1"/>
  <c r="E65" i="12" a="1"/>
  <c r="E65" i="12" s="1"/>
  <c r="Y167" i="2" a="1"/>
  <c r="Y167" i="2" s="1"/>
  <c r="E111" i="12" a="1"/>
  <c r="E111" i="12" s="1"/>
  <c r="Y168" i="2" a="1"/>
  <c r="Y168" i="2" s="1"/>
  <c r="AG168" i="2" a="1"/>
  <c r="AG168" i="2" s="1"/>
  <c r="AM170" i="2" a="1"/>
  <c r="AM170" i="2" s="1"/>
  <c r="V173" i="2" a="1"/>
  <c r="V173" i="2" s="1"/>
  <c r="AB174" i="2" a="1"/>
  <c r="AB174" i="2" s="1"/>
  <c r="AA174" i="2" a="1"/>
  <c r="AA174" i="2" s="1"/>
  <c r="AF174" i="2" a="1"/>
  <c r="AF174" i="2" s="1"/>
  <c r="Y174" i="2" a="1"/>
  <c r="Y174" i="2" s="1"/>
  <c r="B56" i="7" a="1"/>
  <c r="B56" i="7" s="1"/>
  <c r="B52" i="5" a="1"/>
  <c r="B52" i="5" s="1"/>
  <c r="B98" i="4" a="1"/>
  <c r="B98" i="4" s="1"/>
  <c r="AE176" i="2" a="1"/>
  <c r="AE176" i="2" s="1"/>
  <c r="Y177" i="2" a="1"/>
  <c r="Y177" i="2" s="1"/>
  <c r="W179" i="2" a="1"/>
  <c r="W179" i="2" s="1"/>
  <c r="V181" i="2" a="1"/>
  <c r="V181" i="2" s="1"/>
  <c r="S185" i="2" a="1"/>
  <c r="S185" i="2" s="1"/>
  <c r="S187" i="2" a="1"/>
  <c r="S187" i="2" s="1"/>
  <c r="AC187" i="2" a="1"/>
  <c r="AC187" i="2" s="1"/>
  <c r="AG188" i="2" a="1"/>
  <c r="AG188" i="2" s="1"/>
  <c r="S189" i="2" a="1"/>
  <c r="S189" i="2" s="1"/>
  <c r="AN190" i="2" a="1"/>
  <c r="AN190" i="2" s="1"/>
  <c r="W191" i="2" a="1"/>
  <c r="W191" i="2" s="1"/>
  <c r="AG191" i="2" a="1"/>
  <c r="AG191" i="2" s="1"/>
  <c r="V191" i="2" a="1"/>
  <c r="V191" i="2" s="1"/>
  <c r="AA191" i="2" a="1"/>
  <c r="AA191" i="2" s="1"/>
  <c r="AE191" i="2" a="1"/>
  <c r="AE191" i="2" s="1"/>
  <c r="Y191" i="2" a="1"/>
  <c r="Y191" i="2" s="1"/>
  <c r="Z191" i="2" a="1"/>
  <c r="Z191" i="2" s="1"/>
  <c r="V192" i="2" a="1"/>
  <c r="V192" i="2" s="1"/>
  <c r="Z193" i="2" a="1"/>
  <c r="Z193" i="2" s="1"/>
  <c r="AE194" i="2" a="1"/>
  <c r="AE194" i="2" s="1"/>
  <c r="S195" i="2" a="1"/>
  <c r="S195" i="2" s="1"/>
  <c r="AB195" i="2" a="1"/>
  <c r="AB195" i="2" s="1"/>
  <c r="X196" i="2" a="1"/>
  <c r="X196" i="2" s="1"/>
  <c r="U335" i="12" a="1"/>
  <c r="U335" i="12" s="1"/>
  <c r="T197" i="2" a="1"/>
  <c r="T197" i="2" s="1"/>
  <c r="AC197" i="2" a="1"/>
  <c r="AC197" i="2" s="1"/>
  <c r="AG198" i="2" a="1"/>
  <c r="AG198" i="2" s="1"/>
  <c r="W200" i="2" a="1"/>
  <c r="W200" i="2" s="1"/>
  <c r="AG200" i="2" a="1"/>
  <c r="AG200" i="2" s="1"/>
  <c r="V200" i="2" a="1"/>
  <c r="V200" i="2" s="1"/>
  <c r="AA200" i="2" a="1"/>
  <c r="AA200" i="2" s="1"/>
  <c r="AE200" i="2" a="1"/>
  <c r="AE200" i="2" s="1"/>
  <c r="T200" i="2" a="1"/>
  <c r="T200" i="2" s="1"/>
  <c r="U200" i="2" s="1" a="1"/>
  <c r="U200" i="2" s="1"/>
  <c r="Z200" i="2" a="1"/>
  <c r="Z200" i="2" s="1"/>
  <c r="D62" i="7" a="1"/>
  <c r="D62" i="7" s="1"/>
  <c r="D53" i="6" a="1"/>
  <c r="D53" i="6" s="1"/>
  <c r="D108" i="4" a="1"/>
  <c r="D108" i="4" s="1"/>
  <c r="D57" i="5" a="1"/>
  <c r="D57" i="5" s="1"/>
  <c r="Y202" i="2" a="1"/>
  <c r="Y202" i="2" s="1"/>
  <c r="AG202" i="2" a="1"/>
  <c r="AG202" i="2" s="1"/>
  <c r="S203" i="2" a="1"/>
  <c r="S203" i="2" s="1"/>
  <c r="D63" i="7" a="1"/>
  <c r="D63" i="7" s="1"/>
  <c r="D109" i="4" a="1"/>
  <c r="D109" i="4" s="1"/>
  <c r="AE204" i="2" a="1"/>
  <c r="AE204" i="2" s="1"/>
  <c r="T204" i="2" a="1"/>
  <c r="T204" i="2" s="1"/>
  <c r="AD204" i="2" a="1"/>
  <c r="AD204" i="2" s="1"/>
  <c r="X204" i="2" a="1"/>
  <c r="X204" i="2" s="1"/>
  <c r="AC204" i="2" a="1"/>
  <c r="AC204" i="2" s="1"/>
  <c r="AG204" i="2" a="1"/>
  <c r="AG204" i="2" s="1"/>
  <c r="V204" i="2" a="1"/>
  <c r="V204" i="2" s="1"/>
  <c r="Z204" i="2" a="1"/>
  <c r="Z204" i="2" s="1"/>
  <c r="Y205" i="2" a="1"/>
  <c r="Y205" i="2" s="1"/>
  <c r="S208" i="2" a="1"/>
  <c r="S208" i="2" s="1"/>
  <c r="AF209" i="2" a="1"/>
  <c r="AF209" i="2" s="1"/>
  <c r="AF210" i="2" a="1"/>
  <c r="AF210" i="2" s="1"/>
  <c r="AK212" i="2" a="1"/>
  <c r="AK212" i="2" s="1"/>
  <c r="D58" i="5" a="1"/>
  <c r="D58" i="5" s="1"/>
  <c r="D54" i="6" a="1"/>
  <c r="D54" i="6" s="1"/>
  <c r="D111" i="4" a="1"/>
  <c r="D111" i="4" s="1"/>
  <c r="E120" i="12" a="1"/>
  <c r="E120" i="12" s="1"/>
  <c r="U368" i="12" a="1"/>
  <c r="U368" i="12" s="1"/>
  <c r="W217" i="2" a="1"/>
  <c r="W217" i="2" s="1"/>
  <c r="U151" i="12" a="1"/>
  <c r="U151" i="12" s="1"/>
  <c r="W218" i="2" a="1"/>
  <c r="W218" i="2" s="1"/>
  <c r="U283" i="12" a="1"/>
  <c r="U283" i="12" s="1"/>
  <c r="V219" i="2" a="1"/>
  <c r="V219" i="2" s="1"/>
  <c r="T220" i="2" a="1"/>
  <c r="T220" i="2" s="1"/>
  <c r="AE220" i="2" a="1"/>
  <c r="AE220" i="2" s="1"/>
  <c r="E365" i="12" a="1"/>
  <c r="E365" i="12" s="1"/>
  <c r="AE222" i="2" a="1"/>
  <c r="AE222" i="2" s="1"/>
  <c r="T222" i="2" a="1"/>
  <c r="T222" i="2" s="1"/>
  <c r="AD222" i="2" a="1"/>
  <c r="AD222" i="2" s="1"/>
  <c r="S222" i="2" a="1"/>
  <c r="S222" i="2" s="1"/>
  <c r="X222" i="2" a="1"/>
  <c r="X222" i="2" s="1"/>
  <c r="AB222" i="2" a="1"/>
  <c r="AB222" i="2" s="1"/>
  <c r="V222" i="2" a="1"/>
  <c r="V222" i="2" s="1"/>
  <c r="Z222" i="2" a="1"/>
  <c r="Z222" i="2" s="1"/>
  <c r="U388" i="12" a="1"/>
  <c r="U388" i="12" s="1"/>
  <c r="W227" i="2" a="1"/>
  <c r="W227" i="2" s="1"/>
  <c r="U325" i="12" a="1"/>
  <c r="U325" i="12" s="1"/>
  <c r="W228" i="2" a="1"/>
  <c r="W228" i="2" s="1"/>
  <c r="U165" i="12" a="1"/>
  <c r="U165" i="12" s="1"/>
  <c r="V229" i="2" a="1"/>
  <c r="V229" i="2" s="1"/>
  <c r="T230" i="2" a="1"/>
  <c r="T230" i="2" s="1"/>
  <c r="AE230" i="2" a="1"/>
  <c r="AE230" i="2" s="1"/>
  <c r="E142" i="12" a="1"/>
  <c r="E142" i="12" s="1"/>
  <c r="AC231" i="2" a="1"/>
  <c r="AC231" i="2" s="1"/>
  <c r="AE232" i="2" a="1"/>
  <c r="AE232" i="2" s="1"/>
  <c r="T232" i="2" a="1"/>
  <c r="T232" i="2" s="1"/>
  <c r="AD232" i="2" a="1"/>
  <c r="AD232" i="2" s="1"/>
  <c r="S232" i="2" a="1"/>
  <c r="S232" i="2" s="1"/>
  <c r="X232" i="2" a="1"/>
  <c r="X232" i="2" s="1"/>
  <c r="AB232" i="2" a="1"/>
  <c r="AB232" i="2" s="1"/>
  <c r="V232" i="2" a="1"/>
  <c r="V232" i="2" s="1"/>
  <c r="Z232" i="2" a="1"/>
  <c r="Z232" i="2" s="1"/>
  <c r="AD233" i="2" a="1"/>
  <c r="AD233" i="2" s="1"/>
  <c r="AF234" i="2" a="1"/>
  <c r="AF234" i="2" s="1"/>
  <c r="AD234" i="2" a="1"/>
  <c r="AD234" i="2" s="1"/>
  <c r="AB234" i="2" a="1"/>
  <c r="AB234" i="2" s="1"/>
  <c r="V234" i="2" a="1"/>
  <c r="V234" i="2" s="1"/>
  <c r="Z234" i="2" a="1"/>
  <c r="Z234" i="2" s="1"/>
  <c r="T234" i="2" a="1"/>
  <c r="T234" i="2" s="1"/>
  <c r="X234" i="2" a="1"/>
  <c r="X234" i="2" s="1"/>
  <c r="D65" i="5" a="1"/>
  <c r="D65" i="5" s="1"/>
  <c r="D131" i="4" a="1"/>
  <c r="D131" i="4" s="1"/>
  <c r="U321" i="12" a="1"/>
  <c r="U321" i="12" s="1"/>
  <c r="W237" i="2" a="1"/>
  <c r="W237" i="2" s="1"/>
  <c r="W238" i="2" a="1"/>
  <c r="W238" i="2" s="1"/>
  <c r="AG238" i="2" a="1"/>
  <c r="AG238" i="2" s="1"/>
  <c r="AA238" i="2" a="1"/>
  <c r="AA238" i="2" s="1"/>
  <c r="AF238" i="2" a="1"/>
  <c r="AF238" i="2" s="1"/>
  <c r="Z238" i="2" a="1"/>
  <c r="Z238" i="2" s="1"/>
  <c r="T238" i="2" a="1"/>
  <c r="T238" i="2" s="1"/>
  <c r="S238" i="2" a="1"/>
  <c r="S238" i="2" s="1"/>
  <c r="AD238" i="2" a="1"/>
  <c r="AD238" i="2" s="1"/>
  <c r="AB238" i="2" a="1"/>
  <c r="AB238" i="2" s="1"/>
  <c r="D66" i="5" a="1"/>
  <c r="D66" i="5" s="1"/>
  <c r="D132" i="4" a="1"/>
  <c r="D132" i="4" s="1"/>
  <c r="AD239" i="2" a="1"/>
  <c r="AD239" i="2" s="1"/>
  <c r="Z243" i="2" a="1"/>
  <c r="Z243" i="2" s="1"/>
  <c r="S245" i="2" a="1"/>
  <c r="S245" i="2" s="1"/>
  <c r="T246" i="2" a="1"/>
  <c r="T246" i="2" s="1"/>
  <c r="U156" i="12" a="1"/>
  <c r="U156" i="12" s="1"/>
  <c r="W247" i="2" a="1"/>
  <c r="W247" i="2" s="1"/>
  <c r="B97" i="8" a="1"/>
  <c r="B97" i="8" s="1"/>
  <c r="AB253" i="2" a="1"/>
  <c r="AB253" i="2" s="1"/>
  <c r="B66" i="6" a="1"/>
  <c r="B66" i="6" s="1"/>
  <c r="B129" i="4" a="1"/>
  <c r="B129" i="4" s="1"/>
  <c r="AC258" i="2" a="1"/>
  <c r="AC258" i="2" s="1"/>
  <c r="T258" i="2" a="1"/>
  <c r="T258" i="2" s="1"/>
  <c r="W258" i="2" a="1"/>
  <c r="W258" i="2" s="1"/>
  <c r="X258" i="2" a="1"/>
  <c r="X258" i="2" s="1"/>
  <c r="U164" i="12" a="1"/>
  <c r="U164" i="12" s="1"/>
  <c r="AA262" i="2" a="1"/>
  <c r="AA262" i="2" s="1"/>
  <c r="AD264" i="2" a="1"/>
  <c r="AD264" i="2" s="1"/>
  <c r="AD266" i="2" a="1"/>
  <c r="AD266" i="2" s="1"/>
  <c r="Y266" i="2" a="1"/>
  <c r="Y266" i="2" s="1"/>
  <c r="T266" i="2" a="1"/>
  <c r="T266" i="2" s="1"/>
  <c r="AE266" i="2" a="1"/>
  <c r="AE266" i="2" s="1"/>
  <c r="AC266" i="2" a="1"/>
  <c r="AC266" i="2" s="1"/>
  <c r="AB266" i="2" a="1"/>
  <c r="AB266" i="2" s="1"/>
  <c r="AA266" i="2" a="1"/>
  <c r="AA266" i="2" s="1"/>
  <c r="S266" i="2" a="1"/>
  <c r="S266" i="2" s="1"/>
  <c r="AG266" i="2" a="1"/>
  <c r="AG266" i="2" s="1"/>
  <c r="V266" i="2" a="1"/>
  <c r="V266" i="2" s="1"/>
  <c r="U479" i="12" a="1"/>
  <c r="U479" i="12" s="1"/>
  <c r="AE267" i="2" a="1"/>
  <c r="AE267" i="2" s="1"/>
  <c r="W268" i="2" a="1"/>
  <c r="W268" i="2" s="1"/>
  <c r="W269" i="2" a="1"/>
  <c r="W269" i="2" s="1"/>
  <c r="B33" i="9" a="1"/>
  <c r="B33" i="9" s="1"/>
  <c r="W278" i="2" a="1"/>
  <c r="W278" i="2" s="1"/>
  <c r="W283" i="2" a="1"/>
  <c r="W283" i="2" s="1"/>
  <c r="D83" i="7" a="1"/>
  <c r="D83" i="7" s="1"/>
  <c r="D141" i="4" a="1"/>
  <c r="D141" i="4" s="1"/>
  <c r="V286" i="2" a="1"/>
  <c r="V286" i="2" s="1"/>
  <c r="T286" i="2" a="1"/>
  <c r="T286" i="2" s="1"/>
  <c r="W286" i="2" a="1"/>
  <c r="W286" i="2" s="1"/>
  <c r="AK289" i="2" a="1"/>
  <c r="AK289" i="2" s="1"/>
  <c r="AL289" i="2" s="1" a="1"/>
  <c r="AL289" i="2" s="1"/>
  <c r="AE292" i="2" a="1"/>
  <c r="AE292" i="2" s="1"/>
  <c r="AG293" i="2" a="1"/>
  <c r="AG293" i="2" s="1"/>
  <c r="AB293" i="2" a="1"/>
  <c r="AB293" i="2" s="1"/>
  <c r="W293" i="2" a="1"/>
  <c r="W293" i="2" s="1"/>
  <c r="T293" i="2" a="1"/>
  <c r="T293" i="2" s="1"/>
  <c r="Y293" i="2" a="1"/>
  <c r="Y293" i="2" s="1"/>
  <c r="AF293" i="2" a="1"/>
  <c r="AF293" i="2" s="1"/>
  <c r="X293" i="2" a="1"/>
  <c r="X293" i="2" s="1"/>
  <c r="AE293" i="2" a="1"/>
  <c r="AE293" i="2" s="1"/>
  <c r="AD293" i="2" a="1"/>
  <c r="AD293" i="2" s="1"/>
  <c r="AC293" i="2" a="1"/>
  <c r="AC293" i="2" s="1"/>
  <c r="AA293" i="2" a="1"/>
  <c r="AA293" i="2" s="1"/>
  <c r="S293" i="2" a="1"/>
  <c r="S293" i="2" s="1"/>
  <c r="Z293" i="2" a="1"/>
  <c r="Z293" i="2" s="1"/>
  <c r="E412" i="12" a="1"/>
  <c r="E412" i="12" s="1"/>
  <c r="U522" i="12" a="1"/>
  <c r="U522" i="12" s="1"/>
  <c r="U108" i="12" a="1"/>
  <c r="U108" i="12" s="1"/>
  <c r="AG241" i="2" a="1"/>
  <c r="AG241" i="2" s="1"/>
  <c r="V241" i="2" a="1"/>
  <c r="V241" i="2" s="1"/>
  <c r="W241" i="2" a="1"/>
  <c r="W241" i="2" s="1"/>
  <c r="AC241" i="2" a="1"/>
  <c r="AC241" i="2" s="1"/>
  <c r="U123" i="12" a="1"/>
  <c r="U123" i="12" s="1"/>
  <c r="AF250" i="2" a="1"/>
  <c r="AF250" i="2" s="1"/>
  <c r="AA250" i="2" a="1"/>
  <c r="AA250" i="2" s="1"/>
  <c r="V250" i="2" a="1"/>
  <c r="V250" i="2" s="1"/>
  <c r="AD250" i="2" a="1"/>
  <c r="AD250" i="2" s="1"/>
  <c r="W250" i="2" a="1"/>
  <c r="W250" i="2" s="1"/>
  <c r="AF252" i="2" a="1"/>
  <c r="AF252" i="2" s="1"/>
  <c r="AA252" i="2" a="1"/>
  <c r="AA252" i="2" s="1"/>
  <c r="V252" i="2" a="1"/>
  <c r="V252" i="2" s="1"/>
  <c r="AE252" i="2" a="1"/>
  <c r="AE252" i="2" s="1"/>
  <c r="Y252" i="2" a="1"/>
  <c r="Y252" i="2" s="1"/>
  <c r="W252" i="2" a="1"/>
  <c r="W252" i="2" s="1"/>
  <c r="AD252" i="2" a="1"/>
  <c r="AD252" i="2" s="1"/>
  <c r="U427" i="12" a="1"/>
  <c r="U427" i="12" s="1"/>
  <c r="W653" i="12" a="1"/>
  <c r="W653" i="12" s="1"/>
  <c r="AO260" i="2" a="1"/>
  <c r="AO260" i="2" s="1"/>
  <c r="AP260" i="2" a="1"/>
  <c r="AP260" i="2" s="1"/>
  <c r="AA263" i="2" a="1"/>
  <c r="AA263" i="2" s="1"/>
  <c r="D142" i="4" a="1"/>
  <c r="D142" i="4" s="1"/>
  <c r="D70" i="5" a="1"/>
  <c r="D70" i="5" s="1"/>
  <c r="D76" i="5" a="1"/>
  <c r="D76" i="5" s="1"/>
  <c r="D155" i="4" a="1"/>
  <c r="D155" i="4" s="1"/>
  <c r="E194" i="12" a="1"/>
  <c r="E194" i="12" s="1"/>
  <c r="E397" i="12" a="1"/>
  <c r="E397" i="12" s="1"/>
  <c r="U528" i="12" a="1"/>
  <c r="U528" i="12" s="1"/>
  <c r="AF300" i="2" a="1"/>
  <c r="AF300" i="2" s="1"/>
  <c r="AA300" i="2" a="1"/>
  <c r="AA300" i="2" s="1"/>
  <c r="V300" i="2" a="1"/>
  <c r="V300" i="2" s="1"/>
  <c r="AB300" i="2" a="1"/>
  <c r="AB300" i="2" s="1"/>
  <c r="S300" i="2" a="1"/>
  <c r="S300" i="2" s="1"/>
  <c r="X300" i="2" a="1"/>
  <c r="X300" i="2" s="1"/>
  <c r="Y300" i="2" a="1"/>
  <c r="Y300" i="2" s="1"/>
  <c r="W616" i="12" a="1"/>
  <c r="W616" i="12" s="1"/>
  <c r="AO303" i="2" a="1"/>
  <c r="AO303" i="2" s="1"/>
  <c r="AP303" i="2" a="1"/>
  <c r="AP303" i="2" s="1"/>
  <c r="AN303" i="2" a="1"/>
  <c r="AN303" i="2" s="1"/>
  <c r="AM303" i="2" a="1"/>
  <c r="AM303" i="2" s="1"/>
  <c r="D72" i="6" a="1"/>
  <c r="D72" i="6" s="1"/>
  <c r="D145" i="4" a="1"/>
  <c r="D145" i="4" s="1"/>
  <c r="E163" i="12" a="1"/>
  <c r="E163" i="12" s="1"/>
  <c r="U199" i="12" a="1"/>
  <c r="U199" i="12" s="1"/>
  <c r="D89" i="7" a="1"/>
  <c r="D89" i="7" s="1"/>
  <c r="D78" i="5" a="1"/>
  <c r="D78" i="5" s="1"/>
  <c r="D157" i="4" a="1"/>
  <c r="D157" i="4" s="1"/>
  <c r="B90" i="7" a="1"/>
  <c r="B90" i="7" s="1"/>
  <c r="B80" i="5" a="1"/>
  <c r="B80" i="5" s="1"/>
  <c r="B159" i="4" a="1"/>
  <c r="B159" i="4" s="1"/>
  <c r="V327" i="2" a="1"/>
  <c r="V327" i="2" s="1"/>
  <c r="T328" i="2" a="1"/>
  <c r="T328" i="2" s="1"/>
  <c r="B137" i="8" a="1"/>
  <c r="B137" i="8" s="1"/>
  <c r="E179" i="12" a="1"/>
  <c r="E179" i="12" s="1"/>
  <c r="AC335" i="2" a="1"/>
  <c r="AC335" i="2" s="1"/>
  <c r="AG338" i="2" a="1"/>
  <c r="AG338" i="2" s="1"/>
  <c r="AB338" i="2" a="1"/>
  <c r="AB338" i="2" s="1"/>
  <c r="W338" i="2" a="1"/>
  <c r="W338" i="2" s="1"/>
  <c r="AC338" i="2" a="1"/>
  <c r="AC338" i="2" s="1"/>
  <c r="X338" i="2" a="1"/>
  <c r="X338" i="2" s="1"/>
  <c r="S338" i="2" a="1"/>
  <c r="S338" i="2" s="1"/>
  <c r="AE338" i="2" a="1"/>
  <c r="AE338" i="2" s="1"/>
  <c r="AD338" i="2" a="1"/>
  <c r="AD338" i="2" s="1"/>
  <c r="E504" i="12" a="1"/>
  <c r="E504" i="12" s="1"/>
  <c r="E415" i="12" a="1"/>
  <c r="E415" i="12" s="1"/>
  <c r="U508" i="12" a="1"/>
  <c r="U508" i="12" s="1"/>
  <c r="B146" i="8" a="1"/>
  <c r="B146" i="8" s="1"/>
  <c r="B151" i="8" a="1"/>
  <c r="B151" i="8" s="1"/>
  <c r="AF356" i="2" a="1"/>
  <c r="AF356" i="2" s="1"/>
  <c r="AA356" i="2" a="1"/>
  <c r="AA356" i="2" s="1"/>
  <c r="V356" i="2" a="1"/>
  <c r="V356" i="2" s="1"/>
  <c r="AG356" i="2" a="1"/>
  <c r="AG356" i="2" s="1"/>
  <c r="AB356" i="2" a="1"/>
  <c r="AB356" i="2" s="1"/>
  <c r="W356" i="2" a="1"/>
  <c r="W356" i="2" s="1"/>
  <c r="Z356" i="2" a="1"/>
  <c r="Z356" i="2" s="1"/>
  <c r="S356" i="2" a="1"/>
  <c r="S356" i="2" s="1"/>
  <c r="AE356" i="2" a="1"/>
  <c r="AE356" i="2" s="1"/>
  <c r="X356" i="2" a="1"/>
  <c r="X356" i="2" s="1"/>
  <c r="AC356" i="2" a="1"/>
  <c r="AC356" i="2" s="1"/>
  <c r="D86" i="6" a="1"/>
  <c r="D86" i="6" s="1"/>
  <c r="D170" i="4" a="1"/>
  <c r="D170" i="4" s="1"/>
  <c r="U244" i="12" a="1"/>
  <c r="U244" i="12" s="1"/>
  <c r="B156" i="8" a="1"/>
  <c r="B156" i="8" s="1"/>
  <c r="E236" i="12" a="1"/>
  <c r="E236" i="12" s="1"/>
  <c r="E451" i="12" a="1"/>
  <c r="E451" i="12" s="1"/>
  <c r="B161" i="8" a="1"/>
  <c r="B161" i="8" s="1"/>
  <c r="AO381" i="2" a="1"/>
  <c r="AO381" i="2" s="1"/>
  <c r="AK381" i="2" a="1"/>
  <c r="AK381" i="2" s="1"/>
  <c r="AC393" i="2" a="1"/>
  <c r="AC393" i="2" s="1"/>
  <c r="S393" i="2" a="1"/>
  <c r="S393" i="2" s="1"/>
  <c r="Z399" i="2" a="1"/>
  <c r="Z399" i="2" s="1"/>
  <c r="AE399" i="2" a="1"/>
  <c r="AE399" i="2" s="1"/>
  <c r="T399" i="2" a="1"/>
  <c r="T399" i="2" s="1"/>
  <c r="AC399" i="2" a="1"/>
  <c r="AC399" i="2" s="1"/>
  <c r="AG399" i="2" a="1"/>
  <c r="AG399" i="2" s="1"/>
  <c r="AA399" i="2" a="1"/>
  <c r="AA399" i="2" s="1"/>
  <c r="X399" i="2" a="1"/>
  <c r="X399" i="2" s="1"/>
  <c r="AF399" i="2" a="1"/>
  <c r="AF399" i="2" s="1"/>
  <c r="W399" i="2" a="1"/>
  <c r="W399" i="2" s="1"/>
  <c r="AD399" i="2" a="1"/>
  <c r="AD399" i="2" s="1"/>
  <c r="S399" i="2" a="1"/>
  <c r="S399" i="2" s="1"/>
  <c r="AB399" i="2" a="1"/>
  <c r="AB399" i="2" s="1"/>
  <c r="Y399" i="2" a="1"/>
  <c r="Y399" i="2" s="1"/>
  <c r="AC403" i="2" a="1"/>
  <c r="AC403" i="2" s="1"/>
  <c r="S403" i="2" a="1"/>
  <c r="S403" i="2" s="1"/>
  <c r="U257" i="12" a="1"/>
  <c r="U257" i="12" s="1"/>
  <c r="B68" i="6" a="1"/>
  <c r="B68" i="6" s="1"/>
  <c r="B138" i="4" a="1"/>
  <c r="B138" i="4" s="1"/>
  <c r="U194" i="12" a="1"/>
  <c r="U194" i="12" s="1"/>
  <c r="U229" i="12" a="1"/>
  <c r="U229" i="12" s="1"/>
  <c r="B124" i="8" a="1"/>
  <c r="B124" i="8" s="1"/>
  <c r="U497" i="12" a="1"/>
  <c r="U497" i="12" s="1"/>
  <c r="D87" i="7" a="1"/>
  <c r="D87" i="7" s="1"/>
  <c r="D76" i="6" a="1"/>
  <c r="D76" i="6" s="1"/>
  <c r="D149" i="4" a="1"/>
  <c r="D149" i="4" s="1"/>
  <c r="B129" i="8" a="1"/>
  <c r="B129" i="8" s="1"/>
  <c r="E186" i="12" a="1"/>
  <c r="E186" i="12" s="1"/>
  <c r="U188" i="12" a="1"/>
  <c r="U188" i="12" s="1"/>
  <c r="U190" i="12" a="1"/>
  <c r="U190" i="12" s="1"/>
  <c r="B73" i="5" a="1"/>
  <c r="B73" i="5" s="1"/>
  <c r="B75" i="6" a="1"/>
  <c r="B75" i="6" s="1"/>
  <c r="B148" i="4" a="1"/>
  <c r="B148" i="4" s="1"/>
  <c r="B133" i="8" a="1"/>
  <c r="B133" i="8" s="1"/>
  <c r="E136" i="12" a="1"/>
  <c r="E136" i="12" s="1"/>
  <c r="E131" i="12" a="1"/>
  <c r="E131" i="12" s="1"/>
  <c r="E149" i="12" a="1"/>
  <c r="E149" i="12" s="1"/>
  <c r="E462" i="12" a="1"/>
  <c r="E462" i="12" s="1"/>
  <c r="E494" i="12" a="1"/>
  <c r="E494" i="12" s="1"/>
  <c r="Y348" i="2" a="1"/>
  <c r="Y348" i="2" s="1"/>
  <c r="U357" i="2" a="1"/>
  <c r="U357" i="2" s="1"/>
  <c r="U551" i="12" a="1"/>
  <c r="U551" i="12" s="1"/>
  <c r="B154" i="8" a="1"/>
  <c r="B154" i="8" s="1"/>
  <c r="T362" i="2" a="1"/>
  <c r="T362" i="2" s="1"/>
  <c r="U527" i="12" a="1"/>
  <c r="U527" i="12" s="1"/>
  <c r="AC371" i="2" a="1"/>
  <c r="AC371" i="2" s="1"/>
  <c r="U375" i="2" a="1"/>
  <c r="U375" i="2" s="1"/>
  <c r="E520" i="12" a="1"/>
  <c r="E520" i="12" s="1"/>
  <c r="X378" i="2" a="1"/>
  <c r="X378" i="2" s="1"/>
  <c r="U495" i="12" a="1"/>
  <c r="U495" i="12" s="1"/>
  <c r="U530" i="12" a="1"/>
  <c r="U530" i="12" s="1"/>
  <c r="X386" i="2" a="1"/>
  <c r="X386" i="2" s="1"/>
  <c r="AC386" i="2" a="1"/>
  <c r="AC386" i="2" s="1"/>
  <c r="W386" i="2" a="1"/>
  <c r="W386" i="2" s="1"/>
  <c r="AF386" i="2" a="1"/>
  <c r="AF386" i="2" s="1"/>
  <c r="Y386" i="2" a="1"/>
  <c r="Y386" i="2" s="1"/>
  <c r="S386" i="2" a="1"/>
  <c r="S386" i="2" s="1"/>
  <c r="AA386" i="2" a="1"/>
  <c r="AA386" i="2" s="1"/>
  <c r="AG386" i="2" a="1"/>
  <c r="AG386" i="2" s="1"/>
  <c r="V386" i="2" a="1"/>
  <c r="V386" i="2" s="1"/>
  <c r="AE386" i="2" a="1"/>
  <c r="AE386" i="2" s="1"/>
  <c r="AD386" i="2" a="1"/>
  <c r="AD386" i="2" s="1"/>
  <c r="AB386" i="2" a="1"/>
  <c r="AB386" i="2" s="1"/>
  <c r="T386" i="2" a="1"/>
  <c r="T386" i="2" s="1"/>
  <c r="E208" i="12" a="1"/>
  <c r="E208" i="12" s="1"/>
  <c r="E323" i="12" a="1"/>
  <c r="E323" i="12" s="1"/>
  <c r="E241" i="12" a="1"/>
  <c r="E241" i="12" s="1"/>
  <c r="E229" i="12" a="1"/>
  <c r="E229" i="12" s="1"/>
  <c r="E205" i="12" a="1"/>
  <c r="E205" i="12" s="1"/>
  <c r="AD307" i="2" a="1"/>
  <c r="AD307" i="2" s="1"/>
  <c r="Y307" i="2" a="1"/>
  <c r="Y307" i="2" s="1"/>
  <c r="T307" i="2" a="1"/>
  <c r="T307" i="2" s="1"/>
  <c r="AC307" i="2" a="1"/>
  <c r="AC307" i="2" s="1"/>
  <c r="W307" i="2" a="1"/>
  <c r="W307" i="2" s="1"/>
  <c r="AA307" i="2" a="1"/>
  <c r="AA307" i="2" s="1"/>
  <c r="AF307" i="2" a="1"/>
  <c r="AF307" i="2" s="1"/>
  <c r="Z307" i="2" a="1"/>
  <c r="Z307" i="2" s="1"/>
  <c r="U454" i="12" a="1"/>
  <c r="U454" i="12" s="1"/>
  <c r="AD310" i="2" a="1"/>
  <c r="AD310" i="2" s="1"/>
  <c r="Y310" i="2" a="1"/>
  <c r="Y310" i="2" s="1"/>
  <c r="T310" i="2" a="1"/>
  <c r="T310" i="2" s="1"/>
  <c r="S310" i="2" a="1"/>
  <c r="S310" i="2" s="1"/>
  <c r="AE310" i="2" a="1"/>
  <c r="AE310" i="2" s="1"/>
  <c r="AC310" i="2" a="1"/>
  <c r="AC310" i="2" s="1"/>
  <c r="W310" i="2" a="1"/>
  <c r="W310" i="2" s="1"/>
  <c r="AB310" i="2" a="1"/>
  <c r="AB310" i="2" s="1"/>
  <c r="AA310" i="2" a="1"/>
  <c r="AA310" i="2" s="1"/>
  <c r="U163" i="12" a="1"/>
  <c r="U163" i="12" s="1"/>
  <c r="B84" i="5" a="1"/>
  <c r="B84" i="5" s="1"/>
  <c r="B166" i="4" a="1"/>
  <c r="B166" i="4" s="1"/>
  <c r="B88" i="7" a="1"/>
  <c r="B88" i="7" s="1"/>
  <c r="B79" i="6" a="1"/>
  <c r="B79" i="6" s="1"/>
  <c r="B153" i="4" a="1"/>
  <c r="B153" i="4" s="1"/>
  <c r="U586" i="12" a="1"/>
  <c r="U586" i="12" s="1"/>
  <c r="D90" i="7" a="1"/>
  <c r="D90" i="7" s="1"/>
  <c r="D80" i="5" a="1"/>
  <c r="D80" i="5" s="1"/>
  <c r="D159" i="4" a="1"/>
  <c r="D159" i="4" s="1"/>
  <c r="B134" i="8" a="1"/>
  <c r="B134" i="8" s="1"/>
  <c r="B39" i="9" a="1"/>
  <c r="B39" i="9" s="1"/>
  <c r="T334" i="2" a="1"/>
  <c r="T334" i="2" s="1"/>
  <c r="AE335" i="2" a="1"/>
  <c r="AE335" i="2" s="1"/>
  <c r="E168" i="12" a="1"/>
  <c r="E168" i="12" s="1"/>
  <c r="AF338" i="2" a="1"/>
  <c r="AF338" i="2" s="1"/>
  <c r="T339" i="2" a="1"/>
  <c r="T339" i="2" s="1"/>
  <c r="U415" i="12" a="1"/>
  <c r="U415" i="12" s="1"/>
  <c r="V343" i="2" a="1"/>
  <c r="V343" i="2" s="1"/>
  <c r="B180" i="4" a="1"/>
  <c r="B180" i="4" s="1"/>
  <c r="B90" i="5" a="1"/>
  <c r="B90" i="5" s="1"/>
  <c r="Z348" i="2" a="1"/>
  <c r="Z348" i="2" s="1"/>
  <c r="AG349" i="2" a="1"/>
  <c r="AG349" i="2" s="1"/>
  <c r="AB349" i="2" a="1"/>
  <c r="AB349" i="2" s="1"/>
  <c r="W349" i="2" a="1"/>
  <c r="W349" i="2" s="1"/>
  <c r="AC349" i="2" a="1"/>
  <c r="AC349" i="2" s="1"/>
  <c r="X349" i="2" a="1"/>
  <c r="X349" i="2" s="1"/>
  <c r="S349" i="2" a="1"/>
  <c r="S349" i="2" s="1"/>
  <c r="Z349" i="2" a="1"/>
  <c r="Z349" i="2" s="1"/>
  <c r="AE349" i="2" a="1"/>
  <c r="AE349" i="2" s="1"/>
  <c r="V349" i="2" a="1"/>
  <c r="V349" i="2" s="1"/>
  <c r="AG350" i="2" a="1"/>
  <c r="AG350" i="2" s="1"/>
  <c r="AB350" i="2" a="1"/>
  <c r="AB350" i="2" s="1"/>
  <c r="W350" i="2" a="1"/>
  <c r="W350" i="2" s="1"/>
  <c r="AC350" i="2" a="1"/>
  <c r="AC350" i="2" s="1"/>
  <c r="X350" i="2" a="1"/>
  <c r="X350" i="2" s="1"/>
  <c r="S350" i="2" a="1"/>
  <c r="S350" i="2" s="1"/>
  <c r="V350" i="2" a="1"/>
  <c r="V350" i="2" s="1"/>
  <c r="AA350" i="2" a="1"/>
  <c r="AA350" i="2" s="1"/>
  <c r="T350" i="2" a="1"/>
  <c r="T350" i="2" s="1"/>
  <c r="AF350" i="2" a="1"/>
  <c r="AF350" i="2" s="1"/>
  <c r="Y350" i="2" a="1"/>
  <c r="Y350" i="2" s="1"/>
  <c r="AG352" i="2" a="1"/>
  <c r="AG352" i="2" s="1"/>
  <c r="AB352" i="2" a="1"/>
  <c r="AB352" i="2" s="1"/>
  <c r="W352" i="2" a="1"/>
  <c r="W352" i="2" s="1"/>
  <c r="AC352" i="2" a="1"/>
  <c r="AC352" i="2" s="1"/>
  <c r="X352" i="2" a="1"/>
  <c r="X352" i="2" s="1"/>
  <c r="S352" i="2" a="1"/>
  <c r="S352" i="2" s="1"/>
  <c r="AA352" i="2" a="1"/>
  <c r="AA352" i="2" s="1"/>
  <c r="T352" i="2" a="1"/>
  <c r="T352" i="2" s="1"/>
  <c r="Z352" i="2" a="1"/>
  <c r="Z352" i="2" s="1"/>
  <c r="AF352" i="2" a="1"/>
  <c r="AF352" i="2" s="1"/>
  <c r="Y352" i="2" a="1"/>
  <c r="Y352" i="2" s="1"/>
  <c r="AE352" i="2" a="1"/>
  <c r="AE352" i="2" s="1"/>
  <c r="U231" i="12" a="1"/>
  <c r="U231" i="12" s="1"/>
  <c r="B153" i="8" a="1"/>
  <c r="B153" i="8" s="1"/>
  <c r="T360" i="2" a="1"/>
  <c r="T360" i="2" s="1"/>
  <c r="AF364" i="2" a="1"/>
  <c r="AF364" i="2" s="1"/>
  <c r="AA364" i="2" a="1"/>
  <c r="AA364" i="2" s="1"/>
  <c r="V364" i="2" a="1"/>
  <c r="V364" i="2" s="1"/>
  <c r="AG364" i="2" a="1"/>
  <c r="AG364" i="2" s="1"/>
  <c r="AB364" i="2" a="1"/>
  <c r="AB364" i="2" s="1"/>
  <c r="W364" i="2" a="1"/>
  <c r="W364" i="2" s="1"/>
  <c r="Z364" i="2" a="1"/>
  <c r="Z364" i="2" s="1"/>
  <c r="S364" i="2" a="1"/>
  <c r="S364" i="2" s="1"/>
  <c r="AE364" i="2" a="1"/>
  <c r="AE364" i="2" s="1"/>
  <c r="X364" i="2" a="1"/>
  <c r="X364" i="2" s="1"/>
  <c r="AC364" i="2" a="1"/>
  <c r="AC364" i="2" s="1"/>
  <c r="U215" i="12" a="1"/>
  <c r="U215" i="12" s="1"/>
  <c r="U367" i="2" a="1"/>
  <c r="U367" i="2" s="1"/>
  <c r="D87" i="6" a="1"/>
  <c r="D87" i="6" s="1"/>
  <c r="D87" i="5" a="1"/>
  <c r="D87" i="5" s="1"/>
  <c r="D172" i="4" a="1"/>
  <c r="D172" i="4" s="1"/>
  <c r="E210" i="12" a="1"/>
  <c r="E210" i="12" s="1"/>
  <c r="E495" i="12" a="1"/>
  <c r="E495" i="12" s="1"/>
  <c r="AG383" i="2" a="1"/>
  <c r="AG383" i="2" s="1"/>
  <c r="AB383" i="2" a="1"/>
  <c r="AB383" i="2" s="1"/>
  <c r="W383" i="2" a="1"/>
  <c r="W383" i="2" s="1"/>
  <c r="AC383" i="2" a="1"/>
  <c r="AC383" i="2" s="1"/>
  <c r="X383" i="2" a="1"/>
  <c r="X383" i="2" s="1"/>
  <c r="S383" i="2" a="1"/>
  <c r="S383" i="2" s="1"/>
  <c r="Z383" i="2" a="1"/>
  <c r="Z383" i="2" s="1"/>
  <c r="AF383" i="2" a="1"/>
  <c r="AF383" i="2" s="1"/>
  <c r="Y383" i="2" a="1"/>
  <c r="Y383" i="2" s="1"/>
  <c r="AE383" i="2" a="1"/>
  <c r="AE383" i="2" s="1"/>
  <c r="AD383" i="2" a="1"/>
  <c r="AD383" i="2" s="1"/>
  <c r="AA383" i="2" a="1"/>
  <c r="AA383" i="2" s="1"/>
  <c r="T383" i="2" a="1"/>
  <c r="T383" i="2" s="1"/>
  <c r="AR385" i="2" a="1"/>
  <c r="AR385" i="2" s="1"/>
  <c r="Z394" i="2" a="1"/>
  <c r="Z394" i="2" s="1"/>
  <c r="AE394" i="2" a="1"/>
  <c r="AE394" i="2" s="1"/>
  <c r="T394" i="2" a="1"/>
  <c r="T394" i="2" s="1"/>
  <c r="AC394" i="2" a="1"/>
  <c r="AC394" i="2" s="1"/>
  <c r="AG394" i="2" a="1"/>
  <c r="AG394" i="2" s="1"/>
  <c r="AA394" i="2" a="1"/>
  <c r="AA394" i="2" s="1"/>
  <c r="Y394" i="2" a="1"/>
  <c r="Y394" i="2" s="1"/>
  <c r="AF394" i="2" a="1"/>
  <c r="AF394" i="2" s="1"/>
  <c r="W394" i="2" a="1"/>
  <c r="W394" i="2" s="1"/>
  <c r="V394" i="2" a="1"/>
  <c r="V394" i="2" s="1"/>
  <c r="AD394" i="2" a="1"/>
  <c r="AD394" i="2" s="1"/>
  <c r="S394" i="2" a="1"/>
  <c r="S394" i="2" s="1"/>
  <c r="AB394" i="2" a="1"/>
  <c r="AB394" i="2" s="1"/>
  <c r="B96" i="6" a="1"/>
  <c r="B96" i="6" s="1"/>
  <c r="B108" i="7" a="1"/>
  <c r="B108" i="7" s="1"/>
  <c r="B188" i="4" a="1"/>
  <c r="B188" i="4" s="1"/>
  <c r="V399" i="2" a="1"/>
  <c r="V399" i="2" s="1"/>
  <c r="X400" i="2" a="1"/>
  <c r="X400" i="2" s="1"/>
  <c r="AC400" i="2" a="1"/>
  <c r="AC400" i="2" s="1"/>
  <c r="AF400" i="2" a="1"/>
  <c r="AF400" i="2" s="1"/>
  <c r="Y400" i="2" a="1"/>
  <c r="Y400" i="2" s="1"/>
  <c r="T400" i="2" a="1"/>
  <c r="T400" i="2" s="1"/>
  <c r="AB400" i="2" a="1"/>
  <c r="AB400" i="2" s="1"/>
  <c r="S400" i="2" a="1"/>
  <c r="S400" i="2" s="1"/>
  <c r="Z400" i="2" a="1"/>
  <c r="Z400" i="2" s="1"/>
  <c r="AG400" i="2" a="1"/>
  <c r="AG400" i="2" s="1"/>
  <c r="W400" i="2" a="1"/>
  <c r="W400" i="2" s="1"/>
  <c r="V400" i="2" a="1"/>
  <c r="V400" i="2" s="1"/>
  <c r="AE400" i="2" a="1"/>
  <c r="AE400" i="2" s="1"/>
  <c r="AD400" i="2" a="1"/>
  <c r="AD400" i="2" s="1"/>
  <c r="E483" i="12" a="1"/>
  <c r="E483" i="12" s="1"/>
  <c r="AE430" i="2" a="1"/>
  <c r="AE430" i="2" s="1"/>
  <c r="AC430" i="2" a="1"/>
  <c r="AC430" i="2" s="1"/>
  <c r="T430" i="2" a="1"/>
  <c r="T430" i="2" s="1"/>
  <c r="S430" i="2" a="1"/>
  <c r="S430" i="2" s="1"/>
  <c r="V430" i="2" a="1"/>
  <c r="V430" i="2" s="1"/>
  <c r="U581" i="12" a="1"/>
  <c r="U581" i="12" s="1"/>
  <c r="B50" i="7" a="1"/>
  <c r="B50" i="7" s="1"/>
  <c r="B40" i="6" a="1"/>
  <c r="B40" i="6" s="1"/>
  <c r="B87" i="4" a="1"/>
  <c r="B87" i="4" s="1"/>
  <c r="U312" i="12" a="1"/>
  <c r="U312" i="12" s="1"/>
  <c r="E177" i="12" a="1"/>
  <c r="E177" i="12" s="1"/>
  <c r="E379" i="12" a="1"/>
  <c r="E379" i="12" s="1"/>
  <c r="E138" i="12" a="1"/>
  <c r="E138" i="12" s="1"/>
  <c r="D60" i="6" a="1"/>
  <c r="D60" i="6" s="1"/>
  <c r="D72" i="7" a="1"/>
  <c r="D72" i="7" s="1"/>
  <c r="D121" i="4" a="1"/>
  <c r="D121" i="4" s="1"/>
  <c r="Y241" i="2" a="1"/>
  <c r="Y241" i="2" s="1"/>
  <c r="AE241" i="2" a="1"/>
  <c r="AE241" i="2" s="1"/>
  <c r="AF245" i="2" a="1"/>
  <c r="AF245" i="2" s="1"/>
  <c r="AA245" i="2" a="1"/>
  <c r="AA245" i="2" s="1"/>
  <c r="V245" i="2" a="1"/>
  <c r="V245" i="2" s="1"/>
  <c r="AG245" i="2" a="1"/>
  <c r="AG245" i="2" s="1"/>
  <c r="W245" i="2" a="1"/>
  <c r="W245" i="2" s="1"/>
  <c r="AD245" i="2" a="1"/>
  <c r="AD245" i="2" s="1"/>
  <c r="AF255" i="2" a="1"/>
  <c r="AF255" i="2" s="1"/>
  <c r="AA255" i="2" a="1"/>
  <c r="AA255" i="2" s="1"/>
  <c r="V255" i="2" a="1"/>
  <c r="V255" i="2" s="1"/>
  <c r="AG255" i="2" a="1"/>
  <c r="AG255" i="2" s="1"/>
  <c r="W255" i="2" a="1"/>
  <c r="W255" i="2" s="1"/>
  <c r="AD255" i="2" a="1"/>
  <c r="AD255" i="2" s="1"/>
  <c r="V263" i="2" a="1"/>
  <c r="V263" i="2" s="1"/>
  <c r="AC272" i="2" a="1"/>
  <c r="AC272" i="2" s="1"/>
  <c r="X272" i="2" a="1"/>
  <c r="X272" i="2" s="1"/>
  <c r="S272" i="2" a="1"/>
  <c r="S272" i="2" s="1"/>
  <c r="AE272" i="2" a="1"/>
  <c r="AE272" i="2" s="1"/>
  <c r="Y272" i="2" a="1"/>
  <c r="Y272" i="2" s="1"/>
  <c r="AD272" i="2" a="1"/>
  <c r="AD272" i="2" s="1"/>
  <c r="AG272" i="2" a="1"/>
  <c r="AG272" i="2" s="1"/>
  <c r="AC273" i="2" a="1"/>
  <c r="AC273" i="2" s="1"/>
  <c r="X273" i="2" a="1"/>
  <c r="X273" i="2" s="1"/>
  <c r="S273" i="2" a="1"/>
  <c r="S273" i="2" s="1"/>
  <c r="AE273" i="2" a="1"/>
  <c r="AE273" i="2" s="1"/>
  <c r="Y273" i="2" a="1"/>
  <c r="Y273" i="2" s="1"/>
  <c r="AD273" i="2" a="1"/>
  <c r="AD273" i="2" s="1"/>
  <c r="AG273" i="2" a="1"/>
  <c r="AG273" i="2" s="1"/>
  <c r="AC274" i="2" a="1"/>
  <c r="AC274" i="2" s="1"/>
  <c r="X274" i="2" a="1"/>
  <c r="X274" i="2" s="1"/>
  <c r="S274" i="2" a="1"/>
  <c r="S274" i="2" s="1"/>
  <c r="AE274" i="2" a="1"/>
  <c r="AE274" i="2" s="1"/>
  <c r="Y274" i="2" a="1"/>
  <c r="Y274" i="2" s="1"/>
  <c r="AD274" i="2" a="1"/>
  <c r="AD274" i="2" s="1"/>
  <c r="AG274" i="2" a="1"/>
  <c r="AG274" i="2" s="1"/>
  <c r="AC275" i="2" a="1"/>
  <c r="AC275" i="2" s="1"/>
  <c r="X275" i="2" a="1"/>
  <c r="X275" i="2" s="1"/>
  <c r="S275" i="2" a="1"/>
  <c r="S275" i="2" s="1"/>
  <c r="AE275" i="2" a="1"/>
  <c r="AE275" i="2" s="1"/>
  <c r="Y275" i="2" a="1"/>
  <c r="Y275" i="2" s="1"/>
  <c r="AD275" i="2" a="1"/>
  <c r="AD275" i="2" s="1"/>
  <c r="AG275" i="2" a="1"/>
  <c r="AG275" i="2" s="1"/>
  <c r="AC276" i="2" a="1"/>
  <c r="AC276" i="2" s="1"/>
  <c r="X276" i="2" a="1"/>
  <c r="X276" i="2" s="1"/>
  <c r="S276" i="2" a="1"/>
  <c r="S276" i="2" s="1"/>
  <c r="AE276" i="2" a="1"/>
  <c r="AE276" i="2" s="1"/>
  <c r="Y276" i="2" a="1"/>
  <c r="Y276" i="2" s="1"/>
  <c r="AD276" i="2" a="1"/>
  <c r="AD276" i="2" s="1"/>
  <c r="AG276" i="2" a="1"/>
  <c r="AG276" i="2" s="1"/>
  <c r="AC277" i="2" a="1"/>
  <c r="AC277" i="2" s="1"/>
  <c r="X277" i="2" a="1"/>
  <c r="X277" i="2" s="1"/>
  <c r="S277" i="2" a="1"/>
  <c r="S277" i="2" s="1"/>
  <c r="AE277" i="2" a="1"/>
  <c r="AE277" i="2" s="1"/>
  <c r="Y277" i="2" a="1"/>
  <c r="Y277" i="2" s="1"/>
  <c r="AD277" i="2" a="1"/>
  <c r="AD277" i="2" s="1"/>
  <c r="AG277" i="2" a="1"/>
  <c r="AG277" i="2" s="1"/>
  <c r="AC278" i="2" a="1"/>
  <c r="AC278" i="2" s="1"/>
  <c r="X278" i="2" a="1"/>
  <c r="X278" i="2" s="1"/>
  <c r="S278" i="2" a="1"/>
  <c r="S278" i="2" s="1"/>
  <c r="AE278" i="2" a="1"/>
  <c r="AE278" i="2" s="1"/>
  <c r="Y278" i="2" a="1"/>
  <c r="Y278" i="2" s="1"/>
  <c r="AD278" i="2" a="1"/>
  <c r="AD278" i="2" s="1"/>
  <c r="AG278" i="2" a="1"/>
  <c r="AG278" i="2" s="1"/>
  <c r="AC279" i="2" a="1"/>
  <c r="AC279" i="2" s="1"/>
  <c r="X279" i="2" a="1"/>
  <c r="X279" i="2" s="1"/>
  <c r="S279" i="2" a="1"/>
  <c r="S279" i="2" s="1"/>
  <c r="AE279" i="2" a="1"/>
  <c r="AE279" i="2" s="1"/>
  <c r="Y279" i="2" a="1"/>
  <c r="Y279" i="2" s="1"/>
  <c r="AD279" i="2" a="1"/>
  <c r="AD279" i="2" s="1"/>
  <c r="AG279" i="2" a="1"/>
  <c r="AG279" i="2" s="1"/>
  <c r="AC280" i="2" a="1"/>
  <c r="AC280" i="2" s="1"/>
  <c r="X280" i="2" a="1"/>
  <c r="X280" i="2" s="1"/>
  <c r="S280" i="2" a="1"/>
  <c r="S280" i="2" s="1"/>
  <c r="AE280" i="2" a="1"/>
  <c r="AE280" i="2" s="1"/>
  <c r="Y280" i="2" a="1"/>
  <c r="Y280" i="2" s="1"/>
  <c r="AD280" i="2" a="1"/>
  <c r="AD280" i="2" s="1"/>
  <c r="AG280" i="2" a="1"/>
  <c r="AG280" i="2" s="1"/>
  <c r="AC281" i="2" a="1"/>
  <c r="AC281" i="2" s="1"/>
  <c r="X281" i="2" a="1"/>
  <c r="X281" i="2" s="1"/>
  <c r="S281" i="2" a="1"/>
  <c r="S281" i="2" s="1"/>
  <c r="AE281" i="2" a="1"/>
  <c r="AE281" i="2" s="1"/>
  <c r="Y281" i="2" a="1"/>
  <c r="Y281" i="2" s="1"/>
  <c r="AD281" i="2" a="1"/>
  <c r="AD281" i="2" s="1"/>
  <c r="AG281" i="2" a="1"/>
  <c r="AG281" i="2" s="1"/>
  <c r="AC282" i="2" a="1"/>
  <c r="AC282" i="2" s="1"/>
  <c r="X282" i="2" a="1"/>
  <c r="X282" i="2" s="1"/>
  <c r="S282" i="2" a="1"/>
  <c r="S282" i="2" s="1"/>
  <c r="AE282" i="2" a="1"/>
  <c r="AE282" i="2" s="1"/>
  <c r="Y282" i="2" a="1"/>
  <c r="Y282" i="2" s="1"/>
  <c r="AD282" i="2" a="1"/>
  <c r="AD282" i="2" s="1"/>
  <c r="AG282" i="2" a="1"/>
  <c r="AG282" i="2" s="1"/>
  <c r="AC283" i="2" a="1"/>
  <c r="AC283" i="2" s="1"/>
  <c r="X283" i="2" a="1"/>
  <c r="X283" i="2" s="1"/>
  <c r="S283" i="2" a="1"/>
  <c r="S283" i="2" s="1"/>
  <c r="AE283" i="2" a="1"/>
  <c r="AE283" i="2" s="1"/>
  <c r="Y283" i="2" a="1"/>
  <c r="Y283" i="2" s="1"/>
  <c r="AD283" i="2" a="1"/>
  <c r="AD283" i="2" s="1"/>
  <c r="AG283" i="2" a="1"/>
  <c r="AG283" i="2" s="1"/>
  <c r="AC284" i="2" a="1"/>
  <c r="AC284" i="2" s="1"/>
  <c r="X284" i="2" a="1"/>
  <c r="X284" i="2" s="1"/>
  <c r="S284" i="2" a="1"/>
  <c r="S284" i="2" s="1"/>
  <c r="AE284" i="2" a="1"/>
  <c r="AE284" i="2" s="1"/>
  <c r="Y284" i="2" a="1"/>
  <c r="Y284" i="2" s="1"/>
  <c r="AD284" i="2" a="1"/>
  <c r="AD284" i="2" s="1"/>
  <c r="AG284" i="2" a="1"/>
  <c r="AG284" i="2" s="1"/>
  <c r="AC285" i="2" a="1"/>
  <c r="AC285" i="2" s="1"/>
  <c r="X285" i="2" a="1"/>
  <c r="X285" i="2" s="1"/>
  <c r="S285" i="2" a="1"/>
  <c r="S285" i="2" s="1"/>
  <c r="AE285" i="2" a="1"/>
  <c r="AE285" i="2" s="1"/>
  <c r="Y285" i="2" a="1"/>
  <c r="Y285" i="2" s="1"/>
  <c r="AD285" i="2" a="1"/>
  <c r="AD285" i="2" s="1"/>
  <c r="AG285" i="2" a="1"/>
  <c r="AG285" i="2" s="1"/>
  <c r="AC286" i="2" a="1"/>
  <c r="AC286" i="2" s="1"/>
  <c r="X286" i="2" a="1"/>
  <c r="X286" i="2" s="1"/>
  <c r="S286" i="2" a="1"/>
  <c r="S286" i="2" s="1"/>
  <c r="AE286" i="2" a="1"/>
  <c r="AE286" i="2" s="1"/>
  <c r="Y286" i="2" a="1"/>
  <c r="Y286" i="2" s="1"/>
  <c r="AD286" i="2" a="1"/>
  <c r="AD286" i="2" s="1"/>
  <c r="AG286" i="2" a="1"/>
  <c r="AG286" i="2" s="1"/>
  <c r="AC287" i="2" a="1"/>
  <c r="AC287" i="2" s="1"/>
  <c r="X287" i="2" a="1"/>
  <c r="X287" i="2" s="1"/>
  <c r="S287" i="2" a="1"/>
  <c r="S287" i="2" s="1"/>
  <c r="AE287" i="2" a="1"/>
  <c r="AE287" i="2" s="1"/>
  <c r="Y287" i="2" a="1"/>
  <c r="Y287" i="2" s="1"/>
  <c r="AD287" i="2" a="1"/>
  <c r="AD287" i="2" s="1"/>
  <c r="AG287" i="2" a="1"/>
  <c r="AG287" i="2" s="1"/>
  <c r="AC288" i="2" a="1"/>
  <c r="AC288" i="2" s="1"/>
  <c r="X288" i="2" a="1"/>
  <c r="X288" i="2" s="1"/>
  <c r="S288" i="2" a="1"/>
  <c r="S288" i="2" s="1"/>
  <c r="AE288" i="2" a="1"/>
  <c r="AE288" i="2" s="1"/>
  <c r="Y288" i="2" a="1"/>
  <c r="Y288" i="2" s="1"/>
  <c r="AD288" i="2" a="1"/>
  <c r="AD288" i="2" s="1"/>
  <c r="AG288" i="2" a="1"/>
  <c r="AG288" i="2" s="1"/>
  <c r="W624" i="12" a="1"/>
  <c r="W624" i="12" s="1"/>
  <c r="U141" i="12" a="1"/>
  <c r="U141" i="12" s="1"/>
  <c r="B77" i="5" a="1"/>
  <c r="B77" i="5" s="1"/>
  <c r="B156" i="4" a="1"/>
  <c r="B156" i="4" s="1"/>
  <c r="S294" i="2" a="1"/>
  <c r="S294" i="2" s="1"/>
  <c r="AA294" i="2" a="1"/>
  <c r="AA294" i="2" s="1"/>
  <c r="S296" i="2" a="1"/>
  <c r="S296" i="2" s="1"/>
  <c r="B121" i="8" a="1"/>
  <c r="B121" i="8" s="1"/>
  <c r="D82" i="5" a="1"/>
  <c r="D82" i="5" s="1"/>
  <c r="D161" i="4" a="1"/>
  <c r="D161" i="4" s="1"/>
  <c r="U606" i="12" a="1"/>
  <c r="U606" i="12" s="1"/>
  <c r="B86" i="7" a="1"/>
  <c r="B86" i="7" s="1"/>
  <c r="B74" i="6" a="1"/>
  <c r="B74" i="6" s="1"/>
  <c r="B147" i="4" a="1"/>
  <c r="B147" i="4" s="1"/>
  <c r="W305" i="2" a="1"/>
  <c r="W305" i="2" s="1"/>
  <c r="U176" i="12" a="1"/>
  <c r="U176" i="12" s="1"/>
  <c r="E476" i="12" a="1"/>
  <c r="E476" i="12" s="1"/>
  <c r="AB307" i="2" a="1"/>
  <c r="AB307" i="2" s="1"/>
  <c r="E195" i="12" a="1"/>
  <c r="E195" i="12" s="1"/>
  <c r="AD312" i="2" a="1"/>
  <c r="AD312" i="2" s="1"/>
  <c r="Y312" i="2" a="1"/>
  <c r="Y312" i="2" s="1"/>
  <c r="T312" i="2" a="1"/>
  <c r="T312" i="2" s="1"/>
  <c r="AG312" i="2" a="1"/>
  <c r="AG312" i="2" s="1"/>
  <c r="AF312" i="2" a="1"/>
  <c r="AF312" i="2" s="1"/>
  <c r="Z312" i="2" a="1"/>
  <c r="Z312" i="2" s="1"/>
  <c r="AE312" i="2" a="1"/>
  <c r="AE312" i="2" s="1"/>
  <c r="X312" i="2" a="1"/>
  <c r="X312" i="2" s="1"/>
  <c r="AC312" i="2" a="1"/>
  <c r="AC312" i="2" s="1"/>
  <c r="W312" i="2" a="1"/>
  <c r="W312" i="2" s="1"/>
  <c r="U186" i="12" a="1"/>
  <c r="U186" i="12" s="1"/>
  <c r="U493" i="12" a="1"/>
  <c r="U493" i="12" s="1"/>
  <c r="W315" i="2" a="1"/>
  <c r="W315" i="2" s="1"/>
  <c r="X316" i="2" a="1"/>
  <c r="X316" i="2" s="1"/>
  <c r="B131" i="8" a="1"/>
  <c r="B131" i="8" s="1"/>
  <c r="B132" i="8" a="1"/>
  <c r="B132" i="8" s="1"/>
  <c r="AD322" i="2" a="1"/>
  <c r="AD322" i="2" s="1"/>
  <c r="Y322" i="2" a="1"/>
  <c r="Y322" i="2" s="1"/>
  <c r="T322" i="2" a="1"/>
  <c r="T322" i="2" s="1"/>
  <c r="AG322" i="2" a="1"/>
  <c r="AG322" i="2" s="1"/>
  <c r="AF322" i="2" a="1"/>
  <c r="AF322" i="2" s="1"/>
  <c r="Z322" i="2" a="1"/>
  <c r="Z322" i="2" s="1"/>
  <c r="AE322" i="2" a="1"/>
  <c r="AE322" i="2" s="1"/>
  <c r="X322" i="2" a="1"/>
  <c r="X322" i="2" s="1"/>
  <c r="AC322" i="2" a="1"/>
  <c r="AC322" i="2" s="1"/>
  <c r="W322" i="2" a="1"/>
  <c r="W322" i="2" s="1"/>
  <c r="U136" i="12" a="1"/>
  <c r="U136" i="12" s="1"/>
  <c r="E147" i="12" a="1"/>
  <c r="E147" i="12" s="1"/>
  <c r="E556" i="12" a="1"/>
  <c r="E556" i="12" s="1"/>
  <c r="U408" i="12" a="1"/>
  <c r="U408" i="12" s="1"/>
  <c r="U509" i="12" a="1"/>
  <c r="U509" i="12" s="1"/>
  <c r="B93" i="7" a="1"/>
  <c r="B93" i="7" s="1"/>
  <c r="B85" i="5" a="1"/>
  <c r="B85" i="5" s="1"/>
  <c r="B167" i="4" a="1"/>
  <c r="B167" i="4" s="1"/>
  <c r="AD350" i="2" a="1"/>
  <c r="AD350" i="2" s="1"/>
  <c r="AG351" i="2" a="1"/>
  <c r="AG351" i="2" s="1"/>
  <c r="AB351" i="2" a="1"/>
  <c r="AB351" i="2" s="1"/>
  <c r="W351" i="2" a="1"/>
  <c r="W351" i="2" s="1"/>
  <c r="AC351" i="2" a="1"/>
  <c r="AC351" i="2" s="1"/>
  <c r="X351" i="2" a="1"/>
  <c r="X351" i="2" s="1"/>
  <c r="S351" i="2" a="1"/>
  <c r="S351" i="2" s="1"/>
  <c r="AF351" i="2" a="1"/>
  <c r="AF351" i="2" s="1"/>
  <c r="Y351" i="2" a="1"/>
  <c r="Y351" i="2" s="1"/>
  <c r="AD351" i="2" a="1"/>
  <c r="AD351" i="2" s="1"/>
  <c r="V351" i="2" a="1"/>
  <c r="V351" i="2" s="1"/>
  <c r="AA351" i="2" a="1"/>
  <c r="AA351" i="2" s="1"/>
  <c r="B96" i="7" a="1"/>
  <c r="B96" i="7" s="1"/>
  <c r="B171" i="4" a="1"/>
  <c r="B171" i="4" s="1"/>
  <c r="B86" i="5" a="1"/>
  <c r="B86" i="5" s="1"/>
  <c r="AC361" i="2" a="1"/>
  <c r="AC361" i="2" s="1"/>
  <c r="B97" i="7" a="1"/>
  <c r="B97" i="7" s="1"/>
  <c r="B173" i="4" a="1"/>
  <c r="B173" i="4" s="1"/>
  <c r="B88" i="5" a="1"/>
  <c r="B88" i="5" s="1"/>
  <c r="B98" i="7" a="1"/>
  <c r="B98" i="7" s="1"/>
  <c r="B89" i="5" a="1"/>
  <c r="B89" i="5" s="1"/>
  <c r="B174" i="4" a="1"/>
  <c r="B174" i="4" s="1"/>
  <c r="AC369" i="2" a="1"/>
  <c r="AC369" i="2" s="1"/>
  <c r="S373" i="2" a="1"/>
  <c r="S373" i="2" s="1"/>
  <c r="B103" i="7" a="1"/>
  <c r="B103" i="7" s="1"/>
  <c r="B92" i="6" a="1"/>
  <c r="B92" i="6" s="1"/>
  <c r="B182" i="4" a="1"/>
  <c r="B182" i="4" s="1"/>
  <c r="B44" i="9" a="1"/>
  <c r="B44" i="9" s="1"/>
  <c r="AP381" i="2" a="1"/>
  <c r="AP381" i="2" s="1"/>
  <c r="E192" i="12" a="1"/>
  <c r="E192" i="12" s="1"/>
  <c r="B166" i="8" a="1"/>
  <c r="B166" i="8" s="1"/>
  <c r="W392" i="2" a="1"/>
  <c r="W392" i="2" s="1"/>
  <c r="AE392" i="2" a="1"/>
  <c r="AE392" i="2" s="1"/>
  <c r="Y397" i="2" a="1"/>
  <c r="Y397" i="2" s="1"/>
  <c r="AD397" i="2" a="1"/>
  <c r="AD397" i="2" s="1"/>
  <c r="S397" i="2" a="1"/>
  <c r="S397" i="2" s="1"/>
  <c r="AB397" i="2" a="1"/>
  <c r="AB397" i="2" s="1"/>
  <c r="V397" i="2" a="1"/>
  <c r="V397" i="2" s="1"/>
  <c r="Z397" i="2" a="1"/>
  <c r="Z397" i="2" s="1"/>
  <c r="AA397" i="2" a="1"/>
  <c r="AA397" i="2" s="1"/>
  <c r="X397" i="2" a="1"/>
  <c r="X397" i="2" s="1"/>
  <c r="AG397" i="2" a="1"/>
  <c r="AG397" i="2" s="1"/>
  <c r="AF397" i="2" a="1"/>
  <c r="AF397" i="2" s="1"/>
  <c r="W397" i="2" a="1"/>
  <c r="W397" i="2" s="1"/>
  <c r="AE397" i="2" a="1"/>
  <c r="AE397" i="2" s="1"/>
  <c r="AC397" i="2" a="1"/>
  <c r="AC397" i="2" s="1"/>
  <c r="T397" i="2" a="1"/>
  <c r="T397" i="2" s="1"/>
  <c r="U185" i="12" a="1"/>
  <c r="U185" i="12" s="1"/>
  <c r="E214" i="12" a="1"/>
  <c r="E214" i="12" s="1"/>
  <c r="X418" i="2" a="1"/>
  <c r="X418" i="2" s="1"/>
  <c r="AC418" i="2" a="1"/>
  <c r="AC418" i="2" s="1"/>
  <c r="AA418" i="2" a="1"/>
  <c r="AA418" i="2" s="1"/>
  <c r="AE418" i="2" a="1"/>
  <c r="AE418" i="2" s="1"/>
  <c r="Y418" i="2" a="1"/>
  <c r="Y418" i="2" s="1"/>
  <c r="AD418" i="2" a="1"/>
  <c r="AD418" i="2" s="1"/>
  <c r="T418" i="2" a="1"/>
  <c r="T418" i="2" s="1"/>
  <c r="AB418" i="2" a="1"/>
  <c r="AB418" i="2" s="1"/>
  <c r="S418" i="2" a="1"/>
  <c r="S418" i="2" s="1"/>
  <c r="Z418" i="2" a="1"/>
  <c r="Z418" i="2" s="1"/>
  <c r="AG418" i="2" a="1"/>
  <c r="AG418" i="2" s="1"/>
  <c r="W418" i="2" a="1"/>
  <c r="W418" i="2" s="1"/>
  <c r="AF418" i="2" a="1"/>
  <c r="AF418" i="2" s="1"/>
  <c r="V418" i="2" a="1"/>
  <c r="V418" i="2" s="1"/>
  <c r="B183" i="8" a="1"/>
  <c r="B183" i="8" s="1"/>
  <c r="D105" i="6" a="1"/>
  <c r="D105" i="6" s="1"/>
  <c r="D101" i="5" a="1"/>
  <c r="D101" i="5" s="1"/>
  <c r="D203" i="4" a="1"/>
  <c r="D203" i="4" s="1"/>
  <c r="B135" i="8" a="1"/>
  <c r="B135" i="8" s="1"/>
  <c r="U179" i="12" a="1"/>
  <c r="U179" i="12" s="1"/>
  <c r="D93" i="7" a="1"/>
  <c r="D93" i="7" s="1"/>
  <c r="D85" i="5" a="1"/>
  <c r="D85" i="5" s="1"/>
  <c r="D167" i="4" a="1"/>
  <c r="D167" i="4" s="1"/>
  <c r="D90" i="5" a="1"/>
  <c r="D90" i="5" s="1"/>
  <c r="D180" i="4" a="1"/>
  <c r="D180" i="4" s="1"/>
  <c r="AG348" i="2" a="1"/>
  <c r="AG348" i="2" s="1"/>
  <c r="AB348" i="2" a="1"/>
  <c r="AB348" i="2" s="1"/>
  <c r="W348" i="2" a="1"/>
  <c r="W348" i="2" s="1"/>
  <c r="AC348" i="2" a="1"/>
  <c r="AC348" i="2" s="1"/>
  <c r="X348" i="2" a="1"/>
  <c r="X348" i="2" s="1"/>
  <c r="S348" i="2" a="1"/>
  <c r="S348" i="2" s="1"/>
  <c r="AE348" i="2" a="1"/>
  <c r="AE348" i="2" s="1"/>
  <c r="AD348" i="2" a="1"/>
  <c r="AD348" i="2" s="1"/>
  <c r="E274" i="12" a="1"/>
  <c r="E274" i="12" s="1"/>
  <c r="E540" i="12" a="1"/>
  <c r="E540" i="12" s="1"/>
  <c r="W654" i="12" a="1"/>
  <c r="W654" i="12" s="1"/>
  <c r="AP355" i="2" a="1"/>
  <c r="AP355" i="2" s="1"/>
  <c r="AK355" i="2" a="1"/>
  <c r="AK355" i="2" s="1"/>
  <c r="AO355" i="2" a="1"/>
  <c r="AO355" i="2" s="1"/>
  <c r="AN355" i="2" a="1"/>
  <c r="AN355" i="2" s="1"/>
  <c r="AM355" i="2" a="1"/>
  <c r="AM355" i="2" s="1"/>
  <c r="U228" i="12" a="1"/>
  <c r="U228" i="12" s="1"/>
  <c r="D101" i="7" a="1"/>
  <c r="D101" i="7" s="1"/>
  <c r="D90" i="6" a="1"/>
  <c r="D90" i="6" s="1"/>
  <c r="D178" i="4" a="1"/>
  <c r="D178" i="4" s="1"/>
  <c r="E225" i="12" a="1"/>
  <c r="E225" i="12" s="1"/>
  <c r="U220" i="12" a="1"/>
  <c r="U220" i="12" s="1"/>
  <c r="AG382" i="2" a="1"/>
  <c r="AG382" i="2" s="1"/>
  <c r="AB382" i="2" a="1"/>
  <c r="AB382" i="2" s="1"/>
  <c r="W382" i="2" a="1"/>
  <c r="W382" i="2" s="1"/>
  <c r="AC382" i="2" a="1"/>
  <c r="AC382" i="2" s="1"/>
  <c r="X382" i="2" a="1"/>
  <c r="X382" i="2" s="1"/>
  <c r="S382" i="2" a="1"/>
  <c r="S382" i="2" s="1"/>
  <c r="AD382" i="2" a="1"/>
  <c r="AD382" i="2" s="1"/>
  <c r="V382" i="2" a="1"/>
  <c r="V382" i="2" s="1"/>
  <c r="AA382" i="2" a="1"/>
  <c r="AA382" i="2" s="1"/>
  <c r="T382" i="2" a="1"/>
  <c r="T382" i="2" s="1"/>
  <c r="Z382" i="2" a="1"/>
  <c r="Z382" i="2" s="1"/>
  <c r="AF382" i="2" a="1"/>
  <c r="AF382" i="2" s="1"/>
  <c r="Y382" i="2" a="1"/>
  <c r="Y382" i="2" s="1"/>
  <c r="AE382" i="2" a="1"/>
  <c r="AE382" i="2" s="1"/>
  <c r="X395" i="2" a="1"/>
  <c r="X395" i="2" s="1"/>
  <c r="AC395" i="2" a="1"/>
  <c r="AC395" i="2" s="1"/>
  <c r="AF395" i="2" a="1"/>
  <c r="AF395" i="2" s="1"/>
  <c r="Y395" i="2" a="1"/>
  <c r="Y395" i="2" s="1"/>
  <c r="AE395" i="2" a="1"/>
  <c r="AE395" i="2" s="1"/>
  <c r="AD395" i="2" a="1"/>
  <c r="AD395" i="2" s="1"/>
  <c r="AB395" i="2" a="1"/>
  <c r="AB395" i="2" s="1"/>
  <c r="S395" i="2" a="1"/>
  <c r="S395" i="2" s="1"/>
  <c r="AA395" i="2" a="1"/>
  <c r="AA395" i="2" s="1"/>
  <c r="Z395" i="2" a="1"/>
  <c r="Z395" i="2" s="1"/>
  <c r="AG395" i="2" a="1"/>
  <c r="AG395" i="2" s="1"/>
  <c r="W395" i="2" a="1"/>
  <c r="W395" i="2" s="1"/>
  <c r="V395" i="2" a="1"/>
  <c r="V395" i="2" s="1"/>
  <c r="U267" i="12" a="1"/>
  <c r="U267" i="12" s="1"/>
  <c r="V407" i="2" a="1"/>
  <c r="V407" i="2" s="1"/>
  <c r="AC407" i="2" a="1"/>
  <c r="AC407" i="2" s="1"/>
  <c r="S407" i="2" a="1"/>
  <c r="S407" i="2" s="1"/>
  <c r="D97" i="6" a="1"/>
  <c r="D97" i="6" s="1"/>
  <c r="D95" i="5" a="1"/>
  <c r="D95" i="5" s="1"/>
  <c r="D189" i="4" a="1"/>
  <c r="D189" i="4" s="1"/>
  <c r="U501" i="12" a="1"/>
  <c r="U501" i="12" s="1"/>
  <c r="AF456" i="2" a="1"/>
  <c r="AF456" i="2" s="1"/>
  <c r="AD456" i="2" a="1"/>
  <c r="AD456" i="2" s="1"/>
  <c r="S456" i="2" a="1"/>
  <c r="S456" i="2" s="1"/>
  <c r="AG456" i="2" a="1"/>
  <c r="AG456" i="2" s="1"/>
  <c r="Z456" i="2" a="1"/>
  <c r="Z456" i="2" s="1"/>
  <c r="AC456" i="2" a="1"/>
  <c r="AC456" i="2" s="1"/>
  <c r="V456" i="2" a="1"/>
  <c r="V456" i="2" s="1"/>
  <c r="AB456" i="2" a="1"/>
  <c r="AB456" i="2" s="1"/>
  <c r="AA456" i="2" a="1"/>
  <c r="AA456" i="2" s="1"/>
  <c r="T456" i="2" a="1"/>
  <c r="T456" i="2" s="1"/>
  <c r="AE456" i="2" a="1"/>
  <c r="AE456" i="2" s="1"/>
  <c r="Y456" i="2" a="1"/>
  <c r="Y456" i="2" s="1"/>
  <c r="X456" i="2" a="1"/>
  <c r="X456" i="2" s="1"/>
  <c r="W456" i="2" a="1"/>
  <c r="W456" i="2" s="1"/>
  <c r="B68" i="5" a="1"/>
  <c r="B68" i="5" s="1"/>
  <c r="B136" i="4" a="1"/>
  <c r="B136" i="4" s="1"/>
  <c r="E167" i="12" a="1"/>
  <c r="E167" i="12" s="1"/>
  <c r="AE263" i="2" a="1"/>
  <c r="AE263" i="2" s="1"/>
  <c r="Z263" i="2" a="1"/>
  <c r="Z263" i="2" s="1"/>
  <c r="T263" i="2" a="1"/>
  <c r="T263" i="2" s="1"/>
  <c r="W263" i="2" a="1"/>
  <c r="W263" i="2" s="1"/>
  <c r="AD263" i="2" a="1"/>
  <c r="AD263" i="2" s="1"/>
  <c r="U152" i="12" a="1"/>
  <c r="U152" i="12" s="1"/>
  <c r="U416" i="12" a="1"/>
  <c r="U416" i="12" s="1"/>
  <c r="E469" i="12" a="1"/>
  <c r="E469" i="12" s="1"/>
  <c r="B85" i="7" a="1"/>
  <c r="B85" i="7" s="1"/>
  <c r="B144" i="4" a="1"/>
  <c r="B144" i="4" s="1"/>
  <c r="U209" i="12" a="1"/>
  <c r="U209" i="12" s="1"/>
  <c r="AC294" i="2" a="1"/>
  <c r="AC294" i="2" s="1"/>
  <c r="B79" i="5" a="1"/>
  <c r="B79" i="5" s="1"/>
  <c r="B158" i="4" a="1"/>
  <c r="B158" i="4" s="1"/>
  <c r="B120" i="8" a="1"/>
  <c r="B120" i="8" s="1"/>
  <c r="U308" i="12" a="1"/>
  <c r="U308" i="12" s="1"/>
  <c r="T300" i="2" a="1"/>
  <c r="T300" i="2" s="1"/>
  <c r="AD300" i="2" a="1"/>
  <c r="AD300" i="2" s="1"/>
  <c r="AE304" i="2" a="1"/>
  <c r="AE304" i="2" s="1"/>
  <c r="Z304" i="2" a="1"/>
  <c r="Z304" i="2" s="1"/>
  <c r="T304" i="2" a="1"/>
  <c r="T304" i="2" s="1"/>
  <c r="U304" i="2" s="1" a="1"/>
  <c r="U304" i="2" s="1"/>
  <c r="AF304" i="2" a="1"/>
  <c r="AF304" i="2" s="1"/>
  <c r="AD304" i="2" a="1"/>
  <c r="AD304" i="2" s="1"/>
  <c r="X304" i="2" a="1"/>
  <c r="X304" i="2" s="1"/>
  <c r="AC304" i="2" a="1"/>
  <c r="AC304" i="2" s="1"/>
  <c r="Y305" i="2" a="1"/>
  <c r="Y305" i="2" s="1"/>
  <c r="B37" i="9" a="1"/>
  <c r="B37" i="9" s="1"/>
  <c r="S307" i="2" a="1"/>
  <c r="S307" i="2" s="1"/>
  <c r="B127" i="8" a="1"/>
  <c r="B127" i="8" s="1"/>
  <c r="S312" i="2" a="1"/>
  <c r="S312" i="2" s="1"/>
  <c r="X315" i="2" a="1"/>
  <c r="X315" i="2" s="1"/>
  <c r="Z316" i="2" a="1"/>
  <c r="Z316" i="2" s="1"/>
  <c r="AD317" i="2" a="1"/>
  <c r="AD317" i="2" s="1"/>
  <c r="Y317" i="2" a="1"/>
  <c r="Y317" i="2" s="1"/>
  <c r="T317" i="2" a="1"/>
  <c r="T317" i="2" s="1"/>
  <c r="AC317" i="2" a="1"/>
  <c r="AC317" i="2" s="1"/>
  <c r="W317" i="2" a="1"/>
  <c r="W317" i="2" s="1"/>
  <c r="AB317" i="2" a="1"/>
  <c r="AB317" i="2" s="1"/>
  <c r="AA317" i="2" a="1"/>
  <c r="AA317" i="2" s="1"/>
  <c r="AF317" i="2" a="1"/>
  <c r="AF317" i="2" s="1"/>
  <c r="Z317" i="2" a="1"/>
  <c r="Z317" i="2" s="1"/>
  <c r="D79" i="6" a="1"/>
  <c r="D79" i="6" s="1"/>
  <c r="D88" i="7" a="1"/>
  <c r="D88" i="7" s="1"/>
  <c r="D153" i="4" a="1"/>
  <c r="D153" i="4" s="1"/>
  <c r="AD318" i="2" a="1"/>
  <c r="AD318" i="2" s="1"/>
  <c r="Y318" i="2" a="1"/>
  <c r="Y318" i="2" s="1"/>
  <c r="T318" i="2" a="1"/>
  <c r="T318" i="2" s="1"/>
  <c r="X318" i="2" a="1"/>
  <c r="X318" i="2" s="1"/>
  <c r="V318" i="2" a="1"/>
  <c r="V318" i="2" s="1"/>
  <c r="AB318" i="2" a="1"/>
  <c r="AB318" i="2" s="1"/>
  <c r="AG318" i="2" a="1"/>
  <c r="AG318" i="2" s="1"/>
  <c r="Z318" i="2" a="1"/>
  <c r="Z318" i="2" s="1"/>
  <c r="E534" i="12" a="1"/>
  <c r="E534" i="12" s="1"/>
  <c r="S322" i="2" a="1"/>
  <c r="S322" i="2" s="1"/>
  <c r="W323" i="2" a="1"/>
  <c r="W323" i="2" s="1"/>
  <c r="E171" i="12" a="1"/>
  <c r="E171" i="12" s="1"/>
  <c r="E435" i="12" a="1"/>
  <c r="E435" i="12" s="1"/>
  <c r="B138" i="8" a="1"/>
  <c r="B138" i="8" s="1"/>
  <c r="U462" i="12" a="1"/>
  <c r="U462" i="12" s="1"/>
  <c r="U168" i="12" a="1"/>
  <c r="U168" i="12" s="1"/>
  <c r="V338" i="2" a="1"/>
  <c r="V338" i="2" s="1"/>
  <c r="B81" i="6" a="1"/>
  <c r="B81" i="6" s="1"/>
  <c r="B162" i="4" a="1"/>
  <c r="B162" i="4" s="1"/>
  <c r="Z343" i="2" a="1"/>
  <c r="Z343" i="2" s="1"/>
  <c r="AG344" i="2" a="1"/>
  <c r="AG344" i="2" s="1"/>
  <c r="AB344" i="2" a="1"/>
  <c r="AB344" i="2" s="1"/>
  <c r="W344" i="2" a="1"/>
  <c r="W344" i="2" s="1"/>
  <c r="AC344" i="2" a="1"/>
  <c r="AC344" i="2" s="1"/>
  <c r="X344" i="2" a="1"/>
  <c r="X344" i="2" s="1"/>
  <c r="S344" i="2" a="1"/>
  <c r="S344" i="2" s="1"/>
  <c r="Z344" i="2" a="1"/>
  <c r="Z344" i="2" s="1"/>
  <c r="AE344" i="2" a="1"/>
  <c r="AE344" i="2" s="1"/>
  <c r="V344" i="2" a="1"/>
  <c r="V344" i="2" s="1"/>
  <c r="AG347" i="2" a="1"/>
  <c r="AG347" i="2" s="1"/>
  <c r="AB347" i="2" a="1"/>
  <c r="AB347" i="2" s="1"/>
  <c r="W347" i="2" a="1"/>
  <c r="W347" i="2" s="1"/>
  <c r="AC347" i="2" a="1"/>
  <c r="AC347" i="2" s="1"/>
  <c r="X347" i="2" a="1"/>
  <c r="X347" i="2" s="1"/>
  <c r="S347" i="2" a="1"/>
  <c r="S347" i="2" s="1"/>
  <c r="AA347" i="2" a="1"/>
  <c r="AA347" i="2" s="1"/>
  <c r="T347" i="2" a="1"/>
  <c r="T347" i="2" s="1"/>
  <c r="Z347" i="2" a="1"/>
  <c r="Z347" i="2" s="1"/>
  <c r="AF347" i="2" a="1"/>
  <c r="AF347" i="2" s="1"/>
  <c r="Y347" i="2" a="1"/>
  <c r="Y347" i="2" s="1"/>
  <c r="AE347" i="2" a="1"/>
  <c r="AE347" i="2" s="1"/>
  <c r="E206" i="12" a="1"/>
  <c r="E206" i="12" s="1"/>
  <c r="AF349" i="2" a="1"/>
  <c r="AF349" i="2" s="1"/>
  <c r="D96" i="7" a="1"/>
  <c r="D96" i="7" s="1"/>
  <c r="D86" i="5" a="1"/>
  <c r="D86" i="5" s="1"/>
  <c r="D171" i="4" a="1"/>
  <c r="D171" i="4" s="1"/>
  <c r="Y360" i="2" a="1"/>
  <c r="Y360" i="2" s="1"/>
  <c r="D97" i="7" a="1"/>
  <c r="D97" i="7" s="1"/>
  <c r="D88" i="5" a="1"/>
  <c r="D88" i="5" s="1"/>
  <c r="D173" i="4" a="1"/>
  <c r="D173" i="4" s="1"/>
  <c r="AF366" i="2" a="1"/>
  <c r="AF366" i="2" s="1"/>
  <c r="AA366" i="2" a="1"/>
  <c r="AA366" i="2" s="1"/>
  <c r="V366" i="2" a="1"/>
  <c r="V366" i="2" s="1"/>
  <c r="AG366" i="2" a="1"/>
  <c r="AG366" i="2" s="1"/>
  <c r="AB366" i="2" a="1"/>
  <c r="AB366" i="2" s="1"/>
  <c r="W366" i="2" a="1"/>
  <c r="W366" i="2" s="1"/>
  <c r="Z366" i="2" a="1"/>
  <c r="Z366" i="2" s="1"/>
  <c r="S366" i="2" a="1"/>
  <c r="S366" i="2" s="1"/>
  <c r="AE366" i="2" a="1"/>
  <c r="AE366" i="2" s="1"/>
  <c r="X366" i="2" a="1"/>
  <c r="X366" i="2" s="1"/>
  <c r="AC366" i="2" a="1"/>
  <c r="AC366" i="2" s="1"/>
  <c r="U515" i="12" a="1"/>
  <c r="U515" i="12" s="1"/>
  <c r="S371" i="2" a="1"/>
  <c r="S371" i="2" s="1"/>
  <c r="B102" i="7" a="1"/>
  <c r="B102" i="7" s="1"/>
  <c r="B91" i="6" a="1"/>
  <c r="B91" i="6" s="1"/>
  <c r="B179" i="4" a="1"/>
  <c r="B179" i="4" s="1"/>
  <c r="X373" i="2" a="1"/>
  <c r="X373" i="2" s="1"/>
  <c r="D92" i="6" a="1"/>
  <c r="D92" i="6" s="1"/>
  <c r="D103" i="7" a="1"/>
  <c r="D103" i="7" s="1"/>
  <c r="D182" i="4" a="1"/>
  <c r="D182" i="4" s="1"/>
  <c r="AL377" i="2" a="1"/>
  <c r="AL377" i="2" s="1"/>
  <c r="AR379" i="2" a="1"/>
  <c r="AR379" i="2" s="1"/>
  <c r="V383" i="2" a="1"/>
  <c r="V383" i="2" s="1"/>
  <c r="Z386" i="2" a="1"/>
  <c r="Z386" i="2" s="1"/>
  <c r="AR389" i="2" a="1"/>
  <c r="AR389" i="2" s="1"/>
  <c r="U173" i="12" a="1"/>
  <c r="U173" i="12" s="1"/>
  <c r="B173" i="8" a="1"/>
  <c r="B173" i="8" s="1"/>
  <c r="B50" i="9" a="1"/>
  <c r="B50" i="9" s="1"/>
  <c r="AD437" i="2" a="1"/>
  <c r="AD437" i="2" s="1"/>
  <c r="S437" i="2" a="1"/>
  <c r="S437" i="2" s="1"/>
  <c r="AE437" i="2" a="1"/>
  <c r="AE437" i="2" s="1"/>
  <c r="Y437" i="2" a="1"/>
  <c r="Y437" i="2" s="1"/>
  <c r="AB437" i="2" a="1"/>
  <c r="AB437" i="2" s="1"/>
  <c r="V437" i="2" a="1"/>
  <c r="V437" i="2" s="1"/>
  <c r="AG437" i="2" a="1"/>
  <c r="AG437" i="2" s="1"/>
  <c r="AA437" i="2" a="1"/>
  <c r="AA437" i="2" s="1"/>
  <c r="AC437" i="2" a="1"/>
  <c r="AC437" i="2" s="1"/>
  <c r="Z437" i="2" a="1"/>
  <c r="Z437" i="2" s="1"/>
  <c r="X437" i="2" a="1"/>
  <c r="X437" i="2" s="1"/>
  <c r="W437" i="2" a="1"/>
  <c r="W437" i="2" s="1"/>
  <c r="AF437" i="2" a="1"/>
  <c r="AF437" i="2" s="1"/>
  <c r="T437" i="2" a="1"/>
  <c r="T437" i="2" s="1"/>
  <c r="E285" i="12" a="1"/>
  <c r="E285" i="12" s="1"/>
  <c r="B55" i="5" a="1"/>
  <c r="B55" i="5" s="1"/>
  <c r="B48" i="6" a="1"/>
  <c r="B48" i="6" s="1"/>
  <c r="B102" i="4" a="1"/>
  <c r="B102" i="4" s="1"/>
  <c r="X263" i="2" a="1"/>
  <c r="X263" i="2" s="1"/>
  <c r="E416" i="12" a="1"/>
  <c r="E416" i="12" s="1"/>
  <c r="E337" i="12" a="1"/>
  <c r="E337" i="12" s="1"/>
  <c r="U337" i="12" a="1"/>
  <c r="U337" i="12" s="1"/>
  <c r="E484" i="12" a="1"/>
  <c r="E484" i="12" s="1"/>
  <c r="D156" i="4" a="1"/>
  <c r="D156" i="4" s="1"/>
  <c r="D77" i="5" a="1"/>
  <c r="D77" i="5" s="1"/>
  <c r="V294" i="2" a="1"/>
  <c r="V294" i="2" s="1"/>
  <c r="V296" i="2" a="1"/>
  <c r="V296" i="2" s="1"/>
  <c r="B81" i="5" a="1"/>
  <c r="B81" i="5" s="1"/>
  <c r="B160" i="4" a="1"/>
  <c r="B160" i="4" s="1"/>
  <c r="AE300" i="2" a="1"/>
  <c r="AE300" i="2" s="1"/>
  <c r="E497" i="12" a="1"/>
  <c r="E497" i="12" s="1"/>
  <c r="AE307" i="2" a="1"/>
  <c r="AE307" i="2" s="1"/>
  <c r="AF310" i="2" a="1"/>
  <c r="AF310" i="2" s="1"/>
  <c r="E199" i="12" a="1"/>
  <c r="E199" i="12" s="1"/>
  <c r="B77" i="6" a="1"/>
  <c r="B77" i="6" s="1"/>
  <c r="B74" i="5" a="1"/>
  <c r="B74" i="5" s="1"/>
  <c r="B150" i="4" a="1"/>
  <c r="B150" i="4" s="1"/>
  <c r="T326" i="2" a="1"/>
  <c r="T326" i="2" s="1"/>
  <c r="B80" i="6" a="1"/>
  <c r="B80" i="6" s="1"/>
  <c r="B154" i="4" a="1"/>
  <c r="B154" i="4" s="1"/>
  <c r="T331" i="2" a="1"/>
  <c r="T331" i="2" s="1"/>
  <c r="B91" i="7" a="1"/>
  <c r="B91" i="7" s="1"/>
  <c r="B82" i="6" a="1"/>
  <c r="B82" i="6" s="1"/>
  <c r="B163" i="4" a="1"/>
  <c r="B163" i="4" s="1"/>
  <c r="B141" i="8" a="1"/>
  <c r="B141" i="8" s="1"/>
  <c r="Y339" i="2" a="1"/>
  <c r="Y339" i="2" s="1"/>
  <c r="AG346" i="2" a="1"/>
  <c r="AG346" i="2" s="1"/>
  <c r="AB346" i="2" a="1"/>
  <c r="AB346" i="2" s="1"/>
  <c r="W346" i="2" a="1"/>
  <c r="W346" i="2" s="1"/>
  <c r="AC346" i="2" a="1"/>
  <c r="AC346" i="2" s="1"/>
  <c r="X346" i="2" a="1"/>
  <c r="X346" i="2" s="1"/>
  <c r="S346" i="2" a="1"/>
  <c r="S346" i="2" s="1"/>
  <c r="AF346" i="2" a="1"/>
  <c r="AF346" i="2" s="1"/>
  <c r="Y346" i="2" a="1"/>
  <c r="Y346" i="2" s="1"/>
  <c r="AD346" i="2" a="1"/>
  <c r="AD346" i="2" s="1"/>
  <c r="V346" i="2" a="1"/>
  <c r="V346" i="2" s="1"/>
  <c r="AA346" i="2" a="1"/>
  <c r="AA346" i="2" s="1"/>
  <c r="AF348" i="2" a="1"/>
  <c r="AF348" i="2" s="1"/>
  <c r="T349" i="2" a="1"/>
  <c r="T349" i="2" s="1"/>
  <c r="U540" i="12" a="1"/>
  <c r="U540" i="12" s="1"/>
  <c r="T353" i="2" a="1"/>
  <c r="T353" i="2" s="1"/>
  <c r="B150" i="8" a="1"/>
  <c r="B150" i="8" s="1"/>
  <c r="T364" i="2" a="1"/>
  <c r="T364" i="2" s="1"/>
  <c r="B157" i="8" a="1"/>
  <c r="B157" i="8" s="1"/>
  <c r="B158" i="8" a="1"/>
  <c r="B158" i="8" s="1"/>
  <c r="D99" i="7" a="1"/>
  <c r="D99" i="7" s="1"/>
  <c r="D88" i="6" a="1"/>
  <c r="D88" i="6" s="1"/>
  <c r="D175" i="4" a="1"/>
  <c r="D175" i="4" s="1"/>
  <c r="E221" i="12" a="1"/>
  <c r="E221" i="12" s="1"/>
  <c r="E172" i="12" a="1"/>
  <c r="E172" i="12" s="1"/>
  <c r="D106" i="7" a="1"/>
  <c r="D106" i="7" s="1"/>
  <c r="D94" i="6" a="1"/>
  <c r="D94" i="6" s="1"/>
  <c r="D185" i="4" a="1"/>
  <c r="D185" i="4" s="1"/>
  <c r="T395" i="2" a="1"/>
  <c r="T395" i="2" s="1"/>
  <c r="AE402" i="2" a="1"/>
  <c r="AE402" i="2" s="1"/>
  <c r="AC402" i="2" a="1"/>
  <c r="AC402" i="2" s="1"/>
  <c r="T402" i="2" a="1"/>
  <c r="T402" i="2" s="1"/>
  <c r="B111" i="7" a="1"/>
  <c r="B111" i="7" s="1"/>
  <c r="B192" i="4" a="1"/>
  <c r="B192" i="4" s="1"/>
  <c r="U582" i="12" a="1"/>
  <c r="U582" i="12" s="1"/>
  <c r="AD447" i="2" a="1"/>
  <c r="AD447" i="2" s="1"/>
  <c r="S447" i="2" a="1"/>
  <c r="S447" i="2" s="1"/>
  <c r="AE447" i="2" a="1"/>
  <c r="AE447" i="2" s="1"/>
  <c r="Y447" i="2" a="1"/>
  <c r="Y447" i="2" s="1"/>
  <c r="AB447" i="2" a="1"/>
  <c r="AB447" i="2" s="1"/>
  <c r="V447" i="2" a="1"/>
  <c r="V447" i="2" s="1"/>
  <c r="AG447" i="2" a="1"/>
  <c r="AG447" i="2" s="1"/>
  <c r="AA447" i="2" a="1"/>
  <c r="AA447" i="2" s="1"/>
  <c r="AF447" i="2" a="1"/>
  <c r="AF447" i="2" s="1"/>
  <c r="Z447" i="2" a="1"/>
  <c r="Z447" i="2" s="1"/>
  <c r="T447" i="2" a="1"/>
  <c r="T447" i="2" s="1"/>
  <c r="X447" i="2" a="1"/>
  <c r="X447" i="2" s="1"/>
  <c r="W447" i="2" a="1"/>
  <c r="W447" i="2" s="1"/>
  <c r="AC447" i="2" a="1"/>
  <c r="AC447" i="2" s="1"/>
  <c r="E272" i="12" a="1"/>
  <c r="E272" i="12" s="1"/>
  <c r="U106" i="12" a="1"/>
  <c r="U106" i="12" s="1"/>
  <c r="U67" i="12" a="1"/>
  <c r="U67" i="12" s="1"/>
  <c r="E358" i="12" a="1"/>
  <c r="E358" i="12" s="1"/>
  <c r="D122" i="4" a="1"/>
  <c r="D122" i="4" s="1"/>
  <c r="D62" i="5" a="1"/>
  <c r="D62" i="5" s="1"/>
  <c r="E354" i="12" a="1"/>
  <c r="E354" i="12" s="1"/>
  <c r="D69" i="7" a="1"/>
  <c r="D69" i="7" s="1"/>
  <c r="D58" i="6" a="1"/>
  <c r="D58" i="6" s="1"/>
  <c r="D118" i="4" a="1"/>
  <c r="D118" i="4" s="1"/>
  <c r="E404" i="12" a="1"/>
  <c r="E404" i="12" s="1"/>
  <c r="E431" i="12" a="1"/>
  <c r="E431" i="12" s="1"/>
  <c r="AA241" i="2" a="1"/>
  <c r="AA241" i="2" s="1"/>
  <c r="AB250" i="2" a="1"/>
  <c r="AB250" i="2" s="1"/>
  <c r="E346" i="12" a="1"/>
  <c r="E346" i="12" s="1"/>
  <c r="AB252" i="2" a="1"/>
  <c r="AB252" i="2" s="1"/>
  <c r="AN260" i="2" a="1"/>
  <c r="AN260" i="2" s="1"/>
  <c r="B78" i="7" a="1"/>
  <c r="B78" i="7" s="1"/>
  <c r="B133" i="4" a="1"/>
  <c r="B133" i="4" s="1"/>
  <c r="B105" i="8" a="1"/>
  <c r="B105" i="8" s="1"/>
  <c r="B70" i="5" a="1"/>
  <c r="B70" i="5" s="1"/>
  <c r="B142" i="4" a="1"/>
  <c r="B142" i="4" s="1"/>
  <c r="B76" i="5" a="1"/>
  <c r="B76" i="5" s="1"/>
  <c r="B155" i="4" a="1"/>
  <c r="B155" i="4" s="1"/>
  <c r="U484" i="12" a="1"/>
  <c r="U484" i="12" s="1"/>
  <c r="B36" i="9" a="1"/>
  <c r="B36" i="9" s="1"/>
  <c r="D74" i="6" a="1"/>
  <c r="D74" i="6" s="1"/>
  <c r="D86" i="7" a="1"/>
  <c r="D86" i="7" s="1"/>
  <c r="D147" i="4" a="1"/>
  <c r="D147" i="4" s="1"/>
  <c r="AE305" i="2" a="1"/>
  <c r="AE305" i="2" s="1"/>
  <c r="Z305" i="2" a="1"/>
  <c r="Z305" i="2" s="1"/>
  <c r="T305" i="2" a="1"/>
  <c r="T305" i="2" s="1"/>
  <c r="AF305" i="2" a="1"/>
  <c r="AF305" i="2" s="1"/>
  <c r="AD305" i="2" a="1"/>
  <c r="AD305" i="2" s="1"/>
  <c r="X305" i="2" a="1"/>
  <c r="X305" i="2" s="1"/>
  <c r="AC305" i="2" a="1"/>
  <c r="AC305" i="2" s="1"/>
  <c r="V310" i="2" a="1"/>
  <c r="V310" i="2" s="1"/>
  <c r="AG310" i="2" a="1"/>
  <c r="AG310" i="2" s="1"/>
  <c r="D73" i="6" a="1"/>
  <c r="D73" i="6" s="1"/>
  <c r="D72" i="5" a="1"/>
  <c r="D72" i="5" s="1"/>
  <c r="D146" i="4" a="1"/>
  <c r="D146" i="4" s="1"/>
  <c r="AD316" i="2" a="1"/>
  <c r="AD316" i="2" s="1"/>
  <c r="Y316" i="2" a="1"/>
  <c r="Y316" i="2" s="1"/>
  <c r="T316" i="2" a="1"/>
  <c r="T316" i="2" s="1"/>
  <c r="AC316" i="2" a="1"/>
  <c r="AC316" i="2" s="1"/>
  <c r="W316" i="2" a="1"/>
  <c r="W316" i="2" s="1"/>
  <c r="V316" i="2" a="1"/>
  <c r="V316" i="2" s="1"/>
  <c r="AA316" i="2" a="1"/>
  <c r="AA316" i="2" s="1"/>
  <c r="AG316" i="2" a="1"/>
  <c r="AG316" i="2" s="1"/>
  <c r="S316" i="2" a="1"/>
  <c r="S316" i="2" s="1"/>
  <c r="AD319" i="2" a="1"/>
  <c r="AD319" i="2" s="1"/>
  <c r="Y319" i="2" a="1"/>
  <c r="Y319" i="2" s="1"/>
  <c r="T319" i="2" a="1"/>
  <c r="T319" i="2" s="1"/>
  <c r="AE319" i="2" a="1"/>
  <c r="AE319" i="2" s="1"/>
  <c r="X319" i="2" a="1"/>
  <c r="X319" i="2" s="1"/>
  <c r="AC319" i="2" a="1"/>
  <c r="AC319" i="2" s="1"/>
  <c r="W319" i="2" a="1"/>
  <c r="W319" i="2" s="1"/>
  <c r="V319" i="2" a="1"/>
  <c r="V319" i="2" s="1"/>
  <c r="AA319" i="2" a="1"/>
  <c r="AA319" i="2" s="1"/>
  <c r="AB319" i="2" a="1"/>
  <c r="AB319" i="2" s="1"/>
  <c r="E549" i="12" a="1"/>
  <c r="E549" i="12" s="1"/>
  <c r="AG334" i="2" a="1"/>
  <c r="AG334" i="2" s="1"/>
  <c r="AB334" i="2" a="1"/>
  <c r="AB334" i="2" s="1"/>
  <c r="W334" i="2" a="1"/>
  <c r="W334" i="2" s="1"/>
  <c r="AA334" i="2" a="1"/>
  <c r="AA334" i="2" s="1"/>
  <c r="AF334" i="2" a="1"/>
  <c r="AF334" i="2" s="1"/>
  <c r="Z334" i="2" a="1"/>
  <c r="Z334" i="2" s="1"/>
  <c r="Y334" i="2" a="1"/>
  <c r="Y334" i="2" s="1"/>
  <c r="S334" i="2" a="1"/>
  <c r="S334" i="2" s="1"/>
  <c r="AD334" i="2" a="1"/>
  <c r="AD334" i="2" s="1"/>
  <c r="X334" i="2" a="1"/>
  <c r="X334" i="2" s="1"/>
  <c r="B139" i="8" a="1"/>
  <c r="B139" i="8" s="1"/>
  <c r="D81" i="6" a="1"/>
  <c r="D81" i="6" s="1"/>
  <c r="D162" i="4" a="1"/>
  <c r="D162" i="4" s="1"/>
  <c r="AG343" i="2" a="1"/>
  <c r="AG343" i="2" s="1"/>
  <c r="AB343" i="2" a="1"/>
  <c r="AB343" i="2" s="1"/>
  <c r="W343" i="2" a="1"/>
  <c r="W343" i="2" s="1"/>
  <c r="AC343" i="2" a="1"/>
  <c r="AC343" i="2" s="1"/>
  <c r="X343" i="2" a="1"/>
  <c r="X343" i="2" s="1"/>
  <c r="S343" i="2" a="1"/>
  <c r="S343" i="2" s="1"/>
  <c r="AE343" i="2" a="1"/>
  <c r="AE343" i="2" s="1"/>
  <c r="AD343" i="2" a="1"/>
  <c r="AD343" i="2" s="1"/>
  <c r="E232" i="12" a="1"/>
  <c r="E232" i="12" s="1"/>
  <c r="E230" i="12" a="1"/>
  <c r="E230" i="12" s="1"/>
  <c r="U426" i="12" a="1"/>
  <c r="U426" i="12" s="1"/>
  <c r="AG354" i="2" a="1"/>
  <c r="AG354" i="2" s="1"/>
  <c r="AB354" i="2" a="1"/>
  <c r="AB354" i="2" s="1"/>
  <c r="W354" i="2" a="1"/>
  <c r="W354" i="2" s="1"/>
  <c r="AC354" i="2" a="1"/>
  <c r="AC354" i="2" s="1"/>
  <c r="X354" i="2" a="1"/>
  <c r="X354" i="2" s="1"/>
  <c r="S354" i="2" a="1"/>
  <c r="S354" i="2" s="1"/>
  <c r="Z354" i="2" a="1"/>
  <c r="Z354" i="2" s="1"/>
  <c r="AE354" i="2" a="1"/>
  <c r="AE354" i="2" s="1"/>
  <c r="V354" i="2" a="1"/>
  <c r="V354" i="2" s="1"/>
  <c r="AA354" i="2" a="1"/>
  <c r="AA354" i="2" s="1"/>
  <c r="T354" i="2" a="1"/>
  <c r="T354" i="2" s="1"/>
  <c r="AD354" i="2" a="1"/>
  <c r="AD354" i="2" s="1"/>
  <c r="Y356" i="2" a="1"/>
  <c r="Y356" i="2" s="1"/>
  <c r="B155" i="8" a="1"/>
  <c r="B155" i="8" s="1"/>
  <c r="AF362" i="2" a="1"/>
  <c r="AF362" i="2" s="1"/>
  <c r="AA362" i="2" a="1"/>
  <c r="AA362" i="2" s="1"/>
  <c r="V362" i="2" a="1"/>
  <c r="V362" i="2" s="1"/>
  <c r="AG362" i="2" a="1"/>
  <c r="AG362" i="2" s="1"/>
  <c r="AB362" i="2" a="1"/>
  <c r="AB362" i="2" s="1"/>
  <c r="W362" i="2" a="1"/>
  <c r="W362" i="2" s="1"/>
  <c r="Z362" i="2" a="1"/>
  <c r="Z362" i="2" s="1"/>
  <c r="S362" i="2" a="1"/>
  <c r="S362" i="2" s="1"/>
  <c r="AE362" i="2" a="1"/>
  <c r="AE362" i="2" s="1"/>
  <c r="X362" i="2" a="1"/>
  <c r="X362" i="2" s="1"/>
  <c r="AC362" i="2" a="1"/>
  <c r="AC362" i="2" s="1"/>
  <c r="U568" i="12" a="1"/>
  <c r="U568" i="12" s="1"/>
  <c r="U369" i="2" a="1"/>
  <c r="U369" i="2" s="1"/>
  <c r="B100" i="7" a="1"/>
  <c r="B100" i="7" s="1"/>
  <c r="B177" i="4" a="1"/>
  <c r="B177" i="4" s="1"/>
  <c r="X371" i="2" a="1"/>
  <c r="X371" i="2" s="1"/>
  <c r="D102" i="7" a="1"/>
  <c r="D102" i="7" s="1"/>
  <c r="D91" i="6" a="1"/>
  <c r="D91" i="6" s="1"/>
  <c r="D179" i="4" a="1"/>
  <c r="D179" i="4" s="1"/>
  <c r="U499" i="12" a="1"/>
  <c r="U499" i="12" s="1"/>
  <c r="B168" i="8" a="1"/>
  <c r="B168" i="8" s="1"/>
  <c r="S406" i="2" a="1"/>
  <c r="S406" i="2" s="1"/>
  <c r="AE406" i="2" a="1"/>
  <c r="AE406" i="2" s="1"/>
  <c r="W406" i="2" a="1"/>
  <c r="W406" i="2" s="1"/>
  <c r="AC406" i="2" a="1"/>
  <c r="AC406" i="2" s="1"/>
  <c r="T406" i="2" a="1"/>
  <c r="T406" i="2" s="1"/>
  <c r="X406" i="2" a="1"/>
  <c r="X406" i="2" s="1"/>
  <c r="B113" i="7" a="1"/>
  <c r="B113" i="7" s="1"/>
  <c r="B198" i="4" a="1"/>
  <c r="B198" i="4" s="1"/>
  <c r="B80" i="7" a="1"/>
  <c r="B80" i="7" s="1"/>
  <c r="B137" i="4" a="1"/>
  <c r="B137" i="4" s="1"/>
  <c r="B81" i="7" a="1"/>
  <c r="B81" i="7" s="1"/>
  <c r="B69" i="6" a="1"/>
  <c r="B69" i="6" s="1"/>
  <c r="B139" i="4" a="1"/>
  <c r="B139" i="4" s="1"/>
  <c r="B70" i="6" a="1"/>
  <c r="B70" i="6" s="1"/>
  <c r="B82" i="7" a="1"/>
  <c r="B82" i="7" s="1"/>
  <c r="B69" i="5" a="1"/>
  <c r="B69" i="5" s="1"/>
  <c r="B140" i="4" a="1"/>
  <c r="B140" i="4" s="1"/>
  <c r="B83" i="7" a="1"/>
  <c r="B83" i="7" s="1"/>
  <c r="B141" i="4" a="1"/>
  <c r="B141" i="4" s="1"/>
  <c r="B75" i="5" a="1"/>
  <c r="B75" i="5" s="1"/>
  <c r="B152" i="4" a="1"/>
  <c r="B152" i="4" s="1"/>
  <c r="B71" i="6" a="1"/>
  <c r="B71" i="6" s="1"/>
  <c r="B84" i="7" a="1"/>
  <c r="B84" i="7" s="1"/>
  <c r="B71" i="5" a="1"/>
  <c r="B71" i="5" s="1"/>
  <c r="B143" i="4" a="1"/>
  <c r="B143" i="4" s="1"/>
  <c r="D85" i="7" a="1"/>
  <c r="D85" i="7" s="1"/>
  <c r="D144" i="4" a="1"/>
  <c r="D144" i="4" s="1"/>
  <c r="E603" i="12" a="1"/>
  <c r="E603" i="12" s="1"/>
  <c r="AG294" i="2" a="1"/>
  <c r="AG294" i="2" s="1"/>
  <c r="AB294" i="2" a="1"/>
  <c r="AB294" i="2" s="1"/>
  <c r="W294" i="2" a="1"/>
  <c r="W294" i="2" s="1"/>
  <c r="T294" i="2" a="1"/>
  <c r="T294" i="2" s="1"/>
  <c r="AE294" i="2" a="1"/>
  <c r="AE294" i="2" s="1"/>
  <c r="D79" i="5" a="1"/>
  <c r="D79" i="5" s="1"/>
  <c r="D158" i="4" a="1"/>
  <c r="D158" i="4" s="1"/>
  <c r="AG296" i="2" a="1"/>
  <c r="AG296" i="2" s="1"/>
  <c r="AB296" i="2" a="1"/>
  <c r="AB296" i="2" s="1"/>
  <c r="W296" i="2" a="1"/>
  <c r="W296" i="2" s="1"/>
  <c r="AD296" i="2" a="1"/>
  <c r="AD296" i="2" s="1"/>
  <c r="X296" i="2" a="1"/>
  <c r="X296" i="2" s="1"/>
  <c r="T296" i="2" a="1"/>
  <c r="T296" i="2" s="1"/>
  <c r="AF296" i="2" a="1"/>
  <c r="AF296" i="2" s="1"/>
  <c r="E176" i="12" a="1"/>
  <c r="E176" i="12" s="1"/>
  <c r="V307" i="2" a="1"/>
  <c r="V307" i="2" s="1"/>
  <c r="AG307" i="2" a="1"/>
  <c r="AG307" i="2" s="1"/>
  <c r="U403" i="12" a="1"/>
  <c r="U403" i="12" s="1"/>
  <c r="U195" i="12" a="1"/>
  <c r="U195" i="12" s="1"/>
  <c r="AD314" i="2" a="1"/>
  <c r="AD314" i="2" s="1"/>
  <c r="Y314" i="2" a="1"/>
  <c r="Y314" i="2" s="1"/>
  <c r="T314" i="2" a="1"/>
  <c r="T314" i="2" s="1"/>
  <c r="AB314" i="2" a="1"/>
  <c r="AB314" i="2" s="1"/>
  <c r="AA314" i="2" a="1"/>
  <c r="AA314" i="2" s="1"/>
  <c r="AF314" i="2" a="1"/>
  <c r="AF314" i="2" s="1"/>
  <c r="Z314" i="2" a="1"/>
  <c r="Z314" i="2" s="1"/>
  <c r="S314" i="2" a="1"/>
  <c r="S314" i="2" s="1"/>
  <c r="X314" i="2" a="1"/>
  <c r="X314" i="2" s="1"/>
  <c r="AD315" i="2" a="1"/>
  <c r="AD315" i="2" s="1"/>
  <c r="Y315" i="2" a="1"/>
  <c r="Y315" i="2" s="1"/>
  <c r="T315" i="2" a="1"/>
  <c r="T315" i="2" s="1"/>
  <c r="V315" i="2" a="1"/>
  <c r="V315" i="2" s="1"/>
  <c r="AB315" i="2" a="1"/>
  <c r="AB315" i="2" s="1"/>
  <c r="AG315" i="2" a="1"/>
  <c r="AG315" i="2" s="1"/>
  <c r="AF315" i="2" a="1"/>
  <c r="AF315" i="2" s="1"/>
  <c r="Z315" i="2" a="1"/>
  <c r="Z315" i="2" s="1"/>
  <c r="AE315" i="2" a="1"/>
  <c r="AE315" i="2" s="1"/>
  <c r="AC315" i="2" a="1"/>
  <c r="AC315" i="2" s="1"/>
  <c r="E188" i="12" a="1"/>
  <c r="E188" i="12" s="1"/>
  <c r="U534" i="12" a="1"/>
  <c r="U534" i="12" s="1"/>
  <c r="W614" i="12" a="1"/>
  <c r="W614" i="12" s="1"/>
  <c r="AM324" i="2" a="1"/>
  <c r="AM324" i="2" s="1"/>
  <c r="AN324" i="2" a="1"/>
  <c r="AN324" i="2" s="1"/>
  <c r="AK324" i="2" a="1"/>
  <c r="AK324" i="2" s="1"/>
  <c r="D77" i="6" a="1"/>
  <c r="D77" i="6" s="1"/>
  <c r="D74" i="5" a="1"/>
  <c r="D74" i="5" s="1"/>
  <c r="D150" i="4" a="1"/>
  <c r="D150" i="4" s="1"/>
  <c r="B78" i="6" a="1"/>
  <c r="B78" i="6" s="1"/>
  <c r="B151" i="4" a="1"/>
  <c r="B151" i="4" s="1"/>
  <c r="D80" i="6" a="1"/>
  <c r="D80" i="6" s="1"/>
  <c r="D154" i="4" a="1"/>
  <c r="D154" i="4" s="1"/>
  <c r="B136" i="8" a="1"/>
  <c r="B136" i="8" s="1"/>
  <c r="AG335" i="2" a="1"/>
  <c r="AG335" i="2" s="1"/>
  <c r="AB335" i="2" a="1"/>
  <c r="AB335" i="2" s="1"/>
  <c r="W335" i="2" a="1"/>
  <c r="W335" i="2" s="1"/>
  <c r="AA335" i="2" a="1"/>
  <c r="AA335" i="2" s="1"/>
  <c r="AF335" i="2" a="1"/>
  <c r="AF335" i="2" s="1"/>
  <c r="Z335" i="2" a="1"/>
  <c r="Z335" i="2" s="1"/>
  <c r="Y335" i="2" a="1"/>
  <c r="Y335" i="2" s="1"/>
  <c r="S335" i="2" a="1"/>
  <c r="S335" i="2" s="1"/>
  <c r="AD335" i="2" a="1"/>
  <c r="AD335" i="2" s="1"/>
  <c r="X335" i="2" a="1"/>
  <c r="X335" i="2" s="1"/>
  <c r="B92" i="7" a="1"/>
  <c r="B92" i="7" s="1"/>
  <c r="B83" i="6" a="1"/>
  <c r="B83" i="6" s="1"/>
  <c r="B164" i="4" a="1"/>
  <c r="B164" i="4" s="1"/>
  <c r="Z338" i="2" a="1"/>
  <c r="Z338" i="2" s="1"/>
  <c r="AG339" i="2" a="1"/>
  <c r="AG339" i="2" s="1"/>
  <c r="AB339" i="2" a="1"/>
  <c r="AB339" i="2" s="1"/>
  <c r="W339" i="2" a="1"/>
  <c r="W339" i="2" s="1"/>
  <c r="AC339" i="2" a="1"/>
  <c r="AC339" i="2" s="1"/>
  <c r="X339" i="2" a="1"/>
  <c r="X339" i="2" s="1"/>
  <c r="S339" i="2" a="1"/>
  <c r="S339" i="2" s="1"/>
  <c r="Z339" i="2" a="1"/>
  <c r="Z339" i="2" s="1"/>
  <c r="AE339" i="2" a="1"/>
  <c r="AE339" i="2" s="1"/>
  <c r="V339" i="2" a="1"/>
  <c r="V339" i="2" s="1"/>
  <c r="AG340" i="2" a="1"/>
  <c r="AG340" i="2" s="1"/>
  <c r="AB340" i="2" a="1"/>
  <c r="AB340" i="2" s="1"/>
  <c r="W340" i="2" a="1"/>
  <c r="W340" i="2" s="1"/>
  <c r="AC340" i="2" a="1"/>
  <c r="AC340" i="2" s="1"/>
  <c r="X340" i="2" a="1"/>
  <c r="X340" i="2" s="1"/>
  <c r="S340" i="2" a="1"/>
  <c r="S340" i="2" s="1"/>
  <c r="V340" i="2" a="1"/>
  <c r="V340" i="2" s="1"/>
  <c r="AA340" i="2" a="1"/>
  <c r="AA340" i="2" s="1"/>
  <c r="T340" i="2" a="1"/>
  <c r="T340" i="2" s="1"/>
  <c r="AF340" i="2" a="1"/>
  <c r="AF340" i="2" s="1"/>
  <c r="Y340" i="2" a="1"/>
  <c r="Y340" i="2" s="1"/>
  <c r="AG342" i="2" a="1"/>
  <c r="AG342" i="2" s="1"/>
  <c r="AB342" i="2" a="1"/>
  <c r="AB342" i="2" s="1"/>
  <c r="W342" i="2" a="1"/>
  <c r="W342" i="2" s="1"/>
  <c r="AC342" i="2" a="1"/>
  <c r="AC342" i="2" s="1"/>
  <c r="X342" i="2" a="1"/>
  <c r="X342" i="2" s="1"/>
  <c r="S342" i="2" a="1"/>
  <c r="S342" i="2" s="1"/>
  <c r="AA342" i="2" a="1"/>
  <c r="AA342" i="2" s="1"/>
  <c r="T342" i="2" a="1"/>
  <c r="T342" i="2" s="1"/>
  <c r="Z342" i="2" a="1"/>
  <c r="Z342" i="2" s="1"/>
  <c r="AF342" i="2" a="1"/>
  <c r="AF342" i="2" s="1"/>
  <c r="Y342" i="2" a="1"/>
  <c r="Y342" i="2" s="1"/>
  <c r="AE342" i="2" a="1"/>
  <c r="AE342" i="2" s="1"/>
  <c r="E193" i="12" a="1"/>
  <c r="E193" i="12" s="1"/>
  <c r="T348" i="2" a="1"/>
  <c r="T348" i="2" s="1"/>
  <c r="B86" i="6" a="1"/>
  <c r="B86" i="6" s="1"/>
  <c r="B170" i="4" a="1"/>
  <c r="B170" i="4" s="1"/>
  <c r="AF360" i="2" a="1"/>
  <c r="AF360" i="2" s="1"/>
  <c r="AA360" i="2" a="1"/>
  <c r="AA360" i="2" s="1"/>
  <c r="V360" i="2" a="1"/>
  <c r="V360" i="2" s="1"/>
  <c r="AG360" i="2" a="1"/>
  <c r="AG360" i="2" s="1"/>
  <c r="AB360" i="2" a="1"/>
  <c r="AB360" i="2" s="1"/>
  <c r="W360" i="2" a="1"/>
  <c r="W360" i="2" s="1"/>
  <c r="Z360" i="2" a="1"/>
  <c r="Z360" i="2" s="1"/>
  <c r="S360" i="2" a="1"/>
  <c r="S360" i="2" s="1"/>
  <c r="AE360" i="2" a="1"/>
  <c r="AE360" i="2" s="1"/>
  <c r="X360" i="2" a="1"/>
  <c r="X360" i="2" s="1"/>
  <c r="AC360" i="2" a="1"/>
  <c r="AC360" i="2" s="1"/>
  <c r="W640" i="12" a="1"/>
  <c r="W640" i="12" s="1"/>
  <c r="AO368" i="2" a="1"/>
  <c r="AO368" i="2" s="1"/>
  <c r="AP368" i="2" a="1"/>
  <c r="AP368" i="2" s="1"/>
  <c r="AK368" i="2" a="1"/>
  <c r="AK368" i="2" s="1"/>
  <c r="AN368" i="2" a="1"/>
  <c r="AN368" i="2" s="1"/>
  <c r="AM368" i="2" a="1"/>
  <c r="AM368" i="2" s="1"/>
  <c r="E180" i="12" a="1"/>
  <c r="E180" i="12" s="1"/>
  <c r="AD378" i="2" a="1"/>
  <c r="AD378" i="2" s="1"/>
  <c r="Y378" i="2" a="1"/>
  <c r="Y378" i="2" s="1"/>
  <c r="T378" i="2" a="1"/>
  <c r="T378" i="2" s="1"/>
  <c r="AE378" i="2" a="1"/>
  <c r="AE378" i="2" s="1"/>
  <c r="Z378" i="2" a="1"/>
  <c r="Z378" i="2" s="1"/>
  <c r="AG378" i="2" a="1"/>
  <c r="AG378" i="2" s="1"/>
  <c r="AF378" i="2" a="1"/>
  <c r="AF378" i="2" s="1"/>
  <c r="W378" i="2" a="1"/>
  <c r="W378" i="2" s="1"/>
  <c r="AB378" i="2" a="1"/>
  <c r="AB378" i="2" s="1"/>
  <c r="AA378" i="2" a="1"/>
  <c r="AA378" i="2" s="1"/>
  <c r="S378" i="2" a="1"/>
  <c r="S378" i="2" s="1"/>
  <c r="B164" i="8" a="1"/>
  <c r="B164" i="8" s="1"/>
  <c r="W662" i="12" a="1"/>
  <c r="W662" i="12" s="1"/>
  <c r="AK405" i="2" a="1"/>
  <c r="AK405" i="2" s="1"/>
  <c r="AN405" i="2" a="1"/>
  <c r="AN405" i="2" s="1"/>
  <c r="AP405" i="2" a="1"/>
  <c r="AP405" i="2" s="1"/>
  <c r="AO405" i="2" a="1"/>
  <c r="AO405" i="2" s="1"/>
  <c r="AM405" i="2" a="1"/>
  <c r="AM405" i="2" s="1"/>
  <c r="D113" i="7" a="1"/>
  <c r="D113" i="7" s="1"/>
  <c r="D198" i="4" a="1"/>
  <c r="D198" i="4" s="1"/>
  <c r="D115" i="7" a="1"/>
  <c r="D115" i="7" s="1"/>
  <c r="D103" i="6" a="1"/>
  <c r="D103" i="6" s="1"/>
  <c r="D200" i="4" a="1"/>
  <c r="D200" i="4" s="1"/>
  <c r="U248" i="12" a="1"/>
  <c r="U248" i="12" s="1"/>
  <c r="AR427" i="2" a="1"/>
  <c r="AR427" i="2" s="1"/>
  <c r="B49" i="7" a="1"/>
  <c r="B49" i="7" s="1"/>
  <c r="B39" i="6" a="1"/>
  <c r="B39" i="6" s="1"/>
  <c r="B47" i="5" a="1"/>
  <c r="B47" i="5" s="1"/>
  <c r="B85" i="4" a="1"/>
  <c r="B85" i="4" s="1"/>
  <c r="U425" i="12" a="1"/>
  <c r="U425" i="12" s="1"/>
  <c r="U317" i="12" a="1"/>
  <c r="U317" i="12" s="1"/>
  <c r="E283" i="12" a="1"/>
  <c r="E283" i="12" s="1"/>
  <c r="E401" i="12" a="1"/>
  <c r="E401" i="12" s="1"/>
  <c r="E165" i="12" a="1"/>
  <c r="E165" i="12" s="1"/>
  <c r="E309" i="12" a="1"/>
  <c r="E309" i="12" s="1"/>
  <c r="AF244" i="2" a="1"/>
  <c r="AF244" i="2" s="1"/>
  <c r="AA244" i="2" a="1"/>
  <c r="AA244" i="2" s="1"/>
  <c r="V244" i="2" a="1"/>
  <c r="V244" i="2" s="1"/>
  <c r="Z244" i="2" a="1"/>
  <c r="Z244" i="2" s="1"/>
  <c r="T244" i="2" a="1"/>
  <c r="T244" i="2" s="1"/>
  <c r="W244" i="2" a="1"/>
  <c r="W244" i="2" s="1"/>
  <c r="AD244" i="2" a="1"/>
  <c r="AD244" i="2" s="1"/>
  <c r="AC250" i="2" a="1"/>
  <c r="AC250" i="2" s="1"/>
  <c r="AC252" i="2" a="1"/>
  <c r="AC252" i="2" s="1"/>
  <c r="AF254" i="2" a="1"/>
  <c r="AF254" i="2" s="1"/>
  <c r="AA254" i="2" a="1"/>
  <c r="AA254" i="2" s="1"/>
  <c r="V254" i="2" a="1"/>
  <c r="V254" i="2" s="1"/>
  <c r="Z254" i="2" a="1"/>
  <c r="Z254" i="2" s="1"/>
  <c r="T254" i="2" a="1"/>
  <c r="T254" i="2" s="1"/>
  <c r="W254" i="2" a="1"/>
  <c r="W254" i="2" s="1"/>
  <c r="AD254" i="2" a="1"/>
  <c r="AD254" i="2" s="1"/>
  <c r="D136" i="4" a="1"/>
  <c r="D136" i="4" s="1"/>
  <c r="D68" i="5" a="1"/>
  <c r="D68" i="5" s="1"/>
  <c r="S263" i="2" a="1"/>
  <c r="S263" i="2" s="1"/>
  <c r="AG263" i="2" a="1"/>
  <c r="AG263" i="2" s="1"/>
  <c r="U603" i="12" a="1"/>
  <c r="U603" i="12" s="1"/>
  <c r="X294" i="2" a="1"/>
  <c r="X294" i="2" s="1"/>
  <c r="U397" i="12" a="1"/>
  <c r="U397" i="12" s="1"/>
  <c r="D81" i="5" a="1"/>
  <c r="D81" i="5" s="1"/>
  <c r="D160" i="4" a="1"/>
  <c r="D160" i="4" s="1"/>
  <c r="U205" i="12" a="1"/>
  <c r="U205" i="12" s="1"/>
  <c r="S305" i="2" a="1"/>
  <c r="S305" i="2" s="1"/>
  <c r="W634" i="12" a="1"/>
  <c r="W634" i="12" s="1"/>
  <c r="AN306" i="2" a="1"/>
  <c r="AN306" i="2" s="1"/>
  <c r="AM306" i="2" a="1"/>
  <c r="AM306" i="2" s="1"/>
  <c r="X307" i="2" a="1"/>
  <c r="X307" i="2" s="1"/>
  <c r="U476" i="12" a="1"/>
  <c r="U476" i="12" s="1"/>
  <c r="X310" i="2" a="1"/>
  <c r="X310" i="2" s="1"/>
  <c r="B72" i="6" a="1"/>
  <c r="B72" i="6" s="1"/>
  <c r="B145" i="4" a="1"/>
  <c r="B145" i="4" s="1"/>
  <c r="AD313" i="2" a="1"/>
  <c r="AD313" i="2" s="1"/>
  <c r="Y313" i="2" a="1"/>
  <c r="Y313" i="2" s="1"/>
  <c r="T313" i="2" a="1"/>
  <c r="T313" i="2" s="1"/>
  <c r="AA313" i="2" a="1"/>
  <c r="AA313" i="2" s="1"/>
  <c r="AG313" i="2" a="1"/>
  <c r="AG313" i="2" s="1"/>
  <c r="S313" i="2" a="1"/>
  <c r="S313" i="2" s="1"/>
  <c r="AE313" i="2" a="1"/>
  <c r="AE313" i="2" s="1"/>
  <c r="AC314" i="2" a="1"/>
  <c r="AC314" i="2" s="1"/>
  <c r="AE316" i="2" a="1"/>
  <c r="AE316" i="2" s="1"/>
  <c r="AG317" i="2" a="1"/>
  <c r="AG317" i="2" s="1"/>
  <c r="S318" i="2" a="1"/>
  <c r="S318" i="2" s="1"/>
  <c r="S319" i="2" a="1"/>
  <c r="S319" i="2" s="1"/>
  <c r="B89" i="7" a="1"/>
  <c r="B89" i="7" s="1"/>
  <c r="B78" i="5" a="1"/>
  <c r="B78" i="5" s="1"/>
  <c r="B157" i="4" a="1"/>
  <c r="B157" i="4" s="1"/>
  <c r="AD323" i="2" a="1"/>
  <c r="AD323" i="2" s="1"/>
  <c r="Y323" i="2" a="1"/>
  <c r="Y323" i="2" s="1"/>
  <c r="T323" i="2" a="1"/>
  <c r="T323" i="2" s="1"/>
  <c r="AA323" i="2" a="1"/>
  <c r="AA323" i="2" s="1"/>
  <c r="AG323" i="2" a="1"/>
  <c r="AG323" i="2" s="1"/>
  <c r="S323" i="2" a="1"/>
  <c r="S323" i="2" s="1"/>
  <c r="AE323" i="2" a="1"/>
  <c r="AE323" i="2" s="1"/>
  <c r="E449" i="12" a="1"/>
  <c r="E449" i="12" s="1"/>
  <c r="E408" i="12" a="1"/>
  <c r="E408" i="12" s="1"/>
  <c r="AC334" i="2" a="1"/>
  <c r="AC334" i="2" s="1"/>
  <c r="AA338" i="2" a="1"/>
  <c r="AA338" i="2" s="1"/>
  <c r="AD340" i="2" a="1"/>
  <c r="AD340" i="2" s="1"/>
  <c r="AG341" i="2" a="1"/>
  <c r="AG341" i="2" s="1"/>
  <c r="AB341" i="2" a="1"/>
  <c r="AB341" i="2" s="1"/>
  <c r="W341" i="2" a="1"/>
  <c r="W341" i="2" s="1"/>
  <c r="AC341" i="2" a="1"/>
  <c r="AC341" i="2" s="1"/>
  <c r="X341" i="2" a="1"/>
  <c r="X341" i="2" s="1"/>
  <c r="S341" i="2" a="1"/>
  <c r="S341" i="2" s="1"/>
  <c r="AF341" i="2" a="1"/>
  <c r="AF341" i="2" s="1"/>
  <c r="Y341" i="2" a="1"/>
  <c r="Y341" i="2" s="1"/>
  <c r="AD341" i="2" a="1"/>
  <c r="AD341" i="2" s="1"/>
  <c r="V341" i="2" a="1"/>
  <c r="V341" i="2" s="1"/>
  <c r="AA341" i="2" a="1"/>
  <c r="AA341" i="2" s="1"/>
  <c r="AF343" i="2" a="1"/>
  <c r="AF343" i="2" s="1"/>
  <c r="U230" i="12" a="1"/>
  <c r="U230" i="12" s="1"/>
  <c r="V348" i="2" a="1"/>
  <c r="V348" i="2" s="1"/>
  <c r="AD356" i="2" a="1"/>
  <c r="AD356" i="2" s="1"/>
  <c r="B152" i="8" a="1"/>
  <c r="B152" i="8" s="1"/>
  <c r="AF358" i="2" a="1"/>
  <c r="AF358" i="2" s="1"/>
  <c r="AA358" i="2" a="1"/>
  <c r="AA358" i="2" s="1"/>
  <c r="V358" i="2" a="1"/>
  <c r="V358" i="2" s="1"/>
  <c r="AG358" i="2" a="1"/>
  <c r="AG358" i="2" s="1"/>
  <c r="AB358" i="2" a="1"/>
  <c r="AB358" i="2" s="1"/>
  <c r="W358" i="2" a="1"/>
  <c r="W358" i="2" s="1"/>
  <c r="Z358" i="2" a="1"/>
  <c r="Z358" i="2" s="1"/>
  <c r="S358" i="2" a="1"/>
  <c r="S358" i="2" s="1"/>
  <c r="AE358" i="2" a="1"/>
  <c r="AE358" i="2" s="1"/>
  <c r="X358" i="2" a="1"/>
  <c r="X358" i="2" s="1"/>
  <c r="AC358" i="2" a="1"/>
  <c r="AC358" i="2" s="1"/>
  <c r="U361" i="2" a="1"/>
  <c r="U361" i="2" s="1"/>
  <c r="U547" i="12" a="1"/>
  <c r="U547" i="12" s="1"/>
  <c r="U365" i="2" a="1"/>
  <c r="U365" i="2" s="1"/>
  <c r="T366" i="2" a="1"/>
  <c r="T366" i="2" s="1"/>
  <c r="B41" i="9" a="1"/>
  <c r="B41" i="9" s="1"/>
  <c r="X369" i="2" a="1"/>
  <c r="X369" i="2" s="1"/>
  <c r="D100" i="7" a="1"/>
  <c r="D100" i="7" s="1"/>
  <c r="D177" i="4" a="1"/>
  <c r="D177" i="4" s="1"/>
  <c r="AC373" i="2" a="1"/>
  <c r="AC373" i="2" s="1"/>
  <c r="B45" i="9" a="1"/>
  <c r="B45" i="9" s="1"/>
  <c r="E503" i="12" a="1"/>
  <c r="E503" i="12" s="1"/>
  <c r="D204" i="4" a="1"/>
  <c r="D204" i="4" s="1"/>
  <c r="D102" i="5" a="1"/>
  <c r="D102" i="5" s="1"/>
  <c r="U510" i="12" a="1"/>
  <c r="U510" i="12" s="1"/>
  <c r="U268" i="12" a="1"/>
  <c r="U268" i="12" s="1"/>
  <c r="E465" i="12" a="1"/>
  <c r="E465" i="12" s="1"/>
  <c r="V380" i="2" a="1"/>
  <c r="V380" i="2" s="1"/>
  <c r="U192" i="12" a="1"/>
  <c r="U192" i="12" s="1"/>
  <c r="Y384" i="2" a="1"/>
  <c r="Y384" i="2" s="1"/>
  <c r="S384" i="2" a="1"/>
  <c r="S384" i="2" s="1"/>
  <c r="AG384" i="2" a="1"/>
  <c r="AG384" i="2" s="1"/>
  <c r="V384" i="2" a="1"/>
  <c r="V384" i="2" s="1"/>
  <c r="Z384" i="2" a="1"/>
  <c r="Z384" i="2" s="1"/>
  <c r="X384" i="2" a="1"/>
  <c r="X384" i="2" s="1"/>
  <c r="Y388" i="2" a="1"/>
  <c r="Y388" i="2" s="1"/>
  <c r="AD388" i="2" a="1"/>
  <c r="AD388" i="2" s="1"/>
  <c r="S388" i="2" a="1"/>
  <c r="S388" i="2" s="1"/>
  <c r="AG388" i="2" a="1"/>
  <c r="AG388" i="2" s="1"/>
  <c r="V388" i="2" a="1"/>
  <c r="V388" i="2" s="1"/>
  <c r="Z388" i="2" a="1"/>
  <c r="Z388" i="2" s="1"/>
  <c r="U245" i="12" a="1"/>
  <c r="U245" i="12" s="1"/>
  <c r="E185" i="12" a="1"/>
  <c r="E185" i="12" s="1"/>
  <c r="W404" i="2" a="1"/>
  <c r="W404" i="2" s="1"/>
  <c r="D112" i="7" a="1"/>
  <c r="D112" i="7" s="1"/>
  <c r="D197" i="4" a="1"/>
  <c r="D197" i="4" s="1"/>
  <c r="E273" i="12" a="1"/>
  <c r="E273" i="12" s="1"/>
  <c r="X409" i="2" a="1"/>
  <c r="X409" i="2" s="1"/>
  <c r="AC409" i="2" a="1"/>
  <c r="AC409" i="2" s="1"/>
  <c r="AA409" i="2" a="1"/>
  <c r="AA409" i="2" s="1"/>
  <c r="Y409" i="2" a="1"/>
  <c r="Y409" i="2" s="1"/>
  <c r="E268" i="12" a="1"/>
  <c r="E268" i="12" s="1"/>
  <c r="AD413" i="2" a="1"/>
  <c r="AD413" i="2" s="1"/>
  <c r="AG419" i="2" a="1"/>
  <c r="AG419" i="2" s="1"/>
  <c r="V419" i="2" a="1"/>
  <c r="V419" i="2" s="1"/>
  <c r="AA419" i="2" a="1"/>
  <c r="AA419" i="2" s="1"/>
  <c r="AD419" i="2" a="1"/>
  <c r="AD419" i="2" s="1"/>
  <c r="S419" i="2" a="1"/>
  <c r="S419" i="2" s="1"/>
  <c r="W419" i="2" a="1"/>
  <c r="W419" i="2" s="1"/>
  <c r="Z419" i="2" a="1"/>
  <c r="Z419" i="2" s="1"/>
  <c r="T420" i="2" a="1"/>
  <c r="T420" i="2" s="1"/>
  <c r="AC420" i="2" a="1"/>
  <c r="AC420" i="2" s="1"/>
  <c r="E566" i="12" a="1"/>
  <c r="E566" i="12" s="1"/>
  <c r="W426" i="2" a="1"/>
  <c r="W426" i="2" s="1"/>
  <c r="AB426" i="2" a="1"/>
  <c r="AB426" i="2" s="1"/>
  <c r="Z426" i="2" a="1"/>
  <c r="Z426" i="2" s="1"/>
  <c r="T426" i="2" a="1"/>
  <c r="T426" i="2" s="1"/>
  <c r="X426" i="2" a="1"/>
  <c r="X426" i="2" s="1"/>
  <c r="Y426" i="2" a="1"/>
  <c r="Y426" i="2" s="1"/>
  <c r="AF431" i="2" a="1"/>
  <c r="AF431" i="2" s="1"/>
  <c r="Z431" i="2" a="1"/>
  <c r="Z431" i="2" s="1"/>
  <c r="AC431" i="2" a="1"/>
  <c r="AC431" i="2" s="1"/>
  <c r="AG431" i="2" a="1"/>
  <c r="AG431" i="2" s="1"/>
  <c r="V431" i="2" a="1"/>
  <c r="V431" i="2" s="1"/>
  <c r="Y431" i="2" a="1"/>
  <c r="Y431" i="2" s="1"/>
  <c r="U505" i="12" a="1"/>
  <c r="U505" i="12" s="1"/>
  <c r="U597" i="12" a="1"/>
  <c r="U597" i="12" s="1"/>
  <c r="D119" i="7" a="1"/>
  <c r="D119" i="7" s="1"/>
  <c r="D109" i="6" a="1"/>
  <c r="D109" i="6" s="1"/>
  <c r="D210" i="4" a="1"/>
  <c r="D210" i="4" s="1"/>
  <c r="AC450" i="2" a="1"/>
  <c r="AC450" i="2" s="1"/>
  <c r="W450" i="2" a="1"/>
  <c r="W450" i="2" s="1"/>
  <c r="AF450" i="2" a="1"/>
  <c r="AF450" i="2" s="1"/>
  <c r="V450" i="2" a="1"/>
  <c r="V450" i="2" s="1"/>
  <c r="AB450" i="2" a="1"/>
  <c r="AB450" i="2" s="1"/>
  <c r="S450" i="2" a="1"/>
  <c r="S450" i="2" s="1"/>
  <c r="Y450" i="2" a="1"/>
  <c r="Y450" i="2" s="1"/>
  <c r="AE450" i="2" a="1"/>
  <c r="AE450" i="2" s="1"/>
  <c r="X450" i="2" a="1"/>
  <c r="X450" i="2" s="1"/>
  <c r="AD450" i="2" a="1"/>
  <c r="AD450" i="2" s="1"/>
  <c r="AF451" i="2" a="1"/>
  <c r="AF451" i="2" s="1"/>
  <c r="AD451" i="2" a="1"/>
  <c r="AD451" i="2" s="1"/>
  <c r="S451" i="2" a="1"/>
  <c r="S451" i="2" s="1"/>
  <c r="AG451" i="2" a="1"/>
  <c r="AG451" i="2" s="1"/>
  <c r="Z451" i="2" a="1"/>
  <c r="Z451" i="2" s="1"/>
  <c r="AC451" i="2" a="1"/>
  <c r="AC451" i="2" s="1"/>
  <c r="V451" i="2" a="1"/>
  <c r="V451" i="2" s="1"/>
  <c r="AB451" i="2" a="1"/>
  <c r="AB451" i="2" s="1"/>
  <c r="AA451" i="2" a="1"/>
  <c r="AA451" i="2" s="1"/>
  <c r="T451" i="2" a="1"/>
  <c r="T451" i="2" s="1"/>
  <c r="D113" i="6" a="1"/>
  <c r="D113" i="6" s="1"/>
  <c r="D125" i="7" a="1"/>
  <c r="D125" i="7" s="1"/>
  <c r="D218" i="4" a="1"/>
  <c r="D218" i="4" s="1"/>
  <c r="E511" i="12" a="1"/>
  <c r="E511" i="12" s="1"/>
  <c r="D119" i="5" a="1"/>
  <c r="D119" i="5" s="1"/>
  <c r="D240" i="4" a="1"/>
  <c r="D240" i="4" s="1"/>
  <c r="AF466" i="2" a="1"/>
  <c r="AF466" i="2" s="1"/>
  <c r="AD466" i="2" a="1"/>
  <c r="AD466" i="2" s="1"/>
  <c r="S466" i="2" a="1"/>
  <c r="S466" i="2" s="1"/>
  <c r="AG466" i="2" a="1"/>
  <c r="AG466" i="2" s="1"/>
  <c r="Z466" i="2" a="1"/>
  <c r="Z466" i="2" s="1"/>
  <c r="Y466" i="2" a="1"/>
  <c r="Y466" i="2" s="1"/>
  <c r="AC466" i="2" a="1"/>
  <c r="AC466" i="2" s="1"/>
  <c r="V466" i="2" a="1"/>
  <c r="V466" i="2" s="1"/>
  <c r="AB466" i="2" a="1"/>
  <c r="AB466" i="2" s="1"/>
  <c r="AA466" i="2" a="1"/>
  <c r="AA466" i="2" s="1"/>
  <c r="T466" i="2" a="1"/>
  <c r="T466" i="2" s="1"/>
  <c r="D134" i="7" a="1"/>
  <c r="D134" i="7" s="1"/>
  <c r="D121" i="6" a="1"/>
  <c r="D121" i="6" s="1"/>
  <c r="D233" i="4" a="1"/>
  <c r="D233" i="4" s="1"/>
  <c r="W477" i="2" a="1"/>
  <c r="W477" i="2" s="1"/>
  <c r="AC477" i="2" a="1"/>
  <c r="AC477" i="2" s="1"/>
  <c r="T477" i="2" a="1"/>
  <c r="T477" i="2" s="1"/>
  <c r="E334" i="12" a="1"/>
  <c r="E334" i="12" s="1"/>
  <c r="S482" i="2" a="1"/>
  <c r="S482" i="2" s="1"/>
  <c r="X482" i="2" a="1"/>
  <c r="X482" i="2" s="1"/>
  <c r="W482" i="2" a="1"/>
  <c r="W482" i="2" s="1"/>
  <c r="AC375" i="2" a="1"/>
  <c r="AC375" i="2" s="1"/>
  <c r="B160" i="8" a="1"/>
  <c r="B160" i="8" s="1"/>
  <c r="W652" i="12" a="1"/>
  <c r="W652" i="12" s="1"/>
  <c r="AM379" i="2" a="1"/>
  <c r="AM379" i="2" s="1"/>
  <c r="AN379" i="2" a="1"/>
  <c r="AN379" i="2" s="1"/>
  <c r="E530" i="12" a="1"/>
  <c r="E530" i="12" s="1"/>
  <c r="D104" i="7" a="1"/>
  <c r="D104" i="7" s="1"/>
  <c r="D183" i="4" a="1"/>
  <c r="D183" i="4" s="1"/>
  <c r="E585" i="12" a="1"/>
  <c r="E585" i="12" s="1"/>
  <c r="U585" i="12" a="1"/>
  <c r="U585" i="12" s="1"/>
  <c r="B89" i="6" a="1"/>
  <c r="B89" i="6" s="1"/>
  <c r="B176" i="4" a="1"/>
  <c r="B176" i="4" s="1"/>
  <c r="E474" i="12" a="1"/>
  <c r="E474" i="12" s="1"/>
  <c r="X390" i="2" a="1"/>
  <c r="X390" i="2" s="1"/>
  <c r="AC390" i="2" a="1"/>
  <c r="AC390" i="2" s="1"/>
  <c r="AF390" i="2" a="1"/>
  <c r="AF390" i="2" s="1"/>
  <c r="Y390" i="2" a="1"/>
  <c r="Y390" i="2" s="1"/>
  <c r="E181" i="12" a="1"/>
  <c r="E181" i="12" s="1"/>
  <c r="W393" i="2" a="1"/>
  <c r="W393" i="2" s="1"/>
  <c r="AG396" i="2" a="1"/>
  <c r="AG396" i="2" s="1"/>
  <c r="AA396" i="2" a="1"/>
  <c r="AA396" i="2" s="1"/>
  <c r="AF396" i="2" a="1"/>
  <c r="AF396" i="2" s="1"/>
  <c r="AD396" i="2" a="1"/>
  <c r="AD396" i="2" s="1"/>
  <c r="S396" i="2" a="1"/>
  <c r="S396" i="2" s="1"/>
  <c r="W396" i="2" a="1"/>
  <c r="W396" i="2" s="1"/>
  <c r="Y396" i="2" a="1"/>
  <c r="Y396" i="2" s="1"/>
  <c r="D111" i="7" a="1"/>
  <c r="D111" i="7" s="1"/>
  <c r="D192" i="4" a="1"/>
  <c r="D192" i="4" s="1"/>
  <c r="U604" i="12" a="1"/>
  <c r="U604" i="12" s="1"/>
  <c r="E510" i="12" a="1"/>
  <c r="E510" i="12" s="1"/>
  <c r="Z409" i="2" a="1"/>
  <c r="Z409" i="2" s="1"/>
  <c r="B48" i="9" a="1"/>
  <c r="B48" i="9" s="1"/>
  <c r="B104" i="5" a="1"/>
  <c r="B104" i="5" s="1"/>
  <c r="B206" i="4" a="1"/>
  <c r="B206" i="4" s="1"/>
  <c r="V413" i="2" a="1"/>
  <c r="V413" i="2" s="1"/>
  <c r="AG414" i="2" a="1"/>
  <c r="AG414" i="2" s="1"/>
  <c r="V414" i="2" a="1"/>
  <c r="V414" i="2" s="1"/>
  <c r="AA414" i="2" a="1"/>
  <c r="AA414" i="2" s="1"/>
  <c r="AD414" i="2" a="1"/>
  <c r="AD414" i="2" s="1"/>
  <c r="S414" i="2" a="1"/>
  <c r="S414" i="2" s="1"/>
  <c r="W414" i="2" a="1"/>
  <c r="W414" i="2" s="1"/>
  <c r="Z414" i="2" a="1"/>
  <c r="Z414" i="2" s="1"/>
  <c r="T415" i="2" a="1"/>
  <c r="T415" i="2" s="1"/>
  <c r="AC415" i="2" a="1"/>
  <c r="AC415" i="2" s="1"/>
  <c r="D101" i="6" a="1"/>
  <c r="D101" i="6" s="1"/>
  <c r="D97" i="5" a="1"/>
  <c r="D97" i="5" s="1"/>
  <c r="D195" i="4" a="1"/>
  <c r="D195" i="4" s="1"/>
  <c r="E537" i="12" a="1"/>
  <c r="E537" i="12" s="1"/>
  <c r="W421" i="2" a="1"/>
  <c r="W421" i="2" s="1"/>
  <c r="AB421" i="2" a="1"/>
  <c r="AB421" i="2" s="1"/>
  <c r="Z421" i="2" a="1"/>
  <c r="Z421" i="2" s="1"/>
  <c r="T421" i="2" a="1"/>
  <c r="T421" i="2" s="1"/>
  <c r="U421" i="2" s="1" a="1"/>
  <c r="U421" i="2" s="1"/>
  <c r="X421" i="2" a="1"/>
  <c r="X421" i="2" s="1"/>
  <c r="Y421" i="2" a="1"/>
  <c r="Y421" i="2" s="1"/>
  <c r="S422" i="2" a="1"/>
  <c r="S422" i="2" s="1"/>
  <c r="W423" i="2" a="1"/>
  <c r="W423" i="2" s="1"/>
  <c r="V425" i="2" a="1"/>
  <c r="V425" i="2" s="1"/>
  <c r="AG428" i="2" a="1"/>
  <c r="AG428" i="2" s="1"/>
  <c r="V428" i="2" a="1"/>
  <c r="V428" i="2" s="1"/>
  <c r="AA428" i="2" a="1"/>
  <c r="AA428" i="2" s="1"/>
  <c r="Y428" i="2" a="1"/>
  <c r="Y428" i="2" s="1"/>
  <c r="S428" i="2" a="1"/>
  <c r="S428" i="2" s="1"/>
  <c r="W428" i="2" a="1"/>
  <c r="W428" i="2" s="1"/>
  <c r="Z428" i="2" a="1"/>
  <c r="Z428" i="2" s="1"/>
  <c r="E581" i="12" a="1"/>
  <c r="E581" i="12" s="1"/>
  <c r="X432" i="2" a="1"/>
  <c r="X432" i="2" s="1"/>
  <c r="U559" i="12" a="1"/>
  <c r="U559" i="12" s="1"/>
  <c r="B118" i="7" a="1"/>
  <c r="B118" i="7" s="1"/>
  <c r="B107" i="6" a="1"/>
  <c r="B107" i="6" s="1"/>
  <c r="B207" i="4" a="1"/>
  <c r="B207" i="4" s="1"/>
  <c r="X439" i="2" a="1"/>
  <c r="X439" i="2" s="1"/>
  <c r="B105" i="6" a="1"/>
  <c r="B105" i="6" s="1"/>
  <c r="B101" i="5" a="1"/>
  <c r="B101" i="5" s="1"/>
  <c r="B203" i="4" a="1"/>
  <c r="B203" i="4" s="1"/>
  <c r="D124" i="7" a="1"/>
  <c r="D124" i="7" s="1"/>
  <c r="D216" i="4" a="1"/>
  <c r="D216" i="4" s="1"/>
  <c r="D111" i="6" a="1"/>
  <c r="D111" i="6" s="1"/>
  <c r="D106" i="5" a="1"/>
  <c r="D106" i="5" s="1"/>
  <c r="D213" i="4" a="1"/>
  <c r="D213" i="4" s="1"/>
  <c r="D126" i="7" a="1"/>
  <c r="D126" i="7" s="1"/>
  <c r="D110" i="5" a="1"/>
  <c r="D110" i="5" s="1"/>
  <c r="D115" i="6" a="1"/>
  <c r="D115" i="6" s="1"/>
  <c r="D220" i="4" a="1"/>
  <c r="D220" i="4" s="1"/>
  <c r="B193" i="8" a="1"/>
  <c r="B193" i="8" s="1"/>
  <c r="U594" i="12" a="1"/>
  <c r="U594" i="12" s="1"/>
  <c r="E158" i="12" a="1"/>
  <c r="E158" i="12" s="1"/>
  <c r="B123" i="5" a="1"/>
  <c r="B123" i="5" s="1"/>
  <c r="B245" i="4" a="1"/>
  <c r="B245" i="4" s="1"/>
  <c r="U327" i="12" a="1"/>
  <c r="U327" i="12" s="1"/>
  <c r="D98" i="7" a="1"/>
  <c r="D98" i="7" s="1"/>
  <c r="D89" i="5" a="1"/>
  <c r="D89" i="5" s="1"/>
  <c r="D174" i="4" a="1"/>
  <c r="D174" i="4" s="1"/>
  <c r="U370" i="2" a="1"/>
  <c r="U370" i="2" s="1"/>
  <c r="U372" i="2" a="1"/>
  <c r="U372" i="2" s="1"/>
  <c r="U374" i="2" a="1"/>
  <c r="U374" i="2" s="1"/>
  <c r="U376" i="2" a="1"/>
  <c r="U376" i="2" s="1"/>
  <c r="D94" i="5" a="1"/>
  <c r="D94" i="5" s="1"/>
  <c r="D187" i="4" a="1"/>
  <c r="D187" i="4" s="1"/>
  <c r="AB388" i="2" a="1"/>
  <c r="AB388" i="2" s="1"/>
  <c r="Z390" i="2" a="1"/>
  <c r="Z390" i="2" s="1"/>
  <c r="B98" i="5" a="1"/>
  <c r="B98" i="5" s="1"/>
  <c r="B196" i="4" a="1"/>
  <c r="B196" i="4" s="1"/>
  <c r="U564" i="12" a="1"/>
  <c r="U564" i="12" s="1"/>
  <c r="B171" i="8" a="1"/>
  <c r="B171" i="8" s="1"/>
  <c r="U573" i="12" a="1"/>
  <c r="U573" i="12" s="1"/>
  <c r="Z404" i="2" a="1"/>
  <c r="Z404" i="2" s="1"/>
  <c r="AE404" i="2" a="1"/>
  <c r="AE404" i="2" s="1"/>
  <c r="T404" i="2" a="1"/>
  <c r="T404" i="2" s="1"/>
  <c r="AC404" i="2" a="1"/>
  <c r="AC404" i="2" s="1"/>
  <c r="AG404" i="2" a="1"/>
  <c r="AG404" i="2" s="1"/>
  <c r="AA404" i="2" a="1"/>
  <c r="AA404" i="2" s="1"/>
  <c r="E604" i="12" a="1"/>
  <c r="E604" i="12" s="1"/>
  <c r="AF413" i="2" a="1"/>
  <c r="AF413" i="2" s="1"/>
  <c r="E277" i="12" a="1"/>
  <c r="E277" i="12" s="1"/>
  <c r="W416" i="2" a="1"/>
  <c r="W416" i="2" s="1"/>
  <c r="AB416" i="2" a="1"/>
  <c r="AB416" i="2" s="1"/>
  <c r="Z416" i="2" a="1"/>
  <c r="Z416" i="2" s="1"/>
  <c r="T416" i="2" a="1"/>
  <c r="T416" i="2" s="1"/>
  <c r="X416" i="2" a="1"/>
  <c r="X416" i="2" s="1"/>
  <c r="Y416" i="2" a="1"/>
  <c r="Y416" i="2" s="1"/>
  <c r="S417" i="2" a="1"/>
  <c r="S417" i="2" s="1"/>
  <c r="AB419" i="2" a="1"/>
  <c r="AB419" i="2" s="1"/>
  <c r="X423" i="2" a="1"/>
  <c r="X423" i="2" s="1"/>
  <c r="AC423" i="2" a="1"/>
  <c r="AC423" i="2" s="1"/>
  <c r="AA423" i="2" a="1"/>
  <c r="AA423" i="2" s="1"/>
  <c r="AE423" i="2" a="1"/>
  <c r="AE423" i="2" s="1"/>
  <c r="Y423" i="2" a="1"/>
  <c r="Y423" i="2" s="1"/>
  <c r="U463" i="12" a="1"/>
  <c r="U463" i="12" s="1"/>
  <c r="W425" i="2" a="1"/>
  <c r="W425" i="2" s="1"/>
  <c r="E237" i="12" a="1"/>
  <c r="E237" i="12" s="1"/>
  <c r="AA426" i="2" a="1"/>
  <c r="AA426" i="2" s="1"/>
  <c r="E260" i="12" a="1"/>
  <c r="E260" i="12" s="1"/>
  <c r="D108" i="5" a="1"/>
  <c r="D108" i="5" s="1"/>
  <c r="D217" i="4" a="1"/>
  <c r="D217" i="4" s="1"/>
  <c r="AA431" i="2" a="1"/>
  <c r="AA431" i="2" s="1"/>
  <c r="B185" i="8" a="1"/>
  <c r="B185" i="8" s="1"/>
  <c r="B187" i="8" a="1"/>
  <c r="B187" i="8" s="1"/>
  <c r="E295" i="12" a="1"/>
  <c r="E295" i="12" s="1"/>
  <c r="U315" i="12" a="1"/>
  <c r="U315" i="12" s="1"/>
  <c r="B188" i="8" a="1"/>
  <c r="B188" i="8" s="1"/>
  <c r="E233" i="12" a="1"/>
  <c r="E233" i="12" s="1"/>
  <c r="E311" i="12" a="1"/>
  <c r="E311" i="12" s="1"/>
  <c r="B131" i="7" a="1"/>
  <c r="B131" i="7" s="1"/>
  <c r="B114" i="5" a="1"/>
  <c r="B114" i="5" s="1"/>
  <c r="B228" i="4" a="1"/>
  <c r="B228" i="4" s="1"/>
  <c r="D122" i="5" a="1"/>
  <c r="D122" i="5" s="1"/>
  <c r="D244" i="4" a="1"/>
  <c r="D244" i="4" s="1"/>
  <c r="D123" i="5" a="1"/>
  <c r="D123" i="5" s="1"/>
  <c r="D245" i="4" a="1"/>
  <c r="D245" i="4" s="1"/>
  <c r="AF248" i="2" a="1"/>
  <c r="AF248" i="2" s="1"/>
  <c r="AA248" i="2" a="1"/>
  <c r="AA248" i="2" s="1"/>
  <c r="V248" i="2" a="1"/>
  <c r="V248" i="2" s="1"/>
  <c r="AF258" i="2" a="1"/>
  <c r="AF258" i="2" s="1"/>
  <c r="AA258" i="2" a="1"/>
  <c r="AA258" i="2" s="1"/>
  <c r="V258" i="2" a="1"/>
  <c r="V258" i="2" s="1"/>
  <c r="E152" i="12" a="1"/>
  <c r="E152" i="12" s="1"/>
  <c r="Y301" i="2" a="1"/>
  <c r="Y301" i="2" s="1"/>
  <c r="AE301" i="2" a="1"/>
  <c r="AE301" i="2" s="1"/>
  <c r="S302" i="2" a="1"/>
  <c r="S302" i="2" s="1"/>
  <c r="E493" i="12" a="1"/>
  <c r="E493" i="12" s="1"/>
  <c r="D84" i="5" a="1"/>
  <c r="D84" i="5" s="1"/>
  <c r="D166" i="4" a="1"/>
  <c r="D166" i="4" s="1"/>
  <c r="U131" i="12" a="1"/>
  <c r="U131" i="12" s="1"/>
  <c r="U147" i="12" a="1"/>
  <c r="U147" i="12" s="1"/>
  <c r="U171" i="12" a="1"/>
  <c r="U171" i="12" s="1"/>
  <c r="U549" i="12" a="1"/>
  <c r="U549" i="12" s="1"/>
  <c r="U449" i="12" a="1"/>
  <c r="U449" i="12" s="1"/>
  <c r="U149" i="12" a="1"/>
  <c r="U149" i="12" s="1"/>
  <c r="U556" i="12" a="1"/>
  <c r="U556" i="12" s="1"/>
  <c r="U435" i="12" a="1"/>
  <c r="U435" i="12" s="1"/>
  <c r="U494" i="12" a="1"/>
  <c r="U494" i="12" s="1"/>
  <c r="U193" i="12" a="1"/>
  <c r="U193" i="12" s="1"/>
  <c r="B94" i="7" a="1"/>
  <c r="B94" i="7" s="1"/>
  <c r="B84" i="6" a="1"/>
  <c r="B84" i="6" s="1"/>
  <c r="B168" i="4" a="1"/>
  <c r="B168" i="4" s="1"/>
  <c r="U206" i="12" a="1"/>
  <c r="U206" i="12" s="1"/>
  <c r="B91" i="5" a="1"/>
  <c r="B91" i="5" s="1"/>
  <c r="B181" i="4" a="1"/>
  <c r="B181" i="4" s="1"/>
  <c r="U465" i="12" a="1"/>
  <c r="U465" i="12" s="1"/>
  <c r="E231" i="12" a="1"/>
  <c r="E231" i="12" s="1"/>
  <c r="E551" i="12" a="1"/>
  <c r="E551" i="12" s="1"/>
  <c r="E244" i="12" a="1"/>
  <c r="E244" i="12" s="1"/>
  <c r="E547" i="12" a="1"/>
  <c r="E547" i="12" s="1"/>
  <c r="E215" i="12" a="1"/>
  <c r="E215" i="12" s="1"/>
  <c r="E515" i="12" a="1"/>
  <c r="E515" i="12" s="1"/>
  <c r="AE369" i="2" a="1"/>
  <c r="AE369" i="2" s="1"/>
  <c r="Z369" i="2" a="1"/>
  <c r="Z369" i="2" s="1"/>
  <c r="AF369" i="2" a="1"/>
  <c r="AF369" i="2" s="1"/>
  <c r="AA369" i="2" a="1"/>
  <c r="AA369" i="2" s="1"/>
  <c r="V369" i="2" a="1"/>
  <c r="V369" i="2" s="1"/>
  <c r="W369" i="2" a="1"/>
  <c r="W369" i="2" s="1"/>
  <c r="AD369" i="2" a="1"/>
  <c r="AD369" i="2" s="1"/>
  <c r="U236" i="12" a="1"/>
  <c r="U236" i="12" s="1"/>
  <c r="AE371" i="2" a="1"/>
  <c r="AE371" i="2" s="1"/>
  <c r="Z371" i="2" a="1"/>
  <c r="Z371" i="2" s="1"/>
  <c r="AF371" i="2" a="1"/>
  <c r="AF371" i="2" s="1"/>
  <c r="AA371" i="2" a="1"/>
  <c r="AA371" i="2" s="1"/>
  <c r="V371" i="2" a="1"/>
  <c r="V371" i="2" s="1"/>
  <c r="W371" i="2" a="1"/>
  <c r="W371" i="2" s="1"/>
  <c r="AD371" i="2" a="1"/>
  <c r="AD371" i="2" s="1"/>
  <c r="U180" i="12" a="1"/>
  <c r="U180" i="12" s="1"/>
  <c r="AE373" i="2" a="1"/>
  <c r="AE373" i="2" s="1"/>
  <c r="Z373" i="2" a="1"/>
  <c r="Z373" i="2" s="1"/>
  <c r="AF373" i="2" a="1"/>
  <c r="AF373" i="2" s="1"/>
  <c r="AA373" i="2" a="1"/>
  <c r="AA373" i="2" s="1"/>
  <c r="V373" i="2" a="1"/>
  <c r="V373" i="2" s="1"/>
  <c r="W373" i="2" a="1"/>
  <c r="W373" i="2" s="1"/>
  <c r="AD373" i="2" a="1"/>
  <c r="AD373" i="2" s="1"/>
  <c r="U172" i="12" a="1"/>
  <c r="U172" i="12" s="1"/>
  <c r="AE375" i="2" a="1"/>
  <c r="AE375" i="2" s="1"/>
  <c r="Z375" i="2" a="1"/>
  <c r="Z375" i="2" s="1"/>
  <c r="AF375" i="2" a="1"/>
  <c r="AF375" i="2" s="1"/>
  <c r="AA375" i="2" a="1"/>
  <c r="AA375" i="2" s="1"/>
  <c r="V375" i="2" a="1"/>
  <c r="V375" i="2" s="1"/>
  <c r="W375" i="2" a="1"/>
  <c r="W375" i="2" s="1"/>
  <c r="AD375" i="2" a="1"/>
  <c r="AD375" i="2" s="1"/>
  <c r="U520" i="12" a="1"/>
  <c r="U520" i="12" s="1"/>
  <c r="W656" i="12" a="1"/>
  <c r="W656" i="12" s="1"/>
  <c r="AN377" i="2" a="1"/>
  <c r="AN377" i="2" s="1"/>
  <c r="AO377" i="2" a="1"/>
  <c r="AO377" i="2" s="1"/>
  <c r="AP377" i="2" a="1"/>
  <c r="AP377" i="2" s="1"/>
  <c r="AK379" i="2" a="1"/>
  <c r="AK379" i="2" s="1"/>
  <c r="AC380" i="2" a="1"/>
  <c r="AC380" i="2" s="1"/>
  <c r="X380" i="2" a="1"/>
  <c r="X380" i="2" s="1"/>
  <c r="S380" i="2" a="1"/>
  <c r="S380" i="2" s="1"/>
  <c r="AD380" i="2" a="1"/>
  <c r="AD380" i="2" s="1"/>
  <c r="Y380" i="2" a="1"/>
  <c r="Y380" i="2" s="1"/>
  <c r="T380" i="2" a="1"/>
  <c r="T380" i="2" s="1"/>
  <c r="AE380" i="2" a="1"/>
  <c r="AE380" i="2" s="1"/>
  <c r="AA384" i="2" a="1"/>
  <c r="AA384" i="2" s="1"/>
  <c r="D89" i="6" a="1"/>
  <c r="D89" i="6" s="1"/>
  <c r="D176" i="4" a="1"/>
  <c r="D176" i="4" s="1"/>
  <c r="AA387" i="2" a="1"/>
  <c r="AA387" i="2" s="1"/>
  <c r="AF387" i="2" a="1"/>
  <c r="AF387" i="2" s="1"/>
  <c r="AD387" i="2" a="1"/>
  <c r="AD387" i="2" s="1"/>
  <c r="S387" i="2" a="1"/>
  <c r="S387" i="2" s="1"/>
  <c r="AB387" i="2" a="1"/>
  <c r="AB387" i="2" s="1"/>
  <c r="Y387" i="2" a="1"/>
  <c r="Y387" i="2" s="1"/>
  <c r="T388" i="2" a="1"/>
  <c r="T388" i="2" s="1"/>
  <c r="AC388" i="2" a="1"/>
  <c r="AC388" i="2" s="1"/>
  <c r="AA390" i="2" a="1"/>
  <c r="AA390" i="2" s="1"/>
  <c r="AC391" i="2" a="1"/>
  <c r="AC391" i="2" s="1"/>
  <c r="U588" i="12" a="1"/>
  <c r="U588" i="12" s="1"/>
  <c r="E246" i="12" a="1"/>
  <c r="E246" i="12" s="1"/>
  <c r="E245" i="12" a="1"/>
  <c r="E245" i="12" s="1"/>
  <c r="Z396" i="2" a="1"/>
  <c r="Z396" i="2" s="1"/>
  <c r="W398" i="2" a="1"/>
  <c r="W398" i="2" s="1"/>
  <c r="AG401" i="2" a="1"/>
  <c r="AG401" i="2" s="1"/>
  <c r="AA401" i="2" a="1"/>
  <c r="AA401" i="2" s="1"/>
  <c r="AF401" i="2" a="1"/>
  <c r="AF401" i="2" s="1"/>
  <c r="AD401" i="2" a="1"/>
  <c r="AD401" i="2" s="1"/>
  <c r="S401" i="2" a="1"/>
  <c r="S401" i="2" s="1"/>
  <c r="W401" i="2" a="1"/>
  <c r="W401" i="2" s="1"/>
  <c r="Y401" i="2" a="1"/>
  <c r="Y401" i="2" s="1"/>
  <c r="D110" i="7" a="1"/>
  <c r="D110" i="7" s="1"/>
  <c r="D98" i="6" a="1"/>
  <c r="D98" i="6" s="1"/>
  <c r="D191" i="4" a="1"/>
  <c r="D191" i="4" s="1"/>
  <c r="Y404" i="2" a="1"/>
  <c r="Y404" i="2" s="1"/>
  <c r="S409" i="2" a="1"/>
  <c r="S409" i="2" s="1"/>
  <c r="AB409" i="2" a="1"/>
  <c r="AB409" i="2" s="1"/>
  <c r="W411" i="2" a="1"/>
  <c r="W411" i="2" s="1"/>
  <c r="AB411" i="2" a="1"/>
  <c r="AB411" i="2" s="1"/>
  <c r="Z411" i="2" a="1"/>
  <c r="Z411" i="2" s="1"/>
  <c r="T411" i="2" a="1"/>
  <c r="T411" i="2" s="1"/>
  <c r="X411" i="2" a="1"/>
  <c r="X411" i="2" s="1"/>
  <c r="Y411" i="2" a="1"/>
  <c r="Y411" i="2" s="1"/>
  <c r="S412" i="2" a="1"/>
  <c r="S412" i="2" s="1"/>
  <c r="D104" i="5" a="1"/>
  <c r="D104" i="5" s="1"/>
  <c r="D206" i="4" a="1"/>
  <c r="D206" i="4" s="1"/>
  <c r="W413" i="2" a="1"/>
  <c r="W413" i="2" s="1"/>
  <c r="AB414" i="2" a="1"/>
  <c r="AB414" i="2" s="1"/>
  <c r="V415" i="2" a="1"/>
  <c r="V415" i="2" s="1"/>
  <c r="AC419" i="2" a="1"/>
  <c r="AC419" i="2" s="1"/>
  <c r="E561" i="12" a="1"/>
  <c r="E561" i="12" s="1"/>
  <c r="AA421" i="2" a="1"/>
  <c r="AA421" i="2" s="1"/>
  <c r="AD422" i="2" a="1"/>
  <c r="AD422" i="2" s="1"/>
  <c r="Z423" i="2" a="1"/>
  <c r="Z423" i="2" s="1"/>
  <c r="T424" i="2" a="1"/>
  <c r="T424" i="2" s="1"/>
  <c r="S426" i="2" a="1"/>
  <c r="S426" i="2" s="1"/>
  <c r="AB428" i="2" a="1"/>
  <c r="AB428" i="2" s="1"/>
  <c r="AD429" i="2" a="1"/>
  <c r="AD429" i="2" s="1"/>
  <c r="W430" i="2" a="1"/>
  <c r="W430" i="2" s="1"/>
  <c r="AB430" i="2" a="1"/>
  <c r="AB430" i="2" s="1"/>
  <c r="Z430" i="2" a="1"/>
  <c r="Z430" i="2" s="1"/>
  <c r="AD430" i="2" a="1"/>
  <c r="AD430" i="2" s="1"/>
  <c r="X430" i="2" a="1"/>
  <c r="X430" i="2" s="1"/>
  <c r="AB431" i="2" a="1"/>
  <c r="AB431" i="2" s="1"/>
  <c r="AF432" i="2" a="1"/>
  <c r="AF432" i="2" s="1"/>
  <c r="S432" i="2" a="1"/>
  <c r="S432" i="2" s="1"/>
  <c r="AE432" i="2" a="1"/>
  <c r="AE432" i="2" s="1"/>
  <c r="Y432" i="2" a="1"/>
  <c r="Y432" i="2" s="1"/>
  <c r="AG432" i="2" a="1"/>
  <c r="AG432" i="2" s="1"/>
  <c r="AA432" i="2" a="1"/>
  <c r="AA432" i="2" s="1"/>
  <c r="V434" i="2" a="1"/>
  <c r="V434" i="2" s="1"/>
  <c r="U280" i="12" a="1"/>
  <c r="U280" i="12" s="1"/>
  <c r="B186" i="8" a="1"/>
  <c r="B186" i="8" s="1"/>
  <c r="B112" i="5" a="1"/>
  <c r="B112" i="5" s="1"/>
  <c r="B224" i="4" a="1"/>
  <c r="B224" i="4" s="1"/>
  <c r="AF441" i="2" a="1"/>
  <c r="AF441" i="2" s="1"/>
  <c r="AG441" i="2" a="1"/>
  <c r="AG441" i="2" s="1"/>
  <c r="AA441" i="2" a="1"/>
  <c r="AA441" i="2" s="1"/>
  <c r="W441" i="2" a="1"/>
  <c r="W441" i="2" s="1"/>
  <c r="AC441" i="2" a="1"/>
  <c r="AC441" i="2" s="1"/>
  <c r="AB441" i="2" a="1"/>
  <c r="AB441" i="2" s="1"/>
  <c r="V441" i="2" a="1"/>
  <c r="V441" i="2" s="1"/>
  <c r="AD441" i="2" a="1"/>
  <c r="AD441" i="2" s="1"/>
  <c r="AC445" i="2" a="1"/>
  <c r="AC445" i="2" s="1"/>
  <c r="W445" i="2" a="1"/>
  <c r="W445" i="2" s="1"/>
  <c r="AD445" i="2" a="1"/>
  <c r="AD445" i="2" s="1"/>
  <c r="X445" i="2" a="1"/>
  <c r="X445" i="2" s="1"/>
  <c r="AG445" i="2" a="1"/>
  <c r="AG445" i="2" s="1"/>
  <c r="AA445" i="2" a="1"/>
  <c r="AA445" i="2" s="1"/>
  <c r="AF445" i="2" a="1"/>
  <c r="AF445" i="2" s="1"/>
  <c r="Z445" i="2" a="1"/>
  <c r="Z445" i="2" s="1"/>
  <c r="T445" i="2" a="1"/>
  <c r="T445" i="2" s="1"/>
  <c r="AE445" i="2" a="1"/>
  <c r="AE445" i="2" s="1"/>
  <c r="Y445" i="2" a="1"/>
  <c r="Y445" i="2" s="1"/>
  <c r="S445" i="2" a="1"/>
  <c r="S445" i="2" s="1"/>
  <c r="T450" i="2" a="1"/>
  <c r="T450" i="2" s="1"/>
  <c r="AE459" i="2" a="1"/>
  <c r="AE459" i="2" s="1"/>
  <c r="T459" i="2" a="1"/>
  <c r="T459" i="2" s="1"/>
  <c r="AC459" i="2" a="1"/>
  <c r="AC459" i="2" s="1"/>
  <c r="W459" i="2" a="1"/>
  <c r="W459" i="2" s="1"/>
  <c r="AF459" i="2" a="1"/>
  <c r="AF459" i="2" s="1"/>
  <c r="Y459" i="2" a="1"/>
  <c r="Y459" i="2" s="1"/>
  <c r="AB459" i="2" a="1"/>
  <c r="AB459" i="2" s="1"/>
  <c r="AA459" i="2" a="1"/>
  <c r="AA459" i="2" s="1"/>
  <c r="AG459" i="2" a="1"/>
  <c r="AG459" i="2" s="1"/>
  <c r="Z459" i="2" a="1"/>
  <c r="Z459" i="2" s="1"/>
  <c r="S459" i="2" a="1"/>
  <c r="S459" i="2" s="1"/>
  <c r="B116" i="6" a="1"/>
  <c r="B116" i="6" s="1"/>
  <c r="B128" i="7" a="1"/>
  <c r="B128" i="7" s="1"/>
  <c r="B223" i="4" a="1"/>
  <c r="B223" i="4" s="1"/>
  <c r="U258" i="12" a="1"/>
  <c r="U258" i="12" s="1"/>
  <c r="W466" i="2" a="1"/>
  <c r="W466" i="2" s="1"/>
  <c r="D131" i="7" a="1"/>
  <c r="D131" i="7" s="1"/>
  <c r="D114" i="5" a="1"/>
  <c r="D114" i="5" s="1"/>
  <c r="D228" i="4" a="1"/>
  <c r="D228" i="4" s="1"/>
  <c r="AE474" i="2" a="1"/>
  <c r="AE474" i="2" s="1"/>
  <c r="T474" i="2" a="1"/>
  <c r="T474" i="2" s="1"/>
  <c r="AC474" i="2" a="1"/>
  <c r="AC474" i="2" s="1"/>
  <c r="W474" i="2" a="1"/>
  <c r="W474" i="2" s="1"/>
  <c r="AF474" i="2" a="1"/>
  <c r="AF474" i="2" s="1"/>
  <c r="Y474" i="2" a="1"/>
  <c r="Y474" i="2" s="1"/>
  <c r="X474" i="2" a="1"/>
  <c r="X474" i="2" s="1"/>
  <c r="AD474" i="2" a="1"/>
  <c r="AD474" i="2" s="1"/>
  <c r="V474" i="2" a="1"/>
  <c r="V474" i="2" s="1"/>
  <c r="AB474" i="2" a="1"/>
  <c r="AB474" i="2" s="1"/>
  <c r="AA474" i="2" a="1"/>
  <c r="AA474" i="2" s="1"/>
  <c r="AG474" i="2" a="1"/>
  <c r="AG474" i="2" s="1"/>
  <c r="Z474" i="2" a="1"/>
  <c r="Z474" i="2" s="1"/>
  <c r="S474" i="2" a="1"/>
  <c r="S474" i="2" s="1"/>
  <c r="E320" i="12" a="1"/>
  <c r="E320" i="12" s="1"/>
  <c r="U319" i="12" a="1"/>
  <c r="U319" i="12" s="1"/>
  <c r="B106" i="7" a="1"/>
  <c r="B106" i="7" s="1"/>
  <c r="B94" i="6" a="1"/>
  <c r="B94" i="6" s="1"/>
  <c r="B185" i="4" a="1"/>
  <c r="B185" i="4" s="1"/>
  <c r="B95" i="6" a="1"/>
  <c r="B95" i="6" s="1"/>
  <c r="B93" i="5" a="1"/>
  <c r="B93" i="5" s="1"/>
  <c r="B107" i="7" a="1"/>
  <c r="B107" i="7" s="1"/>
  <c r="B186" i="4" a="1"/>
  <c r="B186" i="4" s="1"/>
  <c r="U475" i="12" a="1"/>
  <c r="U475" i="12" s="1"/>
  <c r="B47" i="9" a="1"/>
  <c r="B47" i="9" s="1"/>
  <c r="U83" i="12" a="1"/>
  <c r="U83" i="12" s="1"/>
  <c r="X413" i="2" a="1"/>
  <c r="X413" i="2" s="1"/>
  <c r="AC413" i="2" a="1"/>
  <c r="AC413" i="2" s="1"/>
  <c r="AA413" i="2" a="1"/>
  <c r="AA413" i="2" s="1"/>
  <c r="AE413" i="2" a="1"/>
  <c r="AE413" i="2" s="1"/>
  <c r="Y413" i="2" a="1"/>
  <c r="Y413" i="2" s="1"/>
  <c r="U239" i="12" a="1"/>
  <c r="U239" i="12" s="1"/>
  <c r="E218" i="12" a="1"/>
  <c r="E218" i="12" s="1"/>
  <c r="B115" i="7" a="1"/>
  <c r="B115" i="7" s="1"/>
  <c r="B103" i="6" a="1"/>
  <c r="B103" i="6" s="1"/>
  <c r="B200" i="4" a="1"/>
  <c r="B200" i="4" s="1"/>
  <c r="E463" i="12" a="1"/>
  <c r="E463" i="12" s="1"/>
  <c r="B179" i="8" a="1"/>
  <c r="B179" i="8" s="1"/>
  <c r="AE425" i="2" a="1"/>
  <c r="AE425" i="2" s="1"/>
  <c r="Y425" i="2" a="1"/>
  <c r="Y425" i="2" s="1"/>
  <c r="AD425" i="2" a="1"/>
  <c r="AD425" i="2" s="1"/>
  <c r="S425" i="2" a="1"/>
  <c r="S425" i="2" s="1"/>
  <c r="AB425" i="2" a="1"/>
  <c r="AB425" i="2" s="1"/>
  <c r="AF425" i="2" a="1"/>
  <c r="AF425" i="2" s="1"/>
  <c r="X425" i="2" a="1"/>
  <c r="X425" i="2" s="1"/>
  <c r="U514" i="12" a="1"/>
  <c r="U514" i="12" s="1"/>
  <c r="S431" i="2" a="1"/>
  <c r="S431" i="2" s="1"/>
  <c r="E501" i="12" a="1"/>
  <c r="E501" i="12" s="1"/>
  <c r="W638" i="12" a="1"/>
  <c r="W638" i="12" s="1"/>
  <c r="AM433" i="2" a="1"/>
  <c r="AM433" i="2" s="1"/>
  <c r="AP433" i="2" a="1"/>
  <c r="AP433" i="2" s="1"/>
  <c r="X434" i="2" a="1"/>
  <c r="X434" i="2" s="1"/>
  <c r="AF436" i="2" a="1"/>
  <c r="AF436" i="2" s="1"/>
  <c r="AD436" i="2" a="1"/>
  <c r="AD436" i="2" s="1"/>
  <c r="X436" i="2" a="1"/>
  <c r="X436" i="2" s="1"/>
  <c r="Z436" i="2" a="1"/>
  <c r="Z436" i="2" s="1"/>
  <c r="T436" i="2" a="1"/>
  <c r="T436" i="2" s="1"/>
  <c r="AA436" i="2" a="1"/>
  <c r="AA436" i="2" s="1"/>
  <c r="E271" i="12" a="1"/>
  <c r="E271" i="12" s="1"/>
  <c r="AC438" i="2" a="1"/>
  <c r="AC438" i="2" s="1"/>
  <c r="AE439" i="2" a="1"/>
  <c r="AE439" i="2" s="1"/>
  <c r="T439" i="2" a="1"/>
  <c r="T439" i="2" s="1"/>
  <c r="AF439" i="2" a="1"/>
  <c r="AF439" i="2" s="1"/>
  <c r="Z439" i="2" a="1"/>
  <c r="Z439" i="2" s="1"/>
  <c r="W439" i="2" a="1"/>
  <c r="W439" i="2" s="1"/>
  <c r="AB439" i="2" a="1"/>
  <c r="AB439" i="2" s="1"/>
  <c r="V439" i="2" a="1"/>
  <c r="V439" i="2" s="1"/>
  <c r="AA439" i="2" a="1"/>
  <c r="AA439" i="2" s="1"/>
  <c r="E243" i="12" a="1"/>
  <c r="E243" i="12" s="1"/>
  <c r="AE441" i="2" a="1"/>
  <c r="AE441" i="2" s="1"/>
  <c r="U282" i="12" a="1"/>
  <c r="U282" i="12" s="1"/>
  <c r="S444" i="2" a="1"/>
  <c r="S444" i="2" s="1"/>
  <c r="X444" i="2" a="1"/>
  <c r="X444" i="2" s="1"/>
  <c r="B106" i="6" a="1"/>
  <c r="B106" i="6" s="1"/>
  <c r="B103" i="5" a="1"/>
  <c r="B103" i="5" s="1"/>
  <c r="B205" i="4" a="1"/>
  <c r="B205" i="4" s="1"/>
  <c r="W446" i="2" a="1"/>
  <c r="W446" i="2" s="1"/>
  <c r="W451" i="2" a="1"/>
  <c r="W451" i="2" s="1"/>
  <c r="U555" i="12" a="1"/>
  <c r="U555" i="12" s="1"/>
  <c r="AC460" i="2" a="1"/>
  <c r="AC460" i="2" s="1"/>
  <c r="W460" i="2" a="1"/>
  <c r="W460" i="2" s="1"/>
  <c r="AF460" i="2" a="1"/>
  <c r="AF460" i="2" s="1"/>
  <c r="V460" i="2" a="1"/>
  <c r="V460" i="2" s="1"/>
  <c r="AB460" i="2" a="1"/>
  <c r="AB460" i="2" s="1"/>
  <c r="S460" i="2" a="1"/>
  <c r="S460" i="2" s="1"/>
  <c r="Y460" i="2" a="1"/>
  <c r="Y460" i="2" s="1"/>
  <c r="AE460" i="2" a="1"/>
  <c r="AE460" i="2" s="1"/>
  <c r="X460" i="2" a="1"/>
  <c r="X460" i="2" s="1"/>
  <c r="AD460" i="2" a="1"/>
  <c r="AD460" i="2" s="1"/>
  <c r="AF461" i="2" a="1"/>
  <c r="AF461" i="2" s="1"/>
  <c r="AD461" i="2" a="1"/>
  <c r="AD461" i="2" s="1"/>
  <c r="S461" i="2" a="1"/>
  <c r="S461" i="2" s="1"/>
  <c r="AG461" i="2" a="1"/>
  <c r="AG461" i="2" s="1"/>
  <c r="Z461" i="2" a="1"/>
  <c r="Z461" i="2" s="1"/>
  <c r="AC461" i="2" a="1"/>
  <c r="AC461" i="2" s="1"/>
  <c r="V461" i="2" a="1"/>
  <c r="V461" i="2" s="1"/>
  <c r="AB461" i="2" a="1"/>
  <c r="AB461" i="2" s="1"/>
  <c r="AA461" i="2" a="1"/>
  <c r="AA461" i="2" s="1"/>
  <c r="T461" i="2" a="1"/>
  <c r="T461" i="2" s="1"/>
  <c r="AE464" i="2" a="1"/>
  <c r="AE464" i="2" s="1"/>
  <c r="T464" i="2" a="1"/>
  <c r="T464" i="2" s="1"/>
  <c r="AC464" i="2" a="1"/>
  <c r="AC464" i="2" s="1"/>
  <c r="W464" i="2" a="1"/>
  <c r="W464" i="2" s="1"/>
  <c r="AF464" i="2" a="1"/>
  <c r="AF464" i="2" s="1"/>
  <c r="Y464" i="2" a="1"/>
  <c r="Y464" i="2" s="1"/>
  <c r="X464" i="2" a="1"/>
  <c r="X464" i="2" s="1"/>
  <c r="AB464" i="2" a="1"/>
  <c r="AB464" i="2" s="1"/>
  <c r="AA464" i="2" a="1"/>
  <c r="AA464" i="2" s="1"/>
  <c r="AG464" i="2" a="1"/>
  <c r="AG464" i="2" s="1"/>
  <c r="Z464" i="2" a="1"/>
  <c r="Z464" i="2" s="1"/>
  <c r="S464" i="2" a="1"/>
  <c r="S464" i="2" s="1"/>
  <c r="X466" i="2" a="1"/>
  <c r="X466" i="2" s="1"/>
  <c r="D137" i="7" a="1"/>
  <c r="D137" i="7" s="1"/>
  <c r="D124" i="6" a="1"/>
  <c r="D124" i="6" s="1"/>
  <c r="D236" i="4" a="1"/>
  <c r="D236" i="4" s="1"/>
  <c r="U154" i="12" a="1"/>
  <c r="U154" i="12" s="1"/>
  <c r="U458" i="12" a="1"/>
  <c r="U458" i="12" s="1"/>
  <c r="T301" i="2" a="1"/>
  <c r="T301" i="2" s="1"/>
  <c r="Z301" i="2" a="1"/>
  <c r="Z301" i="2" s="1"/>
  <c r="E526" i="12" a="1"/>
  <c r="E526" i="12" s="1"/>
  <c r="D83" i="5" a="1"/>
  <c r="D83" i="5" s="1"/>
  <c r="D165" i="4" a="1"/>
  <c r="D165" i="4" s="1"/>
  <c r="E522" i="12" a="1"/>
  <c r="E522" i="12" s="1"/>
  <c r="D82" i="6" a="1"/>
  <c r="D82" i="6" s="1"/>
  <c r="D91" i="7" a="1"/>
  <c r="D91" i="7" s="1"/>
  <c r="D163" i="4" a="1"/>
  <c r="D163" i="4" s="1"/>
  <c r="D92" i="7" a="1"/>
  <c r="D92" i="7" s="1"/>
  <c r="D83" i="6" a="1"/>
  <c r="D83" i="6" s="1"/>
  <c r="D164" i="4" a="1"/>
  <c r="D164" i="4" s="1"/>
  <c r="U504" i="12" a="1"/>
  <c r="U504" i="12" s="1"/>
  <c r="U232" i="12" a="1"/>
  <c r="U232" i="12" s="1"/>
  <c r="B95" i="7" a="1"/>
  <c r="B95" i="7" s="1"/>
  <c r="B85" i="6" a="1"/>
  <c r="B85" i="6" s="1"/>
  <c r="B169" i="4" a="1"/>
  <c r="B169" i="4" s="1"/>
  <c r="U274" i="12" a="1"/>
  <c r="U274" i="12" s="1"/>
  <c r="AE388" i="2" a="1"/>
  <c r="AE388" i="2" s="1"/>
  <c r="T390" i="2" a="1"/>
  <c r="T390" i="2" s="1"/>
  <c r="U390" i="2" s="1" a="1"/>
  <c r="U390" i="2" s="1"/>
  <c r="Y392" i="2" a="1"/>
  <c r="Y392" i="2" s="1"/>
  <c r="AD392" i="2" a="1"/>
  <c r="AD392" i="2" s="1"/>
  <c r="S392" i="2" a="1"/>
  <c r="S392" i="2" s="1"/>
  <c r="AB392" i="2" a="1"/>
  <c r="AB392" i="2" s="1"/>
  <c r="V392" i="2" a="1"/>
  <c r="V392" i="2" s="1"/>
  <c r="Z392" i="2" a="1"/>
  <c r="Z392" i="2" s="1"/>
  <c r="AC396" i="2" a="1"/>
  <c r="AC396" i="2" s="1"/>
  <c r="U533" i="12" a="1"/>
  <c r="U533" i="12" s="1"/>
  <c r="E457" i="12" a="1"/>
  <c r="E457" i="12" s="1"/>
  <c r="E573" i="12" a="1"/>
  <c r="E573" i="12" s="1"/>
  <c r="W402" i="2" a="1"/>
  <c r="W402" i="2" s="1"/>
  <c r="W403" i="2" a="1"/>
  <c r="W403" i="2" s="1"/>
  <c r="AB404" i="2" a="1"/>
  <c r="AB404" i="2" s="1"/>
  <c r="AF408" i="2" a="1"/>
  <c r="AF408" i="2" s="1"/>
  <c r="Z408" i="2" a="1"/>
  <c r="Z408" i="2" s="1"/>
  <c r="AE408" i="2" a="1"/>
  <c r="AE408" i="2" s="1"/>
  <c r="T408" i="2" a="1"/>
  <c r="T408" i="2" s="1"/>
  <c r="AC408" i="2" a="1"/>
  <c r="AC408" i="2" s="1"/>
  <c r="AG408" i="2" a="1"/>
  <c r="AG408" i="2" s="1"/>
  <c r="V408" i="2" a="1"/>
  <c r="V408" i="2" s="1"/>
  <c r="AD409" i="2" a="1"/>
  <c r="AD409" i="2" s="1"/>
  <c r="E519" i="12" a="1"/>
  <c r="E519" i="12" s="1"/>
  <c r="AD412" i="2" a="1"/>
  <c r="AD412" i="2" s="1"/>
  <c r="Z413" i="2" a="1"/>
  <c r="Z413" i="2" s="1"/>
  <c r="T414" i="2" a="1"/>
  <c r="T414" i="2" s="1"/>
  <c r="S416" i="2" a="1"/>
  <c r="S416" i="2" s="1"/>
  <c r="B102" i="6" a="1"/>
  <c r="B102" i="6" s="1"/>
  <c r="B114" i="7" a="1"/>
  <c r="B114" i="7" s="1"/>
  <c r="B199" i="4" a="1"/>
  <c r="B199" i="4" s="1"/>
  <c r="AE417" i="2" a="1"/>
  <c r="AE417" i="2" s="1"/>
  <c r="E582" i="12" a="1"/>
  <c r="E582" i="12" s="1"/>
  <c r="B176" i="8" a="1"/>
  <c r="B176" i="8" s="1"/>
  <c r="AE419" i="2" a="1"/>
  <c r="AE419" i="2" s="1"/>
  <c r="D105" i="5" a="1"/>
  <c r="D105" i="5" s="1"/>
  <c r="D209" i="4" a="1"/>
  <c r="D209" i="4" s="1"/>
  <c r="AE420" i="2" a="1"/>
  <c r="AE420" i="2" s="1"/>
  <c r="Y420" i="2" a="1"/>
  <c r="Y420" i="2" s="1"/>
  <c r="AD420" i="2" a="1"/>
  <c r="AD420" i="2" s="1"/>
  <c r="S420" i="2" a="1"/>
  <c r="S420" i="2" s="1"/>
  <c r="AB420" i="2" a="1"/>
  <c r="AB420" i="2" s="1"/>
  <c r="AF420" i="2" a="1"/>
  <c r="AF420" i="2" s="1"/>
  <c r="X420" i="2" a="1"/>
  <c r="X420" i="2" s="1"/>
  <c r="U213" i="12" a="1"/>
  <c r="U213" i="12" s="1"/>
  <c r="AC421" i="2" a="1"/>
  <c r="AC421" i="2" s="1"/>
  <c r="W422" i="2" a="1"/>
  <c r="W422" i="2" s="1"/>
  <c r="Z425" i="2" a="1"/>
  <c r="Z425" i="2" s="1"/>
  <c r="AD426" i="2" a="1"/>
  <c r="AD426" i="2" s="1"/>
  <c r="AD428" i="2" a="1"/>
  <c r="AD428" i="2" s="1"/>
  <c r="W429" i="2" a="1"/>
  <c r="W429" i="2" s="1"/>
  <c r="E226" i="12" a="1"/>
  <c r="E226" i="12" s="1"/>
  <c r="T431" i="2" a="1"/>
  <c r="T431" i="2" s="1"/>
  <c r="AD431" i="2" a="1"/>
  <c r="AD431" i="2" s="1"/>
  <c r="AC432" i="2" a="1"/>
  <c r="AC432" i="2" s="1"/>
  <c r="B221" i="4" a="1"/>
  <c r="B221" i="4" s="1"/>
  <c r="B111" i="5" a="1"/>
  <c r="B111" i="5" s="1"/>
  <c r="B184" i="8" a="1"/>
  <c r="B184" i="8" s="1"/>
  <c r="AC435" i="2" a="1"/>
  <c r="AC435" i="2" s="1"/>
  <c r="W435" i="2" a="1"/>
  <c r="W435" i="2" s="1"/>
  <c r="AD435" i="2" a="1"/>
  <c r="AD435" i="2" s="1"/>
  <c r="X435" i="2" a="1"/>
  <c r="X435" i="2" s="1"/>
  <c r="AG435" i="2" a="1"/>
  <c r="AG435" i="2" s="1"/>
  <c r="AA435" i="2" a="1"/>
  <c r="AA435" i="2" s="1"/>
  <c r="AF435" i="2" a="1"/>
  <c r="AF435" i="2" s="1"/>
  <c r="Z435" i="2" a="1"/>
  <c r="Z435" i="2" s="1"/>
  <c r="T435" i="2" a="1"/>
  <c r="T435" i="2" s="1"/>
  <c r="AB436" i="2" a="1"/>
  <c r="AB436" i="2" s="1"/>
  <c r="D112" i="5" a="1"/>
  <c r="D112" i="5" s="1"/>
  <c r="D224" i="4" a="1"/>
  <c r="D224" i="4" s="1"/>
  <c r="AC439" i="2" a="1"/>
  <c r="AC439" i="2" s="1"/>
  <c r="AC440" i="2" a="1"/>
  <c r="AC440" i="2" s="1"/>
  <c r="W440" i="2" a="1"/>
  <c r="W440" i="2" s="1"/>
  <c r="AG440" i="2" a="1"/>
  <c r="AG440" i="2" s="1"/>
  <c r="AA440" i="2" a="1"/>
  <c r="AA440" i="2" s="1"/>
  <c r="AB440" i="2" a="1"/>
  <c r="AB440" i="2" s="1"/>
  <c r="V440" i="2" a="1"/>
  <c r="V440" i="2" s="1"/>
  <c r="AC443" i="2" a="1"/>
  <c r="AC443" i="2" s="1"/>
  <c r="T443" i="2" a="1"/>
  <c r="T443" i="2" s="1"/>
  <c r="AE443" i="2" a="1"/>
  <c r="AE443" i="2" s="1"/>
  <c r="S443" i="2" a="1"/>
  <c r="S443" i="2" s="1"/>
  <c r="X443" i="2" a="1"/>
  <c r="X443" i="2" s="1"/>
  <c r="D106" i="6" a="1"/>
  <c r="D106" i="6" s="1"/>
  <c r="D103" i="5" a="1"/>
  <c r="D103" i="5" s="1"/>
  <c r="D205" i="4" a="1"/>
  <c r="D205" i="4" s="1"/>
  <c r="U211" i="12" a="1"/>
  <c r="U211" i="12" s="1"/>
  <c r="AA446" i="2" a="1"/>
  <c r="AA446" i="2" s="1"/>
  <c r="E584" i="12" a="1"/>
  <c r="E584" i="12" s="1"/>
  <c r="B107" i="5" a="1"/>
  <c r="B107" i="5" s="1"/>
  <c r="B123" i="7" a="1"/>
  <c r="B123" i="7" s="1"/>
  <c r="B215" i="4" a="1"/>
  <c r="B215" i="4" s="1"/>
  <c r="Z450" i="2" a="1"/>
  <c r="Z450" i="2" s="1"/>
  <c r="X451" i="2" a="1"/>
  <c r="X451" i="2" s="1"/>
  <c r="E555" i="12" a="1"/>
  <c r="E555" i="12" s="1"/>
  <c r="D128" i="7" a="1"/>
  <c r="D128" i="7" s="1"/>
  <c r="D116" i="6" a="1"/>
  <c r="D116" i="6" s="1"/>
  <c r="D223" i="4" a="1"/>
  <c r="D223" i="4" s="1"/>
  <c r="E593" i="12" a="1"/>
  <c r="E593" i="12" s="1"/>
  <c r="E583" i="12" a="1"/>
  <c r="E583" i="12" s="1"/>
  <c r="E235" i="12" a="1"/>
  <c r="E235" i="12" s="1"/>
  <c r="AC325" i="2" a="1"/>
  <c r="AC325" i="2" s="1"/>
  <c r="X325" i="2" a="1"/>
  <c r="X325" i="2" s="1"/>
  <c r="S325" i="2" a="1"/>
  <c r="S325" i="2" s="1"/>
  <c r="W325" i="2" a="1"/>
  <c r="W325" i="2" s="1"/>
  <c r="AC326" i="2" a="1"/>
  <c r="AC326" i="2" s="1"/>
  <c r="X326" i="2" a="1"/>
  <c r="X326" i="2" s="1"/>
  <c r="S326" i="2" a="1"/>
  <c r="S326" i="2" s="1"/>
  <c r="W326" i="2" a="1"/>
  <c r="W326" i="2" s="1"/>
  <c r="AC327" i="2" a="1"/>
  <c r="AC327" i="2" s="1"/>
  <c r="X327" i="2" a="1"/>
  <c r="X327" i="2" s="1"/>
  <c r="S327" i="2" a="1"/>
  <c r="S327" i="2" s="1"/>
  <c r="W327" i="2" a="1"/>
  <c r="W327" i="2" s="1"/>
  <c r="AC328" i="2" a="1"/>
  <c r="AC328" i="2" s="1"/>
  <c r="X328" i="2" a="1"/>
  <c r="X328" i="2" s="1"/>
  <c r="S328" i="2" a="1"/>
  <c r="S328" i="2" s="1"/>
  <c r="W328" i="2" a="1"/>
  <c r="W328" i="2" s="1"/>
  <c r="AC329" i="2" a="1"/>
  <c r="AC329" i="2" s="1"/>
  <c r="X329" i="2" a="1"/>
  <c r="X329" i="2" s="1"/>
  <c r="S329" i="2" a="1"/>
  <c r="S329" i="2" s="1"/>
  <c r="W329" i="2" a="1"/>
  <c r="W329" i="2" s="1"/>
  <c r="AC330" i="2" a="1"/>
  <c r="AC330" i="2" s="1"/>
  <c r="X330" i="2" a="1"/>
  <c r="X330" i="2" s="1"/>
  <c r="S330" i="2" a="1"/>
  <c r="S330" i="2" s="1"/>
  <c r="W330" i="2" a="1"/>
  <c r="W330" i="2" s="1"/>
  <c r="AC331" i="2" a="1"/>
  <c r="AC331" i="2" s="1"/>
  <c r="X331" i="2" a="1"/>
  <c r="X331" i="2" s="1"/>
  <c r="S331" i="2" a="1"/>
  <c r="S331" i="2" s="1"/>
  <c r="W331" i="2" a="1"/>
  <c r="W331" i="2" s="1"/>
  <c r="AC332" i="2" a="1"/>
  <c r="AC332" i="2" s="1"/>
  <c r="X332" i="2" a="1"/>
  <c r="X332" i="2" s="1"/>
  <c r="S332" i="2" a="1"/>
  <c r="S332" i="2" s="1"/>
  <c r="W332" i="2" a="1"/>
  <c r="W332" i="2" s="1"/>
  <c r="W650" i="12" a="1"/>
  <c r="W650" i="12" s="1"/>
  <c r="AP333" i="2" a="1"/>
  <c r="AP333" i="2" s="1"/>
  <c r="E500" i="12" a="1"/>
  <c r="E500" i="12" s="1"/>
  <c r="E227" i="12" a="1"/>
  <c r="E227" i="12" s="1"/>
  <c r="D94" i="7" a="1"/>
  <c r="D94" i="7" s="1"/>
  <c r="D84" i="6" a="1"/>
  <c r="D84" i="6" s="1"/>
  <c r="D168" i="4" a="1"/>
  <c r="D168" i="4" s="1"/>
  <c r="E541" i="12" a="1"/>
  <c r="E541" i="12" s="1"/>
  <c r="D91" i="5" a="1"/>
  <c r="D91" i="5" s="1"/>
  <c r="D181" i="4" a="1"/>
  <c r="D181" i="4" s="1"/>
  <c r="E407" i="12" a="1"/>
  <c r="E407" i="12" s="1"/>
  <c r="AF357" i="2" a="1"/>
  <c r="AF357" i="2" s="1"/>
  <c r="AA357" i="2" a="1"/>
  <c r="AA357" i="2" s="1"/>
  <c r="V357" i="2" a="1"/>
  <c r="V357" i="2" s="1"/>
  <c r="AG357" i="2" a="1"/>
  <c r="AG357" i="2" s="1"/>
  <c r="AB357" i="2" a="1"/>
  <c r="AB357" i="2" s="1"/>
  <c r="W357" i="2" a="1"/>
  <c r="W357" i="2" s="1"/>
  <c r="AD357" i="2" a="1"/>
  <c r="AD357" i="2" s="1"/>
  <c r="AF359" i="2" a="1"/>
  <c r="AF359" i="2" s="1"/>
  <c r="AA359" i="2" a="1"/>
  <c r="AA359" i="2" s="1"/>
  <c r="V359" i="2" a="1"/>
  <c r="V359" i="2" s="1"/>
  <c r="AG359" i="2" a="1"/>
  <c r="AG359" i="2" s="1"/>
  <c r="AB359" i="2" a="1"/>
  <c r="AB359" i="2" s="1"/>
  <c r="W359" i="2" a="1"/>
  <c r="W359" i="2" s="1"/>
  <c r="AD359" i="2" a="1"/>
  <c r="AD359" i="2" s="1"/>
  <c r="AF361" i="2" a="1"/>
  <c r="AF361" i="2" s="1"/>
  <c r="AA361" i="2" a="1"/>
  <c r="AA361" i="2" s="1"/>
  <c r="V361" i="2" a="1"/>
  <c r="V361" i="2" s="1"/>
  <c r="AG361" i="2" a="1"/>
  <c r="AG361" i="2" s="1"/>
  <c r="AB361" i="2" a="1"/>
  <c r="AB361" i="2" s="1"/>
  <c r="W361" i="2" a="1"/>
  <c r="W361" i="2" s="1"/>
  <c r="AD361" i="2" a="1"/>
  <c r="AD361" i="2" s="1"/>
  <c r="AF363" i="2" a="1"/>
  <c r="AF363" i="2" s="1"/>
  <c r="AA363" i="2" a="1"/>
  <c r="AA363" i="2" s="1"/>
  <c r="V363" i="2" a="1"/>
  <c r="V363" i="2" s="1"/>
  <c r="AG363" i="2" a="1"/>
  <c r="AG363" i="2" s="1"/>
  <c r="AB363" i="2" a="1"/>
  <c r="AB363" i="2" s="1"/>
  <c r="W363" i="2" a="1"/>
  <c r="W363" i="2" s="1"/>
  <c r="AD363" i="2" a="1"/>
  <c r="AD363" i="2" s="1"/>
  <c r="AF365" i="2" a="1"/>
  <c r="AF365" i="2" s="1"/>
  <c r="AA365" i="2" a="1"/>
  <c r="AA365" i="2" s="1"/>
  <c r="V365" i="2" a="1"/>
  <c r="V365" i="2" s="1"/>
  <c r="AG365" i="2" a="1"/>
  <c r="AG365" i="2" s="1"/>
  <c r="AB365" i="2" a="1"/>
  <c r="AB365" i="2" s="1"/>
  <c r="W365" i="2" a="1"/>
  <c r="W365" i="2" s="1"/>
  <c r="AD365" i="2" a="1"/>
  <c r="AD365" i="2" s="1"/>
  <c r="AF367" i="2" a="1"/>
  <c r="AF367" i="2" s="1"/>
  <c r="AA367" i="2" a="1"/>
  <c r="AA367" i="2" s="1"/>
  <c r="V367" i="2" a="1"/>
  <c r="V367" i="2" s="1"/>
  <c r="AG367" i="2" a="1"/>
  <c r="AG367" i="2" s="1"/>
  <c r="AB367" i="2" a="1"/>
  <c r="AB367" i="2" s="1"/>
  <c r="W367" i="2" a="1"/>
  <c r="W367" i="2" s="1"/>
  <c r="AD367" i="2" a="1"/>
  <c r="AD367" i="2" s="1"/>
  <c r="B99" i="7" a="1"/>
  <c r="B99" i="7" s="1"/>
  <c r="B88" i="6" a="1"/>
  <c r="B88" i="6" s="1"/>
  <c r="B175" i="4" a="1"/>
  <c r="B175" i="4" s="1"/>
  <c r="AC370" i="2" a="1"/>
  <c r="AC370" i="2" s="1"/>
  <c r="B101" i="7" a="1"/>
  <c r="B101" i="7" s="1"/>
  <c r="B90" i="6" a="1"/>
  <c r="B90" i="6" s="1"/>
  <c r="B178" i="4" a="1"/>
  <c r="B178" i="4" s="1"/>
  <c r="AC372" i="2" a="1"/>
  <c r="AC372" i="2" s="1"/>
  <c r="B87" i="6" a="1"/>
  <c r="B87" i="6" s="1"/>
  <c r="B87" i="5" a="1"/>
  <c r="B87" i="5" s="1"/>
  <c r="B172" i="4" a="1"/>
  <c r="B172" i="4" s="1"/>
  <c r="AC374" i="2" a="1"/>
  <c r="AC374" i="2" s="1"/>
  <c r="B159" i="8" a="1"/>
  <c r="B159" i="8" s="1"/>
  <c r="AC376" i="2" a="1"/>
  <c r="AC376" i="2" s="1"/>
  <c r="B42" i="9" a="1"/>
  <c r="B42" i="9" s="1"/>
  <c r="AC384" i="2" a="1"/>
  <c r="AC384" i="2" s="1"/>
  <c r="U187" i="12" a="1"/>
  <c r="U187" i="12" s="1"/>
  <c r="AF388" i="2" a="1"/>
  <c r="AF388" i="2" s="1"/>
  <c r="AD390" i="2" a="1"/>
  <c r="AD390" i="2" s="1"/>
  <c r="E588" i="12" a="1"/>
  <c r="E588" i="12" s="1"/>
  <c r="T396" i="2" a="1"/>
  <c r="T396" i="2" s="1"/>
  <c r="B109" i="7" a="1"/>
  <c r="B109" i="7" s="1"/>
  <c r="B190" i="4" a="1"/>
  <c r="B190" i="4" s="1"/>
  <c r="E83" i="12" a="1"/>
  <c r="E83" i="12" s="1"/>
  <c r="V409" i="2" a="1"/>
  <c r="V409" i="2" s="1"/>
  <c r="AE409" i="2" a="1"/>
  <c r="AE409" i="2" s="1"/>
  <c r="S411" i="2" a="1"/>
  <c r="S411" i="2" s="1"/>
  <c r="B97" i="6" a="1"/>
  <c r="B97" i="6" s="1"/>
  <c r="B95" i="5" a="1"/>
  <c r="B95" i="5" s="1"/>
  <c r="B189" i="4" a="1"/>
  <c r="B189" i="4" s="1"/>
  <c r="E239" i="12" a="1"/>
  <c r="E239" i="12" s="1"/>
  <c r="B99" i="6" a="1"/>
  <c r="B99" i="6" s="1"/>
  <c r="B193" i="4" a="1"/>
  <c r="B193" i="4" s="1"/>
  <c r="B96" i="5" a="1"/>
  <c r="B96" i="5" s="1"/>
  <c r="D100" i="6" a="1"/>
  <c r="D100" i="6" s="1"/>
  <c r="D194" i="4" a="1"/>
  <c r="D194" i="4" s="1"/>
  <c r="AE415" i="2" a="1"/>
  <c r="AE415" i="2" s="1"/>
  <c r="Y415" i="2" a="1"/>
  <c r="Y415" i="2" s="1"/>
  <c r="AD415" i="2" a="1"/>
  <c r="AD415" i="2" s="1"/>
  <c r="S415" i="2" a="1"/>
  <c r="S415" i="2" s="1"/>
  <c r="AB415" i="2" a="1"/>
  <c r="AB415" i="2" s="1"/>
  <c r="AF415" i="2" a="1"/>
  <c r="AF415" i="2" s="1"/>
  <c r="X415" i="2" a="1"/>
  <c r="X415" i="2" s="1"/>
  <c r="U208" i="12" a="1"/>
  <c r="U208" i="12" s="1"/>
  <c r="AC416" i="2" a="1"/>
  <c r="AC416" i="2" s="1"/>
  <c r="W417" i="2" a="1"/>
  <c r="W417" i="2" s="1"/>
  <c r="S423" i="2" a="1"/>
  <c r="S423" i="2" s="1"/>
  <c r="AB423" i="2" a="1"/>
  <c r="AB423" i="2" s="1"/>
  <c r="E514" i="12" a="1"/>
  <c r="E514" i="12" s="1"/>
  <c r="AA425" i="2" a="1"/>
  <c r="AA425" i="2" s="1"/>
  <c r="AE426" i="2" a="1"/>
  <c r="AE426" i="2" s="1"/>
  <c r="W666" i="12" a="1"/>
  <c r="W666" i="12" s="1"/>
  <c r="AN427" i="2" a="1"/>
  <c r="AN427" i="2" s="1"/>
  <c r="AM427" i="2" a="1"/>
  <c r="AM427" i="2" s="1"/>
  <c r="AK427" i="2" a="1"/>
  <c r="AK427" i="2" s="1"/>
  <c r="AO427" i="2" a="1"/>
  <c r="AO427" i="2" s="1"/>
  <c r="T432" i="2" a="1"/>
  <c r="T432" i="2" s="1"/>
  <c r="D111" i="5" a="1"/>
  <c r="D111" i="5" s="1"/>
  <c r="D221" i="4" a="1"/>
  <c r="D221" i="4" s="1"/>
  <c r="AC436" i="2" a="1"/>
  <c r="AC436" i="2" s="1"/>
  <c r="S438" i="2" a="1"/>
  <c r="S438" i="2" s="1"/>
  <c r="AD439" i="2" a="1"/>
  <c r="AD439" i="2" s="1"/>
  <c r="S441" i="2" a="1"/>
  <c r="S441" i="2" s="1"/>
  <c r="B110" i="6" a="1"/>
  <c r="B110" i="6" s="1"/>
  <c r="B121" i="7" a="1"/>
  <c r="B121" i="7" s="1"/>
  <c r="B212" i="4" a="1"/>
  <c r="B212" i="4" s="1"/>
  <c r="B116" i="5" a="1"/>
  <c r="B116" i="5" s="1"/>
  <c r="B232" i="4" a="1"/>
  <c r="B232" i="4" s="1"/>
  <c r="AA450" i="2" a="1"/>
  <c r="AA450" i="2" s="1"/>
  <c r="Y451" i="2" a="1"/>
  <c r="Y451" i="2" s="1"/>
  <c r="E557" i="12" a="1"/>
  <c r="E557" i="12" s="1"/>
  <c r="AE466" i="2" a="1"/>
  <c r="AE466" i="2" s="1"/>
  <c r="W467" i="2" a="1"/>
  <c r="W467" i="2" s="1"/>
  <c r="T467" i="2" a="1"/>
  <c r="T467" i="2" s="1"/>
  <c r="W472" i="2" a="1"/>
  <c r="W472" i="2" s="1"/>
  <c r="AC472" i="2" a="1"/>
  <c r="AC472" i="2" s="1"/>
  <c r="T472" i="2" a="1"/>
  <c r="T472" i="2" s="1"/>
  <c r="E329" i="12" a="1"/>
  <c r="E329" i="12" s="1"/>
  <c r="B122" i="6" a="1"/>
  <c r="B122" i="6" s="1"/>
  <c r="B135" i="7" a="1"/>
  <c r="B135" i="7" s="1"/>
  <c r="B234" i="4" a="1"/>
  <c r="B234" i="4" s="1"/>
  <c r="AF480" i="2" a="1"/>
  <c r="AF480" i="2" s="1"/>
  <c r="AD480" i="2" a="1"/>
  <c r="AD480" i="2" s="1"/>
  <c r="S480" i="2" a="1"/>
  <c r="S480" i="2" s="1"/>
  <c r="W480" i="2" a="1"/>
  <c r="W480" i="2" s="1"/>
  <c r="AC480" i="2" a="1"/>
  <c r="AC480" i="2" s="1"/>
  <c r="V480" i="2" a="1"/>
  <c r="V480" i="2" s="1"/>
  <c r="AB480" i="2" a="1"/>
  <c r="AB480" i="2" s="1"/>
  <c r="AA480" i="2" a="1"/>
  <c r="AA480" i="2" s="1"/>
  <c r="T480" i="2" a="1"/>
  <c r="T480" i="2" s="1"/>
  <c r="Z480" i="2" a="1"/>
  <c r="Z480" i="2" s="1"/>
  <c r="AG480" i="2" a="1"/>
  <c r="AG480" i="2" s="1"/>
  <c r="Y480" i="2" a="1"/>
  <c r="Y480" i="2" s="1"/>
  <c r="AE480" i="2" a="1"/>
  <c r="AE480" i="2" s="1"/>
  <c r="X480" i="2" a="1"/>
  <c r="X480" i="2" s="1"/>
  <c r="AA492" i="2" a="1"/>
  <c r="AA492" i="2" s="1"/>
  <c r="AF492" i="2" a="1"/>
  <c r="AF492" i="2" s="1"/>
  <c r="Y492" i="2" a="1"/>
  <c r="Y492" i="2" s="1"/>
  <c r="S492" i="2" a="1"/>
  <c r="S492" i="2" s="1"/>
  <c r="AD492" i="2" a="1"/>
  <c r="AD492" i="2" s="1"/>
  <c r="X492" i="2" a="1"/>
  <c r="X492" i="2" s="1"/>
  <c r="AC492" i="2" a="1"/>
  <c r="AC492" i="2" s="1"/>
  <c r="AG492" i="2" a="1"/>
  <c r="AG492" i="2" s="1"/>
  <c r="V492" i="2" a="1"/>
  <c r="V492" i="2" s="1"/>
  <c r="AE492" i="2" a="1"/>
  <c r="AE492" i="2" s="1"/>
  <c r="T492" i="2" a="1"/>
  <c r="T492" i="2" s="1"/>
  <c r="AB492" i="2" a="1"/>
  <c r="AB492" i="2" s="1"/>
  <c r="Z492" i="2" a="1"/>
  <c r="Z492" i="2" s="1"/>
  <c r="W492" i="2" a="1"/>
  <c r="W492" i="2" s="1"/>
  <c r="B137" i="6" a="1"/>
  <c r="B137" i="6" s="1"/>
  <c r="B146" i="7" a="1"/>
  <c r="B146" i="7" s="1"/>
  <c r="B257" i="4" a="1"/>
  <c r="B257" i="4" s="1"/>
  <c r="D102" i="6" a="1"/>
  <c r="D102" i="6" s="1"/>
  <c r="D114" i="7" a="1"/>
  <c r="D114" i="7" s="1"/>
  <c r="D199" i="4" a="1"/>
  <c r="D199" i="4" s="1"/>
  <c r="U263" i="12" a="1"/>
  <c r="U263" i="12" s="1"/>
  <c r="AF419" i="2" a="1"/>
  <c r="AF419" i="2" s="1"/>
  <c r="E213" i="12" a="1"/>
  <c r="E213" i="12" s="1"/>
  <c r="AF422" i="2" a="1"/>
  <c r="AF422" i="2" s="1"/>
  <c r="Z422" i="2" a="1"/>
  <c r="Z422" i="2" s="1"/>
  <c r="T422" i="2" a="1"/>
  <c r="T422" i="2" s="1"/>
  <c r="AC422" i="2" a="1"/>
  <c r="AC422" i="2" s="1"/>
  <c r="AG422" i="2" a="1"/>
  <c r="AG422" i="2" s="1"/>
  <c r="V422" i="2" a="1"/>
  <c r="V422" i="2" s="1"/>
  <c r="T423" i="2" a="1"/>
  <c r="T423" i="2" s="1"/>
  <c r="U566" i="12" a="1"/>
  <c r="U566" i="12" s="1"/>
  <c r="V426" i="2" a="1"/>
  <c r="V426" i="2" s="1"/>
  <c r="AF426" i="2" a="1"/>
  <c r="AF426" i="2" s="1"/>
  <c r="B117" i="7" a="1"/>
  <c r="B117" i="7" s="1"/>
  <c r="B100" i="5" a="1"/>
  <c r="B100" i="5" s="1"/>
  <c r="B104" i="6" a="1"/>
  <c r="B104" i="6" s="1"/>
  <c r="B202" i="4" a="1"/>
  <c r="B202" i="4" s="1"/>
  <c r="AE429" i="2" a="1"/>
  <c r="AE429" i="2" s="1"/>
  <c r="T429" i="2" a="1"/>
  <c r="T429" i="2" s="1"/>
  <c r="Y429" i="2" a="1"/>
  <c r="Y429" i="2" s="1"/>
  <c r="S429" i="2" a="1"/>
  <c r="S429" i="2" s="1"/>
  <c r="AB429" i="2" a="1"/>
  <c r="AB429" i="2" s="1"/>
  <c r="AF429" i="2" a="1"/>
  <c r="AF429" i="2" s="1"/>
  <c r="X429" i="2" a="1"/>
  <c r="X429" i="2" s="1"/>
  <c r="U483" i="12" a="1"/>
  <c r="U483" i="12" s="1"/>
  <c r="AE431" i="2" a="1"/>
  <c r="AE431" i="2" s="1"/>
  <c r="AK433" i="2" a="1"/>
  <c r="AK433" i="2" s="1"/>
  <c r="AE438" i="2" a="1"/>
  <c r="AE438" i="2" s="1"/>
  <c r="U440" i="2" a="1"/>
  <c r="U440" i="2" s="1"/>
  <c r="D121" i="7" a="1"/>
  <c r="D121" i="7" s="1"/>
  <c r="D110" i="6" a="1"/>
  <c r="D110" i="6" s="1"/>
  <c r="D212" i="4" a="1"/>
  <c r="D212" i="4" s="1"/>
  <c r="B122" i="7" a="1"/>
  <c r="B122" i="7" s="1"/>
  <c r="B112" i="6" a="1"/>
  <c r="B112" i="6" s="1"/>
  <c r="B214" i="4" a="1"/>
  <c r="B214" i="4" s="1"/>
  <c r="AF446" i="2" a="1"/>
  <c r="AF446" i="2" s="1"/>
  <c r="AD446" i="2" a="1"/>
  <c r="AD446" i="2" s="1"/>
  <c r="X446" i="2" a="1"/>
  <c r="X446" i="2" s="1"/>
  <c r="AG446" i="2" a="1"/>
  <c r="AG446" i="2" s="1"/>
  <c r="Z446" i="2" a="1"/>
  <c r="Z446" i="2" s="1"/>
  <c r="T446" i="2" a="1"/>
  <c r="T446" i="2" s="1"/>
  <c r="AE446" i="2" a="1"/>
  <c r="AE446" i="2" s="1"/>
  <c r="Y446" i="2" a="1"/>
  <c r="Y446" i="2" s="1"/>
  <c r="S446" i="2" a="1"/>
  <c r="S446" i="2" s="1"/>
  <c r="AC446" i="2" a="1"/>
  <c r="AC446" i="2" s="1"/>
  <c r="D123" i="7" a="1"/>
  <c r="D123" i="7" s="1"/>
  <c r="D107" i="5" a="1"/>
  <c r="D107" i="5" s="1"/>
  <c r="D215" i="4" a="1"/>
  <c r="D215" i="4" s="1"/>
  <c r="AE454" i="2" a="1"/>
  <c r="AE454" i="2" s="1"/>
  <c r="T454" i="2" a="1"/>
  <c r="T454" i="2" s="1"/>
  <c r="AC454" i="2" a="1"/>
  <c r="AC454" i="2" s="1"/>
  <c r="W454" i="2" a="1"/>
  <c r="W454" i="2" s="1"/>
  <c r="AF454" i="2" a="1"/>
  <c r="AF454" i="2" s="1"/>
  <c r="Y454" i="2" a="1"/>
  <c r="Y454" i="2" s="1"/>
  <c r="AB454" i="2" a="1"/>
  <c r="AB454" i="2" s="1"/>
  <c r="AA454" i="2" a="1"/>
  <c r="AA454" i="2" s="1"/>
  <c r="AG454" i="2" a="1"/>
  <c r="AG454" i="2" s="1"/>
  <c r="Z454" i="2" a="1"/>
  <c r="Z454" i="2" s="1"/>
  <c r="S454" i="2" a="1"/>
  <c r="S454" i="2" s="1"/>
  <c r="B118" i="5" a="1"/>
  <c r="B118" i="5" s="1"/>
  <c r="B239" i="4" a="1"/>
  <c r="B239" i="4" s="1"/>
  <c r="U287" i="12" a="1"/>
  <c r="U287" i="12" s="1"/>
  <c r="W457" i="2" a="1"/>
  <c r="W457" i="2" s="1"/>
  <c r="T457" i="2" a="1"/>
  <c r="T457" i="2" s="1"/>
  <c r="D127" i="7" a="1"/>
  <c r="D127" i="7" s="1"/>
  <c r="D222" i="4" a="1"/>
  <c r="D222" i="4" s="1"/>
  <c r="D113" i="5" a="1"/>
  <c r="D113" i="5" s="1"/>
  <c r="D129" i="7" a="1"/>
  <c r="D129" i="7" s="1"/>
  <c r="D225" i="4" a="1"/>
  <c r="D225" i="4" s="1"/>
  <c r="E254" i="12" a="1"/>
  <c r="E254" i="12" s="1"/>
  <c r="D122" i="6" a="1"/>
  <c r="D122" i="6" s="1"/>
  <c r="D135" i="7" a="1"/>
  <c r="D135" i="7" s="1"/>
  <c r="D234" i="4" a="1"/>
  <c r="D234" i="4" s="1"/>
  <c r="D115" i="5" a="1"/>
  <c r="D115" i="5" s="1"/>
  <c r="D120" i="6" a="1"/>
  <c r="D120" i="6" s="1"/>
  <c r="D230" i="4" a="1"/>
  <c r="D230" i="4" s="1"/>
  <c r="B127" i="5" a="1"/>
  <c r="B127" i="5" s="1"/>
  <c r="B250" i="4" a="1"/>
  <c r="B250" i="4" s="1"/>
  <c r="E308" i="12" a="1"/>
  <c r="E308" i="12" s="1"/>
  <c r="E528" i="12" a="1"/>
  <c r="E528" i="12" s="1"/>
  <c r="AF302" i="2" a="1"/>
  <c r="AF302" i="2" s="1"/>
  <c r="AA302" i="2" a="1"/>
  <c r="AA302" i="2" s="1"/>
  <c r="V302" i="2" a="1"/>
  <c r="V302" i="2" s="1"/>
  <c r="E403" i="12" a="1"/>
  <c r="E403" i="12" s="1"/>
  <c r="E586" i="12" a="1"/>
  <c r="E586" i="12" s="1"/>
  <c r="AK333" i="2" a="1"/>
  <c r="AK333" i="2" s="1"/>
  <c r="E509" i="12" a="1"/>
  <c r="E509" i="12" s="1"/>
  <c r="E508" i="12" a="1"/>
  <c r="E508" i="12" s="1"/>
  <c r="D85" i="6" a="1"/>
  <c r="D85" i="6" s="1"/>
  <c r="D95" i="7" a="1"/>
  <c r="D95" i="7" s="1"/>
  <c r="D169" i="4" a="1"/>
  <c r="D169" i="4" s="1"/>
  <c r="E426" i="12" a="1"/>
  <c r="E426" i="12" s="1"/>
  <c r="AG353" i="2" a="1"/>
  <c r="AG353" i="2" s="1"/>
  <c r="AB353" i="2" a="1"/>
  <c r="AB353" i="2" s="1"/>
  <c r="W353" i="2" a="1"/>
  <c r="W353" i="2" s="1"/>
  <c r="AC353" i="2" a="1"/>
  <c r="AC353" i="2" s="1"/>
  <c r="X353" i="2" a="1"/>
  <c r="X353" i="2" s="1"/>
  <c r="S353" i="2" a="1"/>
  <c r="S353" i="2" s="1"/>
  <c r="AD353" i="2" a="1"/>
  <c r="AD353" i="2" s="1"/>
  <c r="E197" i="12" a="1"/>
  <c r="E197" i="12" s="1"/>
  <c r="X357" i="2" a="1"/>
  <c r="X357" i="2" s="1"/>
  <c r="AE357" i="2" a="1"/>
  <c r="AE357" i="2" s="1"/>
  <c r="E531" i="12" a="1"/>
  <c r="E531" i="12" s="1"/>
  <c r="X359" i="2" a="1"/>
  <c r="X359" i="2" s="1"/>
  <c r="AE359" i="2" a="1"/>
  <c r="AE359" i="2" s="1"/>
  <c r="E562" i="12" a="1"/>
  <c r="E562" i="12" s="1"/>
  <c r="X361" i="2" a="1"/>
  <c r="X361" i="2" s="1"/>
  <c r="AE361" i="2" a="1"/>
  <c r="AE361" i="2" s="1"/>
  <c r="E527" i="12" a="1"/>
  <c r="E527" i="12" s="1"/>
  <c r="X363" i="2" a="1"/>
  <c r="X363" i="2" s="1"/>
  <c r="AE363" i="2" a="1"/>
  <c r="AE363" i="2" s="1"/>
  <c r="E228" i="12" a="1"/>
  <c r="E228" i="12" s="1"/>
  <c r="X365" i="2" a="1"/>
  <c r="X365" i="2" s="1"/>
  <c r="AE365" i="2" a="1"/>
  <c r="AE365" i="2" s="1"/>
  <c r="E568" i="12" a="1"/>
  <c r="E568" i="12" s="1"/>
  <c r="X367" i="2" a="1"/>
  <c r="X367" i="2" s="1"/>
  <c r="AE367" i="2" a="1"/>
  <c r="AE367" i="2" s="1"/>
  <c r="U221" i="12" a="1"/>
  <c r="U221" i="12" s="1"/>
  <c r="AE370" i="2" a="1"/>
  <c r="AE370" i="2" s="1"/>
  <c r="Z370" i="2" a="1"/>
  <c r="Z370" i="2" s="1"/>
  <c r="AF370" i="2" a="1"/>
  <c r="AF370" i="2" s="1"/>
  <c r="AA370" i="2" a="1"/>
  <c r="AA370" i="2" s="1"/>
  <c r="V370" i="2" a="1"/>
  <c r="V370" i="2" s="1"/>
  <c r="W370" i="2" a="1"/>
  <c r="W370" i="2" s="1"/>
  <c r="AD370" i="2" a="1"/>
  <c r="AD370" i="2" s="1"/>
  <c r="U225" i="12" a="1"/>
  <c r="U225" i="12" s="1"/>
  <c r="AE372" i="2" a="1"/>
  <c r="AE372" i="2" s="1"/>
  <c r="Z372" i="2" a="1"/>
  <c r="Z372" i="2" s="1"/>
  <c r="AF372" i="2" a="1"/>
  <c r="AF372" i="2" s="1"/>
  <c r="AA372" i="2" a="1"/>
  <c r="AA372" i="2" s="1"/>
  <c r="V372" i="2" a="1"/>
  <c r="V372" i="2" s="1"/>
  <c r="W372" i="2" a="1"/>
  <c r="W372" i="2" s="1"/>
  <c r="AD372" i="2" a="1"/>
  <c r="AD372" i="2" s="1"/>
  <c r="U210" i="12" a="1"/>
  <c r="U210" i="12" s="1"/>
  <c r="AE374" i="2" a="1"/>
  <c r="AE374" i="2" s="1"/>
  <c r="Z374" i="2" a="1"/>
  <c r="Z374" i="2" s="1"/>
  <c r="AF374" i="2" a="1"/>
  <c r="AF374" i="2" s="1"/>
  <c r="AA374" i="2" a="1"/>
  <c r="AA374" i="2" s="1"/>
  <c r="V374" i="2" a="1"/>
  <c r="V374" i="2" s="1"/>
  <c r="W374" i="2" a="1"/>
  <c r="W374" i="2" s="1"/>
  <c r="AD374" i="2" a="1"/>
  <c r="AD374" i="2" s="1"/>
  <c r="U451" i="12" a="1"/>
  <c r="U451" i="12" s="1"/>
  <c r="AE376" i="2" a="1"/>
  <c r="AE376" i="2" s="1"/>
  <c r="Z376" i="2" a="1"/>
  <c r="Z376" i="2" s="1"/>
  <c r="AF376" i="2" a="1"/>
  <c r="AF376" i="2" s="1"/>
  <c r="AA376" i="2" a="1"/>
  <c r="AA376" i="2" s="1"/>
  <c r="V376" i="2" a="1"/>
  <c r="V376" i="2" s="1"/>
  <c r="W376" i="2" a="1"/>
  <c r="W376" i="2" s="1"/>
  <c r="AD376" i="2" a="1"/>
  <c r="AD376" i="2" s="1"/>
  <c r="B187" i="4" a="1"/>
  <c r="B187" i="4" s="1"/>
  <c r="B94" i="5" a="1"/>
  <c r="B94" i="5" s="1"/>
  <c r="E220" i="12" a="1"/>
  <c r="E220" i="12" s="1"/>
  <c r="W630" i="12" a="1"/>
  <c r="W630" i="12" s="1"/>
  <c r="AM381" i="2" a="1"/>
  <c r="AM381" i="2" s="1"/>
  <c r="B104" i="7" a="1"/>
  <c r="B104" i="7" s="1"/>
  <c r="B183" i="4" a="1"/>
  <c r="B183" i="4" s="1"/>
  <c r="W384" i="2" a="1"/>
  <c r="W384" i="2" s="1"/>
  <c r="AE384" i="2" a="1"/>
  <c r="AE384" i="2" s="1"/>
  <c r="T387" i="2" a="1"/>
  <c r="T387" i="2" s="1"/>
  <c r="X388" i="2" a="1"/>
  <c r="X388" i="2" s="1"/>
  <c r="U474" i="12" a="1"/>
  <c r="U474" i="12" s="1"/>
  <c r="V390" i="2" a="1"/>
  <c r="V390" i="2" s="1"/>
  <c r="U181" i="12" a="1"/>
  <c r="U181" i="12" s="1"/>
  <c r="T392" i="2" a="1"/>
  <c r="T392" i="2" s="1"/>
  <c r="AC392" i="2" a="1"/>
  <c r="AC392" i="2" s="1"/>
  <c r="V396" i="2" a="1"/>
  <c r="V396" i="2" s="1"/>
  <c r="AE396" i="2" a="1"/>
  <c r="AE396" i="2" s="1"/>
  <c r="E533" i="12" a="1"/>
  <c r="E533" i="12" s="1"/>
  <c r="T401" i="2" a="1"/>
  <c r="T401" i="2" s="1"/>
  <c r="AD404" i="2" a="1"/>
  <c r="AD404" i="2" s="1"/>
  <c r="B112" i="7" a="1"/>
  <c r="B112" i="7" s="1"/>
  <c r="B197" i="4" a="1"/>
  <c r="B197" i="4" s="1"/>
  <c r="AB408" i="2" a="1"/>
  <c r="AB408" i="2" s="1"/>
  <c r="W409" i="2" a="1"/>
  <c r="W409" i="2" s="1"/>
  <c r="AG409" i="2" a="1"/>
  <c r="AG409" i="2" s="1"/>
  <c r="W658" i="12" a="1"/>
  <c r="W658" i="12" s="1"/>
  <c r="AO410" i="2" a="1"/>
  <c r="AO410" i="2" s="1"/>
  <c r="AN410" i="2" a="1"/>
  <c r="AN410" i="2" s="1"/>
  <c r="AL410" i="2" a="1"/>
  <c r="AL410" i="2" s="1"/>
  <c r="AP410" i="2" a="1"/>
  <c r="AP410" i="2" s="1"/>
  <c r="AD411" i="2" a="1"/>
  <c r="AD411" i="2" s="1"/>
  <c r="S413" i="2" a="1"/>
  <c r="S413" i="2" s="1"/>
  <c r="AB413" i="2" a="1"/>
  <c r="AB413" i="2" s="1"/>
  <c r="D99" i="6" a="1"/>
  <c r="D99" i="6" s="1"/>
  <c r="D96" i="5" a="1"/>
  <c r="D96" i="5" s="1"/>
  <c r="D193" i="4" a="1"/>
  <c r="D193" i="4" s="1"/>
  <c r="AF414" i="2" a="1"/>
  <c r="AF414" i="2" s="1"/>
  <c r="AA415" i="2" a="1"/>
  <c r="AA415" i="2" s="1"/>
  <c r="AE416" i="2" a="1"/>
  <c r="AE416" i="2" s="1"/>
  <c r="AF417" i="2" a="1"/>
  <c r="AF417" i="2" s="1"/>
  <c r="Z417" i="2" a="1"/>
  <c r="Z417" i="2" s="1"/>
  <c r="T417" i="2" a="1"/>
  <c r="T417" i="2" s="1"/>
  <c r="AC417" i="2" a="1"/>
  <c r="AC417" i="2" s="1"/>
  <c r="AG417" i="2" a="1"/>
  <c r="AG417" i="2" s="1"/>
  <c r="V417" i="2" a="1"/>
  <c r="V417" i="2" s="1"/>
  <c r="X419" i="2" a="1"/>
  <c r="X419" i="2" s="1"/>
  <c r="U537" i="12" a="1"/>
  <c r="U537" i="12" s="1"/>
  <c r="V421" i="2" a="1"/>
  <c r="V421" i="2" s="1"/>
  <c r="AF421" i="2" a="1"/>
  <c r="AF421" i="2" s="1"/>
  <c r="E248" i="12" a="1"/>
  <c r="E248" i="12" s="1"/>
  <c r="Y422" i="2" a="1"/>
  <c r="Y422" i="2" s="1"/>
  <c r="AD423" i="2" a="1"/>
  <c r="AD423" i="2" s="1"/>
  <c r="AF428" i="2" a="1"/>
  <c r="AF428" i="2" s="1"/>
  <c r="Z429" i="2" a="1"/>
  <c r="Z429" i="2" s="1"/>
  <c r="W431" i="2" a="1"/>
  <c r="W431" i="2" s="1"/>
  <c r="V432" i="2" a="1"/>
  <c r="V432" i="2" s="1"/>
  <c r="E280" i="12" a="1"/>
  <c r="E280" i="12" s="1"/>
  <c r="S435" i="2" a="1"/>
  <c r="S435" i="2" s="1"/>
  <c r="AE435" i="2" a="1"/>
  <c r="AE435" i="2" s="1"/>
  <c r="S436" i="2" a="1"/>
  <c r="S436" i="2" s="1"/>
  <c r="AE436" i="2" a="1"/>
  <c r="AE436" i="2" s="1"/>
  <c r="E559" i="12" a="1"/>
  <c r="E559" i="12" s="1"/>
  <c r="S439" i="2" a="1"/>
  <c r="S439" i="2" s="1"/>
  <c r="T441" i="2" a="1"/>
  <c r="T441" i="2" s="1"/>
  <c r="B119" i="7" a="1"/>
  <c r="B119" i="7" s="1"/>
  <c r="B109" i="6" a="1"/>
  <c r="B109" i="6" s="1"/>
  <c r="B210" i="4" a="1"/>
  <c r="B210" i="4" s="1"/>
  <c r="D120" i="7" a="1"/>
  <c r="D120" i="7" s="1"/>
  <c r="D211" i="4" a="1"/>
  <c r="D211" i="4" s="1"/>
  <c r="V445" i="2" a="1"/>
  <c r="V445" i="2" s="1"/>
  <c r="X448" i="2" a="1"/>
  <c r="X448" i="2" s="1"/>
  <c r="AG450" i="2" a="1"/>
  <c r="AG450" i="2" s="1"/>
  <c r="AE451" i="2" a="1"/>
  <c r="AE451" i="2" s="1"/>
  <c r="B125" i="7" a="1"/>
  <c r="B125" i="7" s="1"/>
  <c r="B113" i="6" a="1"/>
  <c r="B113" i="6" s="1"/>
  <c r="B218" i="4" a="1"/>
  <c r="B218" i="4" s="1"/>
  <c r="U269" i="12" a="1"/>
  <c r="U269" i="12" s="1"/>
  <c r="AC455" i="2" a="1"/>
  <c r="AC455" i="2" s="1"/>
  <c r="W455" i="2" a="1"/>
  <c r="W455" i="2" s="1"/>
  <c r="AF455" i="2" a="1"/>
  <c r="AF455" i="2" s="1"/>
  <c r="V455" i="2" a="1"/>
  <c r="V455" i="2" s="1"/>
  <c r="AB455" i="2" a="1"/>
  <c r="AB455" i="2" s="1"/>
  <c r="S455" i="2" a="1"/>
  <c r="S455" i="2" s="1"/>
  <c r="Y455" i="2" a="1"/>
  <c r="Y455" i="2" s="1"/>
  <c r="AE455" i="2" a="1"/>
  <c r="AE455" i="2" s="1"/>
  <c r="X455" i="2" a="1"/>
  <c r="X455" i="2" s="1"/>
  <c r="AD455" i="2" a="1"/>
  <c r="AD455" i="2" s="1"/>
  <c r="X459" i="2" a="1"/>
  <c r="X459" i="2" s="1"/>
  <c r="W461" i="2" a="1"/>
  <c r="W461" i="2" s="1"/>
  <c r="D130" i="7" a="1"/>
  <c r="D130" i="7" s="1"/>
  <c r="D118" i="6" a="1"/>
  <c r="D118" i="6" s="1"/>
  <c r="D227" i="4" a="1"/>
  <c r="D227" i="4" s="1"/>
  <c r="AE469" i="2" a="1"/>
  <c r="AE469" i="2" s="1"/>
  <c r="T469" i="2" a="1"/>
  <c r="T469" i="2" s="1"/>
  <c r="AC469" i="2" a="1"/>
  <c r="AC469" i="2" s="1"/>
  <c r="W469" i="2" a="1"/>
  <c r="W469" i="2" s="1"/>
  <c r="AF469" i="2" a="1"/>
  <c r="AF469" i="2" s="1"/>
  <c r="Y469" i="2" a="1"/>
  <c r="Y469" i="2" s="1"/>
  <c r="X469" i="2" a="1"/>
  <c r="X469" i="2" s="1"/>
  <c r="AD469" i="2" a="1"/>
  <c r="AD469" i="2" s="1"/>
  <c r="V469" i="2" a="1"/>
  <c r="V469" i="2" s="1"/>
  <c r="AB469" i="2" a="1"/>
  <c r="AB469" i="2" s="1"/>
  <c r="AA469" i="2" a="1"/>
  <c r="AA469" i="2" s="1"/>
  <c r="AG469" i="2" a="1"/>
  <c r="AG469" i="2" s="1"/>
  <c r="Z469" i="2" a="1"/>
  <c r="Z469" i="2" s="1"/>
  <c r="S469" i="2" a="1"/>
  <c r="S469" i="2" s="1"/>
  <c r="AF301" i="2" a="1"/>
  <c r="AF301" i="2" s="1"/>
  <c r="AA301" i="2" a="1"/>
  <c r="AA301" i="2" s="1"/>
  <c r="V301" i="2" a="1"/>
  <c r="V301" i="2" s="1"/>
  <c r="E454" i="12" a="1"/>
  <c r="E454" i="12" s="1"/>
  <c r="E190" i="12" a="1"/>
  <c r="E190" i="12" s="1"/>
  <c r="D75" i="6" a="1"/>
  <c r="D75" i="6" s="1"/>
  <c r="D73" i="5" a="1"/>
  <c r="D73" i="5" s="1"/>
  <c r="D148" i="4" a="1"/>
  <c r="D148" i="4" s="1"/>
  <c r="Y325" i="2" a="1"/>
  <c r="Y325" i="2" s="1"/>
  <c r="AE325" i="2" a="1"/>
  <c r="AE325" i="2" s="1"/>
  <c r="Y326" i="2" a="1"/>
  <c r="Y326" i="2" s="1"/>
  <c r="AE326" i="2" a="1"/>
  <c r="AE326" i="2" s="1"/>
  <c r="Y327" i="2" a="1"/>
  <c r="Y327" i="2" s="1"/>
  <c r="AE327" i="2" a="1"/>
  <c r="AE327" i="2" s="1"/>
  <c r="Y328" i="2" a="1"/>
  <c r="Y328" i="2" s="1"/>
  <c r="AE328" i="2" a="1"/>
  <c r="AE328" i="2" s="1"/>
  <c r="Y329" i="2" a="1"/>
  <c r="Y329" i="2" s="1"/>
  <c r="AE329" i="2" a="1"/>
  <c r="AE329" i="2" s="1"/>
  <c r="Y330" i="2" a="1"/>
  <c r="Y330" i="2" s="1"/>
  <c r="AE330" i="2" a="1"/>
  <c r="AE330" i="2" s="1"/>
  <c r="Y331" i="2" a="1"/>
  <c r="Y331" i="2" s="1"/>
  <c r="AE331" i="2" a="1"/>
  <c r="AE331" i="2" s="1"/>
  <c r="Y332" i="2" a="1"/>
  <c r="Y332" i="2" s="1"/>
  <c r="AE332" i="2" a="1"/>
  <c r="AE332" i="2" s="1"/>
  <c r="U500" i="12" a="1"/>
  <c r="U500" i="12" s="1"/>
  <c r="U227" i="12" a="1"/>
  <c r="U227" i="12" s="1"/>
  <c r="U541" i="12" a="1"/>
  <c r="U541" i="12" s="1"/>
  <c r="AE353" i="2" a="1"/>
  <c r="AE353" i="2" s="1"/>
  <c r="U407" i="12" a="1"/>
  <c r="U407" i="12" s="1"/>
  <c r="Y357" i="2" a="1"/>
  <c r="Y357" i="2" s="1"/>
  <c r="Y359" i="2" a="1"/>
  <c r="Y359" i="2" s="1"/>
  <c r="Y361" i="2" a="1"/>
  <c r="Y361" i="2" s="1"/>
  <c r="Y363" i="2" a="1"/>
  <c r="Y363" i="2" s="1"/>
  <c r="Y365" i="2" a="1"/>
  <c r="Y365" i="2" s="1"/>
  <c r="Y367" i="2" a="1"/>
  <c r="Y367" i="2" s="1"/>
  <c r="AO379" i="2" a="1"/>
  <c r="AO379" i="2" s="1"/>
  <c r="AF384" i="2" a="1"/>
  <c r="AF384" i="2" s="1"/>
  <c r="W390" i="2" a="1"/>
  <c r="W390" i="2" s="1"/>
  <c r="AG390" i="2" a="1"/>
  <c r="AG390" i="2" s="1"/>
  <c r="AG391" i="2" a="1"/>
  <c r="AG391" i="2" s="1"/>
  <c r="AA391" i="2" a="1"/>
  <c r="AA391" i="2" s="1"/>
  <c r="AF391" i="2" a="1"/>
  <c r="AF391" i="2" s="1"/>
  <c r="AD391" i="2" a="1"/>
  <c r="AD391" i="2" s="1"/>
  <c r="S391" i="2" a="1"/>
  <c r="S391" i="2" s="1"/>
  <c r="W391" i="2" a="1"/>
  <c r="W391" i="2" s="1"/>
  <c r="Y391" i="2" a="1"/>
  <c r="Y391" i="2" s="1"/>
  <c r="D105" i="7" a="1"/>
  <c r="D105" i="7" s="1"/>
  <c r="D92" i="5" a="1"/>
  <c r="D92" i="5" s="1"/>
  <c r="D93" i="6" a="1"/>
  <c r="D93" i="6" s="1"/>
  <c r="D184" i="4" a="1"/>
  <c r="D184" i="4" s="1"/>
  <c r="D108" i="7" a="1"/>
  <c r="D108" i="7" s="1"/>
  <c r="D96" i="6" a="1"/>
  <c r="D96" i="6" s="1"/>
  <c r="D188" i="4" a="1"/>
  <c r="D188" i="4" s="1"/>
  <c r="Y402" i="2" a="1"/>
  <c r="Y402" i="2" s="1"/>
  <c r="AD402" i="2" a="1"/>
  <c r="AD402" i="2" s="1"/>
  <c r="S402" i="2" a="1"/>
  <c r="S402" i="2" s="1"/>
  <c r="AB402" i="2" a="1"/>
  <c r="AB402" i="2" s="1"/>
  <c r="V402" i="2" a="1"/>
  <c r="V402" i="2" s="1"/>
  <c r="Z402" i="2" a="1"/>
  <c r="Z402" i="2" s="1"/>
  <c r="V404" i="2" a="1"/>
  <c r="V404" i="2" s="1"/>
  <c r="W407" i="2" a="1"/>
  <c r="W407" i="2" s="1"/>
  <c r="AF412" i="2" a="1"/>
  <c r="AF412" i="2" s="1"/>
  <c r="Z412" i="2" a="1"/>
  <c r="Z412" i="2" s="1"/>
  <c r="T412" i="2" a="1"/>
  <c r="T412" i="2" s="1"/>
  <c r="AC412" i="2" a="1"/>
  <c r="AC412" i="2" s="1"/>
  <c r="AG412" i="2" a="1"/>
  <c r="AG412" i="2" s="1"/>
  <c r="V412" i="2" a="1"/>
  <c r="V412" i="2" s="1"/>
  <c r="T413" i="2" a="1"/>
  <c r="T413" i="2" s="1"/>
  <c r="X414" i="2" a="1"/>
  <c r="X414" i="2" s="1"/>
  <c r="U277" i="12" a="1"/>
  <c r="U277" i="12" s="1"/>
  <c r="V416" i="2" a="1"/>
  <c r="V416" i="2" s="1"/>
  <c r="AF416" i="2" a="1"/>
  <c r="AF416" i="2" s="1"/>
  <c r="E263" i="12" a="1"/>
  <c r="E263" i="12" s="1"/>
  <c r="Y419" i="2" a="1"/>
  <c r="Y419" i="2" s="1"/>
  <c r="AA422" i="2" a="1"/>
  <c r="AA422" i="2" s="1"/>
  <c r="V423" i="2" a="1"/>
  <c r="V423" i="2" s="1"/>
  <c r="AG424" i="2" a="1"/>
  <c r="AG424" i="2" s="1"/>
  <c r="V424" i="2" a="1"/>
  <c r="V424" i="2" s="1"/>
  <c r="AA424" i="2" a="1"/>
  <c r="AA424" i="2" s="1"/>
  <c r="AD424" i="2" a="1"/>
  <c r="AD424" i="2" s="1"/>
  <c r="S424" i="2" a="1"/>
  <c r="S424" i="2" s="1"/>
  <c r="W424" i="2" a="1"/>
  <c r="W424" i="2" s="1"/>
  <c r="Z424" i="2" a="1"/>
  <c r="Z424" i="2" s="1"/>
  <c r="T425" i="2" a="1"/>
  <c r="T425" i="2" s="1"/>
  <c r="AC425" i="2" a="1"/>
  <c r="AC425" i="2" s="1"/>
  <c r="D116" i="7" a="1"/>
  <c r="D116" i="7" s="1"/>
  <c r="D99" i="5" a="1"/>
  <c r="D99" i="5" s="1"/>
  <c r="D201" i="4" a="1"/>
  <c r="D201" i="4" s="1"/>
  <c r="AG426" i="2" a="1"/>
  <c r="AG426" i="2" s="1"/>
  <c r="D117" i="7" a="1"/>
  <c r="D117" i="7" s="1"/>
  <c r="D104" i="6" a="1"/>
  <c r="D104" i="6" s="1"/>
  <c r="D100" i="5" a="1"/>
  <c r="D100" i="5" s="1"/>
  <c r="D202" i="4" a="1"/>
  <c r="D202" i="4" s="1"/>
  <c r="X428" i="2" a="1"/>
  <c r="X428" i="2" s="1"/>
  <c r="U260" i="12" a="1"/>
  <c r="U260" i="12" s="1"/>
  <c r="AA429" i="2" a="1"/>
  <c r="AA429" i="2" s="1"/>
  <c r="B108" i="5" a="1"/>
  <c r="B108" i="5" s="1"/>
  <c r="B217" i="4" a="1"/>
  <c r="B217" i="4" s="1"/>
  <c r="X431" i="2" a="1"/>
  <c r="X431" i="2" s="1"/>
  <c r="AN433" i="2" a="1"/>
  <c r="AN433" i="2" s="1"/>
  <c r="AG436" i="2" a="1"/>
  <c r="AG436" i="2" s="1"/>
  <c r="AG439" i="2" a="1"/>
  <c r="AG439" i="2" s="1"/>
  <c r="D112" i="6" a="1"/>
  <c r="D112" i="6" s="1"/>
  <c r="D122" i="7" a="1"/>
  <c r="D122" i="7" s="1"/>
  <c r="D214" i="4" a="1"/>
  <c r="D214" i="4" s="1"/>
  <c r="B124" i="7" a="1"/>
  <c r="B124" i="7" s="1"/>
  <c r="B216" i="4" a="1"/>
  <c r="B216" i="4" s="1"/>
  <c r="U234" i="12" a="1"/>
  <c r="U234" i="12" s="1"/>
  <c r="W452" i="2" a="1"/>
  <c r="W452" i="2" s="1"/>
  <c r="T452" i="2" a="1"/>
  <c r="T452" i="2" s="1"/>
  <c r="E269" i="12" a="1"/>
  <c r="E269" i="12" s="1"/>
  <c r="D118" i="5" a="1"/>
  <c r="D118" i="5" s="1"/>
  <c r="D239" i="4" a="1"/>
  <c r="D239" i="4" s="1"/>
  <c r="AC457" i="2" a="1"/>
  <c r="AC457" i="2" s="1"/>
  <c r="Z460" i="2" a="1"/>
  <c r="Z460" i="2" s="1"/>
  <c r="X461" i="2" a="1"/>
  <c r="X461" i="2" s="1"/>
  <c r="B119" i="5" a="1"/>
  <c r="B119" i="5" s="1"/>
  <c r="B240" i="4" a="1"/>
  <c r="B240" i="4" s="1"/>
  <c r="U465" i="2" a="1"/>
  <c r="U465" i="2" s="1"/>
  <c r="E198" i="12" a="1"/>
  <c r="E198" i="12" s="1"/>
  <c r="U298" i="12" a="1"/>
  <c r="U298" i="12" s="1"/>
  <c r="AD442" i="2" a="1"/>
  <c r="AD442" i="2" s="1"/>
  <c r="S442" i="2" a="1"/>
  <c r="S442" i="2" s="1"/>
  <c r="AC442" i="2" a="1"/>
  <c r="AC442" i="2" s="1"/>
  <c r="E282" i="12" a="1"/>
  <c r="E282" i="12" s="1"/>
  <c r="E315" i="12" a="1"/>
  <c r="E315" i="12" s="1"/>
  <c r="AA449" i="2" a="1"/>
  <c r="AA449" i="2" s="1"/>
  <c r="AG449" i="2" a="1"/>
  <c r="AG449" i="2" s="1"/>
  <c r="U233" i="12" a="1"/>
  <c r="U233" i="12" s="1"/>
  <c r="E571" i="12" a="1"/>
  <c r="E571" i="12" s="1"/>
  <c r="B111" i="6" a="1"/>
  <c r="B111" i="6" s="1"/>
  <c r="B106" i="5" a="1"/>
  <c r="B106" i="5" s="1"/>
  <c r="B213" i="4" a="1"/>
  <c r="B213" i="4" s="1"/>
  <c r="U511" i="12" a="1"/>
  <c r="U511" i="12" s="1"/>
  <c r="E219" i="12" a="1"/>
  <c r="E219" i="12" s="1"/>
  <c r="B127" i="7" a="1"/>
  <c r="B127" i="7" s="1"/>
  <c r="B222" i="4" a="1"/>
  <c r="B222" i="4" s="1"/>
  <c r="U557" i="12" a="1"/>
  <c r="U557" i="12" s="1"/>
  <c r="E261" i="12" a="1"/>
  <c r="E261" i="12" s="1"/>
  <c r="B118" i="6" a="1"/>
  <c r="B118" i="6" s="1"/>
  <c r="B130" i="7" a="1"/>
  <c r="B130" i="7" s="1"/>
  <c r="B227" i="4" a="1"/>
  <c r="B227" i="4" s="1"/>
  <c r="U311" i="12" a="1"/>
  <c r="U311" i="12" s="1"/>
  <c r="E596" i="12" a="1"/>
  <c r="E596" i="12" s="1"/>
  <c r="B122" i="5" a="1"/>
  <c r="B122" i="5" s="1"/>
  <c r="B244" i="4" a="1"/>
  <c r="B244" i="4" s="1"/>
  <c r="T471" i="2" a="1"/>
  <c r="T471" i="2" s="1"/>
  <c r="AA471" i="2" a="1"/>
  <c r="AA471" i="2" s="1"/>
  <c r="U198" i="12" a="1"/>
  <c r="U198" i="12" s="1"/>
  <c r="E286" i="12" a="1"/>
  <c r="E286" i="12" s="1"/>
  <c r="B195" i="8" a="1"/>
  <c r="B195" i="8" s="1"/>
  <c r="T476" i="2" a="1"/>
  <c r="T476" i="2" s="1"/>
  <c r="AA476" i="2" a="1"/>
  <c r="AA476" i="2" s="1"/>
  <c r="U320" i="12" a="1"/>
  <c r="U320" i="12" s="1"/>
  <c r="E347" i="12" a="1"/>
  <c r="E347" i="12" s="1"/>
  <c r="B51" i="9" a="1"/>
  <c r="B51" i="9" s="1"/>
  <c r="B126" i="6" a="1"/>
  <c r="B126" i="6" s="1"/>
  <c r="B139" i="7" a="1"/>
  <c r="B139" i="7" s="1"/>
  <c r="B238" i="4" a="1"/>
  <c r="B238" i="4" s="1"/>
  <c r="S484" i="2" a="1"/>
  <c r="S484" i="2" s="1"/>
  <c r="AA484" i="2" a="1"/>
  <c r="AA484" i="2" s="1"/>
  <c r="W632" i="12" a="1"/>
  <c r="W632" i="12" s="1"/>
  <c r="AN489" i="2" a="1"/>
  <c r="AN489" i="2" s="1"/>
  <c r="AK489" i="2" a="1"/>
  <c r="AK489" i="2" s="1"/>
  <c r="U591" i="12" a="1"/>
  <c r="U591" i="12" s="1"/>
  <c r="V496" i="2" a="1"/>
  <c r="V496" i="2" s="1"/>
  <c r="T497" i="2" a="1"/>
  <c r="T497" i="2" s="1"/>
  <c r="V506" i="2" a="1"/>
  <c r="V506" i="2" s="1"/>
  <c r="B55" i="9" a="1"/>
  <c r="B55" i="9" s="1"/>
  <c r="D139" i="5" a="1"/>
  <c r="D139" i="5" s="1"/>
  <c r="D267" i="4" a="1"/>
  <c r="D267" i="4" s="1"/>
  <c r="AG508" i="2" a="1"/>
  <c r="AG508" i="2" s="1"/>
  <c r="V508" i="2" a="1"/>
  <c r="V508" i="2" s="1"/>
  <c r="AE508" i="2" a="1"/>
  <c r="AE508" i="2" s="1"/>
  <c r="Y508" i="2" a="1"/>
  <c r="Y508" i="2" s="1"/>
  <c r="S508" i="2" a="1"/>
  <c r="S508" i="2" s="1"/>
  <c r="AC508" i="2" a="1"/>
  <c r="AC508" i="2" s="1"/>
  <c r="AB508" i="2" a="1"/>
  <c r="AB508" i="2" s="1"/>
  <c r="AA508" i="2" a="1"/>
  <c r="AA508" i="2" s="1"/>
  <c r="AF508" i="2" a="1"/>
  <c r="AF508" i="2" s="1"/>
  <c r="Z508" i="2" a="1"/>
  <c r="Z508" i="2" s="1"/>
  <c r="T508" i="2" a="1"/>
  <c r="T508" i="2" s="1"/>
  <c r="AD508" i="2" a="1"/>
  <c r="AD508" i="2" s="1"/>
  <c r="T515" i="2" a="1"/>
  <c r="T515" i="2" s="1"/>
  <c r="T531" i="2" a="1"/>
  <c r="T531" i="2" s="1"/>
  <c r="S531" i="2" a="1"/>
  <c r="S531" i="2" s="1"/>
  <c r="T541" i="2" a="1"/>
  <c r="T541" i="2" s="1"/>
  <c r="S541" i="2" a="1"/>
  <c r="S541" i="2" s="1"/>
  <c r="D146" i="6" a="1"/>
  <c r="D146" i="6" s="1"/>
  <c r="D145" i="5" a="1"/>
  <c r="D145" i="5" s="1"/>
  <c r="D276" i="4" a="1"/>
  <c r="D276" i="4" s="1"/>
  <c r="T546" i="2" a="1"/>
  <c r="T546" i="2" s="1"/>
  <c r="S546" i="2" a="1"/>
  <c r="S546" i="2" s="1"/>
  <c r="D156" i="5" a="1"/>
  <c r="D156" i="5" s="1"/>
  <c r="D156" i="7" a="1"/>
  <c r="D156" i="7" s="1"/>
  <c r="D288" i="4" a="1"/>
  <c r="D288" i="4" s="1"/>
  <c r="E300" i="12" a="1"/>
  <c r="E300" i="12" s="1"/>
  <c r="B153" i="6" a="1"/>
  <c r="B153" i="6" s="1"/>
  <c r="B158" i="5" a="1"/>
  <c r="B158" i="5" s="1"/>
  <c r="B290" i="4" a="1"/>
  <c r="B290" i="4" s="1"/>
  <c r="AF565" i="2" a="1"/>
  <c r="AF565" i="2" s="1"/>
  <c r="AE565" i="2" a="1"/>
  <c r="AE565" i="2" s="1"/>
  <c r="T565" i="2" a="1"/>
  <c r="T565" i="2" s="1"/>
  <c r="Y565" i="2" a="1"/>
  <c r="Y565" i="2" s="1"/>
  <c r="S565" i="2" a="1"/>
  <c r="S565" i="2" s="1"/>
  <c r="AA565" i="2" a="1"/>
  <c r="AA565" i="2" s="1"/>
  <c r="Z565" i="2" a="1"/>
  <c r="Z565" i="2" s="1"/>
  <c r="AG565" i="2" a="1"/>
  <c r="AG565" i="2" s="1"/>
  <c r="X565" i="2" a="1"/>
  <c r="X565" i="2" s="1"/>
  <c r="W565" i="2" a="1"/>
  <c r="W565" i="2" s="1"/>
  <c r="AD565" i="2" a="1"/>
  <c r="AD565" i="2" s="1"/>
  <c r="AC565" i="2" a="1"/>
  <c r="AC565" i="2" s="1"/>
  <c r="V565" i="2" a="1"/>
  <c r="V565" i="2" s="1"/>
  <c r="AB565" i="2" a="1"/>
  <c r="AB565" i="2" s="1"/>
  <c r="U585" i="2" a="1"/>
  <c r="U585" i="2" s="1"/>
  <c r="U498" i="12" a="1"/>
  <c r="U498" i="12" s="1"/>
  <c r="AK385" i="2" a="1"/>
  <c r="AK385" i="2" s="1"/>
  <c r="U503" i="12" a="1"/>
  <c r="U503" i="12" s="1"/>
  <c r="AK389" i="2" a="1"/>
  <c r="AK389" i="2" s="1"/>
  <c r="X393" i="2" a="1"/>
  <c r="X393" i="2" s="1"/>
  <c r="X398" i="2" a="1"/>
  <c r="X398" i="2" s="1"/>
  <c r="X403" i="2" a="1"/>
  <c r="X403" i="2" s="1"/>
  <c r="Z406" i="2" a="1"/>
  <c r="Z406" i="2" s="1"/>
  <c r="AF406" i="2" a="1"/>
  <c r="AF406" i="2" s="1"/>
  <c r="X407" i="2" a="1"/>
  <c r="X407" i="2" s="1"/>
  <c r="U271" i="12" a="1"/>
  <c r="U271" i="12" s="1"/>
  <c r="U323" i="12" a="1"/>
  <c r="U323" i="12" s="1"/>
  <c r="W442" i="2" a="1"/>
  <c r="W442" i="2" s="1"/>
  <c r="B120" i="7" a="1"/>
  <c r="B120" i="7" s="1"/>
  <c r="B211" i="4" a="1"/>
  <c r="B211" i="4" s="1"/>
  <c r="U272" i="12" a="1"/>
  <c r="U272" i="12" s="1"/>
  <c r="U241" i="12" a="1"/>
  <c r="U241" i="12" s="1"/>
  <c r="AC465" i="2" a="1"/>
  <c r="AC465" i="2" s="1"/>
  <c r="W465" i="2" a="1"/>
  <c r="W465" i="2" s="1"/>
  <c r="AF465" i="2" a="1"/>
  <c r="AF465" i="2" s="1"/>
  <c r="X465" i="2" a="1"/>
  <c r="X465" i="2" s="1"/>
  <c r="AC470" i="2" a="1"/>
  <c r="AC470" i="2" s="1"/>
  <c r="W470" i="2" a="1"/>
  <c r="W470" i="2" s="1"/>
  <c r="AF470" i="2" a="1"/>
  <c r="AF470" i="2" s="1"/>
  <c r="X470" i="2" a="1"/>
  <c r="X470" i="2" s="1"/>
  <c r="AC475" i="2" a="1"/>
  <c r="AC475" i="2" s="1"/>
  <c r="W475" i="2" a="1"/>
  <c r="W475" i="2" s="1"/>
  <c r="AF475" i="2" a="1"/>
  <c r="AF475" i="2" s="1"/>
  <c r="X475" i="2" a="1"/>
  <c r="X475" i="2" s="1"/>
  <c r="E536" i="12" a="1"/>
  <c r="E536" i="12" s="1"/>
  <c r="D117" i="6" a="1"/>
  <c r="D117" i="6" s="1"/>
  <c r="D226" i="4" a="1"/>
  <c r="D226" i="4" s="1"/>
  <c r="AB484" i="2" a="1"/>
  <c r="AB484" i="2" s="1"/>
  <c r="AM485" i="2" a="1"/>
  <c r="AM485" i="2" s="1"/>
  <c r="V486" i="2" a="1"/>
  <c r="V486" i="2" s="1"/>
  <c r="AC486" i="2" a="1"/>
  <c r="AC486" i="2" s="1"/>
  <c r="D127" i="5" a="1"/>
  <c r="D127" i="5" s="1"/>
  <c r="D250" i="4" a="1"/>
  <c r="D250" i="4" s="1"/>
  <c r="AD491" i="2" a="1"/>
  <c r="AD491" i="2" s="1"/>
  <c r="X494" i="2" a="1"/>
  <c r="X494" i="2" s="1"/>
  <c r="B200" i="8" a="1"/>
  <c r="B200" i="8" s="1"/>
  <c r="V497" i="2" a="1"/>
  <c r="V497" i="2" s="1"/>
  <c r="U290" i="12" a="1"/>
  <c r="U290" i="12" s="1"/>
  <c r="T499" i="2" a="1"/>
  <c r="T499" i="2" s="1"/>
  <c r="S499" i="2" a="1"/>
  <c r="S499" i="2" s="1"/>
  <c r="X499" i="2" a="1"/>
  <c r="X499" i="2" s="1"/>
  <c r="B136" i="5" a="1"/>
  <c r="B136" i="5" s="1"/>
  <c r="B263" i="4" a="1"/>
  <c r="B263" i="4" s="1"/>
  <c r="AE500" i="2" a="1"/>
  <c r="AE500" i="2" s="1"/>
  <c r="T500" i="2" a="1"/>
  <c r="T500" i="2" s="1"/>
  <c r="AD500" i="2" a="1"/>
  <c r="AD500" i="2" s="1"/>
  <c r="AC500" i="2" a="1"/>
  <c r="AC500" i="2" s="1"/>
  <c r="W500" i="2" a="1"/>
  <c r="W500" i="2" s="1"/>
  <c r="AG500" i="2" a="1"/>
  <c r="AG500" i="2" s="1"/>
  <c r="AA500" i="2" a="1"/>
  <c r="AA500" i="2" s="1"/>
  <c r="Y500" i="2" a="1"/>
  <c r="Y500" i="2" s="1"/>
  <c r="T502" i="2" a="1"/>
  <c r="T502" i="2" s="1"/>
  <c r="W503" i="2" a="1"/>
  <c r="W503" i="2" s="1"/>
  <c r="W660" i="12" a="1"/>
  <c r="W660" i="12" s="1"/>
  <c r="AN507" i="2" a="1"/>
  <c r="AN507" i="2" s="1"/>
  <c r="AK507" i="2" a="1"/>
  <c r="AK507" i="2" s="1"/>
  <c r="E331" i="12" a="1"/>
  <c r="E331" i="12" s="1"/>
  <c r="B56" i="9" a="1"/>
  <c r="B56" i="9" s="1"/>
  <c r="B131" i="6" a="1"/>
  <c r="B131" i="6" s="1"/>
  <c r="B251" i="4" a="1"/>
  <c r="B251" i="4" s="1"/>
  <c r="V513" i="2" a="1"/>
  <c r="V513" i="2" s="1"/>
  <c r="T514" i="2" a="1"/>
  <c r="T514" i="2" s="1"/>
  <c r="W515" i="2" a="1"/>
  <c r="W515" i="2" s="1"/>
  <c r="AE519" i="2" a="1"/>
  <c r="AE519" i="2" s="1"/>
  <c r="S519" i="2" a="1"/>
  <c r="S519" i="2" s="1"/>
  <c r="AR535" i="2" a="1"/>
  <c r="AR535" i="2" s="1"/>
  <c r="AC541" i="2" a="1"/>
  <c r="AC541" i="2" s="1"/>
  <c r="AC546" i="2" a="1"/>
  <c r="AC546" i="2" s="1"/>
  <c r="D155" i="7" a="1"/>
  <c r="D155" i="7" s="1"/>
  <c r="D155" i="5" a="1"/>
  <c r="D155" i="5" s="1"/>
  <c r="D287" i="4" a="1"/>
  <c r="D287" i="4" s="1"/>
  <c r="T551" i="2" a="1"/>
  <c r="T551" i="2" s="1"/>
  <c r="S551" i="2" a="1"/>
  <c r="S551" i="2" s="1"/>
  <c r="D159" i="7" a="1"/>
  <c r="D159" i="7" s="1"/>
  <c r="D155" i="6" a="1"/>
  <c r="D155" i="6" s="1"/>
  <c r="D294" i="4" a="1"/>
  <c r="D294" i="4" s="1"/>
  <c r="E411" i="12" a="1"/>
  <c r="E411" i="12" s="1"/>
  <c r="B168" i="5" a="1"/>
  <c r="B168" i="5" s="1"/>
  <c r="B314" i="4" a="1"/>
  <c r="B314" i="4" s="1"/>
  <c r="AG593" i="2" a="1"/>
  <c r="AG593" i="2" s="1"/>
  <c r="AA593" i="2" a="1"/>
  <c r="AA593" i="2" s="1"/>
  <c r="AF593" i="2" a="1"/>
  <c r="AF593" i="2" s="1"/>
  <c r="Z593" i="2" a="1"/>
  <c r="Z593" i="2" s="1"/>
  <c r="AE593" i="2" a="1"/>
  <c r="AE593" i="2" s="1"/>
  <c r="T593" i="2" a="1"/>
  <c r="T593" i="2" s="1"/>
  <c r="Y593" i="2" a="1"/>
  <c r="Y593" i="2" s="1"/>
  <c r="X593" i="2" a="1"/>
  <c r="X593" i="2" s="1"/>
  <c r="S593" i="2" a="1"/>
  <c r="S593" i="2" s="1"/>
  <c r="AD593" i="2" a="1"/>
  <c r="AD593" i="2" s="1"/>
  <c r="AC593" i="2" a="1"/>
  <c r="AC593" i="2" s="1"/>
  <c r="AB593" i="2" a="1"/>
  <c r="AB593" i="2" s="1"/>
  <c r="W593" i="2" a="1"/>
  <c r="W593" i="2" s="1"/>
  <c r="V593" i="2" a="1"/>
  <c r="V593" i="2" s="1"/>
  <c r="V449" i="2" a="1"/>
  <c r="V449" i="2" s="1"/>
  <c r="D108" i="6" a="1"/>
  <c r="D108" i="6" s="1"/>
  <c r="D208" i="4" a="1"/>
  <c r="D208" i="4" s="1"/>
  <c r="W453" i="2" a="1"/>
  <c r="W453" i="2" s="1"/>
  <c r="U281" i="12" a="1"/>
  <c r="U281" i="12" s="1"/>
  <c r="W458" i="2" a="1"/>
  <c r="W458" i="2" s="1"/>
  <c r="U276" i="12" a="1"/>
  <c r="U276" i="12" s="1"/>
  <c r="W463" i="2" a="1"/>
  <c r="W463" i="2" s="1"/>
  <c r="U223" i="12" a="1"/>
  <c r="U223" i="12" s="1"/>
  <c r="AE465" i="2" a="1"/>
  <c r="AE465" i="2" s="1"/>
  <c r="D114" i="6" a="1"/>
  <c r="D114" i="6" s="1"/>
  <c r="D109" i="5" a="1"/>
  <c r="D109" i="5" s="1"/>
  <c r="D219" i="4" a="1"/>
  <c r="D219" i="4" s="1"/>
  <c r="W468" i="2" a="1"/>
  <c r="W468" i="2" s="1"/>
  <c r="U265" i="12" a="1"/>
  <c r="U265" i="12" s="1"/>
  <c r="AE470" i="2" a="1"/>
  <c r="AE470" i="2" s="1"/>
  <c r="D132" i="7" a="1"/>
  <c r="D132" i="7" s="1"/>
  <c r="D119" i="6" a="1"/>
  <c r="D119" i="6" s="1"/>
  <c r="D229" i="4" a="1"/>
  <c r="D229" i="4" s="1"/>
  <c r="AB471" i="2" a="1"/>
  <c r="AB471" i="2" s="1"/>
  <c r="W473" i="2" a="1"/>
  <c r="W473" i="2" s="1"/>
  <c r="U598" i="12" a="1"/>
  <c r="U598" i="12" s="1"/>
  <c r="AE475" i="2" a="1"/>
  <c r="AE475" i="2" s="1"/>
  <c r="D123" i="6" a="1"/>
  <c r="D123" i="6" s="1"/>
  <c r="D136" i="7" a="1"/>
  <c r="D136" i="7" s="1"/>
  <c r="D235" i="4" a="1"/>
  <c r="D235" i="4" s="1"/>
  <c r="AB476" i="2" a="1"/>
  <c r="AB476" i="2" s="1"/>
  <c r="W478" i="2" a="1"/>
  <c r="W478" i="2" s="1"/>
  <c r="T484" i="2" a="1"/>
  <c r="T484" i="2" s="1"/>
  <c r="W488" i="2" a="1"/>
  <c r="W488" i="2" s="1"/>
  <c r="S491" i="2" a="1"/>
  <c r="S491" i="2" s="1"/>
  <c r="AE493" i="2" a="1"/>
  <c r="AE493" i="2" s="1"/>
  <c r="B201" i="8" a="1"/>
  <c r="B201" i="8" s="1"/>
  <c r="AF500" i="2" a="1"/>
  <c r="AF500" i="2" s="1"/>
  <c r="E572" i="12" a="1"/>
  <c r="E572" i="12" s="1"/>
  <c r="U601" i="12" a="1"/>
  <c r="U601" i="12" s="1"/>
  <c r="Z506" i="2" a="1"/>
  <c r="Z506" i="2" s="1"/>
  <c r="W509" i="2" a="1"/>
  <c r="W509" i="2" s="1"/>
  <c r="W513" i="2" a="1"/>
  <c r="W513" i="2" s="1"/>
  <c r="V514" i="2" a="1"/>
  <c r="V514" i="2" s="1"/>
  <c r="B135" i="6" a="1"/>
  <c r="B135" i="6" s="1"/>
  <c r="B130" i="5" a="1"/>
  <c r="B130" i="5" s="1"/>
  <c r="B255" i="4" a="1"/>
  <c r="B255" i="4" s="1"/>
  <c r="B147" i="7" a="1"/>
  <c r="B147" i="7" s="1"/>
  <c r="B132" i="5" a="1"/>
  <c r="B132" i="5" s="1"/>
  <c r="B258" i="4" a="1"/>
  <c r="B258" i="4" s="1"/>
  <c r="E344" i="12" a="1"/>
  <c r="E344" i="12" s="1"/>
  <c r="E352" i="12" a="1"/>
  <c r="E352" i="12" s="1"/>
  <c r="AO530" i="2" a="1"/>
  <c r="AO530" i="2" s="1"/>
  <c r="AC551" i="2" a="1"/>
  <c r="AC551" i="2" s="1"/>
  <c r="D149" i="6" a="1"/>
  <c r="D149" i="6" s="1"/>
  <c r="D150" i="5" a="1"/>
  <c r="D150" i="5" s="1"/>
  <c r="D281" i="4" a="1"/>
  <c r="D281" i="4" s="1"/>
  <c r="T556" i="2" a="1"/>
  <c r="T556" i="2" s="1"/>
  <c r="S556" i="2" a="1"/>
  <c r="S556" i="2" s="1"/>
  <c r="D161" i="7" a="1"/>
  <c r="D161" i="7" s="1"/>
  <c r="D299" i="4" a="1"/>
  <c r="D299" i="4" s="1"/>
  <c r="E340" i="12" a="1"/>
  <c r="E340" i="12" s="1"/>
  <c r="AE568" i="2" a="1"/>
  <c r="AE568" i="2" s="1"/>
  <c r="T568" i="2" a="1"/>
  <c r="T568" i="2" s="1"/>
  <c r="AD568" i="2" a="1"/>
  <c r="AD568" i="2" s="1"/>
  <c r="X568" i="2" a="1"/>
  <c r="X568" i="2" s="1"/>
  <c r="AC568" i="2" a="1"/>
  <c r="AC568" i="2" s="1"/>
  <c r="AG568" i="2" a="1"/>
  <c r="AG568" i="2" s="1"/>
  <c r="Z568" i="2" a="1"/>
  <c r="Z568" i="2" s="1"/>
  <c r="Y568" i="2" a="1"/>
  <c r="Y568" i="2" s="1"/>
  <c r="AF568" i="2" a="1"/>
  <c r="AF568" i="2" s="1"/>
  <c r="W568" i="2" a="1"/>
  <c r="W568" i="2" s="1"/>
  <c r="V568" i="2" a="1"/>
  <c r="V568" i="2" s="1"/>
  <c r="AB568" i="2" a="1"/>
  <c r="AB568" i="2" s="1"/>
  <c r="AA568" i="2" a="1"/>
  <c r="AA568" i="2" s="1"/>
  <c r="S568" i="2" a="1"/>
  <c r="S568" i="2" s="1"/>
  <c r="B162" i="6" a="1"/>
  <c r="B162" i="6" s="1"/>
  <c r="B305" i="4" a="1"/>
  <c r="B305" i="4" s="1"/>
  <c r="AA575" i="2" a="1"/>
  <c r="AA575" i="2" s="1"/>
  <c r="AF575" i="2" a="1"/>
  <c r="AF575" i="2" s="1"/>
  <c r="AE575" i="2" a="1"/>
  <c r="AE575" i="2" s="1"/>
  <c r="T575" i="2" a="1"/>
  <c r="T575" i="2" s="1"/>
  <c r="Y575" i="2" a="1"/>
  <c r="Y575" i="2" s="1"/>
  <c r="S575" i="2" a="1"/>
  <c r="S575" i="2" s="1"/>
  <c r="AB575" i="2" a="1"/>
  <c r="AB575" i="2" s="1"/>
  <c r="Z575" i="2" a="1"/>
  <c r="Z575" i="2" s="1"/>
  <c r="X575" i="2" a="1"/>
  <c r="X575" i="2" s="1"/>
  <c r="AG575" i="2" a="1"/>
  <c r="AG575" i="2" s="1"/>
  <c r="W575" i="2" a="1"/>
  <c r="W575" i="2" s="1"/>
  <c r="AD575" i="2" a="1"/>
  <c r="AD575" i="2" s="1"/>
  <c r="V575" i="2" a="1"/>
  <c r="V575" i="2" s="1"/>
  <c r="AC575" i="2" a="1"/>
  <c r="AC575" i="2" s="1"/>
  <c r="B182" i="7" a="1"/>
  <c r="B182" i="7" s="1"/>
  <c r="B174" i="6" a="1"/>
  <c r="B174" i="6" s="1"/>
  <c r="B334" i="4" a="1"/>
  <c r="B334" i="4" s="1"/>
  <c r="U584" i="12" a="1"/>
  <c r="U584" i="12" s="1"/>
  <c r="AE449" i="2" a="1"/>
  <c r="AE449" i="2" s="1"/>
  <c r="T449" i="2" a="1"/>
  <c r="T449" i="2" s="1"/>
  <c r="AC449" i="2" a="1"/>
  <c r="AC449" i="2" s="1"/>
  <c r="E234" i="12" a="1"/>
  <c r="E234" i="12" s="1"/>
  <c r="U571" i="12" a="1"/>
  <c r="U571" i="12" s="1"/>
  <c r="AG453" i="2" a="1"/>
  <c r="AG453" i="2" s="1"/>
  <c r="V453" i="2" a="1"/>
  <c r="V453" i="2" s="1"/>
  <c r="AE453" i="2" a="1"/>
  <c r="AE453" i="2" s="1"/>
  <c r="T453" i="2" a="1"/>
  <c r="T453" i="2" s="1"/>
  <c r="X453" i="2" a="1"/>
  <c r="X453" i="2" s="1"/>
  <c r="E287" i="12" a="1"/>
  <c r="E287" i="12" s="1"/>
  <c r="B126" i="7" a="1"/>
  <c r="B126" i="7" s="1"/>
  <c r="B115" i="6" a="1"/>
  <c r="B115" i="6" s="1"/>
  <c r="B110" i="5" a="1"/>
  <c r="B110" i="5" s="1"/>
  <c r="B220" i="4" a="1"/>
  <c r="B220" i="4" s="1"/>
  <c r="U219" i="12" a="1"/>
  <c r="U219" i="12" s="1"/>
  <c r="AG458" i="2" a="1"/>
  <c r="AG458" i="2" s="1"/>
  <c r="V458" i="2" a="1"/>
  <c r="V458" i="2" s="1"/>
  <c r="AE458" i="2" a="1"/>
  <c r="AE458" i="2" s="1"/>
  <c r="T458" i="2" a="1"/>
  <c r="T458" i="2" s="1"/>
  <c r="X458" i="2" a="1"/>
  <c r="X458" i="2" s="1"/>
  <c r="E258" i="12" a="1"/>
  <c r="E258" i="12" s="1"/>
  <c r="B129" i="7" a="1"/>
  <c r="B129" i="7" s="1"/>
  <c r="B113" i="5" a="1"/>
  <c r="B113" i="5" s="1"/>
  <c r="B225" i="4" a="1"/>
  <c r="B225" i="4" s="1"/>
  <c r="T462" i="2" a="1"/>
  <c r="T462" i="2" s="1"/>
  <c r="U261" i="12" a="1"/>
  <c r="U261" i="12" s="1"/>
  <c r="AG463" i="2" a="1"/>
  <c r="AG463" i="2" s="1"/>
  <c r="V463" i="2" a="1"/>
  <c r="V463" i="2" s="1"/>
  <c r="AE463" i="2" a="1"/>
  <c r="AE463" i="2" s="1"/>
  <c r="T463" i="2" a="1"/>
  <c r="T463" i="2" s="1"/>
  <c r="U463" i="2" s="1" a="1"/>
  <c r="U463" i="2" s="1"/>
  <c r="X463" i="2" a="1"/>
  <c r="X463" i="2" s="1"/>
  <c r="E594" i="12" a="1"/>
  <c r="E594" i="12" s="1"/>
  <c r="U596" i="12" a="1"/>
  <c r="U596" i="12" s="1"/>
  <c r="AG468" i="2" a="1"/>
  <c r="AG468" i="2" s="1"/>
  <c r="V468" i="2" a="1"/>
  <c r="V468" i="2" s="1"/>
  <c r="AE468" i="2" a="1"/>
  <c r="AE468" i="2" s="1"/>
  <c r="T468" i="2" a="1"/>
  <c r="T468" i="2" s="1"/>
  <c r="X468" i="2" a="1"/>
  <c r="X468" i="2" s="1"/>
  <c r="E301" i="12" a="1"/>
  <c r="E301" i="12" s="1"/>
  <c r="V471" i="2" a="1"/>
  <c r="V471" i="2" s="1"/>
  <c r="B133" i="7" a="1"/>
  <c r="B133" i="7" s="1"/>
  <c r="B231" i="4" a="1"/>
  <c r="B231" i="4" s="1"/>
  <c r="U286" i="12" a="1"/>
  <c r="U286" i="12" s="1"/>
  <c r="AG473" i="2" a="1"/>
  <c r="AG473" i="2" s="1"/>
  <c r="V473" i="2" a="1"/>
  <c r="V473" i="2" s="1"/>
  <c r="AE473" i="2" a="1"/>
  <c r="AE473" i="2" s="1"/>
  <c r="T473" i="2" a="1"/>
  <c r="T473" i="2" s="1"/>
  <c r="U473" i="2" s="1" a="1"/>
  <c r="U473" i="2" s="1"/>
  <c r="X473" i="2" a="1"/>
  <c r="X473" i="2" s="1"/>
  <c r="E247" i="12" a="1"/>
  <c r="E247" i="12" s="1"/>
  <c r="V476" i="2" a="1"/>
  <c r="V476" i="2" s="1"/>
  <c r="B124" i="5" a="1"/>
  <c r="B124" i="5" s="1"/>
  <c r="B246" i="4" a="1"/>
  <c r="B246" i="4" s="1"/>
  <c r="U347" i="12" a="1"/>
  <c r="U347" i="12" s="1"/>
  <c r="AG478" i="2" a="1"/>
  <c r="AG478" i="2" s="1"/>
  <c r="V478" i="2" a="1"/>
  <c r="V478" i="2" s="1"/>
  <c r="AE478" i="2" a="1"/>
  <c r="AE478" i="2" s="1"/>
  <c r="T478" i="2" a="1"/>
  <c r="T478" i="2" s="1"/>
  <c r="U478" i="2" s="1" a="1"/>
  <c r="U478" i="2" s="1"/>
  <c r="X478" i="2" a="1"/>
  <c r="X478" i="2" s="1"/>
  <c r="U536" i="12" a="1"/>
  <c r="U536" i="12" s="1"/>
  <c r="D139" i="7" a="1"/>
  <c r="D139" i="7" s="1"/>
  <c r="D126" i="6" a="1"/>
  <c r="D126" i="6" s="1"/>
  <c r="D238" i="4" a="1"/>
  <c r="D238" i="4" s="1"/>
  <c r="AE486" i="2" a="1"/>
  <c r="AE486" i="2" s="1"/>
  <c r="T486" i="2" a="1"/>
  <c r="T486" i="2" s="1"/>
  <c r="S486" i="2" a="1"/>
  <c r="S486" i="2" s="1"/>
  <c r="V487" i="2" a="1"/>
  <c r="V487" i="2" s="1"/>
  <c r="U313" i="12" a="1"/>
  <c r="U313" i="12" s="1"/>
  <c r="AM489" i="2" a="1"/>
  <c r="AM489" i="2" s="1"/>
  <c r="B140" i="7" a="1"/>
  <c r="B140" i="7" s="1"/>
  <c r="B120" i="5" a="1"/>
  <c r="B120" i="5" s="1"/>
  <c r="B127" i="6" a="1"/>
  <c r="B127" i="6" s="1"/>
  <c r="B241" i="4" a="1"/>
  <c r="B241" i="4" s="1"/>
  <c r="T491" i="2" a="1"/>
  <c r="T491" i="2" s="1"/>
  <c r="AE491" i="2" a="1"/>
  <c r="AE491" i="2" s="1"/>
  <c r="B130" i="6" a="1"/>
  <c r="B130" i="6" s="1"/>
  <c r="B144" i="7" a="1"/>
  <c r="B144" i="7" s="1"/>
  <c r="B126" i="5" a="1"/>
  <c r="B126" i="5" s="1"/>
  <c r="B249" i="4" a="1"/>
  <c r="B249" i="4" s="1"/>
  <c r="E240" i="12" a="1"/>
  <c r="E240" i="12" s="1"/>
  <c r="U240" i="12" a="1"/>
  <c r="U240" i="12" s="1"/>
  <c r="W502" i="2" a="1"/>
  <c r="W502" i="2" s="1"/>
  <c r="B137" i="5" a="1"/>
  <c r="B137" i="5" s="1"/>
  <c r="B264" i="4" a="1"/>
  <c r="B264" i="4" s="1"/>
  <c r="Z503" i="2" a="1"/>
  <c r="Z503" i="2" s="1"/>
  <c r="AM507" i="2" a="1"/>
  <c r="AM507" i="2" s="1"/>
  <c r="X509" i="2" a="1"/>
  <c r="X509" i="2" s="1"/>
  <c r="AD511" i="2" a="1"/>
  <c r="AD511" i="2" s="1"/>
  <c r="S511" i="2" a="1"/>
  <c r="S511" i="2" s="1"/>
  <c r="AC511" i="2" a="1"/>
  <c r="AC511" i="2" s="1"/>
  <c r="W511" i="2" a="1"/>
  <c r="W511" i="2" s="1"/>
  <c r="V511" i="2" a="1"/>
  <c r="V511" i="2" s="1"/>
  <c r="AG511" i="2" a="1"/>
  <c r="AG511" i="2" s="1"/>
  <c r="AF511" i="2" a="1"/>
  <c r="AF511" i="2" s="1"/>
  <c r="Z511" i="2" a="1"/>
  <c r="Z511" i="2" s="1"/>
  <c r="T511" i="2" a="1"/>
  <c r="T511" i="2" s="1"/>
  <c r="X511" i="2" a="1"/>
  <c r="X511" i="2" s="1"/>
  <c r="AE511" i="2" a="1"/>
  <c r="AE511" i="2" s="1"/>
  <c r="W514" i="2" a="1"/>
  <c r="W514" i="2" s="1"/>
  <c r="B134" i="6" a="1"/>
  <c r="B134" i="6" s="1"/>
  <c r="B129" i="5" a="1"/>
  <c r="B129" i="5" s="1"/>
  <c r="B254" i="4" a="1"/>
  <c r="B254" i="4" s="1"/>
  <c r="Y515" i="2" a="1"/>
  <c r="Y515" i="2" s="1"/>
  <c r="D147" i="7" a="1"/>
  <c r="D147" i="7" s="1"/>
  <c r="D132" i="5" a="1"/>
  <c r="D132" i="5" s="1"/>
  <c r="D258" i="4" a="1"/>
  <c r="D258" i="4" s="1"/>
  <c r="W672" i="12" a="1"/>
  <c r="W672" i="12" s="1"/>
  <c r="AK525" i="2" a="1"/>
  <c r="AK525" i="2" s="1"/>
  <c r="AO525" i="2" a="1"/>
  <c r="AO525" i="2" s="1"/>
  <c r="AQ525" i="2" s="1" a="1"/>
  <c r="AQ525" i="2" s="1"/>
  <c r="AN525" i="2" a="1"/>
  <c r="AN525" i="2" s="1"/>
  <c r="AM525" i="2" a="1"/>
  <c r="AM525" i="2" s="1"/>
  <c r="AE538" i="2" a="1"/>
  <c r="AE538" i="2" s="1"/>
  <c r="T538" i="2" a="1"/>
  <c r="T538" i="2" s="1"/>
  <c r="AD538" i="2" a="1"/>
  <c r="AD538" i="2" s="1"/>
  <c r="X538" i="2" a="1"/>
  <c r="X538" i="2" s="1"/>
  <c r="AB538" i="2" a="1"/>
  <c r="AB538" i="2" s="1"/>
  <c r="AA538" i="2" a="1"/>
  <c r="AA538" i="2" s="1"/>
  <c r="AG538" i="2" a="1"/>
  <c r="AG538" i="2" s="1"/>
  <c r="S538" i="2" a="1"/>
  <c r="S538" i="2" s="1"/>
  <c r="Z538" i="2" a="1"/>
  <c r="Z538" i="2" s="1"/>
  <c r="AF538" i="2" a="1"/>
  <c r="AF538" i="2" s="1"/>
  <c r="Y538" i="2" a="1"/>
  <c r="Y538" i="2" s="1"/>
  <c r="W538" i="2" a="1"/>
  <c r="W538" i="2" s="1"/>
  <c r="AC538" i="2" a="1"/>
  <c r="AC538" i="2" s="1"/>
  <c r="V538" i="2" a="1"/>
  <c r="V538" i="2" s="1"/>
  <c r="D152" i="6" a="1"/>
  <c r="D152" i="6" s="1"/>
  <c r="D157" i="5" a="1"/>
  <c r="D157" i="5" s="1"/>
  <c r="D289" i="4" a="1"/>
  <c r="D289" i="4" s="1"/>
  <c r="T561" i="2" a="1"/>
  <c r="T561" i="2" s="1"/>
  <c r="S561" i="2" a="1"/>
  <c r="S561" i="2" s="1"/>
  <c r="AC561" i="2" a="1"/>
  <c r="AC561" i="2" s="1"/>
  <c r="V561" i="2" a="1"/>
  <c r="V561" i="2" s="1"/>
  <c r="D158" i="6" a="1"/>
  <c r="D158" i="6" s="1"/>
  <c r="D297" i="4" a="1"/>
  <c r="D297" i="4" s="1"/>
  <c r="D98" i="5" a="1"/>
  <c r="D98" i="5" s="1"/>
  <c r="D196" i="4" a="1"/>
  <c r="D196" i="4" s="1"/>
  <c r="T393" i="2" a="1"/>
  <c r="T393" i="2" s="1"/>
  <c r="AE393" i="2" a="1"/>
  <c r="AE393" i="2" s="1"/>
  <c r="E173" i="12" a="1"/>
  <c r="E173" i="12" s="1"/>
  <c r="D107" i="7" a="1"/>
  <c r="D107" i="7" s="1"/>
  <c r="D95" i="6" a="1"/>
  <c r="D95" i="6" s="1"/>
  <c r="D93" i="5" a="1"/>
  <c r="D93" i="5" s="1"/>
  <c r="D186" i="4" a="1"/>
  <c r="D186" i="4" s="1"/>
  <c r="T398" i="2" a="1"/>
  <c r="T398" i="2" s="1"/>
  <c r="AE398" i="2" a="1"/>
  <c r="AE398" i="2" s="1"/>
  <c r="E267" i="12" a="1"/>
  <c r="E267" i="12" s="1"/>
  <c r="T403" i="2" a="1"/>
  <c r="T403" i="2" s="1"/>
  <c r="AE403" i="2" a="1"/>
  <c r="AE403" i="2" s="1"/>
  <c r="E257" i="12" a="1"/>
  <c r="E257" i="12" s="1"/>
  <c r="AB406" i="2" a="1"/>
  <c r="AB406" i="2" s="1"/>
  <c r="T407" i="2" a="1"/>
  <c r="T407" i="2" s="1"/>
  <c r="AE407" i="2" a="1"/>
  <c r="AE407" i="2" s="1"/>
  <c r="B100" i="6" a="1"/>
  <c r="B100" i="6" s="1"/>
  <c r="B194" i="4" a="1"/>
  <c r="B194" i="4" s="1"/>
  <c r="B105" i="5" a="1"/>
  <c r="B105" i="5" s="1"/>
  <c r="B209" i="4" a="1"/>
  <c r="B209" i="4" s="1"/>
  <c r="U539" i="12" a="1"/>
  <c r="U539" i="12" s="1"/>
  <c r="AG438" i="2" a="1"/>
  <c r="AG438" i="2" s="1"/>
  <c r="V438" i="2" a="1"/>
  <c r="V438" i="2" s="1"/>
  <c r="W438" i="2" a="1"/>
  <c r="W438" i="2" s="1"/>
  <c r="E597" i="12" a="1"/>
  <c r="E597" i="12" s="1"/>
  <c r="U238" i="12" a="1"/>
  <c r="U238" i="12" s="1"/>
  <c r="AG448" i="2" a="1"/>
  <c r="AG448" i="2" s="1"/>
  <c r="V448" i="2" a="1"/>
  <c r="V448" i="2" s="1"/>
  <c r="W448" i="2" a="1"/>
  <c r="W448" i="2" s="1"/>
  <c r="W449" i="2" a="1"/>
  <c r="W449" i="2" s="1"/>
  <c r="U470" i="2" a="1"/>
  <c r="U470" i="2" s="1"/>
  <c r="S475" i="2" a="1"/>
  <c r="S475" i="2" s="1"/>
  <c r="AD481" i="2" a="1"/>
  <c r="AD481" i="2" s="1"/>
  <c r="S481" i="2" a="1"/>
  <c r="S481" i="2" s="1"/>
  <c r="AB481" i="2" a="1"/>
  <c r="AB481" i="2" s="1"/>
  <c r="V481" i="2" a="1"/>
  <c r="V481" i="2" s="1"/>
  <c r="AG481" i="2" a="1"/>
  <c r="AG481" i="2" s="1"/>
  <c r="AA481" i="2" a="1"/>
  <c r="AA481" i="2" s="1"/>
  <c r="Y481" i="2" a="1"/>
  <c r="Y481" i="2" s="1"/>
  <c r="AF481" i="2" a="1"/>
  <c r="AF481" i="2" s="1"/>
  <c r="AB482" i="2" a="1"/>
  <c r="AB482" i="2" s="1"/>
  <c r="V482" i="2" a="1"/>
  <c r="V482" i="2" s="1"/>
  <c r="AE482" i="2" a="1"/>
  <c r="AE482" i="2" s="1"/>
  <c r="T482" i="2" a="1"/>
  <c r="T482" i="2" s="1"/>
  <c r="Y482" i="2" a="1"/>
  <c r="Y482" i="2" s="1"/>
  <c r="AG482" i="2" a="1"/>
  <c r="AG482" i="2" s="1"/>
  <c r="AE483" i="2" a="1"/>
  <c r="AE483" i="2" s="1"/>
  <c r="T483" i="2" a="1"/>
  <c r="T483" i="2" s="1"/>
  <c r="AC483" i="2" a="1"/>
  <c r="AC483" i="2" s="1"/>
  <c r="W483" i="2" a="1"/>
  <c r="W483" i="2" s="1"/>
  <c r="X483" i="2" a="1"/>
  <c r="X483" i="2" s="1"/>
  <c r="V484" i="2" a="1"/>
  <c r="V484" i="2" s="1"/>
  <c r="X486" i="2" a="1"/>
  <c r="X486" i="2" s="1"/>
  <c r="X487" i="2" a="1"/>
  <c r="X487" i="2" s="1"/>
  <c r="AC488" i="2" a="1"/>
  <c r="AC488" i="2" s="1"/>
  <c r="AA488" i="2" a="1"/>
  <c r="AA488" i="2" s="1"/>
  <c r="AF488" i="2" a="1"/>
  <c r="AF488" i="2" s="1"/>
  <c r="Z488" i="2" a="1"/>
  <c r="Z488" i="2" s="1"/>
  <c r="AE488" i="2" a="1"/>
  <c r="AE488" i="2" s="1"/>
  <c r="T488" i="2" a="1"/>
  <c r="T488" i="2" s="1"/>
  <c r="AO489" i="2" a="1"/>
  <c r="AO489" i="2" s="1"/>
  <c r="AQ489" i="2" s="1" a="1"/>
  <c r="AQ489" i="2" s="1"/>
  <c r="V491" i="2" a="1"/>
  <c r="V491" i="2" s="1"/>
  <c r="E298" i="12" a="1"/>
  <c r="E298" i="12" s="1"/>
  <c r="AE495" i="2" a="1"/>
  <c r="AE495" i="2" s="1"/>
  <c r="T495" i="2" a="1"/>
  <c r="T495" i="2" s="1"/>
  <c r="AG495" i="2" a="1"/>
  <c r="AG495" i="2" s="1"/>
  <c r="AA495" i="2" a="1"/>
  <c r="AA495" i="2" s="1"/>
  <c r="X495" i="2" a="1"/>
  <c r="X495" i="2" s="1"/>
  <c r="AD495" i="2" a="1"/>
  <c r="AD495" i="2" s="1"/>
  <c r="AC495" i="2" a="1"/>
  <c r="AC495" i="2" s="1"/>
  <c r="W495" i="2" a="1"/>
  <c r="W495" i="2" s="1"/>
  <c r="Z495" i="2" a="1"/>
  <c r="Z495" i="2" s="1"/>
  <c r="AD498" i="2" a="1"/>
  <c r="AD498" i="2" s="1"/>
  <c r="X498" i="2" a="1"/>
  <c r="X498" i="2" s="1"/>
  <c r="AB498" i="2" a="1"/>
  <c r="AB498" i="2" s="1"/>
  <c r="V498" i="2" a="1"/>
  <c r="V498" i="2" s="1"/>
  <c r="AF498" i="2" a="1"/>
  <c r="AF498" i="2" s="1"/>
  <c r="Z498" i="2" a="1"/>
  <c r="Z498" i="2" s="1"/>
  <c r="T498" i="2" a="1"/>
  <c r="T498" i="2" s="1"/>
  <c r="S498" i="2" a="1"/>
  <c r="S498" i="2" s="1"/>
  <c r="AE498" i="2" a="1"/>
  <c r="AE498" i="2" s="1"/>
  <c r="Y498" i="2" a="1"/>
  <c r="Y498" i="2" s="1"/>
  <c r="AC498" i="2" a="1"/>
  <c r="AC498" i="2" s="1"/>
  <c r="W498" i="2" a="1"/>
  <c r="W498" i="2" s="1"/>
  <c r="E327" i="12" a="1"/>
  <c r="E327" i="12" s="1"/>
  <c r="S500" i="2" a="1"/>
  <c r="S500" i="2" s="1"/>
  <c r="B145" i="7" a="1"/>
  <c r="B145" i="7" s="1"/>
  <c r="B133" i="6" a="1"/>
  <c r="B133" i="6" s="1"/>
  <c r="B253" i="4" a="1"/>
  <c r="B253" i="4" s="1"/>
  <c r="U572" i="12" a="1"/>
  <c r="U572" i="12" s="1"/>
  <c r="AO507" i="2" a="1"/>
  <c r="AO507" i="2" s="1"/>
  <c r="AQ507" i="2" s="1" a="1"/>
  <c r="AQ507" i="2" s="1"/>
  <c r="AK510" i="2" a="1"/>
  <c r="AK510" i="2" s="1"/>
  <c r="E306" i="12" a="1"/>
  <c r="E306" i="12" s="1"/>
  <c r="U344" i="12" a="1"/>
  <c r="U344" i="12" s="1"/>
  <c r="U307" i="12" a="1"/>
  <c r="U307" i="12" s="1"/>
  <c r="B57" i="9" a="1"/>
  <c r="B57" i="9" s="1"/>
  <c r="AR525" i="2" a="1"/>
  <c r="AR525" i="2" s="1"/>
  <c r="W610" i="12" a="1"/>
  <c r="W610" i="12" s="1"/>
  <c r="AK527" i="2" a="1"/>
  <c r="AK527" i="2" s="1"/>
  <c r="AO527" i="2" a="1"/>
  <c r="AO527" i="2" s="1"/>
  <c r="AQ527" i="2" s="1" a="1"/>
  <c r="AQ527" i="2" s="1"/>
  <c r="AN527" i="2" a="1"/>
  <c r="AN527" i="2" s="1"/>
  <c r="AM527" i="2" a="1"/>
  <c r="AM527" i="2" s="1"/>
  <c r="B151" i="7" a="1"/>
  <c r="B151" i="7" s="1"/>
  <c r="B272" i="4" a="1"/>
  <c r="B272" i="4" s="1"/>
  <c r="U288" i="12" a="1"/>
  <c r="U288" i="12" s="1"/>
  <c r="AE543" i="2" a="1"/>
  <c r="AE543" i="2" s="1"/>
  <c r="T543" i="2" a="1"/>
  <c r="T543" i="2" s="1"/>
  <c r="AD543" i="2" a="1"/>
  <c r="AD543" i="2" s="1"/>
  <c r="X543" i="2" a="1"/>
  <c r="X543" i="2" s="1"/>
  <c r="AB543" i="2" a="1"/>
  <c r="AB543" i="2" s="1"/>
  <c r="AA543" i="2" a="1"/>
  <c r="AA543" i="2" s="1"/>
  <c r="AG543" i="2" a="1"/>
  <c r="AG543" i="2" s="1"/>
  <c r="S543" i="2" a="1"/>
  <c r="S543" i="2" s="1"/>
  <c r="Z543" i="2" a="1"/>
  <c r="Z543" i="2" s="1"/>
  <c r="AF543" i="2" a="1"/>
  <c r="AF543" i="2" s="1"/>
  <c r="Y543" i="2" a="1"/>
  <c r="Y543" i="2" s="1"/>
  <c r="W543" i="2" a="1"/>
  <c r="W543" i="2" s="1"/>
  <c r="AC543" i="2" a="1"/>
  <c r="AC543" i="2" s="1"/>
  <c r="V543" i="2" a="1"/>
  <c r="V543" i="2" s="1"/>
  <c r="U359" i="12" a="1"/>
  <c r="U359" i="12" s="1"/>
  <c r="AE548" i="2" a="1"/>
  <c r="AE548" i="2" s="1"/>
  <c r="T548" i="2" a="1"/>
  <c r="T548" i="2" s="1"/>
  <c r="AD548" i="2" a="1"/>
  <c r="AD548" i="2" s="1"/>
  <c r="X548" i="2" a="1"/>
  <c r="X548" i="2" s="1"/>
  <c r="AB548" i="2" a="1"/>
  <c r="AB548" i="2" s="1"/>
  <c r="AA548" i="2" a="1"/>
  <c r="AA548" i="2" s="1"/>
  <c r="AG548" i="2" a="1"/>
  <c r="AG548" i="2" s="1"/>
  <c r="S548" i="2" a="1"/>
  <c r="S548" i="2" s="1"/>
  <c r="Z548" i="2" a="1"/>
  <c r="Z548" i="2" s="1"/>
  <c r="AF548" i="2" a="1"/>
  <c r="AF548" i="2" s="1"/>
  <c r="Y548" i="2" a="1"/>
  <c r="Y548" i="2" s="1"/>
  <c r="W548" i="2" a="1"/>
  <c r="W548" i="2" s="1"/>
  <c r="AC548" i="2" a="1"/>
  <c r="AC548" i="2" s="1"/>
  <c r="V548" i="2" a="1"/>
  <c r="V548" i="2" s="1"/>
  <c r="D163" i="7" a="1"/>
  <c r="D163" i="7" s="1"/>
  <c r="D162" i="5" a="1"/>
  <c r="D162" i="5" s="1"/>
  <c r="D302" i="4" a="1"/>
  <c r="D302" i="4" s="1"/>
  <c r="E361" i="12" a="1"/>
  <c r="E361" i="12" s="1"/>
  <c r="AF570" i="2" a="1"/>
  <c r="AF570" i="2" s="1"/>
  <c r="AE570" i="2" a="1"/>
  <c r="AE570" i="2" s="1"/>
  <c r="T570" i="2" a="1"/>
  <c r="T570" i="2" s="1"/>
  <c r="Y570" i="2" a="1"/>
  <c r="Y570" i="2" s="1"/>
  <c r="S570" i="2" a="1"/>
  <c r="S570" i="2" s="1"/>
  <c r="AA570" i="2" a="1"/>
  <c r="AA570" i="2" s="1"/>
  <c r="Z570" i="2" a="1"/>
  <c r="Z570" i="2" s="1"/>
  <c r="AG570" i="2" a="1"/>
  <c r="AG570" i="2" s="1"/>
  <c r="X570" i="2" a="1"/>
  <c r="X570" i="2" s="1"/>
  <c r="W570" i="2" a="1"/>
  <c r="W570" i="2" s="1"/>
  <c r="AD570" i="2" a="1"/>
  <c r="AD570" i="2" s="1"/>
  <c r="AC570" i="2" a="1"/>
  <c r="AC570" i="2" s="1"/>
  <c r="V570" i="2" a="1"/>
  <c r="V570" i="2" s="1"/>
  <c r="AB570" i="2" a="1"/>
  <c r="AB570" i="2" s="1"/>
  <c r="D173" i="5" a="1"/>
  <c r="D173" i="5" s="1"/>
  <c r="D324" i="4" a="1"/>
  <c r="D324" i="4" s="1"/>
  <c r="AG588" i="2" a="1"/>
  <c r="AG588" i="2" s="1"/>
  <c r="AA588" i="2" a="1"/>
  <c r="AA588" i="2" s="1"/>
  <c r="AF588" i="2" a="1"/>
  <c r="AF588" i="2" s="1"/>
  <c r="AE588" i="2" a="1"/>
  <c r="AE588" i="2" s="1"/>
  <c r="T588" i="2" a="1"/>
  <c r="T588" i="2" s="1"/>
  <c r="Y588" i="2" a="1"/>
  <c r="Y588" i="2" s="1"/>
  <c r="X588" i="2" a="1"/>
  <c r="X588" i="2" s="1"/>
  <c r="W588" i="2" a="1"/>
  <c r="W588" i="2" s="1"/>
  <c r="V588" i="2" a="1"/>
  <c r="V588" i="2" s="1"/>
  <c r="AD588" i="2" a="1"/>
  <c r="AD588" i="2" s="1"/>
  <c r="S588" i="2" a="1"/>
  <c r="S588" i="2" s="1"/>
  <c r="AC588" i="2" a="1"/>
  <c r="AC588" i="2" s="1"/>
  <c r="AB588" i="2" a="1"/>
  <c r="AB588" i="2" s="1"/>
  <c r="Z588" i="2" a="1"/>
  <c r="Z588" i="2" s="1"/>
  <c r="AF471" i="2" a="1"/>
  <c r="AF471" i="2" s="1"/>
  <c r="AD471" i="2" a="1"/>
  <c r="AD471" i="2" s="1"/>
  <c r="S471" i="2" a="1"/>
  <c r="S471" i="2" s="1"/>
  <c r="W471" i="2" a="1"/>
  <c r="W471" i="2" s="1"/>
  <c r="AF476" i="2" a="1"/>
  <c r="AF476" i="2" s="1"/>
  <c r="AD476" i="2" a="1"/>
  <c r="AD476" i="2" s="1"/>
  <c r="S476" i="2" a="1"/>
  <c r="S476" i="2" s="1"/>
  <c r="W476" i="2" a="1"/>
  <c r="W476" i="2" s="1"/>
  <c r="E252" i="12" a="1"/>
  <c r="E252" i="12" s="1"/>
  <c r="U252" i="12" a="1"/>
  <c r="U252" i="12" s="1"/>
  <c r="E575" i="12" a="1"/>
  <c r="E575" i="12" s="1"/>
  <c r="U575" i="12" a="1"/>
  <c r="U575" i="12" s="1"/>
  <c r="AQ485" i="2" a="1"/>
  <c r="AQ485" i="2" s="1"/>
  <c r="E313" i="12" a="1"/>
  <c r="E313" i="12" s="1"/>
  <c r="D127" i="6" a="1"/>
  <c r="D127" i="6" s="1"/>
  <c r="D140" i="7" a="1"/>
  <c r="D140" i="7" s="1"/>
  <c r="D120" i="5" a="1"/>
  <c r="D120" i="5" s="1"/>
  <c r="D241" i="4" a="1"/>
  <c r="D241" i="4" s="1"/>
  <c r="U350" i="12" a="1"/>
  <c r="U350" i="12" s="1"/>
  <c r="U242" i="12" a="1"/>
  <c r="U242" i="12" s="1"/>
  <c r="D129" i="6" a="1"/>
  <c r="D129" i="6" s="1"/>
  <c r="D143" i="7" a="1"/>
  <c r="D143" i="7" s="1"/>
  <c r="D248" i="4" a="1"/>
  <c r="D248" i="4" s="1"/>
  <c r="W496" i="2" a="1"/>
  <c r="W496" i="2" s="1"/>
  <c r="AG496" i="2" a="1"/>
  <c r="AG496" i="2" s="1"/>
  <c r="AA496" i="2" a="1"/>
  <c r="AA496" i="2" s="1"/>
  <c r="S496" i="2" a="1"/>
  <c r="S496" i="2" s="1"/>
  <c r="AE496" i="2" a="1"/>
  <c r="AE496" i="2" s="1"/>
  <c r="Y496" i="2" a="1"/>
  <c r="Y496" i="2" s="1"/>
  <c r="X496" i="2" a="1"/>
  <c r="X496" i="2" s="1"/>
  <c r="AB496" i="2" a="1"/>
  <c r="AB496" i="2" s="1"/>
  <c r="D130" i="6" a="1"/>
  <c r="D130" i="6" s="1"/>
  <c r="D144" i="7" a="1"/>
  <c r="D144" i="7" s="1"/>
  <c r="D126" i="5" a="1"/>
  <c r="D126" i="5" s="1"/>
  <c r="D249" i="4" a="1"/>
  <c r="D249" i="4" s="1"/>
  <c r="AF497" i="2" a="1"/>
  <c r="AF497" i="2" s="1"/>
  <c r="AG497" i="2" a="1"/>
  <c r="AG497" i="2" s="1"/>
  <c r="AA497" i="2" a="1"/>
  <c r="AA497" i="2" s="1"/>
  <c r="AE497" i="2" a="1"/>
  <c r="AE497" i="2" s="1"/>
  <c r="Y497" i="2" a="1"/>
  <c r="Y497" i="2" s="1"/>
  <c r="X497" i="2" a="1"/>
  <c r="X497" i="2" s="1"/>
  <c r="AD497" i="2" a="1"/>
  <c r="AD497" i="2" s="1"/>
  <c r="Z497" i="2" a="1"/>
  <c r="Z497" i="2" s="1"/>
  <c r="AR507" i="2" a="1"/>
  <c r="AR507" i="2" s="1"/>
  <c r="T512" i="2" a="1"/>
  <c r="T512" i="2" s="1"/>
  <c r="AE512" i="2" a="1"/>
  <c r="AE512" i="2" s="1"/>
  <c r="S512" i="2" a="1"/>
  <c r="S512" i="2" s="1"/>
  <c r="B136" i="6" a="1"/>
  <c r="B136" i="6" s="1"/>
  <c r="B131" i="5" a="1"/>
  <c r="B131" i="5" s="1"/>
  <c r="B256" i="4" a="1"/>
  <c r="B256" i="4" s="1"/>
  <c r="AA524" i="2" a="1"/>
  <c r="AA524" i="2" s="1"/>
  <c r="AD524" i="2" a="1"/>
  <c r="AD524" i="2" s="1"/>
  <c r="X524" i="2" a="1"/>
  <c r="X524" i="2" s="1"/>
  <c r="AB524" i="2" a="1"/>
  <c r="AB524" i="2" s="1"/>
  <c r="V524" i="2" a="1"/>
  <c r="V524" i="2" s="1"/>
  <c r="AG524" i="2" a="1"/>
  <c r="AG524" i="2" s="1"/>
  <c r="Z524" i="2" a="1"/>
  <c r="Z524" i="2" s="1"/>
  <c r="T524" i="2" a="1"/>
  <c r="T524" i="2" s="1"/>
  <c r="AF524" i="2" a="1"/>
  <c r="AF524" i="2" s="1"/>
  <c r="AE524" i="2" a="1"/>
  <c r="AE524" i="2" s="1"/>
  <c r="Y524" i="2" a="1"/>
  <c r="Y524" i="2" s="1"/>
  <c r="S524" i="2" a="1"/>
  <c r="S524" i="2" s="1"/>
  <c r="B60" i="9" a="1"/>
  <c r="B60" i="9" s="1"/>
  <c r="AR527" i="2" a="1"/>
  <c r="AR527" i="2" s="1"/>
  <c r="W622" i="12" a="1"/>
  <c r="W622" i="12" s="1"/>
  <c r="AP537" i="2" a="1"/>
  <c r="AP537" i="2" s="1"/>
  <c r="AN537" i="2" a="1"/>
  <c r="AN537" i="2" s="1"/>
  <c r="AM537" i="2" a="1"/>
  <c r="AM537" i="2" s="1"/>
  <c r="AK537" i="2" a="1"/>
  <c r="AK537" i="2" s="1"/>
  <c r="AO537" i="2" a="1"/>
  <c r="AO537" i="2" s="1"/>
  <c r="U300" i="12" a="1"/>
  <c r="U300" i="12" s="1"/>
  <c r="AE553" i="2" a="1"/>
  <c r="AE553" i="2" s="1"/>
  <c r="T553" i="2" a="1"/>
  <c r="T553" i="2" s="1"/>
  <c r="AD553" i="2" a="1"/>
  <c r="AD553" i="2" s="1"/>
  <c r="X553" i="2" a="1"/>
  <c r="X553" i="2" s="1"/>
  <c r="AB553" i="2" a="1"/>
  <c r="AB553" i="2" s="1"/>
  <c r="AA553" i="2" a="1"/>
  <c r="AA553" i="2" s="1"/>
  <c r="AG553" i="2" a="1"/>
  <c r="AG553" i="2" s="1"/>
  <c r="S553" i="2" a="1"/>
  <c r="S553" i="2" s="1"/>
  <c r="Z553" i="2" a="1"/>
  <c r="Z553" i="2" s="1"/>
  <c r="AF553" i="2" a="1"/>
  <c r="AF553" i="2" s="1"/>
  <c r="Y553" i="2" a="1"/>
  <c r="Y553" i="2" s="1"/>
  <c r="W553" i="2" a="1"/>
  <c r="W553" i="2" s="1"/>
  <c r="AC553" i="2" a="1"/>
  <c r="AC553" i="2" s="1"/>
  <c r="V553" i="2" a="1"/>
  <c r="V553" i="2" s="1"/>
  <c r="U361" i="12" a="1"/>
  <c r="U361" i="12" s="1"/>
  <c r="U390" i="12" a="1"/>
  <c r="U390" i="12" s="1"/>
  <c r="AA579" i="2" a="1"/>
  <c r="AA579" i="2" s="1"/>
  <c r="AF579" i="2" a="1"/>
  <c r="AF579" i="2" s="1"/>
  <c r="AE579" i="2" a="1"/>
  <c r="AE579" i="2" s="1"/>
  <c r="T579" i="2" a="1"/>
  <c r="T579" i="2" s="1"/>
  <c r="Y579" i="2" a="1"/>
  <c r="Y579" i="2" s="1"/>
  <c r="X579" i="2" a="1"/>
  <c r="X579" i="2" s="1"/>
  <c r="AD579" i="2" a="1"/>
  <c r="AD579" i="2" s="1"/>
  <c r="S579" i="2" a="1"/>
  <c r="S579" i="2" s="1"/>
  <c r="AC579" i="2" a="1"/>
  <c r="AC579" i="2" s="1"/>
  <c r="AB579" i="2" a="1"/>
  <c r="AB579" i="2" s="1"/>
  <c r="Z579" i="2" a="1"/>
  <c r="Z579" i="2" s="1"/>
  <c r="W579" i="2" a="1"/>
  <c r="W579" i="2" s="1"/>
  <c r="AG579" i="2" a="1"/>
  <c r="AG579" i="2" s="1"/>
  <c r="V579" i="2" a="1"/>
  <c r="V579" i="2" s="1"/>
  <c r="U301" i="12" a="1"/>
  <c r="U301" i="12" s="1"/>
  <c r="X471" i="2" a="1"/>
  <c r="X471" i="2" s="1"/>
  <c r="AE471" i="2" a="1"/>
  <c r="AE471" i="2" s="1"/>
  <c r="D133" i="7" a="1"/>
  <c r="D133" i="7" s="1"/>
  <c r="D231" i="4" a="1"/>
  <c r="D231" i="4" s="1"/>
  <c r="B121" i="6" a="1"/>
  <c r="B121" i="6" s="1"/>
  <c r="B134" i="7" a="1"/>
  <c r="B134" i="7" s="1"/>
  <c r="B233" i="4" a="1"/>
  <c r="B233" i="4" s="1"/>
  <c r="U247" i="12" a="1"/>
  <c r="U247" i="12" s="1"/>
  <c r="X476" i="2" a="1"/>
  <c r="X476" i="2" s="1"/>
  <c r="AE476" i="2" a="1"/>
  <c r="AE476" i="2" s="1"/>
  <c r="D124" i="5" a="1"/>
  <c r="D124" i="5" s="1"/>
  <c r="D246" i="4" a="1"/>
  <c r="D246" i="4" s="1"/>
  <c r="B124" i="6" a="1"/>
  <c r="B124" i="6" s="1"/>
  <c r="B137" i="7" a="1"/>
  <c r="B137" i="7" s="1"/>
  <c r="B236" i="4" a="1"/>
  <c r="B236" i="4" s="1"/>
  <c r="AC484" i="2" a="1"/>
  <c r="AC484" i="2" s="1"/>
  <c r="AF484" i="2" a="1"/>
  <c r="AF484" i="2" s="1"/>
  <c r="Z484" i="2" a="1"/>
  <c r="Z484" i="2" s="1"/>
  <c r="X484" i="2" a="1"/>
  <c r="X484" i="2" s="1"/>
  <c r="AE484" i="2" a="1"/>
  <c r="AE484" i="2" s="1"/>
  <c r="E576" i="12" a="1"/>
  <c r="E576" i="12" s="1"/>
  <c r="AC496" i="2" a="1"/>
  <c r="AC496" i="2" s="1"/>
  <c r="AB497" i="2" a="1"/>
  <c r="AB497" i="2" s="1"/>
  <c r="E574" i="12" a="1"/>
  <c r="E574" i="12" s="1"/>
  <c r="AF502" i="2" a="1"/>
  <c r="AF502" i="2" s="1"/>
  <c r="X502" i="2" a="1"/>
  <c r="X502" i="2" s="1"/>
  <c r="AD502" i="2" a="1"/>
  <c r="AD502" i="2" s="1"/>
  <c r="AB502" i="2" a="1"/>
  <c r="AB502" i="2" s="1"/>
  <c r="V502" i="2" a="1"/>
  <c r="V502" i="2" s="1"/>
  <c r="AG502" i="2" a="1"/>
  <c r="AG502" i="2" s="1"/>
  <c r="AA502" i="2" a="1"/>
  <c r="AA502" i="2" s="1"/>
  <c r="S502" i="2" a="1"/>
  <c r="S502" i="2" s="1"/>
  <c r="AD503" i="2" a="1"/>
  <c r="AD503" i="2" s="1"/>
  <c r="X503" i="2" a="1"/>
  <c r="X503" i="2" s="1"/>
  <c r="S503" i="2" a="1"/>
  <c r="S503" i="2" s="1"/>
  <c r="AE503" i="2" a="1"/>
  <c r="AE503" i="2" s="1"/>
  <c r="Y503" i="2" a="1"/>
  <c r="Y503" i="2" s="1"/>
  <c r="AB503" i="2" a="1"/>
  <c r="AB503" i="2" s="1"/>
  <c r="V503" i="2" a="1"/>
  <c r="V503" i="2" s="1"/>
  <c r="W506" i="2" a="1"/>
  <c r="W506" i="2" s="1"/>
  <c r="AG506" i="2" a="1"/>
  <c r="AG506" i="2" s="1"/>
  <c r="AA506" i="2" a="1"/>
  <c r="AA506" i="2" s="1"/>
  <c r="S506" i="2" a="1"/>
  <c r="S506" i="2" s="1"/>
  <c r="AE506" i="2" a="1"/>
  <c r="AE506" i="2" s="1"/>
  <c r="Y506" i="2" a="1"/>
  <c r="Y506" i="2" s="1"/>
  <c r="X506" i="2" a="1"/>
  <c r="X506" i="2" s="1"/>
  <c r="AC506" i="2" a="1"/>
  <c r="AC506" i="2" s="1"/>
  <c r="AF506" i="2" a="1"/>
  <c r="AF506" i="2" s="1"/>
  <c r="D137" i="6" a="1"/>
  <c r="D137" i="6" s="1"/>
  <c r="D146" i="7" a="1"/>
  <c r="D146" i="7" s="1"/>
  <c r="D257" i="4" a="1"/>
  <c r="D257" i="4" s="1"/>
  <c r="B132" i="6" a="1"/>
  <c r="B132" i="6" s="1"/>
  <c r="B128" i="5" a="1"/>
  <c r="B128" i="5" s="1"/>
  <c r="B252" i="4" a="1"/>
  <c r="B252" i="4" s="1"/>
  <c r="AE513" i="2" a="1"/>
  <c r="AE513" i="2" s="1"/>
  <c r="T513" i="2" a="1"/>
  <c r="T513" i="2" s="1"/>
  <c r="AD513" i="2" a="1"/>
  <c r="AD513" i="2" s="1"/>
  <c r="X513" i="2" a="1"/>
  <c r="X513" i="2" s="1"/>
  <c r="AB513" i="2" a="1"/>
  <c r="AB513" i="2" s="1"/>
  <c r="AA513" i="2" a="1"/>
  <c r="AA513" i="2" s="1"/>
  <c r="AG513" i="2" a="1"/>
  <c r="AG513" i="2" s="1"/>
  <c r="Y513" i="2" a="1"/>
  <c r="Y513" i="2" s="1"/>
  <c r="S513" i="2" a="1"/>
  <c r="S513" i="2" s="1"/>
  <c r="AC513" i="2" a="1"/>
  <c r="AC513" i="2" s="1"/>
  <c r="AF515" i="2" a="1"/>
  <c r="AF515" i="2" s="1"/>
  <c r="AD515" i="2" a="1"/>
  <c r="AD515" i="2" s="1"/>
  <c r="X515" i="2" a="1"/>
  <c r="X515" i="2" s="1"/>
  <c r="V515" i="2" a="1"/>
  <c r="V515" i="2" s="1"/>
  <c r="AB515" i="2" a="1"/>
  <c r="AB515" i="2" s="1"/>
  <c r="AA515" i="2" a="1"/>
  <c r="AA515" i="2" s="1"/>
  <c r="AD516" i="2" a="1"/>
  <c r="AD516" i="2" s="1"/>
  <c r="S516" i="2" a="1"/>
  <c r="S516" i="2" s="1"/>
  <c r="AE516" i="2" a="1"/>
  <c r="AE516" i="2" s="1"/>
  <c r="Y516" i="2" a="1"/>
  <c r="Y516" i="2" s="1"/>
  <c r="X516" i="2" a="1"/>
  <c r="X516" i="2" s="1"/>
  <c r="V516" i="2" a="1"/>
  <c r="V516" i="2" s="1"/>
  <c r="AB516" i="2" a="1"/>
  <c r="AB516" i="2" s="1"/>
  <c r="AA516" i="2" a="1"/>
  <c r="AA516" i="2" s="1"/>
  <c r="AF516" i="2" a="1"/>
  <c r="AF516" i="2" s="1"/>
  <c r="Z516" i="2" a="1"/>
  <c r="Z516" i="2" s="1"/>
  <c r="T516" i="2" a="1"/>
  <c r="T516" i="2" s="1"/>
  <c r="U411" i="12" a="1"/>
  <c r="U411" i="12" s="1"/>
  <c r="AE558" i="2" a="1"/>
  <c r="AE558" i="2" s="1"/>
  <c r="T558" i="2" a="1"/>
  <c r="T558" i="2" s="1"/>
  <c r="AD558" i="2" a="1"/>
  <c r="AD558" i="2" s="1"/>
  <c r="X558" i="2" a="1"/>
  <c r="X558" i="2" s="1"/>
  <c r="AB558" i="2" a="1"/>
  <c r="AB558" i="2" s="1"/>
  <c r="AA558" i="2" a="1"/>
  <c r="AA558" i="2" s="1"/>
  <c r="AG558" i="2" a="1"/>
  <c r="AG558" i="2" s="1"/>
  <c r="S558" i="2" a="1"/>
  <c r="S558" i="2" s="1"/>
  <c r="Z558" i="2" a="1"/>
  <c r="Z558" i="2" s="1"/>
  <c r="AF558" i="2" a="1"/>
  <c r="AF558" i="2" s="1"/>
  <c r="Y558" i="2" a="1"/>
  <c r="Y558" i="2" s="1"/>
  <c r="W558" i="2" a="1"/>
  <c r="W558" i="2" s="1"/>
  <c r="AC558" i="2" a="1"/>
  <c r="AC558" i="2" s="1"/>
  <c r="V558" i="2" a="1"/>
  <c r="V558" i="2" s="1"/>
  <c r="B166" i="7" a="1"/>
  <c r="B166" i="7" s="1"/>
  <c r="B165" i="6" a="1"/>
  <c r="B165" i="6" s="1"/>
  <c r="B166" i="5" a="1"/>
  <c r="B166" i="5" s="1"/>
  <c r="B310" i="4" a="1"/>
  <c r="B310" i="4" s="1"/>
  <c r="B163" i="6" a="1"/>
  <c r="B163" i="6" s="1"/>
  <c r="B306" i="4" a="1"/>
  <c r="B306" i="4" s="1"/>
  <c r="AG583" i="2" a="1"/>
  <c r="AG583" i="2" s="1"/>
  <c r="AA583" i="2" a="1"/>
  <c r="AA583" i="2" s="1"/>
  <c r="AF583" i="2" a="1"/>
  <c r="AF583" i="2" s="1"/>
  <c r="AE583" i="2" a="1"/>
  <c r="AE583" i="2" s="1"/>
  <c r="T583" i="2" a="1"/>
  <c r="T583" i="2" s="1"/>
  <c r="Y583" i="2" a="1"/>
  <c r="Y583" i="2" s="1"/>
  <c r="X583" i="2" a="1"/>
  <c r="X583" i="2" s="1"/>
  <c r="W583" i="2" a="1"/>
  <c r="W583" i="2" s="1"/>
  <c r="V583" i="2" a="1"/>
  <c r="V583" i="2" s="1"/>
  <c r="AD583" i="2" a="1"/>
  <c r="AD583" i="2" s="1"/>
  <c r="S583" i="2" a="1"/>
  <c r="S583" i="2" s="1"/>
  <c r="AC583" i="2" a="1"/>
  <c r="AC583" i="2" s="1"/>
  <c r="AB583" i="2" a="1"/>
  <c r="AB583" i="2" s="1"/>
  <c r="Z583" i="2" a="1"/>
  <c r="Z583" i="2" s="1"/>
  <c r="U413" i="12" a="1"/>
  <c r="U413" i="12" s="1"/>
  <c r="U254" i="12" a="1"/>
  <c r="U254" i="12" s="1"/>
  <c r="U158" i="12" a="1"/>
  <c r="U158" i="12" s="1"/>
  <c r="Y471" i="2" a="1"/>
  <c r="Y471" i="2" s="1"/>
  <c r="U329" i="12" a="1"/>
  <c r="U329" i="12" s="1"/>
  <c r="Y476" i="2" a="1"/>
  <c r="Y476" i="2" s="1"/>
  <c r="U334" i="12" a="1"/>
  <c r="U334" i="12" s="1"/>
  <c r="W664" i="12" a="1"/>
  <c r="W664" i="12" s="1"/>
  <c r="AM479" i="2" a="1"/>
  <c r="AM479" i="2" s="1"/>
  <c r="AP479" i="2" a="1"/>
  <c r="AP479" i="2" s="1"/>
  <c r="B138" i="7" a="1"/>
  <c r="B138" i="7" s="1"/>
  <c r="B125" i="6" a="1"/>
  <c r="B125" i="6" s="1"/>
  <c r="B117" i="5" a="1"/>
  <c r="B117" i="5" s="1"/>
  <c r="B237" i="4" a="1"/>
  <c r="B237" i="4" s="1"/>
  <c r="U605" i="12" a="1"/>
  <c r="U605" i="12" s="1"/>
  <c r="AG484" i="2" a="1"/>
  <c r="AG484" i="2" s="1"/>
  <c r="W626" i="12" a="1"/>
  <c r="W626" i="12" s="1"/>
  <c r="AN485" i="2" a="1"/>
  <c r="AN485" i="2" s="1"/>
  <c r="AR485" i="2" a="1"/>
  <c r="AR485" i="2" s="1"/>
  <c r="U576" i="12" a="1"/>
  <c r="U576" i="12" s="1"/>
  <c r="AR489" i="2" a="1"/>
  <c r="AR489" i="2" s="1"/>
  <c r="AC491" i="2" a="1"/>
  <c r="AC491" i="2" s="1"/>
  <c r="W491" i="2" a="1"/>
  <c r="W491" i="2" s="1"/>
  <c r="AA491" i="2" a="1"/>
  <c r="AA491" i="2" s="1"/>
  <c r="AF491" i="2" a="1"/>
  <c r="AF491" i="2" s="1"/>
  <c r="Z491" i="2" a="1"/>
  <c r="Z491" i="2" s="1"/>
  <c r="Y491" i="2" a="1"/>
  <c r="Y491" i="2" s="1"/>
  <c r="B141" i="7" a="1"/>
  <c r="B141" i="7" s="1"/>
  <c r="B121" i="5" a="1"/>
  <c r="B121" i="5" s="1"/>
  <c r="B242" i="4" a="1"/>
  <c r="B242" i="4" s="1"/>
  <c r="AD496" i="2" a="1"/>
  <c r="AD496" i="2" s="1"/>
  <c r="D145" i="7" a="1"/>
  <c r="D145" i="7" s="1"/>
  <c r="D133" i="6" a="1"/>
  <c r="D133" i="6" s="1"/>
  <c r="D253" i="4" a="1"/>
  <c r="D253" i="4" s="1"/>
  <c r="AC502" i="2" a="1"/>
  <c r="AC502" i="2" s="1"/>
  <c r="E343" i="12" a="1"/>
  <c r="E343" i="12" s="1"/>
  <c r="AF503" i="2" a="1"/>
  <c r="AF503" i="2" s="1"/>
  <c r="D138" i="5" a="1"/>
  <c r="D138" i="5" s="1"/>
  <c r="D266" i="4" a="1"/>
  <c r="D266" i="4" s="1"/>
  <c r="AE509" i="2" a="1"/>
  <c r="AE509" i="2" s="1"/>
  <c r="T509" i="2" a="1"/>
  <c r="T509" i="2" s="1"/>
  <c r="Y509" i="2" a="1"/>
  <c r="Y509" i="2" s="1"/>
  <c r="S509" i="2" a="1"/>
  <c r="S509" i="2" s="1"/>
  <c r="AC509" i="2" a="1"/>
  <c r="AC509" i="2" s="1"/>
  <c r="AB509" i="2" a="1"/>
  <c r="AB509" i="2" s="1"/>
  <c r="V509" i="2" a="1"/>
  <c r="V509" i="2" s="1"/>
  <c r="AD509" i="2" a="1"/>
  <c r="AD509" i="2" s="1"/>
  <c r="AC514" i="2" a="1"/>
  <c r="AC514" i="2" s="1"/>
  <c r="AD514" i="2" a="1"/>
  <c r="AD514" i="2" s="1"/>
  <c r="X514" i="2" a="1"/>
  <c r="X514" i="2" s="1"/>
  <c r="AB514" i="2" a="1"/>
  <c r="AB514" i="2" s="1"/>
  <c r="AA514" i="2" a="1"/>
  <c r="AA514" i="2" s="1"/>
  <c r="AG514" i="2" a="1"/>
  <c r="AG514" i="2" s="1"/>
  <c r="AE515" i="2" a="1"/>
  <c r="AE515" i="2" s="1"/>
  <c r="U338" i="12" a="1"/>
  <c r="U338" i="12" s="1"/>
  <c r="U340" i="12" a="1"/>
  <c r="U340" i="12" s="1"/>
  <c r="AE563" i="2" a="1"/>
  <c r="AE563" i="2" s="1"/>
  <c r="T563" i="2" a="1"/>
  <c r="T563" i="2" s="1"/>
  <c r="AD563" i="2" a="1"/>
  <c r="AD563" i="2" s="1"/>
  <c r="X563" i="2" a="1"/>
  <c r="X563" i="2" s="1"/>
  <c r="AB563" i="2" a="1"/>
  <c r="AB563" i="2" s="1"/>
  <c r="AA563" i="2" a="1"/>
  <c r="AA563" i="2" s="1"/>
  <c r="AG563" i="2" a="1"/>
  <c r="AG563" i="2" s="1"/>
  <c r="S563" i="2" a="1"/>
  <c r="S563" i="2" s="1"/>
  <c r="Z563" i="2" a="1"/>
  <c r="Z563" i="2" s="1"/>
  <c r="AF563" i="2" a="1"/>
  <c r="AF563" i="2" s="1"/>
  <c r="Y563" i="2" a="1"/>
  <c r="Y563" i="2" s="1"/>
  <c r="W563" i="2" a="1"/>
  <c r="W563" i="2" s="1"/>
  <c r="AC563" i="2" a="1"/>
  <c r="AC563" i="2" s="1"/>
  <c r="V563" i="2" a="1"/>
  <c r="V563" i="2" s="1"/>
  <c r="V581" i="2" a="1"/>
  <c r="V581" i="2" s="1"/>
  <c r="AC581" i="2" a="1"/>
  <c r="AC581" i="2" s="1"/>
  <c r="U587" i="2" a="1"/>
  <c r="U587" i="2" s="1"/>
  <c r="W629" i="12" a="1"/>
  <c r="W629" i="12" s="1"/>
  <c r="AO385" i="2" a="1"/>
  <c r="AO385" i="2" s="1"/>
  <c r="E187" i="12" a="1"/>
  <c r="E187" i="12" s="1"/>
  <c r="W668" i="12" a="1"/>
  <c r="W668" i="12" s="1"/>
  <c r="AO389" i="2" a="1"/>
  <c r="AO389" i="2" s="1"/>
  <c r="E499" i="12" a="1"/>
  <c r="E499" i="12" s="1"/>
  <c r="B93" i="6" a="1"/>
  <c r="B93" i="6" s="1"/>
  <c r="B105" i="7" a="1"/>
  <c r="B105" i="7" s="1"/>
  <c r="B184" i="4" a="1"/>
  <c r="B184" i="4" s="1"/>
  <c r="B92" i="5" a="1"/>
  <c r="B92" i="5" s="1"/>
  <c r="V393" i="2" a="1"/>
  <c r="V393" i="2" s="1"/>
  <c r="AB393" i="2" a="1"/>
  <c r="AB393" i="2" s="1"/>
  <c r="U246" i="12" a="1"/>
  <c r="U246" i="12" s="1"/>
  <c r="E564" i="12" a="1"/>
  <c r="E564" i="12" s="1"/>
  <c r="V398" i="2" a="1"/>
  <c r="V398" i="2" s="1"/>
  <c r="AB398" i="2" a="1"/>
  <c r="AB398" i="2" s="1"/>
  <c r="U457" i="12" a="1"/>
  <c r="U457" i="12" s="1"/>
  <c r="E475" i="12" a="1"/>
  <c r="E475" i="12" s="1"/>
  <c r="D109" i="7" a="1"/>
  <c r="D109" i="7" s="1"/>
  <c r="D190" i="4" a="1"/>
  <c r="D190" i="4" s="1"/>
  <c r="B110" i="7" a="1"/>
  <c r="B110" i="7" s="1"/>
  <c r="B98" i="6" a="1"/>
  <c r="B98" i="6" s="1"/>
  <c r="B191" i="4" a="1"/>
  <c r="B191" i="4" s="1"/>
  <c r="V403" i="2" a="1"/>
  <c r="V403" i="2" s="1"/>
  <c r="AB403" i="2" a="1"/>
  <c r="AB403" i="2" s="1"/>
  <c r="U214" i="12" a="1"/>
  <c r="U214" i="12" s="1"/>
  <c r="B102" i="5" a="1"/>
  <c r="B102" i="5" s="1"/>
  <c r="B204" i="4" a="1"/>
  <c r="B204" i="4" s="1"/>
  <c r="AB407" i="2" a="1"/>
  <c r="AB407" i="2" s="1"/>
  <c r="U273" i="12" a="1"/>
  <c r="U273" i="12" s="1"/>
  <c r="U519" i="12" a="1"/>
  <c r="U519" i="12" s="1"/>
  <c r="B101" i="6" a="1"/>
  <c r="B101" i="6" s="1"/>
  <c r="B97" i="5" a="1"/>
  <c r="B97" i="5" s="1"/>
  <c r="B195" i="4" a="1"/>
  <c r="B195" i="4" s="1"/>
  <c r="U218" i="12" a="1"/>
  <c r="U218" i="12" s="1"/>
  <c r="U561" i="12" a="1"/>
  <c r="U561" i="12" s="1"/>
  <c r="B116" i="7" a="1"/>
  <c r="B116" i="7" s="1"/>
  <c r="B99" i="5" a="1"/>
  <c r="B99" i="5" s="1"/>
  <c r="B201" i="4" a="1"/>
  <c r="B201" i="4" s="1"/>
  <c r="U237" i="12" a="1"/>
  <c r="U237" i="12" s="1"/>
  <c r="U226" i="12" a="1"/>
  <c r="U226" i="12" s="1"/>
  <c r="AE434" i="2" a="1"/>
  <c r="AE434" i="2" s="1"/>
  <c r="T434" i="2" a="1"/>
  <c r="T434" i="2" s="1"/>
  <c r="AC434" i="2" a="1"/>
  <c r="AC434" i="2" s="1"/>
  <c r="E539" i="12" a="1"/>
  <c r="E539" i="12" s="1"/>
  <c r="D107" i="6" a="1"/>
  <c r="D107" i="6" s="1"/>
  <c r="D118" i="7" a="1"/>
  <c r="D118" i="7" s="1"/>
  <c r="D207" i="4" a="1"/>
  <c r="D207" i="4" s="1"/>
  <c r="U295" i="12" a="1"/>
  <c r="U295" i="12" s="1"/>
  <c r="AE444" i="2" a="1"/>
  <c r="AE444" i="2" s="1"/>
  <c r="T444" i="2" a="1"/>
  <c r="T444" i="2" s="1"/>
  <c r="AC444" i="2" a="1"/>
  <c r="AC444" i="2" s="1"/>
  <c r="E238" i="12" a="1"/>
  <c r="E238" i="12" s="1"/>
  <c r="D116" i="5" a="1"/>
  <c r="D116" i="5" s="1"/>
  <c r="D232" i="4" a="1"/>
  <c r="D232" i="4" s="1"/>
  <c r="Z449" i="2" a="1"/>
  <c r="Z449" i="2" s="1"/>
  <c r="AF449" i="2" a="1"/>
  <c r="AF449" i="2" s="1"/>
  <c r="B108" i="6" a="1"/>
  <c r="B108" i="6" s="1"/>
  <c r="B208" i="4" a="1"/>
  <c r="B208" i="4" s="1"/>
  <c r="B109" i="5" a="1"/>
  <c r="B109" i="5" s="1"/>
  <c r="B114" i="6" a="1"/>
  <c r="B114" i="6" s="1"/>
  <c r="B219" i="4" a="1"/>
  <c r="B219" i="4" s="1"/>
  <c r="B119" i="6" a="1"/>
  <c r="B119" i="6" s="1"/>
  <c r="B132" i="7" a="1"/>
  <c r="B132" i="7" s="1"/>
  <c r="B229" i="4" a="1"/>
  <c r="B229" i="4" s="1"/>
  <c r="B136" i="7" a="1"/>
  <c r="B136" i="7" s="1"/>
  <c r="B123" i="6" a="1"/>
  <c r="B123" i="6" s="1"/>
  <c r="B235" i="4" a="1"/>
  <c r="B235" i="4" s="1"/>
  <c r="AA478" i="2" a="1"/>
  <c r="AA478" i="2" s="1"/>
  <c r="T481" i="2" a="1"/>
  <c r="T481" i="2" s="1"/>
  <c r="B117" i="6" a="1"/>
  <c r="B117" i="6" s="1"/>
  <c r="B226" i="4" a="1"/>
  <c r="B226" i="4" s="1"/>
  <c r="S483" i="2" a="1"/>
  <c r="S483" i="2" s="1"/>
  <c r="Y484" i="2" a="1"/>
  <c r="Y484" i="2" s="1"/>
  <c r="U251" i="12" a="1"/>
  <c r="U251" i="12" s="1"/>
  <c r="S488" i="2" a="1"/>
  <c r="S488" i="2" s="1"/>
  <c r="E242" i="12" a="1"/>
  <c r="E242" i="12" s="1"/>
  <c r="T496" i="2" a="1"/>
  <c r="T496" i="2" s="1"/>
  <c r="AF496" i="2" a="1"/>
  <c r="AF496" i="2" s="1"/>
  <c r="AC497" i="2" a="1"/>
  <c r="AC497" i="2" s="1"/>
  <c r="Z500" i="2" a="1"/>
  <c r="Z500" i="2" s="1"/>
  <c r="D128" i="6" a="1"/>
  <c r="D128" i="6" s="1"/>
  <c r="D125" i="5" a="1"/>
  <c r="D125" i="5" s="1"/>
  <c r="D247" i="4" a="1"/>
  <c r="D247" i="4" s="1"/>
  <c r="W501" i="2" a="1"/>
  <c r="W501" i="2" s="1"/>
  <c r="AE501" i="2" a="1"/>
  <c r="AE501" i="2" s="1"/>
  <c r="Y501" i="2" a="1"/>
  <c r="Y501" i="2" s="1"/>
  <c r="X501" i="2" a="1"/>
  <c r="X501" i="2" s="1"/>
  <c r="AB501" i="2" a="1"/>
  <c r="AB501" i="2" s="1"/>
  <c r="V501" i="2" a="1"/>
  <c r="V501" i="2" s="1"/>
  <c r="AG501" i="2" a="1"/>
  <c r="AG501" i="2" s="1"/>
  <c r="AA501" i="2" a="1"/>
  <c r="AA501" i="2" s="1"/>
  <c r="AF501" i="2" a="1"/>
  <c r="AF501" i="2" s="1"/>
  <c r="Z501" i="2" a="1"/>
  <c r="Z501" i="2" s="1"/>
  <c r="T501" i="2" a="1"/>
  <c r="T501" i="2" s="1"/>
  <c r="AD501" i="2" a="1"/>
  <c r="AD501" i="2" s="1"/>
  <c r="AE502" i="2" a="1"/>
  <c r="AE502" i="2" s="1"/>
  <c r="AG503" i="2" a="1"/>
  <c r="AG503" i="2" s="1"/>
  <c r="AE505" i="2" a="1"/>
  <c r="AE505" i="2" s="1"/>
  <c r="T505" i="2" a="1"/>
  <c r="T505" i="2" s="1"/>
  <c r="AG505" i="2" a="1"/>
  <c r="AG505" i="2" s="1"/>
  <c r="AA505" i="2" a="1"/>
  <c r="AA505" i="2" s="1"/>
  <c r="X505" i="2" a="1"/>
  <c r="X505" i="2" s="1"/>
  <c r="AD505" i="2" a="1"/>
  <c r="AD505" i="2" s="1"/>
  <c r="AC505" i="2" a="1"/>
  <c r="AC505" i="2" s="1"/>
  <c r="W505" i="2" a="1"/>
  <c r="W505" i="2" s="1"/>
  <c r="AB505" i="2" a="1"/>
  <c r="AB505" i="2" s="1"/>
  <c r="V505" i="2" a="1"/>
  <c r="V505" i="2" s="1"/>
  <c r="T506" i="2" a="1"/>
  <c r="T506" i="2" s="1"/>
  <c r="E364" i="12" a="1"/>
  <c r="E364" i="12" s="1"/>
  <c r="AF509" i="2" a="1"/>
  <c r="AF509" i="2" s="1"/>
  <c r="AC512" i="2" a="1"/>
  <c r="AC512" i="2" s="1"/>
  <c r="D141" i="5" a="1"/>
  <c r="D141" i="5" s="1"/>
  <c r="D269" i="4" a="1"/>
  <c r="D269" i="4" s="1"/>
  <c r="AF513" i="2" a="1"/>
  <c r="AF513" i="2" s="1"/>
  <c r="AE514" i="2" a="1"/>
  <c r="AE514" i="2" s="1"/>
  <c r="AG515" i="2" a="1"/>
  <c r="AG515" i="2" s="1"/>
  <c r="AG516" i="2" a="1"/>
  <c r="AG516" i="2" s="1"/>
  <c r="B148" i="7" a="1"/>
  <c r="B148" i="7" s="1"/>
  <c r="B259" i="4" a="1"/>
  <c r="B259" i="4" s="1"/>
  <c r="D150" i="7" a="1"/>
  <c r="D150" i="7" s="1"/>
  <c r="D142" i="6" a="1"/>
  <c r="D142" i="6" s="1"/>
  <c r="D270" i="4" a="1"/>
  <c r="D270" i="4" s="1"/>
  <c r="W524" i="2" a="1"/>
  <c r="W524" i="2" s="1"/>
  <c r="D151" i="5" a="1"/>
  <c r="D151" i="5" s="1"/>
  <c r="D282" i="4" a="1"/>
  <c r="D282" i="4" s="1"/>
  <c r="D159" i="5" a="1"/>
  <c r="D159" i="5" s="1"/>
  <c r="D292" i="4" a="1"/>
  <c r="D292" i="4" s="1"/>
  <c r="E288" i="12" a="1"/>
  <c r="E288" i="12" s="1"/>
  <c r="B145" i="6" a="1"/>
  <c r="B145" i="6" s="1"/>
  <c r="B275" i="4" a="1"/>
  <c r="B275" i="4" s="1"/>
  <c r="B164" i="5" a="1"/>
  <c r="B164" i="5" s="1"/>
  <c r="B304" i="4" a="1"/>
  <c r="B304" i="4" s="1"/>
  <c r="D165" i="7" a="1"/>
  <c r="D165" i="7" s="1"/>
  <c r="D308" i="4" a="1"/>
  <c r="D308" i="4" s="1"/>
  <c r="AE573" i="2" a="1"/>
  <c r="AE573" i="2" s="1"/>
  <c r="T573" i="2" a="1"/>
  <c r="T573" i="2" s="1"/>
  <c r="AD573" i="2" a="1"/>
  <c r="AD573" i="2" s="1"/>
  <c r="X573" i="2" a="1"/>
  <c r="X573" i="2" s="1"/>
  <c r="AC573" i="2" a="1"/>
  <c r="AC573" i="2" s="1"/>
  <c r="AA573" i="2" a="1"/>
  <c r="AA573" i="2" s="1"/>
  <c r="S573" i="2" a="1"/>
  <c r="S573" i="2" s="1"/>
  <c r="AG573" i="2" a="1"/>
  <c r="AG573" i="2" s="1"/>
  <c r="Z573" i="2" a="1"/>
  <c r="Z573" i="2" s="1"/>
  <c r="Y573" i="2" a="1"/>
  <c r="Y573" i="2" s="1"/>
  <c r="AF573" i="2" a="1"/>
  <c r="AF573" i="2" s="1"/>
  <c r="W573" i="2" a="1"/>
  <c r="W573" i="2" s="1"/>
  <c r="V573" i="2" a="1"/>
  <c r="V573" i="2" s="1"/>
  <c r="AB573" i="2" a="1"/>
  <c r="AB573" i="2" s="1"/>
  <c r="B175" i="5" a="1"/>
  <c r="B175" i="5" s="1"/>
  <c r="B330" i="4" a="1"/>
  <c r="B330" i="4" s="1"/>
  <c r="U380" i="12" a="1"/>
  <c r="U380" i="12" s="1"/>
  <c r="B175" i="7" a="1"/>
  <c r="B175" i="7" s="1"/>
  <c r="B323" i="4" a="1"/>
  <c r="B323" i="4" s="1"/>
  <c r="AG598" i="2" a="1"/>
  <c r="AG598" i="2" s="1"/>
  <c r="AA598" i="2" a="1"/>
  <c r="AA598" i="2" s="1"/>
  <c r="AF598" i="2" a="1"/>
  <c r="AF598" i="2" s="1"/>
  <c r="Z598" i="2" a="1"/>
  <c r="Z598" i="2" s="1"/>
  <c r="AE598" i="2" a="1"/>
  <c r="AE598" i="2" s="1"/>
  <c r="T598" i="2" a="1"/>
  <c r="T598" i="2" s="1"/>
  <c r="Y598" i="2" a="1"/>
  <c r="Y598" i="2" s="1"/>
  <c r="AD598" i="2" a="1"/>
  <c r="AD598" i="2" s="1"/>
  <c r="S598" i="2" a="1"/>
  <c r="S598" i="2" s="1"/>
  <c r="X598" i="2" a="1"/>
  <c r="X598" i="2" s="1"/>
  <c r="V598" i="2" a="1"/>
  <c r="V598" i="2" s="1"/>
  <c r="AC598" i="2" a="1"/>
  <c r="AC598" i="2" s="1"/>
  <c r="AB598" i="2" a="1"/>
  <c r="AB598" i="2" s="1"/>
  <c r="W598" i="2" a="1"/>
  <c r="W598" i="2" s="1"/>
  <c r="W434" i="2" a="1"/>
  <c r="W434" i="2" s="1"/>
  <c r="E505" i="12" a="1"/>
  <c r="E505" i="12" s="1"/>
  <c r="T438" i="2" a="1"/>
  <c r="T438" i="2" s="1"/>
  <c r="Z438" i="2" a="1"/>
  <c r="Z438" i="2" s="1"/>
  <c r="AF438" i="2" a="1"/>
  <c r="AF438" i="2" s="1"/>
  <c r="U243" i="12" a="1"/>
  <c r="U243" i="12" s="1"/>
  <c r="V442" i="2" a="1"/>
  <c r="V442" i="2" s="1"/>
  <c r="AB442" i="2" a="1"/>
  <c r="AB442" i="2" s="1"/>
  <c r="AG443" i="2" a="1"/>
  <c r="AG443" i="2" s="1"/>
  <c r="V443" i="2" a="1"/>
  <c r="V443" i="2" s="1"/>
  <c r="W443" i="2" a="1"/>
  <c r="W443" i="2" s="1"/>
  <c r="W444" i="2" a="1"/>
  <c r="W444" i="2" s="1"/>
  <c r="E211" i="12" a="1"/>
  <c r="E211" i="12" s="1"/>
  <c r="T448" i="2" a="1"/>
  <c r="T448" i="2" s="1"/>
  <c r="Z448" i="2" a="1"/>
  <c r="Z448" i="2" s="1"/>
  <c r="AF448" i="2" a="1"/>
  <c r="AF448" i="2" s="1"/>
  <c r="AD452" i="2" a="1"/>
  <c r="AD452" i="2" s="1"/>
  <c r="S452" i="2" a="1"/>
  <c r="S452" i="2" s="1"/>
  <c r="AG452" i="2" a="1"/>
  <c r="AG452" i="2" s="1"/>
  <c r="V452" i="2" a="1"/>
  <c r="V452" i="2" s="1"/>
  <c r="X452" i="2" a="1"/>
  <c r="X452" i="2" s="1"/>
  <c r="AE452" i="2" a="1"/>
  <c r="AE452" i="2" s="1"/>
  <c r="AB453" i="2" a="1"/>
  <c r="AB453" i="2" s="1"/>
  <c r="E281" i="12" a="1"/>
  <c r="E281" i="12" s="1"/>
  <c r="AD457" i="2" a="1"/>
  <c r="AD457" i="2" s="1"/>
  <c r="S457" i="2" a="1"/>
  <c r="S457" i="2" s="1"/>
  <c r="AG457" i="2" a="1"/>
  <c r="AG457" i="2" s="1"/>
  <c r="V457" i="2" a="1"/>
  <c r="V457" i="2" s="1"/>
  <c r="X457" i="2" a="1"/>
  <c r="X457" i="2" s="1"/>
  <c r="AE457" i="2" a="1"/>
  <c r="AE457" i="2" s="1"/>
  <c r="AB458" i="2" a="1"/>
  <c r="AB458" i="2" s="1"/>
  <c r="E276" i="12" a="1"/>
  <c r="E276" i="12" s="1"/>
  <c r="AD462" i="2" a="1"/>
  <c r="AD462" i="2" s="1"/>
  <c r="S462" i="2" a="1"/>
  <c r="S462" i="2" s="1"/>
  <c r="AG462" i="2" a="1"/>
  <c r="AG462" i="2" s="1"/>
  <c r="V462" i="2" a="1"/>
  <c r="V462" i="2" s="1"/>
  <c r="X462" i="2" a="1"/>
  <c r="X462" i="2" s="1"/>
  <c r="AE462" i="2" a="1"/>
  <c r="AE462" i="2" s="1"/>
  <c r="AB463" i="2" a="1"/>
  <c r="AB463" i="2" s="1"/>
  <c r="E223" i="12" a="1"/>
  <c r="E223" i="12" s="1"/>
  <c r="V465" i="2" a="1"/>
  <c r="V465" i="2" s="1"/>
  <c r="AD467" i="2" a="1"/>
  <c r="AD467" i="2" s="1"/>
  <c r="S467" i="2" a="1"/>
  <c r="S467" i="2" s="1"/>
  <c r="AG467" i="2" a="1"/>
  <c r="AG467" i="2" s="1"/>
  <c r="V467" i="2" a="1"/>
  <c r="V467" i="2" s="1"/>
  <c r="X467" i="2" a="1"/>
  <c r="X467" i="2" s="1"/>
  <c r="AE467" i="2" a="1"/>
  <c r="AE467" i="2" s="1"/>
  <c r="AB468" i="2" a="1"/>
  <c r="AB468" i="2" s="1"/>
  <c r="E265" i="12" a="1"/>
  <c r="E265" i="12" s="1"/>
  <c r="V470" i="2" a="1"/>
  <c r="V470" i="2" s="1"/>
  <c r="Z471" i="2" a="1"/>
  <c r="Z471" i="2" s="1"/>
  <c r="AG471" i="2" a="1"/>
  <c r="AG471" i="2" s="1"/>
  <c r="AD472" i="2" a="1"/>
  <c r="AD472" i="2" s="1"/>
  <c r="S472" i="2" a="1"/>
  <c r="S472" i="2" s="1"/>
  <c r="AG472" i="2" a="1"/>
  <c r="AG472" i="2" s="1"/>
  <c r="V472" i="2" a="1"/>
  <c r="V472" i="2" s="1"/>
  <c r="X472" i="2" a="1"/>
  <c r="X472" i="2" s="1"/>
  <c r="AE472" i="2" a="1"/>
  <c r="AE472" i="2" s="1"/>
  <c r="AB473" i="2" a="1"/>
  <c r="AB473" i="2" s="1"/>
  <c r="E598" i="12" a="1"/>
  <c r="E598" i="12" s="1"/>
  <c r="V475" i="2" a="1"/>
  <c r="V475" i="2" s="1"/>
  <c r="Z476" i="2" a="1"/>
  <c r="Z476" i="2" s="1"/>
  <c r="AG476" i="2" a="1"/>
  <c r="AG476" i="2" s="1"/>
  <c r="AD477" i="2" a="1"/>
  <c r="AD477" i="2" s="1"/>
  <c r="S477" i="2" a="1"/>
  <c r="S477" i="2" s="1"/>
  <c r="AG477" i="2" a="1"/>
  <c r="AG477" i="2" s="1"/>
  <c r="V477" i="2" a="1"/>
  <c r="V477" i="2" s="1"/>
  <c r="X477" i="2" a="1"/>
  <c r="X477" i="2" s="1"/>
  <c r="AE477" i="2" a="1"/>
  <c r="AE477" i="2" s="1"/>
  <c r="AB478" i="2" a="1"/>
  <c r="AB478" i="2" s="1"/>
  <c r="AK479" i="2" a="1"/>
  <c r="AK479" i="2" s="1"/>
  <c r="AC481" i="2" a="1"/>
  <c r="AC481" i="2" s="1"/>
  <c r="AC482" i="2" a="1"/>
  <c r="AC482" i="2" s="1"/>
  <c r="AA483" i="2" a="1"/>
  <c r="AA483" i="2" s="1"/>
  <c r="AK485" i="2" a="1"/>
  <c r="AK485" i="2" s="1"/>
  <c r="U593" i="12" a="1"/>
  <c r="U593" i="12" s="1"/>
  <c r="S495" i="2" a="1"/>
  <c r="S495" i="2" s="1"/>
  <c r="AF495" i="2" a="1"/>
  <c r="AF495" i="2" s="1"/>
  <c r="S497" i="2" a="1"/>
  <c r="S497" i="2" s="1"/>
  <c r="AB500" i="2" a="1"/>
  <c r="AB500" i="2" s="1"/>
  <c r="T503" i="2" a="1"/>
  <c r="T503" i="2" s="1"/>
  <c r="AG509" i="2" a="1"/>
  <c r="AG509" i="2" s="1"/>
  <c r="Y511" i="2" a="1"/>
  <c r="Y511" i="2" s="1"/>
  <c r="AF514" i="2" a="1"/>
  <c r="AF514" i="2" s="1"/>
  <c r="S515" i="2" a="1"/>
  <c r="S515" i="2" s="1"/>
  <c r="U381" i="12" a="1"/>
  <c r="U381" i="12" s="1"/>
  <c r="T522" i="2" a="1"/>
  <c r="T522" i="2" s="1"/>
  <c r="X522" i="2" a="1"/>
  <c r="X522" i="2" s="1"/>
  <c r="AC522" i="2" a="1"/>
  <c r="AC522" i="2" s="1"/>
  <c r="W522" i="2" a="1"/>
  <c r="W522" i="2" s="1"/>
  <c r="AC524" i="2" a="1"/>
  <c r="AC524" i="2" s="1"/>
  <c r="W533" i="2" a="1"/>
  <c r="W533" i="2" s="1"/>
  <c r="D152" i="7" a="1"/>
  <c r="D152" i="7" s="1"/>
  <c r="D147" i="5" a="1"/>
  <c r="D147" i="5" s="1"/>
  <c r="D278" i="4" a="1"/>
  <c r="D278" i="4" s="1"/>
  <c r="E359" i="12" a="1"/>
  <c r="E359" i="12" s="1"/>
  <c r="B158" i="7" a="1"/>
  <c r="B158" i="7" s="1"/>
  <c r="B160" i="5" a="1"/>
  <c r="B160" i="5" s="1"/>
  <c r="B293" i="4" a="1"/>
  <c r="B293" i="4" s="1"/>
  <c r="W648" i="12" a="1"/>
  <c r="W648" i="12" s="1"/>
  <c r="AM526" i="2" a="1"/>
  <c r="AM526" i="2" s="1"/>
  <c r="D152" i="5" a="1"/>
  <c r="D152" i="5" s="1"/>
  <c r="D283" i="4" a="1"/>
  <c r="D283" i="4" s="1"/>
  <c r="B141" i="6" a="1"/>
  <c r="B141" i="6" s="1"/>
  <c r="B140" i="5" a="1"/>
  <c r="B140" i="5" s="1"/>
  <c r="B268" i="4" a="1"/>
  <c r="B268" i="4" s="1"/>
  <c r="E391" i="12" a="1"/>
  <c r="E391" i="12" s="1"/>
  <c r="AE532" i="2" a="1"/>
  <c r="AE532" i="2" s="1"/>
  <c r="AK534" i="2" a="1"/>
  <c r="AK534" i="2" s="1"/>
  <c r="E405" i="12" a="1"/>
  <c r="E405" i="12" s="1"/>
  <c r="X536" i="2" a="1"/>
  <c r="X536" i="2" s="1"/>
  <c r="D143" i="6" a="1"/>
  <c r="D143" i="6" s="1"/>
  <c r="D143" i="5" a="1"/>
  <c r="D143" i="5" s="1"/>
  <c r="D273" i="4" a="1"/>
  <c r="D273" i="4" s="1"/>
  <c r="B152" i="7" a="1"/>
  <c r="B152" i="7" s="1"/>
  <c r="B147" i="5" a="1"/>
  <c r="B147" i="5" s="1"/>
  <c r="B278" i="4" a="1"/>
  <c r="B278" i="4" s="1"/>
  <c r="T539" i="2" a="1"/>
  <c r="T539" i="2" s="1"/>
  <c r="U355" i="12" a="1"/>
  <c r="U355" i="12" s="1"/>
  <c r="AF540" i="2" a="1"/>
  <c r="AF540" i="2" s="1"/>
  <c r="AE540" i="2" a="1"/>
  <c r="AE540" i="2" s="1"/>
  <c r="T540" i="2" a="1"/>
  <c r="T540" i="2" s="1"/>
  <c r="W540" i="2" a="1"/>
  <c r="W540" i="2" s="1"/>
  <c r="AD540" i="2" a="1"/>
  <c r="AD540" i="2" s="1"/>
  <c r="E600" i="12" a="1"/>
  <c r="E600" i="12" s="1"/>
  <c r="X542" i="2" a="1"/>
  <c r="X542" i="2" s="1"/>
  <c r="AE542" i="2" a="1"/>
  <c r="AE542" i="2" s="1"/>
  <c r="D145" i="6" a="1"/>
  <c r="D145" i="6" s="1"/>
  <c r="D275" i="4" a="1"/>
  <c r="D275" i="4" s="1"/>
  <c r="B146" i="6" a="1"/>
  <c r="B146" i="6" s="1"/>
  <c r="B145" i="5" a="1"/>
  <c r="B145" i="5" s="1"/>
  <c r="B276" i="4" a="1"/>
  <c r="B276" i="4" s="1"/>
  <c r="T544" i="2" a="1"/>
  <c r="T544" i="2" s="1"/>
  <c r="U406" i="12" a="1"/>
  <c r="U406" i="12" s="1"/>
  <c r="AF545" i="2" a="1"/>
  <c r="AF545" i="2" s="1"/>
  <c r="AE545" i="2" a="1"/>
  <c r="AE545" i="2" s="1"/>
  <c r="T545" i="2" a="1"/>
  <c r="T545" i="2" s="1"/>
  <c r="W545" i="2" a="1"/>
  <c r="W545" i="2" s="1"/>
  <c r="AD545" i="2" a="1"/>
  <c r="AD545" i="2" s="1"/>
  <c r="E303" i="12" a="1"/>
  <c r="E303" i="12" s="1"/>
  <c r="X547" i="2" a="1"/>
  <c r="X547" i="2" s="1"/>
  <c r="AE547" i="2" a="1"/>
  <c r="AE547" i="2" s="1"/>
  <c r="D164" i="5" a="1"/>
  <c r="D164" i="5" s="1"/>
  <c r="D304" i="4" a="1"/>
  <c r="D304" i="4" s="1"/>
  <c r="B156" i="7" a="1"/>
  <c r="B156" i="7" s="1"/>
  <c r="B156" i="5" a="1"/>
  <c r="B156" i="5" s="1"/>
  <c r="B288" i="4" a="1"/>
  <c r="B288" i="4" s="1"/>
  <c r="T549" i="2" a="1"/>
  <c r="T549" i="2" s="1"/>
  <c r="U342" i="12" a="1"/>
  <c r="U342" i="12" s="1"/>
  <c r="AF550" i="2" a="1"/>
  <c r="AF550" i="2" s="1"/>
  <c r="AE550" i="2" a="1"/>
  <c r="AE550" i="2" s="1"/>
  <c r="T550" i="2" a="1"/>
  <c r="T550" i="2" s="1"/>
  <c r="W550" i="2" a="1"/>
  <c r="W550" i="2" s="1"/>
  <c r="AD550" i="2" a="1"/>
  <c r="AD550" i="2" s="1"/>
  <c r="E386" i="12" a="1"/>
  <c r="E386" i="12" s="1"/>
  <c r="X552" i="2" a="1"/>
  <c r="X552" i="2" s="1"/>
  <c r="AE552" i="2" a="1"/>
  <c r="AE552" i="2" s="1"/>
  <c r="D158" i="7" a="1"/>
  <c r="D158" i="7" s="1"/>
  <c r="D160" i="5" a="1"/>
  <c r="D160" i="5" s="1"/>
  <c r="D293" i="4" a="1"/>
  <c r="D293" i="4" s="1"/>
  <c r="B159" i="7" a="1"/>
  <c r="B159" i="7" s="1"/>
  <c r="B155" i="6" a="1"/>
  <c r="B155" i="6" s="1"/>
  <c r="B294" i="4" a="1"/>
  <c r="B294" i="4" s="1"/>
  <c r="T554" i="2" a="1"/>
  <c r="T554" i="2" s="1"/>
  <c r="U322" i="12" a="1"/>
  <c r="U322" i="12" s="1"/>
  <c r="AF555" i="2" a="1"/>
  <c r="AF555" i="2" s="1"/>
  <c r="AE555" i="2" a="1"/>
  <c r="AE555" i="2" s="1"/>
  <c r="T555" i="2" a="1"/>
  <c r="T555" i="2" s="1"/>
  <c r="W555" i="2" a="1"/>
  <c r="W555" i="2" s="1"/>
  <c r="AD555" i="2" a="1"/>
  <c r="AD555" i="2" s="1"/>
  <c r="E360" i="12" a="1"/>
  <c r="E360" i="12" s="1"/>
  <c r="X557" i="2" a="1"/>
  <c r="X557" i="2" s="1"/>
  <c r="AE557" i="2" a="1"/>
  <c r="AE557" i="2" s="1"/>
  <c r="D158" i="5" a="1"/>
  <c r="D158" i="5" s="1"/>
  <c r="D153" i="6" a="1"/>
  <c r="D153" i="6" s="1"/>
  <c r="D290" i="4" a="1"/>
  <c r="D290" i="4" s="1"/>
  <c r="B161" i="7" a="1"/>
  <c r="B161" i="7" s="1"/>
  <c r="B299" i="4" a="1"/>
  <c r="B299" i="4" s="1"/>
  <c r="T559" i="2" a="1"/>
  <c r="T559" i="2" s="1"/>
  <c r="U399" i="12" a="1"/>
  <c r="U399" i="12" s="1"/>
  <c r="AF560" i="2" a="1"/>
  <c r="AF560" i="2" s="1"/>
  <c r="AE560" i="2" a="1"/>
  <c r="AE560" i="2" s="1"/>
  <c r="T560" i="2" a="1"/>
  <c r="T560" i="2" s="1"/>
  <c r="W560" i="2" a="1"/>
  <c r="W560" i="2" s="1"/>
  <c r="AD560" i="2" a="1"/>
  <c r="AD560" i="2" s="1"/>
  <c r="E506" i="12" a="1"/>
  <c r="E506" i="12" s="1"/>
  <c r="X562" i="2" a="1"/>
  <c r="X562" i="2" s="1"/>
  <c r="AE562" i="2" a="1"/>
  <c r="AE562" i="2" s="1"/>
  <c r="D168" i="5" a="1"/>
  <c r="D168" i="5" s="1"/>
  <c r="D314" i="4" a="1"/>
  <c r="D314" i="4" s="1"/>
  <c r="B158" i="6" a="1"/>
  <c r="B158" i="6" s="1"/>
  <c r="B297" i="4" a="1"/>
  <c r="B297" i="4" s="1"/>
  <c r="T564" i="2" a="1"/>
  <c r="T564" i="2" s="1"/>
  <c r="AB564" i="2" a="1"/>
  <c r="AB564" i="2" s="1"/>
  <c r="B164" i="7" a="1"/>
  <c r="B164" i="7" s="1"/>
  <c r="B165" i="5" a="1"/>
  <c r="B165" i="5" s="1"/>
  <c r="B307" i="4" a="1"/>
  <c r="B307" i="4" s="1"/>
  <c r="T566" i="2" a="1"/>
  <c r="T566" i="2" s="1"/>
  <c r="AA566" i="2" a="1"/>
  <c r="AA566" i="2" s="1"/>
  <c r="T569" i="2" a="1"/>
  <c r="T569" i="2" s="1"/>
  <c r="AB569" i="2" a="1"/>
  <c r="AB569" i="2" s="1"/>
  <c r="B160" i="6" a="1"/>
  <c r="B160" i="6" s="1"/>
  <c r="B161" i="5" a="1"/>
  <c r="B161" i="5" s="1"/>
  <c r="B300" i="4" a="1"/>
  <c r="B300" i="4" s="1"/>
  <c r="T571" i="2" a="1"/>
  <c r="T571" i="2" s="1"/>
  <c r="AA571" i="2" a="1"/>
  <c r="AA571" i="2" s="1"/>
  <c r="AA572" i="2" a="1"/>
  <c r="AA572" i="2" s="1"/>
  <c r="B173" i="5" a="1"/>
  <c r="B173" i="5" s="1"/>
  <c r="B324" i="4" a="1"/>
  <c r="B324" i="4" s="1"/>
  <c r="AC574" i="2" a="1"/>
  <c r="AC574" i="2" s="1"/>
  <c r="V577" i="2" a="1"/>
  <c r="V577" i="2" s="1"/>
  <c r="AG577" i="2" a="1"/>
  <c r="AG577" i="2" s="1"/>
  <c r="U353" i="12" a="1"/>
  <c r="U353" i="12" s="1"/>
  <c r="B169" i="7" a="1"/>
  <c r="B169" i="7" s="1"/>
  <c r="B316" i="4" a="1"/>
  <c r="B316" i="4" s="1"/>
  <c r="B171" i="7" a="1"/>
  <c r="B171" i="7" s="1"/>
  <c r="B168" i="6" a="1"/>
  <c r="B168" i="6" s="1"/>
  <c r="B171" i="5" a="1"/>
  <c r="B171" i="5" s="1"/>
  <c r="B319" i="4" a="1"/>
  <c r="B319" i="4" s="1"/>
  <c r="V584" i="2" a="1"/>
  <c r="V584" i="2" s="1"/>
  <c r="U478" i="12" a="1"/>
  <c r="U478" i="12" s="1"/>
  <c r="B167" i="6" a="1"/>
  <c r="B167" i="6" s="1"/>
  <c r="B315" i="4" a="1"/>
  <c r="B315" i="4" s="1"/>
  <c r="V589" i="2" a="1"/>
  <c r="V589" i="2" s="1"/>
  <c r="U409" i="12" a="1"/>
  <c r="U409" i="12" s="1"/>
  <c r="D178" i="7" a="1"/>
  <c r="D178" i="7" s="1"/>
  <c r="D327" i="4" a="1"/>
  <c r="D327" i="4" s="1"/>
  <c r="E512" i="12" a="1"/>
  <c r="E512" i="12" s="1"/>
  <c r="U552" i="12" a="1"/>
  <c r="U552" i="12" s="1"/>
  <c r="U560" i="12" a="1"/>
  <c r="U560" i="12" s="1"/>
  <c r="X602" i="2" a="1"/>
  <c r="X602" i="2" s="1"/>
  <c r="AC602" i="2" a="1"/>
  <c r="AC602" i="2" s="1"/>
  <c r="W602" i="2" a="1"/>
  <c r="W602" i="2" s="1"/>
  <c r="AB602" i="2" a="1"/>
  <c r="AB602" i="2" s="1"/>
  <c r="V602" i="2" a="1"/>
  <c r="V602" i="2" s="1"/>
  <c r="AG602" i="2" a="1"/>
  <c r="AG602" i="2" s="1"/>
  <c r="AA602" i="2" a="1"/>
  <c r="AA602" i="2" s="1"/>
  <c r="AF602" i="2" a="1"/>
  <c r="AF602" i="2" s="1"/>
  <c r="Z602" i="2" a="1"/>
  <c r="Z602" i="2" s="1"/>
  <c r="AD602" i="2" a="1"/>
  <c r="AD602" i="2" s="1"/>
  <c r="S602" i="2" a="1"/>
  <c r="S602" i="2" s="1"/>
  <c r="AB606" i="2" a="1"/>
  <c r="AB606" i="2" s="1"/>
  <c r="B175" i="6" a="1"/>
  <c r="B175" i="6" s="1"/>
  <c r="B335" i="4" a="1"/>
  <c r="B335" i="4" s="1"/>
  <c r="W610" i="2" a="1"/>
  <c r="W610" i="2" s="1"/>
  <c r="AB610" i="2" a="1"/>
  <c r="AB610" i="2" s="1"/>
  <c r="V610" i="2" a="1"/>
  <c r="V610" i="2" s="1"/>
  <c r="AG610" i="2" a="1"/>
  <c r="AG610" i="2" s="1"/>
  <c r="AA610" i="2" a="1"/>
  <c r="AA610" i="2" s="1"/>
  <c r="AF610" i="2" a="1"/>
  <c r="AF610" i="2" s="1"/>
  <c r="Z610" i="2" a="1"/>
  <c r="Z610" i="2" s="1"/>
  <c r="AE610" i="2" a="1"/>
  <c r="AE610" i="2" s="1"/>
  <c r="T610" i="2" a="1"/>
  <c r="T610" i="2" s="1"/>
  <c r="Y610" i="2" a="1"/>
  <c r="Y610" i="2" s="1"/>
  <c r="AC610" i="2" a="1"/>
  <c r="AC610" i="2" s="1"/>
  <c r="B189" i="7" a="1"/>
  <c r="B189" i="7" s="1"/>
  <c r="B180" i="5" a="1"/>
  <c r="B180" i="5" s="1"/>
  <c r="B349" i="4" a="1"/>
  <c r="B349" i="4" s="1"/>
  <c r="D180" i="6" a="1"/>
  <c r="D180" i="6" s="1"/>
  <c r="D342" i="4" a="1"/>
  <c r="D342" i="4" s="1"/>
  <c r="V616" i="2" a="1"/>
  <c r="V616" i="2" s="1"/>
  <c r="AE625" i="2" a="1"/>
  <c r="AE625" i="2" s="1"/>
  <c r="AD625" i="2" a="1"/>
  <c r="AD625" i="2" s="1"/>
  <c r="W625" i="2" a="1"/>
  <c r="W625" i="2" s="1"/>
  <c r="AC625" i="2" a="1"/>
  <c r="AC625" i="2" s="1"/>
  <c r="V625" i="2" a="1"/>
  <c r="V625" i="2" s="1"/>
  <c r="AB625" i="2" a="1"/>
  <c r="AB625" i="2" s="1"/>
  <c r="AA625" i="2" a="1"/>
  <c r="AA625" i="2" s="1"/>
  <c r="T625" i="2" a="1"/>
  <c r="T625" i="2" s="1"/>
  <c r="S625" i="2" a="1"/>
  <c r="S625" i="2" s="1"/>
  <c r="AF625" i="2" a="1"/>
  <c r="AF625" i="2" s="1"/>
  <c r="Y625" i="2" a="1"/>
  <c r="Y625" i="2" s="1"/>
  <c r="X625" i="2" a="1"/>
  <c r="X625" i="2" s="1"/>
  <c r="AE640" i="2" a="1"/>
  <c r="AE640" i="2" s="1"/>
  <c r="AD640" i="2" a="1"/>
  <c r="AD640" i="2" s="1"/>
  <c r="W640" i="2" a="1"/>
  <c r="W640" i="2" s="1"/>
  <c r="AC640" i="2" a="1"/>
  <c r="AC640" i="2" s="1"/>
  <c r="V640" i="2" a="1"/>
  <c r="V640" i="2" s="1"/>
  <c r="AB640" i="2" a="1"/>
  <c r="AB640" i="2" s="1"/>
  <c r="AA640" i="2" a="1"/>
  <c r="AA640" i="2" s="1"/>
  <c r="T640" i="2" a="1"/>
  <c r="T640" i="2" s="1"/>
  <c r="S640" i="2" a="1"/>
  <c r="S640" i="2" s="1"/>
  <c r="AG640" i="2" a="1"/>
  <c r="AG640" i="2" s="1"/>
  <c r="Z640" i="2" a="1"/>
  <c r="Z640" i="2" s="1"/>
  <c r="AF640" i="2" a="1"/>
  <c r="AF640" i="2" s="1"/>
  <c r="Y640" i="2" a="1"/>
  <c r="Y640" i="2" s="1"/>
  <c r="X640" i="2" a="1"/>
  <c r="X640" i="2" s="1"/>
  <c r="U517" i="12" a="1"/>
  <c r="U517" i="12" s="1"/>
  <c r="U647" i="2" a="1"/>
  <c r="U647" i="2" s="1"/>
  <c r="U467" i="12" a="1"/>
  <c r="U467" i="12" s="1"/>
  <c r="U516" i="12" a="1"/>
  <c r="U516" i="12" s="1"/>
  <c r="B135" i="5" a="1"/>
  <c r="B135" i="5" s="1"/>
  <c r="B262" i="4" a="1"/>
  <c r="B262" i="4" s="1"/>
  <c r="D137" i="5" a="1"/>
  <c r="D137" i="5" s="1"/>
  <c r="D264" i="4" a="1"/>
  <c r="D264" i="4" s="1"/>
  <c r="E319" i="12" a="1"/>
  <c r="E319" i="12" s="1"/>
  <c r="D142" i="5" a="1"/>
  <c r="D142" i="5" s="1"/>
  <c r="D271" i="4" a="1"/>
  <c r="D271" i="4" s="1"/>
  <c r="D134" i="6" a="1"/>
  <c r="D134" i="6" s="1"/>
  <c r="D129" i="5" a="1"/>
  <c r="D129" i="5" s="1"/>
  <c r="D254" i="4" a="1"/>
  <c r="D254" i="4" s="1"/>
  <c r="W646" i="12" a="1"/>
  <c r="W646" i="12" s="1"/>
  <c r="AM523" i="2" a="1"/>
  <c r="AM523" i="2" s="1"/>
  <c r="AP523" i="2" a="1"/>
  <c r="AP523" i="2" s="1"/>
  <c r="AP526" i="2" a="1"/>
  <c r="AP526" i="2" s="1"/>
  <c r="AB528" i="2" a="1"/>
  <c r="AB528" i="2" s="1"/>
  <c r="AA528" i="2" a="1"/>
  <c r="AA528" i="2" s="1"/>
  <c r="W528" i="2" a="1"/>
  <c r="W528" i="2" s="1"/>
  <c r="AD528" i="2" a="1"/>
  <c r="AD528" i="2" s="1"/>
  <c r="S529" i="2" a="1"/>
  <c r="S529" i="2" s="1"/>
  <c r="AG529" i="2" a="1"/>
  <c r="AG529" i="2" s="1"/>
  <c r="V531" i="2" a="1"/>
  <c r="V531" i="2" s="1"/>
  <c r="AC531" i="2" a="1"/>
  <c r="AC531" i="2" s="1"/>
  <c r="Y532" i="2" a="1"/>
  <c r="Y532" i="2" s="1"/>
  <c r="D154" i="5" a="1"/>
  <c r="D154" i="5" s="1"/>
  <c r="D285" i="4" a="1"/>
  <c r="D285" i="4" s="1"/>
  <c r="V533" i="2" a="1"/>
  <c r="V533" i="2" s="1"/>
  <c r="AC533" i="2" a="1"/>
  <c r="AC533" i="2" s="1"/>
  <c r="AL534" i="2" a="1"/>
  <c r="AL534" i="2" s="1"/>
  <c r="AK535" i="2" a="1"/>
  <c r="AK535" i="2" s="1"/>
  <c r="AA539" i="2" a="1"/>
  <c r="AA539" i="2" s="1"/>
  <c r="D153" i="7" a="1"/>
  <c r="D153" i="7" s="1"/>
  <c r="D148" i="5" a="1"/>
  <c r="D148" i="5" s="1"/>
  <c r="D279" i="4" a="1"/>
  <c r="D279" i="4" s="1"/>
  <c r="AB541" i="2" a="1"/>
  <c r="AB541" i="2" s="1"/>
  <c r="AA544" i="2" a="1"/>
  <c r="AA544" i="2" s="1"/>
  <c r="D154" i="7" a="1"/>
  <c r="D154" i="7" s="1"/>
  <c r="D151" i="6" a="1"/>
  <c r="D151" i="6" s="1"/>
  <c r="D286" i="4" a="1"/>
  <c r="D286" i="4" s="1"/>
  <c r="AB546" i="2" a="1"/>
  <c r="AB546" i="2" s="1"/>
  <c r="AA549" i="2" a="1"/>
  <c r="AA549" i="2" s="1"/>
  <c r="D148" i="6" a="1"/>
  <c r="D148" i="6" s="1"/>
  <c r="D149" i="5" a="1"/>
  <c r="D149" i="5" s="1"/>
  <c r="D280" i="4" a="1"/>
  <c r="D280" i="4" s="1"/>
  <c r="AB551" i="2" a="1"/>
  <c r="AB551" i="2" s="1"/>
  <c r="AA554" i="2" a="1"/>
  <c r="AA554" i="2" s="1"/>
  <c r="D150" i="6" a="1"/>
  <c r="D150" i="6" s="1"/>
  <c r="D153" i="5" a="1"/>
  <c r="D153" i="5" s="1"/>
  <c r="D284" i="4" a="1"/>
  <c r="D284" i="4" s="1"/>
  <c r="AB556" i="2" a="1"/>
  <c r="AB556" i="2" s="1"/>
  <c r="AA559" i="2" a="1"/>
  <c r="AA559" i="2" s="1"/>
  <c r="D162" i="7" a="1"/>
  <c r="D162" i="7" s="1"/>
  <c r="D301" i="4" a="1"/>
  <c r="D301" i="4" s="1"/>
  <c r="AC564" i="2" a="1"/>
  <c r="AC564" i="2" s="1"/>
  <c r="B159" i="6" a="1"/>
  <c r="B159" i="6" s="1"/>
  <c r="B298" i="4" a="1"/>
  <c r="B298" i="4" s="1"/>
  <c r="AA567" i="2" a="1"/>
  <c r="AA567" i="2" s="1"/>
  <c r="B170" i="5" a="1"/>
  <c r="B170" i="5" s="1"/>
  <c r="B318" i="4" a="1"/>
  <c r="B318" i="4" s="1"/>
  <c r="AC569" i="2" a="1"/>
  <c r="AC569" i="2" s="1"/>
  <c r="B167" i="7" a="1"/>
  <c r="B167" i="7" s="1"/>
  <c r="B311" i="4" a="1"/>
  <c r="B311" i="4" s="1"/>
  <c r="B161" i="6" a="1"/>
  <c r="B161" i="6" s="1"/>
  <c r="B163" i="5" a="1"/>
  <c r="B163" i="5" s="1"/>
  <c r="B303" i="4" a="1"/>
  <c r="B303" i="4" s="1"/>
  <c r="S572" i="2" a="1"/>
  <c r="S572" i="2" s="1"/>
  <c r="AB572" i="2" a="1"/>
  <c r="AB572" i="2" s="1"/>
  <c r="W642" i="12" a="1"/>
  <c r="W642" i="12" s="1"/>
  <c r="AL576" i="2" a="1"/>
  <c r="AL576" i="2" s="1"/>
  <c r="AP576" i="2" a="1"/>
  <c r="AP576" i="2" s="1"/>
  <c r="B164" i="6" a="1"/>
  <c r="B164" i="6" s="1"/>
  <c r="B309" i="4" a="1"/>
  <c r="B309" i="4" s="1"/>
  <c r="W577" i="2" a="1"/>
  <c r="W577" i="2" s="1"/>
  <c r="AM580" i="2" a="1"/>
  <c r="AM580" i="2" s="1"/>
  <c r="AL580" i="2" s="1" a="1"/>
  <c r="AL580" i="2" s="1"/>
  <c r="Z581" i="2" a="1"/>
  <c r="Z581" i="2" s="1"/>
  <c r="AE581" i="2" a="1"/>
  <c r="AE581" i="2" s="1"/>
  <c r="T581" i="2" a="1"/>
  <c r="T581" i="2" s="1"/>
  <c r="AD581" i="2" a="1"/>
  <c r="AD581" i="2" s="1"/>
  <c r="S581" i="2" a="1"/>
  <c r="S581" i="2" s="1"/>
  <c r="X581" i="2" a="1"/>
  <c r="X581" i="2" s="1"/>
  <c r="W581" i="2" a="1"/>
  <c r="W581" i="2" s="1"/>
  <c r="AA581" i="2" a="1"/>
  <c r="AA581" i="2" s="1"/>
  <c r="D169" i="7" a="1"/>
  <c r="D169" i="7" s="1"/>
  <c r="D316" i="4" a="1"/>
  <c r="D316" i="4" s="1"/>
  <c r="X582" i="2" a="1"/>
  <c r="X582" i="2" s="1"/>
  <c r="AC582" i="2" a="1"/>
  <c r="AC582" i="2" s="1"/>
  <c r="AB582" i="2" a="1"/>
  <c r="AB582" i="2" s="1"/>
  <c r="V582" i="2" a="1"/>
  <c r="V582" i="2" s="1"/>
  <c r="AG582" i="2" a="1"/>
  <c r="AG582" i="2" s="1"/>
  <c r="AA582" i="2" a="1"/>
  <c r="AA582" i="2" s="1"/>
  <c r="Z582" i="2" a="1"/>
  <c r="Z582" i="2" s="1"/>
  <c r="D170" i="7" a="1"/>
  <c r="D170" i="7" s="1"/>
  <c r="D169" i="5" a="1"/>
  <c r="D169" i="5" s="1"/>
  <c r="D317" i="4" a="1"/>
  <c r="D317" i="4" s="1"/>
  <c r="B174" i="7" a="1"/>
  <c r="B174" i="7" s="1"/>
  <c r="B169" i="6" a="1"/>
  <c r="B169" i="6" s="1"/>
  <c r="B322" i="4" a="1"/>
  <c r="B322" i="4" s="1"/>
  <c r="X590" i="2" a="1"/>
  <c r="X590" i="2" s="1"/>
  <c r="B177" i="7" a="1"/>
  <c r="B177" i="7" s="1"/>
  <c r="B174" i="5" a="1"/>
  <c r="B174" i="5" s="1"/>
  <c r="B326" i="4" a="1"/>
  <c r="B326" i="4" s="1"/>
  <c r="AA591" i="2" a="1"/>
  <c r="AA591" i="2" s="1"/>
  <c r="S592" i="2" a="1"/>
  <c r="S592" i="2" s="1"/>
  <c r="B180" i="7" a="1"/>
  <c r="B180" i="7" s="1"/>
  <c r="B176" i="5" a="1"/>
  <c r="B176" i="5" s="1"/>
  <c r="B331" i="4" a="1"/>
  <c r="B331" i="4" s="1"/>
  <c r="D183" i="5" a="1"/>
  <c r="D183" i="5" s="1"/>
  <c r="D353" i="4" a="1"/>
  <c r="D353" i="4" s="1"/>
  <c r="AE595" i="2" a="1"/>
  <c r="AE595" i="2" s="1"/>
  <c r="T599" i="2" a="1"/>
  <c r="T599" i="2" s="1"/>
  <c r="Z601" i="2" a="1"/>
  <c r="Z601" i="2" s="1"/>
  <c r="AE601" i="2" a="1"/>
  <c r="AE601" i="2" s="1"/>
  <c r="T601" i="2" a="1"/>
  <c r="T601" i="2" s="1"/>
  <c r="Y601" i="2" a="1"/>
  <c r="Y601" i="2" s="1"/>
  <c r="AD601" i="2" a="1"/>
  <c r="AD601" i="2" s="1"/>
  <c r="S601" i="2" a="1"/>
  <c r="S601" i="2" s="1"/>
  <c r="X601" i="2" a="1"/>
  <c r="X601" i="2" s="1"/>
  <c r="AC601" i="2" a="1"/>
  <c r="AC601" i="2" s="1"/>
  <c r="W601" i="2" a="1"/>
  <c r="W601" i="2" s="1"/>
  <c r="AF601" i="2" a="1"/>
  <c r="AF601" i="2" s="1"/>
  <c r="B184" i="7" a="1"/>
  <c r="B184" i="7" s="1"/>
  <c r="B337" i="4" a="1"/>
  <c r="B337" i="4" s="1"/>
  <c r="AG606" i="2" a="1"/>
  <c r="AG606" i="2" s="1"/>
  <c r="U523" i="12" a="1"/>
  <c r="U523" i="12" s="1"/>
  <c r="S615" i="2" a="1"/>
  <c r="S615" i="2" s="1"/>
  <c r="AB616" i="2" a="1"/>
  <c r="AB616" i="2" s="1"/>
  <c r="U464" i="12" a="1"/>
  <c r="U464" i="12" s="1"/>
  <c r="U628" i="2" a="1"/>
  <c r="U628" i="2" s="1"/>
  <c r="U392" i="12" a="1"/>
  <c r="U392" i="12" s="1"/>
  <c r="U629" i="2" a="1"/>
  <c r="U629" i="2" s="1"/>
  <c r="U645" i="2" a="1"/>
  <c r="U645" i="2" s="1"/>
  <c r="U507" i="12" a="1"/>
  <c r="U507" i="12" s="1"/>
  <c r="U660" i="2" a="1"/>
  <c r="U660" i="2" s="1"/>
  <c r="U563" i="12" a="1"/>
  <c r="U563" i="12" s="1"/>
  <c r="P86" i="3" a="1"/>
  <c r="P86" i="3" s="1"/>
  <c r="Q86" i="3" a="1"/>
  <c r="Q86" i="3" s="1"/>
  <c r="U306" i="12" a="1"/>
  <c r="U306" i="12" s="1"/>
  <c r="AB522" i="2" a="1"/>
  <c r="AB522" i="2" s="1"/>
  <c r="V522" i="2" a="1"/>
  <c r="V522" i="2" s="1"/>
  <c r="B151" i="5" a="1"/>
  <c r="B151" i="5" s="1"/>
  <c r="B282" i="4" a="1"/>
  <c r="B282" i="4" s="1"/>
  <c r="X528" i="2" a="1"/>
  <c r="X528" i="2" s="1"/>
  <c r="T529" i="2" a="1"/>
  <c r="T529" i="2" s="1"/>
  <c r="AA529" i="2" a="1"/>
  <c r="AA529" i="2" s="1"/>
  <c r="U352" i="12" a="1"/>
  <c r="U352" i="12" s="1"/>
  <c r="W628" i="12" a="1"/>
  <c r="W628" i="12" s="1"/>
  <c r="AK530" i="2" a="1"/>
  <c r="AK530" i="2" s="1"/>
  <c r="AL530" i="2" s="1" a="1"/>
  <c r="AL530" i="2" s="1"/>
  <c r="AP530" i="2" a="1"/>
  <c r="AP530" i="2" s="1"/>
  <c r="W531" i="2" a="1"/>
  <c r="W531" i="2" s="1"/>
  <c r="S532" i="2" a="1"/>
  <c r="S532" i="2" s="1"/>
  <c r="AF532" i="2" a="1"/>
  <c r="AF532" i="2" s="1"/>
  <c r="Z536" i="2" a="1"/>
  <c r="Z536" i="2" s="1"/>
  <c r="AG536" i="2" a="1"/>
  <c r="AG536" i="2" s="1"/>
  <c r="AB539" i="2" a="1"/>
  <c r="AB539" i="2" s="1"/>
  <c r="X540" i="2" a="1"/>
  <c r="X540" i="2" s="1"/>
  <c r="V541" i="2" a="1"/>
  <c r="V541" i="2" s="1"/>
  <c r="AB544" i="2" a="1"/>
  <c r="AB544" i="2" s="1"/>
  <c r="X545" i="2" a="1"/>
  <c r="X545" i="2" s="1"/>
  <c r="V546" i="2" a="1"/>
  <c r="V546" i="2" s="1"/>
  <c r="B155" i="7" a="1"/>
  <c r="B155" i="7" s="1"/>
  <c r="B287" i="4" a="1"/>
  <c r="B287" i="4" s="1"/>
  <c r="B155" i="5" a="1"/>
  <c r="B155" i="5" s="1"/>
  <c r="AB549" i="2" a="1"/>
  <c r="AB549" i="2" s="1"/>
  <c r="X550" i="2" a="1"/>
  <c r="X550" i="2" s="1"/>
  <c r="V551" i="2" a="1"/>
  <c r="V551" i="2" s="1"/>
  <c r="B149" i="6" a="1"/>
  <c r="B149" i="6" s="1"/>
  <c r="B150" i="5" a="1"/>
  <c r="B150" i="5" s="1"/>
  <c r="B281" i="4" a="1"/>
  <c r="B281" i="4" s="1"/>
  <c r="AB554" i="2" a="1"/>
  <c r="AB554" i="2" s="1"/>
  <c r="X555" i="2" a="1"/>
  <c r="X555" i="2" s="1"/>
  <c r="V556" i="2" a="1"/>
  <c r="V556" i="2" s="1"/>
  <c r="B157" i="5" a="1"/>
  <c r="B157" i="5" s="1"/>
  <c r="B152" i="6" a="1"/>
  <c r="B152" i="6" s="1"/>
  <c r="B289" i="4" a="1"/>
  <c r="B289" i="4" s="1"/>
  <c r="AB559" i="2" a="1"/>
  <c r="AB559" i="2" s="1"/>
  <c r="X560" i="2" a="1"/>
  <c r="X560" i="2" s="1"/>
  <c r="B163" i="7" a="1"/>
  <c r="B163" i="7" s="1"/>
  <c r="B162" i="5" a="1"/>
  <c r="B162" i="5" s="1"/>
  <c r="B302" i="4" a="1"/>
  <c r="B302" i="4" s="1"/>
  <c r="AD564" i="2" a="1"/>
  <c r="AD564" i="2" s="1"/>
  <c r="AC566" i="2" a="1"/>
  <c r="AC566" i="2" s="1"/>
  <c r="B165" i="7" a="1"/>
  <c r="B165" i="7" s="1"/>
  <c r="B308" i="4" a="1"/>
  <c r="B308" i="4" s="1"/>
  <c r="S567" i="2" a="1"/>
  <c r="S567" i="2" s="1"/>
  <c r="AB567" i="2" a="1"/>
  <c r="AB567" i="2" s="1"/>
  <c r="AD569" i="2" a="1"/>
  <c r="AD569" i="2" s="1"/>
  <c r="AC571" i="2" a="1"/>
  <c r="AC571" i="2" s="1"/>
  <c r="T572" i="2" a="1"/>
  <c r="T572" i="2" s="1"/>
  <c r="U291" i="12" a="1"/>
  <c r="U291" i="12" s="1"/>
  <c r="Z586" i="2" a="1"/>
  <c r="Z586" i="2" s="1"/>
  <c r="AE586" i="2" a="1"/>
  <c r="AE586" i="2" s="1"/>
  <c r="T586" i="2" a="1"/>
  <c r="T586" i="2" s="1"/>
  <c r="AD586" i="2" a="1"/>
  <c r="AD586" i="2" s="1"/>
  <c r="S586" i="2" a="1"/>
  <c r="S586" i="2" s="1"/>
  <c r="X586" i="2" a="1"/>
  <c r="X586" i="2" s="1"/>
  <c r="W586" i="2" a="1"/>
  <c r="W586" i="2" s="1"/>
  <c r="AA586" i="2" a="1"/>
  <c r="AA586" i="2" s="1"/>
  <c r="D174" i="7" a="1"/>
  <c r="D174" i="7" s="1"/>
  <c r="D169" i="6" a="1"/>
  <c r="D169" i="6" s="1"/>
  <c r="D322" i="4" a="1"/>
  <c r="D322" i="4" s="1"/>
  <c r="X587" i="2" a="1"/>
  <c r="X587" i="2" s="1"/>
  <c r="AC587" i="2" a="1"/>
  <c r="AC587" i="2" s="1"/>
  <c r="AB587" i="2" a="1"/>
  <c r="AB587" i="2" s="1"/>
  <c r="V587" i="2" a="1"/>
  <c r="V587" i="2" s="1"/>
  <c r="AG587" i="2" a="1"/>
  <c r="AG587" i="2" s="1"/>
  <c r="AA587" i="2" a="1"/>
  <c r="AA587" i="2" s="1"/>
  <c r="Z587" i="2" a="1"/>
  <c r="Z587" i="2" s="1"/>
  <c r="D175" i="7" a="1"/>
  <c r="D175" i="7" s="1"/>
  <c r="D323" i="4" a="1"/>
  <c r="D323" i="4" s="1"/>
  <c r="Y594" i="2" a="1"/>
  <c r="Y594" i="2" s="1"/>
  <c r="AD594" i="2" a="1"/>
  <c r="AD594" i="2" s="1"/>
  <c r="S594" i="2" a="1"/>
  <c r="S594" i="2" s="1"/>
  <c r="X594" i="2" a="1"/>
  <c r="X594" i="2" s="1"/>
  <c r="AC594" i="2" a="1"/>
  <c r="AC594" i="2" s="1"/>
  <c r="W594" i="2" a="1"/>
  <c r="W594" i="2" s="1"/>
  <c r="AG594" i="2" a="1"/>
  <c r="AG594" i="2" s="1"/>
  <c r="AA594" i="2" a="1"/>
  <c r="AA594" i="2" s="1"/>
  <c r="AB594" i="2" a="1"/>
  <c r="AB594" i="2" s="1"/>
  <c r="S595" i="2" a="1"/>
  <c r="S595" i="2" s="1"/>
  <c r="U512" i="12" a="1"/>
  <c r="U512" i="12" s="1"/>
  <c r="V596" i="2" a="1"/>
  <c r="V596" i="2" s="1"/>
  <c r="B188" i="5" a="1"/>
  <c r="B188" i="5" s="1"/>
  <c r="B360" i="4" a="1"/>
  <c r="B360" i="4" s="1"/>
  <c r="W600" i="2" a="1"/>
  <c r="W600" i="2" s="1"/>
  <c r="AB600" i="2" a="1"/>
  <c r="AB600" i="2" s="1"/>
  <c r="V600" i="2" a="1"/>
  <c r="V600" i="2" s="1"/>
  <c r="AG600" i="2" a="1"/>
  <c r="AG600" i="2" s="1"/>
  <c r="AA600" i="2" a="1"/>
  <c r="AA600" i="2" s="1"/>
  <c r="AF600" i="2" a="1"/>
  <c r="AF600" i="2" s="1"/>
  <c r="Z600" i="2" a="1"/>
  <c r="Z600" i="2" s="1"/>
  <c r="AE600" i="2" a="1"/>
  <c r="AE600" i="2" s="1"/>
  <c r="T600" i="2" a="1"/>
  <c r="T600" i="2" s="1"/>
  <c r="Y600" i="2" a="1"/>
  <c r="Y600" i="2" s="1"/>
  <c r="AC600" i="2" a="1"/>
  <c r="AC600" i="2" s="1"/>
  <c r="B183" i="7" a="1"/>
  <c r="B183" i="7" s="1"/>
  <c r="B176" i="6" a="1"/>
  <c r="B176" i="6" s="1"/>
  <c r="B336" i="4" a="1"/>
  <c r="B336" i="4" s="1"/>
  <c r="U453" i="12" a="1"/>
  <c r="U453" i="12" s="1"/>
  <c r="B188" i="7" a="1"/>
  <c r="B188" i="7" s="1"/>
  <c r="B346" i="4" a="1"/>
  <c r="B346" i="4" s="1"/>
  <c r="AG608" i="2" a="1"/>
  <c r="AG608" i="2" s="1"/>
  <c r="AA608" i="2" a="1"/>
  <c r="AA608" i="2" s="1"/>
  <c r="AF608" i="2" a="1"/>
  <c r="AF608" i="2" s="1"/>
  <c r="Z608" i="2" a="1"/>
  <c r="Z608" i="2" s="1"/>
  <c r="AE608" i="2" a="1"/>
  <c r="AE608" i="2" s="1"/>
  <c r="T608" i="2" a="1"/>
  <c r="T608" i="2" s="1"/>
  <c r="Y608" i="2" a="1"/>
  <c r="Y608" i="2" s="1"/>
  <c r="AD608" i="2" a="1"/>
  <c r="AD608" i="2" s="1"/>
  <c r="S608" i="2" a="1"/>
  <c r="S608" i="2" s="1"/>
  <c r="X608" i="2" a="1"/>
  <c r="X608" i="2" s="1"/>
  <c r="AB608" i="2" a="1"/>
  <c r="AB608" i="2" s="1"/>
  <c r="V608" i="2" a="1"/>
  <c r="V608" i="2" s="1"/>
  <c r="D175" i="6" a="1"/>
  <c r="D175" i="6" s="1"/>
  <c r="D335" i="4" a="1"/>
  <c r="D335" i="4" s="1"/>
  <c r="X615" i="2" a="1"/>
  <c r="X615" i="2" s="1"/>
  <c r="U444" i="12" a="1"/>
  <c r="U444" i="12" s="1"/>
  <c r="X617" i="2" a="1"/>
  <c r="X617" i="2" s="1"/>
  <c r="AC617" i="2" a="1"/>
  <c r="AC617" i="2" s="1"/>
  <c r="W617" i="2" a="1"/>
  <c r="W617" i="2" s="1"/>
  <c r="AB617" i="2" a="1"/>
  <c r="AB617" i="2" s="1"/>
  <c r="V617" i="2" a="1"/>
  <c r="V617" i="2" s="1"/>
  <c r="AG617" i="2" a="1"/>
  <c r="AG617" i="2" s="1"/>
  <c r="AA617" i="2" a="1"/>
  <c r="AA617" i="2" s="1"/>
  <c r="AF617" i="2" a="1"/>
  <c r="AF617" i="2" s="1"/>
  <c r="Z617" i="2" a="1"/>
  <c r="Z617" i="2" s="1"/>
  <c r="Y617" i="2" a="1"/>
  <c r="Y617" i="2" s="1"/>
  <c r="AD617" i="2" a="1"/>
  <c r="AD617" i="2" s="1"/>
  <c r="S617" i="2" a="1"/>
  <c r="S617" i="2" s="1"/>
  <c r="B190" i="7" a="1"/>
  <c r="B190" i="7" s="1"/>
  <c r="B356" i="4" a="1"/>
  <c r="B356" i="4" s="1"/>
  <c r="U375" i="12" a="1"/>
  <c r="U375" i="12" s="1"/>
  <c r="AC626" i="2" a="1"/>
  <c r="AC626" i="2" s="1"/>
  <c r="V626" i="2" a="1"/>
  <c r="V626" i="2" s="1"/>
  <c r="AB626" i="2" a="1"/>
  <c r="AB626" i="2" s="1"/>
  <c r="AA626" i="2" a="1"/>
  <c r="AA626" i="2" s="1"/>
  <c r="T626" i="2" a="1"/>
  <c r="T626" i="2" s="1"/>
  <c r="S626" i="2" a="1"/>
  <c r="S626" i="2" s="1"/>
  <c r="AG626" i="2" a="1"/>
  <c r="AG626" i="2" s="1"/>
  <c r="Z626" i="2" a="1"/>
  <c r="Z626" i="2" s="1"/>
  <c r="AF626" i="2" a="1"/>
  <c r="AF626" i="2" s="1"/>
  <c r="Y626" i="2" a="1"/>
  <c r="Y626" i="2" s="1"/>
  <c r="AE626" i="2" a="1"/>
  <c r="AE626" i="2" s="1"/>
  <c r="AD626" i="2" a="1"/>
  <c r="AD626" i="2" s="1"/>
  <c r="W626" i="2" a="1"/>
  <c r="W626" i="2" s="1"/>
  <c r="B195" i="5" a="1"/>
  <c r="B195" i="5" s="1"/>
  <c r="B377" i="4" a="1"/>
  <c r="B377" i="4" s="1"/>
  <c r="U553" i="12" a="1"/>
  <c r="U553" i="12" s="1"/>
  <c r="U652" i="2" a="1"/>
  <c r="U652" i="2" s="1"/>
  <c r="U654" i="2" a="1"/>
  <c r="U654" i="2" s="1"/>
  <c r="B120" i="6" a="1"/>
  <c r="B120" i="6" s="1"/>
  <c r="B115" i="5" a="1"/>
  <c r="B115" i="5" s="1"/>
  <c r="B230" i="4" a="1"/>
  <c r="B230" i="4" s="1"/>
  <c r="AB487" i="2" a="1"/>
  <c r="AB487" i="2" s="1"/>
  <c r="U262" i="12" a="1"/>
  <c r="U262" i="12" s="1"/>
  <c r="AL490" i="2" a="1"/>
  <c r="AL490" i="2" s="1"/>
  <c r="S494" i="2" a="1"/>
  <c r="S494" i="2" s="1"/>
  <c r="Y494" i="2" a="1"/>
  <c r="Y494" i="2" s="1"/>
  <c r="B143" i="7" a="1"/>
  <c r="B143" i="7" s="1"/>
  <c r="B129" i="6" a="1"/>
  <c r="B129" i="6" s="1"/>
  <c r="B248" i="4" a="1"/>
  <c r="B248" i="4" s="1"/>
  <c r="E294" i="12" a="1"/>
  <c r="E294" i="12" s="1"/>
  <c r="E290" i="12" a="1"/>
  <c r="E290" i="12" s="1"/>
  <c r="D136" i="5" a="1"/>
  <c r="D136" i="5" s="1"/>
  <c r="D263" i="4" a="1"/>
  <c r="D263" i="4" s="1"/>
  <c r="U343" i="12" a="1"/>
  <c r="U343" i="12" s="1"/>
  <c r="B138" i="5" a="1"/>
  <c r="B138" i="5" s="1"/>
  <c r="B266" i="4" a="1"/>
  <c r="B266" i="4" s="1"/>
  <c r="E328" i="12" a="1"/>
  <c r="E328" i="12" s="1"/>
  <c r="U331" i="12" a="1"/>
  <c r="U331" i="12" s="1"/>
  <c r="U364" i="12" a="1"/>
  <c r="U364" i="12" s="1"/>
  <c r="D132" i="6" a="1"/>
  <c r="D132" i="6" s="1"/>
  <c r="D128" i="5" a="1"/>
  <c r="D128" i="5" s="1"/>
  <c r="D252" i="4" a="1"/>
  <c r="D252" i="4" s="1"/>
  <c r="U249" i="12" a="1"/>
  <c r="U249" i="12" s="1"/>
  <c r="U302" i="12" a="1"/>
  <c r="U302" i="12" s="1"/>
  <c r="V518" i="2" a="1"/>
  <c r="V518" i="2" s="1"/>
  <c r="AC519" i="2" a="1"/>
  <c r="AC519" i="2" s="1"/>
  <c r="V519" i="2" a="1"/>
  <c r="V519" i="2" s="1"/>
  <c r="W520" i="2" a="1"/>
  <c r="W520" i="2" s="1"/>
  <c r="AC520" i="2" a="1"/>
  <c r="AC520" i="2" s="1"/>
  <c r="AD521" i="2" a="1"/>
  <c r="AD521" i="2" s="1"/>
  <c r="S521" i="2" a="1"/>
  <c r="S521" i="2" s="1"/>
  <c r="W521" i="2" a="1"/>
  <c r="W521" i="2" s="1"/>
  <c r="AC521" i="2" a="1"/>
  <c r="AC521" i="2" s="1"/>
  <c r="E326" i="12" a="1"/>
  <c r="E326" i="12" s="1"/>
  <c r="AK523" i="2" a="1"/>
  <c r="AK523" i="2" s="1"/>
  <c r="U351" i="12" a="1"/>
  <c r="U351" i="12" s="1"/>
  <c r="AK526" i="2" a="1"/>
  <c r="AK526" i="2" s="1"/>
  <c r="E137" i="12" a="1"/>
  <c r="E137" i="12" s="1"/>
  <c r="AE528" i="2" a="1"/>
  <c r="AE528" i="2" s="1"/>
  <c r="Y531" i="2" a="1"/>
  <c r="Y531" i="2" s="1"/>
  <c r="X531" i="2" a="1"/>
  <c r="X531" i="2" s="1"/>
  <c r="AE531" i="2" a="1"/>
  <c r="AE531" i="2" s="1"/>
  <c r="U391" i="12" a="1"/>
  <c r="U391" i="12" s="1"/>
  <c r="Z533" i="2" a="1"/>
  <c r="Z533" i="2" s="1"/>
  <c r="Y533" i="2" a="1"/>
  <c r="Y533" i="2" s="1"/>
  <c r="AD533" i="2" a="1"/>
  <c r="AD533" i="2" s="1"/>
  <c r="B159" i="5" a="1"/>
  <c r="B159" i="5" s="1"/>
  <c r="B292" i="4" a="1"/>
  <c r="B292" i="4" s="1"/>
  <c r="S536" i="2" a="1"/>
  <c r="S536" i="2" s="1"/>
  <c r="U405" i="12" a="1"/>
  <c r="U405" i="12" s="1"/>
  <c r="AC539" i="2" a="1"/>
  <c r="AC539" i="2" s="1"/>
  <c r="B144" i="6" a="1"/>
  <c r="B144" i="6" s="1"/>
  <c r="B144" i="5" a="1"/>
  <c r="B144" i="5" s="1"/>
  <c r="B274" i="4" a="1"/>
  <c r="B274" i="4" s="1"/>
  <c r="U600" i="12" a="1"/>
  <c r="U600" i="12" s="1"/>
  <c r="AC544" i="2" a="1"/>
  <c r="AC544" i="2" s="1"/>
  <c r="B147" i="6" a="1"/>
  <c r="B147" i="6" s="1"/>
  <c r="B277" i="4" a="1"/>
  <c r="B277" i="4" s="1"/>
  <c r="B146" i="5" a="1"/>
  <c r="B146" i="5" s="1"/>
  <c r="U303" i="12" a="1"/>
  <c r="U303" i="12" s="1"/>
  <c r="AC549" i="2" a="1"/>
  <c r="AC549" i="2" s="1"/>
  <c r="B154" i="6" a="1"/>
  <c r="B154" i="6" s="1"/>
  <c r="B157" i="7" a="1"/>
  <c r="B157" i="7" s="1"/>
  <c r="B291" i="4" a="1"/>
  <c r="B291" i="4" s="1"/>
  <c r="U386" i="12" a="1"/>
  <c r="U386" i="12" s="1"/>
  <c r="AC554" i="2" a="1"/>
  <c r="AC554" i="2" s="1"/>
  <c r="B160" i="7" a="1"/>
  <c r="B160" i="7" s="1"/>
  <c r="B156" i="6" a="1"/>
  <c r="B156" i="6" s="1"/>
  <c r="B295" i="4" a="1"/>
  <c r="B295" i="4" s="1"/>
  <c r="U360" i="12" a="1"/>
  <c r="U360" i="12" s="1"/>
  <c r="AC559" i="2" a="1"/>
  <c r="AC559" i="2" s="1"/>
  <c r="B157" i="6" a="1"/>
  <c r="B157" i="6" s="1"/>
  <c r="B296" i="4" a="1"/>
  <c r="B296" i="4" s="1"/>
  <c r="U506" i="12" a="1"/>
  <c r="U506" i="12" s="1"/>
  <c r="T567" i="2" a="1"/>
  <c r="T567" i="2" s="1"/>
  <c r="D170" i="5" a="1"/>
  <c r="D170" i="5" s="1"/>
  <c r="D318" i="4" a="1"/>
  <c r="D318" i="4" s="1"/>
  <c r="AC572" i="2" a="1"/>
  <c r="AC572" i="2" s="1"/>
  <c r="AE574" i="2" a="1"/>
  <c r="AE574" i="2" s="1"/>
  <c r="D163" i="6" a="1"/>
  <c r="D163" i="6" s="1"/>
  <c r="D306" i="4" a="1"/>
  <c r="D306" i="4" s="1"/>
  <c r="Z577" i="2" a="1"/>
  <c r="Z577" i="2" s="1"/>
  <c r="AE577" i="2" a="1"/>
  <c r="AE577" i="2" s="1"/>
  <c r="T577" i="2" a="1"/>
  <c r="T577" i="2" s="1"/>
  <c r="AD577" i="2" a="1"/>
  <c r="AD577" i="2" s="1"/>
  <c r="S577" i="2" a="1"/>
  <c r="S577" i="2" s="1"/>
  <c r="X577" i="2" a="1"/>
  <c r="X577" i="2" s="1"/>
  <c r="AB577" i="2" a="1"/>
  <c r="AB577" i="2" s="1"/>
  <c r="B168" i="7" a="1"/>
  <c r="B168" i="7" s="1"/>
  <c r="B167" i="5" a="1"/>
  <c r="B167" i="5" s="1"/>
  <c r="B313" i="4" a="1"/>
  <c r="B313" i="4" s="1"/>
  <c r="E371" i="12" a="1"/>
  <c r="E371" i="12" s="1"/>
  <c r="Y584" i="2" a="1"/>
  <c r="Y584" i="2" s="1"/>
  <c r="AD584" i="2" a="1"/>
  <c r="AD584" i="2" s="1"/>
  <c r="S584" i="2" a="1"/>
  <c r="S584" i="2" s="1"/>
  <c r="AC584" i="2" a="1"/>
  <c r="AC584" i="2" s="1"/>
  <c r="W584" i="2" a="1"/>
  <c r="W584" i="2" s="1"/>
  <c r="AG584" i="2" a="1"/>
  <c r="AG584" i="2" s="1"/>
  <c r="AA584" i="2" a="1"/>
  <c r="AA584" i="2" s="1"/>
  <c r="Z584" i="2" a="1"/>
  <c r="Z584" i="2" s="1"/>
  <c r="Y589" i="2" a="1"/>
  <c r="Y589" i="2" s="1"/>
  <c r="AD589" i="2" a="1"/>
  <c r="AD589" i="2" s="1"/>
  <c r="S589" i="2" a="1"/>
  <c r="S589" i="2" s="1"/>
  <c r="AC589" i="2" a="1"/>
  <c r="AC589" i="2" s="1"/>
  <c r="W589" i="2" a="1"/>
  <c r="W589" i="2" s="1"/>
  <c r="AG589" i="2" a="1"/>
  <c r="AG589" i="2" s="1"/>
  <c r="AA589" i="2" a="1"/>
  <c r="AA589" i="2" s="1"/>
  <c r="Z589" i="2" a="1"/>
  <c r="Z589" i="2" s="1"/>
  <c r="B176" i="7" a="1"/>
  <c r="B176" i="7" s="1"/>
  <c r="B325" i="4" a="1"/>
  <c r="B325" i="4" s="1"/>
  <c r="Z591" i="2" a="1"/>
  <c r="Z591" i="2" s="1"/>
  <c r="AE591" i="2" a="1"/>
  <c r="AE591" i="2" s="1"/>
  <c r="T591" i="2" a="1"/>
  <c r="T591" i="2" s="1"/>
  <c r="Y591" i="2" a="1"/>
  <c r="Y591" i="2" s="1"/>
  <c r="AD591" i="2" a="1"/>
  <c r="AD591" i="2" s="1"/>
  <c r="S591" i="2" a="1"/>
  <c r="S591" i="2" s="1"/>
  <c r="X591" i="2" a="1"/>
  <c r="X591" i="2" s="1"/>
  <c r="W591" i="2" a="1"/>
  <c r="W591" i="2" s="1"/>
  <c r="AC591" i="2" a="1"/>
  <c r="AC591" i="2" s="1"/>
  <c r="U471" i="12" a="1"/>
  <c r="U471" i="12" s="1"/>
  <c r="B181" i="7" a="1"/>
  <c r="B181" i="7" s="1"/>
  <c r="B172" i="6" a="1"/>
  <c r="B172" i="6" s="1"/>
  <c r="B332" i="4" a="1"/>
  <c r="B332" i="4" s="1"/>
  <c r="X597" i="2" a="1"/>
  <c r="X597" i="2" s="1"/>
  <c r="AC597" i="2" a="1"/>
  <c r="AC597" i="2" s="1"/>
  <c r="W597" i="2" a="1"/>
  <c r="W597" i="2" s="1"/>
  <c r="AB597" i="2" a="1"/>
  <c r="AB597" i="2" s="1"/>
  <c r="V597" i="2" a="1"/>
  <c r="V597" i="2" s="1"/>
  <c r="AG597" i="2" a="1"/>
  <c r="AG597" i="2" s="1"/>
  <c r="AA597" i="2" a="1"/>
  <c r="AA597" i="2" s="1"/>
  <c r="AF597" i="2" a="1"/>
  <c r="AF597" i="2" s="1"/>
  <c r="Z597" i="2" a="1"/>
  <c r="Z597" i="2" s="1"/>
  <c r="AE597" i="2" a="1"/>
  <c r="AE597" i="2" s="1"/>
  <c r="X604" i="2" a="1"/>
  <c r="X604" i="2" s="1"/>
  <c r="AE604" i="2" a="1"/>
  <c r="AE604" i="2" s="1"/>
  <c r="T604" i="2" a="1"/>
  <c r="T604" i="2" s="1"/>
  <c r="U429" i="12" a="1"/>
  <c r="U429" i="12" s="1"/>
  <c r="X607" i="2" a="1"/>
  <c r="X607" i="2" s="1"/>
  <c r="AC607" i="2" a="1"/>
  <c r="AC607" i="2" s="1"/>
  <c r="W607" i="2" a="1"/>
  <c r="W607" i="2" s="1"/>
  <c r="AB607" i="2" a="1"/>
  <c r="AB607" i="2" s="1"/>
  <c r="V607" i="2" a="1"/>
  <c r="V607" i="2" s="1"/>
  <c r="AG607" i="2" a="1"/>
  <c r="AG607" i="2" s="1"/>
  <c r="AA607" i="2" a="1"/>
  <c r="AA607" i="2" s="1"/>
  <c r="AF607" i="2" a="1"/>
  <c r="AF607" i="2" s="1"/>
  <c r="Z607" i="2" a="1"/>
  <c r="Z607" i="2" s="1"/>
  <c r="AD607" i="2" a="1"/>
  <c r="AD607" i="2" s="1"/>
  <c r="S607" i="2" a="1"/>
  <c r="S607" i="2" s="1"/>
  <c r="E487" i="12" a="1"/>
  <c r="E487" i="12" s="1"/>
  <c r="X614" i="2" a="1"/>
  <c r="X614" i="2" s="1"/>
  <c r="AE614" i="2" a="1"/>
  <c r="AE614" i="2" s="1"/>
  <c r="T614" i="2" a="1"/>
  <c r="T614" i="2" s="1"/>
  <c r="D190" i="7" a="1"/>
  <c r="D190" i="7" s="1"/>
  <c r="D356" i="4" a="1"/>
  <c r="D356" i="4" s="1"/>
  <c r="U430" i="12" a="1"/>
  <c r="U430" i="12" s="1"/>
  <c r="S627" i="2" a="1"/>
  <c r="S627" i="2" s="1"/>
  <c r="AC627" i="2" a="1"/>
  <c r="AC627" i="2" s="1"/>
  <c r="V627" i="2" a="1"/>
  <c r="V627" i="2" s="1"/>
  <c r="AE630" i="2" a="1"/>
  <c r="AE630" i="2" s="1"/>
  <c r="AD630" i="2" a="1"/>
  <c r="AD630" i="2" s="1"/>
  <c r="W630" i="2" a="1"/>
  <c r="W630" i="2" s="1"/>
  <c r="AC630" i="2" a="1"/>
  <c r="AC630" i="2" s="1"/>
  <c r="V630" i="2" a="1"/>
  <c r="V630" i="2" s="1"/>
  <c r="AB630" i="2" a="1"/>
  <c r="AB630" i="2" s="1"/>
  <c r="AA630" i="2" a="1"/>
  <c r="AA630" i="2" s="1"/>
  <c r="T630" i="2" a="1"/>
  <c r="T630" i="2" s="1"/>
  <c r="S630" i="2" a="1"/>
  <c r="S630" i="2" s="1"/>
  <c r="AF630" i="2" a="1"/>
  <c r="AF630" i="2" s="1"/>
  <c r="Y630" i="2" a="1"/>
  <c r="Y630" i="2" s="1"/>
  <c r="X630" i="2" a="1"/>
  <c r="X630" i="2" s="1"/>
  <c r="U548" i="12" a="1"/>
  <c r="U548" i="12" s="1"/>
  <c r="U477" i="12" a="1"/>
  <c r="U477" i="12" s="1"/>
  <c r="U595" i="12" a="1"/>
  <c r="U595" i="12" s="1"/>
  <c r="U599" i="12" a="1"/>
  <c r="U599" i="12" s="1"/>
  <c r="U98" i="12" a="1"/>
  <c r="U98" i="12" s="1"/>
  <c r="E262" i="12" a="1"/>
  <c r="E262" i="12" s="1"/>
  <c r="W487" i="2" a="1"/>
  <c r="W487" i="2" s="1"/>
  <c r="D141" i="7" a="1"/>
  <c r="D141" i="7" s="1"/>
  <c r="D121" i="5" a="1"/>
  <c r="D121" i="5" s="1"/>
  <c r="D242" i="4" a="1"/>
  <c r="D242" i="4" s="1"/>
  <c r="B142" i="7" a="1"/>
  <c r="B142" i="7" s="1"/>
  <c r="B243" i="4" a="1"/>
  <c r="B243" i="4" s="1"/>
  <c r="V493" i="2" a="1"/>
  <c r="V493" i="2" s="1"/>
  <c r="AG493" i="2" a="1"/>
  <c r="AG493" i="2" s="1"/>
  <c r="T494" i="2" a="1"/>
  <c r="T494" i="2" s="1"/>
  <c r="AE494" i="2" a="1"/>
  <c r="AE494" i="2" s="1"/>
  <c r="E591" i="12" a="1"/>
  <c r="E591" i="12" s="1"/>
  <c r="D135" i="5" a="1"/>
  <c r="D135" i="5" s="1"/>
  <c r="D262" i="4" a="1"/>
  <c r="D262" i="4" s="1"/>
  <c r="U270" i="12" a="1"/>
  <c r="U270" i="12" s="1"/>
  <c r="U349" i="12" a="1"/>
  <c r="U349" i="12" s="1"/>
  <c r="AG504" i="2" a="1"/>
  <c r="AG504" i="2" s="1"/>
  <c r="V504" i="2" a="1"/>
  <c r="V504" i="2" s="1"/>
  <c r="W504" i="2" a="1"/>
  <c r="W504" i="2" s="1"/>
  <c r="AC504" i="2" a="1"/>
  <c r="AC504" i="2" s="1"/>
  <c r="E601" i="12" a="1"/>
  <c r="E601" i="12" s="1"/>
  <c r="W620" i="12" a="1"/>
  <c r="W620" i="12" s="1"/>
  <c r="AP510" i="2" a="1"/>
  <c r="AP510" i="2" s="1"/>
  <c r="AG512" i="2" a="1"/>
  <c r="AG512" i="2" s="1"/>
  <c r="U367" i="12" a="1"/>
  <c r="U367" i="12" s="1"/>
  <c r="U362" i="12" a="1"/>
  <c r="U362" i="12" s="1"/>
  <c r="W517" i="2" a="1"/>
  <c r="W517" i="2" s="1"/>
  <c r="AC517" i="2" a="1"/>
  <c r="AC517" i="2" s="1"/>
  <c r="AE518" i="2" a="1"/>
  <c r="AE518" i="2" s="1"/>
  <c r="T518" i="2" a="1"/>
  <c r="T518" i="2" s="1"/>
  <c r="W518" i="2" a="1"/>
  <c r="W518" i="2" s="1"/>
  <c r="AC518" i="2" a="1"/>
  <c r="AC518" i="2" s="1"/>
  <c r="W519" i="2" a="1"/>
  <c r="W519" i="2" s="1"/>
  <c r="B140" i="6" a="1"/>
  <c r="B140" i="6" s="1"/>
  <c r="B149" i="7" a="1"/>
  <c r="B149" i="7" s="1"/>
  <c r="B265" i="4" a="1"/>
  <c r="B265" i="4" s="1"/>
  <c r="B138" i="6" a="1"/>
  <c r="B138" i="6" s="1"/>
  <c r="B133" i="5" a="1"/>
  <c r="B133" i="5" s="1"/>
  <c r="B260" i="4" a="1"/>
  <c r="B260" i="4" s="1"/>
  <c r="B139" i="6" a="1"/>
  <c r="B139" i="6" s="1"/>
  <c r="B134" i="5" a="1"/>
  <c r="B134" i="5" s="1"/>
  <c r="B261" i="4" a="1"/>
  <c r="B261" i="4" s="1"/>
  <c r="Y528" i="2" a="1"/>
  <c r="Y528" i="2" s="1"/>
  <c r="D151" i="7" a="1"/>
  <c r="D151" i="7" s="1"/>
  <c r="D272" i="4" a="1"/>
  <c r="D272" i="4" s="1"/>
  <c r="AB529" i="2" a="1"/>
  <c r="AB529" i="2" s="1"/>
  <c r="D141" i="6" a="1"/>
  <c r="D141" i="6" s="1"/>
  <c r="D140" i="5" a="1"/>
  <c r="D140" i="5" s="1"/>
  <c r="D268" i="4" a="1"/>
  <c r="D268" i="4" s="1"/>
  <c r="T532" i="2" a="1"/>
  <c r="T532" i="2" s="1"/>
  <c r="X533" i="2" a="1"/>
  <c r="X533" i="2" s="1"/>
  <c r="AE533" i="2" a="1"/>
  <c r="AE533" i="2" s="1"/>
  <c r="T536" i="2" a="1"/>
  <c r="T536" i="2" s="1"/>
  <c r="E336" i="12" a="1"/>
  <c r="E336" i="12" s="1"/>
  <c r="Z540" i="2" a="1"/>
  <c r="Z540" i="2" s="1"/>
  <c r="AG540" i="2" a="1"/>
  <c r="AG540" i="2" s="1"/>
  <c r="AD541" i="2" a="1"/>
  <c r="AD541" i="2" s="1"/>
  <c r="X541" i="2" a="1"/>
  <c r="X541" i="2" s="1"/>
  <c r="W541" i="2" a="1"/>
  <c r="W541" i="2" s="1"/>
  <c r="AE541" i="2" a="1"/>
  <c r="AE541" i="2" s="1"/>
  <c r="T542" i="2" a="1"/>
  <c r="T542" i="2" s="1"/>
  <c r="E440" i="12" a="1"/>
  <c r="E440" i="12" s="1"/>
  <c r="Z545" i="2" a="1"/>
  <c r="Z545" i="2" s="1"/>
  <c r="AG545" i="2" a="1"/>
  <c r="AG545" i="2" s="1"/>
  <c r="AD546" i="2" a="1"/>
  <c r="AD546" i="2" s="1"/>
  <c r="X546" i="2" a="1"/>
  <c r="X546" i="2" s="1"/>
  <c r="W546" i="2" a="1"/>
  <c r="W546" i="2" s="1"/>
  <c r="AE546" i="2" a="1"/>
  <c r="AE546" i="2" s="1"/>
  <c r="T547" i="2" a="1"/>
  <c r="T547" i="2" s="1"/>
  <c r="U547" i="2" s="1" a="1"/>
  <c r="U547" i="2" s="1"/>
  <c r="E521" i="12" a="1"/>
  <c r="E521" i="12" s="1"/>
  <c r="Z550" i="2" a="1"/>
  <c r="Z550" i="2" s="1"/>
  <c r="AG550" i="2" a="1"/>
  <c r="AG550" i="2" s="1"/>
  <c r="AD551" i="2" a="1"/>
  <c r="AD551" i="2" s="1"/>
  <c r="X551" i="2" a="1"/>
  <c r="X551" i="2" s="1"/>
  <c r="W551" i="2" a="1"/>
  <c r="W551" i="2" s="1"/>
  <c r="AE551" i="2" a="1"/>
  <c r="AE551" i="2" s="1"/>
  <c r="T552" i="2" a="1"/>
  <c r="T552" i="2" s="1"/>
  <c r="U552" i="2" s="1" a="1"/>
  <c r="U552" i="2" s="1"/>
  <c r="E400" i="12" a="1"/>
  <c r="E400" i="12" s="1"/>
  <c r="Z555" i="2" a="1"/>
  <c r="Z555" i="2" s="1"/>
  <c r="AG555" i="2" a="1"/>
  <c r="AG555" i="2" s="1"/>
  <c r="AD556" i="2" a="1"/>
  <c r="AD556" i="2" s="1"/>
  <c r="X556" i="2" a="1"/>
  <c r="X556" i="2" s="1"/>
  <c r="W556" i="2" a="1"/>
  <c r="W556" i="2" s="1"/>
  <c r="AE556" i="2" a="1"/>
  <c r="AE556" i="2" s="1"/>
  <c r="T557" i="2" a="1"/>
  <c r="T557" i="2" s="1"/>
  <c r="U557" i="2" s="1" a="1"/>
  <c r="U557" i="2" s="1"/>
  <c r="E357" i="12" a="1"/>
  <c r="E357" i="12" s="1"/>
  <c r="Z560" i="2" a="1"/>
  <c r="Z560" i="2" s="1"/>
  <c r="AG560" i="2" a="1"/>
  <c r="AG560" i="2" s="1"/>
  <c r="AD561" i="2" a="1"/>
  <c r="AD561" i="2" s="1"/>
  <c r="X561" i="2" a="1"/>
  <c r="X561" i="2" s="1"/>
  <c r="W561" i="2" a="1"/>
  <c r="W561" i="2" s="1"/>
  <c r="AE561" i="2" a="1"/>
  <c r="AE561" i="2" s="1"/>
  <c r="T562" i="2" a="1"/>
  <c r="T562" i="2" s="1"/>
  <c r="E448" i="12" a="1"/>
  <c r="E448" i="12" s="1"/>
  <c r="AE564" i="2" a="1"/>
  <c r="AE564" i="2" s="1"/>
  <c r="D164" i="7" a="1"/>
  <c r="D164" i="7" s="1"/>
  <c r="D165" i="5" a="1"/>
  <c r="D165" i="5" s="1"/>
  <c r="D307" i="4" a="1"/>
  <c r="D307" i="4" s="1"/>
  <c r="D159" i="6" a="1"/>
  <c r="D159" i="6" s="1"/>
  <c r="D298" i="4" a="1"/>
  <c r="D298" i="4" s="1"/>
  <c r="V566" i="2" a="1"/>
  <c r="V566" i="2" s="1"/>
  <c r="AC567" i="2" a="1"/>
  <c r="AC567" i="2" s="1"/>
  <c r="AE569" i="2" a="1"/>
  <c r="AE569" i="2" s="1"/>
  <c r="D160" i="6" a="1"/>
  <c r="D160" i="6" s="1"/>
  <c r="D161" i="5" a="1"/>
  <c r="D161" i="5" s="1"/>
  <c r="D300" i="4" a="1"/>
  <c r="D300" i="4" s="1"/>
  <c r="D167" i="7" a="1"/>
  <c r="D167" i="7" s="1"/>
  <c r="D311" i="4" a="1"/>
  <c r="D311" i="4" s="1"/>
  <c r="V571" i="2" a="1"/>
  <c r="V571" i="2" s="1"/>
  <c r="D161" i="6" a="1"/>
  <c r="D161" i="6" s="1"/>
  <c r="D163" i="5" a="1"/>
  <c r="D163" i="5" s="1"/>
  <c r="D303" i="4" a="1"/>
  <c r="D303" i="4" s="1"/>
  <c r="AD572" i="2" a="1"/>
  <c r="AD572" i="2" s="1"/>
  <c r="D162" i="6" a="1"/>
  <c r="D162" i="6" s="1"/>
  <c r="D305" i="4" a="1"/>
  <c r="D305" i="4" s="1"/>
  <c r="X574" i="2" a="1"/>
  <c r="X574" i="2" s="1"/>
  <c r="U470" i="12" a="1"/>
  <c r="U470" i="12" s="1"/>
  <c r="D164" i="6" a="1"/>
  <c r="D164" i="6" s="1"/>
  <c r="D309" i="4" a="1"/>
  <c r="D309" i="4" s="1"/>
  <c r="AA577" i="2" a="1"/>
  <c r="AA577" i="2" s="1"/>
  <c r="D168" i="7" a="1"/>
  <c r="D168" i="7" s="1"/>
  <c r="D167" i="5" a="1"/>
  <c r="D167" i="5" s="1"/>
  <c r="D313" i="4" a="1"/>
  <c r="D313" i="4" s="1"/>
  <c r="X578" i="2" a="1"/>
  <c r="X578" i="2" s="1"/>
  <c r="AC578" i="2" a="1"/>
  <c r="AC578" i="2" s="1"/>
  <c r="W578" i="2" a="1"/>
  <c r="W578" i="2" s="1"/>
  <c r="AG578" i="2" a="1"/>
  <c r="AG578" i="2" s="1"/>
  <c r="V578" i="2" a="1"/>
  <c r="V578" i="2" s="1"/>
  <c r="AA578" i="2" a="1"/>
  <c r="AA578" i="2" s="1"/>
  <c r="Z578" i="2" a="1"/>
  <c r="Z578" i="2" s="1"/>
  <c r="D175" i="5" a="1"/>
  <c r="D175" i="5" s="1"/>
  <c r="D330" i="4" a="1"/>
  <c r="D330" i="4" s="1"/>
  <c r="B66" i="9" a="1"/>
  <c r="B66" i="9" s="1"/>
  <c r="E380" i="12" a="1"/>
  <c r="E380" i="12" s="1"/>
  <c r="E455" i="12" a="1"/>
  <c r="E455" i="12" s="1"/>
  <c r="E413" i="12" a="1"/>
  <c r="E413" i="12" s="1"/>
  <c r="AF591" i="2" a="1"/>
  <c r="AF591" i="2" s="1"/>
  <c r="B179" i="7" a="1"/>
  <c r="B179" i="7" s="1"/>
  <c r="B170" i="6" a="1"/>
  <c r="B170" i="6" s="1"/>
  <c r="B328" i="4" a="1"/>
  <c r="B328" i="4" s="1"/>
  <c r="D172" i="6" a="1"/>
  <c r="D172" i="6" s="1"/>
  <c r="D181" i="7" a="1"/>
  <c r="D181" i="7" s="1"/>
  <c r="D332" i="4" a="1"/>
  <c r="D332" i="4" s="1"/>
  <c r="U486" i="12" a="1"/>
  <c r="U486" i="12" s="1"/>
  <c r="U472" i="12" a="1"/>
  <c r="U472" i="12" s="1"/>
  <c r="Z606" i="2" a="1"/>
  <c r="Z606" i="2" s="1"/>
  <c r="AE606" i="2" a="1"/>
  <c r="AE606" i="2" s="1"/>
  <c r="T606" i="2" a="1"/>
  <c r="T606" i="2" s="1"/>
  <c r="Y606" i="2" a="1"/>
  <c r="Y606" i="2" s="1"/>
  <c r="AD606" i="2" a="1"/>
  <c r="AD606" i="2" s="1"/>
  <c r="S606" i="2" a="1"/>
  <c r="S606" i="2" s="1"/>
  <c r="X606" i="2" a="1"/>
  <c r="X606" i="2" s="1"/>
  <c r="AC606" i="2" a="1"/>
  <c r="AC606" i="2" s="1"/>
  <c r="W606" i="2" a="1"/>
  <c r="W606" i="2" s="1"/>
  <c r="AF606" i="2" a="1"/>
  <c r="AF606" i="2" s="1"/>
  <c r="B189" i="5" a="1"/>
  <c r="B189" i="5" s="1"/>
  <c r="B363" i="4" a="1"/>
  <c r="B363" i="4" s="1"/>
  <c r="X610" i="2" a="1"/>
  <c r="X610" i="2" s="1"/>
  <c r="U410" i="12" a="1"/>
  <c r="U410" i="12" s="1"/>
  <c r="B193" i="5" a="1"/>
  <c r="B193" i="5" s="1"/>
  <c r="B374" i="4" a="1"/>
  <c r="B374" i="4" s="1"/>
  <c r="T617" i="2" a="1"/>
  <c r="T617" i="2" s="1"/>
  <c r="U620" i="2" a="1"/>
  <c r="U620" i="2" s="1"/>
  <c r="AG625" i="2" a="1"/>
  <c r="AG625" i="2" s="1"/>
  <c r="X626" i="2" a="1"/>
  <c r="X626" i="2" s="1"/>
  <c r="U633" i="2" a="1"/>
  <c r="U633" i="2" s="1"/>
  <c r="U473" i="12" a="1"/>
  <c r="U473" i="12" s="1"/>
  <c r="U634" i="2" a="1"/>
  <c r="U634" i="2" s="1"/>
  <c r="AC636" i="2" a="1"/>
  <c r="AC636" i="2" s="1"/>
  <c r="V636" i="2" a="1"/>
  <c r="V636" i="2" s="1"/>
  <c r="AB636" i="2" a="1"/>
  <c r="AB636" i="2" s="1"/>
  <c r="AA636" i="2" a="1"/>
  <c r="AA636" i="2" s="1"/>
  <c r="T636" i="2" a="1"/>
  <c r="T636" i="2" s="1"/>
  <c r="S636" i="2" a="1"/>
  <c r="S636" i="2" s="1"/>
  <c r="AG636" i="2" a="1"/>
  <c r="AG636" i="2" s="1"/>
  <c r="Z636" i="2" a="1"/>
  <c r="Z636" i="2" s="1"/>
  <c r="AF636" i="2" a="1"/>
  <c r="AF636" i="2" s="1"/>
  <c r="Y636" i="2" a="1"/>
  <c r="Y636" i="2" s="1"/>
  <c r="X636" i="2" a="1"/>
  <c r="X636" i="2" s="1"/>
  <c r="AE636" i="2" a="1"/>
  <c r="AE636" i="2" s="1"/>
  <c r="AD636" i="2" a="1"/>
  <c r="AD636" i="2" s="1"/>
  <c r="W636" i="2" a="1"/>
  <c r="W636" i="2" s="1"/>
  <c r="U554" i="12" a="1"/>
  <c r="U554" i="12" s="1"/>
  <c r="U543" i="12" a="1"/>
  <c r="U543" i="12" s="1"/>
  <c r="U665" i="2" a="1"/>
  <c r="U665" i="2" s="1"/>
  <c r="U542" i="12" a="1"/>
  <c r="U542" i="12" s="1"/>
  <c r="W51" i="3" a="1"/>
  <c r="W51" i="3" s="1"/>
  <c r="E605" i="12" a="1"/>
  <c r="E605" i="12" s="1"/>
  <c r="AC487" i="2" a="1"/>
  <c r="AC487" i="2" s="1"/>
  <c r="AB493" i="2" a="1"/>
  <c r="AB493" i="2" s="1"/>
  <c r="Z494" i="2" a="1"/>
  <c r="Z494" i="2" s="1"/>
  <c r="AD504" i="2" a="1"/>
  <c r="AD504" i="2" s="1"/>
  <c r="U284" i="12" a="1"/>
  <c r="U284" i="12" s="1"/>
  <c r="AB517" i="2" a="1"/>
  <c r="AB517" i="2" s="1"/>
  <c r="V517" i="2" a="1"/>
  <c r="V517" i="2" s="1"/>
  <c r="X519" i="2" a="1"/>
  <c r="X519" i="2" s="1"/>
  <c r="AD519" i="2" a="1"/>
  <c r="AD519" i="2" s="1"/>
  <c r="E338" i="12" a="1"/>
  <c r="E338" i="12" s="1"/>
  <c r="X520" i="2" a="1"/>
  <c r="X520" i="2" s="1"/>
  <c r="AD520" i="2" a="1"/>
  <c r="AD520" i="2" s="1"/>
  <c r="E381" i="12" a="1"/>
  <c r="E381" i="12" s="1"/>
  <c r="X521" i="2" a="1"/>
  <c r="X521" i="2" s="1"/>
  <c r="S522" i="2" a="1"/>
  <c r="S522" i="2" s="1"/>
  <c r="Y522" i="2" a="1"/>
  <c r="Y522" i="2" s="1"/>
  <c r="AE522" i="2" a="1"/>
  <c r="AE522" i="2" s="1"/>
  <c r="S528" i="2" a="1"/>
  <c r="S528" i="2" s="1"/>
  <c r="AF528" i="2" a="1"/>
  <c r="AF528" i="2" s="1"/>
  <c r="V529" i="2" a="1"/>
  <c r="V529" i="2" s="1"/>
  <c r="E318" i="12" a="1"/>
  <c r="E318" i="12" s="1"/>
  <c r="AF531" i="2" a="1"/>
  <c r="AF531" i="2" s="1"/>
  <c r="E339" i="12" a="1"/>
  <c r="E339" i="12" s="1"/>
  <c r="AF533" i="2" a="1"/>
  <c r="AF533" i="2" s="1"/>
  <c r="S540" i="2" a="1"/>
  <c r="S540" i="2" s="1"/>
  <c r="AA540" i="2" a="1"/>
  <c r="AA540" i="2" s="1"/>
  <c r="Y541" i="2" a="1"/>
  <c r="Y541" i="2" s="1"/>
  <c r="S545" i="2" a="1"/>
  <c r="S545" i="2" s="1"/>
  <c r="AA545" i="2" a="1"/>
  <c r="AA545" i="2" s="1"/>
  <c r="Y546" i="2" a="1"/>
  <c r="Y546" i="2" s="1"/>
  <c r="S550" i="2" a="1"/>
  <c r="S550" i="2" s="1"/>
  <c r="AA550" i="2" a="1"/>
  <c r="AA550" i="2" s="1"/>
  <c r="Y551" i="2" a="1"/>
  <c r="Y551" i="2" s="1"/>
  <c r="S555" i="2" a="1"/>
  <c r="S555" i="2" s="1"/>
  <c r="AA555" i="2" a="1"/>
  <c r="AA555" i="2" s="1"/>
  <c r="Y556" i="2" a="1"/>
  <c r="Y556" i="2" s="1"/>
  <c r="S560" i="2" a="1"/>
  <c r="S560" i="2" s="1"/>
  <c r="AA560" i="2" a="1"/>
  <c r="AA560" i="2" s="1"/>
  <c r="Y561" i="2" a="1"/>
  <c r="Y561" i="2" s="1"/>
  <c r="D165" i="6" a="1"/>
  <c r="D165" i="6" s="1"/>
  <c r="D166" i="7" a="1"/>
  <c r="D166" i="7" s="1"/>
  <c r="D166" i="5" a="1"/>
  <c r="D166" i="5" s="1"/>
  <c r="D310" i="4" a="1"/>
  <c r="D310" i="4" s="1"/>
  <c r="W572" i="2" a="1"/>
  <c r="W572" i="2" s="1"/>
  <c r="W574" i="2" a="1"/>
  <c r="W574" i="2" s="1"/>
  <c r="AG574" i="2" a="1"/>
  <c r="AG574" i="2" s="1"/>
  <c r="V574" i="2" a="1"/>
  <c r="V574" i="2" s="1"/>
  <c r="AA574" i="2" a="1"/>
  <c r="AA574" i="2" s="1"/>
  <c r="Y574" i="2" a="1"/>
  <c r="Y574" i="2" s="1"/>
  <c r="AF574" i="2" a="1"/>
  <c r="AF574" i="2" s="1"/>
  <c r="E310" i="12" a="1"/>
  <c r="E310" i="12" s="1"/>
  <c r="E353" i="12" a="1"/>
  <c r="E353" i="12" s="1"/>
  <c r="AB578" i="2" a="1"/>
  <c r="AB578" i="2" s="1"/>
  <c r="AF581" i="2" a="1"/>
  <c r="AF581" i="2" s="1"/>
  <c r="T582" i="2" a="1"/>
  <c r="T582" i="2" s="1"/>
  <c r="U582" i="2" s="1" a="1"/>
  <c r="U582" i="2" s="1"/>
  <c r="AE582" i="2" a="1"/>
  <c r="AE582" i="2" s="1"/>
  <c r="AB584" i="2" a="1"/>
  <c r="AB584" i="2" s="1"/>
  <c r="AB589" i="2" a="1"/>
  <c r="AB589" i="2" s="1"/>
  <c r="W590" i="2" a="1"/>
  <c r="W590" i="2" s="1"/>
  <c r="AB590" i="2" a="1"/>
  <c r="AB590" i="2" s="1"/>
  <c r="V590" i="2" a="1"/>
  <c r="V590" i="2" s="1"/>
  <c r="AG590" i="2" a="1"/>
  <c r="AG590" i="2" s="1"/>
  <c r="AA590" i="2" a="1"/>
  <c r="AA590" i="2" s="1"/>
  <c r="AF590" i="2" a="1"/>
  <c r="AF590" i="2" s="1"/>
  <c r="Z590" i="2" a="1"/>
  <c r="Z590" i="2" s="1"/>
  <c r="Y590" i="2" a="1"/>
  <c r="Y590" i="2" s="1"/>
  <c r="E535" i="12" a="1"/>
  <c r="E535" i="12" s="1"/>
  <c r="AG591" i="2" a="1"/>
  <c r="AG591" i="2" s="1"/>
  <c r="T594" i="2" a="1"/>
  <c r="T594" i="2" s="1"/>
  <c r="AF594" i="2" a="1"/>
  <c r="AF594" i="2" s="1"/>
  <c r="B184" i="5" a="1"/>
  <c r="B184" i="5" s="1"/>
  <c r="B354" i="4" a="1"/>
  <c r="B354" i="4" s="1"/>
  <c r="AA596" i="2" a="1"/>
  <c r="AA596" i="2" s="1"/>
  <c r="S597" i="2" a="1"/>
  <c r="S597" i="2" s="1"/>
  <c r="D188" i="5" a="1"/>
  <c r="D188" i="5" s="1"/>
  <c r="D360" i="4" a="1"/>
  <c r="D360" i="4" s="1"/>
  <c r="S600" i="2" a="1"/>
  <c r="S600" i="2" s="1"/>
  <c r="V601" i="2" a="1"/>
  <c r="V601" i="2" s="1"/>
  <c r="W605" i="2" a="1"/>
  <c r="W605" i="2" s="1"/>
  <c r="AB605" i="2" a="1"/>
  <c r="AB605" i="2" s="1"/>
  <c r="V605" i="2" a="1"/>
  <c r="V605" i="2" s="1"/>
  <c r="AG605" i="2" a="1"/>
  <c r="AG605" i="2" s="1"/>
  <c r="AA605" i="2" a="1"/>
  <c r="AA605" i="2" s="1"/>
  <c r="AF605" i="2" a="1"/>
  <c r="AF605" i="2" s="1"/>
  <c r="Z605" i="2" a="1"/>
  <c r="Z605" i="2" s="1"/>
  <c r="AE605" i="2" a="1"/>
  <c r="AE605" i="2" s="1"/>
  <c r="T605" i="2" a="1"/>
  <c r="T605" i="2" s="1"/>
  <c r="U605" i="2" s="1" a="1"/>
  <c r="U605" i="2" s="1"/>
  <c r="Y605" i="2" a="1"/>
  <c r="Y605" i="2" s="1"/>
  <c r="AC605" i="2" a="1"/>
  <c r="AC605" i="2" s="1"/>
  <c r="B187" i="7" a="1"/>
  <c r="B187" i="7" s="1"/>
  <c r="B179" i="6" a="1"/>
  <c r="B179" i="6" s="1"/>
  <c r="B341" i="4" a="1"/>
  <c r="B341" i="4" s="1"/>
  <c r="AC631" i="2" a="1"/>
  <c r="AC631" i="2" s="1"/>
  <c r="V631" i="2" a="1"/>
  <c r="V631" i="2" s="1"/>
  <c r="AB631" i="2" a="1"/>
  <c r="AB631" i="2" s="1"/>
  <c r="AA631" i="2" a="1"/>
  <c r="AA631" i="2" s="1"/>
  <c r="T631" i="2" a="1"/>
  <c r="T631" i="2" s="1"/>
  <c r="S631" i="2" a="1"/>
  <c r="S631" i="2" s="1"/>
  <c r="AG631" i="2" a="1"/>
  <c r="AG631" i="2" s="1"/>
  <c r="Z631" i="2" a="1"/>
  <c r="Z631" i="2" s="1"/>
  <c r="AF631" i="2" a="1"/>
  <c r="AF631" i="2" s="1"/>
  <c r="Y631" i="2" a="1"/>
  <c r="Y631" i="2" s="1"/>
  <c r="AE631" i="2" a="1"/>
  <c r="AE631" i="2" s="1"/>
  <c r="AD631" i="2" a="1"/>
  <c r="AD631" i="2" s="1"/>
  <c r="W631" i="2" a="1"/>
  <c r="W631" i="2" s="1"/>
  <c r="B191" i="6" a="1"/>
  <c r="B191" i="6" s="1"/>
  <c r="B195" i="7" a="1"/>
  <c r="B195" i="7" s="1"/>
  <c r="B364" i="4" a="1"/>
  <c r="B364" i="4" s="1"/>
  <c r="AE635" i="2" a="1"/>
  <c r="AE635" i="2" s="1"/>
  <c r="AD635" i="2" a="1"/>
  <c r="AD635" i="2" s="1"/>
  <c r="W635" i="2" a="1"/>
  <c r="W635" i="2" s="1"/>
  <c r="AC635" i="2" a="1"/>
  <c r="AC635" i="2" s="1"/>
  <c r="V635" i="2" a="1"/>
  <c r="V635" i="2" s="1"/>
  <c r="AB635" i="2" a="1"/>
  <c r="AB635" i="2" s="1"/>
  <c r="AA635" i="2" a="1"/>
  <c r="AA635" i="2" s="1"/>
  <c r="T635" i="2" a="1"/>
  <c r="T635" i="2" s="1"/>
  <c r="S635" i="2" a="1"/>
  <c r="S635" i="2" s="1"/>
  <c r="AG635" i="2" a="1"/>
  <c r="AG635" i="2" s="1"/>
  <c r="Z635" i="2" a="1"/>
  <c r="Z635" i="2" s="1"/>
  <c r="AF635" i="2" a="1"/>
  <c r="AF635" i="2" s="1"/>
  <c r="Y635" i="2" a="1"/>
  <c r="Y635" i="2" s="1"/>
  <c r="X635" i="2" a="1"/>
  <c r="X635" i="2" s="1"/>
  <c r="U644" i="2" a="1"/>
  <c r="U644" i="2" s="1"/>
  <c r="U650" i="2" a="1"/>
  <c r="U650" i="2" s="1"/>
  <c r="U657" i="2" a="1"/>
  <c r="U657" i="2" s="1"/>
  <c r="U669" i="2" a="1"/>
  <c r="U669" i="2" s="1"/>
  <c r="AO535" i="2" a="1"/>
  <c r="AO535" i="2" s="1"/>
  <c r="V536" i="2" a="1"/>
  <c r="V536" i="2" s="1"/>
  <c r="B143" i="6" a="1"/>
  <c r="B143" i="6" s="1"/>
  <c r="B143" i="5" a="1"/>
  <c r="B143" i="5" s="1"/>
  <c r="B273" i="4" a="1"/>
  <c r="B273" i="4" s="1"/>
  <c r="W539" i="2" a="1"/>
  <c r="W539" i="2" s="1"/>
  <c r="AG539" i="2" a="1"/>
  <c r="AG539" i="2" s="1"/>
  <c r="V539" i="2" a="1"/>
  <c r="V539" i="2" s="1"/>
  <c r="X539" i="2" a="1"/>
  <c r="X539" i="2" s="1"/>
  <c r="AE539" i="2" a="1"/>
  <c r="AE539" i="2" s="1"/>
  <c r="E373" i="12" a="1"/>
  <c r="E373" i="12" s="1"/>
  <c r="W544" i="2" a="1"/>
  <c r="W544" i="2" s="1"/>
  <c r="AG544" i="2" a="1"/>
  <c r="AG544" i="2" s="1"/>
  <c r="V544" i="2" a="1"/>
  <c r="V544" i="2" s="1"/>
  <c r="X544" i="2" a="1"/>
  <c r="X544" i="2" s="1"/>
  <c r="AE544" i="2" a="1"/>
  <c r="AE544" i="2" s="1"/>
  <c r="E304" i="12" a="1"/>
  <c r="E304" i="12" s="1"/>
  <c r="W549" i="2" a="1"/>
  <c r="W549" i="2" s="1"/>
  <c r="AG549" i="2" a="1"/>
  <c r="AG549" i="2" s="1"/>
  <c r="V549" i="2" a="1"/>
  <c r="V549" i="2" s="1"/>
  <c r="X549" i="2" a="1"/>
  <c r="X549" i="2" s="1"/>
  <c r="AE549" i="2" a="1"/>
  <c r="AE549" i="2" s="1"/>
  <c r="E341" i="12" a="1"/>
  <c r="E341" i="12" s="1"/>
  <c r="W554" i="2" a="1"/>
  <c r="W554" i="2" s="1"/>
  <c r="AG554" i="2" a="1"/>
  <c r="AG554" i="2" s="1"/>
  <c r="V554" i="2" a="1"/>
  <c r="V554" i="2" s="1"/>
  <c r="X554" i="2" a="1"/>
  <c r="X554" i="2" s="1"/>
  <c r="AE554" i="2" a="1"/>
  <c r="AE554" i="2" s="1"/>
  <c r="E385" i="12" a="1"/>
  <c r="E385" i="12" s="1"/>
  <c r="W559" i="2" a="1"/>
  <c r="W559" i="2" s="1"/>
  <c r="AG559" i="2" a="1"/>
  <c r="AG559" i="2" s="1"/>
  <c r="V559" i="2" a="1"/>
  <c r="V559" i="2" s="1"/>
  <c r="X559" i="2" a="1"/>
  <c r="X559" i="2" s="1"/>
  <c r="AE559" i="2" a="1"/>
  <c r="AE559" i="2" s="1"/>
  <c r="E443" i="12" a="1"/>
  <c r="E443" i="12" s="1"/>
  <c r="W564" i="2" a="1"/>
  <c r="W564" i="2" s="1"/>
  <c r="AG564" i="2" a="1"/>
  <c r="AG564" i="2" s="1"/>
  <c r="V564" i="2" a="1"/>
  <c r="V564" i="2" s="1"/>
  <c r="AA564" i="2" a="1"/>
  <c r="AA564" i="2" s="1"/>
  <c r="Y564" i="2" a="1"/>
  <c r="Y564" i="2" s="1"/>
  <c r="AF564" i="2" a="1"/>
  <c r="AF564" i="2" s="1"/>
  <c r="AD566" i="2" a="1"/>
  <c r="AD566" i="2" s="1"/>
  <c r="X566" i="2" a="1"/>
  <c r="X566" i="2" s="1"/>
  <c r="W566" i="2" a="1"/>
  <c r="W566" i="2" s="1"/>
  <c r="AB566" i="2" a="1"/>
  <c r="AB566" i="2" s="1"/>
  <c r="Y566" i="2" a="1"/>
  <c r="Y566" i="2" s="1"/>
  <c r="AF566" i="2" a="1"/>
  <c r="AF566" i="2" s="1"/>
  <c r="W567" i="2" a="1"/>
  <c r="W567" i="2" s="1"/>
  <c r="W569" i="2" a="1"/>
  <c r="W569" i="2" s="1"/>
  <c r="AG569" i="2" a="1"/>
  <c r="AG569" i="2" s="1"/>
  <c r="V569" i="2" a="1"/>
  <c r="V569" i="2" s="1"/>
  <c r="AA569" i="2" a="1"/>
  <c r="AA569" i="2" s="1"/>
  <c r="Y569" i="2" a="1"/>
  <c r="Y569" i="2" s="1"/>
  <c r="AF569" i="2" a="1"/>
  <c r="AF569" i="2" s="1"/>
  <c r="AD571" i="2" a="1"/>
  <c r="AD571" i="2" s="1"/>
  <c r="X571" i="2" a="1"/>
  <c r="X571" i="2" s="1"/>
  <c r="W571" i="2" a="1"/>
  <c r="W571" i="2" s="1"/>
  <c r="AB571" i="2" a="1"/>
  <c r="AB571" i="2" s="1"/>
  <c r="Y571" i="2" a="1"/>
  <c r="Y571" i="2" s="1"/>
  <c r="AF571" i="2" a="1"/>
  <c r="AF571" i="2" s="1"/>
  <c r="E369" i="12" a="1"/>
  <c r="E369" i="12" s="1"/>
  <c r="U369" i="12" a="1"/>
  <c r="U369" i="12" s="1"/>
  <c r="D176" i="7" a="1"/>
  <c r="D176" i="7" s="1"/>
  <c r="D325" i="4" a="1"/>
  <c r="D325" i="4" s="1"/>
  <c r="E324" i="12" a="1"/>
  <c r="E324" i="12" s="1"/>
  <c r="U535" i="12" a="1"/>
  <c r="U535" i="12" s="1"/>
  <c r="U433" i="12" a="1"/>
  <c r="U433" i="12" s="1"/>
  <c r="B178" i="6" a="1"/>
  <c r="B178" i="6" s="1"/>
  <c r="B186" i="7" a="1"/>
  <c r="B186" i="7" s="1"/>
  <c r="B340" i="4" a="1"/>
  <c r="B340" i="4" s="1"/>
  <c r="T607" i="2" a="1"/>
  <c r="T607" i="2" s="1"/>
  <c r="U447" i="12" a="1"/>
  <c r="U447" i="12" s="1"/>
  <c r="U424" i="12" a="1"/>
  <c r="U424" i="12" s="1"/>
  <c r="Z630" i="2" a="1"/>
  <c r="Z630" i="2" s="1"/>
  <c r="S632" i="2" a="1"/>
  <c r="S632" i="2" s="1"/>
  <c r="AC632" i="2" a="1"/>
  <c r="AC632" i="2" s="1"/>
  <c r="V632" i="2" a="1"/>
  <c r="V632" i="2" s="1"/>
  <c r="U481" i="12" a="1"/>
  <c r="U481" i="12" s="1"/>
  <c r="U592" i="12" a="1"/>
  <c r="U592" i="12" s="1"/>
  <c r="U550" i="12" a="1"/>
  <c r="U550" i="12" s="1"/>
  <c r="U590" i="12" a="1"/>
  <c r="U590" i="12" s="1"/>
  <c r="Y51" i="3" a="1"/>
  <c r="Y51" i="3" s="1"/>
  <c r="Z51" i="3" s="1" a="1"/>
  <c r="Z51" i="3" s="1"/>
  <c r="D139" i="6" a="1"/>
  <c r="D139" i="6" s="1"/>
  <c r="D134" i="5" a="1"/>
  <c r="D134" i="5" s="1"/>
  <c r="D261" i="4" a="1"/>
  <c r="D261" i="4" s="1"/>
  <c r="B142" i="6" a="1"/>
  <c r="B142" i="6" s="1"/>
  <c r="B150" i="7" a="1"/>
  <c r="B150" i="7" s="1"/>
  <c r="B270" i="4" a="1"/>
  <c r="B270" i="4" s="1"/>
  <c r="E351" i="12" a="1"/>
  <c r="E351" i="12" s="1"/>
  <c r="AN526" i="2" a="1"/>
  <c r="AN526" i="2" s="1"/>
  <c r="Z529" i="2" a="1"/>
  <c r="Z529" i="2" s="1"/>
  <c r="Y529" i="2" a="1"/>
  <c r="Y529" i="2" s="1"/>
  <c r="W529" i="2" a="1"/>
  <c r="W529" i="2" s="1"/>
  <c r="AD529" i="2" a="1"/>
  <c r="AD529" i="2" s="1"/>
  <c r="B152" i="5" a="1"/>
  <c r="B152" i="5" s="1"/>
  <c r="B283" i="4" a="1"/>
  <c r="B283" i="4" s="1"/>
  <c r="U318" i="12" a="1"/>
  <c r="U318" i="12" s="1"/>
  <c r="B154" i="5" a="1"/>
  <c r="B154" i="5" s="1"/>
  <c r="B285" i="4" a="1"/>
  <c r="B285" i="4" s="1"/>
  <c r="U339" i="12" a="1"/>
  <c r="U339" i="12" s="1"/>
  <c r="B64" i="9" a="1"/>
  <c r="B64" i="9" s="1"/>
  <c r="U336" i="12" a="1"/>
  <c r="U336" i="12" s="1"/>
  <c r="E355" i="12" a="1"/>
  <c r="E355" i="12" s="1"/>
  <c r="Y539" i="2" a="1"/>
  <c r="Y539" i="2" s="1"/>
  <c r="D144" i="5" a="1"/>
  <c r="D144" i="5" s="1"/>
  <c r="D144" i="6" a="1"/>
  <c r="D144" i="6" s="1"/>
  <c r="D274" i="4" a="1"/>
  <c r="D274" i="4" s="1"/>
  <c r="U440" i="12" a="1"/>
  <c r="U440" i="12" s="1"/>
  <c r="E406" i="12" a="1"/>
  <c r="E406" i="12" s="1"/>
  <c r="Y544" i="2" a="1"/>
  <c r="Y544" i="2" s="1"/>
  <c r="D147" i="6" a="1"/>
  <c r="D147" i="6" s="1"/>
  <c r="D146" i="5" a="1"/>
  <c r="D146" i="5" s="1"/>
  <c r="D277" i="4" a="1"/>
  <c r="D277" i="4" s="1"/>
  <c r="U521" i="12" a="1"/>
  <c r="U521" i="12" s="1"/>
  <c r="E342" i="12" a="1"/>
  <c r="E342" i="12" s="1"/>
  <c r="D154" i="6" a="1"/>
  <c r="D154" i="6" s="1"/>
  <c r="D157" i="7" a="1"/>
  <c r="D157" i="7" s="1"/>
  <c r="D291" i="4" a="1"/>
  <c r="D291" i="4" s="1"/>
  <c r="U400" i="12" a="1"/>
  <c r="U400" i="12" s="1"/>
  <c r="E322" i="12" a="1"/>
  <c r="E322" i="12" s="1"/>
  <c r="D160" i="7" a="1"/>
  <c r="D160" i="7" s="1"/>
  <c r="D156" i="6" a="1"/>
  <c r="D156" i="6" s="1"/>
  <c r="D295" i="4" a="1"/>
  <c r="D295" i="4" s="1"/>
  <c r="U357" i="12" a="1"/>
  <c r="U357" i="12" s="1"/>
  <c r="E399" i="12" a="1"/>
  <c r="E399" i="12" s="1"/>
  <c r="D157" i="6" a="1"/>
  <c r="D157" i="6" s="1"/>
  <c r="D296" i="4" a="1"/>
  <c r="D296" i="4" s="1"/>
  <c r="U448" i="12" a="1"/>
  <c r="U448" i="12" s="1"/>
  <c r="E389" i="12" a="1"/>
  <c r="E389" i="12" s="1"/>
  <c r="U389" i="12" a="1"/>
  <c r="U389" i="12" s="1"/>
  <c r="E394" i="12" a="1"/>
  <c r="E394" i="12" s="1"/>
  <c r="U394" i="12" a="1"/>
  <c r="U394" i="12" s="1"/>
  <c r="AG572" i="2" a="1"/>
  <c r="AG572" i="2" s="1"/>
  <c r="V572" i="2" a="1"/>
  <c r="V572" i="2" s="1"/>
  <c r="AF572" i="2" a="1"/>
  <c r="AF572" i="2" s="1"/>
  <c r="Z572" i="2" a="1"/>
  <c r="Z572" i="2" s="1"/>
  <c r="X572" i="2" a="1"/>
  <c r="X572" i="2" s="1"/>
  <c r="E316" i="12" a="1"/>
  <c r="E316" i="12" s="1"/>
  <c r="E470" i="12" a="1"/>
  <c r="E470" i="12" s="1"/>
  <c r="B65" i="9" a="1"/>
  <c r="B65" i="9" s="1"/>
  <c r="E291" i="12" a="1"/>
  <c r="E291" i="12" s="1"/>
  <c r="U371" i="12" a="1"/>
  <c r="U371" i="12" s="1"/>
  <c r="U417" i="12" a="1"/>
  <c r="U417" i="12" s="1"/>
  <c r="T584" i="2" a="1"/>
  <c r="T584" i="2" s="1"/>
  <c r="AE584" i="2" a="1"/>
  <c r="AE584" i="2" s="1"/>
  <c r="D172" i="7" a="1"/>
  <c r="D172" i="7" s="1"/>
  <c r="D172" i="5" a="1"/>
  <c r="D172" i="5" s="1"/>
  <c r="D320" i="4" a="1"/>
  <c r="D320" i="4" s="1"/>
  <c r="T589" i="2" a="1"/>
  <c r="T589" i="2" s="1"/>
  <c r="AE589" i="2" a="1"/>
  <c r="AE589" i="2" s="1"/>
  <c r="D179" i="7" a="1"/>
  <c r="D179" i="7" s="1"/>
  <c r="D170" i="6" a="1"/>
  <c r="D170" i="6" s="1"/>
  <c r="D328" i="4" a="1"/>
  <c r="D328" i="4" s="1"/>
  <c r="Z596" i="2" a="1"/>
  <c r="Z596" i="2" s="1"/>
  <c r="AE596" i="2" a="1"/>
  <c r="AE596" i="2" s="1"/>
  <c r="T596" i="2" a="1"/>
  <c r="T596" i="2" s="1"/>
  <c r="Y596" i="2" a="1"/>
  <c r="Y596" i="2" s="1"/>
  <c r="AD596" i="2" a="1"/>
  <c r="AD596" i="2" s="1"/>
  <c r="S596" i="2" a="1"/>
  <c r="S596" i="2" s="1"/>
  <c r="X596" i="2" a="1"/>
  <c r="X596" i="2" s="1"/>
  <c r="W596" i="2" a="1"/>
  <c r="W596" i="2" s="1"/>
  <c r="AC596" i="2" a="1"/>
  <c r="AC596" i="2" s="1"/>
  <c r="T597" i="2" a="1"/>
  <c r="T597" i="2" s="1"/>
  <c r="Y607" i="2" a="1"/>
  <c r="Y607" i="2" s="1"/>
  <c r="X609" i="2" a="1"/>
  <c r="X609" i="2" s="1"/>
  <c r="AE609" i="2" a="1"/>
  <c r="AE609" i="2" s="1"/>
  <c r="T609" i="2" a="1"/>
  <c r="T609" i="2" s="1"/>
  <c r="U445" i="12" a="1"/>
  <c r="U445" i="12" s="1"/>
  <c r="U482" i="12" a="1"/>
  <c r="U482" i="12" s="1"/>
  <c r="Z616" i="2" a="1"/>
  <c r="Z616" i="2" s="1"/>
  <c r="AE616" i="2" a="1"/>
  <c r="AE616" i="2" s="1"/>
  <c r="T616" i="2" a="1"/>
  <c r="T616" i="2" s="1"/>
  <c r="Y616" i="2" a="1"/>
  <c r="Y616" i="2" s="1"/>
  <c r="AD616" i="2" a="1"/>
  <c r="AD616" i="2" s="1"/>
  <c r="S616" i="2" a="1"/>
  <c r="S616" i="2" s="1"/>
  <c r="X616" i="2" a="1"/>
  <c r="X616" i="2" s="1"/>
  <c r="AC616" i="2" a="1"/>
  <c r="AC616" i="2" s="1"/>
  <c r="W616" i="2" a="1"/>
  <c r="W616" i="2" s="1"/>
  <c r="AG616" i="2" a="1"/>
  <c r="AG616" i="2" s="1"/>
  <c r="AA616" i="2" a="1"/>
  <c r="AA616" i="2" s="1"/>
  <c r="AF616" i="2" a="1"/>
  <c r="AF616" i="2" s="1"/>
  <c r="U395" i="12" a="1"/>
  <c r="U395" i="12" s="1"/>
  <c r="AG618" i="2" a="1"/>
  <c r="AG618" i="2" s="1"/>
  <c r="AA618" i="2" a="1"/>
  <c r="AA618" i="2" s="1"/>
  <c r="AF618" i="2" a="1"/>
  <c r="AF618" i="2" s="1"/>
  <c r="Z618" i="2" a="1"/>
  <c r="Z618" i="2" s="1"/>
  <c r="AE618" i="2" a="1"/>
  <c r="AE618" i="2" s="1"/>
  <c r="T618" i="2" a="1"/>
  <c r="T618" i="2" s="1"/>
  <c r="Y618" i="2" a="1"/>
  <c r="Y618" i="2" s="1"/>
  <c r="AD618" i="2" a="1"/>
  <c r="AD618" i="2" s="1"/>
  <c r="S618" i="2" a="1"/>
  <c r="S618" i="2" s="1"/>
  <c r="X618" i="2" a="1"/>
  <c r="X618" i="2" s="1"/>
  <c r="W618" i="2" a="1"/>
  <c r="W618" i="2" s="1"/>
  <c r="AB618" i="2" a="1"/>
  <c r="AB618" i="2" s="1"/>
  <c r="V618" i="2" a="1"/>
  <c r="V618" i="2" s="1"/>
  <c r="U639" i="2" a="1"/>
  <c r="U639" i="2" s="1"/>
  <c r="U513" i="12" a="1"/>
  <c r="U513" i="12" s="1"/>
  <c r="U544" i="12" a="1"/>
  <c r="U544" i="12" s="1"/>
  <c r="U545" i="12" a="1"/>
  <c r="U545" i="12" s="1"/>
  <c r="R80" i="3" a="1"/>
  <c r="R80" i="3" s="1"/>
  <c r="W612" i="12" a="1"/>
  <c r="W612" i="12" s="1"/>
  <c r="AO490" i="2" a="1"/>
  <c r="AO490" i="2" s="1"/>
  <c r="E350" i="12" a="1"/>
  <c r="E350" i="12" s="1"/>
  <c r="D142" i="7" a="1"/>
  <c r="D142" i="7" s="1"/>
  <c r="D243" i="4" a="1"/>
  <c r="D243" i="4" s="1"/>
  <c r="V494" i="2" a="1"/>
  <c r="V494" i="2" s="1"/>
  <c r="AG494" i="2" a="1"/>
  <c r="AG494" i="2" s="1"/>
  <c r="U574" i="12" a="1"/>
  <c r="U574" i="12" s="1"/>
  <c r="B128" i="6" a="1"/>
  <c r="B128" i="6" s="1"/>
  <c r="B125" i="5" a="1"/>
  <c r="B125" i="5" s="1"/>
  <c r="B247" i="4" a="1"/>
  <c r="B247" i="4" s="1"/>
  <c r="E270" i="12" a="1"/>
  <c r="E270" i="12" s="1"/>
  <c r="E349" i="12" a="1"/>
  <c r="E349" i="12" s="1"/>
  <c r="B139" i="5" a="1"/>
  <c r="B139" i="5" s="1"/>
  <c r="B267" i="4" a="1"/>
  <c r="B267" i="4" s="1"/>
  <c r="AB512" i="2" a="1"/>
  <c r="AB512" i="2" s="1"/>
  <c r="V512" i="2" a="1"/>
  <c r="V512" i="2" s="1"/>
  <c r="B141" i="5" a="1"/>
  <c r="B141" i="5" s="1"/>
  <c r="B269" i="4" a="1"/>
  <c r="B269" i="4" s="1"/>
  <c r="B142" i="5" a="1"/>
  <c r="B142" i="5" s="1"/>
  <c r="B271" i="4" a="1"/>
  <c r="B271" i="4" s="1"/>
  <c r="E249" i="12" a="1"/>
  <c r="E249" i="12" s="1"/>
  <c r="E302" i="12" a="1"/>
  <c r="E302" i="12" s="1"/>
  <c r="S517" i="2" a="1"/>
  <c r="S517" i="2" s="1"/>
  <c r="D136" i="6" a="1"/>
  <c r="D136" i="6" s="1"/>
  <c r="D131" i="5" a="1"/>
  <c r="D131" i="5" s="1"/>
  <c r="D256" i="4" a="1"/>
  <c r="D256" i="4" s="1"/>
  <c r="D149" i="7" a="1"/>
  <c r="D149" i="7" s="1"/>
  <c r="D140" i="6" a="1"/>
  <c r="D140" i="6" s="1"/>
  <c r="D265" i="4" a="1"/>
  <c r="D265" i="4" s="1"/>
  <c r="T521" i="2" a="1"/>
  <c r="T521" i="2" s="1"/>
  <c r="Z521" i="2" a="1"/>
  <c r="Z521" i="2" s="1"/>
  <c r="AF521" i="2" a="1"/>
  <c r="AF521" i="2" s="1"/>
  <c r="AN523" i="2" a="1"/>
  <c r="AN523" i="2" s="1"/>
  <c r="X529" i="2" a="1"/>
  <c r="X529" i="2" s="1"/>
  <c r="AE529" i="2" a="1"/>
  <c r="AE529" i="2" s="1"/>
  <c r="AA531" i="2" a="1"/>
  <c r="AA531" i="2" s="1"/>
  <c r="W532" i="2" a="1"/>
  <c r="W532" i="2" s="1"/>
  <c r="AG532" i="2" a="1"/>
  <c r="AG532" i="2" s="1"/>
  <c r="AA532" i="2" a="1"/>
  <c r="AA532" i="2" s="1"/>
  <c r="AD532" i="2" a="1"/>
  <c r="AD532" i="2" s="1"/>
  <c r="T533" i="2" a="1"/>
  <c r="T533" i="2" s="1"/>
  <c r="AA533" i="2" a="1"/>
  <c r="AA533" i="2" s="1"/>
  <c r="W618" i="12" a="1"/>
  <c r="W618" i="12" s="1"/>
  <c r="AP534" i="2" a="1"/>
  <c r="AP534" i="2" s="1"/>
  <c r="AF536" i="2" a="1"/>
  <c r="AF536" i="2" s="1"/>
  <c r="AE536" i="2" a="1"/>
  <c r="AE536" i="2" s="1"/>
  <c r="Y536" i="2" a="1"/>
  <c r="Y536" i="2" s="1"/>
  <c r="W536" i="2" a="1"/>
  <c r="W536" i="2" s="1"/>
  <c r="AF539" i="2" a="1"/>
  <c r="AF539" i="2" s="1"/>
  <c r="B153" i="7" a="1"/>
  <c r="B153" i="7" s="1"/>
  <c r="B148" i="5" a="1"/>
  <c r="B148" i="5" s="1"/>
  <c r="B279" i="4" a="1"/>
  <c r="B279" i="4" s="1"/>
  <c r="AF544" i="2" a="1"/>
  <c r="AF544" i="2" s="1"/>
  <c r="B154" i="7" a="1"/>
  <c r="B154" i="7" s="1"/>
  <c r="B151" i="6" a="1"/>
  <c r="B151" i="6" s="1"/>
  <c r="B286" i="4" a="1"/>
  <c r="B286" i="4" s="1"/>
  <c r="AF549" i="2" a="1"/>
  <c r="AF549" i="2" s="1"/>
  <c r="B148" i="6" a="1"/>
  <c r="B148" i="6" s="1"/>
  <c r="B149" i="5" a="1"/>
  <c r="B149" i="5" s="1"/>
  <c r="B280" i="4" a="1"/>
  <c r="B280" i="4" s="1"/>
  <c r="AF554" i="2" a="1"/>
  <c r="AF554" i="2" s="1"/>
  <c r="B150" i="6" a="1"/>
  <c r="B150" i="6" s="1"/>
  <c r="B153" i="5" a="1"/>
  <c r="B153" i="5" s="1"/>
  <c r="B284" i="4" a="1"/>
  <c r="B284" i="4" s="1"/>
  <c r="AF559" i="2" a="1"/>
  <c r="AF559" i="2" s="1"/>
  <c r="B162" i="7" a="1"/>
  <c r="B162" i="7" s="1"/>
  <c r="B301" i="4" a="1"/>
  <c r="B301" i="4" s="1"/>
  <c r="Z564" i="2" a="1"/>
  <c r="Z564" i="2" s="1"/>
  <c r="E468" i="12" a="1"/>
  <c r="E468" i="12" s="1"/>
  <c r="U468" i="12" a="1"/>
  <c r="U468" i="12" s="1"/>
  <c r="E278" i="12" a="1"/>
  <c r="E278" i="12" s="1"/>
  <c r="Z566" i="2" a="1"/>
  <c r="Z566" i="2" s="1"/>
  <c r="AG566" i="2" a="1"/>
  <c r="AG566" i="2" s="1"/>
  <c r="AG567" i="2" a="1"/>
  <c r="AG567" i="2" s="1"/>
  <c r="V567" i="2" a="1"/>
  <c r="V567" i="2" s="1"/>
  <c r="AF567" i="2" a="1"/>
  <c r="AF567" i="2" s="1"/>
  <c r="Z567" i="2" a="1"/>
  <c r="Z567" i="2" s="1"/>
  <c r="X567" i="2" a="1"/>
  <c r="X567" i="2" s="1"/>
  <c r="E390" i="12" a="1"/>
  <c r="E390" i="12" s="1"/>
  <c r="Z569" i="2" a="1"/>
  <c r="Z569" i="2" s="1"/>
  <c r="E402" i="12" a="1"/>
  <c r="E402" i="12" s="1"/>
  <c r="U402" i="12" a="1"/>
  <c r="U402" i="12" s="1"/>
  <c r="E396" i="12" a="1"/>
  <c r="E396" i="12" s="1"/>
  <c r="Z571" i="2" a="1"/>
  <c r="Z571" i="2" s="1"/>
  <c r="AG571" i="2" a="1"/>
  <c r="AG571" i="2" s="1"/>
  <c r="E461" i="12" a="1"/>
  <c r="E461" i="12" s="1"/>
  <c r="Y572" i="2" a="1"/>
  <c r="Y572" i="2" s="1"/>
  <c r="U461" i="12" a="1"/>
  <c r="U461" i="12" s="1"/>
  <c r="U316" i="12" a="1"/>
  <c r="U316" i="12" s="1"/>
  <c r="AF577" i="2" a="1"/>
  <c r="AF577" i="2" s="1"/>
  <c r="W670" i="12" a="1"/>
  <c r="W670" i="12" s="1"/>
  <c r="AP580" i="2" a="1"/>
  <c r="AP580" i="2" s="1"/>
  <c r="B166" i="6" a="1"/>
  <c r="B166" i="6" s="1"/>
  <c r="B312" i="4" a="1"/>
  <c r="B312" i="4" s="1"/>
  <c r="B170" i="7" a="1"/>
  <c r="B170" i="7" s="1"/>
  <c r="B169" i="5" a="1"/>
  <c r="B169" i="5" s="1"/>
  <c r="B317" i="4" a="1"/>
  <c r="B317" i="4" s="1"/>
  <c r="E525" i="12" a="1"/>
  <c r="E525" i="12" s="1"/>
  <c r="U455" i="12" a="1"/>
  <c r="U455" i="12" s="1"/>
  <c r="U532" i="12" a="1"/>
  <c r="U532" i="12" s="1"/>
  <c r="U324" i="12" a="1"/>
  <c r="U324" i="12" s="1"/>
  <c r="V591" i="2" a="1"/>
  <c r="V591" i="2" s="1"/>
  <c r="E420" i="12" a="1"/>
  <c r="E420" i="12" s="1"/>
  <c r="U420" i="12" a="1"/>
  <c r="U420" i="12" s="1"/>
  <c r="B353" i="4" a="1"/>
  <c r="B353" i="4" s="1"/>
  <c r="B183" i="5" a="1"/>
  <c r="B183" i="5" s="1"/>
  <c r="E498" i="12" a="1"/>
  <c r="E498" i="12" s="1"/>
  <c r="U437" i="12" a="1"/>
  <c r="U437" i="12" s="1"/>
  <c r="AG603" i="2" a="1"/>
  <c r="AG603" i="2" s="1"/>
  <c r="AA603" i="2" a="1"/>
  <c r="AA603" i="2" s="1"/>
  <c r="AF603" i="2" a="1"/>
  <c r="AF603" i="2" s="1"/>
  <c r="Z603" i="2" a="1"/>
  <c r="Z603" i="2" s="1"/>
  <c r="AE603" i="2" a="1"/>
  <c r="AE603" i="2" s="1"/>
  <c r="T603" i="2" a="1"/>
  <c r="T603" i="2" s="1"/>
  <c r="Y603" i="2" a="1"/>
  <c r="Y603" i="2" s="1"/>
  <c r="AD603" i="2" a="1"/>
  <c r="AD603" i="2" s="1"/>
  <c r="S603" i="2" a="1"/>
  <c r="S603" i="2" s="1"/>
  <c r="X603" i="2" a="1"/>
  <c r="X603" i="2" s="1"/>
  <c r="AB603" i="2" a="1"/>
  <c r="AB603" i="2" s="1"/>
  <c r="V603" i="2" a="1"/>
  <c r="V603" i="2" s="1"/>
  <c r="D186" i="7" a="1"/>
  <c r="D186" i="7" s="1"/>
  <c r="D178" i="6" a="1"/>
  <c r="D178" i="6" s="1"/>
  <c r="D340" i="4" a="1"/>
  <c r="D340" i="4" s="1"/>
  <c r="U487" i="12" a="1"/>
  <c r="U487" i="12" s="1"/>
  <c r="U524" i="12" a="1"/>
  <c r="U524" i="12" s="1"/>
  <c r="B177" i="5" a="1"/>
  <c r="B177" i="5" s="1"/>
  <c r="B177" i="6" a="1"/>
  <c r="B177" i="6" s="1"/>
  <c r="B339" i="4" a="1"/>
  <c r="B339" i="4" s="1"/>
  <c r="AG613" i="2" a="1"/>
  <c r="AG613" i="2" s="1"/>
  <c r="AA613" i="2" a="1"/>
  <c r="AA613" i="2" s="1"/>
  <c r="AF613" i="2" a="1"/>
  <c r="AF613" i="2" s="1"/>
  <c r="Z613" i="2" a="1"/>
  <c r="Z613" i="2" s="1"/>
  <c r="AE613" i="2" a="1"/>
  <c r="AE613" i="2" s="1"/>
  <c r="T613" i="2" a="1"/>
  <c r="T613" i="2" s="1"/>
  <c r="Y613" i="2" a="1"/>
  <c r="Y613" i="2" s="1"/>
  <c r="AD613" i="2" a="1"/>
  <c r="AD613" i="2" s="1"/>
  <c r="S613" i="2" a="1"/>
  <c r="S613" i="2" s="1"/>
  <c r="X613" i="2" a="1"/>
  <c r="X613" i="2" s="1"/>
  <c r="AB613" i="2" a="1"/>
  <c r="AB613" i="2" s="1"/>
  <c r="V613" i="2" a="1"/>
  <c r="V613" i="2" s="1"/>
  <c r="B180" i="6" a="1"/>
  <c r="B180" i="6" s="1"/>
  <c r="B342" i="4" a="1"/>
  <c r="B342" i="4" s="1"/>
  <c r="W615" i="2" a="1"/>
  <c r="W615" i="2" s="1"/>
  <c r="AB615" i="2" a="1"/>
  <c r="AB615" i="2" s="1"/>
  <c r="V615" i="2" a="1"/>
  <c r="V615" i="2" s="1"/>
  <c r="AG615" i="2" a="1"/>
  <c r="AG615" i="2" s="1"/>
  <c r="AA615" i="2" a="1"/>
  <c r="AA615" i="2" s="1"/>
  <c r="AF615" i="2" a="1"/>
  <c r="AF615" i="2" s="1"/>
  <c r="Z615" i="2" a="1"/>
  <c r="Z615" i="2" s="1"/>
  <c r="AE615" i="2" a="1"/>
  <c r="AE615" i="2" s="1"/>
  <c r="T615" i="2" a="1"/>
  <c r="T615" i="2" s="1"/>
  <c r="Y615" i="2" a="1"/>
  <c r="Y615" i="2" s="1"/>
  <c r="AC615" i="2" a="1"/>
  <c r="AC615" i="2" s="1"/>
  <c r="B181" i="6" a="1"/>
  <c r="B181" i="6" s="1"/>
  <c r="B343" i="4" a="1"/>
  <c r="B343" i="4" s="1"/>
  <c r="B182" i="6" a="1"/>
  <c r="B182" i="6" s="1"/>
  <c r="B344" i="4" a="1"/>
  <c r="B344" i="4" s="1"/>
  <c r="E464" i="12" a="1"/>
  <c r="E464" i="12" s="1"/>
  <c r="X619" i="2" a="1"/>
  <c r="X619" i="2" s="1"/>
  <c r="AE619" i="2" a="1"/>
  <c r="AE619" i="2" s="1"/>
  <c r="T619" i="2" a="1"/>
  <c r="T619" i="2" s="1"/>
  <c r="U623" i="2" a="1"/>
  <c r="U623" i="2" s="1"/>
  <c r="U489" i="12" a="1"/>
  <c r="U489" i="12" s="1"/>
  <c r="U624" i="2" a="1"/>
  <c r="U624" i="2" s="1"/>
  <c r="U638" i="2" a="1"/>
  <c r="U638" i="2" s="1"/>
  <c r="U491" i="12" a="1"/>
  <c r="U491" i="12" s="1"/>
  <c r="U655" i="2" a="1"/>
  <c r="U655" i="2" s="1"/>
  <c r="U662" i="2" a="1"/>
  <c r="U662" i="2" s="1"/>
  <c r="U578" i="12" a="1"/>
  <c r="U578" i="12" s="1"/>
  <c r="U587" i="12" a="1"/>
  <c r="U587" i="12" s="1"/>
  <c r="I51" i="3" a="1"/>
  <c r="I51" i="3" s="1"/>
  <c r="R51" i="3" a="1"/>
  <c r="R51" i="3" s="1"/>
  <c r="U112" i="3" a="1"/>
  <c r="U112" i="3" s="1"/>
  <c r="D125" i="6" a="1"/>
  <c r="D125" i="6" s="1"/>
  <c r="D138" i="7" a="1"/>
  <c r="D138" i="7" s="1"/>
  <c r="D117" i="5" a="1"/>
  <c r="D117" i="5" s="1"/>
  <c r="D237" i="4" a="1"/>
  <c r="D237" i="4" s="1"/>
  <c r="E251" i="12" a="1"/>
  <c r="E251" i="12" s="1"/>
  <c r="T487" i="2" a="1"/>
  <c r="T487" i="2" s="1"/>
  <c r="S493" i="2" a="1"/>
  <c r="S493" i="2" s="1"/>
  <c r="U294" i="12" a="1"/>
  <c r="U294" i="12" s="1"/>
  <c r="AG499" i="2" a="1"/>
  <c r="AG499" i="2" s="1"/>
  <c r="V499" i="2" a="1"/>
  <c r="V499" i="2" s="1"/>
  <c r="W499" i="2" a="1"/>
  <c r="W499" i="2" s="1"/>
  <c r="AC499" i="2" a="1"/>
  <c r="AC499" i="2" s="1"/>
  <c r="T504" i="2" a="1"/>
  <c r="T504" i="2" s="1"/>
  <c r="Z504" i="2" a="1"/>
  <c r="Z504" i="2" s="1"/>
  <c r="AF504" i="2" a="1"/>
  <c r="AF504" i="2" s="1"/>
  <c r="U328" i="12" a="1"/>
  <c r="U328" i="12" s="1"/>
  <c r="AM510" i="2" a="1"/>
  <c r="AM510" i="2" s="1"/>
  <c r="E284" i="12" a="1"/>
  <c r="E284" i="12" s="1"/>
  <c r="X512" i="2" a="1"/>
  <c r="X512" i="2" s="1"/>
  <c r="AD512" i="2" a="1"/>
  <c r="AD512" i="2" s="1"/>
  <c r="E367" i="12" a="1"/>
  <c r="E367" i="12" s="1"/>
  <c r="D148" i="7" a="1"/>
  <c r="D148" i="7" s="1"/>
  <c r="D259" i="4" a="1"/>
  <c r="D259" i="4" s="1"/>
  <c r="Z518" i="2" a="1"/>
  <c r="Z518" i="2" s="1"/>
  <c r="AF518" i="2" a="1"/>
  <c r="AF518" i="2" s="1"/>
  <c r="T519" i="2" a="1"/>
  <c r="T519" i="2" s="1"/>
  <c r="Z519" i="2" a="1"/>
  <c r="Z519" i="2" s="1"/>
  <c r="AF519" i="2" a="1"/>
  <c r="AF519" i="2" s="1"/>
  <c r="T520" i="2" a="1"/>
  <c r="T520" i="2" s="1"/>
  <c r="Z520" i="2" a="1"/>
  <c r="Z520" i="2" s="1"/>
  <c r="AG520" i="2" a="1"/>
  <c r="AG520" i="2" s="1"/>
  <c r="AG521" i="2" a="1"/>
  <c r="AG521" i="2" s="1"/>
  <c r="AA522" i="2" a="1"/>
  <c r="AA522" i="2" s="1"/>
  <c r="U326" i="12" a="1"/>
  <c r="U326" i="12" s="1"/>
  <c r="AO526" i="2" a="1"/>
  <c r="AO526" i="2" s="1"/>
  <c r="AC528" i="2" a="1"/>
  <c r="AC528" i="2" s="1"/>
  <c r="AF529" i="2" a="1"/>
  <c r="AF529" i="2" s="1"/>
  <c r="AN530" i="2" a="1"/>
  <c r="AN530" i="2" s="1"/>
  <c r="AB531" i="2" a="1"/>
  <c r="AB531" i="2" s="1"/>
  <c r="X532" i="2" a="1"/>
  <c r="X532" i="2" s="1"/>
  <c r="AB533" i="2" a="1"/>
  <c r="AB533" i="2" s="1"/>
  <c r="W644" i="12" a="1"/>
  <c r="W644" i="12" s="1"/>
  <c r="AD536" i="2" a="1"/>
  <c r="AD536" i="2" s="1"/>
  <c r="S539" i="2" a="1"/>
  <c r="S539" i="2" s="1"/>
  <c r="Z539" i="2" a="1"/>
  <c r="Z539" i="2" s="1"/>
  <c r="AC540" i="2" a="1"/>
  <c r="AC540" i="2" s="1"/>
  <c r="AA541" i="2" a="1"/>
  <c r="AA541" i="2" s="1"/>
  <c r="U373" i="12" a="1"/>
  <c r="U373" i="12" s="1"/>
  <c r="AG542" i="2" a="1"/>
  <c r="AG542" i="2" s="1"/>
  <c r="V542" i="2" a="1"/>
  <c r="V542" i="2" s="1"/>
  <c r="AF542" i="2" a="1"/>
  <c r="AF542" i="2" s="1"/>
  <c r="S544" i="2" a="1"/>
  <c r="S544" i="2" s="1"/>
  <c r="Z544" i="2" a="1"/>
  <c r="Z544" i="2" s="1"/>
  <c r="AC545" i="2" a="1"/>
  <c r="AC545" i="2" s="1"/>
  <c r="AA546" i="2" a="1"/>
  <c r="AA546" i="2" s="1"/>
  <c r="U304" i="12" a="1"/>
  <c r="U304" i="12" s="1"/>
  <c r="AG547" i="2" a="1"/>
  <c r="AG547" i="2" s="1"/>
  <c r="V547" i="2" a="1"/>
  <c r="V547" i="2" s="1"/>
  <c r="AF547" i="2" a="1"/>
  <c r="AF547" i="2" s="1"/>
  <c r="S549" i="2" a="1"/>
  <c r="S549" i="2" s="1"/>
  <c r="Z549" i="2" a="1"/>
  <c r="Z549" i="2" s="1"/>
  <c r="AC550" i="2" a="1"/>
  <c r="AC550" i="2" s="1"/>
  <c r="AA551" i="2" a="1"/>
  <c r="AA551" i="2" s="1"/>
  <c r="U341" i="12" a="1"/>
  <c r="U341" i="12" s="1"/>
  <c r="AG552" i="2" a="1"/>
  <c r="AG552" i="2" s="1"/>
  <c r="V552" i="2" a="1"/>
  <c r="V552" i="2" s="1"/>
  <c r="AF552" i="2" a="1"/>
  <c r="AF552" i="2" s="1"/>
  <c r="S554" i="2" a="1"/>
  <c r="S554" i="2" s="1"/>
  <c r="Z554" i="2" a="1"/>
  <c r="Z554" i="2" s="1"/>
  <c r="AC555" i="2" a="1"/>
  <c r="AC555" i="2" s="1"/>
  <c r="AA556" i="2" a="1"/>
  <c r="AA556" i="2" s="1"/>
  <c r="U385" i="12" a="1"/>
  <c r="U385" i="12" s="1"/>
  <c r="AG557" i="2" a="1"/>
  <c r="AG557" i="2" s="1"/>
  <c r="V557" i="2" a="1"/>
  <c r="V557" i="2" s="1"/>
  <c r="AF557" i="2" a="1"/>
  <c r="AF557" i="2" s="1"/>
  <c r="S559" i="2" a="1"/>
  <c r="S559" i="2" s="1"/>
  <c r="Z559" i="2" a="1"/>
  <c r="Z559" i="2" s="1"/>
  <c r="AC560" i="2" a="1"/>
  <c r="AC560" i="2" s="1"/>
  <c r="AA561" i="2" a="1"/>
  <c r="AA561" i="2" s="1"/>
  <c r="U443" i="12" a="1"/>
  <c r="U443" i="12" s="1"/>
  <c r="AG562" i="2" a="1"/>
  <c r="AG562" i="2" s="1"/>
  <c r="V562" i="2" a="1"/>
  <c r="V562" i="2" s="1"/>
  <c r="AF562" i="2" a="1"/>
  <c r="AF562" i="2" s="1"/>
  <c r="S564" i="2" a="1"/>
  <c r="S564" i="2" s="1"/>
  <c r="S566" i="2" a="1"/>
  <c r="S566" i="2" s="1"/>
  <c r="Y567" i="2" a="1"/>
  <c r="Y567" i="2" s="1"/>
  <c r="S569" i="2" a="1"/>
  <c r="S569" i="2" s="1"/>
  <c r="S571" i="2" a="1"/>
  <c r="S571" i="2" s="1"/>
  <c r="U396" i="12" a="1"/>
  <c r="U396" i="12" s="1"/>
  <c r="T574" i="2" a="1"/>
  <c r="T574" i="2" s="1"/>
  <c r="U574" i="2" s="1" a="1"/>
  <c r="U574" i="2" s="1"/>
  <c r="AB574" i="2" a="1"/>
  <c r="AB574" i="2" s="1"/>
  <c r="U578" i="2" a="1"/>
  <c r="U578" i="2" s="1"/>
  <c r="AF578" i="2" a="1"/>
  <c r="AF578" i="2" s="1"/>
  <c r="Y581" i="2" a="1"/>
  <c r="Y581" i="2" s="1"/>
  <c r="Y582" i="2" a="1"/>
  <c r="Y582" i="2" s="1"/>
  <c r="AF584" i="2" a="1"/>
  <c r="AF584" i="2" s="1"/>
  <c r="B173" i="7" a="1"/>
  <c r="B173" i="7" s="1"/>
  <c r="B321" i="4" a="1"/>
  <c r="B321" i="4" s="1"/>
  <c r="AF589" i="2" a="1"/>
  <c r="AF589" i="2" s="1"/>
  <c r="T590" i="2" a="1"/>
  <c r="T590" i="2" s="1"/>
  <c r="B178" i="7" a="1"/>
  <c r="B178" i="7" s="1"/>
  <c r="B327" i="4" a="1"/>
  <c r="B327" i="4" s="1"/>
  <c r="X592" i="2" a="1"/>
  <c r="X592" i="2" s="1"/>
  <c r="AC592" i="2" a="1"/>
  <c r="AC592" i="2" s="1"/>
  <c r="W592" i="2" a="1"/>
  <c r="W592" i="2" s="1"/>
  <c r="AB592" i="2" a="1"/>
  <c r="AB592" i="2" s="1"/>
  <c r="V592" i="2" a="1"/>
  <c r="V592" i="2" s="1"/>
  <c r="AG592" i="2" a="1"/>
  <c r="AG592" i="2" s="1"/>
  <c r="AA592" i="2" a="1"/>
  <c r="AA592" i="2" s="1"/>
  <c r="Z592" i="2" a="1"/>
  <c r="Z592" i="2" s="1"/>
  <c r="AD592" i="2" a="1"/>
  <c r="AD592" i="2" s="1"/>
  <c r="W595" i="2" a="1"/>
  <c r="W595" i="2" s="1"/>
  <c r="AB595" i="2" a="1"/>
  <c r="AB595" i="2" s="1"/>
  <c r="V595" i="2" a="1"/>
  <c r="V595" i="2" s="1"/>
  <c r="AG595" i="2" a="1"/>
  <c r="AG595" i="2" s="1"/>
  <c r="AA595" i="2" a="1"/>
  <c r="AA595" i="2" s="1"/>
  <c r="AF595" i="2" a="1"/>
  <c r="AF595" i="2" s="1"/>
  <c r="Z595" i="2" a="1"/>
  <c r="Z595" i="2" s="1"/>
  <c r="Y595" i="2" a="1"/>
  <c r="Y595" i="2" s="1"/>
  <c r="E552" i="12" a="1"/>
  <c r="E552" i="12" s="1"/>
  <c r="AG596" i="2" a="1"/>
  <c r="AG596" i="2" s="1"/>
  <c r="Y597" i="2" a="1"/>
  <c r="Y597" i="2" s="1"/>
  <c r="AD600" i="2" a="1"/>
  <c r="AD600" i="2" s="1"/>
  <c r="U446" i="12" a="1"/>
  <c r="U446" i="12" s="1"/>
  <c r="B171" i="6" a="1"/>
  <c r="B171" i="6" s="1"/>
  <c r="B329" i="4" a="1"/>
  <c r="B329" i="4" s="1"/>
  <c r="E472" i="12" a="1"/>
  <c r="E472" i="12" s="1"/>
  <c r="X605" i="2" a="1"/>
  <c r="X605" i="2" s="1"/>
  <c r="AA606" i="2" a="1"/>
  <c r="AA606" i="2" s="1"/>
  <c r="Z611" i="2" a="1"/>
  <c r="Z611" i="2" s="1"/>
  <c r="AE611" i="2" a="1"/>
  <c r="AE611" i="2" s="1"/>
  <c r="T611" i="2" a="1"/>
  <c r="T611" i="2" s="1"/>
  <c r="Y611" i="2" a="1"/>
  <c r="Y611" i="2" s="1"/>
  <c r="AD611" i="2" a="1"/>
  <c r="AD611" i="2" s="1"/>
  <c r="S611" i="2" a="1"/>
  <c r="S611" i="2" s="1"/>
  <c r="X611" i="2" a="1"/>
  <c r="X611" i="2" s="1"/>
  <c r="AC611" i="2" a="1"/>
  <c r="AC611" i="2" s="1"/>
  <c r="W611" i="2" a="1"/>
  <c r="W611" i="2" s="1"/>
  <c r="AF611" i="2" a="1"/>
  <c r="AF611" i="2" s="1"/>
  <c r="B191" i="5" a="1"/>
  <c r="B191" i="5" s="1"/>
  <c r="B369" i="4" a="1"/>
  <c r="B369" i="4" s="1"/>
  <c r="X612" i="2" a="1"/>
  <c r="X612" i="2" s="1"/>
  <c r="AC612" i="2" a="1"/>
  <c r="AC612" i="2" s="1"/>
  <c r="W612" i="2" a="1"/>
  <c r="W612" i="2" s="1"/>
  <c r="AB612" i="2" a="1"/>
  <c r="AB612" i="2" s="1"/>
  <c r="V612" i="2" a="1"/>
  <c r="V612" i="2" s="1"/>
  <c r="AG612" i="2" a="1"/>
  <c r="AG612" i="2" s="1"/>
  <c r="AA612" i="2" a="1"/>
  <c r="AA612" i="2" s="1"/>
  <c r="AF612" i="2" a="1"/>
  <c r="AF612" i="2" s="1"/>
  <c r="Z612" i="2" a="1"/>
  <c r="Z612" i="2" s="1"/>
  <c r="AD612" i="2" a="1"/>
  <c r="AD612" i="2" s="1"/>
  <c r="S612" i="2" a="1"/>
  <c r="S612" i="2" s="1"/>
  <c r="E410" i="12" a="1"/>
  <c r="E410" i="12" s="1"/>
  <c r="S622" i="2" a="1"/>
  <c r="S622" i="2" s="1"/>
  <c r="AC622" i="2" a="1"/>
  <c r="AC622" i="2" s="1"/>
  <c r="V622" i="2" a="1"/>
  <c r="V622" i="2" s="1"/>
  <c r="B185" i="6" a="1"/>
  <c r="B185" i="6" s="1"/>
  <c r="B179" i="5" a="1"/>
  <c r="B179" i="5" s="1"/>
  <c r="B348" i="4" a="1"/>
  <c r="B348" i="4" s="1"/>
  <c r="U441" i="12" a="1"/>
  <c r="U441" i="12" s="1"/>
  <c r="U649" i="2" a="1"/>
  <c r="U649" i="2" s="1"/>
  <c r="U570" i="12" a="1"/>
  <c r="U570" i="12" s="1"/>
  <c r="S51" i="3" a="1"/>
  <c r="S51" i="3" s="1"/>
  <c r="E560" i="12" a="1"/>
  <c r="E560" i="12" s="1"/>
  <c r="D184" i="7" a="1"/>
  <c r="D184" i="7" s="1"/>
  <c r="D337" i="4" a="1"/>
  <c r="D337" i="4" s="1"/>
  <c r="E429" i="12" a="1"/>
  <c r="E429" i="12" s="1"/>
  <c r="D189" i="5" a="1"/>
  <c r="D189" i="5" s="1"/>
  <c r="D363" i="4" a="1"/>
  <c r="D363" i="4" s="1"/>
  <c r="E524" i="12" a="1"/>
  <c r="E524" i="12" s="1"/>
  <c r="D191" i="5" a="1"/>
  <c r="D191" i="5" s="1"/>
  <c r="D369" i="4" a="1"/>
  <c r="D369" i="4" s="1"/>
  <c r="E447" i="12" a="1"/>
  <c r="E447" i="12" s="1"/>
  <c r="D193" i="5" a="1"/>
  <c r="D193" i="5" s="1"/>
  <c r="D374" i="4" a="1"/>
  <c r="D374" i="4" s="1"/>
  <c r="B184" i="6" a="1"/>
  <c r="B184" i="6" s="1"/>
  <c r="B347" i="4" a="1"/>
  <c r="B347" i="4" s="1"/>
  <c r="B193" i="7" a="1"/>
  <c r="B193" i="7" s="1"/>
  <c r="B361" i="4" a="1"/>
  <c r="B361" i="4" s="1"/>
  <c r="B189" i="6" a="1"/>
  <c r="B189" i="6" s="1"/>
  <c r="B185" i="5" a="1"/>
  <c r="B185" i="5" s="1"/>
  <c r="B355" i="4" a="1"/>
  <c r="B355" i="4" s="1"/>
  <c r="B196" i="6" a="1"/>
  <c r="B196" i="6" s="1"/>
  <c r="B198" i="7" a="1"/>
  <c r="B198" i="7" s="1"/>
  <c r="B371" i="4" a="1"/>
  <c r="B371" i="4" s="1"/>
  <c r="W641" i="2" a="1"/>
  <c r="W641" i="2" s="1"/>
  <c r="AD641" i="2" a="1"/>
  <c r="AD641" i="2" s="1"/>
  <c r="AF643" i="2" a="1"/>
  <c r="AF643" i="2" s="1"/>
  <c r="Y646" i="2" a="1"/>
  <c r="Y646" i="2" s="1"/>
  <c r="AF648" i="2" a="1"/>
  <c r="AF648" i="2" s="1"/>
  <c r="Y651" i="2" a="1"/>
  <c r="Y651" i="2" s="1"/>
  <c r="AF653" i="2" a="1"/>
  <c r="AF653" i="2" s="1"/>
  <c r="Y656" i="2" a="1"/>
  <c r="Y656" i="2" s="1"/>
  <c r="Y661" i="2" a="1"/>
  <c r="Y661" i="2" s="1"/>
  <c r="Y666" i="2" a="1"/>
  <c r="Y666" i="2" s="1"/>
  <c r="T667" i="2" a="1"/>
  <c r="T667" i="2" s="1"/>
  <c r="AF668" i="2" a="1"/>
  <c r="AF668" i="2" s="1"/>
  <c r="V670" i="2" a="1"/>
  <c r="V670" i="2" s="1"/>
  <c r="Y671" i="2" a="1"/>
  <c r="Y671" i="2" s="1"/>
  <c r="U51" i="3" a="1"/>
  <c r="U51" i="3" s="1"/>
  <c r="Q80" i="3" a="1"/>
  <c r="Q80" i="3" s="1"/>
  <c r="Y80" i="3" a="1"/>
  <c r="Y80" i="3" s="1"/>
  <c r="Z80" i="3" s="1" a="1"/>
  <c r="Z80" i="3" s="1"/>
  <c r="I109" i="3" a="1"/>
  <c r="I109" i="3" s="1"/>
  <c r="D191" i="7" a="1"/>
  <c r="D191" i="7" s="1"/>
  <c r="D357" i="4" a="1"/>
  <c r="D357" i="4" s="1"/>
  <c r="E459" i="12" a="1"/>
  <c r="E459" i="12" s="1"/>
  <c r="D192" i="7" a="1"/>
  <c r="D192" i="7" s="1"/>
  <c r="D190" i="6" a="1"/>
  <c r="D190" i="6" s="1"/>
  <c r="D187" i="5" a="1"/>
  <c r="D187" i="5" s="1"/>
  <c r="D359" i="4" a="1"/>
  <c r="D359" i="4" s="1"/>
  <c r="E567" i="12" a="1"/>
  <c r="E567" i="12" s="1"/>
  <c r="D196" i="5" a="1"/>
  <c r="D196" i="5" s="1"/>
  <c r="D378" i="4" a="1"/>
  <c r="D378" i="4" s="1"/>
  <c r="E569" i="12" a="1"/>
  <c r="E569" i="12" s="1"/>
  <c r="D197" i="7" a="1"/>
  <c r="D197" i="7" s="1"/>
  <c r="D193" i="6" a="1"/>
  <c r="D193" i="6" s="1"/>
  <c r="D367" i="4" a="1"/>
  <c r="D367" i="4" s="1"/>
  <c r="V637" i="2" a="1"/>
  <c r="V637" i="2" s="1"/>
  <c r="AC637" i="2" a="1"/>
  <c r="AC637" i="2" s="1"/>
  <c r="U418" i="12" a="1"/>
  <c r="U418" i="12" s="1"/>
  <c r="E384" i="12" a="1"/>
  <c r="E384" i="12" s="1"/>
  <c r="AE641" i="2" a="1"/>
  <c r="AE641" i="2" s="1"/>
  <c r="D195" i="6" a="1"/>
  <c r="D195" i="6" s="1"/>
  <c r="D370" i="4" a="1"/>
  <c r="D370" i="4" s="1"/>
  <c r="D197" i="6" a="1"/>
  <c r="D197" i="6" s="1"/>
  <c r="D373" i="4" a="1"/>
  <c r="D373" i="4" s="1"/>
  <c r="B198" i="6" a="1"/>
  <c r="B198" i="6" s="1"/>
  <c r="B375" i="4" a="1"/>
  <c r="B375" i="4" s="1"/>
  <c r="E553" i="12" a="1"/>
  <c r="E553" i="12" s="1"/>
  <c r="D204" i="5" a="1"/>
  <c r="D204" i="5" s="1"/>
  <c r="D390" i="4" a="1"/>
  <c r="D390" i="4" s="1"/>
  <c r="X648" i="2" a="1"/>
  <c r="X648" i="2" s="1"/>
  <c r="AG648" i="2" a="1"/>
  <c r="AG648" i="2" s="1"/>
  <c r="B206" i="5" a="1"/>
  <c r="B206" i="5" s="1"/>
  <c r="B395" i="4" a="1"/>
  <c r="B395" i="4" s="1"/>
  <c r="E543" i="12" a="1"/>
  <c r="E543" i="12" s="1"/>
  <c r="D398" i="4" a="1"/>
  <c r="D398" i="4" s="1"/>
  <c r="D207" i="5" a="1"/>
  <c r="D207" i="5" s="1"/>
  <c r="B202" i="7" a="1"/>
  <c r="B202" i="7" s="1"/>
  <c r="B391" i="4" a="1"/>
  <c r="B391" i="4" s="1"/>
  <c r="E545" i="12" a="1"/>
  <c r="E545" i="12" s="1"/>
  <c r="D204" i="6" a="1"/>
  <c r="D204" i="6" s="1"/>
  <c r="D389" i="4" a="1"/>
  <c r="D389" i="4" s="1"/>
  <c r="B205" i="6" a="1"/>
  <c r="B205" i="6" s="1"/>
  <c r="B392" i="4" a="1"/>
  <c r="B392" i="4" s="1"/>
  <c r="B205" i="5" a="1"/>
  <c r="B205" i="5" s="1"/>
  <c r="E516" i="12" a="1"/>
  <c r="E516" i="12" s="1"/>
  <c r="D208" i="5" a="1"/>
  <c r="D208" i="5" s="1"/>
  <c r="D401" i="4" a="1"/>
  <c r="D401" i="4" s="1"/>
  <c r="X663" i="2" a="1"/>
  <c r="X663" i="2" s="1"/>
  <c r="B208" i="7" a="1"/>
  <c r="B208" i="7" s="1"/>
  <c r="B400" i="4" a="1"/>
  <c r="B400" i="4" s="1"/>
  <c r="E578" i="12" a="1"/>
  <c r="E578" i="12" s="1"/>
  <c r="D407" i="4" a="1"/>
  <c r="D407" i="4" s="1"/>
  <c r="D210" i="5" a="1"/>
  <c r="D210" i="5" s="1"/>
  <c r="B210" i="7" a="1"/>
  <c r="B210" i="7" s="1"/>
  <c r="B406" i="4" a="1"/>
  <c r="B406" i="4" s="1"/>
  <c r="E98" i="12" a="1"/>
  <c r="E98" i="12" s="1"/>
  <c r="Q57" i="3" a="1"/>
  <c r="Q57" i="3" s="1"/>
  <c r="O109" i="3" a="1"/>
  <c r="O109" i="3" s="1"/>
  <c r="W637" i="2" a="1"/>
  <c r="W637" i="2" s="1"/>
  <c r="B201" i="5" a="1"/>
  <c r="B201" i="5" s="1"/>
  <c r="B384" i="4" a="1"/>
  <c r="B384" i="4" s="1"/>
  <c r="X641" i="2" a="1"/>
  <c r="X641" i="2" s="1"/>
  <c r="W642" i="2" a="1"/>
  <c r="W642" i="2" s="1"/>
  <c r="Y643" i="2" a="1"/>
  <c r="Y643" i="2" s="1"/>
  <c r="U438" i="12" a="1"/>
  <c r="U438" i="12" s="1"/>
  <c r="Y648" i="2" a="1"/>
  <c r="Y648" i="2" s="1"/>
  <c r="U579" i="12" a="1"/>
  <c r="U579" i="12" s="1"/>
  <c r="Y653" i="2" a="1"/>
  <c r="Y653" i="2" s="1"/>
  <c r="U565" i="12" a="1"/>
  <c r="U565" i="12" s="1"/>
  <c r="Y658" i="2" a="1"/>
  <c r="Y658" i="2" s="1"/>
  <c r="U518" i="12" a="1"/>
  <c r="U518" i="12" s="1"/>
  <c r="T659" i="2" a="1"/>
  <c r="T659" i="2" s="1"/>
  <c r="AA661" i="2" a="1"/>
  <c r="AA661" i="2" s="1"/>
  <c r="Y663" i="2" a="1"/>
  <c r="Y663" i="2" s="1"/>
  <c r="U589" i="12" a="1"/>
  <c r="U589" i="12" s="1"/>
  <c r="T664" i="2" a="1"/>
  <c r="T664" i="2" s="1"/>
  <c r="U664" i="2" s="1" a="1"/>
  <c r="U664" i="2" s="1"/>
  <c r="Y668" i="2" a="1"/>
  <c r="Y668" i="2" s="1"/>
  <c r="U580" i="12" a="1"/>
  <c r="U580" i="12" s="1"/>
  <c r="E51" i="3" a="1"/>
  <c r="E51" i="3" s="1"/>
  <c r="J80" i="3" a="1"/>
  <c r="J80" i="3" s="1"/>
  <c r="S80" i="3" a="1"/>
  <c r="S80" i="3" s="1"/>
  <c r="J109" i="3" a="1"/>
  <c r="J109" i="3" s="1"/>
  <c r="U310" i="12" a="1"/>
  <c r="U310" i="12" s="1"/>
  <c r="AA599" i="2" a="1"/>
  <c r="AA599" i="2" s="1"/>
  <c r="AG599" i="2" a="1"/>
  <c r="AG599" i="2" s="1"/>
  <c r="AA604" i="2" a="1"/>
  <c r="AA604" i="2" s="1"/>
  <c r="AG604" i="2" a="1"/>
  <c r="AG604" i="2" s="1"/>
  <c r="AA609" i="2" a="1"/>
  <c r="AA609" i="2" s="1"/>
  <c r="AG609" i="2" a="1"/>
  <c r="AG609" i="2" s="1"/>
  <c r="AG620" i="2" a="1"/>
  <c r="AG620" i="2" s="1"/>
  <c r="AE622" i="2" a="1"/>
  <c r="AE622" i="2" s="1"/>
  <c r="D184" i="6" a="1"/>
  <c r="D184" i="6" s="1"/>
  <c r="D347" i="4" a="1"/>
  <c r="D347" i="4" s="1"/>
  <c r="AB624" i="2" a="1"/>
  <c r="AB624" i="2" s="1"/>
  <c r="U459" i="12" a="1"/>
  <c r="U459" i="12" s="1"/>
  <c r="E488" i="12" a="1"/>
  <c r="E488" i="12" s="1"/>
  <c r="AE627" i="2" a="1"/>
  <c r="AE627" i="2" s="1"/>
  <c r="D193" i="7" a="1"/>
  <c r="D193" i="7" s="1"/>
  <c r="D361" i="4" a="1"/>
  <c r="D361" i="4" s="1"/>
  <c r="AB629" i="2" a="1"/>
  <c r="AB629" i="2" s="1"/>
  <c r="U567" i="12" a="1"/>
  <c r="U567" i="12" s="1"/>
  <c r="E428" i="12" a="1"/>
  <c r="E428" i="12" s="1"/>
  <c r="AE632" i="2" a="1"/>
  <c r="AE632" i="2" s="1"/>
  <c r="D189" i="6" a="1"/>
  <c r="D189" i="6" s="1"/>
  <c r="D185" i="5" a="1"/>
  <c r="D185" i="5" s="1"/>
  <c r="D355" i="4" a="1"/>
  <c r="D355" i="4" s="1"/>
  <c r="AB634" i="2" a="1"/>
  <c r="AB634" i="2" s="1"/>
  <c r="U569" i="12" a="1"/>
  <c r="U569" i="12" s="1"/>
  <c r="E450" i="12" a="1"/>
  <c r="E450" i="12" s="1"/>
  <c r="AE637" i="2" a="1"/>
  <c r="AE637" i="2" s="1"/>
  <c r="D196" i="6" a="1"/>
  <c r="D196" i="6" s="1"/>
  <c r="D198" i="7" a="1"/>
  <c r="D198" i="7" s="1"/>
  <c r="D371" i="4" a="1"/>
  <c r="D371" i="4" s="1"/>
  <c r="AB639" i="2" a="1"/>
  <c r="AB639" i="2" s="1"/>
  <c r="U384" i="12" a="1"/>
  <c r="U384" i="12" s="1"/>
  <c r="E398" i="12" a="1"/>
  <c r="E398" i="12" s="1"/>
  <c r="Y641" i="2" a="1"/>
  <c r="Y641" i="2" s="1"/>
  <c r="AF641" i="2" a="1"/>
  <c r="AF641" i="2" s="1"/>
  <c r="AE642" i="2" a="1"/>
  <c r="AE642" i="2" s="1"/>
  <c r="E438" i="12" a="1"/>
  <c r="E438" i="12" s="1"/>
  <c r="Z643" i="2" a="1"/>
  <c r="Z643" i="2" s="1"/>
  <c r="AC644" i="2" a="1"/>
  <c r="AC644" i="2" s="1"/>
  <c r="D198" i="6" a="1"/>
  <c r="D198" i="6" s="1"/>
  <c r="D375" i="4" a="1"/>
  <c r="D375" i="4" s="1"/>
  <c r="X645" i="2" a="1"/>
  <c r="X645" i="2" s="1"/>
  <c r="S646" i="2" a="1"/>
  <c r="S646" i="2" s="1"/>
  <c r="AB646" i="2" a="1"/>
  <c r="AB646" i="2" s="1"/>
  <c r="B200" i="7" a="1"/>
  <c r="B200" i="7" s="1"/>
  <c r="B382" i="4" a="1"/>
  <c r="B382" i="4" s="1"/>
  <c r="E579" i="12" a="1"/>
  <c r="E579" i="12" s="1"/>
  <c r="Z648" i="2" a="1"/>
  <c r="Z648" i="2" s="1"/>
  <c r="AC649" i="2" a="1"/>
  <c r="AC649" i="2" s="1"/>
  <c r="D206" i="5" a="1"/>
  <c r="D206" i="5" s="1"/>
  <c r="D395" i="4" a="1"/>
  <c r="D395" i="4" s="1"/>
  <c r="X650" i="2" a="1"/>
  <c r="X650" i="2" s="1"/>
  <c r="S651" i="2" a="1"/>
  <c r="S651" i="2" s="1"/>
  <c r="AB651" i="2" a="1"/>
  <c r="AB651" i="2" s="1"/>
  <c r="B203" i="6" a="1"/>
  <c r="B203" i="6" s="1"/>
  <c r="B201" i="7" a="1"/>
  <c r="B201" i="7" s="1"/>
  <c r="B387" i="4" a="1"/>
  <c r="B387" i="4" s="1"/>
  <c r="E565" i="12" a="1"/>
  <c r="E565" i="12" s="1"/>
  <c r="Z653" i="2" a="1"/>
  <c r="Z653" i="2" s="1"/>
  <c r="AC654" i="2" a="1"/>
  <c r="AC654" i="2" s="1"/>
  <c r="D202" i="7" a="1"/>
  <c r="D202" i="7" s="1"/>
  <c r="D391" i="4" a="1"/>
  <c r="D391" i="4" s="1"/>
  <c r="X655" i="2" a="1"/>
  <c r="X655" i="2" s="1"/>
  <c r="S656" i="2" a="1"/>
  <c r="S656" i="2" s="1"/>
  <c r="AB656" i="2" a="1"/>
  <c r="AB656" i="2" s="1"/>
  <c r="B206" i="6" a="1"/>
  <c r="B206" i="6" s="1"/>
  <c r="B203" i="7" a="1"/>
  <c r="B203" i="7" s="1"/>
  <c r="B393" i="4" a="1"/>
  <c r="B393" i="4" s="1"/>
  <c r="E518" i="12" a="1"/>
  <c r="E518" i="12" s="1"/>
  <c r="Z658" i="2" a="1"/>
  <c r="Z658" i="2" s="1"/>
  <c r="AC659" i="2" a="1"/>
  <c r="AC659" i="2" s="1"/>
  <c r="D205" i="6" a="1"/>
  <c r="D205" i="6" s="1"/>
  <c r="D205" i="5" a="1"/>
  <c r="D205" i="5" s="1"/>
  <c r="D392" i="4" a="1"/>
  <c r="D392" i="4" s="1"/>
  <c r="S661" i="2" a="1"/>
  <c r="S661" i="2" s="1"/>
  <c r="AB661" i="2" a="1"/>
  <c r="AB661" i="2" s="1"/>
  <c r="B206" i="7" a="1"/>
  <c r="B206" i="7" s="1"/>
  <c r="B207" i="6" a="1"/>
  <c r="B207" i="6" s="1"/>
  <c r="B397" i="4" a="1"/>
  <c r="B397" i="4" s="1"/>
  <c r="E589" i="12" a="1"/>
  <c r="E589" i="12" s="1"/>
  <c r="Z663" i="2" a="1"/>
  <c r="Z663" i="2" s="1"/>
  <c r="AC664" i="2" a="1"/>
  <c r="AC664" i="2" s="1"/>
  <c r="D208" i="7" a="1"/>
  <c r="D208" i="7" s="1"/>
  <c r="D400" i="4" a="1"/>
  <c r="D400" i="4" s="1"/>
  <c r="S666" i="2" a="1"/>
  <c r="S666" i="2" s="1"/>
  <c r="B208" i="6" a="1"/>
  <c r="B208" i="6" s="1"/>
  <c r="B402" i="4" a="1"/>
  <c r="B402" i="4" s="1"/>
  <c r="E580" i="12" a="1"/>
  <c r="E580" i="12" s="1"/>
  <c r="Z668" i="2" a="1"/>
  <c r="Z668" i="2" s="1"/>
  <c r="AC669" i="2" a="1"/>
  <c r="AC669" i="2" s="1"/>
  <c r="D210" i="7" a="1"/>
  <c r="D210" i="7" s="1"/>
  <c r="D406" i="4" a="1"/>
  <c r="D406" i="4" s="1"/>
  <c r="X670" i="2" a="1"/>
  <c r="X670" i="2" s="1"/>
  <c r="K80" i="3" a="1"/>
  <c r="K80" i="3" s="1"/>
  <c r="P109" i="3" a="1"/>
  <c r="P109" i="3" s="1"/>
  <c r="V109" i="3" a="1"/>
  <c r="V109" i="3" s="1"/>
  <c r="N115" i="3" a="1"/>
  <c r="N115" i="3" s="1"/>
  <c r="S138" i="3" a="1"/>
  <c r="S138" i="3" s="1"/>
  <c r="Q202" i="3" a="1"/>
  <c r="Q202" i="3" s="1"/>
  <c r="P202" i="3" a="1"/>
  <c r="P202" i="3" s="1"/>
  <c r="Q231" i="3" a="1"/>
  <c r="Q231" i="3" s="1"/>
  <c r="D182" i="7" a="1"/>
  <c r="D182" i="7" s="1"/>
  <c r="D174" i="6" a="1"/>
  <c r="D174" i="6" s="1"/>
  <c r="D334" i="4" a="1"/>
  <c r="D334" i="4" s="1"/>
  <c r="B186" i="5" a="1"/>
  <c r="B186" i="5" s="1"/>
  <c r="B358" i="4" a="1"/>
  <c r="B358" i="4" s="1"/>
  <c r="V599" i="2" a="1"/>
  <c r="V599" i="2" s="1"/>
  <c r="AB599" i="2" a="1"/>
  <c r="AB599" i="2" s="1"/>
  <c r="U480" i="12" a="1"/>
  <c r="U480" i="12" s="1"/>
  <c r="E446" i="12" a="1"/>
  <c r="E446" i="12" s="1"/>
  <c r="D171" i="6" a="1"/>
  <c r="D171" i="6" s="1"/>
  <c r="D329" i="4" a="1"/>
  <c r="D329" i="4" s="1"/>
  <c r="B185" i="7" a="1"/>
  <c r="B185" i="7" s="1"/>
  <c r="B338" i="4" a="1"/>
  <c r="B338" i="4" s="1"/>
  <c r="V604" i="2" a="1"/>
  <c r="V604" i="2" s="1"/>
  <c r="AB604" i="2" a="1"/>
  <c r="AB604" i="2" s="1"/>
  <c r="U460" i="12" a="1"/>
  <c r="U460" i="12" s="1"/>
  <c r="E453" i="12" a="1"/>
  <c r="E453" i="12" s="1"/>
  <c r="D188" i="7" a="1"/>
  <c r="D188" i="7" s="1"/>
  <c r="D346" i="4" a="1"/>
  <c r="D346" i="4" s="1"/>
  <c r="B173" i="6" a="1"/>
  <c r="B173" i="6" s="1"/>
  <c r="B333" i="4" a="1"/>
  <c r="B333" i="4" s="1"/>
  <c r="V609" i="2" a="1"/>
  <c r="V609" i="2" s="1"/>
  <c r="AB609" i="2" a="1"/>
  <c r="AB609" i="2" s="1"/>
  <c r="U538" i="12" a="1"/>
  <c r="U538" i="12" s="1"/>
  <c r="E445" i="12" a="1"/>
  <c r="E445" i="12" s="1"/>
  <c r="D177" i="6" a="1"/>
  <c r="D177" i="6" s="1"/>
  <c r="D177" i="5" a="1"/>
  <c r="D177" i="5" s="1"/>
  <c r="D339" i="4" a="1"/>
  <c r="D339" i="4" s="1"/>
  <c r="B372" i="4" a="1"/>
  <c r="B372" i="4" s="1"/>
  <c r="B192" i="5" a="1"/>
  <c r="B192" i="5" s="1"/>
  <c r="V614" i="2" a="1"/>
  <c r="V614" i="2" s="1"/>
  <c r="AB614" i="2" a="1"/>
  <c r="AB614" i="2" s="1"/>
  <c r="U436" i="12" a="1"/>
  <c r="U436" i="12" s="1"/>
  <c r="E444" i="12" a="1"/>
  <c r="E444" i="12" s="1"/>
  <c r="D182" i="6" a="1"/>
  <c r="D182" i="6" s="1"/>
  <c r="D344" i="4" a="1"/>
  <c r="D344" i="4" s="1"/>
  <c r="B183" i="6" a="1"/>
  <c r="B183" i="6" s="1"/>
  <c r="B178" i="5" a="1"/>
  <c r="B178" i="5" s="1"/>
  <c r="B345" i="4" a="1"/>
  <c r="B345" i="4" s="1"/>
  <c r="V619" i="2" a="1"/>
  <c r="V619" i="2" s="1"/>
  <c r="AB619" i="2" a="1"/>
  <c r="AB619" i="2" s="1"/>
  <c r="U434" i="12" a="1"/>
  <c r="U434" i="12" s="1"/>
  <c r="AA620" i="2" a="1"/>
  <c r="AA620" i="2" s="1"/>
  <c r="U485" i="12" a="1"/>
  <c r="U485" i="12" s="1"/>
  <c r="V621" i="2" a="1"/>
  <c r="V621" i="2" s="1"/>
  <c r="X622" i="2" a="1"/>
  <c r="X622" i="2" s="1"/>
  <c r="W623" i="2" a="1"/>
  <c r="W623" i="2" s="1"/>
  <c r="AD623" i="2" a="1"/>
  <c r="AD623" i="2" s="1"/>
  <c r="B186" i="6" a="1"/>
  <c r="B186" i="6" s="1"/>
  <c r="B181" i="5" a="1"/>
  <c r="B181" i="5" s="1"/>
  <c r="B350" i="4" a="1"/>
  <c r="B350" i="4" s="1"/>
  <c r="X627" i="2" a="1"/>
  <c r="X627" i="2" s="1"/>
  <c r="W628" i="2" a="1"/>
  <c r="W628" i="2" s="1"/>
  <c r="AD628" i="2" a="1"/>
  <c r="AD628" i="2" s="1"/>
  <c r="B182" i="5" a="1"/>
  <c r="B182" i="5" s="1"/>
  <c r="B188" i="6" a="1"/>
  <c r="B188" i="6" s="1"/>
  <c r="B352" i="4" a="1"/>
  <c r="B352" i="4" s="1"/>
  <c r="X632" i="2" a="1"/>
  <c r="X632" i="2" s="1"/>
  <c r="W633" i="2" a="1"/>
  <c r="W633" i="2" s="1"/>
  <c r="AD633" i="2" a="1"/>
  <c r="AD633" i="2" s="1"/>
  <c r="B198" i="5" a="1"/>
  <c r="B198" i="5" s="1"/>
  <c r="B380" i="4" a="1"/>
  <c r="B380" i="4" s="1"/>
  <c r="X637" i="2" a="1"/>
  <c r="X637" i="2" s="1"/>
  <c r="W638" i="2" a="1"/>
  <c r="W638" i="2" s="1"/>
  <c r="AD638" i="2" a="1"/>
  <c r="AD638" i="2" s="1"/>
  <c r="B192" i="6" a="1"/>
  <c r="B192" i="6" s="1"/>
  <c r="B366" i="4" a="1"/>
  <c r="B366" i="4" s="1"/>
  <c r="Z641" i="2" a="1"/>
  <c r="Z641" i="2" s="1"/>
  <c r="AG641" i="2" a="1"/>
  <c r="AG641" i="2" s="1"/>
  <c r="X642" i="2" a="1"/>
  <c r="X642" i="2" s="1"/>
  <c r="AF642" i="2" a="1"/>
  <c r="AF642" i="2" s="1"/>
  <c r="AA643" i="2" a="1"/>
  <c r="AA643" i="2" s="1"/>
  <c r="V644" i="2" a="1"/>
  <c r="V644" i="2" s="1"/>
  <c r="Y645" i="2" a="1"/>
  <c r="Y645" i="2" s="1"/>
  <c r="T646" i="2" a="1"/>
  <c r="T646" i="2" s="1"/>
  <c r="AA648" i="2" a="1"/>
  <c r="AA648" i="2" s="1"/>
  <c r="V649" i="2" a="1"/>
  <c r="V649" i="2" s="1"/>
  <c r="Y650" i="2" a="1"/>
  <c r="Y650" i="2" s="1"/>
  <c r="T651" i="2" a="1"/>
  <c r="T651" i="2" s="1"/>
  <c r="AA653" i="2" a="1"/>
  <c r="AA653" i="2" s="1"/>
  <c r="V654" i="2" a="1"/>
  <c r="V654" i="2" s="1"/>
  <c r="Y655" i="2" a="1"/>
  <c r="Y655" i="2" s="1"/>
  <c r="T656" i="2" a="1"/>
  <c r="T656" i="2" s="1"/>
  <c r="AA658" i="2" a="1"/>
  <c r="AA658" i="2" s="1"/>
  <c r="V659" i="2" a="1"/>
  <c r="V659" i="2" s="1"/>
  <c r="Y660" i="2" a="1"/>
  <c r="Y660" i="2" s="1"/>
  <c r="T661" i="2" a="1"/>
  <c r="T661" i="2" s="1"/>
  <c r="AA663" i="2" a="1"/>
  <c r="AA663" i="2" s="1"/>
  <c r="V664" i="2" a="1"/>
  <c r="V664" i="2" s="1"/>
  <c r="Y665" i="2" a="1"/>
  <c r="Y665" i="2" s="1"/>
  <c r="T666" i="2" a="1"/>
  <c r="T666" i="2" s="1"/>
  <c r="AA668" i="2" a="1"/>
  <c r="AA668" i="2" s="1"/>
  <c r="V669" i="2" a="1"/>
  <c r="V669" i="2" s="1"/>
  <c r="Y670" i="2" a="1"/>
  <c r="Y670" i="2" s="1"/>
  <c r="T671" i="2" a="1"/>
  <c r="T671" i="2" s="1"/>
  <c r="U671" i="2" s="1" a="1"/>
  <c r="U671" i="2" s="1"/>
  <c r="P51" i="3" a="1"/>
  <c r="P51" i="3" s="1"/>
  <c r="L80" i="3" a="1"/>
  <c r="L80" i="3" s="1"/>
  <c r="T80" i="3" a="1"/>
  <c r="T80" i="3" s="1"/>
  <c r="K109" i="3" a="1"/>
  <c r="K109" i="3" s="1"/>
  <c r="Q109" i="3" a="1"/>
  <c r="Q109" i="3" s="1"/>
  <c r="T138" i="3" a="1"/>
  <c r="T138" i="3" s="1"/>
  <c r="P144" i="3" a="1"/>
  <c r="P144" i="3" s="1"/>
  <c r="Q144" i="3" a="1"/>
  <c r="Q144" i="3" s="1"/>
  <c r="Q173" i="3" a="1"/>
  <c r="Q173" i="3" s="1"/>
  <c r="U278" i="12" a="1"/>
  <c r="U278" i="12" s="1"/>
  <c r="Z585" i="2" a="1"/>
  <c r="Z585" i="2" s="1"/>
  <c r="W599" i="2" a="1"/>
  <c r="W599" i="2" s="1"/>
  <c r="W604" i="2" a="1"/>
  <c r="W604" i="2" s="1"/>
  <c r="W609" i="2" a="1"/>
  <c r="W609" i="2" s="1"/>
  <c r="W614" i="2" a="1"/>
  <c r="W614" i="2" s="1"/>
  <c r="W619" i="2" a="1"/>
  <c r="W619" i="2" s="1"/>
  <c r="AB620" i="2" a="1"/>
  <c r="AB620" i="2" s="1"/>
  <c r="W621" i="2" a="1"/>
  <c r="W621" i="2" s="1"/>
  <c r="AC621" i="2" a="1"/>
  <c r="AC621" i="2" s="1"/>
  <c r="B194" i="5" a="1"/>
  <c r="B194" i="5" s="1"/>
  <c r="B376" i="4" a="1"/>
  <c r="B376" i="4" s="1"/>
  <c r="E456" i="12" a="1"/>
  <c r="E456" i="12" s="1"/>
  <c r="Y622" i="2" a="1"/>
  <c r="Y622" i="2" s="1"/>
  <c r="AF622" i="2" a="1"/>
  <c r="AF622" i="2" s="1"/>
  <c r="AE623" i="2" a="1"/>
  <c r="AE623" i="2" s="1"/>
  <c r="D179" i="5" a="1"/>
  <c r="D179" i="5" s="1"/>
  <c r="D185" i="6" a="1"/>
  <c r="D185" i="6" s="1"/>
  <c r="D348" i="4" a="1"/>
  <c r="D348" i="4" s="1"/>
  <c r="V624" i="2" a="1"/>
  <c r="V624" i="2" s="1"/>
  <c r="AC624" i="2" a="1"/>
  <c r="AC624" i="2" s="1"/>
  <c r="U488" i="12" a="1"/>
  <c r="U488" i="12" s="1"/>
  <c r="E529" i="12" a="1"/>
  <c r="E529" i="12" s="1"/>
  <c r="Y627" i="2" a="1"/>
  <c r="Y627" i="2" s="1"/>
  <c r="AF627" i="2" a="1"/>
  <c r="AF627" i="2" s="1"/>
  <c r="AE628" i="2" a="1"/>
  <c r="AE628" i="2" s="1"/>
  <c r="D195" i="5" a="1"/>
  <c r="D195" i="5" s="1"/>
  <c r="D377" i="4" a="1"/>
  <c r="D377" i="4" s="1"/>
  <c r="V629" i="2" a="1"/>
  <c r="V629" i="2" s="1"/>
  <c r="AC629" i="2" a="1"/>
  <c r="AC629" i="2" s="1"/>
  <c r="U428" i="12" a="1"/>
  <c r="U428" i="12" s="1"/>
  <c r="E546" i="12" a="1"/>
  <c r="E546" i="12" s="1"/>
  <c r="Y632" i="2" a="1"/>
  <c r="Y632" i="2" s="1"/>
  <c r="AF632" i="2" a="1"/>
  <c r="AF632" i="2" s="1"/>
  <c r="AE633" i="2" a="1"/>
  <c r="AE633" i="2" s="1"/>
  <c r="D191" i="6" a="1"/>
  <c r="D191" i="6" s="1"/>
  <c r="D195" i="7" a="1"/>
  <c r="D195" i="7" s="1"/>
  <c r="D364" i="4" a="1"/>
  <c r="D364" i="4" s="1"/>
  <c r="V634" i="2" a="1"/>
  <c r="V634" i="2" s="1"/>
  <c r="AC634" i="2" a="1"/>
  <c r="AC634" i="2" s="1"/>
  <c r="U450" i="12" a="1"/>
  <c r="U450" i="12" s="1"/>
  <c r="E577" i="12" a="1"/>
  <c r="E577" i="12" s="1"/>
  <c r="Y637" i="2" a="1"/>
  <c r="Y637" i="2" s="1"/>
  <c r="AF637" i="2" a="1"/>
  <c r="AF637" i="2" s="1"/>
  <c r="AE638" i="2" a="1"/>
  <c r="AE638" i="2" s="1"/>
  <c r="D201" i="5" a="1"/>
  <c r="D201" i="5" s="1"/>
  <c r="D384" i="4" a="1"/>
  <c r="D384" i="4" s="1"/>
  <c r="V639" i="2" a="1"/>
  <c r="V639" i="2" s="1"/>
  <c r="AC639" i="2" a="1"/>
  <c r="AC639" i="2" s="1"/>
  <c r="S641" i="2" a="1"/>
  <c r="S641" i="2" s="1"/>
  <c r="U398" i="12" a="1"/>
  <c r="U398" i="12" s="1"/>
  <c r="E481" i="12" a="1"/>
  <c r="E481" i="12" s="1"/>
  <c r="Y642" i="2" a="1"/>
  <c r="Y642" i="2" s="1"/>
  <c r="AG642" i="2" a="1"/>
  <c r="AG642" i="2" s="1"/>
  <c r="S643" i="2" a="1"/>
  <c r="S643" i="2" s="1"/>
  <c r="AB643" i="2" a="1"/>
  <c r="AB643" i="2" s="1"/>
  <c r="B197" i="5" a="1"/>
  <c r="B197" i="5" s="1"/>
  <c r="B199" i="7" a="1"/>
  <c r="B199" i="7" s="1"/>
  <c r="B379" i="4" a="1"/>
  <c r="B379" i="4" s="1"/>
  <c r="W644" i="2" a="1"/>
  <c r="W644" i="2" s="1"/>
  <c r="AE644" i="2" a="1"/>
  <c r="AE644" i="2" s="1"/>
  <c r="E517" i="12" a="1"/>
  <c r="E517" i="12" s="1"/>
  <c r="AC646" i="2" a="1"/>
  <c r="AC646" i="2" s="1"/>
  <c r="D200" i="7" a="1"/>
  <c r="D200" i="7" s="1"/>
  <c r="D382" i="4" a="1"/>
  <c r="D382" i="4" s="1"/>
  <c r="S648" i="2" a="1"/>
  <c r="S648" i="2" s="1"/>
  <c r="AB648" i="2" a="1"/>
  <c r="AB648" i="2" s="1"/>
  <c r="B199" i="6" a="1"/>
  <c r="B199" i="6" s="1"/>
  <c r="B199" i="5" a="1"/>
  <c r="B199" i="5" s="1"/>
  <c r="B381" i="4" a="1"/>
  <c r="B381" i="4" s="1"/>
  <c r="W649" i="2" a="1"/>
  <c r="W649" i="2" s="1"/>
  <c r="AE649" i="2" a="1"/>
  <c r="AE649" i="2" s="1"/>
  <c r="E554" i="12" a="1"/>
  <c r="E554" i="12" s="1"/>
  <c r="AC651" i="2" a="1"/>
  <c r="AC651" i="2" s="1"/>
  <c r="D201" i="7" a="1"/>
  <c r="D201" i="7" s="1"/>
  <c r="D203" i="6" a="1"/>
  <c r="D203" i="6" s="1"/>
  <c r="D387" i="4" a="1"/>
  <c r="D387" i="4" s="1"/>
  <c r="S653" i="2" a="1"/>
  <c r="S653" i="2" s="1"/>
  <c r="AB653" i="2" a="1"/>
  <c r="AB653" i="2" s="1"/>
  <c r="B201" i="6" a="1"/>
  <c r="B201" i="6" s="1"/>
  <c r="B385" i="4" a="1"/>
  <c r="B385" i="4" s="1"/>
  <c r="B202" i="5" a="1"/>
  <c r="B202" i="5" s="1"/>
  <c r="W654" i="2" a="1"/>
  <c r="W654" i="2" s="1"/>
  <c r="AE654" i="2" a="1"/>
  <c r="AE654" i="2" s="1"/>
  <c r="E544" i="12" a="1"/>
  <c r="E544" i="12" s="1"/>
  <c r="AC656" i="2" a="1"/>
  <c r="AC656" i="2" s="1"/>
  <c r="D203" i="7" a="1"/>
  <c r="D203" i="7" s="1"/>
  <c r="D206" i="6" a="1"/>
  <c r="D206" i="6" s="1"/>
  <c r="D393" i="4" a="1"/>
  <c r="D393" i="4" s="1"/>
  <c r="S658" i="2" a="1"/>
  <c r="S658" i="2" s="1"/>
  <c r="AB658" i="2" a="1"/>
  <c r="AB658" i="2" s="1"/>
  <c r="B204" i="7" a="1"/>
  <c r="B204" i="7" s="1"/>
  <c r="B394" i="4" a="1"/>
  <c r="B394" i="4" s="1"/>
  <c r="W659" i="2" a="1"/>
  <c r="W659" i="2" s="1"/>
  <c r="AE659" i="2" a="1"/>
  <c r="AE659" i="2" s="1"/>
  <c r="E563" i="12" a="1"/>
  <c r="E563" i="12" s="1"/>
  <c r="AC661" i="2" a="1"/>
  <c r="AC661" i="2" s="1"/>
  <c r="D206" i="7" a="1"/>
  <c r="D206" i="7" s="1"/>
  <c r="D207" i="6" a="1"/>
  <c r="D207" i="6" s="1"/>
  <c r="D397" i="4" a="1"/>
  <c r="D397" i="4" s="1"/>
  <c r="S663" i="2" a="1"/>
  <c r="S663" i="2" s="1"/>
  <c r="AB663" i="2" a="1"/>
  <c r="AB663" i="2" s="1"/>
  <c r="B207" i="7" a="1"/>
  <c r="B207" i="7" s="1"/>
  <c r="B399" i="4" a="1"/>
  <c r="B399" i="4" s="1"/>
  <c r="W664" i="2" a="1"/>
  <c r="W664" i="2" s="1"/>
  <c r="AE664" i="2" a="1"/>
  <c r="AE664" i="2" s="1"/>
  <c r="E542" i="12" a="1"/>
  <c r="E542" i="12" s="1"/>
  <c r="AC666" i="2" a="1"/>
  <c r="AC666" i="2" s="1"/>
  <c r="D402" i="4" a="1"/>
  <c r="D402" i="4" s="1"/>
  <c r="D208" i="6" a="1"/>
  <c r="D208" i="6" s="1"/>
  <c r="S668" i="2" a="1"/>
  <c r="S668" i="2" s="1"/>
  <c r="AB668" i="2" a="1"/>
  <c r="AB668" i="2" s="1"/>
  <c r="B209" i="6" a="1"/>
  <c r="B209" i="6" s="1"/>
  <c r="B209" i="7" a="1"/>
  <c r="B209" i="7" s="1"/>
  <c r="B404" i="4" a="1"/>
  <c r="B404" i="4" s="1"/>
  <c r="W669" i="2" a="1"/>
  <c r="W669" i="2" s="1"/>
  <c r="AE669" i="2" a="1"/>
  <c r="AE669" i="2" s="1"/>
  <c r="E587" i="12" a="1"/>
  <c r="E587" i="12" s="1"/>
  <c r="L57" i="3" a="1"/>
  <c r="L57" i="3" s="1"/>
  <c r="U80" i="3" a="1"/>
  <c r="U80" i="3" s="1"/>
  <c r="E86" i="3" a="1"/>
  <c r="E86" i="3" s="1"/>
  <c r="W109" i="3" a="1"/>
  <c r="W109" i="3" s="1"/>
  <c r="G115" i="3" a="1"/>
  <c r="G115" i="3" s="1"/>
  <c r="O115" i="3" a="1"/>
  <c r="O115" i="3" s="1"/>
  <c r="M138" i="3" a="1"/>
  <c r="M138" i="3" s="1"/>
  <c r="D166" i="6" a="1"/>
  <c r="D166" i="6" s="1"/>
  <c r="D312" i="4" a="1"/>
  <c r="D312" i="4" s="1"/>
  <c r="E478" i="12" a="1"/>
  <c r="E478" i="12" s="1"/>
  <c r="D173" i="7" a="1"/>
  <c r="D173" i="7" s="1"/>
  <c r="D321" i="4" a="1"/>
  <c r="D321" i="4" s="1"/>
  <c r="E409" i="12" a="1"/>
  <c r="E409" i="12" s="1"/>
  <c r="D177" i="7" a="1"/>
  <c r="D177" i="7" s="1"/>
  <c r="D174" i="5" a="1"/>
  <c r="D174" i="5" s="1"/>
  <c r="D326" i="4" a="1"/>
  <c r="D326" i="4" s="1"/>
  <c r="E433" i="12" a="1"/>
  <c r="E433" i="12" s="1"/>
  <c r="D184" i="5" a="1"/>
  <c r="D184" i="5" s="1"/>
  <c r="D354" i="4" a="1"/>
  <c r="D354" i="4" s="1"/>
  <c r="E480" i="12" a="1"/>
  <c r="E480" i="12" s="1"/>
  <c r="AC599" i="2" a="1"/>
  <c r="AC599" i="2" s="1"/>
  <c r="D183" i="7" a="1"/>
  <c r="D183" i="7" s="1"/>
  <c r="D176" i="6" a="1"/>
  <c r="D176" i="6" s="1"/>
  <c r="D336" i="4" a="1"/>
  <c r="D336" i="4" s="1"/>
  <c r="E460" i="12" a="1"/>
  <c r="E460" i="12" s="1"/>
  <c r="AC604" i="2" a="1"/>
  <c r="AC604" i="2" s="1"/>
  <c r="D187" i="7" a="1"/>
  <c r="D187" i="7" s="1"/>
  <c r="D179" i="6" a="1"/>
  <c r="D179" i="6" s="1"/>
  <c r="D341" i="4" a="1"/>
  <c r="D341" i="4" s="1"/>
  <c r="E538" i="12" a="1"/>
  <c r="E538" i="12" s="1"/>
  <c r="AC609" i="2" a="1"/>
  <c r="AC609" i="2" s="1"/>
  <c r="D189" i="7" a="1"/>
  <c r="D189" i="7" s="1"/>
  <c r="D180" i="5" a="1"/>
  <c r="D180" i="5" s="1"/>
  <c r="D349" i="4" a="1"/>
  <c r="D349" i="4" s="1"/>
  <c r="E436" i="12" a="1"/>
  <c r="E436" i="12" s="1"/>
  <c r="AC614" i="2" a="1"/>
  <c r="AC614" i="2" s="1"/>
  <c r="D181" i="6" a="1"/>
  <c r="D181" i="6" s="1"/>
  <c r="D343" i="4" a="1"/>
  <c r="D343" i="4" s="1"/>
  <c r="E434" i="12" a="1"/>
  <c r="E434" i="12" s="1"/>
  <c r="AC619" i="2" a="1"/>
  <c r="AC619" i="2" s="1"/>
  <c r="V620" i="2" a="1"/>
  <c r="V620" i="2" s="1"/>
  <c r="AD621" i="2" a="1"/>
  <c r="AD621" i="2" s="1"/>
  <c r="Z622" i="2" a="1"/>
  <c r="Z622" i="2" s="1"/>
  <c r="AG622" i="2" a="1"/>
  <c r="AG622" i="2" s="1"/>
  <c r="X623" i="2" a="1"/>
  <c r="X623" i="2" s="1"/>
  <c r="W624" i="2" a="1"/>
  <c r="W624" i="2" s="1"/>
  <c r="AD624" i="2" a="1"/>
  <c r="AD624" i="2" s="1"/>
  <c r="B187" i="6" a="1"/>
  <c r="B187" i="6" s="1"/>
  <c r="B351" i="4" a="1"/>
  <c r="B351" i="4" s="1"/>
  <c r="Z627" i="2" a="1"/>
  <c r="Z627" i="2" s="1"/>
  <c r="AG627" i="2" a="1"/>
  <c r="AG627" i="2" s="1"/>
  <c r="X628" i="2" a="1"/>
  <c r="X628" i="2" s="1"/>
  <c r="W629" i="2" a="1"/>
  <c r="W629" i="2" s="1"/>
  <c r="AD629" i="2" a="1"/>
  <c r="AD629" i="2" s="1"/>
  <c r="B194" i="7" a="1"/>
  <c r="B194" i="7" s="1"/>
  <c r="B362" i="4" a="1"/>
  <c r="B362" i="4" s="1"/>
  <c r="Z632" i="2" a="1"/>
  <c r="Z632" i="2" s="1"/>
  <c r="AG632" i="2" a="1"/>
  <c r="AG632" i="2" s="1"/>
  <c r="X633" i="2" a="1"/>
  <c r="X633" i="2" s="1"/>
  <c r="W634" i="2" a="1"/>
  <c r="W634" i="2" s="1"/>
  <c r="AD634" i="2" a="1"/>
  <c r="AD634" i="2" s="1"/>
  <c r="B196" i="7" a="1"/>
  <c r="B196" i="7" s="1"/>
  <c r="B365" i="4" a="1"/>
  <c r="B365" i="4" s="1"/>
  <c r="Z637" i="2" a="1"/>
  <c r="Z637" i="2" s="1"/>
  <c r="AG637" i="2" a="1"/>
  <c r="AG637" i="2" s="1"/>
  <c r="X638" i="2" a="1"/>
  <c r="X638" i="2" s="1"/>
  <c r="W639" i="2" a="1"/>
  <c r="W639" i="2" s="1"/>
  <c r="AD639" i="2" a="1"/>
  <c r="AD639" i="2" s="1"/>
  <c r="B194" i="6" a="1"/>
  <c r="B194" i="6" s="1"/>
  <c r="B190" i="5" a="1"/>
  <c r="B190" i="5" s="1"/>
  <c r="B368" i="4" a="1"/>
  <c r="B368" i="4" s="1"/>
  <c r="T641" i="2" a="1"/>
  <c r="T641" i="2" s="1"/>
  <c r="AA641" i="2" a="1"/>
  <c r="AA641" i="2" s="1"/>
  <c r="Z642" i="2" a="1"/>
  <c r="Z642" i="2" s="1"/>
  <c r="T643" i="2" a="1"/>
  <c r="T643" i="2" s="1"/>
  <c r="AA645" i="2" a="1"/>
  <c r="AA645" i="2" s="1"/>
  <c r="V646" i="2" a="1"/>
  <c r="V646" i="2" s="1"/>
  <c r="AD646" i="2" a="1"/>
  <c r="AD646" i="2" s="1"/>
  <c r="Y647" i="2" a="1"/>
  <c r="Y647" i="2" s="1"/>
  <c r="T648" i="2" a="1"/>
  <c r="T648" i="2" s="1"/>
  <c r="AA650" i="2" a="1"/>
  <c r="AA650" i="2" s="1"/>
  <c r="V651" i="2" a="1"/>
  <c r="V651" i="2" s="1"/>
  <c r="AD651" i="2" a="1"/>
  <c r="AD651" i="2" s="1"/>
  <c r="Y652" i="2" a="1"/>
  <c r="Y652" i="2" s="1"/>
  <c r="T653" i="2" a="1"/>
  <c r="T653" i="2" s="1"/>
  <c r="AA655" i="2" a="1"/>
  <c r="AA655" i="2" s="1"/>
  <c r="V656" i="2" a="1"/>
  <c r="V656" i="2" s="1"/>
  <c r="AD656" i="2" a="1"/>
  <c r="AD656" i="2" s="1"/>
  <c r="Y657" i="2" a="1"/>
  <c r="Y657" i="2" s="1"/>
  <c r="T658" i="2" a="1"/>
  <c r="T658" i="2" s="1"/>
  <c r="AA660" i="2" a="1"/>
  <c r="AA660" i="2" s="1"/>
  <c r="V661" i="2" a="1"/>
  <c r="V661" i="2" s="1"/>
  <c r="AD661" i="2" a="1"/>
  <c r="AD661" i="2" s="1"/>
  <c r="Y662" i="2" a="1"/>
  <c r="Y662" i="2" s="1"/>
  <c r="T663" i="2" a="1"/>
  <c r="T663" i="2" s="1"/>
  <c r="AA665" i="2" a="1"/>
  <c r="AA665" i="2" s="1"/>
  <c r="V666" i="2" a="1"/>
  <c r="V666" i="2" s="1"/>
  <c r="AD666" i="2" a="1"/>
  <c r="AD666" i="2" s="1"/>
  <c r="Y667" i="2" a="1"/>
  <c r="Y667" i="2" s="1"/>
  <c r="T668" i="2" a="1"/>
  <c r="T668" i="2" s="1"/>
  <c r="AA670" i="2" a="1"/>
  <c r="AA670" i="2" s="1"/>
  <c r="V671" i="2" a="1"/>
  <c r="V671" i="2" s="1"/>
  <c r="AD671" i="2" a="1"/>
  <c r="AD671" i="2" s="1"/>
  <c r="V80" i="3" a="1"/>
  <c r="V80" i="3" s="1"/>
  <c r="L86" i="3" a="1"/>
  <c r="L86" i="3" s="1"/>
  <c r="E138" i="3" a="1"/>
  <c r="E138" i="3" s="1"/>
  <c r="N138" i="3" a="1"/>
  <c r="N138" i="3" s="1"/>
  <c r="V138" i="3" a="1"/>
  <c r="V138" i="3" s="1"/>
  <c r="E167" i="3" a="1"/>
  <c r="E167" i="3" s="1"/>
  <c r="W620" i="2" a="1"/>
  <c r="W620" i="2" s="1"/>
  <c r="AC620" i="2" a="1"/>
  <c r="AC620" i="2" s="1"/>
  <c r="B191" i="7" a="1"/>
  <c r="B191" i="7" s="1"/>
  <c r="B357" i="4" a="1"/>
  <c r="B357" i="4" s="1"/>
  <c r="E375" i="12" a="1"/>
  <c r="E375" i="12" s="1"/>
  <c r="U456" i="12" a="1"/>
  <c r="U456" i="12" s="1"/>
  <c r="E489" i="12" a="1"/>
  <c r="E489" i="12" s="1"/>
  <c r="AE624" i="2" a="1"/>
  <c r="AE624" i="2" s="1"/>
  <c r="D186" i="6" a="1"/>
  <c r="D186" i="6" s="1"/>
  <c r="D181" i="5" a="1"/>
  <c r="D181" i="5" s="1"/>
  <c r="D350" i="4" a="1"/>
  <c r="D350" i="4" s="1"/>
  <c r="U529" i="12" a="1"/>
  <c r="U529" i="12" s="1"/>
  <c r="E392" i="12" a="1"/>
  <c r="E392" i="12" s="1"/>
  <c r="AE629" i="2" a="1"/>
  <c r="AE629" i="2" s="1"/>
  <c r="D188" i="6" a="1"/>
  <c r="D188" i="6" s="1"/>
  <c r="D182" i="5" a="1"/>
  <c r="D182" i="5" s="1"/>
  <c r="D352" i="4" a="1"/>
  <c r="D352" i="4" s="1"/>
  <c r="U546" i="12" a="1"/>
  <c r="U546" i="12" s="1"/>
  <c r="E473" i="12" a="1"/>
  <c r="E473" i="12" s="1"/>
  <c r="AE634" i="2" a="1"/>
  <c r="AE634" i="2" s="1"/>
  <c r="D198" i="5" a="1"/>
  <c r="D198" i="5" s="1"/>
  <c r="D380" i="4" a="1"/>
  <c r="D380" i="4" s="1"/>
  <c r="U577" i="12" a="1"/>
  <c r="U577" i="12" s="1"/>
  <c r="E491" i="12" a="1"/>
  <c r="E491" i="12" s="1"/>
  <c r="AE639" i="2" a="1"/>
  <c r="AE639" i="2" s="1"/>
  <c r="D192" i="6" a="1"/>
  <c r="D192" i="6" s="1"/>
  <c r="D366" i="4" a="1"/>
  <c r="D366" i="4" s="1"/>
  <c r="AB641" i="2" a="1"/>
  <c r="AB641" i="2" s="1"/>
  <c r="AC643" i="2" a="1"/>
  <c r="AC643" i="2" s="1"/>
  <c r="D199" i="7" a="1"/>
  <c r="D199" i="7" s="1"/>
  <c r="D197" i="5" a="1"/>
  <c r="D197" i="5" s="1"/>
  <c r="D379" i="4" a="1"/>
  <c r="D379" i="4" s="1"/>
  <c r="B203" i="5" a="1"/>
  <c r="B203" i="5" s="1"/>
  <c r="B388" i="4" a="1"/>
  <c r="B388" i="4" s="1"/>
  <c r="E507" i="12" a="1"/>
  <c r="E507" i="12" s="1"/>
  <c r="AC648" i="2" a="1"/>
  <c r="AC648" i="2" s="1"/>
  <c r="D381" i="4" a="1"/>
  <c r="D381" i="4" s="1"/>
  <c r="D199" i="5" a="1"/>
  <c r="D199" i="5" s="1"/>
  <c r="D199" i="6" a="1"/>
  <c r="D199" i="6" s="1"/>
  <c r="B200" i="6" a="1"/>
  <c r="B200" i="6" s="1"/>
  <c r="B200" i="5" a="1"/>
  <c r="B200" i="5" s="1"/>
  <c r="B383" i="4" a="1"/>
  <c r="B383" i="4" s="1"/>
  <c r="W651" i="2" a="1"/>
  <c r="W651" i="2" s="1"/>
  <c r="AE651" i="2" a="1"/>
  <c r="AE651" i="2" s="1"/>
  <c r="E477" i="12" a="1"/>
  <c r="E477" i="12" s="1"/>
  <c r="AC653" i="2" a="1"/>
  <c r="AC653" i="2" s="1"/>
  <c r="D202" i="5" a="1"/>
  <c r="D202" i="5" s="1"/>
  <c r="D385" i="4" a="1"/>
  <c r="D385" i="4" s="1"/>
  <c r="D201" i="6" a="1"/>
  <c r="D201" i="6" s="1"/>
  <c r="B202" i="6" a="1"/>
  <c r="B202" i="6" s="1"/>
  <c r="B386" i="4" a="1"/>
  <c r="B386" i="4" s="1"/>
  <c r="W656" i="2" a="1"/>
  <c r="W656" i="2" s="1"/>
  <c r="AE656" i="2" a="1"/>
  <c r="AE656" i="2" s="1"/>
  <c r="E592" i="12" a="1"/>
  <c r="E592" i="12" s="1"/>
  <c r="AC658" i="2" a="1"/>
  <c r="AC658" i="2" s="1"/>
  <c r="D204" i="7" a="1"/>
  <c r="D204" i="7" s="1"/>
  <c r="D394" i="4" a="1"/>
  <c r="D394" i="4" s="1"/>
  <c r="B205" i="7" a="1"/>
  <c r="B205" i="7" s="1"/>
  <c r="B396" i="4" a="1"/>
  <c r="B396" i="4" s="1"/>
  <c r="W661" i="2" a="1"/>
  <c r="W661" i="2" s="1"/>
  <c r="AE661" i="2" a="1"/>
  <c r="AE661" i="2" s="1"/>
  <c r="E570" i="12" a="1"/>
  <c r="E570" i="12" s="1"/>
  <c r="D207" i="7" a="1"/>
  <c r="D207" i="7" s="1"/>
  <c r="D399" i="4" a="1"/>
  <c r="D399" i="4" s="1"/>
  <c r="B209" i="5" a="1"/>
  <c r="B209" i="5" s="1"/>
  <c r="B403" i="4" a="1"/>
  <c r="B403" i="4" s="1"/>
  <c r="E590" i="12" a="1"/>
  <c r="E590" i="12" s="1"/>
  <c r="AC668" i="2" a="1"/>
  <c r="AC668" i="2" s="1"/>
  <c r="D209" i="6" a="1"/>
  <c r="D209" i="6" s="1"/>
  <c r="D209" i="7" a="1"/>
  <c r="D209" i="7" s="1"/>
  <c r="D404" i="4" a="1"/>
  <c r="D404" i="4" s="1"/>
  <c r="S670" i="2" a="1"/>
  <c r="S670" i="2" s="1"/>
  <c r="B210" i="6" a="1"/>
  <c r="B210" i="6" s="1"/>
  <c r="B405" i="4" a="1"/>
  <c r="B405" i="4" s="1"/>
  <c r="E80" i="3" a="1"/>
  <c r="E80" i="3" s="1"/>
  <c r="W80" i="3" a="1"/>
  <c r="W80" i="3" s="1"/>
  <c r="X109" i="3" a="1"/>
  <c r="X109" i="3" s="1"/>
  <c r="I115" i="3" a="1"/>
  <c r="I115" i="3" s="1"/>
  <c r="W138" i="3" a="1"/>
  <c r="W138" i="3" s="1"/>
  <c r="E254" i="3" a="1"/>
  <c r="E254" i="3" s="1"/>
  <c r="Q260" i="3" a="1"/>
  <c r="Q260" i="3" s="1"/>
  <c r="D131" i="6" a="1"/>
  <c r="D131" i="6" s="1"/>
  <c r="D251" i="4" a="1"/>
  <c r="D251" i="4" s="1"/>
  <c r="E362" i="12" a="1"/>
  <c r="E362" i="12" s="1"/>
  <c r="D135" i="6" a="1"/>
  <c r="D135" i="6" s="1"/>
  <c r="D130" i="5" a="1"/>
  <c r="D130" i="5" s="1"/>
  <c r="D255" i="4" a="1"/>
  <c r="D255" i="4" s="1"/>
  <c r="E307" i="12" a="1"/>
  <c r="E307" i="12" s="1"/>
  <c r="D138" i="6" a="1"/>
  <c r="D138" i="6" s="1"/>
  <c r="D133" i="5" a="1"/>
  <c r="D133" i="5" s="1"/>
  <c r="D260" i="4" a="1"/>
  <c r="D260" i="4" s="1"/>
  <c r="U137" i="12" a="1"/>
  <c r="U137" i="12" s="1"/>
  <c r="E417" i="12" a="1"/>
  <c r="E417" i="12" s="1"/>
  <c r="D171" i="7" a="1"/>
  <c r="D171" i="7" s="1"/>
  <c r="D168" i="6" a="1"/>
  <c r="D168" i="6" s="1"/>
  <c r="D171" i="5" a="1"/>
  <c r="D171" i="5" s="1"/>
  <c r="D319" i="4" a="1"/>
  <c r="D319" i="4" s="1"/>
  <c r="B172" i="7" a="1"/>
  <c r="B172" i="7" s="1"/>
  <c r="B172" i="5" a="1"/>
  <c r="B172" i="5" s="1"/>
  <c r="B320" i="4" a="1"/>
  <c r="B320" i="4" s="1"/>
  <c r="V585" i="2" a="1"/>
  <c r="V585" i="2" s="1"/>
  <c r="AB585" i="2" a="1"/>
  <c r="AB585" i="2" s="1"/>
  <c r="U525" i="12" a="1"/>
  <c r="U525" i="12" s="1"/>
  <c r="E532" i="12" a="1"/>
  <c r="E532" i="12" s="1"/>
  <c r="D167" i="6" a="1"/>
  <c r="D167" i="6" s="1"/>
  <c r="D315" i="4" a="1"/>
  <c r="D315" i="4" s="1"/>
  <c r="E471" i="12" a="1"/>
  <c r="E471" i="12" s="1"/>
  <c r="D180" i="7" a="1"/>
  <c r="D180" i="7" s="1"/>
  <c r="D176" i="5" a="1"/>
  <c r="D176" i="5" s="1"/>
  <c r="D331" i="4" a="1"/>
  <c r="D331" i="4" s="1"/>
  <c r="E486" i="12" a="1"/>
  <c r="E486" i="12" s="1"/>
  <c r="D358" i="4" a="1"/>
  <c r="D358" i="4" s="1"/>
  <c r="D186" i="5" a="1"/>
  <c r="D186" i="5" s="1"/>
  <c r="S599" i="2" a="1"/>
  <c r="S599" i="2" s="1"/>
  <c r="AD599" i="2" a="1"/>
  <c r="AD599" i="2" s="1"/>
  <c r="E437" i="12" a="1"/>
  <c r="E437" i="12" s="1"/>
  <c r="D185" i="7" a="1"/>
  <c r="D185" i="7" s="1"/>
  <c r="D338" i="4" a="1"/>
  <c r="D338" i="4" s="1"/>
  <c r="S604" i="2" a="1"/>
  <c r="S604" i="2" s="1"/>
  <c r="AD604" i="2" a="1"/>
  <c r="AD604" i="2" s="1"/>
  <c r="E523" i="12" a="1"/>
  <c r="E523" i="12" s="1"/>
  <c r="D173" i="6" a="1"/>
  <c r="D173" i="6" s="1"/>
  <c r="D333" i="4" a="1"/>
  <c r="D333" i="4" s="1"/>
  <c r="S609" i="2" a="1"/>
  <c r="S609" i="2" s="1"/>
  <c r="AD609" i="2" a="1"/>
  <c r="AD609" i="2" s="1"/>
  <c r="E482" i="12" a="1"/>
  <c r="E482" i="12" s="1"/>
  <c r="D192" i="5" a="1"/>
  <c r="D192" i="5" s="1"/>
  <c r="D372" i="4" a="1"/>
  <c r="D372" i="4" s="1"/>
  <c r="S614" i="2" a="1"/>
  <c r="S614" i="2" s="1"/>
  <c r="AD614" i="2" a="1"/>
  <c r="AD614" i="2" s="1"/>
  <c r="E395" i="12" a="1"/>
  <c r="E395" i="12" s="1"/>
  <c r="D178" i="5" a="1"/>
  <c r="D178" i="5" s="1"/>
  <c r="D183" i="6" a="1"/>
  <c r="D183" i="6" s="1"/>
  <c r="D345" i="4" a="1"/>
  <c r="D345" i="4" s="1"/>
  <c r="S619" i="2" a="1"/>
  <c r="S619" i="2" s="1"/>
  <c r="AD620" i="2" a="1"/>
  <c r="AD620" i="2" s="1"/>
  <c r="Y621" i="2" a="1"/>
  <c r="Y621" i="2" s="1"/>
  <c r="T622" i="2" a="1"/>
  <c r="T622" i="2" s="1"/>
  <c r="AA622" i="2" a="1"/>
  <c r="AA622" i="2" s="1"/>
  <c r="Z623" i="2" a="1"/>
  <c r="Z623" i="2" s="1"/>
  <c r="X624" i="2" a="1"/>
  <c r="X624" i="2" s="1"/>
  <c r="B190" i="6" a="1"/>
  <c r="B190" i="6" s="1"/>
  <c r="B192" i="7" a="1"/>
  <c r="B192" i="7" s="1"/>
  <c r="B187" i="5" a="1"/>
  <c r="B187" i="5" s="1"/>
  <c r="B359" i="4" a="1"/>
  <c r="B359" i="4" s="1"/>
  <c r="T627" i="2" a="1"/>
  <c r="T627" i="2" s="1"/>
  <c r="AA627" i="2" a="1"/>
  <c r="AA627" i="2" s="1"/>
  <c r="Z628" i="2" a="1"/>
  <c r="Z628" i="2" s="1"/>
  <c r="X629" i="2" a="1"/>
  <c r="X629" i="2" s="1"/>
  <c r="B196" i="5" a="1"/>
  <c r="B196" i="5" s="1"/>
  <c r="B378" i="4" a="1"/>
  <c r="B378" i="4" s="1"/>
  <c r="T632" i="2" a="1"/>
  <c r="T632" i="2" s="1"/>
  <c r="AA632" i="2" a="1"/>
  <c r="AA632" i="2" s="1"/>
  <c r="Z633" i="2" a="1"/>
  <c r="Z633" i="2" s="1"/>
  <c r="X634" i="2" a="1"/>
  <c r="X634" i="2" s="1"/>
  <c r="B197" i="7" a="1"/>
  <c r="B197" i="7" s="1"/>
  <c r="B193" i="6" a="1"/>
  <c r="B193" i="6" s="1"/>
  <c r="B367" i="4" a="1"/>
  <c r="B367" i="4" s="1"/>
  <c r="T637" i="2" a="1"/>
  <c r="T637" i="2" s="1"/>
  <c r="AA637" i="2" a="1"/>
  <c r="AA637" i="2" s="1"/>
  <c r="Z638" i="2" a="1"/>
  <c r="Z638" i="2" s="1"/>
  <c r="X639" i="2" a="1"/>
  <c r="X639" i="2" s="1"/>
  <c r="B195" i="6" a="1"/>
  <c r="B195" i="6" s="1"/>
  <c r="B370" i="4" a="1"/>
  <c r="B370" i="4" s="1"/>
  <c r="T642" i="2" a="1"/>
  <c r="T642" i="2" s="1"/>
  <c r="U642" i="2" s="1" a="1"/>
  <c r="U642" i="2" s="1"/>
  <c r="AA642" i="2" a="1"/>
  <c r="AA642" i="2" s="1"/>
  <c r="V643" i="2" a="1"/>
  <c r="V643" i="2" s="1"/>
  <c r="AD643" i="2" a="1"/>
  <c r="AD643" i="2" s="1"/>
  <c r="AF646" i="2" a="1"/>
  <c r="AF646" i="2" s="1"/>
  <c r="V648" i="2" a="1"/>
  <c r="V648" i="2" s="1"/>
  <c r="AD648" i="2" a="1"/>
  <c r="AD648" i="2" s="1"/>
  <c r="AF651" i="2" a="1"/>
  <c r="AF651" i="2" s="1"/>
  <c r="V653" i="2" a="1"/>
  <c r="V653" i="2" s="1"/>
  <c r="AD653" i="2" a="1"/>
  <c r="AD653" i="2" s="1"/>
  <c r="AF656" i="2" a="1"/>
  <c r="AF656" i="2" s="1"/>
  <c r="V658" i="2" a="1"/>
  <c r="V658" i="2" s="1"/>
  <c r="AD658" i="2" a="1"/>
  <c r="AD658" i="2" s="1"/>
  <c r="AF661" i="2" a="1"/>
  <c r="AF661" i="2" s="1"/>
  <c r="V663" i="2" a="1"/>
  <c r="V663" i="2" s="1"/>
  <c r="AD663" i="2" a="1"/>
  <c r="AD663" i="2" s="1"/>
  <c r="V668" i="2" a="1"/>
  <c r="V668" i="2" s="1"/>
  <c r="AD668" i="2" a="1"/>
  <c r="AD668" i="2" s="1"/>
  <c r="AF671" i="2" a="1"/>
  <c r="AF671" i="2" s="1"/>
  <c r="K51" i="3" a="1"/>
  <c r="K51" i="3" s="1"/>
  <c r="F80" i="3" a="1"/>
  <c r="F80" i="3" s="1"/>
  <c r="U83" i="3" s="1" a="1"/>
  <c r="U83" i="3" s="1"/>
  <c r="O80" i="3" a="1"/>
  <c r="O80" i="3" s="1"/>
  <c r="G109" i="3" a="1"/>
  <c r="G109" i="3" s="1"/>
  <c r="J115" i="3" a="1"/>
  <c r="J115" i="3" s="1"/>
  <c r="G138" i="3" a="1"/>
  <c r="G138" i="3" s="1"/>
  <c r="X141" i="3" s="1" a="1"/>
  <c r="X141" i="3" s="1"/>
  <c r="L254" i="3" a="1"/>
  <c r="L254" i="3" s="1"/>
  <c r="E485" i="12" a="1"/>
  <c r="E485" i="12" s="1"/>
  <c r="D194" i="5" a="1"/>
  <c r="D194" i="5" s="1"/>
  <c r="D376" i="4" a="1"/>
  <c r="D376" i="4" s="1"/>
  <c r="E430" i="12" a="1"/>
  <c r="E430" i="12" s="1"/>
  <c r="Y624" i="2" a="1"/>
  <c r="Y624" i="2" s="1"/>
  <c r="D187" i="6" a="1"/>
  <c r="D187" i="6" s="1"/>
  <c r="D351" i="4" a="1"/>
  <c r="D351" i="4" s="1"/>
  <c r="E424" i="12" a="1"/>
  <c r="E424" i="12" s="1"/>
  <c r="Y629" i="2" a="1"/>
  <c r="Y629" i="2" s="1"/>
  <c r="D194" i="7" a="1"/>
  <c r="D194" i="7" s="1"/>
  <c r="D362" i="4" a="1"/>
  <c r="D362" i="4" s="1"/>
  <c r="E441" i="12" a="1"/>
  <c r="E441" i="12" s="1"/>
  <c r="Y634" i="2" a="1"/>
  <c r="Y634" i="2" s="1"/>
  <c r="D196" i="7" a="1"/>
  <c r="D196" i="7" s="1"/>
  <c r="D365" i="4" a="1"/>
  <c r="D365" i="4" s="1"/>
  <c r="E418" i="12" a="1"/>
  <c r="E418" i="12" s="1"/>
  <c r="Y639" i="2" a="1"/>
  <c r="Y639" i="2" s="1"/>
  <c r="D194" i="6" a="1"/>
  <c r="D194" i="6" s="1"/>
  <c r="D190" i="5" a="1"/>
  <c r="D190" i="5" s="1"/>
  <c r="D368" i="4" a="1"/>
  <c r="D368" i="4" s="1"/>
  <c r="V641" i="2" a="1"/>
  <c r="V641" i="2" s="1"/>
  <c r="B197" i="6" a="1"/>
  <c r="B197" i="6" s="1"/>
  <c r="B373" i="4" a="1"/>
  <c r="B373" i="4" s="1"/>
  <c r="W643" i="2" a="1"/>
  <c r="W643" i="2" s="1"/>
  <c r="E548" i="12" a="1"/>
  <c r="E548" i="12" s="1"/>
  <c r="D203" i="5" a="1"/>
  <c r="D203" i="5" s="1"/>
  <c r="D388" i="4" a="1"/>
  <c r="D388" i="4" s="1"/>
  <c r="X646" i="2" a="1"/>
  <c r="X646" i="2" s="1"/>
  <c r="B390" i="4" a="1"/>
  <c r="B390" i="4" s="1"/>
  <c r="B204" i="5" a="1"/>
  <c r="B204" i="5" s="1"/>
  <c r="W648" i="2" a="1"/>
  <c r="W648" i="2" s="1"/>
  <c r="E513" i="12" a="1"/>
  <c r="E513" i="12" s="1"/>
  <c r="D200" i="6" a="1"/>
  <c r="D200" i="6" s="1"/>
  <c r="D200" i="5" a="1"/>
  <c r="D200" i="5" s="1"/>
  <c r="D383" i="4" a="1"/>
  <c r="D383" i="4" s="1"/>
  <c r="X651" i="2" a="1"/>
  <c r="X651" i="2" s="1"/>
  <c r="B207" i="5" a="1"/>
  <c r="B207" i="5" s="1"/>
  <c r="B398" i="4" a="1"/>
  <c r="B398" i="4" s="1"/>
  <c r="W653" i="2" a="1"/>
  <c r="W653" i="2" s="1"/>
  <c r="E467" i="12" a="1"/>
  <c r="E467" i="12" s="1"/>
  <c r="D202" i="6" a="1"/>
  <c r="D202" i="6" s="1"/>
  <c r="D386" i="4" a="1"/>
  <c r="D386" i="4" s="1"/>
  <c r="X656" i="2" a="1"/>
  <c r="X656" i="2" s="1"/>
  <c r="B204" i="6" a="1"/>
  <c r="B204" i="6" s="1"/>
  <c r="B389" i="4" a="1"/>
  <c r="B389" i="4" s="1"/>
  <c r="W658" i="2" a="1"/>
  <c r="W658" i="2" s="1"/>
  <c r="E595" i="12" a="1"/>
  <c r="E595" i="12" s="1"/>
  <c r="D205" i="7" a="1"/>
  <c r="D205" i="7" s="1"/>
  <c r="D396" i="4" a="1"/>
  <c r="D396" i="4" s="1"/>
  <c r="X661" i="2" a="1"/>
  <c r="X661" i="2" s="1"/>
  <c r="B401" i="4" a="1"/>
  <c r="B401" i="4" s="1"/>
  <c r="B208" i="5" a="1"/>
  <c r="B208" i="5" s="1"/>
  <c r="W663" i="2" a="1"/>
  <c r="W663" i="2" s="1"/>
  <c r="E550" i="12" a="1"/>
  <c r="E550" i="12" s="1"/>
  <c r="D209" i="5" a="1"/>
  <c r="D209" i="5" s="1"/>
  <c r="D403" i="4" a="1"/>
  <c r="D403" i="4" s="1"/>
  <c r="B210" i="5" a="1"/>
  <c r="B210" i="5" s="1"/>
  <c r="B407" i="4" a="1"/>
  <c r="B407" i="4" s="1"/>
  <c r="W668" i="2" a="1"/>
  <c r="W668" i="2" s="1"/>
  <c r="E599" i="12" a="1"/>
  <c r="E599" i="12" s="1"/>
  <c r="D210" i="6" a="1"/>
  <c r="D210" i="6" s="1"/>
  <c r="D405" i="4" a="1"/>
  <c r="D405" i="4" s="1"/>
  <c r="X671" i="2" a="1"/>
  <c r="X671" i="2" s="1"/>
  <c r="F57" i="3" a="1"/>
  <c r="F57" i="3" s="1"/>
  <c r="U54" i="3" s="1" a="1"/>
  <c r="U54" i="3" s="1"/>
  <c r="G80" i="3" a="1"/>
  <c r="G80" i="3" s="1"/>
  <c r="X83" i="3" s="1" a="1"/>
  <c r="X83" i="3" s="1"/>
  <c r="P80" i="3" a="1"/>
  <c r="P80" i="3" s="1"/>
  <c r="N109" i="3" a="1"/>
  <c r="N109" i="3" s="1"/>
  <c r="Y109" i="3" a="1"/>
  <c r="Y109" i="3" s="1"/>
  <c r="L196" i="3" a="1"/>
  <c r="L196" i="3" s="1"/>
  <c r="W225" i="3" a="1"/>
  <c r="W225" i="3" s="1"/>
  <c r="J138" i="3" a="1"/>
  <c r="J138" i="3" s="1"/>
  <c r="P138" i="3" a="1"/>
  <c r="P138" i="3" s="1"/>
  <c r="O167" i="3" a="1"/>
  <c r="O167" i="3" s="1"/>
  <c r="Y167" i="3" a="1"/>
  <c r="Y167" i="3" s="1"/>
  <c r="L173" i="3" a="1"/>
  <c r="L173" i="3" s="1"/>
  <c r="F196" i="3" a="1"/>
  <c r="F196" i="3" s="1"/>
  <c r="U199" i="3" s="1" a="1"/>
  <c r="U199" i="3" s="1"/>
  <c r="M196" i="3" a="1"/>
  <c r="M196" i="3" s="1"/>
  <c r="M225" i="3" a="1"/>
  <c r="M225" i="3" s="1"/>
  <c r="U225" i="3" a="1"/>
  <c r="U225" i="3" s="1"/>
  <c r="R225" i="3" a="1"/>
  <c r="R225" i="3" s="1"/>
  <c r="F254" i="3" a="1"/>
  <c r="F254" i="3" s="1"/>
  <c r="V254" i="3" a="1"/>
  <c r="V254" i="3" s="1"/>
  <c r="I283" i="3" a="1"/>
  <c r="I283" i="3" s="1"/>
  <c r="W283" i="3" a="1"/>
  <c r="W283" i="3" s="1"/>
  <c r="N289" i="3" a="1"/>
  <c r="N289" i="3" s="1"/>
  <c r="P289" i="3" s="1" a="1"/>
  <c r="P289" i="3" s="1"/>
  <c r="E312" i="3" a="1"/>
  <c r="E312" i="3" s="1"/>
  <c r="N312" i="3" a="1"/>
  <c r="N312" i="3" s="1"/>
  <c r="U312" i="3" a="1"/>
  <c r="U312" i="3" s="1"/>
  <c r="T312" i="3" a="1"/>
  <c r="T312" i="3" s="1"/>
  <c r="Q318" i="3" a="1"/>
  <c r="Q318" i="3" s="1"/>
  <c r="P318" i="3" a="1"/>
  <c r="P318" i="3" s="1"/>
  <c r="G341" i="3" a="1"/>
  <c r="G341" i="3" s="1"/>
  <c r="X344" i="3" s="1" a="1"/>
  <c r="X344" i="3" s="1"/>
  <c r="W341" i="3" a="1"/>
  <c r="W341" i="3" s="1"/>
  <c r="G370" i="3" a="1"/>
  <c r="G370" i="3" s="1"/>
  <c r="X373" i="3" s="1" a="1"/>
  <c r="X373" i="3" s="1"/>
  <c r="P370" i="3" a="1"/>
  <c r="P370" i="3" s="1"/>
  <c r="X370" i="3" a="1"/>
  <c r="X370" i="3" s="1"/>
  <c r="Z370" i="3" s="1" a="1"/>
  <c r="Z370" i="3" s="1"/>
  <c r="I167" i="3" a="1"/>
  <c r="I167" i="3" s="1"/>
  <c r="P167" i="3" a="1"/>
  <c r="P167" i="3" s="1"/>
  <c r="G196" i="3" a="1"/>
  <c r="G196" i="3" s="1"/>
  <c r="X199" i="3" s="1" a="1"/>
  <c r="X199" i="3" s="1"/>
  <c r="N225" i="3" a="1"/>
  <c r="N225" i="3" s="1"/>
  <c r="N231" i="3" a="1"/>
  <c r="N231" i="3" s="1"/>
  <c r="P231" i="3" s="1" a="1"/>
  <c r="P231" i="3" s="1"/>
  <c r="G254" i="3" a="1"/>
  <c r="G254" i="3" s="1"/>
  <c r="X257" i="3" s="1" a="1"/>
  <c r="X257" i="3" s="1"/>
  <c r="O254" i="3" a="1"/>
  <c r="O254" i="3" s="1"/>
  <c r="F312" i="3" a="1"/>
  <c r="F312" i="3" s="1"/>
  <c r="U315" i="3" s="1" a="1"/>
  <c r="U315" i="3" s="1"/>
  <c r="V312" i="3" a="1"/>
  <c r="V312" i="3" s="1"/>
  <c r="R312" i="3" a="1"/>
  <c r="R312" i="3" s="1"/>
  <c r="I347" i="3" a="1"/>
  <c r="I347" i="3" s="1"/>
  <c r="Q347" i="3" s="1" a="1"/>
  <c r="Q347" i="3" s="1"/>
  <c r="T399" i="3" a="1"/>
  <c r="T399" i="3" s="1"/>
  <c r="N173" i="3" a="1"/>
  <c r="N173" i="3" s="1"/>
  <c r="P173" i="3" s="1" a="1"/>
  <c r="P173" i="3" s="1"/>
  <c r="O196" i="3" a="1"/>
  <c r="O196" i="3" s="1"/>
  <c r="G225" i="3" a="1"/>
  <c r="G225" i="3" s="1"/>
  <c r="X228" i="3" s="1" a="1"/>
  <c r="X228" i="3" s="1"/>
  <c r="P254" i="3" a="1"/>
  <c r="P254" i="3" s="1"/>
  <c r="Q289" i="3" a="1"/>
  <c r="Q289" i="3" s="1"/>
  <c r="R109" i="3" a="1"/>
  <c r="R109" i="3" s="1"/>
  <c r="R138" i="3" a="1"/>
  <c r="R138" i="3" s="1"/>
  <c r="X138" i="3" a="1"/>
  <c r="X138" i="3" s="1"/>
  <c r="Z138" i="3" s="1" a="1"/>
  <c r="Z138" i="3" s="1"/>
  <c r="J144" i="3" a="1"/>
  <c r="J144" i="3" s="1"/>
  <c r="I196" i="3" a="1"/>
  <c r="I196" i="3" s="1"/>
  <c r="P196" i="3" a="1"/>
  <c r="P196" i="3" s="1"/>
  <c r="I225" i="3" a="1"/>
  <c r="I225" i="3" s="1"/>
  <c r="O225" i="3" a="1"/>
  <c r="O225" i="3" s="1"/>
  <c r="J254" i="3" a="1"/>
  <c r="J254" i="3" s="1"/>
  <c r="X254" i="3" a="1"/>
  <c r="X254" i="3" s="1"/>
  <c r="K283" i="3" a="1"/>
  <c r="K283" i="3" s="1"/>
  <c r="R283" i="3" a="1"/>
  <c r="R283" i="3" s="1"/>
  <c r="Y283" i="3" a="1"/>
  <c r="Y283" i="3" s="1"/>
  <c r="Z283" i="3" s="1" a="1"/>
  <c r="Z283" i="3" s="1"/>
  <c r="G312" i="3" a="1"/>
  <c r="G312" i="3" s="1"/>
  <c r="X315" i="3" s="1" a="1"/>
  <c r="X315" i="3" s="1"/>
  <c r="P312" i="3" a="1"/>
  <c r="P312" i="3" s="1"/>
  <c r="K341" i="3" a="1"/>
  <c r="K341" i="3" s="1"/>
  <c r="Y341" i="3" a="1"/>
  <c r="Y341" i="3" s="1"/>
  <c r="Z341" i="3" s="1" a="1"/>
  <c r="Z341" i="3" s="1"/>
  <c r="F341" i="3" a="1"/>
  <c r="F341" i="3" s="1"/>
  <c r="U344" i="3" s="1" a="1"/>
  <c r="U344" i="3" s="1"/>
  <c r="F370" i="3" a="1"/>
  <c r="F370" i="3" s="1"/>
  <c r="U373" i="3" s="1" a="1"/>
  <c r="U373" i="3" s="1"/>
  <c r="R167" i="3" a="1"/>
  <c r="R167" i="3" s="1"/>
  <c r="X167" i="3" a="1"/>
  <c r="X167" i="3" s="1"/>
  <c r="G173" i="3" a="1"/>
  <c r="G173" i="3" s="1"/>
  <c r="J196" i="3" a="1"/>
  <c r="J196" i="3" s="1"/>
  <c r="N196" i="3" a="1"/>
  <c r="N196" i="3" s="1"/>
  <c r="J225" i="3" a="1"/>
  <c r="J225" i="3" s="1"/>
  <c r="P225" i="3" a="1"/>
  <c r="P225" i="3" s="1"/>
  <c r="R254" i="3" a="1"/>
  <c r="R254" i="3" s="1"/>
  <c r="Y254" i="3" a="1"/>
  <c r="Y254" i="3" s="1"/>
  <c r="L283" i="3" a="1"/>
  <c r="L283" i="3" s="1"/>
  <c r="X312" i="3" a="1"/>
  <c r="X312" i="3" s="1"/>
  <c r="L341" i="3" a="1"/>
  <c r="L341" i="3" s="1"/>
  <c r="K370" i="3" a="1"/>
  <c r="K370" i="3" s="1"/>
  <c r="S370" i="3" a="1"/>
  <c r="S370" i="3" s="1"/>
  <c r="G399" i="3" a="1"/>
  <c r="G399" i="3" s="1"/>
  <c r="X402" i="3" s="1" a="1"/>
  <c r="X402" i="3" s="1"/>
  <c r="W399" i="3" a="1"/>
  <c r="W399" i="3" s="1"/>
  <c r="F138" i="3" a="1"/>
  <c r="F138" i="3" s="1"/>
  <c r="U141" i="3" s="1" a="1"/>
  <c r="U141" i="3" s="1"/>
  <c r="L167" i="3" a="1"/>
  <c r="L167" i="3" s="1"/>
  <c r="S167" i="3" a="1"/>
  <c r="S167" i="3" s="1"/>
  <c r="X196" i="3" a="1"/>
  <c r="X196" i="3" s="1"/>
  <c r="X225" i="3" a="1"/>
  <c r="X225" i="3" s="1"/>
  <c r="K254" i="3" a="1"/>
  <c r="K254" i="3" s="1"/>
  <c r="L260" i="3" a="1"/>
  <c r="L260" i="3" s="1"/>
  <c r="E283" i="3" a="1"/>
  <c r="E283" i="3" s="1"/>
  <c r="S283" i="3" a="1"/>
  <c r="S283" i="3" s="1"/>
  <c r="J312" i="3" a="1"/>
  <c r="J312" i="3" s="1"/>
  <c r="Q312" i="3" a="1"/>
  <c r="Q312" i="3" s="1"/>
  <c r="Y312" i="3" a="1"/>
  <c r="Y312" i="3" s="1"/>
  <c r="S341" i="3" a="1"/>
  <c r="S341" i="3" s="1"/>
  <c r="R341" i="3" a="1"/>
  <c r="R341" i="3" s="1"/>
  <c r="L370" i="3" a="1"/>
  <c r="L370" i="3" s="1"/>
  <c r="T370" i="3" a="1"/>
  <c r="T370" i="3" s="1"/>
  <c r="I399" i="3" a="1"/>
  <c r="I399" i="3" s="1"/>
  <c r="P399" i="3" a="1"/>
  <c r="P399" i="3" s="1"/>
  <c r="Q463" i="3" a="1"/>
  <c r="Q463" i="3" s="1"/>
  <c r="P463" i="3" a="1"/>
  <c r="P463" i="3" s="1"/>
  <c r="U138" i="3" a="1"/>
  <c r="U138" i="3" s="1"/>
  <c r="R196" i="3" a="1"/>
  <c r="R196" i="3" s="1"/>
  <c r="Y196" i="3" a="1"/>
  <c r="Y196" i="3" s="1"/>
  <c r="Y225" i="3" a="1"/>
  <c r="Y225" i="3" s="1"/>
  <c r="S254" i="3" a="1"/>
  <c r="S254" i="3" s="1"/>
  <c r="F283" i="3" a="1"/>
  <c r="F283" i="3" s="1"/>
  <c r="U286" i="3" s="1" a="1"/>
  <c r="U286" i="3" s="1"/>
  <c r="M283" i="3" a="1"/>
  <c r="M283" i="3" s="1"/>
  <c r="P283" i="3" a="1"/>
  <c r="P283" i="3" s="1"/>
  <c r="K312" i="3" a="1"/>
  <c r="K312" i="3" s="1"/>
  <c r="E341" i="3" a="1"/>
  <c r="E341" i="3" s="1"/>
  <c r="M341" i="3" a="1"/>
  <c r="M341" i="3" s="1"/>
  <c r="T341" i="3" a="1"/>
  <c r="T341" i="3" s="1"/>
  <c r="M347" i="3" a="1"/>
  <c r="M347" i="3" s="1"/>
  <c r="J399" i="3" a="1"/>
  <c r="J399" i="3" s="1"/>
  <c r="P428" i="3" a="1"/>
  <c r="P428" i="3" s="1"/>
  <c r="M167" i="3" a="1"/>
  <c r="M167" i="3" s="1"/>
  <c r="T167" i="3" a="1"/>
  <c r="T167" i="3" s="1"/>
  <c r="S196" i="3" a="1"/>
  <c r="S196" i="3" s="1"/>
  <c r="T254" i="3" a="1"/>
  <c r="T254" i="3" s="1"/>
  <c r="N283" i="3" a="1"/>
  <c r="N283" i="3" s="1"/>
  <c r="T283" i="3" a="1"/>
  <c r="T283" i="3" s="1"/>
  <c r="L312" i="3" a="1"/>
  <c r="L312" i="3" s="1"/>
  <c r="N341" i="3" a="1"/>
  <c r="N341" i="3" s="1"/>
  <c r="E370" i="3" a="1"/>
  <c r="E370" i="3" s="1"/>
  <c r="M370" i="3" a="1"/>
  <c r="M370" i="3" s="1"/>
  <c r="U370" i="3" a="1"/>
  <c r="U370" i="3" s="1"/>
  <c r="R370" i="3" a="1"/>
  <c r="R370" i="3" s="1"/>
  <c r="K376" i="3" a="1"/>
  <c r="K376" i="3" s="1"/>
  <c r="Q376" i="3" a="1"/>
  <c r="Q376" i="3" s="1"/>
  <c r="P376" i="3" a="1"/>
  <c r="P376" i="3" s="1"/>
  <c r="K399" i="3" a="1"/>
  <c r="K399" i="3" s="1"/>
  <c r="V399" i="3" a="1"/>
  <c r="V399" i="3" s="1"/>
  <c r="K428" i="3" a="1"/>
  <c r="K428" i="3" s="1"/>
  <c r="I138" i="3" a="1"/>
  <c r="I138" i="3" s="1"/>
  <c r="O138" i="3" a="1"/>
  <c r="O138" i="3" s="1"/>
  <c r="M144" i="3" a="1"/>
  <c r="M144" i="3" s="1"/>
  <c r="F167" i="3" a="1"/>
  <c r="F167" i="3" s="1"/>
  <c r="U170" i="3" s="1" a="1"/>
  <c r="U170" i="3" s="1"/>
  <c r="U167" i="3" a="1"/>
  <c r="U167" i="3" s="1"/>
  <c r="J167" i="3" a="1"/>
  <c r="J167" i="3" s="1"/>
  <c r="T196" i="3" a="1"/>
  <c r="T196" i="3" s="1"/>
  <c r="S225" i="3" a="1"/>
  <c r="S225" i="3" s="1"/>
  <c r="M254" i="3" a="1"/>
  <c r="M254" i="3" s="1"/>
  <c r="U254" i="3" a="1"/>
  <c r="U254" i="3" s="1"/>
  <c r="F260" i="3" a="1"/>
  <c r="F260" i="3" s="1"/>
  <c r="N260" i="3" a="1"/>
  <c r="N260" i="3" s="1"/>
  <c r="P260" i="3" s="1" a="1"/>
  <c r="P260" i="3" s="1"/>
  <c r="G283" i="3" a="1"/>
  <c r="G283" i="3" s="1"/>
  <c r="X286" i="3" s="1" a="1"/>
  <c r="X286" i="3" s="1"/>
  <c r="U283" i="3" a="1"/>
  <c r="U283" i="3" s="1"/>
  <c r="M289" i="3" a="1"/>
  <c r="M289" i="3" s="1"/>
  <c r="S312" i="3" a="1"/>
  <c r="S312" i="3" s="1"/>
  <c r="M318" i="3" a="1"/>
  <c r="M318" i="3" s="1"/>
  <c r="O341" i="3" a="1"/>
  <c r="O341" i="3" s="1"/>
  <c r="U341" i="3" a="1"/>
  <c r="U341" i="3" s="1"/>
  <c r="N370" i="3" a="1"/>
  <c r="N370" i="3" s="1"/>
  <c r="V370" i="3" a="1"/>
  <c r="V370" i="3" s="1"/>
  <c r="L399" i="3" a="1"/>
  <c r="L399" i="3" s="1"/>
  <c r="R399" i="3" a="1"/>
  <c r="R399" i="3" s="1"/>
  <c r="Y428" i="3" a="1"/>
  <c r="Y428" i="3" s="1"/>
  <c r="G167" i="3" a="1"/>
  <c r="G167" i="3" s="1"/>
  <c r="N167" i="3" a="1"/>
  <c r="N167" i="3" s="1"/>
  <c r="U196" i="3" a="1"/>
  <c r="U196" i="3" s="1"/>
  <c r="L202" i="3" a="1"/>
  <c r="L202" i="3" s="1"/>
  <c r="T225" i="3" a="1"/>
  <c r="T225" i="3" s="1"/>
  <c r="L231" i="3" a="1"/>
  <c r="L231" i="3" s="1"/>
  <c r="N254" i="3" a="1"/>
  <c r="N254" i="3" s="1"/>
  <c r="O283" i="3" a="1"/>
  <c r="O283" i="3" s="1"/>
  <c r="V283" i="3" a="1"/>
  <c r="V283" i="3" s="1"/>
  <c r="M312" i="3" a="1"/>
  <c r="M312" i="3" s="1"/>
  <c r="P341" i="3" a="1"/>
  <c r="P341" i="3" s="1"/>
  <c r="V341" i="3" a="1"/>
  <c r="V341" i="3" s="1"/>
  <c r="P347" i="3" a="1"/>
  <c r="P347" i="3" s="1"/>
  <c r="O370" i="3" a="1"/>
  <c r="O370" i="3" s="1"/>
  <c r="W370" i="3" a="1"/>
  <c r="W370" i="3" s="1"/>
  <c r="M405" i="3" a="1"/>
  <c r="M405" i="3" s="1"/>
  <c r="L428" i="3" a="1"/>
  <c r="L428" i="3" s="1"/>
  <c r="R428" i="3" a="1"/>
  <c r="R428" i="3" s="1"/>
  <c r="X428" i="3" a="1"/>
  <c r="X428" i="3" s="1"/>
  <c r="S428" i="3" a="1"/>
  <c r="S428" i="3" s="1"/>
  <c r="F399" i="3" a="1"/>
  <c r="F399" i="3" s="1"/>
  <c r="U402" i="3" s="1" a="1"/>
  <c r="U402" i="3" s="1"/>
  <c r="M399" i="3" a="1"/>
  <c r="M399" i="3" s="1"/>
  <c r="X399" i="3" a="1"/>
  <c r="X399" i="3" s="1"/>
  <c r="E405" i="3" a="1"/>
  <c r="E405" i="3" s="1"/>
  <c r="M428" i="3" a="1"/>
  <c r="M428" i="3" s="1"/>
  <c r="U457" i="3" a="1"/>
  <c r="U457" i="3" s="1"/>
  <c r="F428" i="3" a="1"/>
  <c r="F428" i="3" s="1"/>
  <c r="U431" i="3" s="1" a="1"/>
  <c r="U431" i="3" s="1"/>
  <c r="P434" i="3" a="1"/>
  <c r="P434" i="3" s="1"/>
  <c r="O457" i="3" a="1"/>
  <c r="O457" i="3" s="1"/>
  <c r="F463" i="3" a="1"/>
  <c r="F463" i="3" s="1"/>
  <c r="U460" i="3" s="1" a="1"/>
  <c r="U460" i="3" s="1"/>
  <c r="N399" i="3" a="1"/>
  <c r="N399" i="3" s="1"/>
  <c r="Y399" i="3" a="1"/>
  <c r="Y399" i="3" s="1"/>
  <c r="G428" i="3" a="1"/>
  <c r="G428" i="3" s="1"/>
  <c r="X431" i="3" s="1" a="1"/>
  <c r="X431" i="3" s="1"/>
  <c r="N428" i="3" a="1"/>
  <c r="N428" i="3" s="1"/>
  <c r="U428" i="3" a="1"/>
  <c r="U428" i="3" s="1"/>
  <c r="I457" i="3" a="1"/>
  <c r="I457" i="3" s="1"/>
  <c r="W457" i="3" a="1"/>
  <c r="W457" i="3" s="1"/>
  <c r="I428" i="3" a="1"/>
  <c r="I428" i="3" s="1"/>
  <c r="Q434" i="3" a="1"/>
  <c r="Q434" i="3" s="1"/>
  <c r="G457" i="3" a="1"/>
  <c r="G457" i="3" s="1"/>
  <c r="X460" i="3" s="1" a="1"/>
  <c r="X460" i="3" s="1"/>
  <c r="O405" i="3" a="1"/>
  <c r="O405" i="3" s="1"/>
  <c r="J428" i="3" a="1"/>
  <c r="J428" i="3" s="1"/>
  <c r="V428" i="3" a="1"/>
  <c r="V428" i="3" s="1"/>
  <c r="J457" i="3" a="1"/>
  <c r="J457" i="3" s="1"/>
  <c r="Q457" i="3" a="1"/>
  <c r="Q457" i="3" s="1"/>
  <c r="Y457" i="3" a="1"/>
  <c r="Y457" i="3" s="1"/>
  <c r="Z457" i="3" s="1" a="1"/>
  <c r="Z457" i="3" s="1"/>
  <c r="J463" i="3" a="1"/>
  <c r="J463" i="3" s="1"/>
  <c r="R457" i="3" a="1"/>
  <c r="R457" i="3" s="1"/>
  <c r="W428" i="3" a="1"/>
  <c r="W428" i="3" s="1"/>
  <c r="K457" i="3" a="1"/>
  <c r="K457" i="3" s="1"/>
  <c r="S457" i="3" a="1"/>
  <c r="S457" i="3" s="1"/>
  <c r="Q428" i="3" a="1"/>
  <c r="Q428" i="3" s="1"/>
  <c r="L457" i="3" a="1"/>
  <c r="L457" i="3" s="1"/>
  <c r="AL433" i="2" l="1" a="1"/>
  <c r="AL433" i="2" s="1"/>
  <c r="AL523" i="2" a="1"/>
  <c r="AL523" i="2" s="1"/>
  <c r="U37" i="2" a="1"/>
  <c r="U37" i="2" s="1"/>
  <c r="AL368" i="2" a="1"/>
  <c r="AL368" i="2" s="1"/>
  <c r="AL485" i="2" a="1"/>
  <c r="AL485" i="2" s="1"/>
  <c r="AL81" i="2" a="1"/>
  <c r="AL81" i="2" s="1"/>
  <c r="U148" i="2" a="1"/>
  <c r="U148" i="2" s="1"/>
  <c r="AL355" i="2" a="1"/>
  <c r="AL355" i="2" s="1"/>
  <c r="AL379" i="2" a="1"/>
  <c r="AL379" i="2" s="1"/>
  <c r="Z620" i="12" a="1"/>
  <c r="Z620" i="12" s="1"/>
  <c r="AL153" i="2" a="1"/>
  <c r="AL153" i="2" s="1"/>
  <c r="AL427" i="2" a="1"/>
  <c r="AL427" i="2" s="1"/>
  <c r="AL526" i="2" a="1"/>
  <c r="AL526" i="2" s="1"/>
  <c r="U363" i="2" a="1"/>
  <c r="U363" i="2" s="1"/>
  <c r="X642" i="12" a="1"/>
  <c r="X642" i="12" s="1"/>
  <c r="AL525" i="2" a="1"/>
  <c r="AL525" i="2" s="1"/>
  <c r="AL199" i="2" a="1"/>
  <c r="AL199" i="2" s="1"/>
  <c r="O507" i="12" a="1"/>
  <c r="O507" i="12" s="1"/>
  <c r="O477" i="12" a="1"/>
  <c r="O477" i="12" s="1"/>
  <c r="AL271" i="2" a="1"/>
  <c r="AL271" i="2" s="1"/>
  <c r="Q542" i="12" a="1"/>
  <c r="Q542" i="12" s="1"/>
  <c r="K545" i="12" a="1"/>
  <c r="K545" i="12" s="1"/>
  <c r="M592" i="12" a="1"/>
  <c r="M592" i="12" s="1"/>
  <c r="S595" i="12" a="1"/>
  <c r="S595" i="12" s="1"/>
  <c r="O375" i="12" a="1"/>
  <c r="O375" i="12" s="1"/>
  <c r="O570" i="12" a="1"/>
  <c r="O570" i="12" s="1"/>
  <c r="O590" i="12" a="1"/>
  <c r="O590" i="12" s="1"/>
  <c r="P436" i="12" a="1"/>
  <c r="P436" i="12" s="1"/>
  <c r="P491" i="12" a="1"/>
  <c r="P491" i="12" s="1"/>
  <c r="AB648" i="12" a="1"/>
  <c r="AB648" i="12" s="1"/>
  <c r="L473" i="12" a="1"/>
  <c r="L473" i="12" s="1"/>
  <c r="F563" i="12" a="1"/>
  <c r="F563" i="12" s="1"/>
  <c r="AB670" i="12" a="1"/>
  <c r="AB670" i="12" s="1"/>
  <c r="O371" i="12" a="1"/>
  <c r="O371" i="12" s="1"/>
  <c r="M594" i="12" a="1"/>
  <c r="M594" i="12" s="1"/>
  <c r="Q329" i="12" a="1"/>
  <c r="Q329" i="12" s="1"/>
  <c r="R418" i="12" a="1"/>
  <c r="R418" i="12" s="1"/>
  <c r="R578" i="12" a="1"/>
  <c r="R578" i="12" s="1"/>
  <c r="O592" i="12" a="1"/>
  <c r="O592" i="12" s="1"/>
  <c r="N481" i="12" a="1"/>
  <c r="N481" i="12" s="1"/>
  <c r="G529" i="12" a="1"/>
  <c r="G529" i="12" s="1"/>
  <c r="N545" i="12" a="1"/>
  <c r="N545" i="12" s="1"/>
  <c r="P542" i="12" a="1"/>
  <c r="P542" i="12" s="1"/>
  <c r="G424" i="12" a="1"/>
  <c r="G424" i="12" s="1"/>
  <c r="L436" i="12" a="1"/>
  <c r="L436" i="12" s="1"/>
  <c r="P544" i="12" a="1"/>
  <c r="P544" i="12" s="1"/>
  <c r="X646" i="12" a="1"/>
  <c r="X646" i="12" s="1"/>
  <c r="F301" i="12" a="1"/>
  <c r="F301" i="12" s="1"/>
  <c r="N593" i="12" a="1"/>
  <c r="N593" i="12" s="1"/>
  <c r="AL117" i="2" a="1"/>
  <c r="AL117" i="2" s="1"/>
  <c r="J563" i="12" a="1"/>
  <c r="J563" i="12" s="1"/>
  <c r="T587" i="12" a="1"/>
  <c r="T587" i="12" s="1"/>
  <c r="N553" i="12" a="1"/>
  <c r="N553" i="12" s="1"/>
  <c r="M418" i="12" a="1"/>
  <c r="M418" i="12" s="1"/>
  <c r="S434" i="12" a="1"/>
  <c r="S434" i="12" s="1"/>
  <c r="S532" i="12" a="1"/>
  <c r="S532" i="12" s="1"/>
  <c r="S334" i="12" a="1"/>
  <c r="S334" i="12" s="1"/>
  <c r="AA664" i="12" a="1"/>
  <c r="AA664" i="12" s="1"/>
  <c r="F597" i="12" a="1"/>
  <c r="F597" i="12" s="1"/>
  <c r="U228" i="3" a="1"/>
  <c r="U228" i="3" s="1"/>
  <c r="I544" i="12" a="1"/>
  <c r="I544" i="12" s="1"/>
  <c r="M480" i="12" a="1"/>
  <c r="M480" i="12" s="1"/>
  <c r="N284" i="12" a="1"/>
  <c r="N284" i="12" s="1"/>
  <c r="S460" i="12" a="1"/>
  <c r="S460" i="12" s="1"/>
  <c r="P324" i="12" a="1"/>
  <c r="P324" i="12" s="1"/>
  <c r="R597" i="12" a="1"/>
  <c r="R597" i="12" s="1"/>
  <c r="Q565" i="12" a="1"/>
  <c r="Q565" i="12" s="1"/>
  <c r="K565" i="12" a="1"/>
  <c r="K565" i="12" s="1"/>
  <c r="Q242" i="12" a="1"/>
  <c r="Q242" i="12" s="1"/>
  <c r="N436" i="12" a="1"/>
  <c r="N436" i="12" s="1"/>
  <c r="M543" i="12" a="1"/>
  <c r="M543" i="12" s="1"/>
  <c r="L437" i="12" a="1"/>
  <c r="L437" i="12" s="1"/>
  <c r="J417" i="12" a="1"/>
  <c r="J417" i="12" s="1"/>
  <c r="O338" i="12" a="1"/>
  <c r="O338" i="12" s="1"/>
  <c r="S341" i="12" a="1"/>
  <c r="S341" i="12" s="1"/>
  <c r="G247" i="12" a="1"/>
  <c r="G247" i="12" s="1"/>
  <c r="M273" i="12" a="1"/>
  <c r="M273" i="12" s="1"/>
  <c r="T301" i="12" a="1"/>
  <c r="T301" i="12" s="1"/>
  <c r="L594" i="12" a="1"/>
  <c r="L594" i="12" s="1"/>
  <c r="P596" i="12" a="1"/>
  <c r="P596" i="12" s="1"/>
  <c r="S543" i="12" a="1"/>
  <c r="S543" i="12" s="1"/>
  <c r="M545" i="12" a="1"/>
  <c r="M545" i="12" s="1"/>
  <c r="T392" i="12" a="1"/>
  <c r="T392" i="12" s="1"/>
  <c r="R438" i="12" a="1"/>
  <c r="R438" i="12" s="1"/>
  <c r="M329" i="12" a="1"/>
  <c r="M329" i="12" s="1"/>
  <c r="R381" i="12" a="1"/>
  <c r="R381" i="12" s="1"/>
  <c r="O219" i="12" a="1"/>
  <c r="O219" i="12" s="1"/>
  <c r="AB618" i="12" a="1"/>
  <c r="AB618" i="12" s="1"/>
  <c r="J554" i="12" a="1"/>
  <c r="J554" i="12" s="1"/>
  <c r="M424" i="12" a="1"/>
  <c r="M424" i="12" s="1"/>
  <c r="K578" i="12" a="1"/>
  <c r="K578" i="12" s="1"/>
  <c r="I580" i="12" a="1"/>
  <c r="I580" i="12" s="1"/>
  <c r="I491" i="12" a="1"/>
  <c r="I491" i="12" s="1"/>
  <c r="J545" i="12" a="1"/>
  <c r="J545" i="12" s="1"/>
  <c r="R554" i="12" a="1"/>
  <c r="R554" i="12" s="1"/>
  <c r="Q590" i="12" a="1"/>
  <c r="Q590" i="12" s="1"/>
  <c r="J487" i="12" a="1"/>
  <c r="J487" i="12" s="1"/>
  <c r="R485" i="12" a="1"/>
  <c r="R485" i="12" s="1"/>
  <c r="O288" i="12" a="1"/>
  <c r="O288" i="12" s="1"/>
  <c r="I288" i="12" a="1"/>
  <c r="I288" i="12" s="1"/>
  <c r="L411" i="12" a="1"/>
  <c r="L411" i="12" s="1"/>
  <c r="X612" i="12" a="1"/>
  <c r="X612" i="12" s="1"/>
  <c r="F524" i="12" a="1"/>
  <c r="F524" i="12" s="1"/>
  <c r="I338" i="12" a="1"/>
  <c r="I338" i="12" s="1"/>
  <c r="L571" i="12" a="1"/>
  <c r="L571" i="12" s="1"/>
  <c r="S507" i="12" a="1"/>
  <c r="S507" i="12" s="1"/>
  <c r="M481" i="12" a="1"/>
  <c r="M481" i="12" s="1"/>
  <c r="T456" i="12" a="1"/>
  <c r="T456" i="12" s="1"/>
  <c r="M467" i="12" a="1"/>
  <c r="M467" i="12" s="1"/>
  <c r="I433" i="12" a="1"/>
  <c r="I433" i="12" s="1"/>
  <c r="R471" i="12" a="1"/>
  <c r="R471" i="12" s="1"/>
  <c r="M577" i="12" a="1"/>
  <c r="M577" i="12" s="1"/>
  <c r="S550" i="12" a="1"/>
  <c r="S550" i="12" s="1"/>
  <c r="L590" i="12" a="1"/>
  <c r="L590" i="12" s="1"/>
  <c r="O565" i="12" a="1"/>
  <c r="O565" i="12" s="1"/>
  <c r="T589" i="12" a="1"/>
  <c r="T589" i="12" s="1"/>
  <c r="S589" i="12" a="1"/>
  <c r="S589" i="12" s="1"/>
  <c r="K570" i="12" a="1"/>
  <c r="K570" i="12" s="1"/>
  <c r="T491" i="12" a="1"/>
  <c r="T491" i="12" s="1"/>
  <c r="AA646" i="12" a="1"/>
  <c r="AA646" i="12" s="1"/>
  <c r="Q369" i="12" a="1"/>
  <c r="Q369" i="12" s="1"/>
  <c r="J506" i="12" a="1"/>
  <c r="J506" i="12" s="1"/>
  <c r="O307" i="12" a="1"/>
  <c r="O307" i="12" s="1"/>
  <c r="K331" i="12" a="1"/>
  <c r="K331" i="12" s="1"/>
  <c r="J600" i="12" a="1"/>
  <c r="J600" i="12" s="1"/>
  <c r="T307" i="12" a="1"/>
  <c r="T307" i="12" s="1"/>
  <c r="R523" i="12" a="1"/>
  <c r="R523" i="12" s="1"/>
  <c r="S284" i="12" a="1"/>
  <c r="S284" i="12" s="1"/>
  <c r="P198" i="12" a="1"/>
  <c r="P198" i="12" s="1"/>
  <c r="L329" i="12" a="1"/>
  <c r="L329" i="12" s="1"/>
  <c r="S516" i="12" a="1"/>
  <c r="S516" i="12" s="1"/>
  <c r="G592" i="12" a="1"/>
  <c r="G592" i="12" s="1"/>
  <c r="T565" i="12" a="1"/>
  <c r="T565" i="12" s="1"/>
  <c r="I554" i="12" a="1"/>
  <c r="I554" i="12" s="1"/>
  <c r="R375" i="12" a="1"/>
  <c r="R375" i="12" s="1"/>
  <c r="G532" i="12" a="1"/>
  <c r="G532" i="12" s="1"/>
  <c r="M386" i="12" a="1"/>
  <c r="M386" i="12" s="1"/>
  <c r="F362" i="12" a="1"/>
  <c r="F362" i="12" s="1"/>
  <c r="Q251" i="12" a="1"/>
  <c r="Q251" i="12" s="1"/>
  <c r="AL135" i="2" a="1"/>
  <c r="AL135" i="2" s="1"/>
  <c r="P57" i="3" a="1"/>
  <c r="P57" i="3" s="1"/>
  <c r="Z312" i="3" a="1"/>
  <c r="Z312" i="3" s="1"/>
  <c r="Z254" i="3" a="1"/>
  <c r="Z254" i="3" s="1"/>
  <c r="X54" i="3" a="1"/>
  <c r="X54" i="3" s="1"/>
  <c r="X170" i="3" a="1"/>
  <c r="X170" i="3" s="1"/>
  <c r="Z167" i="3" a="1"/>
  <c r="Z167" i="3" s="1"/>
  <c r="Z428" i="3" a="1"/>
  <c r="Z428" i="3" s="1"/>
  <c r="K516" i="12" a="1"/>
  <c r="K516" i="12" s="1"/>
  <c r="K98" i="12" a="1"/>
  <c r="K98" i="12" s="1"/>
  <c r="K553" i="12" a="1"/>
  <c r="K553" i="12" s="1"/>
  <c r="K418" i="12" a="1"/>
  <c r="K418" i="12" s="1"/>
  <c r="T599" i="12" a="1"/>
  <c r="T599" i="12" s="1"/>
  <c r="R543" i="12" a="1"/>
  <c r="R543" i="12" s="1"/>
  <c r="P579" i="12" a="1"/>
  <c r="P579" i="12" s="1"/>
  <c r="L392" i="12" a="1"/>
  <c r="L392" i="12" s="1"/>
  <c r="I545" i="12" a="1"/>
  <c r="I545" i="12" s="1"/>
  <c r="L507" i="12" a="1"/>
  <c r="L507" i="12" s="1"/>
  <c r="J441" i="12" a="1"/>
  <c r="J441" i="12" s="1"/>
  <c r="M529" i="12" a="1"/>
  <c r="M529" i="12" s="1"/>
  <c r="I485" i="12" a="1"/>
  <c r="I485" i="12" s="1"/>
  <c r="P115" i="3" a="1"/>
  <c r="P115" i="3" s="1"/>
  <c r="Q115" i="3" a="1"/>
  <c r="Q115" i="3" s="1"/>
  <c r="J599" i="12" a="1"/>
  <c r="J599" i="12" s="1"/>
  <c r="P578" i="12" a="1"/>
  <c r="P578" i="12" s="1"/>
  <c r="T570" i="12" a="1"/>
  <c r="T570" i="12" s="1"/>
  <c r="R548" i="12" a="1"/>
  <c r="R548" i="12" s="1"/>
  <c r="L577" i="12" a="1"/>
  <c r="L577" i="12" s="1"/>
  <c r="S546" i="12" a="1"/>
  <c r="S546" i="12" s="1"/>
  <c r="S529" i="12" a="1"/>
  <c r="S529" i="12" s="1"/>
  <c r="R489" i="12" a="1"/>
  <c r="R489" i="12" s="1"/>
  <c r="J436" i="12" a="1"/>
  <c r="J436" i="12" s="1"/>
  <c r="N580" i="12" a="1"/>
  <c r="N580" i="12" s="1"/>
  <c r="Q595" i="12" a="1"/>
  <c r="Q595" i="12" s="1"/>
  <c r="G543" i="12" a="1"/>
  <c r="G543" i="12" s="1"/>
  <c r="N438" i="12" a="1"/>
  <c r="N438" i="12" s="1"/>
  <c r="K529" i="12" a="1"/>
  <c r="K529" i="12" s="1"/>
  <c r="N485" i="12" a="1"/>
  <c r="N485" i="12" s="1"/>
  <c r="O538" i="12" a="1"/>
  <c r="O538" i="12" s="1"/>
  <c r="F516" i="12" a="1"/>
  <c r="F516" i="12" s="1"/>
  <c r="U661" i="2" a="1"/>
  <c r="U661" i="2" s="1"/>
  <c r="J592" i="12" a="1"/>
  <c r="J592" i="12" s="1"/>
  <c r="F543" i="12" a="1"/>
  <c r="F543" i="12" s="1"/>
  <c r="U651" i="2" a="1"/>
  <c r="U651" i="2" s="1"/>
  <c r="J507" i="12" a="1"/>
  <c r="J507" i="12" s="1"/>
  <c r="P548" i="12" a="1"/>
  <c r="P548" i="12" s="1"/>
  <c r="R546" i="12" a="1"/>
  <c r="R546" i="12" s="1"/>
  <c r="N460" i="12" a="1"/>
  <c r="N460" i="12" s="1"/>
  <c r="S587" i="12" a="1"/>
  <c r="S587" i="12" s="1"/>
  <c r="L589" i="12" a="1"/>
  <c r="L589" i="12" s="1"/>
  <c r="J481" i="12" a="1"/>
  <c r="J481" i="12" s="1"/>
  <c r="T518" i="12" a="1"/>
  <c r="T518" i="12" s="1"/>
  <c r="T579" i="12" a="1"/>
  <c r="T579" i="12" s="1"/>
  <c r="O548" i="12" a="1"/>
  <c r="O548" i="12" s="1"/>
  <c r="O491" i="12" a="1"/>
  <c r="O491" i="12" s="1"/>
  <c r="G590" i="12" a="1"/>
  <c r="G590" i="12" s="1"/>
  <c r="N595" i="12" a="1"/>
  <c r="N595" i="12" s="1"/>
  <c r="Q554" i="12" a="1"/>
  <c r="Q554" i="12" s="1"/>
  <c r="Q398" i="12" a="1"/>
  <c r="Q398" i="12" s="1"/>
  <c r="G473" i="12" a="1"/>
  <c r="G473" i="12" s="1"/>
  <c r="M430" i="12" a="1"/>
  <c r="M430" i="12" s="1"/>
  <c r="G587" i="12" a="1"/>
  <c r="G587" i="12" s="1"/>
  <c r="N473" i="12" a="1"/>
  <c r="N473" i="12" s="1"/>
  <c r="S485" i="12" a="1"/>
  <c r="S485" i="12" s="1"/>
  <c r="I482" i="12" a="1"/>
  <c r="I482" i="12" s="1"/>
  <c r="P445" i="12" a="1"/>
  <c r="P445" i="12" s="1"/>
  <c r="K429" i="12" a="1"/>
  <c r="K429" i="12" s="1"/>
  <c r="M471" i="12" a="1"/>
  <c r="M471" i="12" s="1"/>
  <c r="F394" i="12" a="1"/>
  <c r="F394" i="12" s="1"/>
  <c r="U569" i="2" a="1"/>
  <c r="U569" i="2" s="1"/>
  <c r="P411" i="12" a="1"/>
  <c r="P411" i="12" s="1"/>
  <c r="F342" i="12" a="1"/>
  <c r="F342" i="12" s="1"/>
  <c r="U549" i="2" a="1"/>
  <c r="U549" i="2" s="1"/>
  <c r="I600" i="12" a="1"/>
  <c r="I600" i="12" s="1"/>
  <c r="K391" i="12" a="1"/>
  <c r="K391" i="12" s="1"/>
  <c r="T338" i="12" a="1"/>
  <c r="T338" i="12" s="1"/>
  <c r="P327" i="12" a="1"/>
  <c r="P327" i="12" s="1"/>
  <c r="K563" i="12" a="1"/>
  <c r="K563" i="12" s="1"/>
  <c r="M447" i="12" a="1"/>
  <c r="M447" i="12" s="1"/>
  <c r="I410" i="12" a="1"/>
  <c r="I410" i="12" s="1"/>
  <c r="N410" i="12" a="1"/>
  <c r="N410" i="12" s="1"/>
  <c r="I472" i="12" a="1"/>
  <c r="I472" i="12" s="1"/>
  <c r="N472" i="12" a="1"/>
  <c r="N472" i="12" s="1"/>
  <c r="T278" i="12" a="1"/>
  <c r="T278" i="12" s="1"/>
  <c r="S399" i="12" a="1"/>
  <c r="S399" i="12" s="1"/>
  <c r="K507" i="12" a="1"/>
  <c r="K507" i="12" s="1"/>
  <c r="S489" i="12" a="1"/>
  <c r="S489" i="12" s="1"/>
  <c r="G464" i="12" a="1"/>
  <c r="G464" i="12" s="1"/>
  <c r="J444" i="12" a="1"/>
  <c r="J444" i="12" s="1"/>
  <c r="P552" i="12" a="1"/>
  <c r="P552" i="12" s="1"/>
  <c r="AB642" i="12" a="1"/>
  <c r="AB642" i="12" s="1"/>
  <c r="L322" i="12" a="1"/>
  <c r="L322" i="12" s="1"/>
  <c r="K513" i="12" a="1"/>
  <c r="K513" i="12" s="1"/>
  <c r="N392" i="12" a="1"/>
  <c r="N392" i="12" s="1"/>
  <c r="S455" i="12" a="1"/>
  <c r="S455" i="12" s="1"/>
  <c r="I394" i="12" a="1"/>
  <c r="I394" i="12" s="1"/>
  <c r="S389" i="12" a="1"/>
  <c r="S389" i="12" s="1"/>
  <c r="T399" i="12" a="1"/>
  <c r="T399" i="12" s="1"/>
  <c r="K342" i="12" a="1"/>
  <c r="K342" i="12" s="1"/>
  <c r="P589" i="12" a="1"/>
  <c r="P589" i="12" s="1"/>
  <c r="G569" i="12" a="1"/>
  <c r="G569" i="12" s="1"/>
  <c r="T428" i="12" a="1"/>
  <c r="T428" i="12" s="1"/>
  <c r="L429" i="12" a="1"/>
  <c r="L429" i="12" s="1"/>
  <c r="L460" i="12" a="1"/>
  <c r="L460" i="12" s="1"/>
  <c r="G433" i="12" a="1"/>
  <c r="G433" i="12" s="1"/>
  <c r="J324" i="12" a="1"/>
  <c r="J324" i="12" s="1"/>
  <c r="N411" i="12" a="1"/>
  <c r="N411" i="12" s="1"/>
  <c r="O600" i="12" a="1"/>
  <c r="O600" i="12" s="1"/>
  <c r="K381" i="12" a="1"/>
  <c r="K381" i="12" s="1"/>
  <c r="N590" i="12" a="1"/>
  <c r="N590" i="12" s="1"/>
  <c r="P481" i="12" a="1"/>
  <c r="P481" i="12" s="1"/>
  <c r="M450" i="12" a="1"/>
  <c r="M450" i="12" s="1"/>
  <c r="F485" i="12" a="1"/>
  <c r="F485" i="12" s="1"/>
  <c r="L453" i="12" a="1"/>
  <c r="L453" i="12" s="1"/>
  <c r="K353" i="12" a="1"/>
  <c r="K353" i="12" s="1"/>
  <c r="R389" i="12" a="1"/>
  <c r="R389" i="12" s="1"/>
  <c r="O352" i="12" a="1"/>
  <c r="O352" i="12" s="1"/>
  <c r="G344" i="12" a="1"/>
  <c r="G344" i="12" s="1"/>
  <c r="P572" i="12" a="1"/>
  <c r="P572" i="12" s="1"/>
  <c r="G593" i="12" a="1"/>
  <c r="G593" i="12" s="1"/>
  <c r="N592" i="12" a="1"/>
  <c r="N592" i="12" s="1"/>
  <c r="F577" i="12" a="1"/>
  <c r="F577" i="12" s="1"/>
  <c r="I567" i="12" a="1"/>
  <c r="I567" i="12" s="1"/>
  <c r="K436" i="12" a="1"/>
  <c r="K436" i="12" s="1"/>
  <c r="R486" i="12" a="1"/>
  <c r="R486" i="12" s="1"/>
  <c r="K486" i="12" a="1"/>
  <c r="K486" i="12" s="1"/>
  <c r="K535" i="12" a="1"/>
  <c r="K535" i="12" s="1"/>
  <c r="N409" i="12" a="1"/>
  <c r="N409" i="12" s="1"/>
  <c r="M478" i="12" a="1"/>
  <c r="M478" i="12" s="1"/>
  <c r="R310" i="12" a="1"/>
  <c r="R310" i="12" s="1"/>
  <c r="P322" i="12" a="1"/>
  <c r="P322" i="12" s="1"/>
  <c r="N405" i="12" a="1"/>
  <c r="N405" i="12" s="1"/>
  <c r="K318" i="12" a="1"/>
  <c r="K318" i="12" s="1"/>
  <c r="J381" i="12" a="1"/>
  <c r="J381" i="12" s="1"/>
  <c r="L593" i="12" a="1"/>
  <c r="L593" i="12" s="1"/>
  <c r="K580" i="12" a="1"/>
  <c r="K580" i="12" s="1"/>
  <c r="P554" i="12" a="1"/>
  <c r="P554" i="12" s="1"/>
  <c r="Q488" i="12" a="1"/>
  <c r="Q488" i="12" s="1"/>
  <c r="O488" i="12" a="1"/>
  <c r="O488" i="12" s="1"/>
  <c r="M395" i="12" a="1"/>
  <c r="M395" i="12" s="1"/>
  <c r="G487" i="12" a="1"/>
  <c r="G487" i="12" s="1"/>
  <c r="T560" i="12" a="1"/>
  <c r="T560" i="12" s="1"/>
  <c r="N433" i="12" a="1"/>
  <c r="N433" i="12" s="1"/>
  <c r="R525" i="12" a="1"/>
  <c r="R525" i="12" s="1"/>
  <c r="O406" i="12" a="1"/>
  <c r="O406" i="12" s="1"/>
  <c r="J318" i="12" a="1"/>
  <c r="J318" i="12" s="1"/>
  <c r="K542" i="12" a="1"/>
  <c r="K542" i="12" s="1"/>
  <c r="F517" i="12" a="1"/>
  <c r="F517" i="12" s="1"/>
  <c r="F392" i="12" a="1"/>
  <c r="F392" i="12" s="1"/>
  <c r="G446" i="12" a="1"/>
  <c r="G446" i="12" s="1"/>
  <c r="O417" i="12" a="1"/>
  <c r="O417" i="12" s="1"/>
  <c r="G371" i="12" a="1"/>
  <c r="G371" i="12" s="1"/>
  <c r="P389" i="12" a="1"/>
  <c r="P389" i="12" s="1"/>
  <c r="N322" i="12" a="1"/>
  <c r="N322" i="12" s="1"/>
  <c r="F352" i="12" a="1"/>
  <c r="F352" i="12" s="1"/>
  <c r="U529" i="2" a="1"/>
  <c r="U529" i="2" s="1"/>
  <c r="O381" i="12" a="1"/>
  <c r="O381" i="12" s="1"/>
  <c r="N477" i="12" a="1"/>
  <c r="N477" i="12" s="1"/>
  <c r="M384" i="12" a="1"/>
  <c r="M384" i="12" s="1"/>
  <c r="R384" i="12" a="1"/>
  <c r="R384" i="12" s="1"/>
  <c r="O459" i="12" a="1"/>
  <c r="O459" i="12" s="1"/>
  <c r="I444" i="12" a="1"/>
  <c r="I444" i="12" s="1"/>
  <c r="G524" i="12" a="1"/>
  <c r="G524" i="12" s="1"/>
  <c r="I478" i="12" a="1"/>
  <c r="I478" i="12" s="1"/>
  <c r="T310" i="12" a="1"/>
  <c r="T310" i="12" s="1"/>
  <c r="G389" i="12" a="1"/>
  <c r="G389" i="12" s="1"/>
  <c r="Q340" i="12" a="1"/>
  <c r="Q340" i="12" s="1"/>
  <c r="R411" i="12" a="1"/>
  <c r="R411" i="12" s="1"/>
  <c r="J288" i="12" a="1"/>
  <c r="J288" i="12" s="1"/>
  <c r="G137" i="12" a="1"/>
  <c r="G137" i="12" s="1"/>
  <c r="F249" i="12" a="1"/>
  <c r="F249" i="12" s="1"/>
  <c r="U515" i="2" a="1"/>
  <c r="U515" i="2" s="1"/>
  <c r="O334" i="12" a="1"/>
  <c r="O334" i="12" s="1"/>
  <c r="Q286" i="12" a="1"/>
  <c r="Q286" i="12" s="1"/>
  <c r="T596" i="12" a="1"/>
  <c r="T596" i="12" s="1"/>
  <c r="T261" i="12" a="1"/>
  <c r="T261" i="12" s="1"/>
  <c r="F219" i="12" a="1"/>
  <c r="F219" i="12" s="1"/>
  <c r="U457" i="2" a="1"/>
  <c r="U457" i="2" s="1"/>
  <c r="Q571" i="12" a="1"/>
  <c r="Q571" i="12" s="1"/>
  <c r="T282" i="12" a="1"/>
  <c r="T282" i="12" s="1"/>
  <c r="P498" i="12" a="1"/>
  <c r="P498" i="12" s="1"/>
  <c r="N498" i="12" a="1"/>
  <c r="N498" i="12" s="1"/>
  <c r="M316" i="12" a="1"/>
  <c r="M316" i="12" s="1"/>
  <c r="T302" i="12" a="1"/>
  <c r="T302" i="12" s="1"/>
  <c r="G328" i="12" a="1"/>
  <c r="G328" i="12" s="1"/>
  <c r="G601" i="12" a="1"/>
  <c r="G601" i="12" s="1"/>
  <c r="T270" i="12" a="1"/>
  <c r="T270" i="12" s="1"/>
  <c r="M240" i="12" a="1"/>
  <c r="M240" i="12" s="1"/>
  <c r="N262" i="12" a="1"/>
  <c r="N262" i="12" s="1"/>
  <c r="N334" i="12" a="1"/>
  <c r="N334" i="12" s="1"/>
  <c r="O273" i="12" a="1"/>
  <c r="O273" i="12" s="1"/>
  <c r="S538" i="12" a="1"/>
  <c r="S538" i="12" s="1"/>
  <c r="I448" i="12" a="1"/>
  <c r="I448" i="12" s="1"/>
  <c r="O448" i="12" a="1"/>
  <c r="O448" i="12" s="1"/>
  <c r="Q322" i="12" a="1"/>
  <c r="Q322" i="12" s="1"/>
  <c r="Q362" i="12" a="1"/>
  <c r="Q362" i="12" s="1"/>
  <c r="R364" i="12" a="1"/>
  <c r="R364" i="12" s="1"/>
  <c r="M350" i="12" a="1"/>
  <c r="M350" i="12" s="1"/>
  <c r="N254" i="12" a="1"/>
  <c r="N254" i="12" s="1"/>
  <c r="P380" i="12" a="1"/>
  <c r="P380" i="12" s="1"/>
  <c r="N380" i="12" a="1"/>
  <c r="N380" i="12" s="1"/>
  <c r="M357" i="12" a="1"/>
  <c r="M357" i="12" s="1"/>
  <c r="M385" i="12" a="1"/>
  <c r="M385" i="12" s="1"/>
  <c r="G302" i="12" a="1"/>
  <c r="G302" i="12" s="1"/>
  <c r="Q302" i="12" a="1"/>
  <c r="Q302" i="12" s="1"/>
  <c r="T367" i="12" a="1"/>
  <c r="T367" i="12" s="1"/>
  <c r="R328" i="12" a="1"/>
  <c r="R328" i="12" s="1"/>
  <c r="R343" i="12" a="1"/>
  <c r="R343" i="12" s="1"/>
  <c r="K349" i="12" a="1"/>
  <c r="K349" i="12" s="1"/>
  <c r="K350" i="12" a="1"/>
  <c r="K350" i="12" s="1"/>
  <c r="T605" i="12" a="1"/>
  <c r="T605" i="12" s="1"/>
  <c r="R320" i="12" a="1"/>
  <c r="R320" i="12" s="1"/>
  <c r="T291" i="12" a="1"/>
  <c r="T291" i="12" s="1"/>
  <c r="R291" i="12" a="1"/>
  <c r="R291" i="12" s="1"/>
  <c r="G400" i="12" a="1"/>
  <c r="G400" i="12" s="1"/>
  <c r="AB622" i="12" a="1"/>
  <c r="AB622" i="12" s="1"/>
  <c r="I351" i="12" a="1"/>
  <c r="I351" i="12" s="1"/>
  <c r="F284" i="12" a="1"/>
  <c r="F284" i="12" s="1"/>
  <c r="U512" i="2" a="1"/>
  <c r="U512" i="2" s="1"/>
  <c r="I240" i="12" a="1"/>
  <c r="I240" i="12" s="1"/>
  <c r="T294" i="12" a="1"/>
  <c r="T294" i="12" s="1"/>
  <c r="L605" i="12" a="1"/>
  <c r="L605" i="12" s="1"/>
  <c r="J320" i="12" a="1"/>
  <c r="J320" i="12" s="1"/>
  <c r="G301" i="12" a="1"/>
  <c r="G301" i="12" s="1"/>
  <c r="I413" i="12" a="1"/>
  <c r="I413" i="12" s="1"/>
  <c r="F402" i="12" a="1"/>
  <c r="F402" i="12" s="1"/>
  <c r="U570" i="2" a="1"/>
  <c r="U570" i="2" s="1"/>
  <c r="F521" i="12" a="1"/>
  <c r="F521" i="12" s="1"/>
  <c r="U548" i="2" a="1"/>
  <c r="U548" i="2" s="1"/>
  <c r="N440" i="12" a="1"/>
  <c r="N440" i="12" s="1"/>
  <c r="P391" i="12" a="1"/>
  <c r="P391" i="12" s="1"/>
  <c r="O327" i="12" a="1"/>
  <c r="O327" i="12" s="1"/>
  <c r="S574" i="12" a="1"/>
  <c r="S574" i="12" s="1"/>
  <c r="N591" i="12" a="1"/>
  <c r="N591" i="12" s="1"/>
  <c r="S313" i="12" a="1"/>
  <c r="S313" i="12" s="1"/>
  <c r="G605" i="12" a="1"/>
  <c r="G605" i="12" s="1"/>
  <c r="N252" i="12" a="1"/>
  <c r="N252" i="12" s="1"/>
  <c r="J272" i="12" a="1"/>
  <c r="J272" i="12" s="1"/>
  <c r="R457" i="12" a="1"/>
  <c r="R457" i="12" s="1"/>
  <c r="O359" i="12" a="1"/>
  <c r="O359" i="12" s="1"/>
  <c r="N336" i="12" a="1"/>
  <c r="N336" i="12" s="1"/>
  <c r="X672" i="12" a="1"/>
  <c r="X672" i="12" s="1"/>
  <c r="K319" i="12" a="1"/>
  <c r="K319" i="12" s="1"/>
  <c r="K364" i="12" a="1"/>
  <c r="K364" i="12" s="1"/>
  <c r="S242" i="12" a="1"/>
  <c r="S242" i="12" s="1"/>
  <c r="Z632" i="12" a="1"/>
  <c r="Z632" i="12" s="1"/>
  <c r="L470" i="12" a="1"/>
  <c r="L470" i="12" s="1"/>
  <c r="N390" i="12" a="1"/>
  <c r="N390" i="12" s="1"/>
  <c r="Q390" i="12" a="1"/>
  <c r="Q390" i="12" s="1"/>
  <c r="AB628" i="12" a="1"/>
  <c r="AB628" i="12" s="1"/>
  <c r="F350" i="12" a="1"/>
  <c r="F350" i="12" s="1"/>
  <c r="U491" i="2" a="1"/>
  <c r="U491" i="2" s="1"/>
  <c r="J158" i="12" a="1"/>
  <c r="J158" i="12" s="1"/>
  <c r="J472" i="12" a="1"/>
  <c r="J472" i="12" s="1"/>
  <c r="G420" i="12" a="1"/>
  <c r="G420" i="12" s="1"/>
  <c r="M303" i="12" a="1"/>
  <c r="M303" i="12" s="1"/>
  <c r="G362" i="12" a="1"/>
  <c r="G362" i="12" s="1"/>
  <c r="X660" i="12" a="1"/>
  <c r="X660" i="12" s="1"/>
  <c r="T240" i="12" a="1"/>
  <c r="T240" i="12" s="1"/>
  <c r="G327" i="12" a="1"/>
  <c r="G327" i="12" s="1"/>
  <c r="M347" i="12" a="1"/>
  <c r="M347" i="12" s="1"/>
  <c r="M596" i="12" a="1"/>
  <c r="M596" i="12" s="1"/>
  <c r="J295" i="12" a="1"/>
  <c r="J295" i="12" s="1"/>
  <c r="M468" i="12" a="1"/>
  <c r="M468" i="12" s="1"/>
  <c r="G249" i="12" a="1"/>
  <c r="G249" i="12" s="1"/>
  <c r="O331" i="12" a="1"/>
  <c r="O331" i="12" s="1"/>
  <c r="L596" i="12" a="1"/>
  <c r="L596" i="12" s="1"/>
  <c r="T241" i="12" a="1"/>
  <c r="T241" i="12" s="1"/>
  <c r="F601" i="12" a="1"/>
  <c r="F601" i="12" s="1"/>
  <c r="Q566" i="12" a="1"/>
  <c r="Q566" i="12" s="1"/>
  <c r="S218" i="12" a="1"/>
  <c r="S218" i="12" s="1"/>
  <c r="M268" i="12" a="1"/>
  <c r="M268" i="12" s="1"/>
  <c r="Q185" i="12" a="1"/>
  <c r="Q185" i="12" s="1"/>
  <c r="J181" i="12" a="1"/>
  <c r="J181" i="12" s="1"/>
  <c r="AB652" i="12" a="1"/>
  <c r="AB652" i="12" s="1"/>
  <c r="AQ379" i="2" a="1"/>
  <c r="AQ379" i="2" s="1"/>
  <c r="R549" i="12" a="1"/>
  <c r="R549" i="12" s="1"/>
  <c r="R505" i="12" a="1"/>
  <c r="R505" i="12" s="1"/>
  <c r="Q463" i="12" a="1"/>
  <c r="Q463" i="12" s="1"/>
  <c r="T263" i="12" a="1"/>
  <c r="T263" i="12" s="1"/>
  <c r="J510" i="12" a="1"/>
  <c r="J510" i="12" s="1"/>
  <c r="R245" i="12" a="1"/>
  <c r="R245" i="12" s="1"/>
  <c r="J585" i="12" a="1"/>
  <c r="J585" i="12" s="1"/>
  <c r="J520" i="12" a="1"/>
  <c r="J520" i="12" s="1"/>
  <c r="N172" i="12" a="1"/>
  <c r="N172" i="12" s="1"/>
  <c r="M180" i="12" a="1"/>
  <c r="M180" i="12" s="1"/>
  <c r="K527" i="12" a="1"/>
  <c r="K527" i="12" s="1"/>
  <c r="O465" i="12" a="1"/>
  <c r="O465" i="12" s="1"/>
  <c r="O566" i="12" a="1"/>
  <c r="O566" i="12" s="1"/>
  <c r="O315" i="12" a="1"/>
  <c r="O315" i="12" s="1"/>
  <c r="O241" i="12" a="1"/>
  <c r="O241" i="12" s="1"/>
  <c r="O350" i="12" a="1"/>
  <c r="O350" i="12" s="1"/>
  <c r="O499" i="12" a="1"/>
  <c r="O499" i="12" s="1"/>
  <c r="O245" i="12" a="1"/>
  <c r="O245" i="12" s="1"/>
  <c r="O261" i="12" a="1"/>
  <c r="O261" i="12" s="1"/>
  <c r="O596" i="12" a="1"/>
  <c r="O596" i="12" s="1"/>
  <c r="O571" i="12" a="1"/>
  <c r="O571" i="12" s="1"/>
  <c r="K238" i="12" a="1"/>
  <c r="K238" i="12" s="1"/>
  <c r="N282" i="12" a="1"/>
  <c r="N282" i="12" s="1"/>
  <c r="S483" i="12" a="1"/>
  <c r="S483" i="12" s="1"/>
  <c r="G286" i="12" a="1"/>
  <c r="G286" i="12" s="1"/>
  <c r="M219" i="12" a="1"/>
  <c r="M219" i="12" s="1"/>
  <c r="Z666" i="12" a="1"/>
  <c r="Z666" i="12" s="1"/>
  <c r="M213" i="12" a="1"/>
  <c r="M213" i="12" s="1"/>
  <c r="L208" i="12" a="1"/>
  <c r="L208" i="12" s="1"/>
  <c r="O573" i="12" a="1"/>
  <c r="O573" i="12" s="1"/>
  <c r="S568" i="12" a="1"/>
  <c r="S568" i="12" s="1"/>
  <c r="O527" i="12" a="1"/>
  <c r="O527" i="12" s="1"/>
  <c r="N562" i="12" a="1"/>
  <c r="N562" i="12" s="1"/>
  <c r="J197" i="12" a="1"/>
  <c r="J197" i="12" s="1"/>
  <c r="P435" i="12" a="1"/>
  <c r="P435" i="12" s="1"/>
  <c r="F449" i="12" a="1"/>
  <c r="F449" i="12" s="1"/>
  <c r="U329" i="2" a="1"/>
  <c r="U329" i="2" s="1"/>
  <c r="P171" i="12" a="1"/>
  <c r="P171" i="12" s="1"/>
  <c r="S505" i="12" a="1"/>
  <c r="S505" i="12" s="1"/>
  <c r="O223" i="12" a="1"/>
  <c r="O223" i="12" s="1"/>
  <c r="Q555" i="12" a="1"/>
  <c r="Q555" i="12" s="1"/>
  <c r="Z638" i="12" a="1"/>
  <c r="Z638" i="12" s="1"/>
  <c r="N269" i="12" a="1"/>
  <c r="N269" i="12" s="1"/>
  <c r="R573" i="12" a="1"/>
  <c r="R573" i="12" s="1"/>
  <c r="Q435" i="12" a="1"/>
  <c r="Q435" i="12" s="1"/>
  <c r="X616" i="12" a="1"/>
  <c r="X616" i="12" s="1"/>
  <c r="N435" i="12" a="1"/>
  <c r="N435" i="12" s="1"/>
  <c r="T273" i="12" a="1"/>
  <c r="T273" i="12" s="1"/>
  <c r="L172" i="12" a="1"/>
  <c r="L172" i="12" s="1"/>
  <c r="O120" i="12" a="1"/>
  <c r="O120" i="12" s="1"/>
  <c r="T452" i="12" a="1"/>
  <c r="T452" i="12" s="1"/>
  <c r="AA667" i="12" a="1"/>
  <c r="AA667" i="12" s="1"/>
  <c r="M71" i="12" a="1"/>
  <c r="M71" i="12" s="1"/>
  <c r="G23" i="12" a="1"/>
  <c r="G23" i="12" s="1"/>
  <c r="P4" i="12" a="1"/>
  <c r="P4" i="12" s="1"/>
  <c r="AB633" i="12" a="1"/>
  <c r="AB633" i="12" s="1"/>
  <c r="O79" i="12" a="1"/>
  <c r="O79" i="12" s="1"/>
  <c r="R378" i="12" a="1"/>
  <c r="R378" i="12" s="1"/>
  <c r="N7" i="12" a="1"/>
  <c r="N7" i="12" s="1"/>
  <c r="N15" i="12" a="1"/>
  <c r="N15" i="12" s="1"/>
  <c r="I589" i="12" a="1"/>
  <c r="I589" i="12" s="1"/>
  <c r="Q579" i="12" a="1"/>
  <c r="Q579" i="12" s="1"/>
  <c r="G546" i="12" a="1"/>
  <c r="G546" i="12" s="1"/>
  <c r="Q538" i="12" a="1"/>
  <c r="Q538" i="12" s="1"/>
  <c r="U257" i="3" a="1"/>
  <c r="U257" i="3" s="1"/>
  <c r="M550" i="12" a="1"/>
  <c r="M550" i="12" s="1"/>
  <c r="M595" i="12" a="1"/>
  <c r="M595" i="12" s="1"/>
  <c r="L418" i="12" a="1"/>
  <c r="L418" i="12" s="1"/>
  <c r="I579" i="12" a="1"/>
  <c r="I579" i="12" s="1"/>
  <c r="M491" i="12" a="1"/>
  <c r="M491" i="12" s="1"/>
  <c r="K430" i="12" a="1"/>
  <c r="K430" i="12" s="1"/>
  <c r="F538" i="12" a="1"/>
  <c r="F538" i="12" s="1"/>
  <c r="U609" i="2" a="1"/>
  <c r="U609" i="2" s="1"/>
  <c r="Z109" i="3" a="1"/>
  <c r="Z109" i="3" s="1"/>
  <c r="O542" i="12" a="1"/>
  <c r="O542" i="12" s="1"/>
  <c r="O563" i="12" a="1"/>
  <c r="O563" i="12" s="1"/>
  <c r="J543" i="12" a="1"/>
  <c r="J543" i="12" s="1"/>
  <c r="M507" i="12" a="1"/>
  <c r="M507" i="12" s="1"/>
  <c r="Q98" i="12" a="1"/>
  <c r="Q98" i="12" s="1"/>
  <c r="G589" i="12" a="1"/>
  <c r="G589" i="12" s="1"/>
  <c r="N544" i="12" a="1"/>
  <c r="N544" i="12" s="1"/>
  <c r="Q553" i="12" a="1"/>
  <c r="Q553" i="12" s="1"/>
  <c r="K473" i="12" a="1"/>
  <c r="K473" i="12" s="1"/>
  <c r="P434" i="12" a="1"/>
  <c r="P434" i="12" s="1"/>
  <c r="X112" i="3" a="1"/>
  <c r="X112" i="3" s="1"/>
  <c r="M542" i="12" a="1"/>
  <c r="M542" i="12" s="1"/>
  <c r="O518" i="12" a="1"/>
  <c r="O518" i="12" s="1"/>
  <c r="R467" i="12" a="1"/>
  <c r="R467" i="12" s="1"/>
  <c r="O579" i="12" a="1"/>
  <c r="O579" i="12" s="1"/>
  <c r="J548" i="12" a="1"/>
  <c r="J548" i="12" s="1"/>
  <c r="L546" i="12" a="1"/>
  <c r="L546" i="12" s="1"/>
  <c r="L529" i="12" a="1"/>
  <c r="L529" i="12" s="1"/>
  <c r="S456" i="12" a="1"/>
  <c r="S456" i="12" s="1"/>
  <c r="J538" i="12" a="1"/>
  <c r="J538" i="12" s="1"/>
  <c r="S590" i="12" a="1"/>
  <c r="S590" i="12" s="1"/>
  <c r="I595" i="12" a="1"/>
  <c r="I595" i="12" s="1"/>
  <c r="L554" i="12" a="1"/>
  <c r="L554" i="12" s="1"/>
  <c r="S481" i="12" a="1"/>
  <c r="S481" i="12" s="1"/>
  <c r="O436" i="12" a="1"/>
  <c r="O436" i="12" s="1"/>
  <c r="I538" i="12" a="1"/>
  <c r="I538" i="12" s="1"/>
  <c r="R590" i="12" a="1"/>
  <c r="R590" i="12" s="1"/>
  <c r="P550" i="12" a="1"/>
  <c r="P550" i="12" s="1"/>
  <c r="P467" i="12" a="1"/>
  <c r="P467" i="12" s="1"/>
  <c r="M438" i="12" a="1"/>
  <c r="M438" i="12" s="1"/>
  <c r="T480" i="12" a="1"/>
  <c r="T480" i="12" s="1"/>
  <c r="G599" i="12" a="1"/>
  <c r="G599" i="12" s="1"/>
  <c r="Q570" i="12" a="1"/>
  <c r="Q570" i="12" s="1"/>
  <c r="S544" i="12" a="1"/>
  <c r="S544" i="12" s="1"/>
  <c r="L579" i="12" a="1"/>
  <c r="L579" i="12" s="1"/>
  <c r="K398" i="12" a="1"/>
  <c r="K398" i="12" s="1"/>
  <c r="M98" i="12" a="1"/>
  <c r="M98" i="12" s="1"/>
  <c r="M578" i="12" a="1"/>
  <c r="M578" i="12" s="1"/>
  <c r="K579" i="12" a="1"/>
  <c r="K579" i="12" s="1"/>
  <c r="T438" i="12" a="1"/>
  <c r="T438" i="12" s="1"/>
  <c r="P577" i="12" a="1"/>
  <c r="P577" i="12" s="1"/>
  <c r="O392" i="12" a="1"/>
  <c r="O392" i="12" s="1"/>
  <c r="L578" i="12" a="1"/>
  <c r="L578" i="12" s="1"/>
  <c r="S518" i="12" a="1"/>
  <c r="S518" i="12" s="1"/>
  <c r="J398" i="12" a="1"/>
  <c r="J398" i="12" s="1"/>
  <c r="G489" i="12" a="1"/>
  <c r="G489" i="12" s="1"/>
  <c r="K477" i="12" a="1"/>
  <c r="K477" i="12" s="1"/>
  <c r="G430" i="12" a="1"/>
  <c r="G430" i="12" s="1"/>
  <c r="O482" i="12" a="1"/>
  <c r="O482" i="12" s="1"/>
  <c r="K445" i="12" a="1"/>
  <c r="K445" i="12" s="1"/>
  <c r="L512" i="12" a="1"/>
  <c r="L512" i="12" s="1"/>
  <c r="N471" i="12" a="1"/>
  <c r="N471" i="12" s="1"/>
  <c r="S353" i="12" a="1"/>
  <c r="S353" i="12" s="1"/>
  <c r="N443" i="12" a="1"/>
  <c r="N443" i="12" s="1"/>
  <c r="M322" i="12" a="1"/>
  <c r="M322" i="12" s="1"/>
  <c r="S303" i="12" a="1"/>
  <c r="S303" i="12" s="1"/>
  <c r="T600" i="12" a="1"/>
  <c r="T600" i="12" s="1"/>
  <c r="M338" i="12" a="1"/>
  <c r="M338" i="12" s="1"/>
  <c r="Q284" i="12" a="1"/>
  <c r="Q284" i="12" s="1"/>
  <c r="J327" i="12" a="1"/>
  <c r="J327" i="12" s="1"/>
  <c r="S447" i="12" a="1"/>
  <c r="S447" i="12" s="1"/>
  <c r="O410" i="12" a="1"/>
  <c r="O410" i="12" s="1"/>
  <c r="T410" i="12" a="1"/>
  <c r="T410" i="12" s="1"/>
  <c r="O472" i="12" a="1"/>
  <c r="O472" i="12" s="1"/>
  <c r="T472" i="12" a="1"/>
  <c r="T472" i="12" s="1"/>
  <c r="M278" i="12" a="1"/>
  <c r="M278" i="12" s="1"/>
  <c r="Q360" i="12" a="1"/>
  <c r="Q360" i="12" s="1"/>
  <c r="N339" i="12" a="1"/>
  <c r="N339" i="12" s="1"/>
  <c r="I284" i="12" a="1"/>
  <c r="I284" i="12" s="1"/>
  <c r="M375" i="12" a="1"/>
  <c r="M375" i="12" s="1"/>
  <c r="R464" i="12" a="1"/>
  <c r="R464" i="12" s="1"/>
  <c r="P444" i="12" a="1"/>
  <c r="P444" i="12" s="1"/>
  <c r="G538" i="12" a="1"/>
  <c r="G538" i="12" s="1"/>
  <c r="J552" i="12" a="1"/>
  <c r="J552" i="12" s="1"/>
  <c r="R478" i="12" a="1"/>
  <c r="R478" i="12" s="1"/>
  <c r="L399" i="12" a="1"/>
  <c r="L399" i="12" s="1"/>
  <c r="K550" i="12" a="1"/>
  <c r="K550" i="12" s="1"/>
  <c r="P507" i="12" a="1"/>
  <c r="P507" i="12" s="1"/>
  <c r="K375" i="12" a="1"/>
  <c r="K375" i="12" s="1"/>
  <c r="N446" i="12" a="1"/>
  <c r="N446" i="12" s="1"/>
  <c r="J525" i="12" a="1"/>
  <c r="J525" i="12" s="1"/>
  <c r="S396" i="12" a="1"/>
  <c r="S396" i="12" s="1"/>
  <c r="T394" i="12" a="1"/>
  <c r="T394" i="12" s="1"/>
  <c r="L389" i="12" a="1"/>
  <c r="L389" i="12" s="1"/>
  <c r="J399" i="12" a="1"/>
  <c r="J399" i="12" s="1"/>
  <c r="I342" i="12" a="1"/>
  <c r="I342" i="12" s="1"/>
  <c r="I405" i="12" a="1"/>
  <c r="I405" i="12" s="1"/>
  <c r="F548" i="12" a="1"/>
  <c r="F548" i="12" s="1"/>
  <c r="N569" i="12" a="1"/>
  <c r="N569" i="12" s="1"/>
  <c r="F428" i="12" a="1"/>
  <c r="F428" i="12" s="1"/>
  <c r="U631" i="2" a="1"/>
  <c r="U631" i="2" s="1"/>
  <c r="G485" i="12" a="1"/>
  <c r="G485" i="12" s="1"/>
  <c r="G429" i="12" a="1"/>
  <c r="G429" i="12" s="1"/>
  <c r="I446" i="12" a="1"/>
  <c r="I446" i="12" s="1"/>
  <c r="T535" i="12" a="1"/>
  <c r="T535" i="12" s="1"/>
  <c r="O409" i="12" a="1"/>
  <c r="O409" i="12" s="1"/>
  <c r="F411" i="12" a="1"/>
  <c r="F411" i="12" s="1"/>
  <c r="U555" i="2" a="1"/>
  <c r="U555" i="2" s="1"/>
  <c r="L373" i="12" a="1"/>
  <c r="L373" i="12" s="1"/>
  <c r="S418" i="12" a="1"/>
  <c r="S418" i="12" s="1"/>
  <c r="T450" i="12" a="1"/>
  <c r="T450" i="12" s="1"/>
  <c r="L434" i="12" a="1"/>
  <c r="L434" i="12" s="1"/>
  <c r="G453" i="12" a="1"/>
  <c r="G453" i="12" s="1"/>
  <c r="R344" i="12" a="1"/>
  <c r="R344" i="12" s="1"/>
  <c r="J572" i="12" a="1"/>
  <c r="J572" i="12" s="1"/>
  <c r="T242" i="12" a="1"/>
  <c r="T242" i="12" s="1"/>
  <c r="T545" i="12" a="1"/>
  <c r="T545" i="12" s="1"/>
  <c r="S473" i="12" a="1"/>
  <c r="S473" i="12" s="1"/>
  <c r="P567" i="12" a="1"/>
  <c r="P567" i="12" s="1"/>
  <c r="N489" i="12" a="1"/>
  <c r="N489" i="12" s="1"/>
  <c r="L482" i="12" a="1"/>
  <c r="L482" i="12" s="1"/>
  <c r="I523" i="12" a="1"/>
  <c r="I523" i="12" s="1"/>
  <c r="M486" i="12" a="1"/>
  <c r="M486" i="12" s="1"/>
  <c r="F535" i="12" a="1"/>
  <c r="F535" i="12" s="1"/>
  <c r="U591" i="2" a="1"/>
  <c r="U591" i="2" s="1"/>
  <c r="T409" i="12" a="1"/>
  <c r="T409" i="12" s="1"/>
  <c r="N478" i="12" a="1"/>
  <c r="N478" i="12" s="1"/>
  <c r="M310" i="12" a="1"/>
  <c r="M310" i="12" s="1"/>
  <c r="L340" i="12" a="1"/>
  <c r="L340" i="12" s="1"/>
  <c r="F405" i="12" a="1"/>
  <c r="F405" i="12" s="1"/>
  <c r="U536" i="2" a="1"/>
  <c r="U536" i="2" s="1"/>
  <c r="L318" i="12" a="1"/>
  <c r="L318" i="12" s="1"/>
  <c r="F381" i="12" a="1"/>
  <c r="F381" i="12" s="1"/>
  <c r="U521" i="2" a="1"/>
  <c r="U521" i="2" s="1"/>
  <c r="F593" i="12" a="1"/>
  <c r="F593" i="12" s="1"/>
  <c r="U494" i="2" a="1"/>
  <c r="U494" i="2" s="1"/>
  <c r="G542" i="12" a="1"/>
  <c r="G542" i="12" s="1"/>
  <c r="R488" i="12" a="1"/>
  <c r="R488" i="12" s="1"/>
  <c r="I488" i="12" a="1"/>
  <c r="I488" i="12" s="1"/>
  <c r="S395" i="12" a="1"/>
  <c r="S395" i="12" s="1"/>
  <c r="K447" i="12" a="1"/>
  <c r="K447" i="12" s="1"/>
  <c r="R487" i="12" a="1"/>
  <c r="R487" i="12" s="1"/>
  <c r="I560" i="12" a="1"/>
  <c r="I560" i="12" s="1"/>
  <c r="T433" i="12" a="1"/>
  <c r="T433" i="12" s="1"/>
  <c r="M532" i="12" a="1"/>
  <c r="M532" i="12" s="1"/>
  <c r="I341" i="12" a="1"/>
  <c r="I341" i="12" s="1"/>
  <c r="AQ530" i="2" a="1"/>
  <c r="AQ530" i="2" s="1"/>
  <c r="AR530" i="2" a="1"/>
  <c r="AR530" i="2" s="1"/>
  <c r="I326" i="12" a="1"/>
  <c r="I326" i="12" s="1"/>
  <c r="S441" i="12" a="1"/>
  <c r="S441" i="12" s="1"/>
  <c r="N430" i="12" a="1"/>
  <c r="N430" i="12" s="1"/>
  <c r="R446" i="12" a="1"/>
  <c r="R446" i="12" s="1"/>
  <c r="F471" i="12" a="1"/>
  <c r="F471" i="12" s="1"/>
  <c r="U592" i="2" a="1"/>
  <c r="U592" i="2" s="1"/>
  <c r="G525" i="12" a="1"/>
  <c r="G525" i="12" s="1"/>
  <c r="P417" i="12" a="1"/>
  <c r="P417" i="12" s="1"/>
  <c r="R371" i="12" a="1"/>
  <c r="R371" i="12" s="1"/>
  <c r="O461" i="12" a="1"/>
  <c r="O461" i="12" s="1"/>
  <c r="P394" i="12" a="1"/>
  <c r="P394" i="12" s="1"/>
  <c r="L506" i="12" a="1"/>
  <c r="L506" i="12" s="1"/>
  <c r="L386" i="12" a="1"/>
  <c r="L386" i="12" s="1"/>
  <c r="Q137" i="12" a="1"/>
  <c r="Q137" i="12" s="1"/>
  <c r="T543" i="12" a="1"/>
  <c r="T543" i="12" s="1"/>
  <c r="T384" i="12" a="1"/>
  <c r="T384" i="12" s="1"/>
  <c r="J546" i="12" a="1"/>
  <c r="J546" i="12" s="1"/>
  <c r="I459" i="12" a="1"/>
  <c r="I459" i="12" s="1"/>
  <c r="R524" i="12" a="1"/>
  <c r="R524" i="12" s="1"/>
  <c r="I437" i="12" a="1"/>
  <c r="I437" i="12" s="1"/>
  <c r="I310" i="12" a="1"/>
  <c r="I310" i="12" s="1"/>
  <c r="J340" i="12" a="1"/>
  <c r="J340" i="12" s="1"/>
  <c r="S411" i="12" a="1"/>
  <c r="S411" i="12" s="1"/>
  <c r="R386" i="12" a="1"/>
  <c r="R386" i="12" s="1"/>
  <c r="G342" i="12" a="1"/>
  <c r="G342" i="12" s="1"/>
  <c r="G288" i="12" a="1"/>
  <c r="G288" i="12" s="1"/>
  <c r="F303" i="12" a="1"/>
  <c r="F303" i="12" s="1"/>
  <c r="P351" i="12" a="1"/>
  <c r="P351" i="12" s="1"/>
  <c r="S362" i="12" a="1"/>
  <c r="S362" i="12" s="1"/>
  <c r="I247" i="12" a="1"/>
  <c r="I247" i="12" s="1"/>
  <c r="T198" i="12" a="1"/>
  <c r="T198" i="12" s="1"/>
  <c r="F596" i="12" a="1"/>
  <c r="F596" i="12" s="1"/>
  <c r="U467" i="2" a="1"/>
  <c r="U467" i="2" s="1"/>
  <c r="F261" i="12" a="1"/>
  <c r="F261" i="12" s="1"/>
  <c r="U462" i="2" a="1"/>
  <c r="U462" i="2" s="1"/>
  <c r="Q219" i="12" a="1"/>
  <c r="Q219" i="12" s="1"/>
  <c r="O295" i="12" a="1"/>
  <c r="O295" i="12" s="1"/>
  <c r="I498" i="12" a="1"/>
  <c r="I498" i="12" s="1"/>
  <c r="T498" i="12" a="1"/>
  <c r="T498" i="12" s="1"/>
  <c r="T316" i="12" a="1"/>
  <c r="T316" i="12" s="1"/>
  <c r="T249" i="12" a="1"/>
  <c r="T249" i="12" s="1"/>
  <c r="I601" i="12" a="1"/>
  <c r="I601" i="12" s="1"/>
  <c r="R601" i="12" a="1"/>
  <c r="R601" i="12" s="1"/>
  <c r="I270" i="12" a="1"/>
  <c r="I270" i="12" s="1"/>
  <c r="N576" i="12" a="1"/>
  <c r="N576" i="12" s="1"/>
  <c r="P448" i="12" a="1"/>
  <c r="P448" i="12" s="1"/>
  <c r="K448" i="12" a="1"/>
  <c r="K448" i="12" s="1"/>
  <c r="P362" i="12" a="1"/>
  <c r="P362" i="12" s="1"/>
  <c r="P270" i="12" a="1"/>
  <c r="P270" i="12" s="1"/>
  <c r="S350" i="12" a="1"/>
  <c r="S350" i="12" s="1"/>
  <c r="AA626" i="12" a="1"/>
  <c r="AA626" i="12" s="1"/>
  <c r="AR479" i="2" a="1"/>
  <c r="AR479" i="2" s="1"/>
  <c r="AQ479" i="2" a="1"/>
  <c r="AQ479" i="2" s="1"/>
  <c r="M433" i="12" a="1"/>
  <c r="M433" i="12" s="1"/>
  <c r="F380" i="12" a="1"/>
  <c r="F380" i="12" s="1"/>
  <c r="U583" i="2" a="1"/>
  <c r="U583" i="2" s="1"/>
  <c r="T380" i="12" a="1"/>
  <c r="T380" i="12" s="1"/>
  <c r="F357" i="12" a="1"/>
  <c r="F357" i="12" s="1"/>
  <c r="U558" i="2" a="1"/>
  <c r="U558" i="2" s="1"/>
  <c r="M302" i="12" a="1"/>
  <c r="M302" i="12" s="1"/>
  <c r="N249" i="12" a="1"/>
  <c r="N249" i="12" s="1"/>
  <c r="N367" i="12" a="1"/>
  <c r="N367" i="12" s="1"/>
  <c r="AA620" i="12" a="1"/>
  <c r="AA620" i="12" s="1"/>
  <c r="F328" i="12" a="1"/>
  <c r="F328" i="12" s="1"/>
  <c r="U506" i="2" a="1"/>
  <c r="U506" i="2" s="1"/>
  <c r="F343" i="12" a="1"/>
  <c r="F343" i="12" s="1"/>
  <c r="U503" i="2" a="1"/>
  <c r="U503" i="2" s="1"/>
  <c r="S349" i="12" a="1"/>
  <c r="S349" i="12" s="1"/>
  <c r="N575" i="12" a="1"/>
  <c r="N575" i="12" s="1"/>
  <c r="K320" i="12" a="1"/>
  <c r="K320" i="12" s="1"/>
  <c r="J291" i="12" a="1"/>
  <c r="J291" i="12" s="1"/>
  <c r="S291" i="12" a="1"/>
  <c r="S291" i="12" s="1"/>
  <c r="L400" i="12" a="1"/>
  <c r="L400" i="12" s="1"/>
  <c r="R400" i="12" a="1"/>
  <c r="R400" i="12" s="1"/>
  <c r="O351" i="12" a="1"/>
  <c r="O351" i="12" s="1"/>
  <c r="R284" i="12" a="1"/>
  <c r="R284" i="12" s="1"/>
  <c r="Q327" i="12" a="1"/>
  <c r="Q327" i="12" s="1"/>
  <c r="J294" i="12" a="1"/>
  <c r="J294" i="12" s="1"/>
  <c r="F320" i="12" a="1"/>
  <c r="F320" i="12" s="1"/>
  <c r="U476" i="2" a="1"/>
  <c r="U476" i="2" s="1"/>
  <c r="J413" i="12" a="1"/>
  <c r="J413" i="12" s="1"/>
  <c r="O402" i="12" a="1"/>
  <c r="O402" i="12" s="1"/>
  <c r="L402" i="12" a="1"/>
  <c r="L402" i="12" s="1"/>
  <c r="O443" i="12" a="1"/>
  <c r="O443" i="12" s="1"/>
  <c r="T521" i="12" a="1"/>
  <c r="T521" i="12" s="1"/>
  <c r="I440" i="12" a="1"/>
  <c r="I440" i="12" s="1"/>
  <c r="O440" i="12" a="1"/>
  <c r="O440" i="12" s="1"/>
  <c r="M318" i="12" a="1"/>
  <c r="M318" i="12" s="1"/>
  <c r="X610" i="12" a="1"/>
  <c r="X610" i="12" s="1"/>
  <c r="I574" i="12" a="1"/>
  <c r="I574" i="12" s="1"/>
  <c r="T591" i="12" a="1"/>
  <c r="T591" i="12" s="1"/>
  <c r="N313" i="12" a="1"/>
  <c r="N313" i="12" s="1"/>
  <c r="R605" i="12" a="1"/>
  <c r="R605" i="12" s="1"/>
  <c r="T252" i="12" a="1"/>
  <c r="T252" i="12" s="1"/>
  <c r="I272" i="12" a="1"/>
  <c r="I272" i="12" s="1"/>
  <c r="G457" i="12" a="1"/>
  <c r="G457" i="12" s="1"/>
  <c r="U398" i="2" a="1"/>
  <c r="U398" i="2" s="1"/>
  <c r="P487" i="12" a="1"/>
  <c r="P487" i="12" s="1"/>
  <c r="I443" i="12" a="1"/>
  <c r="I443" i="12" s="1"/>
  <c r="I336" i="12" a="1"/>
  <c r="I336" i="12" s="1"/>
  <c r="O336" i="12" a="1"/>
  <c r="O336" i="12" s="1"/>
  <c r="G319" i="12" a="1"/>
  <c r="G319" i="12" s="1"/>
  <c r="Z660" i="12" a="1"/>
  <c r="Z660" i="12" s="1"/>
  <c r="J242" i="12" a="1"/>
  <c r="J242" i="12" s="1"/>
  <c r="I320" i="12" a="1"/>
  <c r="I320" i="12" s="1"/>
  <c r="K254" i="12" a="1"/>
  <c r="K254" i="12" s="1"/>
  <c r="P241" i="12" a="1"/>
  <c r="P241" i="12" s="1"/>
  <c r="P470" i="12" a="1"/>
  <c r="P470" i="12" s="1"/>
  <c r="G470" i="12" a="1"/>
  <c r="G470" i="12" s="1"/>
  <c r="O390" i="12" a="1"/>
  <c r="O390" i="12" s="1"/>
  <c r="G390" i="12" a="1"/>
  <c r="G390" i="12" s="1"/>
  <c r="F385" i="12" a="1"/>
  <c r="F385" i="12" s="1"/>
  <c r="U556" i="2" a="1"/>
  <c r="U556" i="2" s="1"/>
  <c r="AQ490" i="2" a="1"/>
  <c r="AQ490" i="2" s="1"/>
  <c r="R247" i="12" a="1"/>
  <c r="R247" i="12" s="1"/>
  <c r="J269" i="12" a="1"/>
  <c r="J269" i="12" s="1"/>
  <c r="G437" i="12" a="1"/>
  <c r="G437" i="12" s="1"/>
  <c r="R420" i="12" a="1"/>
  <c r="R420" i="12" s="1"/>
  <c r="Q318" i="12" a="1"/>
  <c r="Q318" i="12" s="1"/>
  <c r="I367" i="12" a="1"/>
  <c r="I367" i="12" s="1"/>
  <c r="AA660" i="12" a="1"/>
  <c r="AA660" i="12" s="1"/>
  <c r="J240" i="12" a="1"/>
  <c r="J240" i="12" s="1"/>
  <c r="P576" i="12" a="1"/>
  <c r="P576" i="12" s="1"/>
  <c r="K247" i="12" a="1"/>
  <c r="K247" i="12" s="1"/>
  <c r="K594" i="12" a="1"/>
  <c r="K594" i="12" s="1"/>
  <c r="X629" i="12" a="1"/>
  <c r="X629" i="12" s="1"/>
  <c r="AL385" i="2" a="1"/>
  <c r="AL385" i="2" s="1"/>
  <c r="F525" i="12" a="1"/>
  <c r="F525" i="12" s="1"/>
  <c r="N468" i="12" a="1"/>
  <c r="N468" i="12" s="1"/>
  <c r="U514" i="2" a="1"/>
  <c r="U514" i="2" s="1"/>
  <c r="P331" i="12" a="1"/>
  <c r="P331" i="12" s="1"/>
  <c r="I328" i="12" a="1"/>
  <c r="I328" i="12" s="1"/>
  <c r="X632" i="12" a="1"/>
  <c r="X632" i="12" s="1"/>
  <c r="N241" i="12" a="1"/>
  <c r="N241" i="12" s="1"/>
  <c r="J290" i="12" a="1"/>
  <c r="J290" i="12" s="1"/>
  <c r="F594" i="12" a="1"/>
  <c r="F594" i="12" s="1"/>
  <c r="T237" i="12" a="1"/>
  <c r="T237" i="12" s="1"/>
  <c r="N566" i="12" a="1"/>
  <c r="N566" i="12" s="1"/>
  <c r="I218" i="12" a="1"/>
  <c r="I218" i="12" s="1"/>
  <c r="S268" i="12" a="1"/>
  <c r="S268" i="12" s="1"/>
  <c r="L185" i="12" a="1"/>
  <c r="L185" i="12" s="1"/>
  <c r="F181" i="12" a="1"/>
  <c r="F181" i="12" s="1"/>
  <c r="U391" i="2" a="1"/>
  <c r="U391" i="2" s="1"/>
  <c r="L568" i="12" a="1"/>
  <c r="L568" i="12" s="1"/>
  <c r="L549" i="12" a="1"/>
  <c r="L549" i="12" s="1"/>
  <c r="L265" i="12" a="1"/>
  <c r="L265" i="12" s="1"/>
  <c r="L287" i="12" a="1"/>
  <c r="L287" i="12" s="1"/>
  <c r="M295" i="12" a="1"/>
  <c r="M295" i="12" s="1"/>
  <c r="F505" i="12" a="1"/>
  <c r="F505" i="12" s="1"/>
  <c r="U435" i="2" a="1"/>
  <c r="U435" i="2" s="1"/>
  <c r="L248" i="12" a="1"/>
  <c r="L248" i="12" s="1"/>
  <c r="P263" i="12" a="1"/>
  <c r="P263" i="12" s="1"/>
  <c r="O239" i="12" a="1"/>
  <c r="O239" i="12" s="1"/>
  <c r="O83" i="12" a="1"/>
  <c r="O83" i="12" s="1"/>
  <c r="I245" i="12" a="1"/>
  <c r="I245" i="12" s="1"/>
  <c r="I520" i="12" a="1"/>
  <c r="I520" i="12" s="1"/>
  <c r="S172" i="12" a="1"/>
  <c r="S172" i="12" s="1"/>
  <c r="R180" i="12" a="1"/>
  <c r="R180" i="12" s="1"/>
  <c r="R568" i="12" a="1"/>
  <c r="R568" i="12" s="1"/>
  <c r="R197" i="12" a="1"/>
  <c r="R197" i="12" s="1"/>
  <c r="T465" i="12" a="1"/>
  <c r="T465" i="12" s="1"/>
  <c r="T313" i="12" a="1"/>
  <c r="T313" i="12" s="1"/>
  <c r="T262" i="12" a="1"/>
  <c r="T262" i="12" s="1"/>
  <c r="T350" i="12" a="1"/>
  <c r="T350" i="12" s="1"/>
  <c r="T315" i="12" a="1"/>
  <c r="T315" i="12" s="1"/>
  <c r="T503" i="12" a="1"/>
  <c r="T503" i="12" s="1"/>
  <c r="T457" i="12" a="1"/>
  <c r="T457" i="12" s="1"/>
  <c r="T172" i="12" a="1"/>
  <c r="T172" i="12" s="1"/>
  <c r="T214" i="12" a="1"/>
  <c r="T214" i="12" s="1"/>
  <c r="I412" i="12" a="1"/>
  <c r="I412" i="12" s="1"/>
  <c r="G219" i="12" a="1"/>
  <c r="G219" i="12" s="1"/>
  <c r="O281" i="12" a="1"/>
  <c r="O281" i="12" s="1"/>
  <c r="Q238" i="12" a="1"/>
  <c r="Q238" i="12" s="1"/>
  <c r="L295" i="12" a="1"/>
  <c r="L295" i="12" s="1"/>
  <c r="O483" i="12" a="1"/>
  <c r="O483" i="12" s="1"/>
  <c r="I237" i="12" a="1"/>
  <c r="I237" i="12" s="1"/>
  <c r="S537" i="12" a="1"/>
  <c r="S537" i="12" s="1"/>
  <c r="N574" i="12" a="1"/>
  <c r="N574" i="12" s="1"/>
  <c r="K298" i="12" a="1"/>
  <c r="K298" i="12" s="1"/>
  <c r="F536" i="12" a="1"/>
  <c r="F536" i="12" s="1"/>
  <c r="U480" i="2" a="1"/>
  <c r="U480" i="2" s="1"/>
  <c r="P286" i="12" a="1"/>
  <c r="P286" i="12" s="1"/>
  <c r="T287" i="12" a="1"/>
  <c r="T287" i="12" s="1"/>
  <c r="Q323" i="12" a="1"/>
  <c r="Q323" i="12" s="1"/>
  <c r="AA666" i="12" a="1"/>
  <c r="AA666" i="12" s="1"/>
  <c r="J263" i="12" a="1"/>
  <c r="J263" i="12" s="1"/>
  <c r="R208" i="12" a="1"/>
  <c r="R208" i="12" s="1"/>
  <c r="Q228" i="12" a="1"/>
  <c r="Q228" i="12" s="1"/>
  <c r="T527" i="12" a="1"/>
  <c r="T527" i="12" s="1"/>
  <c r="S562" i="12" a="1"/>
  <c r="S562" i="12" s="1"/>
  <c r="O197" i="12" a="1"/>
  <c r="O197" i="12" s="1"/>
  <c r="L349" i="12" a="1"/>
  <c r="L349" i="12" s="1"/>
  <c r="T597" i="12" a="1"/>
  <c r="T597" i="12" s="1"/>
  <c r="P561" i="12" a="1"/>
  <c r="P561" i="12" s="1"/>
  <c r="M239" i="12" a="1"/>
  <c r="M239" i="12" s="1"/>
  <c r="S83" i="12" a="1"/>
  <c r="S83" i="12" s="1"/>
  <c r="M364" i="12" a="1"/>
  <c r="M364" i="12" s="1"/>
  <c r="O557" i="12" a="1"/>
  <c r="O557" i="12" s="1"/>
  <c r="R258" i="12" a="1"/>
  <c r="R258" i="12" s="1"/>
  <c r="J233" i="12" a="1"/>
  <c r="J233" i="12" s="1"/>
  <c r="P555" i="12" a="1"/>
  <c r="P555" i="12" s="1"/>
  <c r="AB620" i="12" a="1"/>
  <c r="AB620" i="12" s="1"/>
  <c r="S463" i="12" a="1"/>
  <c r="S463" i="12" s="1"/>
  <c r="J268" i="12" a="1"/>
  <c r="J268" i="12" s="1"/>
  <c r="O449" i="12" a="1"/>
  <c r="O449" i="12" s="1"/>
  <c r="N216" i="12" a="1"/>
  <c r="N216" i="12" s="1"/>
  <c r="M309" i="12" a="1"/>
  <c r="M309" i="12" s="1"/>
  <c r="J112" i="12" a="1"/>
  <c r="J112" i="12" s="1"/>
  <c r="K216" i="12" a="1"/>
  <c r="K216" i="12" s="1"/>
  <c r="O285" i="12" a="1"/>
  <c r="O285" i="12" s="1"/>
  <c r="R314" i="12" a="1"/>
  <c r="R314" i="12" s="1"/>
  <c r="G109" i="12" a="1"/>
  <c r="G109" i="12" s="1"/>
  <c r="Q460" i="12" a="1"/>
  <c r="Q460" i="12" s="1"/>
  <c r="T513" i="12" a="1"/>
  <c r="T513" i="12" s="1"/>
  <c r="Q424" i="12" a="1"/>
  <c r="Q424" i="12" s="1"/>
  <c r="P405" i="3" a="1"/>
  <c r="P405" i="3" s="1"/>
  <c r="Q405" i="3" a="1"/>
  <c r="Q405" i="3" s="1"/>
  <c r="Z399" i="3" a="1"/>
  <c r="Z399" i="3" s="1"/>
  <c r="N546" i="12" a="1"/>
  <c r="N546" i="12" s="1"/>
  <c r="F587" i="12" a="1"/>
  <c r="F587" i="12" s="1"/>
  <c r="U670" i="2" a="1"/>
  <c r="U670" i="2" s="1"/>
  <c r="M548" i="12" a="1"/>
  <c r="M548" i="12" s="1"/>
  <c r="Q518" i="12" a="1"/>
  <c r="Q518" i="12" s="1"/>
  <c r="S553" i="12" a="1"/>
  <c r="S553" i="12" s="1"/>
  <c r="N577" i="12" a="1"/>
  <c r="N577" i="12" s="1"/>
  <c r="T550" i="12" a="1"/>
  <c r="T550" i="12" s="1"/>
  <c r="T595" i="12" a="1"/>
  <c r="T595" i="12" s="1"/>
  <c r="O544" i="12" a="1"/>
  <c r="O544" i="12" s="1"/>
  <c r="P438" i="12" a="1"/>
  <c r="P438" i="12" s="1"/>
  <c r="I98" i="12" a="1"/>
  <c r="I98" i="12" s="1"/>
  <c r="L570" i="12" a="1"/>
  <c r="L570" i="12" s="1"/>
  <c r="S467" i="12" a="1"/>
  <c r="S467" i="12" s="1"/>
  <c r="I553" i="12" a="1"/>
  <c r="I553" i="12" s="1"/>
  <c r="Q418" i="12" a="1"/>
  <c r="Q418" i="12" s="1"/>
  <c r="T546" i="12" a="1"/>
  <c r="T546" i="12" s="1"/>
  <c r="P538" i="12" a="1"/>
  <c r="P538" i="12" s="1"/>
  <c r="F518" i="12" a="1"/>
  <c r="F518" i="12" s="1"/>
  <c r="U658" i="2" a="1"/>
  <c r="U658" i="2" s="1"/>
  <c r="J467" i="12" a="1"/>
  <c r="J467" i="12" s="1"/>
  <c r="F579" i="12" a="1"/>
  <c r="F579" i="12" s="1"/>
  <c r="U648" i="2" a="1"/>
  <c r="U648" i="2" s="1"/>
  <c r="L456" i="12" a="1"/>
  <c r="L456" i="12" s="1"/>
  <c r="J460" i="12" a="1"/>
  <c r="J460" i="12" s="1"/>
  <c r="G578" i="12" a="1"/>
  <c r="G578" i="12" s="1"/>
  <c r="N518" i="12" a="1"/>
  <c r="N518" i="12" s="1"/>
  <c r="Q513" i="12" a="1"/>
  <c r="Q513" i="12" s="1"/>
  <c r="K481" i="12" a="1"/>
  <c r="K481" i="12" s="1"/>
  <c r="Q473" i="12" a="1"/>
  <c r="Q473" i="12" s="1"/>
  <c r="O434" i="12" a="1"/>
  <c r="O434" i="12" s="1"/>
  <c r="I436" i="12" a="1"/>
  <c r="I436" i="12" s="1"/>
  <c r="O98" i="12" a="1"/>
  <c r="O98" i="12" s="1"/>
  <c r="J590" i="12" a="1"/>
  <c r="J590" i="12" s="1"/>
  <c r="M589" i="12" a="1"/>
  <c r="M589" i="12" s="1"/>
  <c r="T563" i="12" a="1"/>
  <c r="T563" i="12" s="1"/>
  <c r="M565" i="12" a="1"/>
  <c r="M565" i="12" s="1"/>
  <c r="T554" i="12" a="1"/>
  <c r="T554" i="12" s="1"/>
  <c r="R456" i="12" a="1"/>
  <c r="R456" i="12" s="1"/>
  <c r="N480" i="12" a="1"/>
  <c r="N480" i="12" s="1"/>
  <c r="I570" i="12" a="1"/>
  <c r="I570" i="12" s="1"/>
  <c r="G467" i="12" a="1"/>
  <c r="G467" i="12" s="1"/>
  <c r="Q507" i="12" a="1"/>
  <c r="Q507" i="12" s="1"/>
  <c r="G418" i="12" a="1"/>
  <c r="G418" i="12" s="1"/>
  <c r="M516" i="12" a="1"/>
  <c r="M516" i="12" s="1"/>
  <c r="I577" i="12" a="1"/>
  <c r="I577" i="12" s="1"/>
  <c r="N513" i="12" a="1"/>
  <c r="N513" i="12" s="1"/>
  <c r="T418" i="12" a="1"/>
  <c r="T418" i="12" s="1"/>
  <c r="J482" i="12" a="1"/>
  <c r="J482" i="12" s="1"/>
  <c r="F445" i="12" a="1"/>
  <c r="F445" i="12" s="1"/>
  <c r="U611" i="2" a="1"/>
  <c r="U611" i="2" s="1"/>
  <c r="M512" i="12" a="1"/>
  <c r="M512" i="12" s="1"/>
  <c r="T471" i="12" a="1"/>
  <c r="T471" i="12" s="1"/>
  <c r="L361" i="12" a="1"/>
  <c r="L361" i="12" s="1"/>
  <c r="P340" i="12" a="1"/>
  <c r="P340" i="12" s="1"/>
  <c r="F322" i="12" a="1"/>
  <c r="F322" i="12" s="1"/>
  <c r="U554" i="2" a="1"/>
  <c r="U554" i="2" s="1"/>
  <c r="I303" i="12" a="1"/>
  <c r="I303" i="12" s="1"/>
  <c r="O318" i="12" a="1"/>
  <c r="O318" i="12" s="1"/>
  <c r="G338" i="12" a="1"/>
  <c r="G338" i="12" s="1"/>
  <c r="K284" i="12" a="1"/>
  <c r="K284" i="12" s="1"/>
  <c r="I327" i="12" a="1"/>
  <c r="I327" i="12" s="1"/>
  <c r="F491" i="12" a="1"/>
  <c r="F491" i="12" s="1"/>
  <c r="F489" i="12" a="1"/>
  <c r="F489" i="12" s="1"/>
  <c r="N447" i="12" a="1"/>
  <c r="N447" i="12" s="1"/>
  <c r="K410" i="12" a="1"/>
  <c r="K410" i="12" s="1"/>
  <c r="K472" i="12" a="1"/>
  <c r="K472" i="12" s="1"/>
  <c r="S342" i="12" a="1"/>
  <c r="S342" i="12" s="1"/>
  <c r="G339" i="12" a="1"/>
  <c r="G339" i="12" s="1"/>
  <c r="O284" i="12" a="1"/>
  <c r="O284" i="12" s="1"/>
  <c r="M485" i="12" a="1"/>
  <c r="M485" i="12" s="1"/>
  <c r="M464" i="12" a="1"/>
  <c r="M464" i="12" s="1"/>
  <c r="K444" i="12" a="1"/>
  <c r="K444" i="12" s="1"/>
  <c r="R538" i="12" a="1"/>
  <c r="R538" i="12" s="1"/>
  <c r="K552" i="12" a="1"/>
  <c r="K552" i="12" s="1"/>
  <c r="R324" i="12" a="1"/>
  <c r="R324" i="12" s="1"/>
  <c r="G478" i="12" a="1"/>
  <c r="G478" i="12" s="1"/>
  <c r="T373" i="12" a="1"/>
  <c r="T373" i="12" s="1"/>
  <c r="Q352" i="12" a="1"/>
  <c r="Q352" i="12" s="1"/>
  <c r="R589" i="12" a="1"/>
  <c r="R589" i="12" s="1"/>
  <c r="T553" i="12" a="1"/>
  <c r="T553" i="12" s="1"/>
  <c r="N434" i="12" a="1"/>
  <c r="N434" i="12" s="1"/>
  <c r="K560" i="12" a="1"/>
  <c r="K560" i="12" s="1"/>
  <c r="S417" i="12" a="1"/>
  <c r="S417" i="12" s="1"/>
  <c r="L396" i="12" a="1"/>
  <c r="L396" i="12" s="1"/>
  <c r="J394" i="12" a="1"/>
  <c r="J394" i="12" s="1"/>
  <c r="N389" i="12" a="1"/>
  <c r="N389" i="12" s="1"/>
  <c r="T342" i="12" a="1"/>
  <c r="T342" i="12" s="1"/>
  <c r="R355" i="12" a="1"/>
  <c r="R355" i="12" s="1"/>
  <c r="AB644" i="12" a="1"/>
  <c r="AB644" i="12" s="1"/>
  <c r="O569" i="12" a="1"/>
  <c r="O569" i="12" s="1"/>
  <c r="G428" i="12" a="1"/>
  <c r="G428" i="12" s="1"/>
  <c r="M434" i="12" a="1"/>
  <c r="M434" i="12" s="1"/>
  <c r="R429" i="12" a="1"/>
  <c r="R429" i="12" s="1"/>
  <c r="F560" i="12" a="1"/>
  <c r="F560" i="12" s="1"/>
  <c r="U600" i="2" a="1"/>
  <c r="U600" i="2" s="1"/>
  <c r="L525" i="12" a="1"/>
  <c r="L525" i="12" s="1"/>
  <c r="O386" i="12" a="1"/>
  <c r="O386" i="12" s="1"/>
  <c r="N288" i="12" a="1"/>
  <c r="N288" i="12" s="1"/>
  <c r="I352" i="12" a="1"/>
  <c r="I352" i="12" s="1"/>
  <c r="Q338" i="12" a="1"/>
  <c r="Q338" i="12" s="1"/>
  <c r="Q572" i="12" a="1"/>
  <c r="Q572" i="12" s="1"/>
  <c r="O577" i="12" a="1"/>
  <c r="O577" i="12" s="1"/>
  <c r="F450" i="12" a="1"/>
  <c r="F450" i="12" s="1"/>
  <c r="U636" i="2" a="1"/>
  <c r="U636" i="2" s="1"/>
  <c r="G395" i="12" a="1"/>
  <c r="G395" i="12" s="1"/>
  <c r="R453" i="12" a="1"/>
  <c r="R453" i="12" s="1"/>
  <c r="Q461" i="12" a="1"/>
  <c r="Q461" i="12" s="1"/>
  <c r="R394" i="12" a="1"/>
  <c r="R394" i="12" s="1"/>
  <c r="N506" i="12" a="1"/>
  <c r="N506" i="12" s="1"/>
  <c r="N360" i="12" a="1"/>
  <c r="N360" i="12" s="1"/>
  <c r="N386" i="12" a="1"/>
  <c r="N386" i="12" s="1"/>
  <c r="N303" i="12" a="1"/>
  <c r="N303" i="12" s="1"/>
  <c r="N600" i="12" a="1"/>
  <c r="N600" i="12" s="1"/>
  <c r="G405" i="12" a="1"/>
  <c r="G405" i="12" s="1"/>
  <c r="P306" i="12" a="1"/>
  <c r="P306" i="12" s="1"/>
  <c r="I572" i="12" a="1"/>
  <c r="I572" i="12" s="1"/>
  <c r="I242" i="12" a="1"/>
  <c r="I242" i="12" s="1"/>
  <c r="P98" i="12" a="1"/>
  <c r="P98" i="12" s="1"/>
  <c r="K567" i="12" a="1"/>
  <c r="K567" i="12" s="1"/>
  <c r="J567" i="12" a="1"/>
  <c r="J567" i="12" s="1"/>
  <c r="J456" i="12" a="1"/>
  <c r="J456" i="12" s="1"/>
  <c r="O523" i="12" a="1"/>
  <c r="O523" i="12" s="1"/>
  <c r="S486" i="12" a="1"/>
  <c r="S486" i="12" s="1"/>
  <c r="Q535" i="12" a="1"/>
  <c r="Q535" i="12" s="1"/>
  <c r="J409" i="12" a="1"/>
  <c r="J409" i="12" s="1"/>
  <c r="T478" i="12" a="1"/>
  <c r="T478" i="12" s="1"/>
  <c r="L300" i="12" a="1"/>
  <c r="L300" i="12" s="1"/>
  <c r="P406" i="12" a="1"/>
  <c r="P406" i="12" s="1"/>
  <c r="R137" i="12" a="1"/>
  <c r="R137" i="12" s="1"/>
  <c r="Q381" i="12" a="1"/>
  <c r="Q381" i="12" s="1"/>
  <c r="S327" i="12" a="1"/>
  <c r="S327" i="12" s="1"/>
  <c r="P488" i="12" a="1"/>
  <c r="P488" i="12" s="1"/>
  <c r="N395" i="12" a="1"/>
  <c r="N395" i="12" s="1"/>
  <c r="M487" i="12" a="1"/>
  <c r="M487" i="12" s="1"/>
  <c r="O560" i="12" a="1"/>
  <c r="O560" i="12" s="1"/>
  <c r="J433" i="12" a="1"/>
  <c r="J433" i="12" s="1"/>
  <c r="N532" i="12" a="1"/>
  <c r="N532" i="12" s="1"/>
  <c r="N455" i="12" a="1"/>
  <c r="N455" i="12" s="1"/>
  <c r="P278" i="12" a="1"/>
  <c r="P278" i="12" s="1"/>
  <c r="K300" i="12" a="1"/>
  <c r="K300" i="12" s="1"/>
  <c r="I373" i="12" a="1"/>
  <c r="I373" i="12" s="1"/>
  <c r="X628" i="12" a="1"/>
  <c r="X628" i="12" s="1"/>
  <c r="O326" i="12" a="1"/>
  <c r="O326" i="12" s="1"/>
  <c r="P473" i="12" a="1"/>
  <c r="P473" i="12" s="1"/>
  <c r="M446" i="12" a="1"/>
  <c r="M446" i="12" s="1"/>
  <c r="N535" i="12" a="1"/>
  <c r="N535" i="12" s="1"/>
  <c r="K417" i="12" a="1"/>
  <c r="K417" i="12" s="1"/>
  <c r="M371" i="12" a="1"/>
  <c r="M371" i="12" s="1"/>
  <c r="F461" i="12" a="1"/>
  <c r="F461" i="12" s="1"/>
  <c r="U572" i="2" a="1"/>
  <c r="U572" i="2" s="1"/>
  <c r="O341" i="12" a="1"/>
  <c r="O341" i="12" s="1"/>
  <c r="N406" i="12" a="1"/>
  <c r="N406" i="12" s="1"/>
  <c r="P339" i="12" a="1"/>
  <c r="P339" i="12" s="1"/>
  <c r="J137" i="12" a="1"/>
  <c r="J137" i="12" s="1"/>
  <c r="T306" i="12" a="1"/>
  <c r="T306" i="12" s="1"/>
  <c r="F384" i="12" a="1"/>
  <c r="F384" i="12" s="1"/>
  <c r="U640" i="2" a="1"/>
  <c r="U640" i="2" s="1"/>
  <c r="S392" i="12" a="1"/>
  <c r="S392" i="12" s="1"/>
  <c r="P459" i="12" a="1"/>
  <c r="P459" i="12" s="1"/>
  <c r="M524" i="12" a="1"/>
  <c r="M524" i="12" s="1"/>
  <c r="O453" i="12" a="1"/>
  <c r="O453" i="12" s="1"/>
  <c r="O437" i="12" a="1"/>
  <c r="O437" i="12" s="1"/>
  <c r="P369" i="12" a="1"/>
  <c r="P369" i="12" s="1"/>
  <c r="O394" i="12" a="1"/>
  <c r="O394" i="12" s="1"/>
  <c r="G340" i="12" a="1"/>
  <c r="G340" i="12" s="1"/>
  <c r="K386" i="12" a="1"/>
  <c r="K386" i="12" s="1"/>
  <c r="Q359" i="12" a="1"/>
  <c r="Q359" i="12" s="1"/>
  <c r="R288" i="12" a="1"/>
  <c r="R288" i="12" s="1"/>
  <c r="S326" i="12" a="1"/>
  <c r="S326" i="12" s="1"/>
  <c r="L319" i="12" a="1"/>
  <c r="L319" i="12" s="1"/>
  <c r="R347" i="12" a="1"/>
  <c r="R347" i="12" s="1"/>
  <c r="M198" i="12" a="1"/>
  <c r="M198" i="12" s="1"/>
  <c r="Q596" i="12" a="1"/>
  <c r="Q596" i="12" s="1"/>
  <c r="Q261" i="12" a="1"/>
  <c r="Q261" i="12" s="1"/>
  <c r="S272" i="12" a="1"/>
  <c r="S272" i="12" s="1"/>
  <c r="I295" i="12" a="1"/>
  <c r="I295" i="12" s="1"/>
  <c r="K498" i="12" a="1"/>
  <c r="K498" i="12" s="1"/>
  <c r="Q512" i="12" a="1"/>
  <c r="Q512" i="12" s="1"/>
  <c r="AA642" i="12" a="1"/>
  <c r="AA642" i="12" s="1"/>
  <c r="F316" i="12" a="1"/>
  <c r="F316" i="12" s="1"/>
  <c r="U573" i="2" a="1"/>
  <c r="U573" i="2" s="1"/>
  <c r="S443" i="12" a="1"/>
  <c r="S443" i="12" s="1"/>
  <c r="Q326" i="12" a="1"/>
  <c r="Q326" i="12" s="1"/>
  <c r="R362" i="12" a="1"/>
  <c r="R362" i="12" s="1"/>
  <c r="O601" i="12" a="1"/>
  <c r="O601" i="12" s="1"/>
  <c r="N572" i="12" a="1"/>
  <c r="N572" i="12" s="1"/>
  <c r="O270" i="12" a="1"/>
  <c r="O270" i="12" s="1"/>
  <c r="P290" i="12" a="1"/>
  <c r="P290" i="12" s="1"/>
  <c r="S241" i="12" a="1"/>
  <c r="S241" i="12" s="1"/>
  <c r="O552" i="12" a="1"/>
  <c r="O552" i="12" s="1"/>
  <c r="J448" i="12" a="1"/>
  <c r="J448" i="12" s="1"/>
  <c r="Q448" i="12" a="1"/>
  <c r="Q448" i="12" s="1"/>
  <c r="Q294" i="12" a="1"/>
  <c r="Q294" i="12" s="1"/>
  <c r="N350" i="12" a="1"/>
  <c r="N350" i="12" s="1"/>
  <c r="Z664" i="12" a="1"/>
  <c r="Z664" i="12" s="1"/>
  <c r="Q380" i="12" a="1"/>
  <c r="Q380" i="12" s="1"/>
  <c r="X670" i="12" a="1"/>
  <c r="X670" i="12" s="1"/>
  <c r="T357" i="12" a="1"/>
  <c r="T357" i="12" s="1"/>
  <c r="J386" i="12" a="1"/>
  <c r="J386" i="12" s="1"/>
  <c r="S302" i="12" a="1"/>
  <c r="S302" i="12" s="1"/>
  <c r="O249" i="12" a="1"/>
  <c r="O249" i="12" s="1"/>
  <c r="O367" i="12" a="1"/>
  <c r="O367" i="12" s="1"/>
  <c r="N328" i="12" a="1"/>
  <c r="N328" i="12" s="1"/>
  <c r="K343" i="12" a="1"/>
  <c r="K343" i="12" s="1"/>
  <c r="R327" i="12" a="1"/>
  <c r="R327" i="12" s="1"/>
  <c r="O313" i="12" a="1"/>
  <c r="O313" i="12" s="1"/>
  <c r="M334" i="12" a="1"/>
  <c r="M334" i="12" s="1"/>
  <c r="R198" i="12" a="1"/>
  <c r="R198" i="12" s="1"/>
  <c r="M291" i="12" a="1"/>
  <c r="M291" i="12" s="1"/>
  <c r="N291" i="12" a="1"/>
  <c r="N291" i="12" s="1"/>
  <c r="S400" i="12" a="1"/>
  <c r="S400" i="12" s="1"/>
  <c r="P386" i="12" a="1"/>
  <c r="P386" i="12" s="1"/>
  <c r="X622" i="12" a="1"/>
  <c r="X622" i="12" s="1"/>
  <c r="G284" i="12" a="1"/>
  <c r="G284" i="12" s="1"/>
  <c r="M290" i="12" a="1"/>
  <c r="M290" i="12" s="1"/>
  <c r="M575" i="12" a="1"/>
  <c r="M575" i="12" s="1"/>
  <c r="Q320" i="12" a="1"/>
  <c r="Q320" i="12" s="1"/>
  <c r="P512" i="12" a="1"/>
  <c r="P512" i="12" s="1"/>
  <c r="K413" i="12" a="1"/>
  <c r="K413" i="12" s="1"/>
  <c r="I402" i="12" a="1"/>
  <c r="I402" i="12" s="1"/>
  <c r="G402" i="12" a="1"/>
  <c r="G402" i="12" s="1"/>
  <c r="O300" i="12" a="1"/>
  <c r="O300" i="12" s="1"/>
  <c r="N521" i="12" a="1"/>
  <c r="N521" i="12" s="1"/>
  <c r="P440" i="12" a="1"/>
  <c r="P440" i="12" s="1"/>
  <c r="K440" i="12" a="1"/>
  <c r="K440" i="12" s="1"/>
  <c r="Z628" i="12" a="1"/>
  <c r="Z628" i="12" s="1"/>
  <c r="X620" i="12" a="1"/>
  <c r="X620" i="12" s="1"/>
  <c r="AL510" i="2" a="1"/>
  <c r="AL510" i="2" s="1"/>
  <c r="O574" i="12" a="1"/>
  <c r="O574" i="12" s="1"/>
  <c r="G591" i="12" a="1"/>
  <c r="G591" i="12" s="1"/>
  <c r="P313" i="12" a="1"/>
  <c r="P313" i="12" s="1"/>
  <c r="T575" i="12" a="1"/>
  <c r="T575" i="12" s="1"/>
  <c r="I252" i="12" a="1"/>
  <c r="I252" i="12" s="1"/>
  <c r="T272" i="12" a="1"/>
  <c r="T272" i="12" s="1"/>
  <c r="P472" i="12" a="1"/>
  <c r="P472" i="12" s="1"/>
  <c r="P443" i="12" a="1"/>
  <c r="P443" i="12" s="1"/>
  <c r="P336" i="12" a="1"/>
  <c r="P336" i="12" s="1"/>
  <c r="K336" i="12" a="1"/>
  <c r="K336" i="12" s="1"/>
  <c r="L249" i="12" a="1"/>
  <c r="L249" i="12" s="1"/>
  <c r="M319" i="12" a="1"/>
  <c r="M319" i="12" s="1"/>
  <c r="U504" i="2" a="1"/>
  <c r="U504" i="2" s="1"/>
  <c r="R350" i="12" a="1"/>
  <c r="R350" i="12" s="1"/>
  <c r="S262" i="12" a="1"/>
  <c r="S262" i="12" s="1"/>
  <c r="K334" i="12" a="1"/>
  <c r="K334" i="12" s="1"/>
  <c r="I198" i="12" a="1"/>
  <c r="I198" i="12" s="1"/>
  <c r="G254" i="12" a="1"/>
  <c r="G254" i="12" s="1"/>
  <c r="K555" i="12" a="1"/>
  <c r="K555" i="12" s="1"/>
  <c r="G241" i="12" a="1"/>
  <c r="G241" i="12" s="1"/>
  <c r="U449" i="2" a="1"/>
  <c r="U449" i="2" s="1"/>
  <c r="I470" i="12" a="1"/>
  <c r="I470" i="12" s="1"/>
  <c r="R470" i="12" a="1"/>
  <c r="R470" i="12" s="1"/>
  <c r="I390" i="12" a="1"/>
  <c r="I390" i="12" s="1"/>
  <c r="R390" i="12" a="1"/>
  <c r="R390" i="12" s="1"/>
  <c r="G385" i="12" a="1"/>
  <c r="G385" i="12" s="1"/>
  <c r="J313" i="12" a="1"/>
  <c r="J313" i="12" s="1"/>
  <c r="I420" i="12" a="1"/>
  <c r="I420" i="12" s="1"/>
  <c r="M420" i="12" a="1"/>
  <c r="M420" i="12" s="1"/>
  <c r="F360" i="12" a="1"/>
  <c r="F360" i="12" s="1"/>
  <c r="M137" i="12" a="1"/>
  <c r="M137" i="12" s="1"/>
  <c r="O319" i="12" a="1"/>
  <c r="O319" i="12" s="1"/>
  <c r="P240" i="12" a="1"/>
  <c r="P240" i="12" s="1"/>
  <c r="I290" i="12" a="1"/>
  <c r="I290" i="12" s="1"/>
  <c r="I576" i="12" a="1"/>
  <c r="I576" i="12" s="1"/>
  <c r="S247" i="12" a="1"/>
  <c r="S247" i="12" s="1"/>
  <c r="S594" i="12" a="1"/>
  <c r="S594" i="12" s="1"/>
  <c r="P410" i="12" a="1"/>
  <c r="P410" i="12" s="1"/>
  <c r="AA670" i="12" a="1"/>
  <c r="AA670" i="12" s="1"/>
  <c r="F468" i="12" a="1"/>
  <c r="F468" i="12" s="1"/>
  <c r="U565" i="2" a="1"/>
  <c r="U565" i="2" s="1"/>
  <c r="F386" i="12" a="1"/>
  <c r="F386" i="12" s="1"/>
  <c r="F331" i="12" a="1"/>
  <c r="F331" i="12" s="1"/>
  <c r="U508" i="2" a="1"/>
  <c r="U508" i="2" s="1"/>
  <c r="S601" i="12" a="1"/>
  <c r="S601" i="12" s="1"/>
  <c r="AL489" i="2" a="1"/>
  <c r="AL489" i="2" s="1"/>
  <c r="P242" i="12" a="1"/>
  <c r="P242" i="12" s="1"/>
  <c r="L254" i="12" a="1"/>
  <c r="L254" i="12" s="1"/>
  <c r="I566" i="12" a="1"/>
  <c r="I566" i="12" s="1"/>
  <c r="X658" i="12" a="1"/>
  <c r="X658" i="12" s="1"/>
  <c r="Q181" i="12" a="1"/>
  <c r="Q181" i="12" s="1"/>
  <c r="L228" i="12" a="1"/>
  <c r="L228" i="12" s="1"/>
  <c r="R435" i="12" a="1"/>
  <c r="R435" i="12" s="1"/>
  <c r="R171" i="12" a="1"/>
  <c r="R171" i="12" s="1"/>
  <c r="F265" i="12" a="1"/>
  <c r="F265" i="12" s="1"/>
  <c r="U469" i="2" a="1"/>
  <c r="U469" i="2" s="1"/>
  <c r="S265" i="12" a="1"/>
  <c r="S265" i="12" s="1"/>
  <c r="F254" i="12" a="1"/>
  <c r="F254" i="12" s="1"/>
  <c r="F287" i="12" a="1"/>
  <c r="F287" i="12" s="1"/>
  <c r="U455" i="2" a="1"/>
  <c r="U455" i="2" s="1"/>
  <c r="G263" i="12" a="1"/>
  <c r="G263" i="12" s="1"/>
  <c r="F239" i="12" a="1"/>
  <c r="F239" i="12" s="1"/>
  <c r="U413" i="2" a="1"/>
  <c r="U413" i="2" s="1"/>
  <c r="P588" i="12" a="1"/>
  <c r="P588" i="12" s="1"/>
  <c r="N520" i="12" a="1"/>
  <c r="N520" i="12" s="1"/>
  <c r="M172" i="12" a="1"/>
  <c r="M172" i="12" s="1"/>
  <c r="K568" i="12" a="1"/>
  <c r="K568" i="12" s="1"/>
  <c r="K197" i="12" a="1"/>
  <c r="K197" i="12" s="1"/>
  <c r="N412" i="12" a="1"/>
  <c r="N412" i="12" s="1"/>
  <c r="Q301" i="12" a="1"/>
  <c r="Q301" i="12" s="1"/>
  <c r="L281" i="12" a="1"/>
  <c r="L281" i="12" s="1"/>
  <c r="S238" i="12" a="1"/>
  <c r="S238" i="12" s="1"/>
  <c r="F483" i="12" a="1"/>
  <c r="F483" i="12" s="1"/>
  <c r="U429" i="2" a="1"/>
  <c r="U429" i="2" s="1"/>
  <c r="L536" i="12" a="1"/>
  <c r="L536" i="12" s="1"/>
  <c r="Q536" i="12" a="1"/>
  <c r="Q536" i="12" s="1"/>
  <c r="F556" i="12" a="1"/>
  <c r="F556" i="12" s="1"/>
  <c r="U331" i="2" a="1"/>
  <c r="U331" i="2" s="1"/>
  <c r="P449" i="12" a="1"/>
  <c r="P449" i="12" s="1"/>
  <c r="F147" i="12" a="1"/>
  <c r="F147" i="12" s="1"/>
  <c r="U326" i="2" a="1"/>
  <c r="U326" i="2" s="1"/>
  <c r="F272" i="12" a="1"/>
  <c r="F272" i="12" s="1"/>
  <c r="F520" i="12" a="1"/>
  <c r="F520" i="12" s="1"/>
  <c r="F561" i="12" a="1"/>
  <c r="F561" i="12" s="1"/>
  <c r="F555" i="12" a="1"/>
  <c r="F555" i="12" s="1"/>
  <c r="F158" i="12" a="1"/>
  <c r="F158" i="12" s="1"/>
  <c r="F262" i="12" a="1"/>
  <c r="F262" i="12" s="1"/>
  <c r="F172" i="12" a="1"/>
  <c r="F172" i="12" s="1"/>
  <c r="Q241" i="12" a="1"/>
  <c r="Q241" i="12" s="1"/>
  <c r="M315" i="12" a="1"/>
  <c r="M315" i="12" s="1"/>
  <c r="Q581" i="12" a="1"/>
  <c r="Q581" i="12" s="1"/>
  <c r="R537" i="12" a="1"/>
  <c r="R537" i="12" s="1"/>
  <c r="O588" i="12" a="1"/>
  <c r="O588" i="12" s="1"/>
  <c r="I323" i="12" a="1"/>
  <c r="I323" i="12" s="1"/>
  <c r="N539" i="12" a="1"/>
  <c r="N539" i="12" s="1"/>
  <c r="T276" i="12" a="1"/>
  <c r="T276" i="12" s="1"/>
  <c r="G231" i="12" a="1"/>
  <c r="G231" i="12" s="1"/>
  <c r="O171" i="12" a="1"/>
  <c r="O171" i="12" s="1"/>
  <c r="K180" i="12" a="1"/>
  <c r="K180" i="12" s="1"/>
  <c r="R504" i="12" a="1"/>
  <c r="R504" i="12" s="1"/>
  <c r="N149" i="12" a="1"/>
  <c r="N149" i="12" s="1"/>
  <c r="J205" i="12" a="1"/>
  <c r="J205" i="12" s="1"/>
  <c r="J442" i="12" a="1"/>
  <c r="J442" i="12" s="1"/>
  <c r="M222" i="12" a="1"/>
  <c r="M222" i="12" s="1"/>
  <c r="F27" i="12" a="1"/>
  <c r="F27" i="12" s="1"/>
  <c r="J93" i="12" a="1"/>
  <c r="J93" i="12" s="1"/>
  <c r="L430" i="12" a="1"/>
  <c r="L430" i="12" s="1"/>
  <c r="M513" i="12" a="1"/>
  <c r="M513" i="12" s="1"/>
  <c r="J589" i="12" a="1"/>
  <c r="J589" i="12" s="1"/>
  <c r="J518" i="12" a="1"/>
  <c r="J518" i="12" s="1"/>
  <c r="S98" i="12" a="1"/>
  <c r="S98" i="12" s="1"/>
  <c r="I518" i="12" a="1"/>
  <c r="I518" i="12" s="1"/>
  <c r="T467" i="12" a="1"/>
  <c r="T467" i="12" s="1"/>
  <c r="R553" i="12" a="1"/>
  <c r="R553" i="12" s="1"/>
  <c r="O398" i="12" a="1"/>
  <c r="O398" i="12" s="1"/>
  <c r="P485" i="12" a="1"/>
  <c r="P485" i="12" s="1"/>
  <c r="N587" i="12" a="1"/>
  <c r="N587" i="12" s="1"/>
  <c r="Q516" i="12" a="1"/>
  <c r="Q516" i="12" s="1"/>
  <c r="G565" i="12" a="1"/>
  <c r="G565" i="12" s="1"/>
  <c r="N517" i="12" a="1"/>
  <c r="N517" i="12" s="1"/>
  <c r="J418" i="12" a="1"/>
  <c r="J418" i="12" s="1"/>
  <c r="M546" i="12" a="1"/>
  <c r="M546" i="12" s="1"/>
  <c r="Q430" i="12" a="1"/>
  <c r="Q430" i="12" s="1"/>
  <c r="R550" i="12" a="1"/>
  <c r="R550" i="12" s="1"/>
  <c r="P543" i="12" a="1"/>
  <c r="P543" i="12" s="1"/>
  <c r="F398" i="12" a="1"/>
  <c r="F398" i="12" s="1"/>
  <c r="U641" i="2" a="1"/>
  <c r="U641" i="2" s="1"/>
  <c r="J480" i="12" a="1"/>
  <c r="J480" i="12" s="1"/>
  <c r="L542" i="12" a="1"/>
  <c r="L542" i="12" s="1"/>
  <c r="S592" i="12" a="1"/>
  <c r="S592" i="12" s="1"/>
  <c r="I513" i="12" a="1"/>
  <c r="I513" i="12" s="1"/>
  <c r="T398" i="12" a="1"/>
  <c r="T398" i="12" s="1"/>
  <c r="J473" i="12" a="1"/>
  <c r="J473" i="12" s="1"/>
  <c r="I434" i="12" a="1"/>
  <c r="I434" i="12" s="1"/>
  <c r="K554" i="12" a="1"/>
  <c r="K554" i="12" s="1"/>
  <c r="O553" i="12" a="1"/>
  <c r="O553" i="12" s="1"/>
  <c r="R481" i="12" a="1"/>
  <c r="R481" i="12" s="1"/>
  <c r="R577" i="12" a="1"/>
  <c r="R577" i="12" s="1"/>
  <c r="O424" i="12" a="1"/>
  <c r="O424" i="12" s="1"/>
  <c r="L580" i="12" a="1"/>
  <c r="L580" i="12" s="1"/>
  <c r="N516" i="12" a="1"/>
  <c r="N516" i="12" s="1"/>
  <c r="I507" i="12" a="1"/>
  <c r="I507" i="12" s="1"/>
  <c r="R587" i="12" a="1"/>
  <c r="R587" i="12" s="1"/>
  <c r="R542" i="12" a="1"/>
  <c r="R542" i="12" s="1"/>
  <c r="I542" i="12" a="1"/>
  <c r="I542" i="12" s="1"/>
  <c r="L545" i="12" a="1"/>
  <c r="L545" i="12" s="1"/>
  <c r="S579" i="12" a="1"/>
  <c r="S579" i="12" s="1"/>
  <c r="F482" i="12" a="1"/>
  <c r="F482" i="12" s="1"/>
  <c r="U612" i="2" a="1"/>
  <c r="U612" i="2" s="1"/>
  <c r="P482" i="12" a="1"/>
  <c r="P482" i="12" s="1"/>
  <c r="Q445" i="12" a="1"/>
  <c r="Q445" i="12" s="1"/>
  <c r="S512" i="12" a="1"/>
  <c r="S512" i="12" s="1"/>
  <c r="G324" i="12" a="1"/>
  <c r="G324" i="12" s="1"/>
  <c r="F278" i="12" a="1"/>
  <c r="F278" i="12" s="1"/>
  <c r="U566" i="2" a="1"/>
  <c r="U566" i="2" s="1"/>
  <c r="M399" i="12" a="1"/>
  <c r="M399" i="12" s="1"/>
  <c r="S386" i="12" a="1"/>
  <c r="S386" i="12" s="1"/>
  <c r="T303" i="12" a="1"/>
  <c r="T303" i="12" s="1"/>
  <c r="N373" i="12" a="1"/>
  <c r="N373" i="12" s="1"/>
  <c r="AA628" i="12" a="1"/>
  <c r="AA628" i="12" s="1"/>
  <c r="S307" i="12" a="1"/>
  <c r="S307" i="12" s="1"/>
  <c r="T327" i="12" a="1"/>
  <c r="T327" i="12" s="1"/>
  <c r="S424" i="12" a="1"/>
  <c r="S424" i="12" s="1"/>
  <c r="N375" i="12" a="1"/>
  <c r="N375" i="12" s="1"/>
  <c r="T447" i="12" a="1"/>
  <c r="T447" i="12" s="1"/>
  <c r="F410" i="12" a="1"/>
  <c r="F410" i="12" s="1"/>
  <c r="U613" i="2" a="1"/>
  <c r="U613" i="2" s="1"/>
  <c r="F472" i="12" a="1"/>
  <c r="F472" i="12" s="1"/>
  <c r="U603" i="2" a="1"/>
  <c r="U603" i="2" s="1"/>
  <c r="T446" i="12" a="1"/>
  <c r="T446" i="12" s="1"/>
  <c r="I535" i="12" a="1"/>
  <c r="I535" i="12" s="1"/>
  <c r="M394" i="12" a="1"/>
  <c r="M394" i="12" s="1"/>
  <c r="Q303" i="12" a="1"/>
  <c r="Q303" i="12" s="1"/>
  <c r="Q391" i="12" a="1"/>
  <c r="Q391" i="12" s="1"/>
  <c r="T326" i="12" a="1"/>
  <c r="T326" i="12" s="1"/>
  <c r="F306" i="12" a="1"/>
  <c r="F306" i="12" s="1"/>
  <c r="U517" i="2" a="1"/>
  <c r="U517" i="2" s="1"/>
  <c r="T593" i="12" a="1"/>
  <c r="T593" i="12" s="1"/>
  <c r="L550" i="12" a="1"/>
  <c r="L550" i="12" s="1"/>
  <c r="F418" i="12" a="1"/>
  <c r="F418" i="12" s="1"/>
  <c r="I464" i="12" a="1"/>
  <c r="I464" i="12" s="1"/>
  <c r="S464" i="12" a="1"/>
  <c r="S464" i="12" s="1"/>
  <c r="F444" i="12" a="1"/>
  <c r="F444" i="12" s="1"/>
  <c r="U616" i="2" a="1"/>
  <c r="U616" i="2" s="1"/>
  <c r="K538" i="12" a="1"/>
  <c r="K538" i="12" s="1"/>
  <c r="F552" i="12" a="1"/>
  <c r="F552" i="12" s="1"/>
  <c r="U596" i="2" a="1"/>
  <c r="U596" i="2" s="1"/>
  <c r="R409" i="12" a="1"/>
  <c r="R409" i="12" s="1"/>
  <c r="T304" i="12" a="1"/>
  <c r="T304" i="12" s="1"/>
  <c r="J352" i="12" a="1"/>
  <c r="J352" i="12" s="1"/>
  <c r="N570" i="12" a="1"/>
  <c r="N570" i="12" s="1"/>
  <c r="R395" i="12" a="1"/>
  <c r="R395" i="12" s="1"/>
  <c r="K480" i="12" a="1"/>
  <c r="K480" i="12" s="1"/>
  <c r="O396" i="12" a="1"/>
  <c r="O396" i="12" s="1"/>
  <c r="J361" i="12" a="1"/>
  <c r="J361" i="12" s="1"/>
  <c r="I389" i="12" a="1"/>
  <c r="I389" i="12" s="1"/>
  <c r="R322" i="12" a="1"/>
  <c r="R322" i="12" s="1"/>
  <c r="J342" i="12" a="1"/>
  <c r="J342" i="12" s="1"/>
  <c r="K355" i="12" a="1"/>
  <c r="K355" i="12" s="1"/>
  <c r="T339" i="12" a="1"/>
  <c r="T339" i="12" s="1"/>
  <c r="F592" i="12" a="1"/>
  <c r="F592" i="12" s="1"/>
  <c r="K569" i="12" a="1"/>
  <c r="K569" i="12" s="1"/>
  <c r="I569" i="12" a="1"/>
  <c r="I569" i="12" s="1"/>
  <c r="J428" i="12" a="1"/>
  <c r="J428" i="12" s="1"/>
  <c r="N428" i="12" a="1"/>
  <c r="N428" i="12" s="1"/>
  <c r="M429" i="12" a="1"/>
  <c r="M429" i="12" s="1"/>
  <c r="L324" i="12" a="1"/>
  <c r="L324" i="12" s="1"/>
  <c r="O478" i="12" a="1"/>
  <c r="O478" i="12" s="1"/>
  <c r="S369" i="12" a="1"/>
  <c r="S369" i="12" s="1"/>
  <c r="L341" i="12" a="1"/>
  <c r="L341" i="12" s="1"/>
  <c r="F288" i="12" a="1"/>
  <c r="F288" i="12" s="1"/>
  <c r="U540" i="2" a="1"/>
  <c r="U540" i="2" s="1"/>
  <c r="S137" i="12" a="1"/>
  <c r="S137" i="12" s="1"/>
  <c r="K338" i="12" a="1"/>
  <c r="K338" i="12" s="1"/>
  <c r="M593" i="12" a="1"/>
  <c r="M593" i="12" s="1"/>
  <c r="J450" i="12" a="1"/>
  <c r="J450" i="12" s="1"/>
  <c r="G450" i="12" a="1"/>
  <c r="G450" i="12" s="1"/>
  <c r="F473" i="12" a="1"/>
  <c r="F473" i="12" s="1"/>
  <c r="M453" i="12" a="1"/>
  <c r="M453" i="12" s="1"/>
  <c r="P361" i="12" a="1"/>
  <c r="P361" i="12" s="1"/>
  <c r="G506" i="12" a="1"/>
  <c r="G506" i="12" s="1"/>
  <c r="G360" i="12" a="1"/>
  <c r="G360" i="12" s="1"/>
  <c r="G386" i="12" a="1"/>
  <c r="G386" i="12" s="1"/>
  <c r="G303" i="12" a="1"/>
  <c r="G303" i="12" s="1"/>
  <c r="G600" i="12" a="1"/>
  <c r="G600" i="12" s="1"/>
  <c r="AA644" i="12" a="1"/>
  <c r="AA644" i="12" s="1"/>
  <c r="L137" i="12" a="1"/>
  <c r="L137" i="12" s="1"/>
  <c r="J306" i="12" a="1"/>
  <c r="J306" i="12" s="1"/>
  <c r="T572" i="12" a="1"/>
  <c r="T572" i="12" s="1"/>
  <c r="G554" i="12" a="1"/>
  <c r="G554" i="12" s="1"/>
  <c r="Q567" i="12" a="1"/>
  <c r="Q567" i="12" s="1"/>
  <c r="J523" i="12" a="1"/>
  <c r="J523" i="12" s="1"/>
  <c r="N486" i="12" a="1"/>
  <c r="N486" i="12" s="1"/>
  <c r="L535" i="12" a="1"/>
  <c r="L535" i="12" s="1"/>
  <c r="P409" i="12" a="1"/>
  <c r="P409" i="12" s="1"/>
  <c r="J478" i="12" a="1"/>
  <c r="J478" i="12" s="1"/>
  <c r="P338" i="12" a="1"/>
  <c r="P338" i="12" s="1"/>
  <c r="M327" i="12" a="1"/>
  <c r="M327" i="12" s="1"/>
  <c r="K518" i="12" a="1"/>
  <c r="K518" i="12" s="1"/>
  <c r="K548" i="12" a="1"/>
  <c r="K548" i="12" s="1"/>
  <c r="L488" i="12" a="1"/>
  <c r="L488" i="12" s="1"/>
  <c r="T395" i="12" a="1"/>
  <c r="T395" i="12" s="1"/>
  <c r="S487" i="12" a="1"/>
  <c r="S487" i="12" s="1"/>
  <c r="P560" i="12" a="1"/>
  <c r="P560" i="12" s="1"/>
  <c r="J560" i="12" a="1"/>
  <c r="J560" i="12" s="1"/>
  <c r="P433" i="12" a="1"/>
  <c r="P433" i="12" s="1"/>
  <c r="T532" i="12" a="1"/>
  <c r="T532" i="12" s="1"/>
  <c r="J455" i="12" a="1"/>
  <c r="J455" i="12" s="1"/>
  <c r="Q389" i="12" a="1"/>
  <c r="Q389" i="12" s="1"/>
  <c r="O342" i="12" a="1"/>
  <c r="O342" i="12" s="1"/>
  <c r="K288" i="12" a="1"/>
  <c r="K288" i="12" s="1"/>
  <c r="T473" i="12" a="1"/>
  <c r="T473" i="12" s="1"/>
  <c r="K485" i="12" a="1"/>
  <c r="K485" i="12" s="1"/>
  <c r="S446" i="12" a="1"/>
  <c r="S446" i="12" s="1"/>
  <c r="G480" i="12" a="1"/>
  <c r="G480" i="12" s="1"/>
  <c r="Z670" i="12" a="1"/>
  <c r="Z670" i="12" s="1"/>
  <c r="L600" i="12" a="1"/>
  <c r="L600" i="12" s="1"/>
  <c r="I339" i="12" a="1"/>
  <c r="I339" i="12" s="1"/>
  <c r="N137" i="12" a="1"/>
  <c r="N137" i="12" s="1"/>
  <c r="F507" i="12" a="1"/>
  <c r="F507" i="12" s="1"/>
  <c r="G384" i="12" a="1"/>
  <c r="G384" i="12" s="1"/>
  <c r="K459" i="12" a="1"/>
  <c r="K459" i="12" s="1"/>
  <c r="J459" i="12" a="1"/>
  <c r="J459" i="12" s="1"/>
  <c r="M436" i="12" a="1"/>
  <c r="M436" i="12" s="1"/>
  <c r="S524" i="12" a="1"/>
  <c r="S524" i="12" s="1"/>
  <c r="M460" i="12" a="1"/>
  <c r="M460" i="12" s="1"/>
  <c r="J437" i="12" a="1"/>
  <c r="J437" i="12" s="1"/>
  <c r="I409" i="12" a="1"/>
  <c r="I409" i="12" s="1"/>
  <c r="G394" i="12" a="1"/>
  <c r="G394" i="12" s="1"/>
  <c r="R340" i="12" a="1"/>
  <c r="R340" i="12" s="1"/>
  <c r="R360" i="12" a="1"/>
  <c r="R360" i="12" s="1"/>
  <c r="G322" i="12" a="1"/>
  <c r="G322" i="12" s="1"/>
  <c r="J359" i="12" a="1"/>
  <c r="J359" i="12" s="1"/>
  <c r="S288" i="12" a="1"/>
  <c r="S288" i="12" s="1"/>
  <c r="K405" i="12" a="1"/>
  <c r="K405" i="12" s="1"/>
  <c r="Q486" i="12" a="1"/>
  <c r="Q486" i="12" s="1"/>
  <c r="J326" i="12" a="1"/>
  <c r="J326" i="12" s="1"/>
  <c r="X626" i="12" a="1"/>
  <c r="X626" i="12" s="1"/>
  <c r="K347" i="12" a="1"/>
  <c r="K347" i="12" s="1"/>
  <c r="O329" i="12" a="1"/>
  <c r="O329" i="12" s="1"/>
  <c r="M272" i="12" a="1"/>
  <c r="M272" i="12" s="1"/>
  <c r="F498" i="12" a="1"/>
  <c r="F498" i="12" s="1"/>
  <c r="U598" i="2" a="1"/>
  <c r="U598" i="2" s="1"/>
  <c r="N316" i="12" a="1"/>
  <c r="N316" i="12" s="1"/>
  <c r="Q399" i="12" a="1"/>
  <c r="Q399" i="12" s="1"/>
  <c r="S367" i="12" a="1"/>
  <c r="S367" i="12" s="1"/>
  <c r="T343" i="12" a="1"/>
  <c r="T343" i="12" s="1"/>
  <c r="K270" i="12" a="1"/>
  <c r="K270" i="12" s="1"/>
  <c r="S294" i="12" a="1"/>
  <c r="S294" i="12" s="1"/>
  <c r="L251" i="12" a="1"/>
  <c r="L251" i="12" s="1"/>
  <c r="M241" i="12" a="1"/>
  <c r="M241" i="12" s="1"/>
  <c r="O457" i="12" a="1"/>
  <c r="O457" i="12" s="1"/>
  <c r="O535" i="12" a="1"/>
  <c r="O535" i="12" s="1"/>
  <c r="G448" i="12" a="1"/>
  <c r="G448" i="12" s="1"/>
  <c r="Q364" i="12" a="1"/>
  <c r="Q364" i="12" s="1"/>
  <c r="M601" i="12" a="1"/>
  <c r="M601" i="12" s="1"/>
  <c r="S593" i="12" a="1"/>
  <c r="S593" i="12" s="1"/>
  <c r="J350" i="12" a="1"/>
  <c r="J350" i="12" s="1"/>
  <c r="T251" i="12" a="1"/>
  <c r="T251" i="12" s="1"/>
  <c r="U590" i="2" a="1"/>
  <c r="U590" i="2" s="1"/>
  <c r="I380" i="12" a="1"/>
  <c r="I380" i="12" s="1"/>
  <c r="L310" i="12" a="1"/>
  <c r="L310" i="12" s="1"/>
  <c r="O340" i="12" a="1"/>
  <c r="O340" i="12" s="1"/>
  <c r="N357" i="12" a="1"/>
  <c r="N357" i="12" s="1"/>
  <c r="N302" i="12" a="1"/>
  <c r="N302" i="12" s="1"/>
  <c r="I249" i="12" a="1"/>
  <c r="I249" i="12" s="1"/>
  <c r="T328" i="12" a="1"/>
  <c r="T328" i="12" s="1"/>
  <c r="Q343" i="12" a="1"/>
  <c r="Q343" i="12" s="1"/>
  <c r="T574" i="12" a="1"/>
  <c r="T574" i="12" s="1"/>
  <c r="F334" i="12" a="1"/>
  <c r="F334" i="12" s="1"/>
  <c r="N247" i="12" a="1"/>
  <c r="N247" i="12" s="1"/>
  <c r="K198" i="12" a="1"/>
  <c r="K198" i="12" s="1"/>
  <c r="O291" i="12" a="1"/>
  <c r="O291" i="12" s="1"/>
  <c r="P310" i="12" a="1"/>
  <c r="P310" i="12" s="1"/>
  <c r="M400" i="12" a="1"/>
  <c r="M400" i="12" s="1"/>
  <c r="M341" i="12" a="1"/>
  <c r="M341" i="12" s="1"/>
  <c r="AL537" i="2" a="1"/>
  <c r="AL537" i="2" s="1"/>
  <c r="F351" i="12" a="1"/>
  <c r="F351" i="12" s="1"/>
  <c r="U524" i="2" a="1"/>
  <c r="U524" i="2" s="1"/>
  <c r="K351" i="12" a="1"/>
  <c r="K351" i="12" s="1"/>
  <c r="N364" i="12" a="1"/>
  <c r="N364" i="12" s="1"/>
  <c r="Q290" i="12" a="1"/>
  <c r="Q290" i="12" s="1"/>
  <c r="S320" i="12" a="1"/>
  <c r="S320" i="12" s="1"/>
  <c r="K409" i="12" a="1"/>
  <c r="K409" i="12" s="1"/>
  <c r="L413" i="12" a="1"/>
  <c r="L413" i="12" s="1"/>
  <c r="P402" i="12" a="1"/>
  <c r="P402" i="12" s="1"/>
  <c r="R402" i="12" a="1"/>
  <c r="R402" i="12" s="1"/>
  <c r="I521" i="12" a="1"/>
  <c r="I521" i="12" s="1"/>
  <c r="O521" i="12" a="1"/>
  <c r="O521" i="12" s="1"/>
  <c r="J440" i="12" a="1"/>
  <c r="J440" i="12" s="1"/>
  <c r="Q440" i="12" a="1"/>
  <c r="Q440" i="12" s="1"/>
  <c r="AB660" i="12" a="1"/>
  <c r="AB660" i="12" s="1"/>
  <c r="J574" i="12" a="1"/>
  <c r="J574" i="12" s="1"/>
  <c r="K574" i="12" a="1"/>
  <c r="K574" i="12" s="1"/>
  <c r="R591" i="12" a="1"/>
  <c r="R591" i="12" s="1"/>
  <c r="K262" i="12" a="1"/>
  <c r="K262" i="12" s="1"/>
  <c r="L575" i="12" a="1"/>
  <c r="L575" i="12" s="1"/>
  <c r="O252" i="12" a="1"/>
  <c r="O252" i="12" s="1"/>
  <c r="R273" i="12" a="1"/>
  <c r="R273" i="12" s="1"/>
  <c r="R437" i="12" a="1"/>
  <c r="R437" i="12" s="1"/>
  <c r="F443" i="12" a="1"/>
  <c r="F443" i="12" s="1"/>
  <c r="U561" i="2" a="1"/>
  <c r="U561" i="2" s="1"/>
  <c r="J336" i="12" a="1"/>
  <c r="J336" i="12" s="1"/>
  <c r="Q336" i="12" a="1"/>
  <c r="Q336" i="12" s="1"/>
  <c r="N338" i="12" a="1"/>
  <c r="N338" i="12" s="1"/>
  <c r="S319" i="12" a="1"/>
  <c r="S319" i="12" s="1"/>
  <c r="F572" i="12" a="1"/>
  <c r="F572" i="12" s="1"/>
  <c r="N327" i="12" a="1"/>
  <c r="N327" i="12" s="1"/>
  <c r="G350" i="12" a="1"/>
  <c r="G350" i="12" s="1"/>
  <c r="I262" i="12" a="1"/>
  <c r="I262" i="12" s="1"/>
  <c r="G334" i="12" a="1"/>
  <c r="G334" i="12" s="1"/>
  <c r="K329" i="12" a="1"/>
  <c r="K329" i="12" s="1"/>
  <c r="R254" i="12" a="1"/>
  <c r="R254" i="12" s="1"/>
  <c r="G555" i="12" a="1"/>
  <c r="G555" i="12" s="1"/>
  <c r="K269" i="12" a="1"/>
  <c r="K269" i="12" s="1"/>
  <c r="R241" i="12" a="1"/>
  <c r="R241" i="12" s="1"/>
  <c r="Q470" i="12" a="1"/>
  <c r="Q470" i="12" s="1"/>
  <c r="S470" i="12" a="1"/>
  <c r="S470" i="12" s="1"/>
  <c r="J390" i="12" a="1"/>
  <c r="J390" i="12" s="1"/>
  <c r="R361" i="12" a="1"/>
  <c r="R361" i="12" s="1"/>
  <c r="Q576" i="12" a="1"/>
  <c r="Q576" i="12" s="1"/>
  <c r="J329" i="12" a="1"/>
  <c r="J329" i="12" s="1"/>
  <c r="J420" i="12" a="1"/>
  <c r="J420" i="12" s="1"/>
  <c r="S420" i="12" a="1"/>
  <c r="S420" i="12" s="1"/>
  <c r="L338" i="12" a="1"/>
  <c r="L338" i="12" s="1"/>
  <c r="R572" i="12" a="1"/>
  <c r="R572" i="12" s="1"/>
  <c r="Q240" i="12" a="1"/>
  <c r="Q240" i="12" s="1"/>
  <c r="Z626" i="12" a="1"/>
  <c r="Z626" i="12" s="1"/>
  <c r="J247" i="12" a="1"/>
  <c r="J247" i="12" s="1"/>
  <c r="J594" i="12" a="1"/>
  <c r="J594" i="12" s="1"/>
  <c r="K273" i="12" a="1"/>
  <c r="K273" i="12" s="1"/>
  <c r="Q524" i="12" a="1"/>
  <c r="Q524" i="12" s="1"/>
  <c r="O468" i="12" a="1"/>
  <c r="O468" i="12" s="1"/>
  <c r="L468" i="12" a="1"/>
  <c r="L468" i="12" s="1"/>
  <c r="F373" i="12" a="1"/>
  <c r="F373" i="12" s="1"/>
  <c r="U541" i="2" a="1"/>
  <c r="U541" i="2" s="1"/>
  <c r="L331" i="12" a="1"/>
  <c r="L331" i="12" s="1"/>
  <c r="O572" i="12" a="1"/>
  <c r="O572" i="12" s="1"/>
  <c r="AA632" i="12" a="1"/>
  <c r="AA632" i="12" s="1"/>
  <c r="O605" i="12" a="1"/>
  <c r="O605" i="12" s="1"/>
  <c r="N320" i="12" a="1"/>
  <c r="N320" i="12" s="1"/>
  <c r="N198" i="12" a="1"/>
  <c r="N198" i="12" s="1"/>
  <c r="Q315" i="12" a="1"/>
  <c r="Q315" i="12" s="1"/>
  <c r="N483" i="12" a="1"/>
  <c r="N483" i="12" s="1"/>
  <c r="T566" i="12" a="1"/>
  <c r="T566" i="12" s="1"/>
  <c r="K277" i="12" a="1"/>
  <c r="K277" i="12" s="1"/>
  <c r="S181" i="12" a="1"/>
  <c r="S181" i="12" s="1"/>
  <c r="L527" i="12" a="1"/>
  <c r="L527" i="12" s="1"/>
  <c r="L435" i="12" a="1"/>
  <c r="L435" i="12" s="1"/>
  <c r="L171" i="12" a="1"/>
  <c r="L171" i="12" s="1"/>
  <c r="I606" i="12" a="1"/>
  <c r="I606" i="12" s="1"/>
  <c r="I181" i="12" a="1"/>
  <c r="I181" i="12" s="1"/>
  <c r="M265" i="12" a="1"/>
  <c r="M265" i="12" s="1"/>
  <c r="J265" i="12" a="1"/>
  <c r="J265" i="12" s="1"/>
  <c r="J557" i="12" a="1"/>
  <c r="J557" i="12" s="1"/>
  <c r="O287" i="12" a="1"/>
  <c r="O287" i="12" s="1"/>
  <c r="M571" i="12" a="1"/>
  <c r="M571" i="12" s="1"/>
  <c r="M263" i="12" a="1"/>
  <c r="M263" i="12" s="1"/>
  <c r="Q519" i="12" a="1"/>
  <c r="Q519" i="12" s="1"/>
  <c r="G588" i="12" a="1"/>
  <c r="G588" i="12" s="1"/>
  <c r="Z630" i="12" a="1"/>
  <c r="Z630" i="12" s="1"/>
  <c r="Z668" i="12" a="1"/>
  <c r="Z668" i="12" s="1"/>
  <c r="AL381" i="2" a="1"/>
  <c r="AL381" i="2" s="1"/>
  <c r="S281" i="12" a="1"/>
  <c r="S281" i="12" s="1"/>
  <c r="P238" i="12" a="1"/>
  <c r="P238" i="12" s="1"/>
  <c r="L483" i="12" a="1"/>
  <c r="L483" i="12" s="1"/>
  <c r="F298" i="12" a="1"/>
  <c r="F298" i="12" s="1"/>
  <c r="U492" i="2" a="1"/>
  <c r="U492" i="2" s="1"/>
  <c r="O301" i="12" a="1"/>
  <c r="O301" i="12" s="1"/>
  <c r="N234" i="12" a="1"/>
  <c r="N234" i="12" s="1"/>
  <c r="P539" i="12" a="1"/>
  <c r="P539" i="12" s="1"/>
  <c r="R237" i="12" a="1"/>
  <c r="R237" i="12" s="1"/>
  <c r="Q499" i="12" a="1"/>
  <c r="Q499" i="12" s="1"/>
  <c r="O228" i="12" a="1"/>
  <c r="O228" i="12" s="1"/>
  <c r="N527" i="12" a="1"/>
  <c r="N527" i="12" s="1"/>
  <c r="J531" i="12" a="1"/>
  <c r="J531" i="12" s="1"/>
  <c r="I197" i="12" a="1"/>
  <c r="I197" i="12" s="1"/>
  <c r="F258" i="12" a="1"/>
  <c r="F258" i="12" s="1"/>
  <c r="U460" i="2" a="1"/>
  <c r="U460" i="2" s="1"/>
  <c r="F581" i="12" a="1"/>
  <c r="F581" i="12" s="1"/>
  <c r="U431" i="2" a="1"/>
  <c r="U431" i="2" s="1"/>
  <c r="K239" i="12" a="1"/>
  <c r="K239" i="12" s="1"/>
  <c r="G227" i="12" a="1"/>
  <c r="G227" i="12" s="1"/>
  <c r="M181" i="12" a="1"/>
  <c r="M181" i="12" s="1"/>
  <c r="T208" i="12" a="1"/>
  <c r="T208" i="12" s="1"/>
  <c r="Q293" i="12" a="1"/>
  <c r="Q293" i="12" s="1"/>
  <c r="L372" i="12" a="1"/>
  <c r="L372" i="12" s="1"/>
  <c r="T354" i="12" a="1"/>
  <c r="T354" i="12" s="1"/>
  <c r="N196" i="12" a="1"/>
  <c r="N196" i="12" s="1"/>
  <c r="Q68" i="12" a="1"/>
  <c r="Q68" i="12" s="1"/>
  <c r="I543" i="12" a="1"/>
  <c r="I543" i="12" s="1"/>
  <c r="M599" i="12" a="1"/>
  <c r="M599" i="12" s="1"/>
  <c r="M489" i="12" a="1"/>
  <c r="M489" i="12" s="1"/>
  <c r="Q480" i="12" a="1"/>
  <c r="Q480" i="12" s="1"/>
  <c r="R441" i="12" a="1"/>
  <c r="R441" i="12" s="1"/>
  <c r="J565" i="12" a="1"/>
  <c r="J565" i="12" s="1"/>
  <c r="L424" i="12" a="1"/>
  <c r="L424" i="12" s="1"/>
  <c r="G577" i="12" a="1"/>
  <c r="G577" i="12" s="1"/>
  <c r="K424" i="12" a="1"/>
  <c r="K424" i="12" s="1"/>
  <c r="N456" i="12" a="1"/>
  <c r="N456" i="12" s="1"/>
  <c r="F480" i="12" a="1"/>
  <c r="F480" i="12" s="1"/>
  <c r="U599" i="2" a="1"/>
  <c r="U599" i="2" s="1"/>
  <c r="J580" i="12" a="1"/>
  <c r="J580" i="12" s="1"/>
  <c r="J579" i="12" a="1"/>
  <c r="J579" i="12" s="1"/>
  <c r="J438" i="12" a="1"/>
  <c r="J438" i="12" s="1"/>
  <c r="S545" i="12" a="1"/>
  <c r="S545" i="12" s="1"/>
  <c r="Q438" i="12" a="1"/>
  <c r="Q438" i="12" s="1"/>
  <c r="M392" i="12" a="1"/>
  <c r="M392" i="12" s="1"/>
  <c r="G456" i="12" a="1"/>
  <c r="G456" i="12" s="1"/>
  <c r="Q436" i="12" a="1"/>
  <c r="Q436" i="12" s="1"/>
  <c r="R98" i="12" a="1"/>
  <c r="R98" i="12" s="1"/>
  <c r="P580" i="12" a="1"/>
  <c r="P580" i="12" s="1"/>
  <c r="J553" i="12" a="1"/>
  <c r="J553" i="12" s="1"/>
  <c r="J485" i="12" a="1"/>
  <c r="J485" i="12" s="1"/>
  <c r="S599" i="12" a="1"/>
  <c r="S599" i="12" s="1"/>
  <c r="I516" i="12" a="1"/>
  <c r="I516" i="12" s="1"/>
  <c r="L477" i="12" a="1"/>
  <c r="L477" i="12" s="1"/>
  <c r="S548" i="12" a="1"/>
  <c r="S548" i="12" s="1"/>
  <c r="K491" i="12" a="1"/>
  <c r="K491" i="12" s="1"/>
  <c r="J430" i="12" a="1"/>
  <c r="J430" i="12" s="1"/>
  <c r="P480" i="12" a="1"/>
  <c r="P480" i="12" s="1"/>
  <c r="O580" i="12" a="1"/>
  <c r="O580" i="12" s="1"/>
  <c r="J550" i="12" a="1"/>
  <c r="J550" i="12" s="1"/>
  <c r="P516" i="12" a="1"/>
  <c r="P516" i="12" s="1"/>
  <c r="T592" i="12" a="1"/>
  <c r="T592" i="12" s="1"/>
  <c r="M554" i="12" a="1"/>
  <c r="M554" i="12" s="1"/>
  <c r="T507" i="12" a="1"/>
  <c r="T507" i="12" s="1"/>
  <c r="P418" i="12" a="1"/>
  <c r="P418" i="12" s="1"/>
  <c r="P441" i="12" a="1"/>
  <c r="P441" i="12" s="1"/>
  <c r="M525" i="12" a="1"/>
  <c r="M525" i="12" s="1"/>
  <c r="Q550" i="12" a="1"/>
  <c r="Q550" i="12" s="1"/>
  <c r="G545" i="12" a="1"/>
  <c r="G545" i="12" s="1"/>
  <c r="N579" i="12" a="1"/>
  <c r="N579" i="12" s="1"/>
  <c r="M398" i="12" a="1"/>
  <c r="M398" i="12" s="1"/>
  <c r="K546" i="12" a="1"/>
  <c r="K546" i="12" s="1"/>
  <c r="Q489" i="12" a="1"/>
  <c r="Q489" i="12" s="1"/>
  <c r="R570" i="12" a="1"/>
  <c r="R570" i="12" s="1"/>
  <c r="O545" i="12" a="1"/>
  <c r="O545" i="12" s="1"/>
  <c r="R477" i="12" a="1"/>
  <c r="R477" i="12" s="1"/>
  <c r="F553" i="12" a="1"/>
  <c r="F553" i="12" s="1"/>
  <c r="U646" i="2" a="1"/>
  <c r="U646" i="2" s="1"/>
  <c r="S398" i="12" a="1"/>
  <c r="S398" i="12" s="1"/>
  <c r="T485" i="12" a="1"/>
  <c r="T485" i="12" s="1"/>
  <c r="S563" i="12" a="1"/>
  <c r="S563" i="12" s="1"/>
  <c r="L565" i="12" a="1"/>
  <c r="L565" i="12" s="1"/>
  <c r="J587" i="12" a="1"/>
  <c r="J587" i="12" s="1"/>
  <c r="J542" i="12" a="1"/>
  <c r="J542" i="12" s="1"/>
  <c r="R563" i="12" a="1"/>
  <c r="R563" i="12" s="1"/>
  <c r="M553" i="12" a="1"/>
  <c r="M553" i="12" s="1"/>
  <c r="N550" i="12" a="1"/>
  <c r="N550" i="12" s="1"/>
  <c r="Q544" i="12" a="1"/>
  <c r="Q544" i="12" s="1"/>
  <c r="G507" i="12" a="1"/>
  <c r="G507" i="12" s="1"/>
  <c r="G491" i="12" a="1"/>
  <c r="G491" i="12" s="1"/>
  <c r="T424" i="12" a="1"/>
  <c r="T424" i="12" s="1"/>
  <c r="G375" i="12" a="1"/>
  <c r="G375" i="12" s="1"/>
  <c r="F513" i="12" a="1"/>
  <c r="F513" i="12" s="1"/>
  <c r="Q482" i="12" a="1"/>
  <c r="Q482" i="12" s="1"/>
  <c r="K482" i="12" a="1"/>
  <c r="K482" i="12" s="1"/>
  <c r="L445" i="12" a="1"/>
  <c r="L445" i="12" s="1"/>
  <c r="N512" i="12" a="1"/>
  <c r="N512" i="12" s="1"/>
  <c r="I471" i="12" a="1"/>
  <c r="I471" i="12" s="1"/>
  <c r="S409" i="12" a="1"/>
  <c r="S409" i="12" s="1"/>
  <c r="O369" i="12" a="1"/>
  <c r="O369" i="12" s="1"/>
  <c r="F399" i="12" a="1"/>
  <c r="F399" i="12" s="1"/>
  <c r="U559" i="2" a="1"/>
  <c r="U559" i="2" s="1"/>
  <c r="I386" i="12" a="1"/>
  <c r="I386" i="12" s="1"/>
  <c r="P288" i="12" a="1"/>
  <c r="P288" i="12" s="1"/>
  <c r="S352" i="12" a="1"/>
  <c r="S352" i="12" s="1"/>
  <c r="M307" i="12" a="1"/>
  <c r="M307" i="12" s="1"/>
  <c r="F544" i="12" a="1"/>
  <c r="F544" i="12" s="1"/>
  <c r="P392" i="12" a="1"/>
  <c r="P392" i="12" s="1"/>
  <c r="I447" i="12" a="1"/>
  <c r="I447" i="12" s="1"/>
  <c r="Q410" i="12" a="1"/>
  <c r="Q410" i="12" s="1"/>
  <c r="Q472" i="12" a="1"/>
  <c r="Q472" i="12" s="1"/>
  <c r="S480" i="12" a="1"/>
  <c r="S480" i="12" s="1"/>
  <c r="S355" i="12" a="1"/>
  <c r="S355" i="12" s="1"/>
  <c r="N391" i="12" a="1"/>
  <c r="N391" i="12" s="1"/>
  <c r="S381" i="12" a="1"/>
  <c r="S381" i="12" s="1"/>
  <c r="I593" i="12" a="1"/>
  <c r="I593" i="12" s="1"/>
  <c r="T516" i="12" a="1"/>
  <c r="T516" i="12" s="1"/>
  <c r="S491" i="12" a="1"/>
  <c r="S491" i="12" s="1"/>
  <c r="O464" i="12" a="1"/>
  <c r="O464" i="12" s="1"/>
  <c r="N464" i="12" a="1"/>
  <c r="N464" i="12" s="1"/>
  <c r="Q444" i="12" a="1"/>
  <c r="Q444" i="12" s="1"/>
  <c r="L523" i="12" a="1"/>
  <c r="L523" i="12" s="1"/>
  <c r="Q552" i="12" a="1"/>
  <c r="Q552" i="12" s="1"/>
  <c r="G409" i="12" a="1"/>
  <c r="G409" i="12" s="1"/>
  <c r="T341" i="12" a="1"/>
  <c r="T341" i="12" s="1"/>
  <c r="I359" i="12" a="1"/>
  <c r="I359" i="12" s="1"/>
  <c r="L352" i="12" a="1"/>
  <c r="L352" i="12" s="1"/>
  <c r="P563" i="12" a="1"/>
  <c r="P563" i="12" s="1"/>
  <c r="I473" i="12" a="1"/>
  <c r="I473" i="12" s="1"/>
  <c r="T371" i="12" a="1"/>
  <c r="T371" i="12" s="1"/>
  <c r="J396" i="12" a="1"/>
  <c r="J396" i="12" s="1"/>
  <c r="S278" i="12" a="1"/>
  <c r="S278" i="12" s="1"/>
  <c r="T389" i="12" a="1"/>
  <c r="T389" i="12" s="1"/>
  <c r="K322" i="12" a="1"/>
  <c r="K322" i="12" s="1"/>
  <c r="I355" i="12" a="1"/>
  <c r="I355" i="12" s="1"/>
  <c r="T318" i="12" a="1"/>
  <c r="T318" i="12" s="1"/>
  <c r="P569" i="12" a="1"/>
  <c r="P569" i="12" s="1"/>
  <c r="Q428" i="12" a="1"/>
  <c r="Q428" i="12" s="1"/>
  <c r="O428" i="12" a="1"/>
  <c r="O428" i="12" s="1"/>
  <c r="O445" i="12" a="1"/>
  <c r="O445" i="12" s="1"/>
  <c r="S429" i="12" a="1"/>
  <c r="S429" i="12" s="1"/>
  <c r="M324" i="12" a="1"/>
  <c r="M324" i="12" s="1"/>
  <c r="L369" i="12" a="1"/>
  <c r="L369" i="12" s="1"/>
  <c r="O506" i="12" a="1"/>
  <c r="O506" i="12" s="1"/>
  <c r="N300" i="12" a="1"/>
  <c r="N300" i="12" s="1"/>
  <c r="S339" i="12" a="1"/>
  <c r="S339" i="12" s="1"/>
  <c r="F137" i="12" a="1"/>
  <c r="F137" i="12" s="1"/>
  <c r="U528" i="2" a="1"/>
  <c r="U528" i="2" s="1"/>
  <c r="O242" i="12" a="1"/>
  <c r="O242" i="12" s="1"/>
  <c r="F542" i="12" a="1"/>
  <c r="F542" i="12" s="1"/>
  <c r="Q450" i="12" a="1"/>
  <c r="Q450" i="12" s="1"/>
  <c r="N450" i="12" a="1"/>
  <c r="N450" i="12" s="1"/>
  <c r="N424" i="12" a="1"/>
  <c r="N424" i="12" s="1"/>
  <c r="S453" i="12" a="1"/>
  <c r="S453" i="12" s="1"/>
  <c r="S535" i="12" a="1"/>
  <c r="S535" i="12" s="1"/>
  <c r="M353" i="12" a="1"/>
  <c r="M353" i="12" s="1"/>
  <c r="N310" i="12" a="1"/>
  <c r="N310" i="12" s="1"/>
  <c r="I278" i="12" a="1"/>
  <c r="I278" i="12" s="1"/>
  <c r="R443" i="12" a="1"/>
  <c r="R443" i="12" s="1"/>
  <c r="R385" i="12" a="1"/>
  <c r="R385" i="12" s="1"/>
  <c r="R341" i="12" a="1"/>
  <c r="R341" i="12" s="1"/>
  <c r="R304" i="12" a="1"/>
  <c r="R304" i="12" s="1"/>
  <c r="R373" i="12" a="1"/>
  <c r="R373" i="12" s="1"/>
  <c r="R339" i="12" a="1"/>
  <c r="R339" i="12" s="1"/>
  <c r="L599" i="12" a="1"/>
  <c r="L599" i="12" s="1"/>
  <c r="L567" i="12" a="1"/>
  <c r="L567" i="12" s="1"/>
  <c r="R567" i="12" a="1"/>
  <c r="R567" i="12" s="1"/>
  <c r="F523" i="12" a="1"/>
  <c r="F523" i="12" s="1"/>
  <c r="U607" i="2" a="1"/>
  <c r="U607" i="2" s="1"/>
  <c r="P523" i="12" a="1"/>
  <c r="P523" i="12" s="1"/>
  <c r="T486" i="12" a="1"/>
  <c r="T486" i="12" s="1"/>
  <c r="G535" i="12" a="1"/>
  <c r="G535" i="12" s="1"/>
  <c r="F409" i="12" a="1"/>
  <c r="F409" i="12" s="1"/>
  <c r="U589" i="2" a="1"/>
  <c r="U589" i="2" s="1"/>
  <c r="P478" i="12" a="1"/>
  <c r="P478" i="12" s="1"/>
  <c r="P399" i="12" a="1"/>
  <c r="P399" i="12" s="1"/>
  <c r="L288" i="12" a="1"/>
  <c r="L288" i="12" s="1"/>
  <c r="Z644" i="12" a="1"/>
  <c r="Z644" i="12" s="1"/>
  <c r="X648" i="12" a="1"/>
  <c r="X648" i="12" s="1"/>
  <c r="J338" i="12" a="1"/>
  <c r="J338" i="12" s="1"/>
  <c r="O262" i="12" a="1"/>
  <c r="O262" i="12" s="1"/>
  <c r="K592" i="12" a="1"/>
  <c r="K592" i="12" s="1"/>
  <c r="K438" i="12" a="1"/>
  <c r="K438" i="12" s="1"/>
  <c r="S488" i="12" a="1"/>
  <c r="S488" i="12" s="1"/>
  <c r="I487" i="12" a="1"/>
  <c r="I487" i="12" s="1"/>
  <c r="N487" i="12" a="1"/>
  <c r="N487" i="12" s="1"/>
  <c r="L560" i="12" a="1"/>
  <c r="L560" i="12" s="1"/>
  <c r="K433" i="12" a="1"/>
  <c r="K433" i="12" s="1"/>
  <c r="K455" i="12" a="1"/>
  <c r="K455" i="12" s="1"/>
  <c r="G461" i="12" a="1"/>
  <c r="G461" i="12" s="1"/>
  <c r="I385" i="12" a="1"/>
  <c r="I385" i="12" s="1"/>
  <c r="O355" i="12" a="1"/>
  <c r="O355" i="12" s="1"/>
  <c r="O344" i="12" a="1"/>
  <c r="O344" i="12" s="1"/>
  <c r="Q546" i="12" a="1"/>
  <c r="Q546" i="12" s="1"/>
  <c r="J446" i="12" a="1"/>
  <c r="J446" i="12" s="1"/>
  <c r="R512" i="12" a="1"/>
  <c r="R512" i="12" s="1"/>
  <c r="J310" i="12" a="1"/>
  <c r="J310" i="12" s="1"/>
  <c r="N399" i="12" a="1"/>
  <c r="N399" i="12" s="1"/>
  <c r="O373" i="12" a="1"/>
  <c r="O373" i="12" s="1"/>
  <c r="O137" i="12" a="1"/>
  <c r="O137" i="12" s="1"/>
  <c r="S578" i="12" a="1"/>
  <c r="S578" i="12" s="1"/>
  <c r="N384" i="12" a="1"/>
  <c r="N384" i="12" s="1"/>
  <c r="Q459" i="12" a="1"/>
  <c r="Q459" i="12" s="1"/>
  <c r="N524" i="12" a="1"/>
  <c r="N524" i="12" s="1"/>
  <c r="F437" i="12" a="1"/>
  <c r="F437" i="12" s="1"/>
  <c r="U602" i="2" a="1"/>
  <c r="U602" i="2" s="1"/>
  <c r="P437" i="12" a="1"/>
  <c r="P437" i="12" s="1"/>
  <c r="N278" i="12" a="1"/>
  <c r="N278" i="12" s="1"/>
  <c r="S340" i="12" a="1"/>
  <c r="S340" i="12" s="1"/>
  <c r="K360" i="12" a="1"/>
  <c r="K360" i="12" s="1"/>
  <c r="G359" i="12" a="1"/>
  <c r="G359" i="12" s="1"/>
  <c r="U542" i="2" a="1"/>
  <c r="U542" i="2" s="1"/>
  <c r="P326" i="12" a="1"/>
  <c r="P326" i="12" s="1"/>
  <c r="T364" i="12" a="1"/>
  <c r="T364" i="12" s="1"/>
  <c r="I347" i="12" a="1"/>
  <c r="I347" i="12" s="1"/>
  <c r="I301" i="12" a="1"/>
  <c r="I301" i="12" s="1"/>
  <c r="I594" i="12" a="1"/>
  <c r="I594" i="12" s="1"/>
  <c r="O269" i="12" a="1"/>
  <c r="O269" i="12" s="1"/>
  <c r="G272" i="12" a="1"/>
  <c r="G272" i="12" s="1"/>
  <c r="S271" i="12" a="1"/>
  <c r="S271" i="12" s="1"/>
  <c r="Q498" i="12" a="1"/>
  <c r="Q498" i="12" s="1"/>
  <c r="F369" i="12" a="1"/>
  <c r="F369" i="12" s="1"/>
  <c r="P316" i="12" a="1"/>
  <c r="P316" i="12" s="1"/>
  <c r="U533" i="2" a="1"/>
  <c r="U533" i="2" s="1"/>
  <c r="U520" i="2" a="1"/>
  <c r="U520" i="2" s="1"/>
  <c r="J601" i="12" a="1"/>
  <c r="J601" i="12" s="1"/>
  <c r="R349" i="12" a="1"/>
  <c r="R349" i="12" s="1"/>
  <c r="L270" i="12" a="1"/>
  <c r="L270" i="12" s="1"/>
  <c r="G294" i="12" a="1"/>
  <c r="G294" i="12" s="1"/>
  <c r="F605" i="12" a="1"/>
  <c r="F605" i="12" s="1"/>
  <c r="U483" i="2" a="1"/>
  <c r="U483" i="2" s="1"/>
  <c r="O214" i="12" a="1"/>
  <c r="O214" i="12" s="1"/>
  <c r="I457" i="12" a="1"/>
  <c r="I457" i="12" s="1"/>
  <c r="AB668" i="12" a="1"/>
  <c r="AB668" i="12" s="1"/>
  <c r="AQ389" i="2" a="1"/>
  <c r="AQ389" i="2" s="1"/>
  <c r="Q324" i="12" a="1"/>
  <c r="Q324" i="12" s="1"/>
  <c r="L448" i="12" a="1"/>
  <c r="L448" i="12" s="1"/>
  <c r="R448" i="12" a="1"/>
  <c r="R448" i="12" s="1"/>
  <c r="L307" i="12" a="1"/>
  <c r="L307" i="12" s="1"/>
  <c r="I364" i="12" a="1"/>
  <c r="I364" i="12" s="1"/>
  <c r="L572" i="12" a="1"/>
  <c r="L572" i="12" s="1"/>
  <c r="N242" i="12" a="1"/>
  <c r="N242" i="12" s="1"/>
  <c r="P350" i="12" a="1"/>
  <c r="P350" i="12" s="1"/>
  <c r="F324" i="12" a="1"/>
  <c r="F324" i="12" s="1"/>
  <c r="J380" i="12" a="1"/>
  <c r="J380" i="12" s="1"/>
  <c r="I357" i="12" a="1"/>
  <c r="I357" i="12" s="1"/>
  <c r="O357" i="12" a="1"/>
  <c r="O357" i="12" s="1"/>
  <c r="Q342" i="12" a="1"/>
  <c r="Q342" i="12" s="1"/>
  <c r="O302" i="12" a="1"/>
  <c r="O302" i="12" s="1"/>
  <c r="K249" i="12" a="1"/>
  <c r="K249" i="12" s="1"/>
  <c r="K367" i="12" a="1"/>
  <c r="K367" i="12" s="1"/>
  <c r="J328" i="12" a="1"/>
  <c r="J328" i="12" s="1"/>
  <c r="F349" i="12" a="1"/>
  <c r="F349" i="12" s="1"/>
  <c r="U502" i="2" a="1"/>
  <c r="U502" i="2" s="1"/>
  <c r="P291" i="12" a="1"/>
  <c r="P291" i="12" s="1"/>
  <c r="F400" i="12" a="1"/>
  <c r="F400" i="12" s="1"/>
  <c r="U553" i="2" a="1"/>
  <c r="U553" i="2" s="1"/>
  <c r="Z622" i="12" a="1"/>
  <c r="Z622" i="12" s="1"/>
  <c r="L351" i="12" a="1"/>
  <c r="L351" i="12" s="1"/>
  <c r="Q351" i="12" a="1"/>
  <c r="Q351" i="12" s="1"/>
  <c r="K344" i="12" a="1"/>
  <c r="K344" i="12" s="1"/>
  <c r="J331" i="12" a="1"/>
  <c r="J331" i="12" s="1"/>
  <c r="K290" i="12" a="1"/>
  <c r="K290" i="12" s="1"/>
  <c r="O294" i="12" a="1"/>
  <c r="O294" i="12" s="1"/>
  <c r="M413" i="12" a="1"/>
  <c r="M413" i="12" s="1"/>
  <c r="G413" i="12" a="1"/>
  <c r="G413" i="12" s="1"/>
  <c r="Q402" i="12" a="1"/>
  <c r="Q402" i="12" s="1"/>
  <c r="S402" i="12" a="1"/>
  <c r="S402" i="12" s="1"/>
  <c r="P521" i="12" a="1"/>
  <c r="P521" i="12" s="1"/>
  <c r="K521" i="12" a="1"/>
  <c r="K521" i="12" s="1"/>
  <c r="G440" i="12" a="1"/>
  <c r="G440" i="12" s="1"/>
  <c r="P574" i="12" a="1"/>
  <c r="P574" i="12" s="1"/>
  <c r="Q574" i="12" a="1"/>
  <c r="Q574" i="12" s="1"/>
  <c r="S576" i="12" a="1"/>
  <c r="S576" i="12" s="1"/>
  <c r="G575" i="12" a="1"/>
  <c r="G575" i="12" s="1"/>
  <c r="F252" i="12" a="1"/>
  <c r="F252" i="12" s="1"/>
  <c r="U481" i="2" a="1"/>
  <c r="U481" i="2" s="1"/>
  <c r="G273" i="12" a="1"/>
  <c r="G273" i="12" s="1"/>
  <c r="G443" i="12" a="1"/>
  <c r="G443" i="12" s="1"/>
  <c r="G336" i="12" a="1"/>
  <c r="G336" i="12" s="1"/>
  <c r="T319" i="12" a="1"/>
  <c r="T319" i="12" s="1"/>
  <c r="M343" i="12" a="1"/>
  <c r="M343" i="12" s="1"/>
  <c r="F576" i="12" a="1"/>
  <c r="F576" i="12" s="1"/>
  <c r="U486" i="2" a="1"/>
  <c r="U486" i="2" s="1"/>
  <c r="R334" i="12" a="1"/>
  <c r="R334" i="12" s="1"/>
  <c r="G329" i="12" a="1"/>
  <c r="G329" i="12" s="1"/>
  <c r="K158" i="12" a="1"/>
  <c r="K158" i="12" s="1"/>
  <c r="I254" i="12" a="1"/>
  <c r="I254" i="12" s="1"/>
  <c r="R555" i="12" a="1"/>
  <c r="R555" i="12" s="1"/>
  <c r="G269" i="12" a="1"/>
  <c r="G269" i="12" s="1"/>
  <c r="U453" i="2" a="1"/>
  <c r="U453" i="2" s="1"/>
  <c r="J470" i="12" a="1"/>
  <c r="J470" i="12" s="1"/>
  <c r="N470" i="12" a="1"/>
  <c r="N470" i="12" s="1"/>
  <c r="S390" i="12" a="1"/>
  <c r="S390" i="12" s="1"/>
  <c r="R278" i="12" a="1"/>
  <c r="R278" i="12" s="1"/>
  <c r="I362" i="12" a="1"/>
  <c r="I362" i="12" s="1"/>
  <c r="O198" i="12" a="1"/>
  <c r="O198" i="12" s="1"/>
  <c r="I241" i="12" a="1"/>
  <c r="I241" i="12" s="1"/>
  <c r="O420" i="12" a="1"/>
  <c r="O420" i="12" s="1"/>
  <c r="N420" i="12" a="1"/>
  <c r="N420" i="12" s="1"/>
  <c r="P304" i="12" a="1"/>
  <c r="P304" i="12" s="1"/>
  <c r="F307" i="12" a="1"/>
  <c r="F307" i="12" s="1"/>
  <c r="U519" i="2" a="1"/>
  <c r="U519" i="2" s="1"/>
  <c r="J343" i="12" a="1"/>
  <c r="J343" i="12" s="1"/>
  <c r="G240" i="12" a="1"/>
  <c r="G240" i="12" s="1"/>
  <c r="O251" i="12" a="1"/>
  <c r="O251" i="12" s="1"/>
  <c r="P247" i="12" a="1"/>
  <c r="P247" i="12" s="1"/>
  <c r="P594" i="12" a="1"/>
  <c r="P594" i="12" s="1"/>
  <c r="S604" i="12" a="1"/>
  <c r="S604" i="12" s="1"/>
  <c r="I468" i="12" a="1"/>
  <c r="I468" i="12" s="1"/>
  <c r="G468" i="12" a="1"/>
  <c r="G468" i="12" s="1"/>
  <c r="G373" i="12" a="1"/>
  <c r="G373" i="12" s="1"/>
  <c r="N319" i="12" a="1"/>
  <c r="N319" i="12" s="1"/>
  <c r="R331" i="12" a="1"/>
  <c r="R331" i="12" s="1"/>
  <c r="Q575" i="12" a="1"/>
  <c r="Q575" i="12" s="1"/>
  <c r="G320" i="12" a="1"/>
  <c r="G320" i="12" s="1"/>
  <c r="G198" i="12" a="1"/>
  <c r="G198" i="12" s="1"/>
  <c r="L313" i="12" a="1"/>
  <c r="L313" i="12" s="1"/>
  <c r="G571" i="12" a="1"/>
  <c r="G571" i="12" s="1"/>
  <c r="O282" i="12" a="1"/>
  <c r="O282" i="12" s="1"/>
  <c r="I463" i="12" a="1"/>
  <c r="I463" i="12" s="1"/>
  <c r="G239" i="12" a="1"/>
  <c r="G239" i="12" s="1"/>
  <c r="J273" i="12" a="1"/>
  <c r="J273" i="12" s="1"/>
  <c r="N181" i="12" a="1"/>
  <c r="N181" i="12" s="1"/>
  <c r="L562" i="12" a="1"/>
  <c r="L562" i="12" s="1"/>
  <c r="R556" i="12" a="1"/>
  <c r="R556" i="12" s="1"/>
  <c r="R147" i="12" a="1"/>
  <c r="R147" i="12" s="1"/>
  <c r="N606" i="12" a="1"/>
  <c r="N606" i="12" s="1"/>
  <c r="N594" i="12" a="1"/>
  <c r="N594" i="12" s="1"/>
  <c r="N213" i="12" a="1"/>
  <c r="N213" i="12" s="1"/>
  <c r="N158" i="12" a="1"/>
  <c r="N158" i="12" s="1"/>
  <c r="T265" i="12" a="1"/>
  <c r="T265" i="12" s="1"/>
  <c r="P265" i="12" a="1"/>
  <c r="P265" i="12" s="1"/>
  <c r="K276" i="12" a="1"/>
  <c r="K276" i="12" s="1"/>
  <c r="I287" i="12" a="1"/>
  <c r="I287" i="12" s="1"/>
  <c r="R233" i="12" a="1"/>
  <c r="R233" i="12" s="1"/>
  <c r="M520" i="12" a="1"/>
  <c r="M520" i="12" s="1"/>
  <c r="J236" i="12" a="1"/>
  <c r="J236" i="12" s="1"/>
  <c r="K562" i="12" a="1"/>
  <c r="K562" i="12" s="1"/>
  <c r="J281" i="12" a="1"/>
  <c r="J281" i="12" s="1"/>
  <c r="F238" i="12" a="1"/>
  <c r="F238" i="12" s="1"/>
  <c r="U446" i="2" a="1"/>
  <c r="U446" i="2" s="1"/>
  <c r="I248" i="12" a="1"/>
  <c r="I248" i="12" s="1"/>
  <c r="M298" i="12" a="1"/>
  <c r="M298" i="12" s="1"/>
  <c r="L298" i="12" a="1"/>
  <c r="L298" i="12" s="1"/>
  <c r="M536" i="12" a="1"/>
  <c r="M536" i="12" s="1"/>
  <c r="G596" i="12" a="1"/>
  <c r="G596" i="12" s="1"/>
  <c r="M280" i="12" a="1"/>
  <c r="M280" i="12" s="1"/>
  <c r="S474" i="12" a="1"/>
  <c r="S474" i="12" s="1"/>
  <c r="P254" i="12" a="1"/>
  <c r="P254" i="12" s="1"/>
  <c r="Q505" i="12" a="1"/>
  <c r="Q505" i="12" s="1"/>
  <c r="Q510" i="12" a="1"/>
  <c r="Q510" i="12" s="1"/>
  <c r="M557" i="12" a="1"/>
  <c r="M557" i="12" s="1"/>
  <c r="L272" i="12" a="1"/>
  <c r="L272" i="12" s="1"/>
  <c r="I540" i="12" a="1"/>
  <c r="I540" i="12" s="1"/>
  <c r="T425" i="12" a="1"/>
  <c r="T425" i="12" s="1"/>
  <c r="K138" i="12" a="1"/>
  <c r="K138" i="12" s="1"/>
  <c r="O492" i="12" a="1"/>
  <c r="O492" i="12" s="1"/>
  <c r="N167" i="12" a="1"/>
  <c r="N167" i="12" s="1"/>
  <c r="I337" i="12" a="1"/>
  <c r="I337" i="12" s="1"/>
  <c r="R425" i="12" a="1"/>
  <c r="R425" i="12" s="1"/>
  <c r="G171" i="12" a="1"/>
  <c r="G171" i="12" s="1"/>
  <c r="P377" i="12" a="1"/>
  <c r="P377" i="12" s="1"/>
  <c r="I7" i="12" a="1"/>
  <c r="I7" i="12" s="1"/>
  <c r="Q580" i="12" a="1"/>
  <c r="Q580" i="12" s="1"/>
  <c r="I438" i="12" a="1"/>
  <c r="I438" i="12" s="1"/>
  <c r="N529" i="12" a="1"/>
  <c r="N529" i="12" s="1"/>
  <c r="L375" i="12" a="1"/>
  <c r="L375" i="12" s="1"/>
  <c r="F436" i="12" a="1"/>
  <c r="F436" i="12" s="1"/>
  <c r="U614" i="2" a="1"/>
  <c r="U614" i="2" s="1"/>
  <c r="O525" i="12" a="1"/>
  <c r="O525" i="12" s="1"/>
  <c r="J98" i="12" a="1"/>
  <c r="J98" i="12" s="1"/>
  <c r="M590" i="12" a="1"/>
  <c r="M590" i="12" s="1"/>
  <c r="M570" i="12" a="1"/>
  <c r="M570" i="12" s="1"/>
  <c r="P518" i="12" a="1"/>
  <c r="P518" i="12" s="1"/>
  <c r="O554" i="12" a="1"/>
  <c r="O554" i="12" s="1"/>
  <c r="G580" i="12" a="1"/>
  <c r="G580" i="12" s="1"/>
  <c r="N563" i="12" a="1"/>
  <c r="N563" i="12" s="1"/>
  <c r="Q543" i="12" a="1"/>
  <c r="Q543" i="12" s="1"/>
  <c r="G438" i="12" a="1"/>
  <c r="G438" i="12" s="1"/>
  <c r="T577" i="12" a="1"/>
  <c r="T577" i="12" s="1"/>
  <c r="K489" i="12" a="1"/>
  <c r="K489" i="12" s="1"/>
  <c r="F580" i="12" a="1"/>
  <c r="F580" i="12" s="1"/>
  <c r="U668" i="2" a="1"/>
  <c r="U668" i="2" s="1"/>
  <c r="M563" i="12" a="1"/>
  <c r="M563" i="12" s="1"/>
  <c r="O438" i="12" a="1"/>
  <c r="O438" i="12" s="1"/>
  <c r="I418" i="12" a="1"/>
  <c r="I418" i="12" s="1"/>
  <c r="I441" i="12" a="1"/>
  <c r="I441" i="12" s="1"/>
  <c r="P424" i="12" a="1"/>
  <c r="P424" i="12" s="1"/>
  <c r="P430" i="12" a="1"/>
  <c r="P430" i="12" s="1"/>
  <c r="I550" i="12" a="1"/>
  <c r="I550" i="12" s="1"/>
  <c r="L544" i="12" a="1"/>
  <c r="L544" i="12" s="1"/>
  <c r="J489" i="12" a="1"/>
  <c r="J489" i="12" s="1"/>
  <c r="K587" i="12" a="1"/>
  <c r="K587" i="12" s="1"/>
  <c r="O578" i="12" a="1"/>
  <c r="O578" i="12" s="1"/>
  <c r="J570" i="12" a="1"/>
  <c r="J570" i="12" s="1"/>
  <c r="F545" i="12" a="1"/>
  <c r="F545" i="12" s="1"/>
  <c r="U656" i="2" a="1"/>
  <c r="U656" i="2" s="1"/>
  <c r="J477" i="12" a="1"/>
  <c r="J477" i="12" s="1"/>
  <c r="L398" i="12" a="1"/>
  <c r="L398" i="12" s="1"/>
  <c r="T434" i="12" a="1"/>
  <c r="T434" i="12" s="1"/>
  <c r="I590" i="12" a="1"/>
  <c r="I590" i="12" s="1"/>
  <c r="G595" i="12" a="1"/>
  <c r="G595" i="12" s="1"/>
  <c r="Q477" i="12" a="1"/>
  <c r="Q477" i="12" s="1"/>
  <c r="S517" i="12" a="1"/>
  <c r="S517" i="12" s="1"/>
  <c r="R544" i="12" a="1"/>
  <c r="R544" i="12" s="1"/>
  <c r="L98" i="12" a="1"/>
  <c r="L98" i="12" s="1"/>
  <c r="L553" i="12" a="1"/>
  <c r="L553" i="12" s="1"/>
  <c r="L485" i="12" a="1"/>
  <c r="L485" i="12" s="1"/>
  <c r="G517" i="12" a="1"/>
  <c r="G517" i="12" s="1"/>
  <c r="M482" i="12" a="1"/>
  <c r="M482" i="12" s="1"/>
  <c r="G445" i="12" a="1"/>
  <c r="G445" i="12" s="1"/>
  <c r="T512" i="12" a="1"/>
  <c r="T512" i="12" s="1"/>
  <c r="O471" i="12" a="1"/>
  <c r="O471" i="12" s="1"/>
  <c r="G369" i="12" a="1"/>
  <c r="G369" i="12" s="1"/>
  <c r="S360" i="12" a="1"/>
  <c r="S360" i="12" s="1"/>
  <c r="T386" i="12" a="1"/>
  <c r="T386" i="12" s="1"/>
  <c r="N304" i="12" a="1"/>
  <c r="N304" i="12" s="1"/>
  <c r="M355" i="12" a="1"/>
  <c r="M355" i="12" s="1"/>
  <c r="P137" i="12" a="1"/>
  <c r="P137" i="12" s="1"/>
  <c r="G307" i="12" a="1"/>
  <c r="G307" i="12" s="1"/>
  <c r="F242" i="12" a="1"/>
  <c r="F242" i="12" s="1"/>
  <c r="U493" i="2" a="1"/>
  <c r="U493" i="2" s="1"/>
  <c r="P477" i="12" a="1"/>
  <c r="P477" i="12" s="1"/>
  <c r="O447" i="12" a="1"/>
  <c r="O447" i="12" s="1"/>
  <c r="L410" i="12" a="1"/>
  <c r="L410" i="12" s="1"/>
  <c r="L472" i="12" a="1"/>
  <c r="L472" i="12" s="1"/>
  <c r="L480" i="12" a="1"/>
  <c r="L480" i="12" s="1"/>
  <c r="L461" i="12" a="1"/>
  <c r="L461" i="12" s="1"/>
  <c r="K361" i="12" a="1"/>
  <c r="K361" i="12" s="1"/>
  <c r="M389" i="12" a="1"/>
  <c r="M389" i="12" s="1"/>
  <c r="J405" i="12" a="1"/>
  <c r="J405" i="12" s="1"/>
  <c r="T391" i="12" a="1"/>
  <c r="T391" i="12" s="1"/>
  <c r="M381" i="12" a="1"/>
  <c r="M381" i="12" s="1"/>
  <c r="N441" i="12" a="1"/>
  <c r="N441" i="12" s="1"/>
  <c r="J464" i="12" a="1"/>
  <c r="J464" i="12" s="1"/>
  <c r="T464" i="12" a="1"/>
  <c r="T464" i="12" s="1"/>
  <c r="L444" i="12" a="1"/>
  <c r="L444" i="12" s="1"/>
  <c r="L552" i="12" a="1"/>
  <c r="L552" i="12" s="1"/>
  <c r="K461" i="12" a="1"/>
  <c r="K461" i="12" s="1"/>
  <c r="T385" i="12" a="1"/>
  <c r="T385" i="12" s="1"/>
  <c r="I300" i="12" a="1"/>
  <c r="I300" i="12" s="1"/>
  <c r="M352" i="12" a="1"/>
  <c r="M352" i="12" s="1"/>
  <c r="I546" i="12" a="1"/>
  <c r="I546" i="12" s="1"/>
  <c r="T445" i="12" a="1"/>
  <c r="T445" i="12" s="1"/>
  <c r="K396" i="12" a="1"/>
  <c r="K396" i="12" s="1"/>
  <c r="L278" i="12" a="1"/>
  <c r="L278" i="12" s="1"/>
  <c r="J389" i="12" a="1"/>
  <c r="J389" i="12" s="1"/>
  <c r="I322" i="12" a="1"/>
  <c r="I322" i="12" s="1"/>
  <c r="R406" i="12" a="1"/>
  <c r="R406" i="12" s="1"/>
  <c r="T355" i="12" a="1"/>
  <c r="T355" i="12" s="1"/>
  <c r="T137" i="12" a="1"/>
  <c r="T137" i="12" s="1"/>
  <c r="L569" i="12" a="1"/>
  <c r="L569" i="12" s="1"/>
  <c r="J569" i="12" a="1"/>
  <c r="J569" i="12" s="1"/>
  <c r="R428" i="12" a="1"/>
  <c r="R428" i="12" s="1"/>
  <c r="I428" i="12" a="1"/>
  <c r="I428" i="12" s="1"/>
  <c r="N429" i="12" a="1"/>
  <c r="N429" i="12" s="1"/>
  <c r="F486" i="12" a="1"/>
  <c r="F486" i="12" s="1"/>
  <c r="U597" i="2" a="1"/>
  <c r="U597" i="2" s="1"/>
  <c r="S324" i="12" a="1"/>
  <c r="S324" i="12" s="1"/>
  <c r="R417" i="12" a="1"/>
  <c r="R417" i="12" s="1"/>
  <c r="N369" i="12" a="1"/>
  <c r="N369" i="12" s="1"/>
  <c r="L443" i="12" a="1"/>
  <c r="L443" i="12" s="1"/>
  <c r="F300" i="12" a="1"/>
  <c r="F300" i="12" s="1"/>
  <c r="U550" i="2" a="1"/>
  <c r="U550" i="2" s="1"/>
  <c r="Q307" i="12" a="1"/>
  <c r="Q307" i="12" s="1"/>
  <c r="P262" i="12" a="1"/>
  <c r="P262" i="12" s="1"/>
  <c r="P570" i="12" a="1"/>
  <c r="P570" i="12" s="1"/>
  <c r="R450" i="12" a="1"/>
  <c r="R450" i="12" s="1"/>
  <c r="O450" i="12" a="1"/>
  <c r="O450" i="12" s="1"/>
  <c r="O529" i="12" a="1"/>
  <c r="O529" i="12" s="1"/>
  <c r="J453" i="12" a="1"/>
  <c r="J453" i="12" s="1"/>
  <c r="N353" i="12" a="1"/>
  <c r="N353" i="12" s="1"/>
  <c r="J443" i="12" a="1"/>
  <c r="J443" i="12" s="1"/>
  <c r="J385" i="12" a="1"/>
  <c r="J385" i="12" s="1"/>
  <c r="J341" i="12" a="1"/>
  <c r="J341" i="12" s="1"/>
  <c r="J304" i="12" a="1"/>
  <c r="J304" i="12" s="1"/>
  <c r="J373" i="12" a="1"/>
  <c r="J373" i="12" s="1"/>
  <c r="K339" i="12" a="1"/>
  <c r="K339" i="12" s="1"/>
  <c r="R580" i="12" a="1"/>
  <c r="R580" i="12" s="1"/>
  <c r="L548" i="12" a="1"/>
  <c r="L548" i="12" s="1"/>
  <c r="S567" i="12" a="1"/>
  <c r="S567" i="12" s="1"/>
  <c r="I392" i="12" a="1"/>
  <c r="I392" i="12" s="1"/>
  <c r="Q523" i="12" a="1"/>
  <c r="Q523" i="12" s="1"/>
  <c r="K523" i="12" a="1"/>
  <c r="K523" i="12" s="1"/>
  <c r="G512" i="12" a="1"/>
  <c r="G512" i="12" s="1"/>
  <c r="R535" i="12" a="1"/>
  <c r="R535" i="12" s="1"/>
  <c r="Q409" i="12" a="1"/>
  <c r="Q409" i="12" s="1"/>
  <c r="F478" i="12" a="1"/>
  <c r="F478" i="12" s="1"/>
  <c r="U584" i="2" a="1"/>
  <c r="U584" i="2" s="1"/>
  <c r="O310" i="12" a="1"/>
  <c r="O310" i="12" s="1"/>
  <c r="R369" i="12" a="1"/>
  <c r="R369" i="12" s="1"/>
  <c r="Q339" i="12" a="1"/>
  <c r="Q339" i="12" s="1"/>
  <c r="I307" i="12" a="1"/>
  <c r="I307" i="12" s="1"/>
  <c r="M488" i="12" a="1"/>
  <c r="M488" i="12" s="1"/>
  <c r="I395" i="12" a="1"/>
  <c r="I395" i="12" s="1"/>
  <c r="O487" i="12" a="1"/>
  <c r="O487" i="12" s="1"/>
  <c r="T487" i="12" a="1"/>
  <c r="T487" i="12" s="1"/>
  <c r="G560" i="12" a="1"/>
  <c r="G560" i="12" s="1"/>
  <c r="F433" i="12" a="1"/>
  <c r="F433" i="12" s="1"/>
  <c r="U594" i="2" a="1"/>
  <c r="U594" i="2" s="1"/>
  <c r="I532" i="12" a="1"/>
  <c r="I532" i="12" s="1"/>
  <c r="F455" i="12" a="1"/>
  <c r="F455" i="12" s="1"/>
  <c r="U586" i="2" a="1"/>
  <c r="U586" i="2" s="1"/>
  <c r="P396" i="12" a="1"/>
  <c r="P396" i="12" s="1"/>
  <c r="K411" i="12" a="1"/>
  <c r="K411" i="12" s="1"/>
  <c r="T405" i="12" a="1"/>
  <c r="T405" i="12" s="1"/>
  <c r="N352" i="12" a="1"/>
  <c r="N352" i="12" s="1"/>
  <c r="P592" i="12" a="1"/>
  <c r="P592" i="12" s="1"/>
  <c r="O444" i="12" a="1"/>
  <c r="O444" i="12" s="1"/>
  <c r="P446" i="12" a="1"/>
  <c r="P446" i="12" s="1"/>
  <c r="M417" i="12" a="1"/>
  <c r="M417" i="12" s="1"/>
  <c r="N371" i="12" a="1"/>
  <c r="N371" i="12" s="1"/>
  <c r="N361" i="12" a="1"/>
  <c r="N361" i="12" s="1"/>
  <c r="L360" i="12" a="1"/>
  <c r="L360" i="12" s="1"/>
  <c r="AR526" i="2" a="1"/>
  <c r="AR526" i="2" s="1"/>
  <c r="AQ526" i="2" a="1"/>
  <c r="AQ526" i="2" s="1"/>
  <c r="O481" i="12" a="1"/>
  <c r="O481" i="12" s="1"/>
  <c r="O384" i="12" a="1"/>
  <c r="O384" i="12" s="1"/>
  <c r="L459" i="12" a="1"/>
  <c r="L459" i="12" s="1"/>
  <c r="R459" i="12" a="1"/>
  <c r="R459" i="12" s="1"/>
  <c r="T524" i="12" a="1"/>
  <c r="T524" i="12" s="1"/>
  <c r="Q437" i="12" a="1"/>
  <c r="Q437" i="12" s="1"/>
  <c r="K437" i="12" a="1"/>
  <c r="K437" i="12" s="1"/>
  <c r="G278" i="12" a="1"/>
  <c r="G278" i="12" s="1"/>
  <c r="Q300" i="12" a="1"/>
  <c r="Q300" i="12" s="1"/>
  <c r="R359" i="12" a="1"/>
  <c r="R359" i="12" s="1"/>
  <c r="R600" i="12" a="1"/>
  <c r="R600" i="12" s="1"/>
  <c r="G355" i="12" a="1"/>
  <c r="G355" i="12" s="1"/>
  <c r="K389" i="12" a="1"/>
  <c r="K389" i="12" s="1"/>
  <c r="F600" i="12" a="1"/>
  <c r="F600" i="12" s="1"/>
  <c r="K326" i="12" a="1"/>
  <c r="K326" i="12" s="1"/>
  <c r="G343" i="12" a="1"/>
  <c r="G343" i="12" s="1"/>
  <c r="N605" i="12" a="1"/>
  <c r="N605" i="12" s="1"/>
  <c r="T347" i="12" a="1"/>
  <c r="T347" i="12" s="1"/>
  <c r="R286" i="12" a="1"/>
  <c r="R286" i="12" s="1"/>
  <c r="O555" i="12" a="1"/>
  <c r="O555" i="12" s="1"/>
  <c r="R571" i="12" a="1"/>
  <c r="R571" i="12" s="1"/>
  <c r="M271" i="12" a="1"/>
  <c r="M271" i="12" s="1"/>
  <c r="Q447" i="12" a="1"/>
  <c r="Q447" i="12" s="1"/>
  <c r="L498" i="12" a="1"/>
  <c r="L498" i="12" s="1"/>
  <c r="O316" i="12" a="1"/>
  <c r="O316" i="12" s="1"/>
  <c r="K316" i="12" a="1"/>
  <c r="K316" i="12" s="1"/>
  <c r="F339" i="12" a="1"/>
  <c r="F339" i="12" s="1"/>
  <c r="F338" i="12" a="1"/>
  <c r="F338" i="12" s="1"/>
  <c r="P601" i="12" a="1"/>
  <c r="P601" i="12" s="1"/>
  <c r="Q270" i="12" a="1"/>
  <c r="Q270" i="12" s="1"/>
  <c r="R270" i="12" a="1"/>
  <c r="R270" i="12" s="1"/>
  <c r="P280" i="12" a="1"/>
  <c r="P280" i="12" s="1"/>
  <c r="I214" i="12" a="1"/>
  <c r="I214" i="12" s="1"/>
  <c r="S448" i="12" a="1"/>
  <c r="S448" i="12" s="1"/>
  <c r="P506" i="12" a="1"/>
  <c r="P506" i="12" s="1"/>
  <c r="R249" i="12" a="1"/>
  <c r="R249" i="12" s="1"/>
  <c r="O364" i="12" a="1"/>
  <c r="O364" i="12" s="1"/>
  <c r="S343" i="12" a="1"/>
  <c r="S343" i="12" s="1"/>
  <c r="M605" i="12" a="1"/>
  <c r="M605" i="12" s="1"/>
  <c r="L320" i="12" a="1"/>
  <c r="L320" i="12" s="1"/>
  <c r="K380" i="12" a="1"/>
  <c r="K380" i="12" s="1"/>
  <c r="P357" i="12" a="1"/>
  <c r="P357" i="12" s="1"/>
  <c r="K357" i="12" a="1"/>
  <c r="K357" i="12" s="1"/>
  <c r="Q406" i="12" a="1"/>
  <c r="Q406" i="12" s="1"/>
  <c r="I302" i="12" a="1"/>
  <c r="I302" i="12" s="1"/>
  <c r="Q249" i="12" a="1"/>
  <c r="Q249" i="12" s="1"/>
  <c r="Q367" i="12" a="1"/>
  <c r="Q367" i="12" s="1"/>
  <c r="L601" i="12" a="1"/>
  <c r="L601" i="12" s="1"/>
  <c r="N349" i="12" a="1"/>
  <c r="N349" i="12" s="1"/>
  <c r="R251" i="12" a="1"/>
  <c r="R251" i="12" s="1"/>
  <c r="F329" i="12" a="1"/>
  <c r="F329" i="12" s="1"/>
  <c r="N301" i="12" a="1"/>
  <c r="N301" i="12" s="1"/>
  <c r="F291" i="12" a="1"/>
  <c r="F291" i="12" s="1"/>
  <c r="U579" i="2" a="1"/>
  <c r="U579" i="2" s="1"/>
  <c r="T400" i="12" a="1"/>
  <c r="T400" i="12" s="1"/>
  <c r="J303" i="12" a="1"/>
  <c r="J303" i="12" s="1"/>
  <c r="AA622" i="12" a="1"/>
  <c r="AA622" i="12" s="1"/>
  <c r="R351" i="12" a="1"/>
  <c r="R351" i="12" s="1"/>
  <c r="N351" i="12" a="1"/>
  <c r="N351" i="12" s="1"/>
  <c r="S306" i="12" a="1"/>
  <c r="S306" i="12" s="1"/>
  <c r="L290" i="12" a="1"/>
  <c r="L290" i="12" s="1"/>
  <c r="K294" i="12" a="1"/>
  <c r="K294" i="12" s="1"/>
  <c r="O591" i="12" a="1"/>
  <c r="O591" i="12" s="1"/>
  <c r="O286" i="12" a="1"/>
  <c r="O286" i="12" s="1"/>
  <c r="O413" i="12" a="1"/>
  <c r="O413" i="12" s="1"/>
  <c r="R413" i="12" a="1"/>
  <c r="R413" i="12" s="1"/>
  <c r="J402" i="12" a="1"/>
  <c r="J402" i="12" s="1"/>
  <c r="J521" i="12" a="1"/>
  <c r="J521" i="12" s="1"/>
  <c r="Q521" i="12" a="1"/>
  <c r="Q521" i="12" s="1"/>
  <c r="L440" i="12" a="1"/>
  <c r="L440" i="12" s="1"/>
  <c r="R440" i="12" a="1"/>
  <c r="R440" i="12" s="1"/>
  <c r="L574" i="12" a="1"/>
  <c r="L574" i="12" s="1"/>
  <c r="M591" i="12" a="1"/>
  <c r="M591" i="12" s="1"/>
  <c r="I350" i="12" a="1"/>
  <c r="I350" i="12" s="1"/>
  <c r="K576" i="12" a="1"/>
  <c r="K576" i="12" s="1"/>
  <c r="R575" i="12" a="1"/>
  <c r="R575" i="12" s="1"/>
  <c r="Q252" i="12" a="1"/>
  <c r="Q252" i="12" s="1"/>
  <c r="J271" i="12" a="1"/>
  <c r="J271" i="12" s="1"/>
  <c r="O604" i="12" a="1"/>
  <c r="O604" i="12" s="1"/>
  <c r="L532" i="12" a="1"/>
  <c r="L532" i="12" s="1"/>
  <c r="M360" i="12" a="1"/>
  <c r="M360" i="12" s="1"/>
  <c r="L336" i="12" a="1"/>
  <c r="L336" i="12" s="1"/>
  <c r="R336" i="12" a="1"/>
  <c r="R336" i="12" s="1"/>
  <c r="T344" i="12" a="1"/>
  <c r="T344" i="12" s="1"/>
  <c r="I319" i="12" a="1"/>
  <c r="I319" i="12" s="1"/>
  <c r="G576" i="12" a="1"/>
  <c r="G576" i="12" s="1"/>
  <c r="I334" i="12" a="1"/>
  <c r="I334" i="12" s="1"/>
  <c r="R329" i="12" a="1"/>
  <c r="R329" i="12" s="1"/>
  <c r="G158" i="12" a="1"/>
  <c r="G158" i="12" s="1"/>
  <c r="U468" i="2" a="1"/>
  <c r="U468" i="2" s="1"/>
  <c r="T254" i="12" a="1"/>
  <c r="T254" i="12" s="1"/>
  <c r="I555" i="12" a="1"/>
  <c r="I555" i="12" s="1"/>
  <c r="R269" i="12" a="1"/>
  <c r="R269" i="12" s="1"/>
  <c r="I445" i="12" a="1"/>
  <c r="I445" i="12" s="1"/>
  <c r="T470" i="12" a="1"/>
  <c r="T470" i="12" s="1"/>
  <c r="M369" i="12" a="1"/>
  <c r="M369" i="12" s="1"/>
  <c r="L390" i="12" a="1"/>
  <c r="L390" i="12" s="1"/>
  <c r="U562" i="2" a="1"/>
  <c r="U562" i="2" s="1"/>
  <c r="N306" i="12" a="1"/>
  <c r="N306" i="12" s="1"/>
  <c r="S240" i="12" a="1"/>
  <c r="S240" i="12" s="1"/>
  <c r="G251" i="12" a="1"/>
  <c r="G251" i="12" s="1"/>
  <c r="R594" i="12" a="1"/>
  <c r="R594" i="12" s="1"/>
  <c r="O272" i="12" a="1"/>
  <c r="O272" i="12" s="1"/>
  <c r="P420" i="12" a="1"/>
  <c r="P420" i="12" s="1"/>
  <c r="T420" i="12" a="1"/>
  <c r="T420" i="12" s="1"/>
  <c r="M600" i="12" a="1"/>
  <c r="M600" i="12" s="1"/>
  <c r="R307" i="12" a="1"/>
  <c r="R307" i="12" s="1"/>
  <c r="G349" i="12" a="1"/>
  <c r="G349" i="12" s="1"/>
  <c r="R240" i="12" a="1"/>
  <c r="R240" i="12" s="1"/>
  <c r="Q605" i="12" a="1"/>
  <c r="Q605" i="12" s="1"/>
  <c r="M286" i="12" a="1"/>
  <c r="M286" i="12" s="1"/>
  <c r="M604" i="12" a="1"/>
  <c r="M604" i="12" s="1"/>
  <c r="Q429" i="12" a="1"/>
  <c r="Q429" i="12" s="1"/>
  <c r="P468" i="12" a="1"/>
  <c r="P468" i="12" s="1"/>
  <c r="R468" i="12" a="1"/>
  <c r="R468" i="12" s="1"/>
  <c r="M391" i="12" a="1"/>
  <c r="M391" i="12" s="1"/>
  <c r="Q331" i="12" a="1"/>
  <c r="Q331" i="12" s="1"/>
  <c r="I331" i="12" a="1"/>
  <c r="I331" i="12" s="1"/>
  <c r="L327" i="12" a="1"/>
  <c r="L327" i="12" s="1"/>
  <c r="I313" i="12" a="1"/>
  <c r="I313" i="12" s="1"/>
  <c r="S571" i="12" a="1"/>
  <c r="S571" i="12" s="1"/>
  <c r="P295" i="12" a="1"/>
  <c r="P295" i="12" s="1"/>
  <c r="Q334" i="12" a="1"/>
  <c r="Q334" i="12" s="1"/>
  <c r="K557" i="12" a="1"/>
  <c r="K557" i="12" s="1"/>
  <c r="J571" i="12" a="1"/>
  <c r="J571" i="12" s="1"/>
  <c r="K260" i="12" a="1"/>
  <c r="K260" i="12" s="1"/>
  <c r="P514" i="12" a="1"/>
  <c r="P514" i="12" s="1"/>
  <c r="N248" i="12" a="1"/>
  <c r="N248" i="12" s="1"/>
  <c r="I257" i="12" a="1"/>
  <c r="I257" i="12" s="1"/>
  <c r="T181" i="12" a="1"/>
  <c r="T181" i="12" s="1"/>
  <c r="L531" i="12" a="1"/>
  <c r="L531" i="12" s="1"/>
  <c r="L556" i="12" a="1"/>
  <c r="L556" i="12" s="1"/>
  <c r="L147" i="12" a="1"/>
  <c r="L147" i="12" s="1"/>
  <c r="S606" i="12" a="1"/>
  <c r="S606" i="12" s="1"/>
  <c r="S295" i="12" a="1"/>
  <c r="S295" i="12" s="1"/>
  <c r="S158" i="12" a="1"/>
  <c r="S158" i="12" s="1"/>
  <c r="S269" i="12" a="1"/>
  <c r="S269" i="12" s="1"/>
  <c r="S588" i="12" a="1"/>
  <c r="S588" i="12" s="1"/>
  <c r="S273" i="12" a="1"/>
  <c r="S273" i="12" s="1"/>
  <c r="N265" i="12" a="1"/>
  <c r="N265" i="12" s="1"/>
  <c r="G265" i="12" a="1"/>
  <c r="G265" i="12" s="1"/>
  <c r="L555" i="12" a="1"/>
  <c r="L555" i="12" s="1"/>
  <c r="S287" i="12" a="1"/>
  <c r="S287" i="12" s="1"/>
  <c r="G243" i="12" a="1"/>
  <c r="G243" i="12" s="1"/>
  <c r="I501" i="12" a="1"/>
  <c r="I501" i="12" s="1"/>
  <c r="I561" i="12" a="1"/>
  <c r="I561" i="12" s="1"/>
  <c r="R218" i="12" a="1"/>
  <c r="R218" i="12" s="1"/>
  <c r="Q257" i="12" a="1"/>
  <c r="Q257" i="12" s="1"/>
  <c r="I499" i="12" a="1"/>
  <c r="I499" i="12" s="1"/>
  <c r="R520" i="12" a="1"/>
  <c r="R520" i="12" s="1"/>
  <c r="Q282" i="12" a="1"/>
  <c r="Q282" i="12" s="1"/>
  <c r="P281" i="12" a="1"/>
  <c r="P281" i="12" s="1"/>
  <c r="L238" i="12" a="1"/>
  <c r="L238" i="12" s="1"/>
  <c r="R271" i="12" a="1"/>
  <c r="R271" i="12" s="1"/>
  <c r="R483" i="12" a="1"/>
  <c r="R483" i="12" s="1"/>
  <c r="O298" i="12" a="1"/>
  <c r="O298" i="12" s="1"/>
  <c r="J495" i="12" a="1"/>
  <c r="J495" i="12" s="1"/>
  <c r="O213" i="12" a="1"/>
  <c r="O213" i="12" s="1"/>
  <c r="K311" i="12" a="1"/>
  <c r="K311" i="12" s="1"/>
  <c r="J223" i="12" a="1"/>
  <c r="J223" i="12" s="1"/>
  <c r="M323" i="12" a="1"/>
  <c r="M323" i="12" s="1"/>
  <c r="K539" i="12" a="1"/>
  <c r="K539" i="12" s="1"/>
  <c r="S254" i="12" a="1"/>
  <c r="S254" i="12" s="1"/>
  <c r="K226" i="12" a="1"/>
  <c r="K226" i="12" s="1"/>
  <c r="L236" i="12" a="1"/>
  <c r="L236" i="12" s="1"/>
  <c r="T490" i="12" a="1"/>
  <c r="T490" i="12" s="1"/>
  <c r="I526" i="12" a="1"/>
  <c r="I526" i="12" s="1"/>
  <c r="J169" i="12" a="1"/>
  <c r="J169" i="12" s="1"/>
  <c r="R124" i="12" a="1"/>
  <c r="R124" i="12" s="1"/>
  <c r="AA643" i="12" a="1"/>
  <c r="AA643" i="12" s="1"/>
  <c r="Q122" i="12" a="1"/>
  <c r="Q122" i="12" s="1"/>
  <c r="Q38" i="12" a="1"/>
  <c r="Q38" i="12" s="1"/>
  <c r="T55" i="12" a="1"/>
  <c r="T55" i="12" s="1"/>
  <c r="L79" i="12" a="1"/>
  <c r="L79" i="12" s="1"/>
  <c r="R513" i="12" a="1"/>
  <c r="R513" i="12" s="1"/>
  <c r="F438" i="12" a="1"/>
  <c r="F438" i="12" s="1"/>
  <c r="U643" i="2" a="1"/>
  <c r="U643" i="2" s="1"/>
  <c r="I424" i="12" a="1"/>
  <c r="I424" i="12" s="1"/>
  <c r="I430" i="12" a="1"/>
  <c r="I430" i="12" s="1"/>
  <c r="P375" i="12" a="1"/>
  <c r="P375" i="12" s="1"/>
  <c r="G98" i="12" a="1"/>
  <c r="G98" i="12" s="1"/>
  <c r="N589" i="12" a="1"/>
  <c r="N589" i="12" s="1"/>
  <c r="Q467" i="12" a="1"/>
  <c r="Q467" i="12" s="1"/>
  <c r="G553" i="12" a="1"/>
  <c r="G553" i="12" s="1"/>
  <c r="K456" i="12" a="1"/>
  <c r="K456" i="12" s="1"/>
  <c r="O480" i="12" a="1"/>
  <c r="O480" i="12" s="1"/>
  <c r="F578" i="12" a="1"/>
  <c r="F578" i="12" s="1"/>
  <c r="U666" i="2" a="1"/>
  <c r="U666" i="2" s="1"/>
  <c r="P595" i="12" a="1"/>
  <c r="P595" i="12" s="1"/>
  <c r="P513" i="12" a="1"/>
  <c r="P513" i="12" s="1"/>
  <c r="T517" i="12" a="1"/>
  <c r="T517" i="12" s="1"/>
  <c r="O441" i="12" a="1"/>
  <c r="O441" i="12" s="1"/>
  <c r="R529" i="12" a="1"/>
  <c r="R529" i="12" s="1"/>
  <c r="T436" i="12" a="1"/>
  <c r="T436" i="12" s="1"/>
  <c r="N578" i="12" a="1"/>
  <c r="N578" i="12" s="1"/>
  <c r="I477" i="12" a="1"/>
  <c r="I477" i="12" s="1"/>
  <c r="G548" i="12" a="1"/>
  <c r="G548" i="12" s="1"/>
  <c r="J544" i="12" a="1"/>
  <c r="J544" i="12" s="1"/>
  <c r="R517" i="12" a="1"/>
  <c r="R517" i="12" s="1"/>
  <c r="R398" i="12" a="1"/>
  <c r="R398" i="12" s="1"/>
  <c r="Q587" i="12" a="1"/>
  <c r="Q587" i="12" s="1"/>
  <c r="G570" i="12" a="1"/>
  <c r="G570" i="12" s="1"/>
  <c r="N467" i="12" a="1"/>
  <c r="N467" i="12" s="1"/>
  <c r="Q517" i="12" a="1"/>
  <c r="Q517" i="12" s="1"/>
  <c r="G392" i="12" a="1"/>
  <c r="G392" i="12" s="1"/>
  <c r="F550" i="12" a="1"/>
  <c r="F550" i="12" s="1"/>
  <c r="I456" i="12" a="1"/>
  <c r="I456" i="12" s="1"/>
  <c r="S482" i="12" a="1"/>
  <c r="S482" i="12" s="1"/>
  <c r="R445" i="12" a="1"/>
  <c r="R445" i="12" s="1"/>
  <c r="I512" i="12" a="1"/>
  <c r="I512" i="12" s="1"/>
  <c r="J471" i="12" a="1"/>
  <c r="J471" i="12" s="1"/>
  <c r="F389" i="12" a="1"/>
  <c r="F389" i="12" s="1"/>
  <c r="U564" i="2" a="1"/>
  <c r="U564" i="2" s="1"/>
  <c r="I360" i="12" a="1"/>
  <c r="I360" i="12" s="1"/>
  <c r="P359" i="12" a="1"/>
  <c r="P359" i="12" s="1"/>
  <c r="F355" i="12" a="1"/>
  <c r="F355" i="12" s="1"/>
  <c r="U539" i="2" a="1"/>
  <c r="U539" i="2" s="1"/>
  <c r="S344" i="12" a="1"/>
  <c r="S344" i="12" s="1"/>
  <c r="G262" i="12" a="1"/>
  <c r="G262" i="12" s="1"/>
  <c r="U487" i="2" a="1"/>
  <c r="U487" i="2" s="1"/>
  <c r="P587" i="12" a="1"/>
  <c r="P587" i="12" s="1"/>
  <c r="R579" i="12" a="1"/>
  <c r="R579" i="12" s="1"/>
  <c r="Q529" i="12" a="1"/>
  <c r="Q529" i="12" s="1"/>
  <c r="G434" i="12" a="1"/>
  <c r="G434" i="12" s="1"/>
  <c r="P447" i="12" a="1"/>
  <c r="P447" i="12" s="1"/>
  <c r="J447" i="12" a="1"/>
  <c r="J447" i="12" s="1"/>
  <c r="G410" i="12" a="1"/>
  <c r="G410" i="12" s="1"/>
  <c r="G472" i="12" a="1"/>
  <c r="G472" i="12" s="1"/>
  <c r="J532" i="12" a="1"/>
  <c r="J532" i="12" s="1"/>
  <c r="AR580" i="2" a="1"/>
  <c r="AR580" i="2" s="1"/>
  <c r="AQ580" i="2" a="1"/>
  <c r="AQ580" i="2" s="1"/>
  <c r="M361" i="12" a="1"/>
  <c r="M361" i="12" s="1"/>
  <c r="Q506" i="12" a="1"/>
  <c r="Q506" i="12" s="1"/>
  <c r="S322" i="12" a="1"/>
  <c r="S322" i="12" s="1"/>
  <c r="L405" i="12" a="1"/>
  <c r="L405" i="12" s="1"/>
  <c r="J391" i="12" a="1"/>
  <c r="J391" i="12" s="1"/>
  <c r="G381" i="12" a="1"/>
  <c r="G381" i="12" s="1"/>
  <c r="O546" i="12" a="1"/>
  <c r="O546" i="12" s="1"/>
  <c r="K464" i="12" a="1"/>
  <c r="K464" i="12" s="1"/>
  <c r="G444" i="12" a="1"/>
  <c r="G444" i="12" s="1"/>
  <c r="F429" i="12" a="1"/>
  <c r="F429" i="12" s="1"/>
  <c r="G552" i="12" a="1"/>
  <c r="G552" i="12" s="1"/>
  <c r="M461" i="12" a="1"/>
  <c r="M461" i="12" s="1"/>
  <c r="I411" i="12" a="1"/>
  <c r="I411" i="12" s="1"/>
  <c r="AA648" i="12" a="1"/>
  <c r="AA648" i="12" s="1"/>
  <c r="U659" i="2" a="1"/>
  <c r="U659" i="2" s="1"/>
  <c r="P546" i="12" a="1"/>
  <c r="P546" i="12" s="1"/>
  <c r="G523" i="12" a="1"/>
  <c r="G523" i="12" s="1"/>
  <c r="Q353" i="12" a="1"/>
  <c r="Q353" i="12" s="1"/>
  <c r="Q396" i="12" a="1"/>
  <c r="Q396" i="12" s="1"/>
  <c r="O278" i="12" a="1"/>
  <c r="O278" i="12" s="1"/>
  <c r="T322" i="12" a="1"/>
  <c r="T322" i="12" s="1"/>
  <c r="K406" i="12" a="1"/>
  <c r="K406" i="12" s="1"/>
  <c r="J355" i="12" a="1"/>
  <c r="J355" i="12" s="1"/>
  <c r="S569" i="12" a="1"/>
  <c r="S569" i="12" s="1"/>
  <c r="Q569" i="12" a="1"/>
  <c r="Q569" i="12" s="1"/>
  <c r="P428" i="12" a="1"/>
  <c r="P428" i="12" s="1"/>
  <c r="T429" i="12" a="1"/>
  <c r="T429" i="12" s="1"/>
  <c r="N552" i="12" a="1"/>
  <c r="N552" i="12" s="1"/>
  <c r="N324" i="12" a="1"/>
  <c r="N324" i="12" s="1"/>
  <c r="G417" i="12" a="1"/>
  <c r="G417" i="12" s="1"/>
  <c r="I369" i="12" a="1"/>
  <c r="I369" i="12" s="1"/>
  <c r="N340" i="12" a="1"/>
  <c r="N340" i="12" s="1"/>
  <c r="O303" i="12" a="1"/>
  <c r="O303" i="12" s="1"/>
  <c r="K307" i="12" a="1"/>
  <c r="K307" i="12" s="1"/>
  <c r="L595" i="12" a="1"/>
  <c r="L595" i="12" s="1"/>
  <c r="K450" i="12" a="1"/>
  <c r="K450" i="12" s="1"/>
  <c r="I450" i="12" a="1"/>
  <c r="I450" i="12" s="1"/>
  <c r="K488" i="12" a="1"/>
  <c r="K488" i="12" s="1"/>
  <c r="P453" i="12" a="1"/>
  <c r="P453" i="12" s="1"/>
  <c r="Q532" i="12" a="1"/>
  <c r="Q532" i="12" s="1"/>
  <c r="I353" i="12" a="1"/>
  <c r="I353" i="12" s="1"/>
  <c r="I396" i="12" a="1"/>
  <c r="I396" i="12" s="1"/>
  <c r="K443" i="12" a="1"/>
  <c r="K443" i="12" s="1"/>
  <c r="K385" i="12" a="1"/>
  <c r="K385" i="12" s="1"/>
  <c r="K341" i="12" a="1"/>
  <c r="K341" i="12" s="1"/>
  <c r="K304" i="12" a="1"/>
  <c r="K304" i="12" s="1"/>
  <c r="K373" i="12" a="1"/>
  <c r="K373" i="12" s="1"/>
  <c r="G391" i="12" a="1"/>
  <c r="G391" i="12" s="1"/>
  <c r="J307" i="12" a="1"/>
  <c r="J307" i="12" s="1"/>
  <c r="T284" i="12" a="1"/>
  <c r="T284" i="12" s="1"/>
  <c r="K590" i="12" a="1"/>
  <c r="K590" i="12" s="1"/>
  <c r="F567" i="12" a="1"/>
  <c r="F567" i="12" s="1"/>
  <c r="U630" i="2" a="1"/>
  <c r="U630" i="2" s="1"/>
  <c r="I529" i="12" a="1"/>
  <c r="I529" i="12" s="1"/>
  <c r="M523" i="12" a="1"/>
  <c r="M523" i="12" s="1"/>
  <c r="I486" i="12" a="1"/>
  <c r="I486" i="12" s="1"/>
  <c r="R433" i="12" a="1"/>
  <c r="R433" i="12" s="1"/>
  <c r="M535" i="12" a="1"/>
  <c r="M535" i="12" s="1"/>
  <c r="L409" i="12" a="1"/>
  <c r="L409" i="12" s="1"/>
  <c r="Q478" i="12" a="1"/>
  <c r="Q478" i="12" s="1"/>
  <c r="K310" i="12" a="1"/>
  <c r="K310" i="12" s="1"/>
  <c r="P461" i="12" a="1"/>
  <c r="P461" i="12" s="1"/>
  <c r="P342" i="12" a="1"/>
  <c r="P342" i="12" s="1"/>
  <c r="L339" i="12" a="1"/>
  <c r="L339" i="12" s="1"/>
  <c r="P307" i="12" a="1"/>
  <c r="P307" i="12" s="1"/>
  <c r="T488" i="12" a="1"/>
  <c r="T488" i="12" s="1"/>
  <c r="O395" i="12" a="1"/>
  <c r="O395" i="12" s="1"/>
  <c r="K487" i="12" a="1"/>
  <c r="K487" i="12" s="1"/>
  <c r="R560" i="12" a="1"/>
  <c r="R560" i="12" s="1"/>
  <c r="I552" i="12" a="1"/>
  <c r="I552" i="12" s="1"/>
  <c r="Q433" i="12" a="1"/>
  <c r="Q433" i="12" s="1"/>
  <c r="O532" i="12" a="1"/>
  <c r="O532" i="12" s="1"/>
  <c r="Q455" i="12" a="1"/>
  <c r="Q455" i="12" s="1"/>
  <c r="Q394" i="12" a="1"/>
  <c r="Q394" i="12" s="1"/>
  <c r="O322" i="12" a="1"/>
  <c r="O322" i="12" s="1"/>
  <c r="M405" i="12" a="1"/>
  <c r="M405" i="12" s="1"/>
  <c r="G352" i="12" a="1"/>
  <c r="G352" i="12" s="1"/>
  <c r="F424" i="12" a="1"/>
  <c r="F424" i="12" s="1"/>
  <c r="F447" i="12" a="1"/>
  <c r="F447" i="12" s="1"/>
  <c r="U615" i="2" a="1"/>
  <c r="U615" i="2" s="1"/>
  <c r="K446" i="12" a="1"/>
  <c r="K446" i="12" s="1"/>
  <c r="K324" i="12" a="1"/>
  <c r="K324" i="12" s="1"/>
  <c r="N417" i="12" a="1"/>
  <c r="N417" i="12" s="1"/>
  <c r="J371" i="12" a="1"/>
  <c r="J371" i="12" s="1"/>
  <c r="O385" i="12" a="1"/>
  <c r="O385" i="12" s="1"/>
  <c r="N342" i="12" a="1"/>
  <c r="N342" i="12" s="1"/>
  <c r="L391" i="12" a="1"/>
  <c r="L391" i="12" s="1"/>
  <c r="K384" i="12" a="1"/>
  <c r="K384" i="12" s="1"/>
  <c r="I384" i="12" a="1"/>
  <c r="I384" i="12" s="1"/>
  <c r="S459" i="12" a="1"/>
  <c r="S459" i="12" s="1"/>
  <c r="I489" i="12" a="1"/>
  <c r="I489" i="12" s="1"/>
  <c r="I524" i="12" a="1"/>
  <c r="I524" i="12" s="1"/>
  <c r="M437" i="12" a="1"/>
  <c r="M437" i="12" s="1"/>
  <c r="N461" i="12" a="1"/>
  <c r="N461" i="12" s="1"/>
  <c r="R506" i="12" a="1"/>
  <c r="R506" i="12" s="1"/>
  <c r="G399" i="12" a="1"/>
  <c r="G399" i="12" s="1"/>
  <c r="J300" i="12" a="1"/>
  <c r="J300" i="12" s="1"/>
  <c r="S359" i="12" a="1"/>
  <c r="S359" i="12" s="1"/>
  <c r="K600" i="12" a="1"/>
  <c r="K600" i="12" s="1"/>
  <c r="X618" i="12" a="1"/>
  <c r="X618" i="12" s="1"/>
  <c r="Z648" i="12" a="1"/>
  <c r="Z648" i="12" s="1"/>
  <c r="G326" i="12" a="1"/>
  <c r="G326" i="12" s="1"/>
  <c r="O240" i="12" a="1"/>
  <c r="O240" i="12" s="1"/>
  <c r="P575" i="12" a="1"/>
  <c r="P575" i="12" s="1"/>
  <c r="F347" i="12" a="1"/>
  <c r="F347" i="12" s="1"/>
  <c r="U477" i="2" a="1"/>
  <c r="U477" i="2" s="1"/>
  <c r="K286" i="12" a="1"/>
  <c r="K286" i="12" s="1"/>
  <c r="O158" i="12" a="1"/>
  <c r="O158" i="12" s="1"/>
  <c r="O254" i="12" a="1"/>
  <c r="O254" i="12" s="1"/>
  <c r="R219" i="12" a="1"/>
  <c r="R219" i="12" s="1"/>
  <c r="K571" i="12" a="1"/>
  <c r="K571" i="12" s="1"/>
  <c r="J315" i="12" a="1"/>
  <c r="J315" i="12" s="1"/>
  <c r="G271" i="12" a="1"/>
  <c r="G271" i="12" s="1"/>
  <c r="J410" i="12" a="1"/>
  <c r="J410" i="12" s="1"/>
  <c r="G498" i="12" a="1"/>
  <c r="G498" i="12" s="1"/>
  <c r="I316" i="12" a="1"/>
  <c r="I316" i="12" s="1"/>
  <c r="Q316" i="12" a="1"/>
  <c r="Q316" i="12" s="1"/>
  <c r="N344" i="12" a="1"/>
  <c r="N344" i="12" s="1"/>
  <c r="P284" i="12" a="1"/>
  <c r="P284" i="12" s="1"/>
  <c r="Q601" i="12" a="1"/>
  <c r="Q601" i="12" s="1"/>
  <c r="G270" i="12" a="1"/>
  <c r="G270" i="12" s="1"/>
  <c r="J270" i="12" a="1"/>
  <c r="J270" i="12" s="1"/>
  <c r="G280" i="12" a="1"/>
  <c r="G280" i="12" s="1"/>
  <c r="U434" i="2" a="1"/>
  <c r="U434" i="2" s="1"/>
  <c r="F532" i="12" a="1"/>
  <c r="F532" i="12" s="1"/>
  <c r="M448" i="12" a="1"/>
  <c r="M448" i="12" s="1"/>
  <c r="M443" i="12" a="1"/>
  <c r="M443" i="12" s="1"/>
  <c r="T362" i="12" a="1"/>
  <c r="T362" i="12" s="1"/>
  <c r="P364" i="12" a="1"/>
  <c r="P364" i="12" s="1"/>
  <c r="M262" i="12" a="1"/>
  <c r="M262" i="12" s="1"/>
  <c r="P525" i="12" a="1"/>
  <c r="P525" i="12" s="1"/>
  <c r="L380" i="12" a="1"/>
  <c r="L380" i="12" s="1"/>
  <c r="J357" i="12" a="1"/>
  <c r="J357" i="12" s="1"/>
  <c r="Q357" i="12" a="1"/>
  <c r="Q357" i="12" s="1"/>
  <c r="O391" i="12" a="1"/>
  <c r="O391" i="12" s="1"/>
  <c r="K302" i="12" a="1"/>
  <c r="K302" i="12" s="1"/>
  <c r="S249" i="12" a="1"/>
  <c r="S249" i="12" s="1"/>
  <c r="G367" i="12" a="1"/>
  <c r="G367" i="12" s="1"/>
  <c r="S328" i="12" a="1"/>
  <c r="S328" i="12" s="1"/>
  <c r="K572" i="12" a="1"/>
  <c r="K572" i="12" s="1"/>
  <c r="T349" i="12" a="1"/>
  <c r="T349" i="12" s="1"/>
  <c r="O290" i="12" a="1"/>
  <c r="O290" i="12" s="1"/>
  <c r="K251" i="12" a="1"/>
  <c r="K251" i="12" s="1"/>
  <c r="K512" i="12" a="1"/>
  <c r="K512" i="12" s="1"/>
  <c r="Q291" i="12" a="1"/>
  <c r="Q291" i="12" s="1"/>
  <c r="O411" i="12" a="1"/>
  <c r="O411" i="12" s="1"/>
  <c r="N400" i="12" a="1"/>
  <c r="N400" i="12" s="1"/>
  <c r="S304" i="12" a="1"/>
  <c r="S304" i="12" s="1"/>
  <c r="AQ537" i="2" a="1"/>
  <c r="AQ537" i="2" s="1"/>
  <c r="AR537" i="2" a="1"/>
  <c r="AR537" i="2" s="1"/>
  <c r="S351" i="12" a="1"/>
  <c r="S351" i="12" s="1"/>
  <c r="M326" i="12" a="1"/>
  <c r="M326" i="12" s="1"/>
  <c r="P302" i="12" a="1"/>
  <c r="P302" i="12" s="1"/>
  <c r="R290" i="12" a="1"/>
  <c r="R290" i="12" s="1"/>
  <c r="L294" i="12" a="1"/>
  <c r="L294" i="12" s="1"/>
  <c r="M252" i="12" a="1"/>
  <c r="M252" i="12" s="1"/>
  <c r="J198" i="12" a="1"/>
  <c r="J198" i="12" s="1"/>
  <c r="P413" i="12" a="1"/>
  <c r="P413" i="12" s="1"/>
  <c r="S413" i="12" a="1"/>
  <c r="S413" i="12" s="1"/>
  <c r="K402" i="12" a="1"/>
  <c r="K402" i="12" s="1"/>
  <c r="G521" i="12" a="1"/>
  <c r="G521" i="12" s="1"/>
  <c r="S440" i="12" a="1"/>
  <c r="S440" i="12" s="1"/>
  <c r="P600" i="12" a="1"/>
  <c r="P600" i="12" s="1"/>
  <c r="AL527" i="2" a="1"/>
  <c r="AL527" i="2" s="1"/>
  <c r="R574" i="12" a="1"/>
  <c r="R574" i="12" s="1"/>
  <c r="J591" i="12" a="1"/>
  <c r="J591" i="12" s="1"/>
  <c r="AB632" i="12" a="1"/>
  <c r="AB632" i="12" s="1"/>
  <c r="I251" i="12" a="1"/>
  <c r="I251" i="12" s="1"/>
  <c r="I575" i="12" a="1"/>
  <c r="I575" i="12" s="1"/>
  <c r="F247" i="12" a="1"/>
  <c r="F247" i="12" s="1"/>
  <c r="U475" i="2" a="1"/>
  <c r="U475" i="2" s="1"/>
  <c r="I271" i="12" a="1"/>
  <c r="I271" i="12" s="1"/>
  <c r="L353" i="12" a="1"/>
  <c r="L353" i="12" s="1"/>
  <c r="S336" i="12" a="1"/>
  <c r="S336" i="12" s="1"/>
  <c r="Z672" i="12" a="1"/>
  <c r="Z672" i="12" s="1"/>
  <c r="U518" i="2" a="1"/>
  <c r="U518" i="2" s="1"/>
  <c r="J319" i="12" a="1"/>
  <c r="J319" i="12" s="1"/>
  <c r="R576" i="12" a="1"/>
  <c r="R576" i="12" s="1"/>
  <c r="T334" i="12" a="1"/>
  <c r="T334" i="12" s="1"/>
  <c r="I329" i="12" a="1"/>
  <c r="I329" i="12" s="1"/>
  <c r="R158" i="12" a="1"/>
  <c r="R158" i="12" s="1"/>
  <c r="T555" i="12" a="1"/>
  <c r="T555" i="12" s="1"/>
  <c r="I269" i="12" a="1"/>
  <c r="I269" i="12" s="1"/>
  <c r="K470" i="12" a="1"/>
  <c r="K470" i="12" s="1"/>
  <c r="M390" i="12" a="1"/>
  <c r="M390" i="12" s="1"/>
  <c r="F506" i="12" a="1"/>
  <c r="F506" i="12" s="1"/>
  <c r="J367" i="12" a="1"/>
  <c r="J367" i="12" s="1"/>
  <c r="J334" i="12" a="1"/>
  <c r="J334" i="12" s="1"/>
  <c r="K295" i="12" a="1"/>
  <c r="K295" i="12" s="1"/>
  <c r="Q420" i="12" a="1"/>
  <c r="Q420" i="12" s="1"/>
  <c r="L471" i="12" a="1"/>
  <c r="L471" i="12" s="1"/>
  <c r="P373" i="12" a="1"/>
  <c r="P373" i="12" s="1"/>
  <c r="Q344" i="12" a="1"/>
  <c r="Q344" i="12" s="1"/>
  <c r="U501" i="2" a="1"/>
  <c r="U501" i="2" s="1"/>
  <c r="K301" i="12" a="1"/>
  <c r="K301" i="12" s="1"/>
  <c r="K214" i="12" a="1"/>
  <c r="K214" i="12" s="1"/>
  <c r="Q468" i="12" a="1"/>
  <c r="Q468" i="12" s="1"/>
  <c r="S468" i="12" a="1"/>
  <c r="S468" i="12" s="1"/>
  <c r="F318" i="12" a="1"/>
  <c r="F318" i="12" s="1"/>
  <c r="U531" i="2" a="1"/>
  <c r="U531" i="2" s="1"/>
  <c r="G331" i="12" a="1"/>
  <c r="G331" i="12" s="1"/>
  <c r="T331" i="12" a="1"/>
  <c r="T331" i="12" s="1"/>
  <c r="G290" i="12" a="1"/>
  <c r="G290" i="12" s="1"/>
  <c r="Q262" i="12" a="1"/>
  <c r="Q262" i="12" s="1"/>
  <c r="S219" i="12" a="1"/>
  <c r="S219" i="12" s="1"/>
  <c r="F295" i="12" a="1"/>
  <c r="F295" i="12" s="1"/>
  <c r="U442" i="2" a="1"/>
  <c r="U442" i="2" s="1"/>
  <c r="M258" i="12" a="1"/>
  <c r="M258" i="12" s="1"/>
  <c r="T323" i="12" a="1"/>
  <c r="T323" i="12" s="1"/>
  <c r="G514" i="12" a="1"/>
  <c r="G514" i="12" s="1"/>
  <c r="I268" i="12" a="1"/>
  <c r="I268" i="12" s="1"/>
  <c r="M185" i="12" a="1"/>
  <c r="M185" i="12" s="1"/>
  <c r="T499" i="12" a="1"/>
  <c r="T499" i="12" s="1"/>
  <c r="L197" i="12" a="1"/>
  <c r="L197" i="12" s="1"/>
  <c r="R149" i="12" a="1"/>
  <c r="R149" i="12" s="1"/>
  <c r="R131" i="12" a="1"/>
  <c r="R131" i="12" s="1"/>
  <c r="R306" i="12" a="1"/>
  <c r="R306" i="12" s="1"/>
  <c r="R252" i="12" a="1"/>
  <c r="R252" i="12" s="1"/>
  <c r="R566" i="12" a="1"/>
  <c r="R566" i="12" s="1"/>
  <c r="R262" i="12" a="1"/>
  <c r="R262" i="12" s="1"/>
  <c r="R260" i="12" a="1"/>
  <c r="R260" i="12" s="1"/>
  <c r="R277" i="12" a="1"/>
  <c r="R277" i="12" s="1"/>
  <c r="R248" i="12" a="1"/>
  <c r="R248" i="12" s="1"/>
  <c r="M367" i="12" a="1"/>
  <c r="M367" i="12" s="1"/>
  <c r="O265" i="12" a="1"/>
  <c r="O265" i="12" s="1"/>
  <c r="R265" i="12" a="1"/>
  <c r="R265" i="12" s="1"/>
  <c r="J287" i="12" a="1"/>
  <c r="J287" i="12" s="1"/>
  <c r="T234" i="12" a="1"/>
  <c r="T234" i="12" s="1"/>
  <c r="F323" i="12" a="1"/>
  <c r="F323" i="12" s="1"/>
  <c r="U439" i="2" a="1"/>
  <c r="U439" i="2" s="1"/>
  <c r="J581" i="12" a="1"/>
  <c r="J581" i="12" s="1"/>
  <c r="N208" i="12" a="1"/>
  <c r="N208" i="12" s="1"/>
  <c r="AA658" i="12" a="1"/>
  <c r="AA658" i="12" s="1"/>
  <c r="G573" i="12" a="1"/>
  <c r="G573" i="12" s="1"/>
  <c r="J180" i="12" a="1"/>
  <c r="J180" i="12" s="1"/>
  <c r="N236" i="12" a="1"/>
  <c r="N236" i="12" s="1"/>
  <c r="K228" i="12" a="1"/>
  <c r="K228" i="12" s="1"/>
  <c r="F465" i="12" a="1"/>
  <c r="F465" i="12" s="1"/>
  <c r="U353" i="2" a="1"/>
  <c r="U353" i="2" s="1"/>
  <c r="M249" i="12" a="1"/>
  <c r="M249" i="12" s="1"/>
  <c r="G281" i="12" a="1"/>
  <c r="G281" i="12" s="1"/>
  <c r="R238" i="12" a="1"/>
  <c r="R238" i="12" s="1"/>
  <c r="X638" i="12" a="1"/>
  <c r="X638" i="12" s="1"/>
  <c r="P248" i="12" a="1"/>
  <c r="P248" i="12" s="1"/>
  <c r="Q218" i="12" a="1"/>
  <c r="Q218" i="12" s="1"/>
  <c r="G298" i="12" a="1"/>
  <c r="G298" i="12" s="1"/>
  <c r="N298" i="12" a="1"/>
  <c r="N298" i="12" s="1"/>
  <c r="N536" i="12" a="1"/>
  <c r="N536" i="12" s="1"/>
  <c r="N315" i="12" a="1"/>
  <c r="N315" i="12" s="1"/>
  <c r="Q604" i="12" a="1"/>
  <c r="Q604" i="12" s="1"/>
  <c r="P585" i="12" a="1"/>
  <c r="P585" i="12" s="1"/>
  <c r="G282" i="12" a="1"/>
  <c r="G282" i="12" s="1"/>
  <c r="P505" i="12" a="1"/>
  <c r="P505" i="12" s="1"/>
  <c r="S514" i="12" a="1"/>
  <c r="S514" i="12" s="1"/>
  <c r="I243" i="12" a="1"/>
  <c r="I243" i="12" s="1"/>
  <c r="S246" i="12" a="1"/>
  <c r="S246" i="12" s="1"/>
  <c r="AA650" i="12" a="1"/>
  <c r="AA650" i="12" s="1"/>
  <c r="L263" i="12" a="1"/>
  <c r="L263" i="12" s="1"/>
  <c r="P108" i="12" a="1"/>
  <c r="P108" i="12" s="1"/>
  <c r="O416" i="12" a="1"/>
  <c r="O416" i="12" s="1"/>
  <c r="AB650" i="12" a="1"/>
  <c r="AB650" i="12" s="1"/>
  <c r="L196" i="12" a="1"/>
  <c r="L196" i="12" s="1"/>
  <c r="J372" i="12" a="1"/>
  <c r="J372" i="12" s="1"/>
  <c r="M110" i="12" a="1"/>
  <c r="M110" i="12" s="1"/>
  <c r="J387" i="12" a="1"/>
  <c r="J387" i="12" s="1"/>
  <c r="O90" i="12" a="1"/>
  <c r="O90" i="12" s="1"/>
  <c r="I525" i="12" a="1"/>
  <c r="I525" i="12" s="1"/>
  <c r="Z225" i="3" a="1"/>
  <c r="Z225" i="3" s="1"/>
  <c r="I398" i="12" a="1"/>
  <c r="I398" i="12" s="1"/>
  <c r="L441" i="12" a="1"/>
  <c r="L441" i="12" s="1"/>
  <c r="I565" i="12" a="1"/>
  <c r="I565" i="12" s="1"/>
  <c r="G481" i="12" a="1"/>
  <c r="G481" i="12" s="1"/>
  <c r="K441" i="12" a="1"/>
  <c r="K441" i="12" s="1"/>
  <c r="Q485" i="12" a="1"/>
  <c r="Q485" i="12" s="1"/>
  <c r="F460" i="12" a="1"/>
  <c r="F460" i="12" s="1"/>
  <c r="U604" i="2" a="1"/>
  <c r="U604" i="2" s="1"/>
  <c r="R516" i="12" a="1"/>
  <c r="R516" i="12" s="1"/>
  <c r="P565" i="12" a="1"/>
  <c r="P565" i="12" s="1"/>
  <c r="O517" i="12" a="1"/>
  <c r="O517" i="12" s="1"/>
  <c r="L491" i="12" a="1"/>
  <c r="L491" i="12" s="1"/>
  <c r="L489" i="12" a="1"/>
  <c r="L489" i="12" s="1"/>
  <c r="Q578" i="12" a="1"/>
  <c r="Q578" i="12" s="1"/>
  <c r="G518" i="12" a="1"/>
  <c r="G518" i="12" s="1"/>
  <c r="N554" i="12" a="1"/>
  <c r="N554" i="12" s="1"/>
  <c r="N398" i="12" a="1"/>
  <c r="N398" i="12" s="1"/>
  <c r="J424" i="12" a="1"/>
  <c r="J424" i="12" s="1"/>
  <c r="M456" i="12" a="1"/>
  <c r="M456" i="12" s="1"/>
  <c r="M587" i="12" a="1"/>
  <c r="M587" i="12" s="1"/>
  <c r="T590" i="12" a="1"/>
  <c r="T590" i="12" s="1"/>
  <c r="O589" i="12" a="1"/>
  <c r="O589" i="12" s="1"/>
  <c r="R595" i="12" a="1"/>
  <c r="R595" i="12" s="1"/>
  <c r="F565" i="12" a="1"/>
  <c r="F565" i="12" s="1"/>
  <c r="U653" i="2" a="1"/>
  <c r="U653" i="2" s="1"/>
  <c r="J513" i="12" a="1"/>
  <c r="J513" i="12" s="1"/>
  <c r="P553" i="12" a="1"/>
  <c r="P553" i="12" s="1"/>
  <c r="J375" i="12" a="1"/>
  <c r="J375" i="12" s="1"/>
  <c r="L587" i="12" a="1"/>
  <c r="L587" i="12" s="1"/>
  <c r="S570" i="12" a="1"/>
  <c r="S570" i="12" s="1"/>
  <c r="I467" i="12" a="1"/>
  <c r="I467" i="12" s="1"/>
  <c r="L517" i="12" a="1"/>
  <c r="L517" i="12" s="1"/>
  <c r="Q491" i="12" a="1"/>
  <c r="Q491" i="12" s="1"/>
  <c r="I480" i="12" a="1"/>
  <c r="I480" i="12" s="1"/>
  <c r="M518" i="12" a="1"/>
  <c r="M518" i="12" s="1"/>
  <c r="T544" i="12" a="1"/>
  <c r="T544" i="12" s="1"/>
  <c r="M579" i="12" a="1"/>
  <c r="M579" i="12" s="1"/>
  <c r="K517" i="12" a="1"/>
  <c r="K517" i="12" s="1"/>
  <c r="T538" i="12" a="1"/>
  <c r="T538" i="12" s="1"/>
  <c r="S542" i="12" a="1"/>
  <c r="S542" i="12" s="1"/>
  <c r="L518" i="12" a="1"/>
  <c r="L518" i="12" s="1"/>
  <c r="N543" i="12" a="1"/>
  <c r="N543" i="12" s="1"/>
  <c r="Q577" i="12" a="1"/>
  <c r="Q577" i="12" s="1"/>
  <c r="O599" i="12" a="1"/>
  <c r="O599" i="12" s="1"/>
  <c r="O550" i="12" a="1"/>
  <c r="O550" i="12" s="1"/>
  <c r="J517" i="12" a="1"/>
  <c r="J517" i="12" s="1"/>
  <c r="O473" i="12" a="1"/>
  <c r="O473" i="12" s="1"/>
  <c r="O489" i="12" a="1"/>
  <c r="O489" i="12" s="1"/>
  <c r="I587" i="12" a="1"/>
  <c r="I587" i="12" s="1"/>
  <c r="L516" i="12" a="1"/>
  <c r="L516" i="12" s="1"/>
  <c r="S565" i="12" a="1"/>
  <c r="S565" i="12" s="1"/>
  <c r="I517" i="12" a="1"/>
  <c r="I517" i="12" s="1"/>
  <c r="F481" i="12" a="1"/>
  <c r="F481" i="12" s="1"/>
  <c r="P456" i="12" a="1"/>
  <c r="P456" i="12" s="1"/>
  <c r="N482" i="12" a="1"/>
  <c r="N482" i="12" s="1"/>
  <c r="M445" i="12" a="1"/>
  <c r="M445" i="12" s="1"/>
  <c r="Q560" i="12" a="1"/>
  <c r="Q560" i="12" s="1"/>
  <c r="O512" i="12" a="1"/>
  <c r="O512" i="12" s="1"/>
  <c r="P471" i="12" a="1"/>
  <c r="P471" i="12" s="1"/>
  <c r="S478" i="12" a="1"/>
  <c r="S478" i="12" s="1"/>
  <c r="F396" i="12" a="1"/>
  <c r="F396" i="12" s="1"/>
  <c r="U571" i="2" a="1"/>
  <c r="U571" i="2" s="1"/>
  <c r="S506" i="12" a="1"/>
  <c r="S506" i="12" s="1"/>
  <c r="T360" i="12" a="1"/>
  <c r="T360" i="12" s="1"/>
  <c r="N341" i="12" a="1"/>
  <c r="N341" i="12" s="1"/>
  <c r="M406" i="12" a="1"/>
  <c r="M406" i="12" s="1"/>
  <c r="Q405" i="12" a="1"/>
  <c r="Q405" i="12" s="1"/>
  <c r="M344" i="12" a="1"/>
  <c r="M344" i="12" s="1"/>
  <c r="S572" i="12" a="1"/>
  <c r="S572" i="12" s="1"/>
  <c r="N507" i="12" a="1"/>
  <c r="N507" i="12" s="1"/>
  <c r="R434" i="12" a="1"/>
  <c r="R434" i="12" s="1"/>
  <c r="L447" i="12" a="1"/>
  <c r="L447" i="12" s="1"/>
  <c r="R410" i="12" a="1"/>
  <c r="R410" i="12" s="1"/>
  <c r="R472" i="12" a="1"/>
  <c r="R472" i="12" s="1"/>
  <c r="S552" i="12" a="1"/>
  <c r="S552" i="12" s="1"/>
  <c r="S361" i="12" a="1"/>
  <c r="S361" i="12" s="1"/>
  <c r="Q386" i="12" a="1"/>
  <c r="Q386" i="12" s="1"/>
  <c r="R405" i="12" a="1"/>
  <c r="R405" i="12" s="1"/>
  <c r="N318" i="12" a="1"/>
  <c r="N318" i="12" s="1"/>
  <c r="K428" i="12" a="1"/>
  <c r="K428" i="12" s="1"/>
  <c r="F464" i="12" a="1"/>
  <c r="F464" i="12" s="1"/>
  <c r="U618" i="2" a="1"/>
  <c r="U618" i="2" s="1"/>
  <c r="S444" i="12" a="1"/>
  <c r="S444" i="12" s="1"/>
  <c r="R444" i="12" a="1"/>
  <c r="R444" i="12" s="1"/>
  <c r="O446" i="12" a="1"/>
  <c r="O446" i="12" s="1"/>
  <c r="R552" i="12" a="1"/>
  <c r="R552" i="12" s="1"/>
  <c r="T455" i="12" a="1"/>
  <c r="T455" i="12" s="1"/>
  <c r="S461" i="12" a="1"/>
  <c r="S461" i="12" s="1"/>
  <c r="T443" i="12" a="1"/>
  <c r="T443" i="12" s="1"/>
  <c r="L355" i="12" a="1"/>
  <c r="L355" i="12" s="1"/>
  <c r="I391" i="12" a="1"/>
  <c r="I391" i="12" s="1"/>
  <c r="U667" i="2" a="1"/>
  <c r="U667" i="2" s="1"/>
  <c r="F595" i="12" a="1"/>
  <c r="F595" i="12" s="1"/>
  <c r="F546" i="12" a="1"/>
  <c r="F546" i="12" s="1"/>
  <c r="U632" i="2" a="1"/>
  <c r="U632" i="2" s="1"/>
  <c r="F353" i="12" a="1"/>
  <c r="F353" i="12" s="1"/>
  <c r="S394" i="12" a="1"/>
  <c r="S394" i="12" s="1"/>
  <c r="J278" i="12" a="1"/>
  <c r="J278" i="12" s="1"/>
  <c r="R399" i="12" a="1"/>
  <c r="R399" i="12" s="1"/>
  <c r="J322" i="12" a="1"/>
  <c r="J322" i="12" s="1"/>
  <c r="I406" i="12" a="1"/>
  <c r="I406" i="12" s="1"/>
  <c r="M569" i="12" a="1"/>
  <c r="M569" i="12" s="1"/>
  <c r="R569" i="12" a="1"/>
  <c r="R569" i="12" s="1"/>
  <c r="L428" i="12" a="1"/>
  <c r="L428" i="12" s="1"/>
  <c r="S430" i="12" a="1"/>
  <c r="S430" i="12" s="1"/>
  <c r="I429" i="12" a="1"/>
  <c r="I429" i="12" s="1"/>
  <c r="T324" i="12" a="1"/>
  <c r="T324" i="12" s="1"/>
  <c r="S371" i="12" a="1"/>
  <c r="S371" i="12" s="1"/>
  <c r="T369" i="12" a="1"/>
  <c r="T369" i="12" s="1"/>
  <c r="F340" i="12" a="1"/>
  <c r="F340" i="12" s="1"/>
  <c r="U560" i="2" a="1"/>
  <c r="U560" i="2" s="1"/>
  <c r="L304" i="12" a="1"/>
  <c r="L304" i="12" s="1"/>
  <c r="S318" i="12" a="1"/>
  <c r="S318" i="12" s="1"/>
  <c r="R326" i="12" a="1"/>
  <c r="R326" i="12" s="1"/>
  <c r="I306" i="12" a="1"/>
  <c r="I306" i="12" s="1"/>
  <c r="P450" i="12" a="1"/>
  <c r="P450" i="12" s="1"/>
  <c r="T459" i="12" a="1"/>
  <c r="T459" i="12" s="1"/>
  <c r="N445" i="12" a="1"/>
  <c r="N445" i="12" s="1"/>
  <c r="K453" i="12" a="1"/>
  <c r="K453" i="12" s="1"/>
  <c r="T353" i="12" a="1"/>
  <c r="T353" i="12" s="1"/>
  <c r="Z642" i="12" a="1"/>
  <c r="Z642" i="12" s="1"/>
  <c r="Q443" i="12" a="1"/>
  <c r="Q443" i="12" s="1"/>
  <c r="Q385" i="12" a="1"/>
  <c r="Q385" i="12" s="1"/>
  <c r="Q341" i="12" a="1"/>
  <c r="Q341" i="12" s="1"/>
  <c r="Q304" i="12" a="1"/>
  <c r="Q304" i="12" s="1"/>
  <c r="Q373" i="12" a="1"/>
  <c r="Q373" i="12" s="1"/>
  <c r="AQ510" i="2" a="1"/>
  <c r="AQ510" i="2" s="1"/>
  <c r="AR510" i="2" a="1"/>
  <c r="AR510" i="2" s="1"/>
  <c r="I481" i="12" a="1"/>
  <c r="I481" i="12" s="1"/>
  <c r="G567" i="12" a="1"/>
  <c r="G567" i="12" s="1"/>
  <c r="P529" i="12" a="1"/>
  <c r="P529" i="12" s="1"/>
  <c r="S436" i="12" a="1"/>
  <c r="S436" i="12" s="1"/>
  <c r="S523" i="12" a="1"/>
  <c r="S523" i="12" s="1"/>
  <c r="G460" i="12" a="1"/>
  <c r="G460" i="12" s="1"/>
  <c r="O486" i="12" a="1"/>
  <c r="O486" i="12" s="1"/>
  <c r="O455" i="12" a="1"/>
  <c r="O455" i="12" s="1"/>
  <c r="L478" i="12" a="1"/>
  <c r="L478" i="12" s="1"/>
  <c r="F310" i="12" a="1"/>
  <c r="F310" i="12" s="1"/>
  <c r="U577" i="2" a="1"/>
  <c r="U577" i="2" s="1"/>
  <c r="M339" i="12" a="1"/>
  <c r="M339" i="12" s="1"/>
  <c r="I344" i="12" a="1"/>
  <c r="I344" i="12" s="1"/>
  <c r="F467" i="12" a="1"/>
  <c r="F467" i="12" s="1"/>
  <c r="F488" i="12" a="1"/>
  <c r="F488" i="12" s="1"/>
  <c r="U626" i="2" a="1"/>
  <c r="U626" i="2" s="1"/>
  <c r="F395" i="12" a="1"/>
  <c r="F395" i="12" s="1"/>
  <c r="U617" i="2" a="1"/>
  <c r="U617" i="2" s="1"/>
  <c r="J395" i="12" a="1"/>
  <c r="J395" i="12" s="1"/>
  <c r="F487" i="12" a="1"/>
  <c r="F487" i="12" s="1"/>
  <c r="U608" i="2" a="1"/>
  <c r="U608" i="2" s="1"/>
  <c r="M560" i="12" a="1"/>
  <c r="M560" i="12" s="1"/>
  <c r="L433" i="12" a="1"/>
  <c r="L433" i="12" s="1"/>
  <c r="P532" i="12" a="1"/>
  <c r="P532" i="12" s="1"/>
  <c r="G455" i="12" a="1"/>
  <c r="G455" i="12" s="1"/>
  <c r="O361" i="12" a="1"/>
  <c r="O361" i="12" s="1"/>
  <c r="K137" i="12" a="1"/>
  <c r="K137" i="12" s="1"/>
  <c r="F446" i="12" a="1"/>
  <c r="F446" i="12" s="1"/>
  <c r="U601" i="2" a="1"/>
  <c r="U601" i="2" s="1"/>
  <c r="T417" i="12" a="1"/>
  <c r="T417" i="12" s="1"/>
  <c r="K371" i="12" a="1"/>
  <c r="K371" i="12" s="1"/>
  <c r="AR576" i="2" a="1"/>
  <c r="AR576" i="2" s="1"/>
  <c r="AQ576" i="2" a="1"/>
  <c r="AQ576" i="2" s="1"/>
  <c r="L303" i="12" a="1"/>
  <c r="L303" i="12" s="1"/>
  <c r="P318" i="12" a="1"/>
  <c r="P318" i="12" s="1"/>
  <c r="AR523" i="2" a="1"/>
  <c r="AR523" i="2" s="1"/>
  <c r="AQ523" i="2" a="1"/>
  <c r="AQ523" i="2" s="1"/>
  <c r="P384" i="12" a="1"/>
  <c r="P384" i="12" s="1"/>
  <c r="F459" i="12" a="1"/>
  <c r="F459" i="12" s="1"/>
  <c r="U625" i="2" a="1"/>
  <c r="U625" i="2" s="1"/>
  <c r="O456" i="12" a="1"/>
  <c r="O456" i="12" s="1"/>
  <c r="O524" i="12" a="1"/>
  <c r="O524" i="12" s="1"/>
  <c r="S437" i="12" a="1"/>
  <c r="S437" i="12" s="1"/>
  <c r="L455" i="12" a="1"/>
  <c r="L455" i="12" s="1"/>
  <c r="N396" i="12" a="1"/>
  <c r="N396" i="12" s="1"/>
  <c r="K506" i="12" a="1"/>
  <c r="K506" i="12" s="1"/>
  <c r="Q411" i="12" a="1"/>
  <c r="Q411" i="12" s="1"/>
  <c r="G300" i="12" a="1"/>
  <c r="G300" i="12" s="1"/>
  <c r="F290" i="12" a="1"/>
  <c r="F290" i="12" s="1"/>
  <c r="U497" i="2" a="1"/>
  <c r="U497" i="2" s="1"/>
  <c r="P252" i="12" a="1"/>
  <c r="P252" i="12" s="1"/>
  <c r="Q347" i="12" a="1"/>
  <c r="Q347" i="12" s="1"/>
  <c r="I286" i="12" a="1"/>
  <c r="I286" i="12" s="1"/>
  <c r="R596" i="12" a="1"/>
  <c r="R596" i="12" s="1"/>
  <c r="R261" i="12" a="1"/>
  <c r="R261" i="12" s="1"/>
  <c r="K219" i="12" a="1"/>
  <c r="K219" i="12" s="1"/>
  <c r="I571" i="12" a="1"/>
  <c r="I571" i="12" s="1"/>
  <c r="I453" i="12" a="1"/>
  <c r="I453" i="12" s="1"/>
  <c r="R498" i="12" a="1"/>
  <c r="R498" i="12" s="1"/>
  <c r="J316" i="12" a="1"/>
  <c r="J316" i="12" s="1"/>
  <c r="G316" i="12" a="1"/>
  <c r="G316" i="12" s="1"/>
  <c r="K601" i="12" a="1"/>
  <c r="K601" i="12" s="1"/>
  <c r="M270" i="12" a="1"/>
  <c r="M270" i="12" s="1"/>
  <c r="AA612" i="12" a="1"/>
  <c r="AA612" i="12" s="1"/>
  <c r="P315" i="12" a="1"/>
  <c r="P315" i="12" s="1"/>
  <c r="R280" i="12" a="1"/>
  <c r="R280" i="12" s="1"/>
  <c r="O246" i="12" a="1"/>
  <c r="O246" i="12" s="1"/>
  <c r="AB629" i="12" a="1"/>
  <c r="AB629" i="12" s="1"/>
  <c r="AQ385" i="2" a="1"/>
  <c r="AQ385" i="2" s="1"/>
  <c r="P371" i="12" a="1"/>
  <c r="P371" i="12" s="1"/>
  <c r="F448" i="12" a="1"/>
  <c r="F448" i="12" s="1"/>
  <c r="U563" i="2" a="1"/>
  <c r="U563" i="2" s="1"/>
  <c r="N362" i="12" a="1"/>
  <c r="N362" i="12" s="1"/>
  <c r="F364" i="12" a="1"/>
  <c r="F364" i="12" s="1"/>
  <c r="U509" i="2" a="1"/>
  <c r="U509" i="2" s="1"/>
  <c r="P349" i="12" a="1"/>
  <c r="P349" i="12" s="1"/>
  <c r="L198" i="12" a="1"/>
  <c r="L198" i="12" s="1"/>
  <c r="K478" i="12" a="1"/>
  <c r="K478" i="12" s="1"/>
  <c r="G380" i="12" a="1"/>
  <c r="G380" i="12" s="1"/>
  <c r="R396" i="12" a="1"/>
  <c r="R396" i="12" s="1"/>
  <c r="G357" i="12" a="1"/>
  <c r="G357" i="12" s="1"/>
  <c r="N381" i="12" a="1"/>
  <c r="N381" i="12" s="1"/>
  <c r="L302" i="12" a="1"/>
  <c r="L302" i="12" s="1"/>
  <c r="P367" i="12" a="1"/>
  <c r="P367" i="12" s="1"/>
  <c r="R367" i="12" a="1"/>
  <c r="R367" i="12" s="1"/>
  <c r="P328" i="12" a="1"/>
  <c r="P328" i="12" s="1"/>
  <c r="I343" i="12" a="1"/>
  <c r="I343" i="12" s="1"/>
  <c r="I349" i="12" a="1"/>
  <c r="I349" i="12" s="1"/>
  <c r="P294" i="12" a="1"/>
  <c r="P294" i="12" s="1"/>
  <c r="M251" i="12" a="1"/>
  <c r="M251" i="12" s="1"/>
  <c r="R532" i="12" a="1"/>
  <c r="R532" i="12" s="1"/>
  <c r="K291" i="12" a="1"/>
  <c r="K291" i="12" s="1"/>
  <c r="I400" i="12" a="1"/>
  <c r="I400" i="12" s="1"/>
  <c r="O400" i="12" a="1"/>
  <c r="O400" i="12" s="1"/>
  <c r="G351" i="12" a="1"/>
  <c r="G351" i="12" s="1"/>
  <c r="L381" i="12" a="1"/>
  <c r="L381" i="12" s="1"/>
  <c r="P249" i="12" a="1"/>
  <c r="P249" i="12" s="1"/>
  <c r="Q328" i="12" a="1"/>
  <c r="Q328" i="12" s="1"/>
  <c r="N290" i="12" a="1"/>
  <c r="N290" i="12" s="1"/>
  <c r="R294" i="12" a="1"/>
  <c r="R294" i="12" s="1"/>
  <c r="M242" i="12" a="1"/>
  <c r="M242" i="12" s="1"/>
  <c r="L262" i="12" a="1"/>
  <c r="L262" i="12" s="1"/>
  <c r="F198" i="12" a="1"/>
  <c r="F198" i="12" s="1"/>
  <c r="U471" i="2" a="1"/>
  <c r="U471" i="2" s="1"/>
  <c r="F413" i="12" a="1"/>
  <c r="F413" i="12" s="1"/>
  <c r="U588" i="2" a="1"/>
  <c r="U588" i="2" s="1"/>
  <c r="N413" i="12" a="1"/>
  <c r="N413" i="12" s="1"/>
  <c r="T402" i="12" a="1"/>
  <c r="T402" i="12" s="1"/>
  <c r="M506" i="12" a="1"/>
  <c r="M506" i="12" s="1"/>
  <c r="L521" i="12" a="1"/>
  <c r="L521" i="12" s="1"/>
  <c r="R521" i="12" a="1"/>
  <c r="R521" i="12" s="1"/>
  <c r="M440" i="12" a="1"/>
  <c r="M440" i="12" s="1"/>
  <c r="M373" i="12" a="1"/>
  <c r="M373" i="12" s="1"/>
  <c r="Z610" i="12" a="1"/>
  <c r="Z610" i="12" s="1"/>
  <c r="F574" i="12" a="1"/>
  <c r="F574" i="12" s="1"/>
  <c r="U498" i="2" a="1"/>
  <c r="U498" i="2" s="1"/>
  <c r="P591" i="12" a="1"/>
  <c r="P591" i="12" s="1"/>
  <c r="G313" i="12" a="1"/>
  <c r="G313" i="12" s="1"/>
  <c r="K605" i="12" a="1"/>
  <c r="K605" i="12" s="1"/>
  <c r="O575" i="12" a="1"/>
  <c r="O575" i="12" s="1"/>
  <c r="T271" i="12" a="1"/>
  <c r="T271" i="12" s="1"/>
  <c r="R214" i="12" a="1"/>
  <c r="R214" i="12" s="1"/>
  <c r="R246" i="12" a="1"/>
  <c r="R246" i="12" s="1"/>
  <c r="K394" i="12" a="1"/>
  <c r="K394" i="12" s="1"/>
  <c r="M336" i="12" a="1"/>
  <c r="M336" i="12" s="1"/>
  <c r="AA672" i="12" a="1"/>
  <c r="AA672" i="12" s="1"/>
  <c r="F344" i="12" a="1"/>
  <c r="F344" i="12" s="1"/>
  <c r="J362" i="12" a="1"/>
  <c r="J362" i="12" s="1"/>
  <c r="P319" i="12" a="1"/>
  <c r="P319" i="12" s="1"/>
  <c r="T329" i="12" a="1"/>
  <c r="T329" i="12" s="1"/>
  <c r="I158" i="12" a="1"/>
  <c r="I158" i="12" s="1"/>
  <c r="G261" i="12" a="1"/>
  <c r="G261" i="12" s="1"/>
  <c r="T269" i="12" a="1"/>
  <c r="T269" i="12" s="1"/>
  <c r="M470" i="12" a="1"/>
  <c r="M470" i="12" s="1"/>
  <c r="T390" i="12" a="1"/>
  <c r="T390" i="12" s="1"/>
  <c r="P341" i="12" a="1"/>
  <c r="P341" i="12" s="1"/>
  <c r="J364" i="12" a="1"/>
  <c r="J364" i="12" s="1"/>
  <c r="O320" i="12" a="1"/>
  <c r="O320" i="12" s="1"/>
  <c r="J254" i="12" a="1"/>
  <c r="J254" i="12" s="1"/>
  <c r="O271" i="12" a="1"/>
  <c r="O271" i="12" s="1"/>
  <c r="F420" i="12" a="1"/>
  <c r="F420" i="12" s="1"/>
  <c r="U593" i="2" a="1"/>
  <c r="U593" i="2" s="1"/>
  <c r="P405" i="12" a="1"/>
  <c r="P405" i="12" s="1"/>
  <c r="M306" i="12" a="1"/>
  <c r="M306" i="12" s="1"/>
  <c r="F270" i="12" a="1"/>
  <c r="F270" i="12" s="1"/>
  <c r="K593" i="12" a="1"/>
  <c r="K593" i="12" s="1"/>
  <c r="S301" i="12" a="1"/>
  <c r="S301" i="12" s="1"/>
  <c r="K457" i="12" a="1"/>
  <c r="K457" i="12" s="1"/>
  <c r="J468" i="12" a="1"/>
  <c r="J468" i="12" s="1"/>
  <c r="G318" i="12" a="1"/>
  <c r="G318" i="12" s="1"/>
  <c r="M331" i="12" a="1"/>
  <c r="M331" i="12" s="1"/>
  <c r="I294" i="12" a="1"/>
  <c r="I294" i="12" s="1"/>
  <c r="N251" i="12" a="1"/>
  <c r="N251" i="12" s="1"/>
  <c r="P334" i="12" a="1"/>
  <c r="P334" i="12" s="1"/>
  <c r="P329" i="12" a="1"/>
  <c r="P329" i="12" s="1"/>
  <c r="L219" i="12" a="1"/>
  <c r="L219" i="12" s="1"/>
  <c r="Q295" i="12" a="1"/>
  <c r="Q295" i="12" s="1"/>
  <c r="M555" i="12" a="1"/>
  <c r="M555" i="12" s="1"/>
  <c r="T539" i="12" a="1"/>
  <c r="T539" i="12" s="1"/>
  <c r="M566" i="12" a="1"/>
  <c r="M566" i="12" s="1"/>
  <c r="L537" i="12" a="1"/>
  <c r="L537" i="12" s="1"/>
  <c r="T268" i="12" a="1"/>
  <c r="T268" i="12" s="1"/>
  <c r="I185" i="12" a="1"/>
  <c r="I185" i="12" s="1"/>
  <c r="J499" i="12" a="1"/>
  <c r="J499" i="12" s="1"/>
  <c r="L149" i="12" a="1"/>
  <c r="L149" i="12" s="1"/>
  <c r="L131" i="12" a="1"/>
  <c r="L131" i="12" s="1"/>
  <c r="L158" i="12" a="1"/>
  <c r="L158" i="12" s="1"/>
  <c r="L282" i="12" a="1"/>
  <c r="L282" i="12" s="1"/>
  <c r="L334" i="12" a="1"/>
  <c r="L334" i="12" s="1"/>
  <c r="L604" i="12" a="1"/>
  <c r="L604" i="12" s="1"/>
  <c r="L597" i="12" a="1"/>
  <c r="L597" i="12" s="1"/>
  <c r="L214" i="12" a="1"/>
  <c r="L214" i="12" s="1"/>
  <c r="L315" i="12" a="1"/>
  <c r="L315" i="12" s="1"/>
  <c r="L566" i="12" a="1"/>
  <c r="L566" i="12" s="1"/>
  <c r="L226" i="12" a="1"/>
  <c r="L226" i="12" s="1"/>
  <c r="L269" i="12" a="1"/>
  <c r="L269" i="12" s="1"/>
  <c r="I591" i="12" a="1"/>
  <c r="I591" i="12" s="1"/>
  <c r="I265" i="12" a="1"/>
  <c r="I265" i="12" s="1"/>
  <c r="O594" i="12" a="1"/>
  <c r="O594" i="12" s="1"/>
  <c r="Q287" i="12" a="1"/>
  <c r="Q287" i="12" s="1"/>
  <c r="P287" i="12" a="1"/>
  <c r="P287" i="12" s="1"/>
  <c r="K272" i="12" a="1"/>
  <c r="K272" i="12" s="1"/>
  <c r="M483" i="12" a="1"/>
  <c r="M483" i="12" s="1"/>
  <c r="K537" i="12" a="1"/>
  <c r="K537" i="12" s="1"/>
  <c r="S277" i="12" a="1"/>
  <c r="S277" i="12" s="1"/>
  <c r="AB658" i="12" a="1"/>
  <c r="AB658" i="12" s="1"/>
  <c r="Q457" i="12" a="1"/>
  <c r="Q457" i="12" s="1"/>
  <c r="K474" i="12" a="1"/>
  <c r="K474" i="12" s="1"/>
  <c r="Q172" i="12" a="1"/>
  <c r="Q172" i="12" s="1"/>
  <c r="I180" i="12" a="1"/>
  <c r="I180" i="12" s="1"/>
  <c r="S236" i="12" a="1"/>
  <c r="S236" i="12" s="1"/>
  <c r="R531" i="12" a="1"/>
  <c r="R531" i="12" s="1"/>
  <c r="K465" i="12" a="1"/>
  <c r="K465" i="12" s="1"/>
  <c r="K240" i="12" a="1"/>
  <c r="K240" i="12" s="1"/>
  <c r="L247" i="12" a="1"/>
  <c r="L247" i="12" s="1"/>
  <c r="F281" i="12" a="1"/>
  <c r="F281" i="12" s="1"/>
  <c r="U454" i="2" a="1"/>
  <c r="U454" i="2" s="1"/>
  <c r="R281" i="12" a="1"/>
  <c r="R281" i="12" s="1"/>
  <c r="R581" i="12" a="1"/>
  <c r="R581" i="12" s="1"/>
  <c r="G248" i="12" a="1"/>
  <c r="G248" i="12" s="1"/>
  <c r="S605" i="12" a="1"/>
  <c r="S605" i="12" s="1"/>
  <c r="G501" i="12" a="1"/>
  <c r="G501" i="12" s="1"/>
  <c r="T185" i="12" a="1"/>
  <c r="T185" i="12" s="1"/>
  <c r="J435" i="12" a="1"/>
  <c r="J435" i="12" s="1"/>
  <c r="K149" i="12" a="1"/>
  <c r="K149" i="12" s="1"/>
  <c r="J171" i="12" a="1"/>
  <c r="J171" i="12" s="1"/>
  <c r="J251" i="12" a="1"/>
  <c r="J251" i="12" s="1"/>
  <c r="K131" i="12" a="1"/>
  <c r="K131" i="12" s="1"/>
  <c r="K313" i="12" a="1"/>
  <c r="K313" i="12" s="1"/>
  <c r="K597" i="12" a="1"/>
  <c r="K597" i="12" s="1"/>
  <c r="K252" i="12" a="1"/>
  <c r="K252" i="12" s="1"/>
  <c r="N238" i="12" a="1"/>
  <c r="N238" i="12" s="1"/>
  <c r="O539" i="12" a="1"/>
  <c r="O539" i="12" s="1"/>
  <c r="Q260" i="12" a="1"/>
  <c r="Q260" i="12" s="1"/>
  <c r="M606" i="12" a="1"/>
  <c r="M606" i="12" s="1"/>
  <c r="M214" i="12" a="1"/>
  <c r="M214" i="12" s="1"/>
  <c r="M501" i="12" a="1"/>
  <c r="M501" i="12" s="1"/>
  <c r="M294" i="12" a="1"/>
  <c r="M294" i="12" s="1"/>
  <c r="M246" i="12" a="1"/>
  <c r="M246" i="12" s="1"/>
  <c r="M269" i="12" a="1"/>
  <c r="M269" i="12" s="1"/>
  <c r="M287" i="12" a="1"/>
  <c r="M287" i="12" s="1"/>
  <c r="M457" i="12" a="1"/>
  <c r="M457" i="12" s="1"/>
  <c r="M282" i="12" a="1"/>
  <c r="M282" i="12" s="1"/>
  <c r="M465" i="12" a="1"/>
  <c r="M465" i="12" s="1"/>
  <c r="M254" i="12" a="1"/>
  <c r="M254" i="12" s="1"/>
  <c r="M573" i="12" a="1"/>
  <c r="M573" i="12" s="1"/>
  <c r="M158" i="12" a="1"/>
  <c r="M158" i="12" s="1"/>
  <c r="M301" i="12" a="1"/>
  <c r="M301" i="12" s="1"/>
  <c r="F315" i="12" a="1"/>
  <c r="F315" i="12" s="1"/>
  <c r="U444" i="2" a="1"/>
  <c r="U444" i="2" s="1"/>
  <c r="J598" i="12" a="1"/>
  <c r="J598" i="12" s="1"/>
  <c r="T225" i="12" a="1"/>
  <c r="T225" i="12" s="1"/>
  <c r="O147" i="12" a="1"/>
  <c r="O147" i="12" s="1"/>
  <c r="M531" i="12" a="1"/>
  <c r="M531" i="12" s="1"/>
  <c r="L497" i="12" a="1"/>
  <c r="L497" i="12" s="1"/>
  <c r="G197" i="12" a="1"/>
  <c r="G197" i="12" s="1"/>
  <c r="S186" i="12" a="1"/>
  <c r="S186" i="12" s="1"/>
  <c r="S170" i="12" a="1"/>
  <c r="S170" i="12" s="1"/>
  <c r="Z663" i="12" a="1"/>
  <c r="Z663" i="12" s="1"/>
  <c r="L100" i="12" a="1"/>
  <c r="L100" i="12" s="1"/>
  <c r="Q589" i="12" a="1"/>
  <c r="Q589" i="12" s="1"/>
  <c r="M473" i="12" a="1"/>
  <c r="M473" i="12" s="1"/>
  <c r="F434" i="12" a="1"/>
  <c r="F434" i="12" s="1"/>
  <c r="U619" i="2" a="1"/>
  <c r="U619" i="2" s="1"/>
  <c r="O587" i="12" a="1"/>
  <c r="O587" i="12" s="1"/>
  <c r="J578" i="12" a="1"/>
  <c r="J578" i="12" s="1"/>
  <c r="J516" i="12" a="1"/>
  <c r="J516" i="12" s="1"/>
  <c r="R545" i="12" a="1"/>
  <c r="R545" i="12" s="1"/>
  <c r="M477" i="12" a="1"/>
  <c r="M477" i="12" s="1"/>
  <c r="T548" i="12" a="1"/>
  <c r="T548" i="12" s="1"/>
  <c r="I578" i="12" a="1"/>
  <c r="I578" i="12" s="1"/>
  <c r="L592" i="12" a="1"/>
  <c r="L592" i="12" s="1"/>
  <c r="S513" i="12" a="1"/>
  <c r="S513" i="12" s="1"/>
  <c r="G398" i="12" a="1"/>
  <c r="G398" i="12" s="1"/>
  <c r="K392" i="12" a="1"/>
  <c r="K392" i="12" s="1"/>
  <c r="P460" i="12" a="1"/>
  <c r="P460" i="12" s="1"/>
  <c r="F589" i="12" a="1"/>
  <c r="F589" i="12" s="1"/>
  <c r="U663" i="2" a="1"/>
  <c r="U663" i="2" s="1"/>
  <c r="J595" i="12" a="1"/>
  <c r="J595" i="12" s="1"/>
  <c r="P545" i="12" a="1"/>
  <c r="P545" i="12" s="1"/>
  <c r="M517" i="12" a="1"/>
  <c r="M517" i="12" s="1"/>
  <c r="T481" i="12" a="1"/>
  <c r="T481" i="12" s="1"/>
  <c r="R491" i="12" a="1"/>
  <c r="R491" i="12" s="1"/>
  <c r="O485" i="12" a="1"/>
  <c r="O485" i="12" s="1"/>
  <c r="Q599" i="12" a="1"/>
  <c r="Q599" i="12" s="1"/>
  <c r="G516" i="12" a="1"/>
  <c r="G516" i="12" s="1"/>
  <c r="N565" i="12" a="1"/>
  <c r="N565" i="12" s="1"/>
  <c r="Q548" i="12" a="1"/>
  <c r="Q548" i="12" s="1"/>
  <c r="J491" i="12" a="1"/>
  <c r="J491" i="12" s="1"/>
  <c r="Q392" i="12" a="1"/>
  <c r="Q392" i="12" s="1"/>
  <c r="I375" i="12" a="1"/>
  <c r="I375" i="12" s="1"/>
  <c r="O460" i="12" a="1"/>
  <c r="O460" i="12" s="1"/>
  <c r="P599" i="12" a="1"/>
  <c r="P599" i="12" s="1"/>
  <c r="T542" i="12" a="1"/>
  <c r="T542" i="12" s="1"/>
  <c r="K544" i="12" a="1"/>
  <c r="K544" i="12" s="1"/>
  <c r="N538" i="12" a="1"/>
  <c r="N538" i="12" s="1"/>
  <c r="N98" i="12" a="1"/>
  <c r="N98" i="12" s="1"/>
  <c r="G550" i="12" a="1"/>
  <c r="G550" i="12" s="1"/>
  <c r="Q592" i="12" a="1"/>
  <c r="Q592" i="12" s="1"/>
  <c r="S554" i="12" a="1"/>
  <c r="S554" i="12" s="1"/>
  <c r="L438" i="12" a="1"/>
  <c r="L438" i="12" s="1"/>
  <c r="J577" i="12" a="1"/>
  <c r="J577" i="12" s="1"/>
  <c r="T580" i="12" a="1"/>
  <c r="T580" i="12" s="1"/>
  <c r="T375" i="12" a="1"/>
  <c r="T375" i="12" s="1"/>
  <c r="N599" i="12" a="1"/>
  <c r="N599" i="12" s="1"/>
  <c r="Q563" i="12" a="1"/>
  <c r="Q563" i="12" s="1"/>
  <c r="G477" i="12" a="1"/>
  <c r="G477" i="12" s="1"/>
  <c r="N548" i="12" a="1"/>
  <c r="N548" i="12" s="1"/>
  <c r="T441" i="12" a="1"/>
  <c r="T441" i="12" s="1"/>
  <c r="G563" i="12" a="1"/>
  <c r="G563" i="12" s="1"/>
  <c r="P398" i="12" a="1"/>
  <c r="P398" i="12" s="1"/>
  <c r="F456" i="12" a="1"/>
  <c r="F456" i="12" s="1"/>
  <c r="U622" i="2" a="1"/>
  <c r="U622" i="2" s="1"/>
  <c r="T482" i="12" a="1"/>
  <c r="T482" i="12" s="1"/>
  <c r="S445" i="12" a="1"/>
  <c r="S445" i="12" s="1"/>
  <c r="L538" i="12" a="1"/>
  <c r="L538" i="12" s="1"/>
  <c r="L486" i="12" a="1"/>
  <c r="L486" i="12" s="1"/>
  <c r="J512" i="12" a="1"/>
  <c r="J512" i="12" s="1"/>
  <c r="K471" i="12" a="1"/>
  <c r="K471" i="12" s="1"/>
  <c r="L417" i="12" a="1"/>
  <c r="L417" i="12" s="1"/>
  <c r="I506" i="12" a="1"/>
  <c r="I506" i="12" s="1"/>
  <c r="P300" i="12" a="1"/>
  <c r="P300" i="12" s="1"/>
  <c r="F406" i="12" a="1"/>
  <c r="F406" i="12" s="1"/>
  <c r="U544" i="2" a="1"/>
  <c r="U544" i="2" s="1"/>
  <c r="N326" i="12" a="1"/>
  <c r="N326" i="12" s="1"/>
  <c r="M572" i="12" a="1"/>
  <c r="M572" i="12" s="1"/>
  <c r="P517" i="12" a="1"/>
  <c r="P517" i="12" s="1"/>
  <c r="F430" i="12" a="1"/>
  <c r="F430" i="12" s="1"/>
  <c r="K434" i="12" a="1"/>
  <c r="K434" i="12" s="1"/>
  <c r="G447" i="12" a="1"/>
  <c r="G447" i="12" s="1"/>
  <c r="M410" i="12" a="1"/>
  <c r="M410" i="12" s="1"/>
  <c r="M472" i="12" a="1"/>
  <c r="M472" i="12" s="1"/>
  <c r="N525" i="12" a="1"/>
  <c r="N525" i="12" s="1"/>
  <c r="T396" i="12" a="1"/>
  <c r="T396" i="12" s="1"/>
  <c r="I361" i="12" a="1"/>
  <c r="I361" i="12" s="1"/>
  <c r="S406" i="12" a="1"/>
  <c r="S406" i="12" s="1"/>
  <c r="S405" i="12" a="1"/>
  <c r="S405" i="12" s="1"/>
  <c r="R352" i="12" a="1"/>
  <c r="R352" i="12" s="1"/>
  <c r="T567" i="12" a="1"/>
  <c r="T567" i="12" s="1"/>
  <c r="Q464" i="12" a="1"/>
  <c r="Q464" i="12" s="1"/>
  <c r="N444" i="12" a="1"/>
  <c r="N444" i="12" s="1"/>
  <c r="M444" i="12" a="1"/>
  <c r="M444" i="12" s="1"/>
  <c r="R480" i="12" a="1"/>
  <c r="R480" i="12" s="1"/>
  <c r="M552" i="12" a="1"/>
  <c r="M552" i="12" s="1"/>
  <c r="R353" i="12" a="1"/>
  <c r="R353" i="12" s="1"/>
  <c r="I461" i="12" a="1"/>
  <c r="I461" i="12" s="1"/>
  <c r="I340" i="12" a="1"/>
  <c r="I340" i="12" s="1"/>
  <c r="L406" i="12" a="1"/>
  <c r="L406" i="12" s="1"/>
  <c r="M567" i="12" a="1"/>
  <c r="M567" i="12" s="1"/>
  <c r="L394" i="12" a="1"/>
  <c r="L394" i="12" s="1"/>
  <c r="K278" i="12" a="1"/>
  <c r="K278" i="12" s="1"/>
  <c r="K399" i="12" a="1"/>
  <c r="K399" i="12" s="1"/>
  <c r="T406" i="12" a="1"/>
  <c r="T406" i="12" s="1"/>
  <c r="F599" i="12" a="1"/>
  <c r="F599" i="12" s="1"/>
  <c r="F554" i="12" a="1"/>
  <c r="F554" i="12" s="1"/>
  <c r="T569" i="12" a="1"/>
  <c r="T569" i="12" s="1"/>
  <c r="G441" i="12" a="1"/>
  <c r="G441" i="12" s="1"/>
  <c r="S428" i="12" a="1"/>
  <c r="S428" i="12" s="1"/>
  <c r="P489" i="12" a="1"/>
  <c r="P489" i="12" s="1"/>
  <c r="O429" i="12" a="1"/>
  <c r="O429" i="12" s="1"/>
  <c r="I324" i="12" a="1"/>
  <c r="I324" i="12" s="1"/>
  <c r="O353" i="12" a="1"/>
  <c r="O353" i="12" s="1"/>
  <c r="J369" i="12" a="1"/>
  <c r="J369" i="12" s="1"/>
  <c r="O360" i="12" a="1"/>
  <c r="O360" i="12" s="1"/>
  <c r="N359" i="12" a="1"/>
  <c r="N359" i="12" s="1"/>
  <c r="L326" i="12" a="1"/>
  <c r="L326" i="12" s="1"/>
  <c r="O306" i="12" a="1"/>
  <c r="O306" i="12" s="1"/>
  <c r="L450" i="12" a="1"/>
  <c r="L450" i="12" s="1"/>
  <c r="Q456" i="12" a="1"/>
  <c r="Q456" i="12" s="1"/>
  <c r="K524" i="12" a="1"/>
  <c r="K524" i="12" s="1"/>
  <c r="F453" i="12" a="1"/>
  <c r="F453" i="12" s="1"/>
  <c r="U606" i="2" a="1"/>
  <c r="U606" i="2" s="1"/>
  <c r="T525" i="12" a="1"/>
  <c r="T525" i="12" s="1"/>
  <c r="J353" i="12" a="1"/>
  <c r="J353" i="12" s="1"/>
  <c r="T340" i="12" a="1"/>
  <c r="T340" i="12" s="1"/>
  <c r="T411" i="12" a="1"/>
  <c r="T411" i="12" s="1"/>
  <c r="T300" i="12" a="1"/>
  <c r="T300" i="12" s="1"/>
  <c r="T359" i="12" a="1"/>
  <c r="T359" i="12" s="1"/>
  <c r="T288" i="12" a="1"/>
  <c r="T288" i="12" s="1"/>
  <c r="P344" i="12" a="1"/>
  <c r="P344" i="12" s="1"/>
  <c r="J262" i="12" a="1"/>
  <c r="J262" i="12" s="1"/>
  <c r="K595" i="12" a="1"/>
  <c r="K595" i="12" s="1"/>
  <c r="N491" i="12" a="1"/>
  <c r="N491" i="12" s="1"/>
  <c r="N567" i="12" a="1"/>
  <c r="N567" i="12" s="1"/>
  <c r="F529" i="12" a="1"/>
  <c r="F529" i="12" s="1"/>
  <c r="U627" i="2" a="1"/>
  <c r="U627" i="2" s="1"/>
  <c r="G436" i="12" a="1"/>
  <c r="G436" i="12" s="1"/>
  <c r="N523" i="12" a="1"/>
  <c r="N523" i="12" s="1"/>
  <c r="R460" i="12" a="1"/>
  <c r="R460" i="12" s="1"/>
  <c r="J486" i="12" a="1"/>
  <c r="J486" i="12" s="1"/>
  <c r="P535" i="12" a="1"/>
  <c r="P535" i="12" s="1"/>
  <c r="S525" i="12" a="1"/>
  <c r="S525" i="12" s="1"/>
  <c r="Q417" i="12" a="1"/>
  <c r="Q417" i="12" s="1"/>
  <c r="Q310" i="12" a="1"/>
  <c r="Q310" i="12" s="1"/>
  <c r="L359" i="12" a="1"/>
  <c r="L359" i="12" s="1"/>
  <c r="P355" i="12" a="1"/>
  <c r="P355" i="12" s="1"/>
  <c r="L576" i="12" a="1"/>
  <c r="L576" i="12" s="1"/>
  <c r="G488" i="12" a="1"/>
  <c r="G488" i="12" s="1"/>
  <c r="Q395" i="12" a="1"/>
  <c r="Q395" i="12" s="1"/>
  <c r="P395" i="12" a="1"/>
  <c r="P395" i="12" s="1"/>
  <c r="Q487" i="12" a="1"/>
  <c r="Q487" i="12" s="1"/>
  <c r="S560" i="12" a="1"/>
  <c r="S560" i="12" s="1"/>
  <c r="F512" i="12" a="1"/>
  <c r="F512" i="12" s="1"/>
  <c r="U595" i="2" a="1"/>
  <c r="U595" i="2" s="1"/>
  <c r="S471" i="12" a="1"/>
  <c r="S471" i="12" s="1"/>
  <c r="K532" i="12" a="1"/>
  <c r="K532" i="12" s="1"/>
  <c r="R455" i="12" a="1"/>
  <c r="R455" i="12" s="1"/>
  <c r="F361" i="12" a="1"/>
  <c r="F361" i="12" s="1"/>
  <c r="U567" i="2" a="1"/>
  <c r="U567" i="2" s="1"/>
  <c r="K340" i="12" a="1"/>
  <c r="K340" i="12" s="1"/>
  <c r="I304" i="12" a="1"/>
  <c r="I304" i="12" s="1"/>
  <c r="S391" i="12" a="1"/>
  <c r="S391" i="12" s="1"/>
  <c r="Q446" i="12" a="1"/>
  <c r="Q446" i="12" s="1"/>
  <c r="F371" i="12" a="1"/>
  <c r="F371" i="12" s="1"/>
  <c r="U581" i="2" a="1"/>
  <c r="U581" i="2" s="1"/>
  <c r="O304" i="12" a="1"/>
  <c r="O304" i="12" s="1"/>
  <c r="N355" i="12" a="1"/>
  <c r="N355" i="12" s="1"/>
  <c r="I318" i="12" a="1"/>
  <c r="I318" i="12" s="1"/>
  <c r="Z646" i="12" a="1"/>
  <c r="Z646" i="12" s="1"/>
  <c r="L467" i="12" a="1"/>
  <c r="L467" i="12" s="1"/>
  <c r="L384" i="12" a="1"/>
  <c r="L384" i="12" s="1"/>
  <c r="J384" i="12" a="1"/>
  <c r="J384" i="12" s="1"/>
  <c r="G459" i="12" a="1"/>
  <c r="G459" i="12" s="1"/>
  <c r="S375" i="12" a="1"/>
  <c r="S375" i="12" s="1"/>
  <c r="P524" i="12" a="1"/>
  <c r="P524" i="12" s="1"/>
  <c r="J524" i="12" a="1"/>
  <c r="J524" i="12" s="1"/>
  <c r="N437" i="12" a="1"/>
  <c r="N437" i="12" s="1"/>
  <c r="Q525" i="12" a="1"/>
  <c r="Q525" i="12" s="1"/>
  <c r="G396" i="12" a="1"/>
  <c r="G396" i="12" s="1"/>
  <c r="J411" i="12" a="1"/>
  <c r="J411" i="12" s="1"/>
  <c r="R300" i="12" a="1"/>
  <c r="R300" i="12" s="1"/>
  <c r="R303" i="12" a="1"/>
  <c r="R303" i="12" s="1"/>
  <c r="G406" i="12" a="1"/>
  <c r="G406" i="12" s="1"/>
  <c r="R391" i="12" a="1"/>
  <c r="R391" i="12" s="1"/>
  <c r="R482" i="12" a="1"/>
  <c r="R482" i="12" s="1"/>
  <c r="N307" i="12" a="1"/>
  <c r="N307" i="12" s="1"/>
  <c r="S591" i="12" a="1"/>
  <c r="S591" i="12" s="1"/>
  <c r="X664" i="12" a="1"/>
  <c r="X664" i="12" s="1"/>
  <c r="AL479" i="2" a="1"/>
  <c r="AL479" i="2" s="1"/>
  <c r="T320" i="12" a="1"/>
  <c r="T320" i="12" s="1"/>
  <c r="T286" i="12" a="1"/>
  <c r="T286" i="12" s="1"/>
  <c r="K596" i="12" a="1"/>
  <c r="K596" i="12" s="1"/>
  <c r="K261" i="12" a="1"/>
  <c r="K261" i="12" s="1"/>
  <c r="I219" i="12" a="1"/>
  <c r="I219" i="12" s="1"/>
  <c r="T571" i="12" a="1"/>
  <c r="T571" i="12" s="1"/>
  <c r="J282" i="12" a="1"/>
  <c r="J282" i="12" s="1"/>
  <c r="J280" i="12" a="1"/>
  <c r="J280" i="12" s="1"/>
  <c r="J498" i="12" a="1"/>
  <c r="J498" i="12" s="1"/>
  <c r="M498" i="12" a="1"/>
  <c r="M498" i="12" s="1"/>
  <c r="S316" i="12" a="1"/>
  <c r="S316" i="12" s="1"/>
  <c r="R316" i="12" a="1"/>
  <c r="R316" i="12" s="1"/>
  <c r="J351" i="12" a="1"/>
  <c r="J351" i="12" s="1"/>
  <c r="S364" i="12" a="1"/>
  <c r="S364" i="12" s="1"/>
  <c r="N601" i="12" a="1"/>
  <c r="N601" i="12" s="1"/>
  <c r="S270" i="12" a="1"/>
  <c r="S270" i="12" s="1"/>
  <c r="F313" i="12" a="1"/>
  <c r="F313" i="12" s="1"/>
  <c r="U488" i="2" a="1"/>
  <c r="U488" i="2" s="1"/>
  <c r="G315" i="12" a="1"/>
  <c r="G315" i="12" s="1"/>
  <c r="I246" i="12" a="1"/>
  <c r="I246" i="12" s="1"/>
  <c r="I371" i="12" a="1"/>
  <c r="I371" i="12" s="1"/>
  <c r="T448" i="12" a="1"/>
  <c r="T448" i="12" s="1"/>
  <c r="J360" i="12" a="1"/>
  <c r="J360" i="12" s="1"/>
  <c r="O362" i="12" a="1"/>
  <c r="O362" i="12" s="1"/>
  <c r="L364" i="12" a="1"/>
  <c r="L364" i="12" s="1"/>
  <c r="M576" i="12" a="1"/>
  <c r="M576" i="12" s="1"/>
  <c r="M380" i="12" a="1"/>
  <c r="M380" i="12" s="1"/>
  <c r="R380" i="12" a="1"/>
  <c r="R380" i="12" s="1"/>
  <c r="L357" i="12" a="1"/>
  <c r="L357" i="12" s="1"/>
  <c r="R357" i="12" a="1"/>
  <c r="R357" i="12" s="1"/>
  <c r="L344" i="12" a="1"/>
  <c r="L344" i="12" s="1"/>
  <c r="R302" i="12" a="1"/>
  <c r="R302" i="12" s="1"/>
  <c r="F367" i="12" a="1"/>
  <c r="F367" i="12" s="1"/>
  <c r="U513" i="2" a="1"/>
  <c r="U513" i="2" s="1"/>
  <c r="K328" i="12" a="1"/>
  <c r="K328" i="12" s="1"/>
  <c r="O343" i="12" a="1"/>
  <c r="O343" i="12" s="1"/>
  <c r="O349" i="12" a="1"/>
  <c r="O349" i="12" s="1"/>
  <c r="Q593" i="12" a="1"/>
  <c r="Q593" i="12" s="1"/>
  <c r="S251" i="12" a="1"/>
  <c r="S251" i="12" s="1"/>
  <c r="I455" i="12" a="1"/>
  <c r="I455" i="12" s="1"/>
  <c r="L291" i="12" a="1"/>
  <c r="L291" i="12" s="1"/>
  <c r="P400" i="12" a="1"/>
  <c r="P400" i="12" s="1"/>
  <c r="K400" i="12" a="1"/>
  <c r="K400" i="12" s="1"/>
  <c r="S373" i="12" a="1"/>
  <c r="S373" i="12" s="1"/>
  <c r="I137" i="12" a="1"/>
  <c r="I137" i="12" s="1"/>
  <c r="M351" i="12" a="1"/>
  <c r="M351" i="12" s="1"/>
  <c r="R338" i="12" a="1"/>
  <c r="R338" i="12" s="1"/>
  <c r="M362" i="12" a="1"/>
  <c r="M362" i="12" s="1"/>
  <c r="P343" i="12" a="1"/>
  <c r="P343" i="12" s="1"/>
  <c r="T290" i="12" a="1"/>
  <c r="T290" i="12" s="1"/>
  <c r="F294" i="12" a="1"/>
  <c r="F294" i="12" s="1"/>
  <c r="U496" i="2" a="1"/>
  <c r="U496" i="2" s="1"/>
  <c r="T576" i="12" a="1"/>
  <c r="T576" i="12" s="1"/>
  <c r="Q198" i="12" a="1"/>
  <c r="Q198" i="12" s="1"/>
  <c r="Q413" i="12" a="1"/>
  <c r="Q413" i="12" s="1"/>
  <c r="T413" i="12" a="1"/>
  <c r="T413" i="12" s="1"/>
  <c r="M402" i="12" a="1"/>
  <c r="M402" i="12" s="1"/>
  <c r="S521" i="12" a="1"/>
  <c r="S521" i="12" s="1"/>
  <c r="P303" i="12" a="1"/>
  <c r="P303" i="12" s="1"/>
  <c r="F440" i="12" a="1"/>
  <c r="F440" i="12" s="1"/>
  <c r="U543" i="2" a="1"/>
  <c r="U543" i="2" s="1"/>
  <c r="AA610" i="12" a="1"/>
  <c r="AA610" i="12" s="1"/>
  <c r="G574" i="12" a="1"/>
  <c r="G574" i="12" s="1"/>
  <c r="Q591" i="12" a="1"/>
  <c r="Q591" i="12" s="1"/>
  <c r="R313" i="12" a="1"/>
  <c r="R313" i="12" s="1"/>
  <c r="J605" i="12" a="1"/>
  <c r="J605" i="12" s="1"/>
  <c r="S252" i="12" a="1"/>
  <c r="S252" i="12" s="1"/>
  <c r="G214" i="12" a="1"/>
  <c r="G214" i="12" s="1"/>
  <c r="G246" i="12" a="1"/>
  <c r="G246" i="12" s="1"/>
  <c r="Q361" i="12" a="1"/>
  <c r="Q361" i="12" s="1"/>
  <c r="F336" i="12" a="1"/>
  <c r="F336" i="12" s="1"/>
  <c r="U538" i="2" a="1"/>
  <c r="U538" i="2" s="1"/>
  <c r="AB672" i="12" a="1"/>
  <c r="AB672" i="12" s="1"/>
  <c r="Q306" i="12" a="1"/>
  <c r="Q306" i="12" s="1"/>
  <c r="L284" i="12" a="1"/>
  <c r="L284" i="12" s="1"/>
  <c r="F319" i="12" a="1"/>
  <c r="F319" i="12" s="1"/>
  <c r="U511" i="2" a="1"/>
  <c r="U511" i="2" s="1"/>
  <c r="J349" i="12" a="1"/>
  <c r="J349" i="12" s="1"/>
  <c r="N347" i="12" a="1"/>
  <c r="N347" i="12" s="1"/>
  <c r="T158" i="12" a="1"/>
  <c r="T158" i="12" s="1"/>
  <c r="O470" i="12" a="1"/>
  <c r="O470" i="12" s="1"/>
  <c r="P390" i="12" a="1"/>
  <c r="P390" i="12" s="1"/>
  <c r="O405" i="12" a="1"/>
  <c r="O405" i="12" s="1"/>
  <c r="AL507" i="2" a="1"/>
  <c r="AL507" i="2" s="1"/>
  <c r="O593" i="12" a="1"/>
  <c r="O593" i="12" s="1"/>
  <c r="R301" i="12" a="1"/>
  <c r="R301" i="12" s="1"/>
  <c r="P464" i="12" a="1"/>
  <c r="P464" i="12" s="1"/>
  <c r="K420" i="12" a="1"/>
  <c r="K420" i="12" s="1"/>
  <c r="F341" i="12" a="1"/>
  <c r="F341" i="12" s="1"/>
  <c r="U551" i="2" a="1"/>
  <c r="U551" i="2" s="1"/>
  <c r="AQ535" i="2" a="1"/>
  <c r="AQ535" i="2" s="1"/>
  <c r="L240" i="12" a="1"/>
  <c r="L240" i="12" s="1"/>
  <c r="K327" i="12" a="1"/>
  <c r="K327" i="12" s="1"/>
  <c r="Q350" i="12" a="1"/>
  <c r="Q350" i="12" s="1"/>
  <c r="J252" i="12" a="1"/>
  <c r="J252" i="12" s="1"/>
  <c r="J301" i="12" a="1"/>
  <c r="J301" i="12" s="1"/>
  <c r="K246" i="12" a="1"/>
  <c r="K246" i="12" s="1"/>
  <c r="G471" i="12" a="1"/>
  <c r="G471" i="12" s="1"/>
  <c r="K468" i="12" a="1"/>
  <c r="K468" i="12" s="1"/>
  <c r="F304" i="12" a="1"/>
  <c r="F304" i="12" s="1"/>
  <c r="U546" i="2" a="1"/>
  <c r="U546" i="2" s="1"/>
  <c r="P352" i="12" a="1"/>
  <c r="P352" i="12" s="1"/>
  <c r="S331" i="12" a="1"/>
  <c r="S331" i="12" s="1"/>
  <c r="F251" i="12" a="1"/>
  <c r="F251" i="12" s="1"/>
  <c r="U484" i="2" a="1"/>
  <c r="U484" i="2" s="1"/>
  <c r="S347" i="12" a="1"/>
  <c r="S347" i="12" s="1"/>
  <c r="S286" i="12" a="1"/>
  <c r="S286" i="12" s="1"/>
  <c r="P158" i="12" a="1"/>
  <c r="P158" i="12" s="1"/>
  <c r="S261" i="12" a="1"/>
  <c r="S261" i="12" s="1"/>
  <c r="O328" i="12" a="1"/>
  <c r="O328" i="12" s="1"/>
  <c r="Q594" i="12" a="1"/>
  <c r="Q594" i="12" s="1"/>
  <c r="P219" i="12" a="1"/>
  <c r="P219" i="12" s="1"/>
  <c r="AA638" i="12" a="1"/>
  <c r="AA638" i="12" s="1"/>
  <c r="J566" i="12" a="1"/>
  <c r="J566" i="12" s="1"/>
  <c r="P268" i="12" a="1"/>
  <c r="P268" i="12" s="1"/>
  <c r="O185" i="12" a="1"/>
  <c r="O185" i="12" s="1"/>
  <c r="Z629" i="12" a="1"/>
  <c r="Z629" i="12" s="1"/>
  <c r="R465" i="12" a="1"/>
  <c r="R465" i="12" s="1"/>
  <c r="R449" i="12" a="1"/>
  <c r="R449" i="12" s="1"/>
  <c r="S575" i="12" a="1"/>
  <c r="S575" i="12" s="1"/>
  <c r="Q265" i="12" a="1"/>
  <c r="Q265" i="12" s="1"/>
  <c r="K287" i="12" a="1"/>
  <c r="K287" i="12" s="1"/>
  <c r="I211" i="12" a="1"/>
  <c r="I211" i="12" s="1"/>
  <c r="R539" i="12" a="1"/>
  <c r="R539" i="12" s="1"/>
  <c r="S260" i="12" a="1"/>
  <c r="S260" i="12" s="1"/>
  <c r="G503" i="12" a="1"/>
  <c r="G503" i="12" s="1"/>
  <c r="G510" i="12" a="1"/>
  <c r="G510" i="12" s="1"/>
  <c r="G295" i="12" a="1"/>
  <c r="G295" i="12" s="1"/>
  <c r="J172" i="12" a="1"/>
  <c r="J172" i="12" s="1"/>
  <c r="N180" i="12" a="1"/>
  <c r="N180" i="12" s="1"/>
  <c r="M236" i="12" a="1"/>
  <c r="M236" i="12" s="1"/>
  <c r="K531" i="12" a="1"/>
  <c r="K531" i="12" s="1"/>
  <c r="P465" i="12" a="1"/>
  <c r="P465" i="12" s="1"/>
  <c r="X650" i="12" a="1"/>
  <c r="X650" i="12" s="1"/>
  <c r="AL333" i="2" a="1"/>
  <c r="AL333" i="2" s="1"/>
  <c r="P593" i="12" a="1"/>
  <c r="P593" i="12" s="1"/>
  <c r="M281" i="12" a="1"/>
  <c r="M281" i="12" s="1"/>
  <c r="P269" i="12" a="1"/>
  <c r="P269" i="12" s="1"/>
  <c r="M238" i="12" a="1"/>
  <c r="M238" i="12" s="1"/>
  <c r="M248" i="12" a="1"/>
  <c r="M248" i="12" s="1"/>
  <c r="I298" i="12" a="1"/>
  <c r="I298" i="12" s="1"/>
  <c r="I605" i="12" a="1"/>
  <c r="I605" i="12" s="1"/>
  <c r="AB666" i="12" a="1"/>
  <c r="AB666" i="12" s="1"/>
  <c r="AQ427" i="2" a="1"/>
  <c r="AQ427" i="2" s="1"/>
  <c r="Q561" i="12" a="1"/>
  <c r="Q561" i="12" s="1"/>
  <c r="F208" i="12" a="1"/>
  <c r="F208" i="12" s="1"/>
  <c r="U415" i="2" a="1"/>
  <c r="U415" i="2" s="1"/>
  <c r="R268" i="12" a="1"/>
  <c r="R268" i="12" s="1"/>
  <c r="I568" i="12" a="1"/>
  <c r="I568" i="12" s="1"/>
  <c r="Q527" i="12" a="1"/>
  <c r="Q527" i="12" s="1"/>
  <c r="T562" i="12" a="1"/>
  <c r="T562" i="12" s="1"/>
  <c r="S531" i="12" a="1"/>
  <c r="S531" i="12" s="1"/>
  <c r="P320" i="12" a="1"/>
  <c r="P320" i="12" s="1"/>
  <c r="I597" i="12" a="1"/>
  <c r="I597" i="12" s="1"/>
  <c r="L280" i="12" a="1"/>
  <c r="L280" i="12" s="1"/>
  <c r="G260" i="12" a="1"/>
  <c r="G260" i="12" s="1"/>
  <c r="P258" i="12" a="1"/>
  <c r="P258" i="12" s="1"/>
  <c r="M598" i="12" a="1"/>
  <c r="M598" i="12" s="1"/>
  <c r="S211" i="12" a="1"/>
  <c r="S211" i="12" s="1"/>
  <c r="S257" i="12" a="1"/>
  <c r="S257" i="12" s="1"/>
  <c r="F269" i="12" a="1"/>
  <c r="F269" i="12" s="1"/>
  <c r="P606" i="12" a="1"/>
  <c r="P606" i="12" s="1"/>
  <c r="K451" i="12" a="1"/>
  <c r="K451" i="12" s="1"/>
  <c r="R408" i="12" a="1"/>
  <c r="R408" i="12" s="1"/>
  <c r="O225" i="12" a="1"/>
  <c r="O225" i="12" s="1"/>
  <c r="Q449" i="12" a="1"/>
  <c r="Q449" i="12" s="1"/>
  <c r="Z639" i="12" a="1"/>
  <c r="Z639" i="12" s="1"/>
  <c r="G133" i="12" a="1"/>
  <c r="G133" i="12" s="1"/>
  <c r="Q285" i="12" a="1"/>
  <c r="Q285" i="12" s="1"/>
  <c r="S14" i="12" a="1"/>
  <c r="S14" i="12" s="1"/>
  <c r="Q244" i="12" a="1"/>
  <c r="Q244" i="12" s="1"/>
  <c r="R44" i="12" a="1"/>
  <c r="R44" i="12" s="1"/>
  <c r="R430" i="12" a="1"/>
  <c r="R430" i="12" s="1"/>
  <c r="Z196" i="3" a="1"/>
  <c r="Z196" i="3" s="1"/>
  <c r="T578" i="12" a="1"/>
  <c r="T578" i="12" s="1"/>
  <c r="K543" i="12" a="1"/>
  <c r="K543" i="12" s="1"/>
  <c r="R424" i="12" a="1"/>
  <c r="R424" i="12" s="1"/>
  <c r="N542" i="12" a="1"/>
  <c r="N542" i="12" s="1"/>
  <c r="Q545" i="12" a="1"/>
  <c r="Q545" i="12" s="1"/>
  <c r="G579" i="12" a="1"/>
  <c r="G579" i="12" s="1"/>
  <c r="Q441" i="12" a="1"/>
  <c r="Q441" i="12" s="1"/>
  <c r="T529" i="12" a="1"/>
  <c r="T529" i="12" s="1"/>
  <c r="Q375" i="12" a="1"/>
  <c r="Q375" i="12" s="1"/>
  <c r="R599" i="12" a="1"/>
  <c r="R599" i="12" s="1"/>
  <c r="M544" i="12" a="1"/>
  <c r="M544" i="12" s="1"/>
  <c r="T477" i="12" a="1"/>
  <c r="T477" i="12" s="1"/>
  <c r="L481" i="12" a="1"/>
  <c r="L481" i="12" s="1"/>
  <c r="S577" i="12" a="1"/>
  <c r="S577" i="12" s="1"/>
  <c r="R473" i="12" a="1"/>
  <c r="R473" i="12" s="1"/>
  <c r="R392" i="12" a="1"/>
  <c r="R392" i="12" s="1"/>
  <c r="J434" i="12" a="1"/>
  <c r="J434" i="12" s="1"/>
  <c r="I599" i="12" a="1"/>
  <c r="I599" i="12" s="1"/>
  <c r="L563" i="12" a="1"/>
  <c r="L563" i="12" s="1"/>
  <c r="S477" i="12" a="1"/>
  <c r="S477" i="12" s="1"/>
  <c r="I548" i="12" a="1"/>
  <c r="I548" i="12" s="1"/>
  <c r="K577" i="12" a="1"/>
  <c r="K577" i="12" s="1"/>
  <c r="J392" i="12" a="1"/>
  <c r="J392" i="12" s="1"/>
  <c r="I460" i="12" a="1"/>
  <c r="I460" i="12" s="1"/>
  <c r="M580" i="12" a="1"/>
  <c r="M580" i="12" s="1"/>
  <c r="O516" i="12" a="1"/>
  <c r="O516" i="12" s="1"/>
  <c r="R592" i="12" a="1"/>
  <c r="R592" i="12" s="1"/>
  <c r="O543" i="12" a="1"/>
  <c r="O543" i="12" s="1"/>
  <c r="R507" i="12" a="1"/>
  <c r="R507" i="12" s="1"/>
  <c r="O418" i="12" a="1"/>
  <c r="O418" i="12" s="1"/>
  <c r="O430" i="12" a="1"/>
  <c r="O430" i="12" s="1"/>
  <c r="T460" i="12" a="1"/>
  <c r="T460" i="12" s="1"/>
  <c r="F98" i="12" a="1"/>
  <c r="F98" i="12" s="1"/>
  <c r="I592" i="12" a="1"/>
  <c r="I592" i="12" s="1"/>
  <c r="G513" i="12" a="1"/>
  <c r="G513" i="12" s="1"/>
  <c r="Q481" i="12" a="1"/>
  <c r="Q481" i="12" s="1"/>
  <c r="K589" i="12" a="1"/>
  <c r="K589" i="12" s="1"/>
  <c r="O595" i="12" a="1"/>
  <c r="O595" i="12" s="1"/>
  <c r="O467" i="12" a="1"/>
  <c r="O467" i="12" s="1"/>
  <c r="O513" i="12" a="1"/>
  <c r="O513" i="12" s="1"/>
  <c r="N418" i="12" a="1"/>
  <c r="N418" i="12" s="1"/>
  <c r="S580" i="12" a="1"/>
  <c r="S580" i="12" s="1"/>
  <c r="I563" i="12" a="1"/>
  <c r="I563" i="12" s="1"/>
  <c r="L543" i="12" a="1"/>
  <c r="L543" i="12" s="1"/>
  <c r="S438" i="12" a="1"/>
  <c r="S438" i="12" s="1"/>
  <c r="M441" i="12" a="1"/>
  <c r="M441" i="12" s="1"/>
  <c r="T430" i="12" a="1"/>
  <c r="T430" i="12" s="1"/>
  <c r="K467" i="12" a="1"/>
  <c r="K467" i="12" s="1"/>
  <c r="F375" i="12" a="1"/>
  <c r="F375" i="12" s="1"/>
  <c r="J445" i="12" a="1"/>
  <c r="J445" i="12" s="1"/>
  <c r="N453" i="12" a="1"/>
  <c r="N453" i="12" s="1"/>
  <c r="T552" i="12" a="1"/>
  <c r="T552" i="12" s="1"/>
  <c r="Q471" i="12" a="1"/>
  <c r="Q471" i="12" s="1"/>
  <c r="L371" i="12" a="1"/>
  <c r="L371" i="12" s="1"/>
  <c r="T506" i="12" a="1"/>
  <c r="T506" i="12" s="1"/>
  <c r="N385" i="12" a="1"/>
  <c r="N385" i="12" s="1"/>
  <c r="M342" i="12" a="1"/>
  <c r="M342" i="12" s="1"/>
  <c r="S600" i="12" a="1"/>
  <c r="S600" i="12" s="1"/>
  <c r="O339" i="12" a="1"/>
  <c r="O339" i="12" s="1"/>
  <c r="T381" i="12" a="1"/>
  <c r="T381" i="12" s="1"/>
  <c r="G572" i="12" a="1"/>
  <c r="G572" i="12" s="1"/>
  <c r="F570" i="12" a="1"/>
  <c r="F570" i="12" s="1"/>
  <c r="R447" i="12" a="1"/>
  <c r="R447" i="12" s="1"/>
  <c r="S410" i="12" a="1"/>
  <c r="S410" i="12" s="1"/>
  <c r="S472" i="12" a="1"/>
  <c r="S472" i="12" s="1"/>
  <c r="S310" i="12" a="1"/>
  <c r="S310" i="12" s="1"/>
  <c r="M396" i="12" a="1"/>
  <c r="M396" i="12" s="1"/>
  <c r="T361" i="12" a="1"/>
  <c r="T361" i="12" s="1"/>
  <c r="Q600" i="12" a="1"/>
  <c r="Q600" i="12" s="1"/>
  <c r="AQ534" i="2" a="1"/>
  <c r="AQ534" i="2" s="1"/>
  <c r="AR534" i="2" a="1"/>
  <c r="AR534" i="2" s="1"/>
  <c r="K352" i="12" a="1"/>
  <c r="K352" i="12" s="1"/>
  <c r="AB612" i="12" a="1"/>
  <c r="AB612" i="12" s="1"/>
  <c r="L513" i="12" a="1"/>
  <c r="L513" i="12" s="1"/>
  <c r="J529" i="12" a="1"/>
  <c r="J529" i="12" s="1"/>
  <c r="L464" i="12" a="1"/>
  <c r="L464" i="12" s="1"/>
  <c r="T444" i="12" a="1"/>
  <c r="T444" i="12" s="1"/>
  <c r="G486" i="12" a="1"/>
  <c r="G486" i="12" s="1"/>
  <c r="G353" i="12" a="1"/>
  <c r="G353" i="12" s="1"/>
  <c r="T461" i="12" a="1"/>
  <c r="T461" i="12" s="1"/>
  <c r="L342" i="12" a="1"/>
  <c r="L342" i="12" s="1"/>
  <c r="F590" i="12" a="1"/>
  <c r="F590" i="12" s="1"/>
  <c r="G544" i="12" a="1"/>
  <c r="G544" i="12" s="1"/>
  <c r="N394" i="12" a="1"/>
  <c r="N394" i="12" s="1"/>
  <c r="Q278" i="12" a="1"/>
  <c r="Q278" i="12" s="1"/>
  <c r="I399" i="12" a="1"/>
  <c r="I399" i="12" s="1"/>
  <c r="R342" i="12" a="1"/>
  <c r="R342" i="12" s="1"/>
  <c r="J406" i="12" a="1"/>
  <c r="J406" i="12" s="1"/>
  <c r="F569" i="12" a="1"/>
  <c r="F569" i="12" s="1"/>
  <c r="U635" i="2" a="1"/>
  <c r="U635" i="2" s="1"/>
  <c r="M428" i="12" a="1"/>
  <c r="M428" i="12" s="1"/>
  <c r="T489" i="12" a="1"/>
  <c r="T489" i="12" s="1"/>
  <c r="P429" i="12" a="1"/>
  <c r="P429" i="12" s="1"/>
  <c r="J429" i="12" a="1"/>
  <c r="J429" i="12" s="1"/>
  <c r="S433" i="12" a="1"/>
  <c r="S433" i="12" s="1"/>
  <c r="O324" i="12" a="1"/>
  <c r="O324" i="12" s="1"/>
  <c r="J461" i="12" a="1"/>
  <c r="J461" i="12" s="1"/>
  <c r="L385" i="12" a="1"/>
  <c r="L385" i="12" s="1"/>
  <c r="F359" i="12" a="1"/>
  <c r="F359" i="12" s="1"/>
  <c r="U545" i="2" a="1"/>
  <c r="U545" i="2" s="1"/>
  <c r="F326" i="12" a="1"/>
  <c r="F326" i="12" s="1"/>
  <c r="U522" i="2" a="1"/>
  <c r="U522" i="2" s="1"/>
  <c r="T98" i="12" a="1"/>
  <c r="T98" i="12" s="1"/>
  <c r="S450" i="12" a="1"/>
  <c r="S450" i="12" s="1"/>
  <c r="F441" i="12" a="1"/>
  <c r="F441" i="12" s="1"/>
  <c r="M538" i="12" a="1"/>
  <c r="M538" i="12" s="1"/>
  <c r="Q453" i="12" a="1"/>
  <c r="Q453" i="12" s="1"/>
  <c r="P353" i="12" a="1"/>
  <c r="P353" i="12" s="1"/>
  <c r="K369" i="12" a="1"/>
  <c r="K369" i="12" s="1"/>
  <c r="M340" i="12" a="1"/>
  <c r="M340" i="12" s="1"/>
  <c r="M411" i="12" a="1"/>
  <c r="M411" i="12" s="1"/>
  <c r="M300" i="12" a="1"/>
  <c r="M300" i="12" s="1"/>
  <c r="M359" i="12" a="1"/>
  <c r="M359" i="12" s="1"/>
  <c r="M288" i="12" a="1"/>
  <c r="M288" i="12" s="1"/>
  <c r="J344" i="12" a="1"/>
  <c r="J344" i="12" s="1"/>
  <c r="R593" i="12" a="1"/>
  <c r="R593" i="12" s="1"/>
  <c r="R518" i="12" a="1"/>
  <c r="R518" i="12" s="1"/>
  <c r="U637" i="2" a="1"/>
  <c r="U637" i="2" s="1"/>
  <c r="O567" i="12" a="1"/>
  <c r="O567" i="12" s="1"/>
  <c r="M459" i="12" a="1"/>
  <c r="M459" i="12" s="1"/>
  <c r="R436" i="12" a="1"/>
  <c r="R436" i="12" s="1"/>
  <c r="T523" i="12" a="1"/>
  <c r="T523" i="12" s="1"/>
  <c r="K460" i="12" a="1"/>
  <c r="K460" i="12" s="1"/>
  <c r="P486" i="12" a="1"/>
  <c r="P486" i="12" s="1"/>
  <c r="J535" i="12" a="1"/>
  <c r="J535" i="12" s="1"/>
  <c r="M409" i="12" a="1"/>
  <c r="M409" i="12" s="1"/>
  <c r="K525" i="12" a="1"/>
  <c r="K525" i="12" s="1"/>
  <c r="F417" i="12" a="1"/>
  <c r="F417" i="12" s="1"/>
  <c r="G310" i="12" a="1"/>
  <c r="G310" i="12" s="1"/>
  <c r="G361" i="12" a="1"/>
  <c r="G361" i="12" s="1"/>
  <c r="R318" i="12" a="1"/>
  <c r="R318" i="12" s="1"/>
  <c r="P381" i="12" a="1"/>
  <c r="P381" i="12" s="1"/>
  <c r="K599" i="12" a="1"/>
  <c r="K599" i="12" s="1"/>
  <c r="F477" i="12" a="1"/>
  <c r="F477" i="12" s="1"/>
  <c r="J488" i="12" a="1"/>
  <c r="J488" i="12" s="1"/>
  <c r="N488" i="12" a="1"/>
  <c r="N488" i="12" s="1"/>
  <c r="L395" i="12" a="1"/>
  <c r="L395" i="12" s="1"/>
  <c r="K395" i="12" a="1"/>
  <c r="K395" i="12" s="1"/>
  <c r="L487" i="12" a="1"/>
  <c r="L487" i="12" s="1"/>
  <c r="N560" i="12" a="1"/>
  <c r="N560" i="12" s="1"/>
  <c r="O433" i="12" a="1"/>
  <c r="O433" i="12" s="1"/>
  <c r="M455" i="12" a="1"/>
  <c r="M455" i="12" s="1"/>
  <c r="O399" i="12" a="1"/>
  <c r="O399" i="12" s="1"/>
  <c r="K359" i="12" a="1"/>
  <c r="K359" i="12" s="1"/>
  <c r="F391" i="12" a="1"/>
  <c r="F391" i="12" s="1"/>
  <c r="U532" i="2" a="1"/>
  <c r="U532" i="2" s="1"/>
  <c r="P590" i="12" a="1"/>
  <c r="P590" i="12" s="1"/>
  <c r="T453" i="12" a="1"/>
  <c r="T453" i="12" s="1"/>
  <c r="L446" i="12" a="1"/>
  <c r="L446" i="12" s="1"/>
  <c r="I417" i="12" a="1"/>
  <c r="I417" i="12" s="1"/>
  <c r="Q371" i="12" a="1"/>
  <c r="Q371" i="12" s="1"/>
  <c r="X644" i="12" a="1"/>
  <c r="X644" i="12" s="1"/>
  <c r="AL535" i="2" a="1"/>
  <c r="AL535" i="2" s="1"/>
  <c r="T352" i="12" a="1"/>
  <c r="T352" i="12" s="1"/>
  <c r="R565" i="12" a="1"/>
  <c r="R565" i="12" s="1"/>
  <c r="S384" i="12" a="1"/>
  <c r="S384" i="12" s="1"/>
  <c r="Q384" i="12" a="1"/>
  <c r="Q384" i="12" s="1"/>
  <c r="N459" i="12" a="1"/>
  <c r="N459" i="12" s="1"/>
  <c r="Q434" i="12" a="1"/>
  <c r="Q434" i="12" s="1"/>
  <c r="L524" i="12" a="1"/>
  <c r="L524" i="12" s="1"/>
  <c r="T437" i="12" a="1"/>
  <c r="T437" i="12" s="1"/>
  <c r="O389" i="12" a="1"/>
  <c r="O389" i="12" s="1"/>
  <c r="G411" i="12" a="1"/>
  <c r="G411" i="12" s="1"/>
  <c r="S300" i="12" a="1"/>
  <c r="S300" i="12" s="1"/>
  <c r="K303" i="12" a="1"/>
  <c r="K303" i="12" s="1"/>
  <c r="Q288" i="12" a="1"/>
  <c r="Q288" i="12" s="1"/>
  <c r="U610" i="2" a="1"/>
  <c r="U610" i="2" s="1"/>
  <c r="J339" i="12" a="1"/>
  <c r="J339" i="12" s="1"/>
  <c r="L306" i="12" a="1"/>
  <c r="L306" i="12" s="1"/>
  <c r="F591" i="12" a="1"/>
  <c r="F591" i="12" s="1"/>
  <c r="U495" i="2" a="1"/>
  <c r="U495" i="2" s="1"/>
  <c r="M320" i="12" a="1"/>
  <c r="M320" i="12" s="1"/>
  <c r="F286" i="12" a="1"/>
  <c r="F286" i="12" s="1"/>
  <c r="U472" i="2" a="1"/>
  <c r="U472" i="2" s="1"/>
  <c r="I596" i="12" a="1"/>
  <c r="I596" i="12" s="1"/>
  <c r="I261" i="12" a="1"/>
  <c r="I261" i="12" s="1"/>
  <c r="T219" i="12" a="1"/>
  <c r="T219" i="12" s="1"/>
  <c r="F571" i="12" a="1"/>
  <c r="F571" i="12" s="1"/>
  <c r="U452" i="2" a="1"/>
  <c r="U452" i="2" s="1"/>
  <c r="I282" i="12" a="1"/>
  <c r="I282" i="12" s="1"/>
  <c r="O498" i="12" a="1"/>
  <c r="O498" i="12" s="1"/>
  <c r="S498" i="12" a="1"/>
  <c r="S498" i="12" s="1"/>
  <c r="L316" i="12" a="1"/>
  <c r="L316" i="12" s="1"/>
  <c r="K306" i="12" a="1"/>
  <c r="K306" i="12" s="1"/>
  <c r="T601" i="12" a="1"/>
  <c r="T601" i="12" s="1"/>
  <c r="N270" i="12" a="1"/>
  <c r="N270" i="12" s="1"/>
  <c r="G252" i="12" a="1"/>
  <c r="G252" i="12" s="1"/>
  <c r="R315" i="12" a="1"/>
  <c r="R315" i="12" s="1"/>
  <c r="G482" i="12" a="1"/>
  <c r="G482" i="12" s="1"/>
  <c r="R461" i="12" a="1"/>
  <c r="R461" i="12" s="1"/>
  <c r="N448" i="12" a="1"/>
  <c r="N448" i="12" s="1"/>
  <c r="S385" i="12" a="1"/>
  <c r="S385" i="12" s="1"/>
  <c r="K362" i="12" a="1"/>
  <c r="K362" i="12" s="1"/>
  <c r="G364" i="12" a="1"/>
  <c r="G364" i="12" s="1"/>
  <c r="L350" i="12" a="1"/>
  <c r="L350" i="12" s="1"/>
  <c r="O380" i="12" a="1"/>
  <c r="O380" i="12" s="1"/>
  <c r="S380" i="12" a="1"/>
  <c r="S380" i="12" s="1"/>
  <c r="S357" i="12" a="1"/>
  <c r="S357" i="12" s="1"/>
  <c r="P360" i="12" a="1"/>
  <c r="P360" i="12" s="1"/>
  <c r="G306" i="12" a="1"/>
  <c r="G306" i="12" s="1"/>
  <c r="F302" i="12" a="1"/>
  <c r="F302" i="12" s="1"/>
  <c r="U516" i="2" a="1"/>
  <c r="U516" i="2" s="1"/>
  <c r="L367" i="12" a="1"/>
  <c r="L367" i="12" s="1"/>
  <c r="L328" i="12" a="1"/>
  <c r="L328" i="12" s="1"/>
  <c r="L343" i="12" a="1"/>
  <c r="L343" i="12" s="1"/>
  <c r="Q349" i="12" a="1"/>
  <c r="Q349" i="12" s="1"/>
  <c r="L242" i="12" a="1"/>
  <c r="L242" i="12" s="1"/>
  <c r="P251" i="12" a="1"/>
  <c r="P251" i="12" s="1"/>
  <c r="I291" i="12" a="1"/>
  <c r="I291" i="12" s="1"/>
  <c r="G291" i="12" a="1"/>
  <c r="G291" i="12" s="1"/>
  <c r="J400" i="12" a="1"/>
  <c r="J400" i="12" s="1"/>
  <c r="Q400" i="12" a="1"/>
  <c r="Q400" i="12" s="1"/>
  <c r="Q355" i="12" a="1"/>
  <c r="Q355" i="12" s="1"/>
  <c r="T351" i="12" a="1"/>
  <c r="T351" i="12" s="1"/>
  <c r="S338" i="12" a="1"/>
  <c r="S338" i="12" s="1"/>
  <c r="M284" i="12" a="1"/>
  <c r="M284" i="12" s="1"/>
  <c r="M349" i="12" a="1"/>
  <c r="M349" i="12" s="1"/>
  <c r="S290" i="12" a="1"/>
  <c r="S290" i="12" s="1"/>
  <c r="N294" i="12" a="1"/>
  <c r="N294" i="12" s="1"/>
  <c r="O347" i="12" a="1"/>
  <c r="O347" i="12" s="1"/>
  <c r="S198" i="12" a="1"/>
  <c r="S198" i="12" s="1"/>
  <c r="N402" i="12" a="1"/>
  <c r="N402" i="12" s="1"/>
  <c r="M521" i="12" a="1"/>
  <c r="M521" i="12" s="1"/>
  <c r="M304" i="12" a="1"/>
  <c r="M304" i="12" s="1"/>
  <c r="T440" i="12" a="1"/>
  <c r="T440" i="12" s="1"/>
  <c r="Z618" i="12" a="1"/>
  <c r="Z618" i="12" s="1"/>
  <c r="AB610" i="12" a="1"/>
  <c r="AB610" i="12" s="1"/>
  <c r="F240" i="12" a="1"/>
  <c r="F240" i="12" s="1"/>
  <c r="U500" i="2" a="1"/>
  <c r="U500" i="2" s="1"/>
  <c r="M574" i="12" a="1"/>
  <c r="M574" i="12" s="1"/>
  <c r="K591" i="12" a="1"/>
  <c r="K591" i="12" s="1"/>
  <c r="M313" i="12" a="1"/>
  <c r="M313" i="12" s="1"/>
  <c r="P605" i="12" a="1"/>
  <c r="P605" i="12" s="1"/>
  <c r="L252" i="12" a="1"/>
  <c r="L252" i="12" s="1"/>
  <c r="J241" i="12" a="1"/>
  <c r="J241" i="12" s="1"/>
  <c r="P385" i="12" a="1"/>
  <c r="P385" i="12" s="1"/>
  <c r="T336" i="12" a="1"/>
  <c r="T336" i="12" s="1"/>
  <c r="R319" i="12" a="1"/>
  <c r="R319" i="12" s="1"/>
  <c r="Q319" i="12" a="1"/>
  <c r="Q319" i="12" s="1"/>
  <c r="L591" i="12" a="1"/>
  <c r="L591" i="12" s="1"/>
  <c r="Z612" i="12" a="1"/>
  <c r="Z612" i="12" s="1"/>
  <c r="N286" i="12" a="1"/>
  <c r="N286" i="12" s="1"/>
  <c r="N571" i="12" a="1"/>
  <c r="N571" i="12" s="1"/>
  <c r="F470" i="12" a="1"/>
  <c r="F470" i="12" s="1"/>
  <c r="U575" i="2" a="1"/>
  <c r="U575" i="2" s="1"/>
  <c r="F390" i="12" a="1"/>
  <c r="F390" i="12" s="1"/>
  <c r="U568" i="2" a="1"/>
  <c r="U568" i="2" s="1"/>
  <c r="K390" i="12" a="1"/>
  <c r="K390" i="12" s="1"/>
  <c r="AA618" i="12" a="1"/>
  <c r="AA618" i="12" s="1"/>
  <c r="M328" i="12" a="1"/>
  <c r="M328" i="12" s="1"/>
  <c r="R242" i="12" a="1"/>
  <c r="R242" i="12" s="1"/>
  <c r="J555" i="12" a="1"/>
  <c r="J555" i="12" s="1"/>
  <c r="L420" i="12" a="1"/>
  <c r="L420" i="12" s="1"/>
  <c r="G341" i="12" a="1"/>
  <c r="G341" i="12" s="1"/>
  <c r="J249" i="12" a="1"/>
  <c r="J249" i="12" s="1"/>
  <c r="N240" i="12" a="1"/>
  <c r="N240" i="12" s="1"/>
  <c r="F327" i="12" a="1"/>
  <c r="F327" i="12" s="1"/>
  <c r="U499" i="2" a="1"/>
  <c r="U499" i="2" s="1"/>
  <c r="P301" i="12" a="1"/>
  <c r="P301" i="12" s="1"/>
  <c r="X668" i="12" a="1"/>
  <c r="X668" i="12" s="1"/>
  <c r="AL389" i="2" a="1"/>
  <c r="AL389" i="2" s="1"/>
  <c r="P455" i="12" a="1"/>
  <c r="P455" i="12" s="1"/>
  <c r="T468" i="12" a="1"/>
  <c r="T468" i="12" s="1"/>
  <c r="G304" i="12" a="1"/>
  <c r="G304" i="12" s="1"/>
  <c r="I381" i="12" a="1"/>
  <c r="I381" i="12" s="1"/>
  <c r="N331" i="12" a="1"/>
  <c r="N331" i="12" s="1"/>
  <c r="G242" i="12" a="1"/>
  <c r="G242" i="12" s="1"/>
  <c r="L347" i="12" a="1"/>
  <c r="L347" i="12" s="1"/>
  <c r="L286" i="12" a="1"/>
  <c r="L286" i="12" s="1"/>
  <c r="S596" i="12" a="1"/>
  <c r="S596" i="12" s="1"/>
  <c r="L261" i="12" a="1"/>
  <c r="L261" i="12" s="1"/>
  <c r="U505" i="2" a="1"/>
  <c r="U505" i="2" s="1"/>
  <c r="K581" i="12" a="1"/>
  <c r="K581" i="12" s="1"/>
  <c r="F566" i="12" a="1"/>
  <c r="F566" i="12" s="1"/>
  <c r="U424" i="2" a="1"/>
  <c r="U424" i="2" s="1"/>
  <c r="G268" i="12" a="1"/>
  <c r="G268" i="12" s="1"/>
  <c r="F185" i="12" a="1"/>
  <c r="F185" i="12" s="1"/>
  <c r="U402" i="2" a="1"/>
  <c r="U402" i="2" s="1"/>
  <c r="L181" i="12" a="1"/>
  <c r="L181" i="12" s="1"/>
  <c r="S585" i="12" a="1"/>
  <c r="S585" i="12" s="1"/>
  <c r="L449" i="12" a="1"/>
  <c r="L449" i="12" s="1"/>
  <c r="M247" i="12" a="1"/>
  <c r="M247" i="12" s="1"/>
  <c r="K265" i="12" a="1"/>
  <c r="K265" i="12" s="1"/>
  <c r="R287" i="12" a="1"/>
  <c r="R287" i="12" s="1"/>
  <c r="Q269" i="12" a="1"/>
  <c r="Q269" i="12" s="1"/>
  <c r="F539" i="12" a="1"/>
  <c r="F539" i="12" s="1"/>
  <c r="U436" i="2" a="1"/>
  <c r="U436" i="2" s="1"/>
  <c r="I263" i="12" a="1"/>
  <c r="I263" i="12" s="1"/>
  <c r="T510" i="12" a="1"/>
  <c r="T510" i="12" s="1"/>
  <c r="R585" i="12" a="1"/>
  <c r="R585" i="12" s="1"/>
  <c r="Q520" i="12" a="1"/>
  <c r="Q520" i="12" s="1"/>
  <c r="I172" i="12" a="1"/>
  <c r="I172" i="12" s="1"/>
  <c r="S180" i="12" a="1"/>
  <c r="S180" i="12" s="1"/>
  <c r="R236" i="12" a="1"/>
  <c r="R236" i="12" s="1"/>
  <c r="R527" i="12" a="1"/>
  <c r="R527" i="12" s="1"/>
  <c r="J465" i="12" a="1"/>
  <c r="J465" i="12" s="1"/>
  <c r="K242" i="12" a="1"/>
  <c r="K242" i="12" s="1"/>
  <c r="T281" i="12" a="1"/>
  <c r="T281" i="12" s="1"/>
  <c r="U448" i="2" a="1"/>
  <c r="U448" i="2" s="1"/>
  <c r="K483" i="12" a="1"/>
  <c r="K483" i="12" s="1"/>
  <c r="S248" i="12" a="1"/>
  <c r="S248" i="12" s="1"/>
  <c r="T298" i="12" a="1"/>
  <c r="T298" i="12" s="1"/>
  <c r="K536" i="12" a="1"/>
  <c r="K536" i="12" s="1"/>
  <c r="P536" i="12" a="1"/>
  <c r="P536" i="12" s="1"/>
  <c r="U458" i="2" a="1"/>
  <c r="U458" i="2" s="1"/>
  <c r="K435" i="12" a="1"/>
  <c r="K435" i="12" s="1"/>
  <c r="J449" i="12" a="1"/>
  <c r="J449" i="12" s="1"/>
  <c r="K171" i="12" a="1"/>
  <c r="K171" i="12" s="1"/>
  <c r="F218" i="12" a="1"/>
  <c r="F218" i="12" s="1"/>
  <c r="U416" i="2" a="1"/>
  <c r="U416" i="2" s="1"/>
  <c r="R83" i="12" a="1"/>
  <c r="R83" i="12" s="1"/>
  <c r="P245" i="12" a="1"/>
  <c r="P245" i="12" s="1"/>
  <c r="G557" i="12" a="1"/>
  <c r="G557" i="12" s="1"/>
  <c r="Q258" i="12" a="1"/>
  <c r="Q258" i="12" s="1"/>
  <c r="Q514" i="12" a="1"/>
  <c r="Q514" i="12" s="1"/>
  <c r="I505" i="12" a="1"/>
  <c r="I505" i="12" s="1"/>
  <c r="AB614" i="12" a="1"/>
  <c r="AB614" i="12" s="1"/>
  <c r="O186" i="12" a="1"/>
  <c r="O186" i="12" s="1"/>
  <c r="F451" i="12" a="1"/>
  <c r="F451" i="12" s="1"/>
  <c r="Q164" i="12" a="1"/>
  <c r="Q164" i="12" s="1"/>
  <c r="S209" i="12" a="1"/>
  <c r="S209" i="12" s="1"/>
  <c r="S439" i="12" a="1"/>
  <c r="S439" i="12" s="1"/>
  <c r="F101" i="12" a="1"/>
  <c r="F101" i="12" s="1"/>
  <c r="M502" i="12" a="1"/>
  <c r="M502" i="12" s="1"/>
  <c r="N122" i="12" a="1"/>
  <c r="N122" i="12" s="1"/>
  <c r="L89" i="12" a="1"/>
  <c r="L89" i="12" s="1"/>
  <c r="J35" i="12" a="1"/>
  <c r="J35" i="12" s="1"/>
  <c r="R239" i="12" a="1"/>
  <c r="R239" i="12" s="1"/>
  <c r="P276" i="12" a="1"/>
  <c r="P276" i="12" s="1"/>
  <c r="R211" i="12" a="1"/>
  <c r="R211" i="12" s="1"/>
  <c r="P211" i="12" a="1"/>
  <c r="P211" i="12" s="1"/>
  <c r="F501" i="12" a="1"/>
  <c r="F501" i="12" s="1"/>
  <c r="U432" i="2" a="1"/>
  <c r="U432" i="2" s="1"/>
  <c r="F237" i="12" a="1"/>
  <c r="F237" i="12" s="1"/>
  <c r="U426" i="2" a="1"/>
  <c r="U426" i="2" s="1"/>
  <c r="F510" i="12" a="1"/>
  <c r="F510" i="12" s="1"/>
  <c r="U409" i="2" a="1"/>
  <c r="U409" i="2" s="1"/>
  <c r="S573" i="12" a="1"/>
  <c r="S573" i="12" s="1"/>
  <c r="P181" i="12" a="1"/>
  <c r="P181" i="12" s="1"/>
  <c r="P495" i="12" a="1"/>
  <c r="P495" i="12" s="1"/>
  <c r="I451" i="12" a="1"/>
  <c r="I451" i="12" s="1"/>
  <c r="S210" i="12" a="1"/>
  <c r="S210" i="12" s="1"/>
  <c r="R225" i="12" a="1"/>
  <c r="R225" i="12" s="1"/>
  <c r="N164" i="12" a="1"/>
  <c r="N164" i="12" s="1"/>
  <c r="G218" i="12" a="1"/>
  <c r="G218" i="12" s="1"/>
  <c r="M260" i="12" a="1"/>
  <c r="M260" i="12" s="1"/>
  <c r="F248" i="12" a="1"/>
  <c r="F248" i="12" s="1"/>
  <c r="U422" i="2" a="1"/>
  <c r="U422" i="2" s="1"/>
  <c r="I277" i="12" a="1"/>
  <c r="I277" i="12" s="1"/>
  <c r="N245" i="12" a="1"/>
  <c r="N245" i="12" s="1"/>
  <c r="Q158" i="12" a="1"/>
  <c r="Q158" i="12" s="1"/>
  <c r="Q311" i="12" a="1"/>
  <c r="Q311" i="12" s="1"/>
  <c r="G287" i="12" a="1"/>
  <c r="G287" i="12" s="1"/>
  <c r="P233" i="12" a="1"/>
  <c r="P233" i="12" s="1"/>
  <c r="L234" i="12" a="1"/>
  <c r="L234" i="12" s="1"/>
  <c r="I581" i="12" a="1"/>
  <c r="I581" i="12" s="1"/>
  <c r="O237" i="12" a="1"/>
  <c r="O237" i="12" s="1"/>
  <c r="Q537" i="12" a="1"/>
  <c r="Q537" i="12" s="1"/>
  <c r="L510" i="12" a="1"/>
  <c r="L510" i="12" s="1"/>
  <c r="I474" i="12" a="1"/>
  <c r="I474" i="12" s="1"/>
  <c r="F585" i="12" a="1"/>
  <c r="F585" i="12" s="1"/>
  <c r="U384" i="2" a="1"/>
  <c r="U384" i="2" s="1"/>
  <c r="R551" i="12" a="1"/>
  <c r="R551" i="12" s="1"/>
  <c r="I509" i="12" a="1"/>
  <c r="I509" i="12" s="1"/>
  <c r="T509" i="12" a="1"/>
  <c r="T509" i="12" s="1"/>
  <c r="T136" i="12" a="1"/>
  <c r="T136" i="12" s="1"/>
  <c r="F586" i="12" a="1"/>
  <c r="F586" i="12" s="1"/>
  <c r="U319" i="2" a="1"/>
  <c r="U319" i="2" s="1"/>
  <c r="L186" i="12" a="1"/>
  <c r="L186" i="12" s="1"/>
  <c r="Z634" i="12" a="1"/>
  <c r="Z634" i="12" s="1"/>
  <c r="AL306" i="2" a="1"/>
  <c r="AL306" i="2" s="1"/>
  <c r="K194" i="12" a="1"/>
  <c r="K194" i="12" s="1"/>
  <c r="I452" i="12" a="1"/>
  <c r="I452" i="12" s="1"/>
  <c r="N135" i="12" a="1"/>
  <c r="N135" i="12" s="1"/>
  <c r="L273" i="12" a="1"/>
  <c r="L273" i="12" s="1"/>
  <c r="T220" i="12" a="1"/>
  <c r="T220" i="12" s="1"/>
  <c r="M244" i="12" a="1"/>
  <c r="M244" i="12" s="1"/>
  <c r="F531" i="12" a="1"/>
  <c r="F531" i="12" s="1"/>
  <c r="R415" i="12" a="1"/>
  <c r="R415" i="12" s="1"/>
  <c r="O415" i="12" a="1"/>
  <c r="O415" i="12" s="1"/>
  <c r="J504" i="12" a="1"/>
  <c r="J504" i="12" s="1"/>
  <c r="J500" i="12" a="1"/>
  <c r="J500" i="12" s="1"/>
  <c r="F179" i="12" a="1"/>
  <c r="F179" i="12" s="1"/>
  <c r="U335" i="2" a="1"/>
  <c r="U335" i="2" s="1"/>
  <c r="O136" i="12" a="1"/>
  <c r="O136" i="12" s="1"/>
  <c r="G163" i="12" a="1"/>
  <c r="G163" i="12" s="1"/>
  <c r="L493" i="12" a="1"/>
  <c r="L493" i="12" s="1"/>
  <c r="R194" i="12" a="1"/>
  <c r="R194" i="12" s="1"/>
  <c r="S547" i="12" a="1"/>
  <c r="S547" i="12" s="1"/>
  <c r="S408" i="12" a="1"/>
  <c r="S408" i="12" s="1"/>
  <c r="M136" i="12" a="1"/>
  <c r="M136" i="12" s="1"/>
  <c r="Q586" i="12" a="1"/>
  <c r="Q586" i="12" s="1"/>
  <c r="Q188" i="12" a="1"/>
  <c r="Q188" i="12" s="1"/>
  <c r="Q176" i="12" a="1"/>
  <c r="Q176" i="12" s="1"/>
  <c r="M584" i="12" a="1"/>
  <c r="M584" i="12" s="1"/>
  <c r="G537" i="12" a="1"/>
  <c r="G537" i="12" s="1"/>
  <c r="F457" i="12" a="1"/>
  <c r="F457" i="12" s="1"/>
  <c r="O520" i="12" a="1"/>
  <c r="O520" i="12" s="1"/>
  <c r="S508" i="12" a="1"/>
  <c r="S508" i="12" s="1"/>
  <c r="Q171" i="12" a="1"/>
  <c r="Q171" i="12" s="1"/>
  <c r="S72" i="12" a="1"/>
  <c r="S72" i="12" s="1"/>
  <c r="I559" i="12" a="1"/>
  <c r="I559" i="12" s="1"/>
  <c r="T463" i="12" a="1"/>
  <c r="T463" i="12" s="1"/>
  <c r="T221" i="12" a="1"/>
  <c r="T221" i="12" s="1"/>
  <c r="O515" i="12" a="1"/>
  <c r="O515" i="12" s="1"/>
  <c r="G230" i="12" a="1"/>
  <c r="G230" i="12" s="1"/>
  <c r="S556" i="12" a="1"/>
  <c r="S556" i="12" s="1"/>
  <c r="T190" i="12" a="1"/>
  <c r="T190" i="12" s="1"/>
  <c r="M199" i="12" a="1"/>
  <c r="M199" i="12" s="1"/>
  <c r="K163" i="12" a="1"/>
  <c r="K163" i="12" s="1"/>
  <c r="K497" i="12" a="1"/>
  <c r="K497" i="12" s="1"/>
  <c r="N169" i="12" a="1"/>
  <c r="N169" i="12" s="1"/>
  <c r="N356" i="12" a="1"/>
  <c r="N356" i="12" s="1"/>
  <c r="M154" i="12" a="1"/>
  <c r="M154" i="12" s="1"/>
  <c r="L511" i="12" a="1"/>
  <c r="L511" i="12" s="1"/>
  <c r="Q511" i="12" a="1"/>
  <c r="Q511" i="12" s="1"/>
  <c r="L268" i="12" a="1"/>
  <c r="L268" i="12" s="1"/>
  <c r="K257" i="12" a="1"/>
  <c r="K257" i="12" s="1"/>
  <c r="Q564" i="12" a="1"/>
  <c r="Q564" i="12" s="1"/>
  <c r="R530" i="12" a="1"/>
  <c r="R530" i="12" s="1"/>
  <c r="K530" i="12" a="1"/>
  <c r="K530" i="12" s="1"/>
  <c r="R206" i="12" a="1"/>
  <c r="R206" i="12" s="1"/>
  <c r="N227" i="12" a="1"/>
  <c r="N227" i="12" s="1"/>
  <c r="I449" i="12" a="1"/>
  <c r="I449" i="12" s="1"/>
  <c r="O211" i="12" a="1"/>
  <c r="O211" i="12" s="1"/>
  <c r="S582" i="12" a="1"/>
  <c r="S582" i="12" s="1"/>
  <c r="R582" i="12" a="1"/>
  <c r="R582" i="12" s="1"/>
  <c r="P533" i="12" a="1"/>
  <c r="P533" i="12" s="1"/>
  <c r="F533" i="12" a="1"/>
  <c r="F533" i="12" s="1"/>
  <c r="U397" i="2" a="1"/>
  <c r="U397" i="2" s="1"/>
  <c r="AQ381" i="2" a="1"/>
  <c r="AQ381" i="2" s="1"/>
  <c r="AR381" i="2" a="1"/>
  <c r="AR381" i="2" s="1"/>
  <c r="O180" i="12" a="1"/>
  <c r="O180" i="12" s="1"/>
  <c r="T522" i="12" a="1"/>
  <c r="T522" i="12" s="1"/>
  <c r="G526" i="12" a="1"/>
  <c r="G526" i="12" s="1"/>
  <c r="F194" i="12" a="1"/>
  <c r="F194" i="12" s="1"/>
  <c r="U294" i="2" a="1"/>
  <c r="U294" i="2" s="1"/>
  <c r="R466" i="12" a="1"/>
  <c r="R466" i="12" s="1"/>
  <c r="P217" i="12" a="1"/>
  <c r="P217" i="12" s="1"/>
  <c r="L169" i="12" a="1"/>
  <c r="L169" i="12" s="1"/>
  <c r="K175" i="12" a="1"/>
  <c r="K175" i="12" s="1"/>
  <c r="Q442" i="12" a="1"/>
  <c r="Q442" i="12" s="1"/>
  <c r="F492" i="12" a="1"/>
  <c r="F492" i="12" s="1"/>
  <c r="U281" i="2" a="1"/>
  <c r="U281" i="2" s="1"/>
  <c r="T374" i="12" a="1"/>
  <c r="T374" i="12" s="1"/>
  <c r="R204" i="12" a="1"/>
  <c r="R204" i="12" s="1"/>
  <c r="P419" i="12" a="1"/>
  <c r="P419" i="12" s="1"/>
  <c r="L356" i="12" a="1"/>
  <c r="L356" i="12" s="1"/>
  <c r="K439" i="12" a="1"/>
  <c r="K439" i="12" s="1"/>
  <c r="Q383" i="12" a="1"/>
  <c r="Q383" i="12" s="1"/>
  <c r="J345" i="12" a="1"/>
  <c r="J345" i="12" s="1"/>
  <c r="N139" i="12" a="1"/>
  <c r="N139" i="12" s="1"/>
  <c r="S378" i="12" a="1"/>
  <c r="S378" i="12" s="1"/>
  <c r="I226" i="12" a="1"/>
  <c r="I226" i="12" s="1"/>
  <c r="R475" i="12" a="1"/>
  <c r="R475" i="12" s="1"/>
  <c r="S475" i="12" a="1"/>
  <c r="S475" i="12" s="1"/>
  <c r="F173" i="12" a="1"/>
  <c r="F173" i="12" s="1"/>
  <c r="U394" i="2" a="1"/>
  <c r="U394" i="2" s="1"/>
  <c r="R173" i="12" a="1"/>
  <c r="R173" i="12" s="1"/>
  <c r="M192" i="12" a="1"/>
  <c r="M192" i="12" s="1"/>
  <c r="G221" i="12" a="1"/>
  <c r="G221" i="12" s="1"/>
  <c r="J215" i="12" a="1"/>
  <c r="J215" i="12" s="1"/>
  <c r="P540" i="12" a="1"/>
  <c r="P540" i="12" s="1"/>
  <c r="K274" i="12" a="1"/>
  <c r="K274" i="12" s="1"/>
  <c r="K541" i="12" a="1"/>
  <c r="K541" i="12" s="1"/>
  <c r="G500" i="12" a="1"/>
  <c r="G500" i="12" s="1"/>
  <c r="Q149" i="12" a="1"/>
  <c r="Q149" i="12" s="1"/>
  <c r="U315" i="2" a="1"/>
  <c r="U315" i="2" s="1"/>
  <c r="G195" i="12" a="1"/>
  <c r="G195" i="12" s="1"/>
  <c r="L476" i="12" a="1"/>
  <c r="L476" i="12" s="1"/>
  <c r="M194" i="12" a="1"/>
  <c r="M194" i="12" s="1"/>
  <c r="I187" i="12" a="1"/>
  <c r="I187" i="12" s="1"/>
  <c r="P225" i="12" a="1"/>
  <c r="P225" i="12" s="1"/>
  <c r="J497" i="12" a="1"/>
  <c r="J497" i="12" s="1"/>
  <c r="S466" i="12" a="1"/>
  <c r="S466" i="12" s="1"/>
  <c r="N83" i="12" a="1"/>
  <c r="N83" i="12" s="1"/>
  <c r="J267" i="12" a="1"/>
  <c r="J267" i="12" s="1"/>
  <c r="I220" i="12" a="1"/>
  <c r="I220" i="12" s="1"/>
  <c r="Q215" i="12" a="1"/>
  <c r="Q215" i="12" s="1"/>
  <c r="R231" i="12" a="1"/>
  <c r="R231" i="12" s="1"/>
  <c r="Q494" i="12" a="1"/>
  <c r="Q494" i="12" s="1"/>
  <c r="K205" i="12" a="1"/>
  <c r="K205" i="12" s="1"/>
  <c r="J132" i="12" a="1"/>
  <c r="J132" i="12" s="1"/>
  <c r="S332" i="12" a="1"/>
  <c r="S332" i="12" s="1"/>
  <c r="G179" i="12" a="1"/>
  <c r="G179" i="12" s="1"/>
  <c r="P603" i="12" a="1"/>
  <c r="P603" i="12" s="1"/>
  <c r="T603" i="12" a="1"/>
  <c r="T603" i="12" s="1"/>
  <c r="P479" i="12" a="1"/>
  <c r="P479" i="12" s="1"/>
  <c r="G164" i="12" a="1"/>
  <c r="G164" i="12" s="1"/>
  <c r="G156" i="12" a="1"/>
  <c r="G156" i="12" s="1"/>
  <c r="F108" i="12" a="1"/>
  <c r="F108" i="12" s="1"/>
  <c r="U238" i="2" a="1"/>
  <c r="U238" i="2" s="1"/>
  <c r="I422" i="12" a="1"/>
  <c r="I422" i="12" s="1"/>
  <c r="R431" i="12" a="1"/>
  <c r="R431" i="12" s="1"/>
  <c r="O112" i="12" a="1"/>
  <c r="O112" i="12" s="1"/>
  <c r="I177" i="12" a="1"/>
  <c r="I177" i="12" s="1"/>
  <c r="I157" i="12" a="1"/>
  <c r="I157" i="12" s="1"/>
  <c r="T92" i="12" a="1"/>
  <c r="T92" i="12" s="1"/>
  <c r="I117" i="12" a="1"/>
  <c r="I117" i="12" s="1"/>
  <c r="F421" i="12" a="1"/>
  <c r="F421" i="12" s="1"/>
  <c r="U195" i="2" a="1"/>
  <c r="U195" i="2" s="1"/>
  <c r="J48" i="12" a="1"/>
  <c r="J48" i="12" s="1"/>
  <c r="M296" i="12" a="1"/>
  <c r="M296" i="12" s="1"/>
  <c r="N425" i="12" a="1"/>
  <c r="N425" i="12" s="1"/>
  <c r="L65" i="12" a="1"/>
  <c r="L65" i="12" s="1"/>
  <c r="AR153" i="2" a="1"/>
  <c r="AR153" i="2" s="1"/>
  <c r="AQ153" i="2" a="1"/>
  <c r="AQ153" i="2" s="1"/>
  <c r="I124" i="12" a="1"/>
  <c r="I124" i="12" s="1"/>
  <c r="M196" i="12" a="1"/>
  <c r="M196" i="12" s="1"/>
  <c r="K94" i="12" a="1"/>
  <c r="K94" i="12" s="1"/>
  <c r="X637" i="12" a="1"/>
  <c r="X637" i="12" s="1"/>
  <c r="AL108" i="2" a="1"/>
  <c r="AL108" i="2" s="1"/>
  <c r="I76" i="12" a="1"/>
  <c r="I76" i="12" s="1"/>
  <c r="G149" i="12" a="1"/>
  <c r="G149" i="12" s="1"/>
  <c r="I534" i="12" a="1"/>
  <c r="I534" i="12" s="1"/>
  <c r="J583" i="12" a="1"/>
  <c r="J583" i="12" s="1"/>
  <c r="G583" i="12" a="1"/>
  <c r="G583" i="12" s="1"/>
  <c r="L209" i="12" a="1"/>
  <c r="L209" i="12" s="1"/>
  <c r="J162" i="12" a="1"/>
  <c r="J162" i="12" s="1"/>
  <c r="O159" i="12" a="1"/>
  <c r="O159" i="12" s="1"/>
  <c r="K309" i="12" a="1"/>
  <c r="K309" i="12" s="1"/>
  <c r="S165" i="12" a="1"/>
  <c r="S165" i="12" s="1"/>
  <c r="I365" i="12" a="1"/>
  <c r="I365" i="12" s="1"/>
  <c r="AB667" i="12" a="1"/>
  <c r="AB667" i="12" s="1"/>
  <c r="G120" i="12" a="1"/>
  <c r="G120" i="12" s="1"/>
  <c r="O264" i="12" a="1"/>
  <c r="O264" i="12" s="1"/>
  <c r="K101" i="12" a="1"/>
  <c r="K101" i="12" s="1"/>
  <c r="R317" i="12" a="1"/>
  <c r="R317" i="12" s="1"/>
  <c r="S102" i="12" a="1"/>
  <c r="S102" i="12" s="1"/>
  <c r="P250" i="12" a="1"/>
  <c r="P250" i="12" s="1"/>
  <c r="N100" i="12" a="1"/>
  <c r="N100" i="12" s="1"/>
  <c r="N163" i="12" a="1"/>
  <c r="N163" i="12" s="1"/>
  <c r="M308" i="12" a="1"/>
  <c r="M308" i="12" s="1"/>
  <c r="M141" i="12" a="1"/>
  <c r="M141" i="12" s="1"/>
  <c r="G442" i="12" a="1"/>
  <c r="G442" i="12" s="1"/>
  <c r="I419" i="12" a="1"/>
  <c r="I419" i="12" s="1"/>
  <c r="T337" i="12" a="1"/>
  <c r="T337" i="12" s="1"/>
  <c r="O152" i="12" a="1"/>
  <c r="O152" i="12" s="1"/>
  <c r="M167" i="12" a="1"/>
  <c r="M167" i="12" s="1"/>
  <c r="T432" i="12" a="1"/>
  <c r="T432" i="12" s="1"/>
  <c r="L159" i="12" a="1"/>
  <c r="L159" i="12" s="1"/>
  <c r="S325" i="12" a="1"/>
  <c r="S325" i="12" s="1"/>
  <c r="I92" i="12" a="1"/>
  <c r="I92" i="12" s="1"/>
  <c r="P140" i="12" a="1"/>
  <c r="P140" i="12" s="1"/>
  <c r="R119" i="12" a="1"/>
  <c r="R119" i="12" s="1"/>
  <c r="Q67" i="12" a="1"/>
  <c r="Q67" i="12" s="1"/>
  <c r="J111" i="12" a="1"/>
  <c r="J111" i="12" s="1"/>
  <c r="O128" i="12" a="1"/>
  <c r="O128" i="12" s="1"/>
  <c r="F203" i="12" a="1"/>
  <c r="F203" i="12" s="1"/>
  <c r="U140" i="2" a="1"/>
  <c r="U140" i="2" s="1"/>
  <c r="S96" i="12" a="1"/>
  <c r="S96" i="12" s="1"/>
  <c r="O74" i="12" a="1"/>
  <c r="O74" i="12" s="1"/>
  <c r="T556" i="12" a="1"/>
  <c r="T556" i="12" s="1"/>
  <c r="O469" i="12" a="1"/>
  <c r="O469" i="12" s="1"/>
  <c r="P346" i="12" a="1"/>
  <c r="P346" i="12" s="1"/>
  <c r="K135" i="12" a="1"/>
  <c r="K135" i="12" s="1"/>
  <c r="L112" i="12" a="1"/>
  <c r="L112" i="12" s="1"/>
  <c r="I387" i="12" a="1"/>
  <c r="I387" i="12" s="1"/>
  <c r="L421" i="12" a="1"/>
  <c r="L421" i="12" s="1"/>
  <c r="I127" i="12" a="1"/>
  <c r="I127" i="12" s="1"/>
  <c r="I91" i="12" a="1"/>
  <c r="I91" i="12" s="1"/>
  <c r="P67" i="12" a="1"/>
  <c r="P67" i="12" s="1"/>
  <c r="K602" i="12" a="1"/>
  <c r="K602" i="12" s="1"/>
  <c r="L255" i="12" a="1"/>
  <c r="L255" i="12" s="1"/>
  <c r="M99" i="12" a="1"/>
  <c r="M99" i="12" s="1"/>
  <c r="N206" i="12" a="1"/>
  <c r="N206" i="12" s="1"/>
  <c r="I454" i="12" a="1"/>
  <c r="I454" i="12" s="1"/>
  <c r="K454" i="12" a="1"/>
  <c r="K454" i="12" s="1"/>
  <c r="I217" i="12" a="1"/>
  <c r="I217" i="12" s="1"/>
  <c r="O419" i="12" a="1"/>
  <c r="O419" i="12" s="1"/>
  <c r="M479" i="12" a="1"/>
  <c r="M479" i="12" s="1"/>
  <c r="R164" i="12" a="1"/>
  <c r="R164" i="12" s="1"/>
  <c r="O156" i="12" a="1"/>
  <c r="O156" i="12" s="1"/>
  <c r="Q153" i="12" a="1"/>
  <c r="Q153" i="12" s="1"/>
  <c r="F321" i="12" a="1"/>
  <c r="F321" i="12" s="1"/>
  <c r="U236" i="2" a="1"/>
  <c r="U236" i="2" s="1"/>
  <c r="Q354" i="12" a="1"/>
  <c r="Q354" i="12" s="1"/>
  <c r="S376" i="12" a="1"/>
  <c r="S376" i="12" s="1"/>
  <c r="Q607" i="12" a="1"/>
  <c r="Q607" i="12" s="1"/>
  <c r="AB665" i="12" a="1"/>
  <c r="AB665" i="12" s="1"/>
  <c r="G335" i="12" a="1"/>
  <c r="G335" i="12" s="1"/>
  <c r="L378" i="12" a="1"/>
  <c r="L378" i="12" s="1"/>
  <c r="P317" i="12" a="1"/>
  <c r="P317" i="12" s="1"/>
  <c r="P102" i="12" a="1"/>
  <c r="P102" i="12" s="1"/>
  <c r="O314" i="12" a="1"/>
  <c r="O314" i="12" s="1"/>
  <c r="S100" i="12" a="1"/>
  <c r="S100" i="12" s="1"/>
  <c r="Q484" i="12" a="1"/>
  <c r="Q484" i="12" s="1"/>
  <c r="O484" i="12" a="1"/>
  <c r="O484" i="12" s="1"/>
  <c r="P416" i="12" a="1"/>
  <c r="P416" i="12" s="1"/>
  <c r="I152" i="12" a="1"/>
  <c r="I152" i="12" s="1"/>
  <c r="T372" i="12" a="1"/>
  <c r="T372" i="12" s="1"/>
  <c r="T346" i="12" a="1"/>
  <c r="T346" i="12" s="1"/>
  <c r="P153" i="12" a="1"/>
  <c r="P153" i="12" s="1"/>
  <c r="K325" i="12" a="1"/>
  <c r="K325" i="12" s="1"/>
  <c r="F151" i="12" a="1"/>
  <c r="F151" i="12" s="1"/>
  <c r="U217" i="2" a="1"/>
  <c r="U217" i="2" s="1"/>
  <c r="F107" i="12" a="1"/>
  <c r="F107" i="12" s="1"/>
  <c r="U207" i="2" a="1"/>
  <c r="U207" i="2" s="1"/>
  <c r="P335" i="12" a="1"/>
  <c r="P335" i="12" s="1"/>
  <c r="M250" i="12" a="1"/>
  <c r="M250" i="12" s="1"/>
  <c r="P196" i="12" a="1"/>
  <c r="P196" i="12" s="1"/>
  <c r="J77" i="12" a="1"/>
  <c r="J77" i="12" s="1"/>
  <c r="O51" i="12" a="1"/>
  <c r="O51" i="12" s="1"/>
  <c r="G122" i="12" a="1"/>
  <c r="G122" i="12" s="1"/>
  <c r="S232" i="12" a="1"/>
  <c r="S232" i="12" s="1"/>
  <c r="G509" i="12" a="1"/>
  <c r="G509" i="12" s="1"/>
  <c r="N168" i="12" a="1"/>
  <c r="N168" i="12" s="1"/>
  <c r="P186" i="12" a="1"/>
  <c r="P186" i="12" s="1"/>
  <c r="AA636" i="12" a="1"/>
  <c r="AA636" i="12" s="1"/>
  <c r="M229" i="12" a="1"/>
  <c r="M229" i="12" s="1"/>
  <c r="T229" i="12" a="1"/>
  <c r="T229" i="12" s="1"/>
  <c r="M442" i="12" a="1"/>
  <c r="M442" i="12" s="1"/>
  <c r="AB615" i="12" a="1"/>
  <c r="AB615" i="12" s="1"/>
  <c r="G123" i="12" a="1"/>
  <c r="G123" i="12" s="1"/>
  <c r="N123" i="12" a="1"/>
  <c r="N123" i="12" s="1"/>
  <c r="U244" i="2" a="1"/>
  <c r="U244" i="2" s="1"/>
  <c r="J432" i="12" a="1"/>
  <c r="J432" i="12" s="1"/>
  <c r="N153" i="12" a="1"/>
  <c r="N153" i="12" s="1"/>
  <c r="T142" i="12" a="1"/>
  <c r="T142" i="12" s="1"/>
  <c r="P165" i="12" a="1"/>
  <c r="P165" i="12" s="1"/>
  <c r="T365" i="12" a="1"/>
  <c r="T365" i="12" s="1"/>
  <c r="O283" i="12" a="1"/>
  <c r="O283" i="12" s="1"/>
  <c r="K376" i="12" a="1"/>
  <c r="K376" i="12" s="1"/>
  <c r="F92" i="12" a="1"/>
  <c r="F92" i="12" s="1"/>
  <c r="K183" i="12" a="1"/>
  <c r="K183" i="12" s="1"/>
  <c r="M140" i="12" a="1"/>
  <c r="M140" i="12" s="1"/>
  <c r="G48" i="12" a="1"/>
  <c r="G48" i="12" s="1"/>
  <c r="M317" i="12" a="1"/>
  <c r="M317" i="12" s="1"/>
  <c r="G102" i="12" a="1"/>
  <c r="G102" i="12" s="1"/>
  <c r="Q100" i="12" a="1"/>
  <c r="Q100" i="12" s="1"/>
  <c r="R74" i="12" a="1"/>
  <c r="R74" i="12" s="1"/>
  <c r="R462" i="12" a="1"/>
  <c r="R462" i="12" s="1"/>
  <c r="N462" i="12" a="1"/>
  <c r="N462" i="12" s="1"/>
  <c r="O403" i="12" a="1"/>
  <c r="O403" i="12" s="1"/>
  <c r="G403" i="12" a="1"/>
  <c r="G403" i="12" s="1"/>
  <c r="R141" i="12" a="1"/>
  <c r="R141" i="12" s="1"/>
  <c r="O141" i="12" a="1"/>
  <c r="O141" i="12" s="1"/>
  <c r="S393" i="12" a="1"/>
  <c r="S393" i="12" s="1"/>
  <c r="M393" i="12" a="1"/>
  <c r="M393" i="12" s="1"/>
  <c r="M427" i="12" a="1"/>
  <c r="M427" i="12" s="1"/>
  <c r="O348" i="12" a="1"/>
  <c r="O348" i="12" s="1"/>
  <c r="F119" i="12" a="1"/>
  <c r="F119" i="12" s="1"/>
  <c r="U188" i="2" a="1"/>
  <c r="U188" i="2" s="1"/>
  <c r="O67" i="12" a="1"/>
  <c r="O67" i="12" s="1"/>
  <c r="F65" i="12" a="1"/>
  <c r="F65" i="12" s="1"/>
  <c r="U167" i="2" a="1"/>
  <c r="U167" i="2" s="1"/>
  <c r="N250" i="12" a="1"/>
  <c r="N250" i="12" s="1"/>
  <c r="T259" i="12" a="1"/>
  <c r="T259" i="12" s="1"/>
  <c r="F124" i="12" a="1"/>
  <c r="F124" i="12" s="1"/>
  <c r="M94" i="12" a="1"/>
  <c r="M94" i="12" s="1"/>
  <c r="P220" i="12" a="1"/>
  <c r="P220" i="12" s="1"/>
  <c r="T235" i="12" a="1"/>
  <c r="T235" i="12" s="1"/>
  <c r="O176" i="12" a="1"/>
  <c r="O176" i="12" s="1"/>
  <c r="O217" i="12" a="1"/>
  <c r="O217" i="12" s="1"/>
  <c r="G356" i="12" a="1"/>
  <c r="G356" i="12" s="1"/>
  <c r="N152" i="12" a="1"/>
  <c r="N152" i="12" s="1"/>
  <c r="O458" i="12" a="1"/>
  <c r="O458" i="12" s="1"/>
  <c r="M366" i="12" a="1"/>
  <c r="M366" i="12" s="1"/>
  <c r="P370" i="12" a="1"/>
  <c r="P370" i="12" s="1"/>
  <c r="F377" i="12" a="1"/>
  <c r="F377" i="12" s="1"/>
  <c r="N404" i="12" a="1"/>
  <c r="N404" i="12" s="1"/>
  <c r="G348" i="12" a="1"/>
  <c r="G348" i="12" s="1"/>
  <c r="M299" i="12" a="1"/>
  <c r="M299" i="12" s="1"/>
  <c r="G285" i="12" a="1"/>
  <c r="G285" i="12" s="1"/>
  <c r="N102" i="12" a="1"/>
  <c r="N102" i="12" s="1"/>
  <c r="N126" i="12" a="1"/>
  <c r="N126" i="12" s="1"/>
  <c r="X657" i="12" a="1"/>
  <c r="X657" i="12" s="1"/>
  <c r="S528" i="12" a="1"/>
  <c r="S528" i="12" s="1"/>
  <c r="S356" i="12" a="1"/>
  <c r="S356" i="12" s="1"/>
  <c r="F414" i="12" a="1"/>
  <c r="F414" i="12" s="1"/>
  <c r="U259" i="2" a="1"/>
  <c r="U259" i="2" s="1"/>
  <c r="S414" i="12" a="1"/>
  <c r="S414" i="12" s="1"/>
  <c r="R363" i="12" a="1"/>
  <c r="R363" i="12" s="1"/>
  <c r="K490" i="12" a="1"/>
  <c r="K490" i="12" s="1"/>
  <c r="F401" i="12" a="1"/>
  <c r="F401" i="12" s="1"/>
  <c r="Q358" i="12" a="1"/>
  <c r="Q358" i="12" s="1"/>
  <c r="Q92" i="12" a="1"/>
  <c r="Q92" i="12" s="1"/>
  <c r="G421" i="12" a="1"/>
  <c r="G421" i="12" s="1"/>
  <c r="G127" i="12" a="1"/>
  <c r="G127" i="12" s="1"/>
  <c r="K106" i="12" a="1"/>
  <c r="K106" i="12" s="1"/>
  <c r="S54" i="12" a="1"/>
  <c r="S54" i="12" s="1"/>
  <c r="P422" i="12" a="1"/>
  <c r="P422" i="12" s="1"/>
  <c r="Q125" i="12" a="1"/>
  <c r="Q125" i="12" s="1"/>
  <c r="S125" i="12" a="1"/>
  <c r="S125" i="12" s="1"/>
  <c r="X633" i="12" a="1"/>
  <c r="X633" i="12" s="1"/>
  <c r="P266" i="12" a="1"/>
  <c r="P266" i="12" s="1"/>
  <c r="F68" i="12" a="1"/>
  <c r="F68" i="12" s="1"/>
  <c r="U129" i="2" a="1"/>
  <c r="U129" i="2" s="1"/>
  <c r="I292" i="12" a="1"/>
  <c r="I292" i="12" s="1"/>
  <c r="F61" i="12" a="1"/>
  <c r="F61" i="12" s="1"/>
  <c r="U100" i="2" a="1"/>
  <c r="U100" i="2" s="1"/>
  <c r="P43" i="12" a="1"/>
  <c r="P43" i="12" s="1"/>
  <c r="P21" i="12" a="1"/>
  <c r="P21" i="12" s="1"/>
  <c r="S110" i="12" a="1"/>
  <c r="S110" i="12" s="1"/>
  <c r="AB659" i="12" a="1"/>
  <c r="AB659" i="12" s="1"/>
  <c r="J23" i="12" a="1"/>
  <c r="J23" i="12" s="1"/>
  <c r="I9" i="12" a="1"/>
  <c r="I9" i="12" s="1"/>
  <c r="K75" i="12" a="1"/>
  <c r="K75" i="12" s="1"/>
  <c r="O43" i="12" a="1"/>
  <c r="O43" i="12" s="1"/>
  <c r="F36" i="12" a="1"/>
  <c r="F36" i="12" s="1"/>
  <c r="U64" i="2" a="1"/>
  <c r="U64" i="2" s="1"/>
  <c r="K18" i="12" a="1"/>
  <c r="K18" i="12" s="1"/>
  <c r="S44" i="12" a="1"/>
  <c r="S44" i="12" s="1"/>
  <c r="G103" i="12" a="1"/>
  <c r="G103" i="12" s="1"/>
  <c r="M113" i="12" a="1"/>
  <c r="M113" i="12" s="1"/>
  <c r="L20" i="12" a="1"/>
  <c r="L20" i="12" s="1"/>
  <c r="I110" i="12" a="1"/>
  <c r="I110" i="12" s="1"/>
  <c r="F19" i="12" a="1"/>
  <c r="F19" i="12" s="1"/>
  <c r="U28" i="2" a="1"/>
  <c r="U28" i="2" s="1"/>
  <c r="S2" i="12" a="1"/>
  <c r="S2" i="12" s="1"/>
  <c r="X2" i="3" a="1"/>
  <c r="X2" i="3" s="1"/>
  <c r="G47" i="12" a="1"/>
  <c r="G47" i="12" s="1"/>
  <c r="I20" i="12" a="1"/>
  <c r="I20" i="12" s="1"/>
  <c r="P99" i="12" a="1"/>
  <c r="P99" i="12" s="1"/>
  <c r="T143" i="12" a="1"/>
  <c r="T143" i="12" s="1"/>
  <c r="P72" i="12" a="1"/>
  <c r="P72" i="12" s="1"/>
  <c r="AA647" i="12" a="1"/>
  <c r="AA647" i="12" s="1"/>
  <c r="K256" i="12" a="1"/>
  <c r="K256" i="12" s="1"/>
  <c r="K60" i="12" a="1"/>
  <c r="K60" i="12" s="1"/>
  <c r="J56" i="12" a="1"/>
  <c r="J56" i="12" s="1"/>
  <c r="F116" i="12" a="1"/>
  <c r="F116" i="12" s="1"/>
  <c r="U20" i="2" a="1"/>
  <c r="U20" i="2" s="1"/>
  <c r="J75" i="12" a="1"/>
  <c r="J75" i="12" s="1"/>
  <c r="X645" i="12" a="1"/>
  <c r="X645" i="12" s="1"/>
  <c r="N50" i="12" a="1"/>
  <c r="N50" i="12" s="1"/>
  <c r="AR45" i="2" a="1"/>
  <c r="AR45" i="2" s="1"/>
  <c r="AQ45" i="2" a="1"/>
  <c r="AQ45" i="2" s="1"/>
  <c r="T29" i="12" a="1"/>
  <c r="T29" i="12" s="1"/>
  <c r="T17" i="12" a="1"/>
  <c r="T17" i="12" s="1"/>
  <c r="K19" i="12" a="1"/>
  <c r="K19" i="12" s="1"/>
  <c r="S116" i="12" a="1"/>
  <c r="S116" i="12" s="1"/>
  <c r="G56" i="12" a="1"/>
  <c r="G56" i="12" s="1"/>
  <c r="L496" i="12" a="1"/>
  <c r="L496" i="12" s="1"/>
  <c r="K496" i="12" a="1"/>
  <c r="K496" i="12" s="1"/>
  <c r="F423" i="12" a="1"/>
  <c r="F423" i="12" s="1"/>
  <c r="U201" i="2" a="1"/>
  <c r="U201" i="2" s="1"/>
  <c r="N67" i="12" a="1"/>
  <c r="N67" i="12" s="1"/>
  <c r="I121" i="12" a="1"/>
  <c r="I121" i="12" s="1"/>
  <c r="T58" i="12" a="1"/>
  <c r="T58" i="12" s="1"/>
  <c r="N212" i="12" a="1"/>
  <c r="N212" i="12" s="1"/>
  <c r="F95" i="12" a="1"/>
  <c r="F95" i="12" s="1"/>
  <c r="U118" i="2" a="1"/>
  <c r="U118" i="2" s="1"/>
  <c r="K207" i="12" a="1"/>
  <c r="K207" i="12" s="1"/>
  <c r="F2" i="12" a="1"/>
  <c r="F2" i="12" s="1"/>
  <c r="K2" i="3" a="1"/>
  <c r="K2" i="3" s="1"/>
  <c r="U3" i="2" a="1"/>
  <c r="U3" i="2" s="1"/>
  <c r="S122" i="12" a="1"/>
  <c r="S122" i="12" s="1"/>
  <c r="F18" i="12" a="1"/>
  <c r="F18" i="12" s="1"/>
  <c r="O370" i="12" a="1"/>
  <c r="O370" i="12" s="1"/>
  <c r="S421" i="12" a="1"/>
  <c r="S421" i="12" s="1"/>
  <c r="O333" i="12" a="1"/>
  <c r="O333" i="12" s="1"/>
  <c r="L28" i="12" a="1"/>
  <c r="L28" i="12" s="1"/>
  <c r="M68" i="12" a="1"/>
  <c r="M68" i="12" s="1"/>
  <c r="AA623" i="12" a="1"/>
  <c r="AA623" i="12" s="1"/>
  <c r="R54" i="12" a="1"/>
  <c r="R54" i="12" s="1"/>
  <c r="N305" i="12" a="1"/>
  <c r="N305" i="12" s="1"/>
  <c r="J178" i="12" a="1"/>
  <c r="J178" i="12" s="1"/>
  <c r="X643" i="12" a="1"/>
  <c r="X643" i="12" s="1"/>
  <c r="J44" i="12" a="1"/>
  <c r="J44" i="12" s="1"/>
  <c r="O23" i="12" a="1"/>
  <c r="O23" i="12" s="1"/>
  <c r="R5" i="12" a="1"/>
  <c r="R5" i="12" s="1"/>
  <c r="K2" i="12" a="1"/>
  <c r="K2" i="12" s="1"/>
  <c r="P2" i="3" a="1"/>
  <c r="P2" i="3" s="1"/>
  <c r="O44" i="12" a="1"/>
  <c r="O44" i="12" s="1"/>
  <c r="G114" i="12" a="1"/>
  <c r="G114" i="12" s="1"/>
  <c r="M104" i="12" a="1"/>
  <c r="M104" i="12" s="1"/>
  <c r="J46" i="12" a="1"/>
  <c r="J46" i="12" s="1"/>
  <c r="F78" i="12" a="1"/>
  <c r="F78" i="12" s="1"/>
  <c r="U111" i="2" a="1"/>
  <c r="U111" i="2" s="1"/>
  <c r="Q224" i="12" a="1"/>
  <c r="Q224" i="12" s="1"/>
  <c r="I18" i="12" a="1"/>
  <c r="I18" i="12" s="1"/>
  <c r="L12" i="12" a="1"/>
  <c r="L12" i="12" s="1"/>
  <c r="R113" i="12" a="1"/>
  <c r="R113" i="12" s="1"/>
  <c r="Q13" i="12" a="1"/>
  <c r="Q13" i="12" s="1"/>
  <c r="V6" i="3" a="1"/>
  <c r="V6" i="3" s="1"/>
  <c r="N9" i="12" a="1"/>
  <c r="N9" i="12" s="1"/>
  <c r="J86" i="12" a="1"/>
  <c r="J86" i="12" s="1"/>
  <c r="P112" i="12" a="1"/>
  <c r="P112" i="12" s="1"/>
  <c r="J297" i="12" a="1"/>
  <c r="J297" i="12" s="1"/>
  <c r="M88" i="12" a="1"/>
  <c r="M88" i="12" s="1"/>
  <c r="J88" i="12" a="1"/>
  <c r="J88" i="12" s="1"/>
  <c r="N68" i="12" a="1"/>
  <c r="N68" i="12" s="1"/>
  <c r="O292" i="12" a="1"/>
  <c r="O292" i="12" s="1"/>
  <c r="I224" i="12" a="1"/>
  <c r="I224" i="12" s="1"/>
  <c r="Q82" i="12" a="1"/>
  <c r="Q82" i="12" s="1"/>
  <c r="S66" i="12" a="1"/>
  <c r="S66" i="12" s="1"/>
  <c r="L16" i="12" a="1"/>
  <c r="L16" i="12" s="1"/>
  <c r="X641" i="12" a="1"/>
  <c r="X641" i="12" s="1"/>
  <c r="K84" i="12" a="1"/>
  <c r="K84" i="12" s="1"/>
  <c r="K64" i="12" a="1"/>
  <c r="K64" i="12" s="1"/>
  <c r="J79" i="12" a="1"/>
  <c r="J79" i="12" s="1"/>
  <c r="N275" i="12" a="1"/>
  <c r="N275" i="12" s="1"/>
  <c r="J207" i="12" a="1"/>
  <c r="J207" i="12" s="1"/>
  <c r="K55" i="12" a="1"/>
  <c r="K55" i="12" s="1"/>
  <c r="O14" i="12" a="1"/>
  <c r="O14" i="12" s="1"/>
  <c r="S30" i="12" a="1"/>
  <c r="S30" i="12" s="1"/>
  <c r="L156" i="12" a="1"/>
  <c r="L156" i="12" s="1"/>
  <c r="M379" i="12" a="1"/>
  <c r="M379" i="12" s="1"/>
  <c r="K354" i="12" a="1"/>
  <c r="K354" i="12" s="1"/>
  <c r="K140" i="12" a="1"/>
  <c r="K140" i="12" s="1"/>
  <c r="O330" i="12" a="1"/>
  <c r="O330" i="12" s="1"/>
  <c r="G330" i="12" a="1"/>
  <c r="G330" i="12" s="1"/>
  <c r="L124" i="12" a="1"/>
  <c r="L124" i="12" s="1"/>
  <c r="L81" i="12" a="1"/>
  <c r="L81" i="12" s="1"/>
  <c r="M28" i="12" a="1"/>
  <c r="M28" i="12" s="1"/>
  <c r="S382" i="12" a="1"/>
  <c r="S382" i="12" s="1"/>
  <c r="K58" i="12" a="1"/>
  <c r="K58" i="12" s="1"/>
  <c r="F201" i="12" a="1"/>
  <c r="F201" i="12" s="1"/>
  <c r="U105" i="2" a="1"/>
  <c r="U105" i="2" s="1"/>
  <c r="K148" i="12" a="1"/>
  <c r="K148" i="12" s="1"/>
  <c r="L346" i="12" a="1"/>
  <c r="L346" i="12" s="1"/>
  <c r="F196" i="12" a="1"/>
  <c r="F196" i="12" s="1"/>
  <c r="P90" i="12" a="1"/>
  <c r="P90" i="12" s="1"/>
  <c r="Q105" i="12" a="1"/>
  <c r="Q105" i="12" s="1"/>
  <c r="P85" i="12" a="1"/>
  <c r="P85" i="12" s="1"/>
  <c r="K78" i="12" a="1"/>
  <c r="K78" i="12" s="1"/>
  <c r="I174" i="12" a="1"/>
  <c r="I174" i="12" s="1"/>
  <c r="I75" i="12" a="1"/>
  <c r="I75" i="12" s="1"/>
  <c r="F52" i="12" a="1"/>
  <c r="F52" i="12" s="1"/>
  <c r="U62" i="2" a="1"/>
  <c r="U62" i="2" s="1"/>
  <c r="J191" i="12" a="1"/>
  <c r="J191" i="12" s="1"/>
  <c r="X659" i="12" a="1"/>
  <c r="X659" i="12" s="1"/>
  <c r="F6" i="12" a="1"/>
  <c r="F6" i="12" s="1"/>
  <c r="U8" i="2" a="1"/>
  <c r="U8" i="2" s="1"/>
  <c r="P2" i="12" a="1"/>
  <c r="P2" i="12" s="1"/>
  <c r="U2" i="3" a="1"/>
  <c r="U2" i="3" s="1"/>
  <c r="U22" i="3" s="1" a="1"/>
  <c r="U22" i="3" s="1"/>
  <c r="J6" i="12" a="1"/>
  <c r="J6" i="12" s="1"/>
  <c r="Q113" i="12" a="1"/>
  <c r="Q113" i="12" s="1"/>
  <c r="N110" i="12" a="1"/>
  <c r="N110" i="12" s="1"/>
  <c r="N112" i="12" a="1"/>
  <c r="N112" i="12" s="1"/>
  <c r="Q279" i="12" a="1"/>
  <c r="Q279" i="12" s="1"/>
  <c r="G279" i="12" a="1"/>
  <c r="G279" i="12" s="1"/>
  <c r="L96" i="12" a="1"/>
  <c r="L96" i="12" s="1"/>
  <c r="K93" i="12" a="1"/>
  <c r="K93" i="12" s="1"/>
  <c r="Q32" i="12" a="1"/>
  <c r="Q32" i="12" s="1"/>
  <c r="K56" i="12" a="1"/>
  <c r="K56" i="12" s="1"/>
  <c r="Q30" i="12" a="1"/>
  <c r="Q30" i="12" s="1"/>
  <c r="T23" i="12" a="1"/>
  <c r="T23" i="12" s="1"/>
  <c r="L4" i="12" a="1"/>
  <c r="L4" i="12" s="1"/>
  <c r="F35" i="12" a="1"/>
  <c r="F35" i="12" s="1"/>
  <c r="U67" i="2" a="1"/>
  <c r="U67" i="2" s="1"/>
  <c r="G52" i="12" a="1"/>
  <c r="G52" i="12" s="1"/>
  <c r="Q3" i="12" a="1"/>
  <c r="Q3" i="12" s="1"/>
  <c r="L21" i="12" a="1"/>
  <c r="L21" i="12" s="1"/>
  <c r="P166" i="12" a="1"/>
  <c r="P166" i="12" s="1"/>
  <c r="Q16" i="12" a="1"/>
  <c r="Q16" i="12" s="1"/>
  <c r="I22" i="3" a="1"/>
  <c r="I22" i="3" s="1"/>
  <c r="I77" i="12" a="1"/>
  <c r="I77" i="12" s="1"/>
  <c r="P36" i="12" a="1"/>
  <c r="P36" i="12" s="1"/>
  <c r="J30" i="12" a="1"/>
  <c r="J30" i="12" s="1"/>
  <c r="R10" i="12" a="1"/>
  <c r="R10" i="12" s="1"/>
  <c r="J10" i="12" a="1"/>
  <c r="J10" i="12" s="1"/>
  <c r="Q95" i="12" a="1"/>
  <c r="Q95" i="12" s="1"/>
  <c r="O41" i="12" a="1"/>
  <c r="O41" i="12" s="1"/>
  <c r="N41" i="12" a="1"/>
  <c r="N41" i="12" s="1"/>
  <c r="AQ66" i="2" a="1"/>
  <c r="AQ66" i="2" s="1"/>
  <c r="AR66" i="2" a="1"/>
  <c r="AR66" i="2" s="1"/>
  <c r="T110" i="12" a="1"/>
  <c r="T110" i="12" s="1"/>
  <c r="I45" i="12" a="1"/>
  <c r="I45" i="12" s="1"/>
  <c r="Q9" i="12" a="1"/>
  <c r="Q9" i="12" s="1"/>
  <c r="F31" i="12" a="1"/>
  <c r="F31" i="12" s="1"/>
  <c r="U5" i="2" a="1"/>
  <c r="U5" i="2" s="1"/>
  <c r="F129" i="12" a="1"/>
  <c r="F129" i="12" s="1"/>
  <c r="U59" i="2" a="1"/>
  <c r="U59" i="2" s="1"/>
  <c r="K129" i="12" a="1"/>
  <c r="K129" i="12" s="1"/>
  <c r="O184" i="12" a="1"/>
  <c r="O184" i="12" s="1"/>
  <c r="F59" i="12" a="1"/>
  <c r="F59" i="12" s="1"/>
  <c r="U71" i="2" a="1"/>
  <c r="U71" i="2" s="1"/>
  <c r="R59" i="12" a="1"/>
  <c r="R59" i="12" s="1"/>
  <c r="S118" i="12" a="1"/>
  <c r="S118" i="12" s="1"/>
  <c r="P22" i="12" a="1"/>
  <c r="P22" i="12" s="1"/>
  <c r="P42" i="12" a="1"/>
  <c r="P42" i="12" s="1"/>
  <c r="M42" i="12" a="1"/>
  <c r="M42" i="12" s="1"/>
  <c r="L80" i="12" a="1"/>
  <c r="L80" i="12" s="1"/>
  <c r="T134" i="12" a="1"/>
  <c r="T134" i="12" s="1"/>
  <c r="P62" i="12" a="1"/>
  <c r="P62" i="12" s="1"/>
  <c r="K62" i="12" a="1"/>
  <c r="K62" i="12" s="1"/>
  <c r="AA671" i="12" a="1"/>
  <c r="AA671" i="12" s="1"/>
  <c r="T34" i="12" a="1"/>
  <c r="T34" i="12" s="1"/>
  <c r="F12" i="12" a="1"/>
  <c r="F12" i="12" s="1"/>
  <c r="O57" i="12" a="1"/>
  <c r="O57" i="12" s="1"/>
  <c r="T57" i="12" a="1"/>
  <c r="T57" i="12" s="1"/>
  <c r="J182" i="12" a="1"/>
  <c r="J182" i="12" s="1"/>
  <c r="L103" i="12" a="1"/>
  <c r="L103" i="12" s="1"/>
  <c r="K46" i="12" a="1"/>
  <c r="K46" i="12" s="1"/>
  <c r="M53" i="12" a="1"/>
  <c r="M53" i="12" s="1"/>
  <c r="R76" i="12" a="1"/>
  <c r="R76" i="12" s="1"/>
  <c r="K49" i="12" a="1"/>
  <c r="K49" i="12" s="1"/>
  <c r="J49" i="12" a="1"/>
  <c r="J49" i="12" s="1"/>
  <c r="S63" i="12" a="1"/>
  <c r="S63" i="12" s="1"/>
  <c r="K63" i="12" a="1"/>
  <c r="K63" i="12" s="1"/>
  <c r="T11" i="12" a="1"/>
  <c r="T11" i="12" s="1"/>
  <c r="R93" i="12" a="1"/>
  <c r="R93" i="12" s="1"/>
  <c r="P51" i="12" a="1"/>
  <c r="P51" i="12" s="1"/>
  <c r="L200" i="12" a="1"/>
  <c r="L200" i="12" s="1"/>
  <c r="J60" i="12" a="1"/>
  <c r="J60" i="12" s="1"/>
  <c r="T26" i="12" a="1"/>
  <c r="T26" i="12" s="1"/>
  <c r="I33" i="12" a="1"/>
  <c r="I33" i="12" s="1"/>
  <c r="I189" i="12" a="1"/>
  <c r="I189" i="12" s="1"/>
  <c r="K189" i="12" a="1"/>
  <c r="K189" i="12" s="1"/>
  <c r="F74" i="12" a="1"/>
  <c r="F74" i="12" s="1"/>
  <c r="U103" i="2" a="1"/>
  <c r="U103" i="2" s="1"/>
  <c r="R60" i="12" a="1"/>
  <c r="R60" i="12" s="1"/>
  <c r="F155" i="12" a="1"/>
  <c r="F155" i="12" s="1"/>
  <c r="K233" i="12" a="1"/>
  <c r="K233" i="12" s="1"/>
  <c r="O597" i="12" a="1"/>
  <c r="O597" i="12" s="1"/>
  <c r="G505" i="12" a="1"/>
  <c r="G505" i="12" s="1"/>
  <c r="K213" i="12" a="1"/>
  <c r="K213" i="12" s="1"/>
  <c r="Q268" i="12" a="1"/>
  <c r="Q268" i="12" s="1"/>
  <c r="M588" i="12" a="1"/>
  <c r="M588" i="12" s="1"/>
  <c r="L223" i="12" a="1"/>
  <c r="L223" i="12" s="1"/>
  <c r="I557" i="12" a="1"/>
  <c r="I557" i="12" s="1"/>
  <c r="N287" i="12" a="1"/>
  <c r="N287" i="12" s="1"/>
  <c r="O323" i="12" a="1"/>
  <c r="O323" i="12" s="1"/>
  <c r="G539" i="12" a="1"/>
  <c r="G539" i="12" s="1"/>
  <c r="O514" i="12" a="1"/>
  <c r="O514" i="12" s="1"/>
  <c r="N239" i="12" a="1"/>
  <c r="N239" i="12" s="1"/>
  <c r="L598" i="12" a="1"/>
  <c r="L598" i="12" s="1"/>
  <c r="F276" i="12" a="1"/>
  <c r="F276" i="12" s="1"/>
  <c r="U459" i="2" a="1"/>
  <c r="U459" i="2" s="1"/>
  <c r="G276" i="12" a="1"/>
  <c r="G276" i="12" s="1"/>
  <c r="G211" i="12" a="1"/>
  <c r="G211" i="12" s="1"/>
  <c r="S501" i="12" a="1"/>
  <c r="S501" i="12" s="1"/>
  <c r="G566" i="12" a="1"/>
  <c r="G566" i="12" s="1"/>
  <c r="Q273" i="12" a="1"/>
  <c r="Q273" i="12" s="1"/>
  <c r="N573" i="12" a="1"/>
  <c r="N573" i="12" s="1"/>
  <c r="N499" i="12" a="1"/>
  <c r="N499" i="12" s="1"/>
  <c r="X652" i="12" a="1"/>
  <c r="X652" i="12" s="1"/>
  <c r="N451" i="12" a="1"/>
  <c r="N451" i="12" s="1"/>
  <c r="M210" i="12" a="1"/>
  <c r="M210" i="12" s="1"/>
  <c r="S164" i="12" a="1"/>
  <c r="S164" i="12" s="1"/>
  <c r="L463" i="12" a="1"/>
  <c r="L463" i="12" s="1"/>
  <c r="M218" i="12" a="1"/>
  <c r="M218" i="12" s="1"/>
  <c r="N257" i="12" a="1"/>
  <c r="N257" i="12" s="1"/>
  <c r="M499" i="12" a="1"/>
  <c r="M499" i="12" s="1"/>
  <c r="K323" i="12" a="1"/>
  <c r="K323" i="12" s="1"/>
  <c r="J260" i="12" a="1"/>
  <c r="J260" i="12" s="1"/>
  <c r="L561" i="12" a="1"/>
  <c r="L561" i="12" s="1"/>
  <c r="T277" i="12" a="1"/>
  <c r="T277" i="12" s="1"/>
  <c r="T245" i="12" a="1"/>
  <c r="T245" i="12" s="1"/>
  <c r="J284" i="12" a="1"/>
  <c r="J284" i="12" s="1"/>
  <c r="G347" i="12" a="1"/>
  <c r="G347" i="12" s="1"/>
  <c r="G311" i="12" a="1"/>
  <c r="G311" i="12" s="1"/>
  <c r="S311" i="12" a="1"/>
  <c r="S311" i="12" s="1"/>
  <c r="M233" i="12" a="1"/>
  <c r="M233" i="12" s="1"/>
  <c r="F234" i="12" a="1"/>
  <c r="F234" i="12" s="1"/>
  <c r="U450" i="2" a="1"/>
  <c r="U450" i="2" s="1"/>
  <c r="T581" i="12" a="1"/>
  <c r="T581" i="12" s="1"/>
  <c r="J237" i="12" a="1"/>
  <c r="J237" i="12" s="1"/>
  <c r="N537" i="12" a="1"/>
  <c r="N537" i="12" s="1"/>
  <c r="N510" i="12" a="1"/>
  <c r="N510" i="12" s="1"/>
  <c r="J257" i="12" a="1"/>
  <c r="J257" i="12" s="1"/>
  <c r="T474" i="12" a="1"/>
  <c r="T474" i="12" s="1"/>
  <c r="L585" i="12" a="1"/>
  <c r="L585" i="12" s="1"/>
  <c r="F551" i="12" a="1"/>
  <c r="F551" i="12" s="1"/>
  <c r="U358" i="2" a="1"/>
  <c r="U358" i="2" s="1"/>
  <c r="F197" i="12" a="1"/>
  <c r="F197" i="12" s="1"/>
  <c r="Q509" i="12" a="1"/>
  <c r="Q509" i="12" s="1"/>
  <c r="Q504" i="12" a="1"/>
  <c r="Q504" i="12" s="1"/>
  <c r="N136" i="12" a="1"/>
  <c r="N136" i="12" s="1"/>
  <c r="F190" i="12" a="1"/>
  <c r="F190" i="12" s="1"/>
  <c r="U318" i="2" a="1"/>
  <c r="U318" i="2" s="1"/>
  <c r="Q186" i="12" a="1"/>
  <c r="Q186" i="12" s="1"/>
  <c r="N452" i="12" a="1"/>
  <c r="N452" i="12" s="1"/>
  <c r="S135" i="12" a="1"/>
  <c r="S135" i="12" s="1"/>
  <c r="Z662" i="12" a="1"/>
  <c r="Z662" i="12" s="1"/>
  <c r="S457" i="12" a="1"/>
  <c r="S457" i="12" s="1"/>
  <c r="M220" i="12" a="1"/>
  <c r="M220" i="12" s="1"/>
  <c r="L225" i="12" a="1"/>
  <c r="L225" i="12" s="1"/>
  <c r="F228" i="12" a="1"/>
  <c r="F228" i="12" s="1"/>
  <c r="J244" i="12" a="1"/>
  <c r="J244" i="12" s="1"/>
  <c r="Q551" i="12" a="1"/>
  <c r="Q551" i="12" s="1"/>
  <c r="L415" i="12" a="1"/>
  <c r="L415" i="12" s="1"/>
  <c r="T415" i="12" a="1"/>
  <c r="T415" i="12" s="1"/>
  <c r="O504" i="12" a="1"/>
  <c r="O504" i="12" s="1"/>
  <c r="O500" i="12" a="1"/>
  <c r="O500" i="12" s="1"/>
  <c r="L179" i="12" a="1"/>
  <c r="L179" i="12" s="1"/>
  <c r="M131" i="12" a="1"/>
  <c r="M131" i="12" s="1"/>
  <c r="L163" i="12" a="1"/>
  <c r="L163" i="12" s="1"/>
  <c r="Q493" i="12" a="1"/>
  <c r="Q493" i="12" s="1"/>
  <c r="S397" i="12" a="1"/>
  <c r="S397" i="12" s="1"/>
  <c r="G194" i="12" a="1"/>
  <c r="G194" i="12" s="1"/>
  <c r="J501" i="12" a="1"/>
  <c r="J501" i="12" s="1"/>
  <c r="K547" i="12" a="1"/>
  <c r="K547" i="12" s="1"/>
  <c r="M407" i="12" a="1"/>
  <c r="M407" i="12" s="1"/>
  <c r="Q227" i="12" a="1"/>
  <c r="Q227" i="12" s="1"/>
  <c r="N408" i="12" a="1"/>
  <c r="N408" i="12" s="1"/>
  <c r="O586" i="12" a="1"/>
  <c r="O586" i="12" s="1"/>
  <c r="S176" i="12" a="1"/>
  <c r="S176" i="12" s="1"/>
  <c r="I281" i="12" a="1"/>
  <c r="I281" i="12" s="1"/>
  <c r="S584" i="12" a="1"/>
  <c r="S584" i="12" s="1"/>
  <c r="G564" i="12" a="1"/>
  <c r="G564" i="12" s="1"/>
  <c r="G451" i="12" a="1"/>
  <c r="G451" i="12" s="1"/>
  <c r="G465" i="12" a="1"/>
  <c r="G465" i="12" s="1"/>
  <c r="F508" i="12" a="1"/>
  <c r="F508" i="12" s="1"/>
  <c r="U346" i="2" a="1"/>
  <c r="U346" i="2" s="1"/>
  <c r="G147" i="12" a="1"/>
  <c r="G147" i="12" s="1"/>
  <c r="S195" i="12" a="1"/>
  <c r="S195" i="12" s="1"/>
  <c r="I397" i="12" a="1"/>
  <c r="I397" i="12" s="1"/>
  <c r="K154" i="12" a="1"/>
  <c r="K154" i="12" s="1"/>
  <c r="G559" i="12" a="1"/>
  <c r="G559" i="12" s="1"/>
  <c r="O559" i="12" a="1"/>
  <c r="O559" i="12" s="1"/>
  <c r="J213" i="12" a="1"/>
  <c r="J213" i="12" s="1"/>
  <c r="N474" i="12" a="1"/>
  <c r="N474" i="12" s="1"/>
  <c r="G568" i="12" a="1"/>
  <c r="G568" i="12" s="1"/>
  <c r="T515" i="12" a="1"/>
  <c r="T515" i="12" s="1"/>
  <c r="N230" i="12" a="1"/>
  <c r="N230" i="12" s="1"/>
  <c r="M227" i="12" a="1"/>
  <c r="M227" i="12" s="1"/>
  <c r="I494" i="12" a="1"/>
  <c r="I494" i="12" s="1"/>
  <c r="O190" i="12" a="1"/>
  <c r="O190" i="12" s="1"/>
  <c r="S199" i="12" a="1"/>
  <c r="S199" i="12" s="1"/>
  <c r="Q497" i="12" a="1"/>
  <c r="Q497" i="12" s="1"/>
  <c r="N175" i="12" a="1"/>
  <c r="N175" i="12" s="1"/>
  <c r="N439" i="12" a="1"/>
  <c r="N439" i="12" s="1"/>
  <c r="R154" i="12" a="1"/>
  <c r="R154" i="12" s="1"/>
  <c r="R511" i="12" a="1"/>
  <c r="R511" i="12" s="1"/>
  <c r="S511" i="12" a="1"/>
  <c r="S511" i="12" s="1"/>
  <c r="N475" i="12" a="1"/>
  <c r="N475" i="12" s="1"/>
  <c r="R564" i="12" a="1"/>
  <c r="R564" i="12" s="1"/>
  <c r="P530" i="12" a="1"/>
  <c r="P530" i="12" s="1"/>
  <c r="X654" i="12" a="1"/>
  <c r="X654" i="12" s="1"/>
  <c r="F206" i="12" a="1"/>
  <c r="F206" i="12" s="1"/>
  <c r="U348" i="2" a="1"/>
  <c r="U348" i="2" s="1"/>
  <c r="J582" i="12" a="1"/>
  <c r="J582" i="12" s="1"/>
  <c r="N582" i="12" a="1"/>
  <c r="N582" i="12" s="1"/>
  <c r="R533" i="12" a="1"/>
  <c r="R533" i="12" s="1"/>
  <c r="Q533" i="12" a="1"/>
  <c r="Q533" i="12" s="1"/>
  <c r="P562" i="12" a="1"/>
  <c r="P562" i="12" s="1"/>
  <c r="L426" i="12" a="1"/>
  <c r="L426" i="12" s="1"/>
  <c r="G522" i="12" a="1"/>
  <c r="G522" i="12" s="1"/>
  <c r="L526" i="12" a="1"/>
  <c r="L526" i="12" s="1"/>
  <c r="F466" i="12" a="1"/>
  <c r="F466" i="12" s="1"/>
  <c r="U288" i="2" a="1"/>
  <c r="U288" i="2" s="1"/>
  <c r="T558" i="12" a="1"/>
  <c r="T558" i="12" s="1"/>
  <c r="R169" i="12" a="1"/>
  <c r="R169" i="12" s="1"/>
  <c r="P175" i="12" a="1"/>
  <c r="P175" i="12" s="1"/>
  <c r="L442" i="12" a="1"/>
  <c r="L442" i="12" s="1"/>
  <c r="K492" i="12" a="1"/>
  <c r="K492" i="12" s="1"/>
  <c r="Q374" i="12" a="1"/>
  <c r="Q374" i="12" s="1"/>
  <c r="F204" i="12" a="1"/>
  <c r="F204" i="12" s="1"/>
  <c r="U278" i="2" a="1"/>
  <c r="U278" i="2" s="1"/>
  <c r="T160" i="12" a="1"/>
  <c r="T160" i="12" s="1"/>
  <c r="R356" i="12" a="1"/>
  <c r="R356" i="12" s="1"/>
  <c r="P439" i="12" a="1"/>
  <c r="P439" i="12" s="1"/>
  <c r="L383" i="12" a="1"/>
  <c r="L383" i="12" s="1"/>
  <c r="T345" i="12" a="1"/>
  <c r="T345" i="12" s="1"/>
  <c r="S139" i="12" a="1"/>
  <c r="S139" i="12" s="1"/>
  <c r="S296" i="12" a="1"/>
  <c r="S296" i="12" s="1"/>
  <c r="F226" i="12" a="1"/>
  <c r="F226" i="12" s="1"/>
  <c r="U430" i="2" a="1"/>
  <c r="U430" i="2" s="1"/>
  <c r="I475" i="12" a="1"/>
  <c r="I475" i="12" s="1"/>
  <c r="P475" i="12" a="1"/>
  <c r="P475" i="12" s="1"/>
  <c r="Q173" i="12" a="1"/>
  <c r="Q173" i="12" s="1"/>
  <c r="M173" i="12" a="1"/>
  <c r="M173" i="12" s="1"/>
  <c r="F192" i="12" a="1"/>
  <c r="F192" i="12" s="1"/>
  <c r="U383" i="2" a="1"/>
  <c r="U383" i="2" s="1"/>
  <c r="K172" i="12" a="1"/>
  <c r="K172" i="12" s="1"/>
  <c r="O215" i="12" a="1"/>
  <c r="O215" i="12" s="1"/>
  <c r="S465" i="12" a="1"/>
  <c r="S465" i="12" s="1"/>
  <c r="J540" i="12" a="1"/>
  <c r="J540" i="12" s="1"/>
  <c r="P274" i="12" a="1"/>
  <c r="P274" i="12" s="1"/>
  <c r="P541" i="12" a="1"/>
  <c r="P541" i="12" s="1"/>
  <c r="S494" i="12" a="1"/>
  <c r="S494" i="12" s="1"/>
  <c r="T449" i="12" a="1"/>
  <c r="T449" i="12" s="1"/>
  <c r="S136" i="12" a="1"/>
  <c r="S136" i="12" s="1"/>
  <c r="T493" i="12" a="1"/>
  <c r="T493" i="12" s="1"/>
  <c r="L195" i="12" a="1"/>
  <c r="L195" i="12" s="1"/>
  <c r="Q476" i="12" a="1"/>
  <c r="Q476" i="12" s="1"/>
  <c r="T187" i="12" a="1"/>
  <c r="T187" i="12" s="1"/>
  <c r="F568" i="12" a="1"/>
  <c r="F568" i="12" s="1"/>
  <c r="M426" i="12" a="1"/>
  <c r="M426" i="12" s="1"/>
  <c r="O149" i="12" a="1"/>
  <c r="O149" i="12" s="1"/>
  <c r="S217" i="12" a="1"/>
  <c r="S217" i="12" s="1"/>
  <c r="S267" i="12" a="1"/>
  <c r="S267" i="12" s="1"/>
  <c r="F246" i="12" a="1"/>
  <c r="F246" i="12" s="1"/>
  <c r="U393" i="2" a="1"/>
  <c r="U393" i="2" s="1"/>
  <c r="F231" i="12" a="1"/>
  <c r="F231" i="12" s="1"/>
  <c r="U356" i="2" a="1"/>
  <c r="U356" i="2" s="1"/>
  <c r="N465" i="12" a="1"/>
  <c r="N465" i="12" s="1"/>
  <c r="R494" i="12" a="1"/>
  <c r="R494" i="12" s="1"/>
  <c r="I435" i="12" a="1"/>
  <c r="I435" i="12" s="1"/>
  <c r="X634" i="12" a="1"/>
  <c r="X634" i="12" s="1"/>
  <c r="F205" i="12" a="1"/>
  <c r="F205" i="12" s="1"/>
  <c r="U300" i="2" a="1"/>
  <c r="U300" i="2" s="1"/>
  <c r="L132" i="12" a="1"/>
  <c r="L132" i="12" s="1"/>
  <c r="Q490" i="12" a="1"/>
  <c r="Q490" i="12" s="1"/>
  <c r="Q603" i="12" a="1"/>
  <c r="Q603" i="12" s="1"/>
  <c r="R484" i="12" a="1"/>
  <c r="R484" i="12" s="1"/>
  <c r="J469" i="12" a="1"/>
  <c r="J469" i="12" s="1"/>
  <c r="R479" i="12" a="1"/>
  <c r="R479" i="12" s="1"/>
  <c r="P164" i="12" a="1"/>
  <c r="P164" i="12" s="1"/>
  <c r="F139" i="12" a="1"/>
  <c r="F139" i="12" s="1"/>
  <c r="U245" i="2" a="1"/>
  <c r="U245" i="2" s="1"/>
  <c r="G108" i="12" a="1"/>
  <c r="G108" i="12" s="1"/>
  <c r="K377" i="12" a="1"/>
  <c r="K377" i="12" s="1"/>
  <c r="O422" i="12" a="1"/>
  <c r="O422" i="12" s="1"/>
  <c r="G431" i="12" a="1"/>
  <c r="G431" i="12" s="1"/>
  <c r="K112" i="12" a="1"/>
  <c r="K112" i="12" s="1"/>
  <c r="T157" i="12" a="1"/>
  <c r="T157" i="12" s="1"/>
  <c r="L92" i="12" a="1"/>
  <c r="L92" i="12" s="1"/>
  <c r="T117" i="12" a="1"/>
  <c r="T117" i="12" s="1"/>
  <c r="R183" i="12" a="1"/>
  <c r="R183" i="12" s="1"/>
  <c r="AA649" i="12" a="1"/>
  <c r="AA649" i="12" s="1"/>
  <c r="I161" i="12" a="1"/>
  <c r="I161" i="12" s="1"/>
  <c r="O425" i="12" a="1"/>
  <c r="O425" i="12" s="1"/>
  <c r="G99" i="12" a="1"/>
  <c r="G99" i="12" s="1"/>
  <c r="Q73" i="12" a="1"/>
  <c r="Q73" i="12" s="1"/>
  <c r="T124" i="12" a="1"/>
  <c r="T124" i="12" s="1"/>
  <c r="Q87" i="12" a="1"/>
  <c r="Q87" i="12" s="1"/>
  <c r="G77" i="12" a="1"/>
  <c r="G77" i="12" s="1"/>
  <c r="T549" i="12" a="1"/>
  <c r="T549" i="12" s="1"/>
  <c r="O534" i="12" a="1"/>
  <c r="O534" i="12" s="1"/>
  <c r="O583" i="12" a="1"/>
  <c r="O583" i="12" s="1"/>
  <c r="L583" i="12" a="1"/>
  <c r="L583" i="12" s="1"/>
  <c r="M209" i="12" a="1"/>
  <c r="M209" i="12" s="1"/>
  <c r="J427" i="12" a="1"/>
  <c r="J427" i="12" s="1"/>
  <c r="J309" i="12" a="1"/>
  <c r="J309" i="12" s="1"/>
  <c r="T325" i="12" a="1"/>
  <c r="T325" i="12" s="1"/>
  <c r="I401" i="12" a="1"/>
  <c r="I401" i="12" s="1"/>
  <c r="O365" i="12" a="1"/>
  <c r="O365" i="12" s="1"/>
  <c r="AQ214" i="2" a="1"/>
  <c r="AQ214" i="2" s="1"/>
  <c r="AR214" i="2" a="1"/>
  <c r="AR214" i="2" s="1"/>
  <c r="R120" i="12" a="1"/>
  <c r="R120" i="12" s="1"/>
  <c r="S335" i="12" a="1"/>
  <c r="S335" i="12" s="1"/>
  <c r="O127" i="12" a="1"/>
  <c r="O127" i="12" s="1"/>
  <c r="I317" i="12" a="1"/>
  <c r="I317" i="12" s="1"/>
  <c r="R133" i="12" a="1"/>
  <c r="R133" i="12" s="1"/>
  <c r="O102" i="12" a="1"/>
  <c r="O102" i="12" s="1"/>
  <c r="P97" i="12" a="1"/>
  <c r="P97" i="12" s="1"/>
  <c r="P87" i="12" a="1"/>
  <c r="P87" i="12" s="1"/>
  <c r="AQ108" i="2" a="1"/>
  <c r="AQ108" i="2" s="1"/>
  <c r="AR108" i="2" a="1"/>
  <c r="AR108" i="2" s="1"/>
  <c r="L148" i="12" a="1"/>
  <c r="L148" i="12" s="1"/>
  <c r="I186" i="12" a="1"/>
  <c r="I186" i="12" s="1"/>
  <c r="AQ289" i="2" a="1"/>
  <c r="AQ289" i="2" s="1"/>
  <c r="AR289" i="2" a="1"/>
  <c r="AR289" i="2" s="1"/>
  <c r="I442" i="12" a="1"/>
  <c r="I442" i="12" s="1"/>
  <c r="O160" i="12" a="1"/>
  <c r="O160" i="12" s="1"/>
  <c r="L458" i="12" a="1"/>
  <c r="L458" i="12" s="1"/>
  <c r="R167" i="12" a="1"/>
  <c r="R167" i="12" s="1"/>
  <c r="O145" i="12" a="1"/>
  <c r="O145" i="12" s="1"/>
  <c r="R159" i="12" a="1"/>
  <c r="R159" i="12" s="1"/>
  <c r="R388" i="12" a="1"/>
  <c r="R388" i="12" s="1"/>
  <c r="O354" i="12" a="1"/>
  <c r="O354" i="12" s="1"/>
  <c r="G140" i="12" a="1"/>
  <c r="G140" i="12" s="1"/>
  <c r="I119" i="12" a="1"/>
  <c r="I119" i="12" s="1"/>
  <c r="N285" i="12" a="1"/>
  <c r="N285" i="12" s="1"/>
  <c r="G67" i="12" a="1"/>
  <c r="G67" i="12" s="1"/>
  <c r="P111" i="12" a="1"/>
  <c r="P111" i="12" s="1"/>
  <c r="O250" i="12" a="1"/>
  <c r="O250" i="12" s="1"/>
  <c r="M100" i="12" a="1"/>
  <c r="M100" i="12" s="1"/>
  <c r="I556" i="12" a="1"/>
  <c r="I556" i="12" s="1"/>
  <c r="G412" i="12" a="1"/>
  <c r="G412" i="12" s="1"/>
  <c r="P469" i="12" a="1"/>
  <c r="P469" i="12" s="1"/>
  <c r="M332" i="12" a="1"/>
  <c r="M332" i="12" s="1"/>
  <c r="Q114" i="12" a="1"/>
  <c r="Q114" i="12" s="1"/>
  <c r="L377" i="12" a="1"/>
  <c r="L377" i="12" s="1"/>
  <c r="L365" i="12" a="1"/>
  <c r="L365" i="12" s="1"/>
  <c r="T387" i="12" a="1"/>
  <c r="T387" i="12" s="1"/>
  <c r="R421" i="12" a="1"/>
  <c r="R421" i="12" s="1"/>
  <c r="T127" i="12" a="1"/>
  <c r="T127" i="12" s="1"/>
  <c r="T91" i="12" a="1"/>
  <c r="T91" i="12" s="1"/>
  <c r="O312" i="12" a="1"/>
  <c r="O312" i="12" s="1"/>
  <c r="G602" i="12" a="1"/>
  <c r="G602" i="12" s="1"/>
  <c r="I102" i="12" a="1"/>
  <c r="I102" i="12" s="1"/>
  <c r="G97" i="12" a="1"/>
  <c r="G97" i="12" s="1"/>
  <c r="Q230" i="12" a="1"/>
  <c r="Q230" i="12" s="1"/>
  <c r="S454" i="12" a="1"/>
  <c r="S454" i="12" s="1"/>
  <c r="G454" i="12" a="1"/>
  <c r="G454" i="12" s="1"/>
  <c r="O558" i="12" a="1"/>
  <c r="O558" i="12" s="1"/>
  <c r="M160" i="12" a="1"/>
  <c r="M160" i="12" s="1"/>
  <c r="AB651" i="12" a="1"/>
  <c r="AB651" i="12" s="1"/>
  <c r="F164" i="12" a="1"/>
  <c r="F164" i="12" s="1"/>
  <c r="K156" i="12" a="1"/>
  <c r="K156" i="12" s="1"/>
  <c r="I321" i="12" a="1"/>
  <c r="I321" i="12" s="1"/>
  <c r="M431" i="12" a="1"/>
  <c r="M431" i="12" s="1"/>
  <c r="Q283" i="12" a="1"/>
  <c r="Q283" i="12" s="1"/>
  <c r="O150" i="12" a="1"/>
  <c r="O150" i="12" s="1"/>
  <c r="G607" i="12" a="1"/>
  <c r="G607" i="12" s="1"/>
  <c r="J378" i="12" a="1"/>
  <c r="J378" i="12" s="1"/>
  <c r="F317" i="12" a="1"/>
  <c r="F317" i="12" s="1"/>
  <c r="U179" i="2" a="1"/>
  <c r="U179" i="2" s="1"/>
  <c r="Q128" i="12" a="1"/>
  <c r="Q128" i="12" s="1"/>
  <c r="K314" i="12" a="1"/>
  <c r="K314" i="12" s="1"/>
  <c r="K484" i="12" a="1"/>
  <c r="K484" i="12" s="1"/>
  <c r="T484" i="12" a="1"/>
  <c r="T484" i="12" s="1"/>
  <c r="S204" i="12" a="1"/>
  <c r="S204" i="12" s="1"/>
  <c r="K479" i="12" a="1"/>
  <c r="K479" i="12" s="1"/>
  <c r="P372" i="12" a="1"/>
  <c r="P372" i="12" s="1"/>
  <c r="O346" i="12" a="1"/>
  <c r="O346" i="12" s="1"/>
  <c r="F325" i="12" a="1"/>
  <c r="F325" i="12" s="1"/>
  <c r="U227" i="2" a="1"/>
  <c r="U227" i="2" s="1"/>
  <c r="J401" i="12" a="1"/>
  <c r="J401" i="12" s="1"/>
  <c r="Q151" i="12" a="1"/>
  <c r="Q151" i="12" s="1"/>
  <c r="L107" i="12" a="1"/>
  <c r="L107" i="12" s="1"/>
  <c r="F348" i="12" a="1"/>
  <c r="F348" i="12" s="1"/>
  <c r="U205" i="2" a="1"/>
  <c r="U205" i="2" s="1"/>
  <c r="F335" i="12" a="1"/>
  <c r="F335" i="12" s="1"/>
  <c r="U196" i="2" a="1"/>
  <c r="U196" i="2" s="1"/>
  <c r="O119" i="12" a="1"/>
  <c r="O119" i="12" s="1"/>
  <c r="G425" i="12" a="1"/>
  <c r="G425" i="12" s="1"/>
  <c r="N87" i="12" a="1"/>
  <c r="N87" i="12" s="1"/>
  <c r="G70" i="12" a="1"/>
  <c r="G70" i="12" s="1"/>
  <c r="G232" i="12" a="1"/>
  <c r="G232" i="12" s="1"/>
  <c r="Q168" i="12" a="1"/>
  <c r="Q168" i="12" s="1"/>
  <c r="P168" i="12" a="1"/>
  <c r="P168" i="12" s="1"/>
  <c r="J186" i="12" a="1"/>
  <c r="J186" i="12" s="1"/>
  <c r="AB636" i="12" a="1"/>
  <c r="AB636" i="12" s="1"/>
  <c r="F229" i="12" a="1"/>
  <c r="F229" i="12" s="1"/>
  <c r="U295" i="2" a="1"/>
  <c r="U295" i="2" s="1"/>
  <c r="G374" i="12" a="1"/>
  <c r="G374" i="12" s="1"/>
  <c r="K337" i="12" a="1"/>
  <c r="K337" i="12" s="1"/>
  <c r="G414" i="12" a="1"/>
  <c r="G414" i="12" s="1"/>
  <c r="P123" i="12" a="1"/>
  <c r="P123" i="12" s="1"/>
  <c r="S123" i="12" a="1"/>
  <c r="S123" i="12" s="1"/>
  <c r="F135" i="12" a="1"/>
  <c r="F135" i="12" s="1"/>
  <c r="P432" i="12" a="1"/>
  <c r="P432" i="12" s="1"/>
  <c r="T153" i="12" a="1"/>
  <c r="T153" i="12" s="1"/>
  <c r="M138" i="12" a="1"/>
  <c r="M138" i="12" s="1"/>
  <c r="N388" i="12" a="1"/>
  <c r="N388" i="12" s="1"/>
  <c r="P283" i="12" a="1"/>
  <c r="P283" i="12" s="1"/>
  <c r="M150" i="12" a="1"/>
  <c r="M150" i="12" s="1"/>
  <c r="G183" i="12" a="1"/>
  <c r="G183" i="12" s="1"/>
  <c r="J140" i="12" a="1"/>
  <c r="J140" i="12" s="1"/>
  <c r="I378" i="12" a="1"/>
  <c r="I378" i="12" s="1"/>
  <c r="R285" i="12" a="1"/>
  <c r="R285" i="12" s="1"/>
  <c r="M133" i="12" a="1"/>
  <c r="M133" i="12" s="1"/>
  <c r="I314" i="12" a="1"/>
  <c r="I314" i="12" s="1"/>
  <c r="L121" i="12" a="1"/>
  <c r="L121" i="12" s="1"/>
  <c r="N89" i="12" a="1"/>
  <c r="N89" i="12" s="1"/>
  <c r="N72" i="12" a="1"/>
  <c r="N72" i="12" s="1"/>
  <c r="G74" i="12" a="1"/>
  <c r="G74" i="12" s="1"/>
  <c r="T51" i="12" a="1"/>
  <c r="T51" i="12" s="1"/>
  <c r="J462" i="12" a="1"/>
  <c r="J462" i="12" s="1"/>
  <c r="F403" i="12" a="1"/>
  <c r="F403" i="12" s="1"/>
  <c r="U309" i="2" a="1"/>
  <c r="U309" i="2" s="1"/>
  <c r="L403" i="12" a="1"/>
  <c r="L403" i="12" s="1"/>
  <c r="K141" i="12" a="1"/>
  <c r="K141" i="12" s="1"/>
  <c r="T141" i="12" a="1"/>
  <c r="T141" i="12" s="1"/>
  <c r="K393" i="12" a="1"/>
  <c r="K393" i="12" s="1"/>
  <c r="R393" i="12" a="1"/>
  <c r="R393" i="12" s="1"/>
  <c r="T427" i="12" a="1"/>
  <c r="T427" i="12" s="1"/>
  <c r="Q119" i="12" a="1"/>
  <c r="Q119" i="12" s="1"/>
  <c r="K67" i="12" a="1"/>
  <c r="K67" i="12" s="1"/>
  <c r="F102" i="12" a="1"/>
  <c r="F102" i="12" s="1"/>
  <c r="U166" i="2" a="1"/>
  <c r="U166" i="2" s="1"/>
  <c r="J250" i="12" a="1"/>
  <c r="J250" i="12" s="1"/>
  <c r="P259" i="12" a="1"/>
  <c r="P259" i="12" s="1"/>
  <c r="P100" i="12" a="1"/>
  <c r="P100" i="12" s="1"/>
  <c r="G551" i="12" a="1"/>
  <c r="G551" i="12" s="1"/>
  <c r="I235" i="12" a="1"/>
  <c r="I235" i="12" s="1"/>
  <c r="I356" i="12" a="1"/>
  <c r="I356" i="12" s="1"/>
  <c r="K152" i="12" a="1"/>
  <c r="K152" i="12" s="1"/>
  <c r="P458" i="12" a="1"/>
  <c r="P458" i="12" s="1"/>
  <c r="T366" i="12" a="1"/>
  <c r="T366" i="12" s="1"/>
  <c r="K370" i="12" a="1"/>
  <c r="K370" i="12" s="1"/>
  <c r="G145" i="12" a="1"/>
  <c r="G145" i="12" s="1"/>
  <c r="G309" i="12" a="1"/>
  <c r="G309" i="12" s="1"/>
  <c r="R365" i="12" a="1"/>
  <c r="R365" i="12" s="1"/>
  <c r="R348" i="12" a="1"/>
  <c r="R348" i="12" s="1"/>
  <c r="I264" i="12" a="1"/>
  <c r="I264" i="12" s="1"/>
  <c r="T133" i="12" a="1"/>
  <c r="T133" i="12" s="1"/>
  <c r="N128" i="12" a="1"/>
  <c r="N128" i="12" s="1"/>
  <c r="F97" i="12" a="1"/>
  <c r="F97" i="12" s="1"/>
  <c r="U155" i="2" a="1"/>
  <c r="U155" i="2" s="1"/>
  <c r="I465" i="12" a="1"/>
  <c r="I465" i="12" s="1"/>
  <c r="I497" i="12" a="1"/>
  <c r="I497" i="12" s="1"/>
  <c r="G528" i="12" a="1"/>
  <c r="G528" i="12" s="1"/>
  <c r="M162" i="12" a="1"/>
  <c r="M162" i="12" s="1"/>
  <c r="M414" i="12" a="1"/>
  <c r="M414" i="12" s="1"/>
  <c r="L363" i="12" a="1"/>
  <c r="L363" i="12" s="1"/>
  <c r="J490" i="12" a="1"/>
  <c r="J490" i="12" s="1"/>
  <c r="P120" i="12" a="1"/>
  <c r="P120" i="12" s="1"/>
  <c r="I293" i="12" a="1"/>
  <c r="I293" i="12" s="1"/>
  <c r="F285" i="12" a="1"/>
  <c r="F285" i="12" s="1"/>
  <c r="U182" i="2" a="1"/>
  <c r="U182" i="2" s="1"/>
  <c r="O255" i="12" a="1"/>
  <c r="O255" i="12" s="1"/>
  <c r="M54" i="12" a="1"/>
  <c r="M54" i="12" s="1"/>
  <c r="R142" i="12" a="1"/>
  <c r="R142" i="12" s="1"/>
  <c r="M348" i="12" a="1"/>
  <c r="M348" i="12" s="1"/>
  <c r="K266" i="12" a="1"/>
  <c r="K266" i="12" s="1"/>
  <c r="F222" i="12" a="1"/>
  <c r="F222" i="12" s="1"/>
  <c r="U128" i="2" a="1"/>
  <c r="U128" i="2" s="1"/>
  <c r="Q61" i="12" a="1"/>
  <c r="Q61" i="12" s="1"/>
  <c r="O155" i="12" a="1"/>
  <c r="O155" i="12" s="1"/>
  <c r="I27" i="12" a="1"/>
  <c r="I27" i="12" s="1"/>
  <c r="K110" i="12" a="1"/>
  <c r="K110" i="12" s="1"/>
  <c r="K103" i="12" a="1"/>
  <c r="K103" i="12" s="1"/>
  <c r="T8" i="12" a="1"/>
  <c r="T8" i="12" s="1"/>
  <c r="M5" i="12" a="1"/>
  <c r="M5" i="12" s="1"/>
  <c r="M25" i="12" a="1"/>
  <c r="M25" i="12" s="1"/>
  <c r="Q43" i="12" a="1"/>
  <c r="Q43" i="12" s="1"/>
  <c r="L36" i="12" a="1"/>
  <c r="L36" i="12" s="1"/>
  <c r="Q18" i="12" a="1"/>
  <c r="Q18" i="12" s="1"/>
  <c r="O86" i="12" a="1"/>
  <c r="O86" i="12" s="1"/>
  <c r="R103" i="12" a="1"/>
  <c r="R103" i="12" s="1"/>
  <c r="F113" i="12" a="1"/>
  <c r="F113" i="12" s="1"/>
  <c r="U25" i="2" a="1"/>
  <c r="U25" i="2" s="1"/>
  <c r="L5" i="12" a="1"/>
  <c r="L5" i="12" s="1"/>
  <c r="L44" i="12" a="1"/>
  <c r="L44" i="12" s="1"/>
  <c r="R7" i="12" a="1"/>
  <c r="R7" i="12" s="1"/>
  <c r="G15" i="12" a="1"/>
  <c r="G15" i="12" s="1"/>
  <c r="R17" i="12" a="1"/>
  <c r="R17" i="12" s="1"/>
  <c r="S50" i="12" a="1"/>
  <c r="S50" i="12" s="1"/>
  <c r="I8" i="12" a="1"/>
  <c r="I8" i="12" s="1"/>
  <c r="G4" i="12" a="1"/>
  <c r="G4" i="12" s="1"/>
  <c r="G119" i="12" a="1"/>
  <c r="G119" i="12" s="1"/>
  <c r="K71" i="12" a="1"/>
  <c r="K71" i="12" s="1"/>
  <c r="F143" i="12" a="1"/>
  <c r="F143" i="12" s="1"/>
  <c r="U149" i="2" a="1"/>
  <c r="U149" i="2" s="1"/>
  <c r="R72" i="12" a="1"/>
  <c r="R72" i="12" s="1"/>
  <c r="Q222" i="12" a="1"/>
  <c r="Q222" i="12" s="1"/>
  <c r="F256" i="12" a="1"/>
  <c r="F256" i="12" s="1"/>
  <c r="U127" i="2" a="1"/>
  <c r="U127" i="2" s="1"/>
  <c r="I105" i="12" a="1"/>
  <c r="I105" i="12" s="1"/>
  <c r="Q166" i="12" a="1"/>
  <c r="Q166" i="12" s="1"/>
  <c r="M35" i="12" a="1"/>
  <c r="M35" i="12" s="1"/>
  <c r="L8" i="12" a="1"/>
  <c r="L8" i="12" s="1"/>
  <c r="O27" i="12" a="1"/>
  <c r="O27" i="12" s="1"/>
  <c r="Z617" i="12" a="1"/>
  <c r="Z617" i="12" s="1"/>
  <c r="K29" i="12" a="1"/>
  <c r="K29" i="12" s="1"/>
  <c r="J116" i="12" a="1"/>
  <c r="J116" i="12" s="1"/>
  <c r="S19" i="12" a="1"/>
  <c r="S19" i="12" s="1"/>
  <c r="R56" i="12" a="1"/>
  <c r="R56" i="12" s="1"/>
  <c r="G6" i="12" a="1"/>
  <c r="G6" i="12" s="1"/>
  <c r="N496" i="12" a="1"/>
  <c r="N496" i="12" s="1"/>
  <c r="Q496" i="12" a="1"/>
  <c r="Q496" i="12" s="1"/>
  <c r="I423" i="12" a="1"/>
  <c r="I423" i="12" s="1"/>
  <c r="L423" i="12" a="1"/>
  <c r="L423" i="12" s="1"/>
  <c r="S133" i="12" a="1"/>
  <c r="S133" i="12" s="1"/>
  <c r="G71" i="12" a="1"/>
  <c r="G71" i="12" s="1"/>
  <c r="X635" i="12" a="1"/>
  <c r="X635" i="12" s="1"/>
  <c r="G58" i="12" a="1"/>
  <c r="G58" i="12" s="1"/>
  <c r="I212" i="12" a="1"/>
  <c r="I212" i="12" s="1"/>
  <c r="T46" i="12" a="1"/>
  <c r="T46" i="12" s="1"/>
  <c r="Q207" i="12" a="1"/>
  <c r="Q207" i="12" s="1"/>
  <c r="Q155" i="12" a="1"/>
  <c r="Q155" i="12" s="1"/>
  <c r="O6" i="12" a="1"/>
  <c r="O6" i="12" s="1"/>
  <c r="R127" i="12" a="1"/>
  <c r="R127" i="12" s="1"/>
  <c r="Q333" i="12" a="1"/>
  <c r="Q333" i="12" s="1"/>
  <c r="R289" i="12" a="1"/>
  <c r="R289" i="12" s="1"/>
  <c r="G28" i="12" a="1"/>
  <c r="G28" i="12" s="1"/>
  <c r="G382" i="12" a="1"/>
  <c r="G382" i="12" s="1"/>
  <c r="N222" i="12" a="1"/>
  <c r="N222" i="12" s="1"/>
  <c r="Z661" i="12" a="1"/>
  <c r="Z661" i="12" s="1"/>
  <c r="O66" i="12" a="1"/>
  <c r="O66" i="12" s="1"/>
  <c r="P178" i="12" a="1"/>
  <c r="P178" i="12" s="1"/>
  <c r="F166" i="12" a="1"/>
  <c r="F166" i="12" s="1"/>
  <c r="U74" i="2" a="1"/>
  <c r="U74" i="2" s="1"/>
  <c r="T130" i="12" a="1"/>
  <c r="T130" i="12" s="1"/>
  <c r="F5" i="12" a="1"/>
  <c r="F5" i="12" s="1"/>
  <c r="U12" i="2" a="1"/>
  <c r="U12" i="2" s="1"/>
  <c r="J22" i="3" a="1"/>
  <c r="J22" i="3" s="1"/>
  <c r="M145" i="12" a="1"/>
  <c r="M145" i="12" s="1"/>
  <c r="R97" i="12" a="1"/>
  <c r="R97" i="12" s="1"/>
  <c r="G90" i="12" a="1"/>
  <c r="G90" i="12" s="1"/>
  <c r="N79" i="12" a="1"/>
  <c r="N79" i="12" s="1"/>
  <c r="F46" i="12" a="1"/>
  <c r="F46" i="12" s="1"/>
  <c r="U115" i="2" a="1"/>
  <c r="U115" i="2" s="1"/>
  <c r="Q8" i="12" a="1"/>
  <c r="Q8" i="12" s="1"/>
  <c r="J5" i="12" a="1"/>
  <c r="J5" i="12" s="1"/>
  <c r="I26" i="12" a="1"/>
  <c r="I26" i="12" s="1"/>
  <c r="O7" i="12" a="1"/>
  <c r="O7" i="12" s="1"/>
  <c r="S67" i="12" a="1"/>
  <c r="S67" i="12" s="1"/>
  <c r="G88" i="12" a="1"/>
  <c r="G88" i="12" s="1"/>
  <c r="F88" i="12" a="1"/>
  <c r="F88" i="12" s="1"/>
  <c r="U154" i="2" a="1"/>
  <c r="U154" i="2" s="1"/>
  <c r="J292" i="12" a="1"/>
  <c r="J292" i="12" s="1"/>
  <c r="T224" i="12" a="1"/>
  <c r="T224" i="12" s="1"/>
  <c r="J66" i="12" a="1"/>
  <c r="J66" i="12" s="1"/>
  <c r="U176" i="2" a="1"/>
  <c r="U176" i="2" s="1"/>
  <c r="S84" i="12" a="1"/>
  <c r="S84" i="12" s="1"/>
  <c r="L87" i="12" a="1"/>
  <c r="L87" i="12" s="1"/>
  <c r="L222" i="12" a="1"/>
  <c r="L222" i="12" s="1"/>
  <c r="P79" i="12" a="1"/>
  <c r="P79" i="12" s="1"/>
  <c r="K275" i="12" a="1"/>
  <c r="K275" i="12" s="1"/>
  <c r="P69" i="12" a="1"/>
  <c r="P69" i="12" s="1"/>
  <c r="N54" i="12" a="1"/>
  <c r="N54" i="12" s="1"/>
  <c r="G55" i="12" a="1"/>
  <c r="G55" i="12" s="1"/>
  <c r="N56" i="12" a="1"/>
  <c r="N56" i="12" s="1"/>
  <c r="N30" i="12" a="1"/>
  <c r="N30" i="12" s="1"/>
  <c r="P13" i="12" a="1"/>
  <c r="P13" i="12" s="1"/>
  <c r="K432" i="12" a="1"/>
  <c r="K432" i="12" s="1"/>
  <c r="O379" i="12" a="1"/>
  <c r="O379" i="12" s="1"/>
  <c r="J120" i="12" a="1"/>
  <c r="J120" i="12" s="1"/>
  <c r="P330" i="12" a="1"/>
  <c r="P330" i="12" s="1"/>
  <c r="N330" i="12" a="1"/>
  <c r="N330" i="12" s="1"/>
  <c r="N81" i="12" a="1"/>
  <c r="N81" i="12" s="1"/>
  <c r="F81" i="12" a="1"/>
  <c r="F81" i="12" s="1"/>
  <c r="U147" i="2" a="1"/>
  <c r="U147" i="2" s="1"/>
  <c r="F72" i="12" a="1"/>
  <c r="F72" i="12" s="1"/>
  <c r="R382" i="12" a="1"/>
  <c r="R382" i="12" s="1"/>
  <c r="N382" i="12" a="1"/>
  <c r="N382" i="12" s="1"/>
  <c r="Q201" i="12" a="1"/>
  <c r="Q201" i="12" s="1"/>
  <c r="P75" i="12" a="1"/>
  <c r="P75" i="12" s="1"/>
  <c r="J76" i="12" a="1"/>
  <c r="J76" i="12" s="1"/>
  <c r="M92" i="12" a="1"/>
  <c r="M92" i="12" s="1"/>
  <c r="R65" i="12" a="1"/>
  <c r="R65" i="12" s="1"/>
  <c r="O266" i="12" a="1"/>
  <c r="O266" i="12" s="1"/>
  <c r="I90" i="12" a="1"/>
  <c r="I90" i="12" s="1"/>
  <c r="M105" i="12" a="1"/>
  <c r="M105" i="12" s="1"/>
  <c r="K85" i="12" a="1"/>
  <c r="K85" i="12" s="1"/>
  <c r="Q78" i="12" a="1"/>
  <c r="Q78" i="12" s="1"/>
  <c r="R305" i="12" a="1"/>
  <c r="R305" i="12" s="1"/>
  <c r="O174" i="12" a="1"/>
  <c r="O174" i="12" s="1"/>
  <c r="T75" i="12" a="1"/>
  <c r="T75" i="12" s="1"/>
  <c r="I86" i="12" a="1"/>
  <c r="I86" i="12" s="1"/>
  <c r="L191" i="12" a="1"/>
  <c r="L191" i="12" s="1"/>
  <c r="O113" i="12" a="1"/>
  <c r="O113" i="12" s="1"/>
  <c r="J16" i="12" a="1"/>
  <c r="J16" i="12" s="1"/>
  <c r="I2" i="12" a="1"/>
  <c r="I2" i="12" s="1"/>
  <c r="N2" i="3" a="1"/>
  <c r="N2" i="3" s="1"/>
  <c r="N22" i="3" s="1" a="1"/>
  <c r="N22" i="3" s="1"/>
  <c r="O122" i="12" a="1"/>
  <c r="O122" i="12" s="1"/>
  <c r="M9" i="12" a="1"/>
  <c r="M9" i="12" s="1"/>
  <c r="AA621" i="12" a="1"/>
  <c r="AA621" i="12" s="1"/>
  <c r="J177" i="12" a="1"/>
  <c r="J177" i="12" s="1"/>
  <c r="J279" i="12" a="1"/>
  <c r="J279" i="12" s="1"/>
  <c r="R279" i="12" a="1"/>
  <c r="R279" i="12" s="1"/>
  <c r="Q70" i="12" a="1"/>
  <c r="Q70" i="12" s="1"/>
  <c r="F93" i="12" a="1"/>
  <c r="F93" i="12" s="1"/>
  <c r="U121" i="2" a="1"/>
  <c r="U121" i="2" s="1"/>
  <c r="O216" i="12" a="1"/>
  <c r="O216" i="12" s="1"/>
  <c r="F32" i="12" a="1"/>
  <c r="F32" i="12" s="1"/>
  <c r="U94" i="2" a="1"/>
  <c r="U94" i="2" s="1"/>
  <c r="P35" i="12" a="1"/>
  <c r="P35" i="12" s="1"/>
  <c r="G116" i="12" a="1"/>
  <c r="G116" i="12" s="1"/>
  <c r="R26" i="12" a="1"/>
  <c r="R26" i="12" s="1"/>
  <c r="W14" i="3" a="1"/>
  <c r="W14" i="3" s="1"/>
  <c r="Q35" i="12" a="1"/>
  <c r="Q35" i="12" s="1"/>
  <c r="M52" i="12" a="1"/>
  <c r="M52" i="12" s="1"/>
  <c r="N16" i="12" a="1"/>
  <c r="N16" i="12" s="1"/>
  <c r="M2" i="12" a="1"/>
  <c r="M2" i="12" s="1"/>
  <c r="R2" i="3" a="1"/>
  <c r="R2" i="3" s="1"/>
  <c r="G166" i="12" a="1"/>
  <c r="G166" i="12" s="1"/>
  <c r="G134" i="12" a="1"/>
  <c r="G134" i="12" s="1"/>
  <c r="I16" i="12" a="1"/>
  <c r="I16" i="12" s="1"/>
  <c r="F77" i="12" a="1"/>
  <c r="F77" i="12" s="1"/>
  <c r="U107" i="2" a="1"/>
  <c r="U107" i="2" s="1"/>
  <c r="S10" i="12" a="1"/>
  <c r="S10" i="12" s="1"/>
  <c r="Q10" i="12" a="1"/>
  <c r="Q10" i="12" s="1"/>
  <c r="K95" i="12" a="1"/>
  <c r="K95" i="12" s="1"/>
  <c r="I41" i="12" a="1"/>
  <c r="I41" i="12" s="1"/>
  <c r="K41" i="12" a="1"/>
  <c r="K41" i="12" s="1"/>
  <c r="Z625" i="12" a="1"/>
  <c r="Z625" i="12" s="1"/>
  <c r="J14" i="12" a="1"/>
  <c r="J14" i="12" s="1"/>
  <c r="J110" i="12" a="1"/>
  <c r="J110" i="12" s="1"/>
  <c r="T45" i="12" a="1"/>
  <c r="T45" i="12" s="1"/>
  <c r="M31" i="12" a="1"/>
  <c r="M31" i="12" s="1"/>
  <c r="I129" i="12" a="1"/>
  <c r="I129" i="12" s="1"/>
  <c r="Q129" i="12" a="1"/>
  <c r="Q129" i="12" s="1"/>
  <c r="I184" i="12" a="1"/>
  <c r="I184" i="12" s="1"/>
  <c r="K54" i="12" a="1"/>
  <c r="K54" i="12" s="1"/>
  <c r="Q59" i="12" a="1"/>
  <c r="Q59" i="12" s="1"/>
  <c r="G59" i="12" a="1"/>
  <c r="G59" i="12" s="1"/>
  <c r="T118" i="12" a="1"/>
  <c r="T118" i="12" s="1"/>
  <c r="J118" i="12" a="1"/>
  <c r="J118" i="12" s="1"/>
  <c r="Q22" i="12" a="1"/>
  <c r="Q22" i="12" s="1"/>
  <c r="K42" i="12" a="1"/>
  <c r="K42" i="12" s="1"/>
  <c r="K39" i="12" a="1"/>
  <c r="K39" i="12" s="1"/>
  <c r="J80" i="12" a="1"/>
  <c r="J80" i="12" s="1"/>
  <c r="F80" i="12" a="1"/>
  <c r="F80" i="12" s="1"/>
  <c r="U15" i="2" a="1"/>
  <c r="U15" i="2" s="1"/>
  <c r="F62" i="12" a="1"/>
  <c r="F62" i="12" s="1"/>
  <c r="U96" i="2" a="1"/>
  <c r="U96" i="2" s="1"/>
  <c r="X671" i="12" a="1"/>
  <c r="X671" i="12" s="1"/>
  <c r="O34" i="12" a="1"/>
  <c r="O34" i="12" s="1"/>
  <c r="F57" i="12" a="1"/>
  <c r="F57" i="12" s="1"/>
  <c r="U95" i="2" a="1"/>
  <c r="U95" i="2" s="1"/>
  <c r="P57" i="12" a="1"/>
  <c r="P57" i="12" s="1"/>
  <c r="P182" i="12" a="1"/>
  <c r="P182" i="12" s="1"/>
  <c r="R39" i="12" a="1"/>
  <c r="R39" i="12" s="1"/>
  <c r="L224" i="12" a="1"/>
  <c r="L224" i="12" s="1"/>
  <c r="L53" i="12" a="1"/>
  <c r="L53" i="12" s="1"/>
  <c r="T182" i="12" a="1"/>
  <c r="T182" i="12" s="1"/>
  <c r="M49" i="12" a="1"/>
  <c r="M49" i="12" s="1"/>
  <c r="P49" i="12" a="1"/>
  <c r="P49" i="12" s="1"/>
  <c r="Q110" i="12" a="1"/>
  <c r="Q110" i="12" s="1"/>
  <c r="I11" i="12" a="1"/>
  <c r="I11" i="12" s="1"/>
  <c r="F51" i="12" a="1"/>
  <c r="F51" i="12" s="1"/>
  <c r="U84" i="2" a="1"/>
  <c r="U84" i="2" s="1"/>
  <c r="R200" i="12" a="1"/>
  <c r="R200" i="12" s="1"/>
  <c r="I40" i="12" a="1"/>
  <c r="I40" i="12" s="1"/>
  <c r="R33" i="12" a="1"/>
  <c r="R33" i="12" s="1"/>
  <c r="P33" i="12" a="1"/>
  <c r="P33" i="12" s="1"/>
  <c r="T189" i="12" a="1"/>
  <c r="T189" i="12" s="1"/>
  <c r="M189" i="12" a="1"/>
  <c r="M189" i="12" s="1"/>
  <c r="P113" i="12" a="1"/>
  <c r="P113" i="12" s="1"/>
  <c r="R18" i="12" a="1"/>
  <c r="R18" i="12" s="1"/>
  <c r="S298" i="12" a="1"/>
  <c r="S298" i="12" s="1"/>
  <c r="T536" i="12" a="1"/>
  <c r="T536" i="12" s="1"/>
  <c r="S536" i="12" a="1"/>
  <c r="S536" i="12" s="1"/>
  <c r="J286" i="12" a="1"/>
  <c r="J286" i="12" s="1"/>
  <c r="P218" i="12" a="1"/>
  <c r="P218" i="12" s="1"/>
  <c r="J228" i="12" a="1"/>
  <c r="J228" i="12" s="1"/>
  <c r="I527" i="12" a="1"/>
  <c r="I527" i="12" s="1"/>
  <c r="Q531" i="12" a="1"/>
  <c r="Q531" i="12" s="1"/>
  <c r="T197" i="12" a="1"/>
  <c r="T197" i="12" s="1"/>
  <c r="J556" i="12" a="1"/>
  <c r="J556" i="12" s="1"/>
  <c r="K449" i="12" a="1"/>
  <c r="K449" i="12" s="1"/>
  <c r="J147" i="12" a="1"/>
  <c r="J147" i="12" s="1"/>
  <c r="N596" i="12" a="1"/>
  <c r="N596" i="12" s="1"/>
  <c r="M234" i="12" a="1"/>
  <c r="M234" i="12" s="1"/>
  <c r="N597" i="12" a="1"/>
  <c r="N597" i="12" s="1"/>
  <c r="M505" i="12" a="1"/>
  <c r="M505" i="12" s="1"/>
  <c r="J483" i="12" a="1"/>
  <c r="J483" i="12" s="1"/>
  <c r="S213" i="12" a="1"/>
  <c r="S213" i="12" s="1"/>
  <c r="O257" i="12" a="1"/>
  <c r="O257" i="12" s="1"/>
  <c r="I588" i="12" a="1"/>
  <c r="I588" i="12" s="1"/>
  <c r="S223" i="12" a="1"/>
  <c r="S223" i="12" s="1"/>
  <c r="P557" i="12" a="1"/>
  <c r="P557" i="12" s="1"/>
  <c r="L258" i="12" a="1"/>
  <c r="L258" i="12" s="1"/>
  <c r="K315" i="12" a="1"/>
  <c r="K315" i="12" s="1"/>
  <c r="J323" i="12" a="1"/>
  <c r="J323" i="12" s="1"/>
  <c r="M539" i="12" a="1"/>
  <c r="M539" i="12" s="1"/>
  <c r="F514" i="12" a="1"/>
  <c r="F514" i="12" s="1"/>
  <c r="U425" i="2" a="1"/>
  <c r="U425" i="2" s="1"/>
  <c r="P239" i="12" a="1"/>
  <c r="P239" i="12" s="1"/>
  <c r="F598" i="12" a="1"/>
  <c r="F598" i="12" s="1"/>
  <c r="U474" i="2" a="1"/>
  <c r="U474" i="2" s="1"/>
  <c r="S598" i="12" a="1"/>
  <c r="S598" i="12" s="1"/>
  <c r="J311" i="12" a="1"/>
  <c r="J311" i="12" s="1"/>
  <c r="M276" i="12" a="1"/>
  <c r="M276" i="12" s="1"/>
  <c r="R276" i="12" a="1"/>
  <c r="R276" i="12" s="1"/>
  <c r="M211" i="12" a="1"/>
  <c r="M211" i="12" s="1"/>
  <c r="Q243" i="12" a="1"/>
  <c r="Q243" i="12" s="1"/>
  <c r="O581" i="12" a="1"/>
  <c r="O581" i="12" s="1"/>
  <c r="M463" i="12" a="1"/>
  <c r="M463" i="12" s="1"/>
  <c r="F268" i="12" a="1"/>
  <c r="F268" i="12" s="1"/>
  <c r="U412" i="2" a="1"/>
  <c r="U412" i="2" s="1"/>
  <c r="L257" i="12" a="1"/>
  <c r="L257" i="12" s="1"/>
  <c r="T573" i="12" a="1"/>
  <c r="T573" i="12" s="1"/>
  <c r="P474" i="12" a="1"/>
  <c r="P474" i="12" s="1"/>
  <c r="N585" i="12" a="1"/>
  <c r="N585" i="12" s="1"/>
  <c r="AR377" i="2" a="1"/>
  <c r="AR377" i="2" s="1"/>
  <c r="AQ377" i="2" a="1"/>
  <c r="AQ377" i="2" s="1"/>
  <c r="S451" i="12" a="1"/>
  <c r="S451" i="12" s="1"/>
  <c r="R210" i="12" a="1"/>
  <c r="R210" i="12" s="1"/>
  <c r="Q221" i="12" a="1"/>
  <c r="Q221" i="12" s="1"/>
  <c r="I490" i="12" a="1"/>
  <c r="I490" i="12" s="1"/>
  <c r="O576" i="12" a="1"/>
  <c r="O576" i="12" s="1"/>
  <c r="K241" i="12" a="1"/>
  <c r="K241" i="12" s="1"/>
  <c r="R463" i="12" a="1"/>
  <c r="R463" i="12" s="1"/>
  <c r="O218" i="12" a="1"/>
  <c r="O218" i="12" s="1"/>
  <c r="T257" i="12" a="1"/>
  <c r="T257" i="12" s="1"/>
  <c r="L457" i="12" a="1"/>
  <c r="L457" i="12" s="1"/>
  <c r="O474" i="12" a="1"/>
  <c r="O474" i="12" s="1"/>
  <c r="F180" i="12" a="1"/>
  <c r="F180" i="12" s="1"/>
  <c r="Q247" i="12" a="1"/>
  <c r="Q247" i="12" s="1"/>
  <c r="M261" i="12" a="1"/>
  <c r="M261" i="12" s="1"/>
  <c r="F260" i="12" a="1"/>
  <c r="F260" i="12" s="1"/>
  <c r="U428" i="2" a="1"/>
  <c r="U428" i="2" s="1"/>
  <c r="K561" i="12" a="1"/>
  <c r="K561" i="12" s="1"/>
  <c r="I239" i="12" a="1"/>
  <c r="I239" i="12" s="1"/>
  <c r="J246" i="12" a="1"/>
  <c r="J246" i="12" s="1"/>
  <c r="J503" i="12" a="1"/>
  <c r="J503" i="12" s="1"/>
  <c r="N343" i="12" a="1"/>
  <c r="N343" i="12" s="1"/>
  <c r="P347" i="12" a="1"/>
  <c r="P347" i="12" s="1"/>
  <c r="N311" i="12" a="1"/>
  <c r="N311" i="12" s="1"/>
  <c r="T594" i="12" a="1"/>
  <c r="T594" i="12" s="1"/>
  <c r="T233" i="12" a="1"/>
  <c r="T233" i="12" s="1"/>
  <c r="O234" i="12" a="1"/>
  <c r="O234" i="12" s="1"/>
  <c r="L243" i="12" a="1"/>
  <c r="L243" i="12" s="1"/>
  <c r="P581" i="12" a="1"/>
  <c r="P581" i="12" s="1"/>
  <c r="I537" i="12" a="1"/>
  <c r="I537" i="12" s="1"/>
  <c r="P510" i="12" a="1"/>
  <c r="P510" i="12" s="1"/>
  <c r="Q214" i="12" a="1"/>
  <c r="Q214" i="12" s="1"/>
  <c r="F474" i="12" a="1"/>
  <c r="F474" i="12" s="1"/>
  <c r="U388" i="2" a="1"/>
  <c r="U388" i="2" s="1"/>
  <c r="G515" i="12" a="1"/>
  <c r="G515" i="12" s="1"/>
  <c r="M551" i="12" a="1"/>
  <c r="M551" i="12" s="1"/>
  <c r="Q231" i="12" a="1"/>
  <c r="Q231" i="12" s="1"/>
  <c r="N494" i="12" a="1"/>
  <c r="N494" i="12" s="1"/>
  <c r="G136" i="12" a="1"/>
  <c r="G136" i="12" s="1"/>
  <c r="T199" i="12" a="1"/>
  <c r="T199" i="12" s="1"/>
  <c r="AA634" i="12" a="1"/>
  <c r="AA634" i="12" s="1"/>
  <c r="T154" i="12" a="1"/>
  <c r="T154" i="12" s="1"/>
  <c r="S452" i="12" a="1"/>
  <c r="S452" i="12" s="1"/>
  <c r="G594" i="12" a="1"/>
  <c r="G594" i="12" s="1"/>
  <c r="R220" i="12" a="1"/>
  <c r="R220" i="12" s="1"/>
  <c r="T236" i="12" a="1"/>
  <c r="T236" i="12" s="1"/>
  <c r="L215" i="12" a="1"/>
  <c r="L215" i="12" s="1"/>
  <c r="O244" i="12" a="1"/>
  <c r="O244" i="12" s="1"/>
  <c r="S407" i="12" a="1"/>
  <c r="S407" i="12" s="1"/>
  <c r="S415" i="12" a="1"/>
  <c r="S415" i="12" s="1"/>
  <c r="L504" i="12" a="1"/>
  <c r="L504" i="12" s="1"/>
  <c r="T504" i="12" a="1"/>
  <c r="T504" i="12" s="1"/>
  <c r="T500" i="12" a="1"/>
  <c r="T500" i="12" s="1"/>
  <c r="M179" i="12" a="1"/>
  <c r="M179" i="12" s="1"/>
  <c r="M149" i="12" a="1"/>
  <c r="M149" i="12" s="1"/>
  <c r="Q163" i="12" a="1"/>
  <c r="Q163" i="12" s="1"/>
  <c r="G397" i="12" a="1"/>
  <c r="G397" i="12" s="1"/>
  <c r="J194" i="12" a="1"/>
  <c r="J194" i="12" s="1"/>
  <c r="K604" i="12" a="1"/>
  <c r="K604" i="12" s="1"/>
  <c r="N246" i="12" a="1"/>
  <c r="N246" i="12" s="1"/>
  <c r="K225" i="12" a="1"/>
  <c r="K225" i="12" s="1"/>
  <c r="R547" i="12" a="1"/>
  <c r="R547" i="12" s="1"/>
  <c r="F407" i="12" a="1"/>
  <c r="F407" i="12" s="1"/>
  <c r="U354" i="2" a="1"/>
  <c r="U354" i="2" s="1"/>
  <c r="Q193" i="12" a="1"/>
  <c r="Q193" i="12" s="1"/>
  <c r="M509" i="12" a="1"/>
  <c r="M509" i="12" s="1"/>
  <c r="J408" i="12" a="1"/>
  <c r="J408" i="12" s="1"/>
  <c r="N586" i="12" a="1"/>
  <c r="N586" i="12" s="1"/>
  <c r="F188" i="12" a="1"/>
  <c r="F188" i="12" s="1"/>
  <c r="U316" i="2" a="1"/>
  <c r="U316" i="2" s="1"/>
  <c r="G176" i="12" a="1"/>
  <c r="G176" i="12" s="1"/>
  <c r="L412" i="12" a="1"/>
  <c r="L412" i="12" s="1"/>
  <c r="N584" i="12" a="1"/>
  <c r="N584" i="12" s="1"/>
  <c r="K508" i="12" a="1"/>
  <c r="K508" i="12" s="1"/>
  <c r="I194" i="12" a="1"/>
  <c r="I194" i="12" s="1"/>
  <c r="S559" i="12" a="1"/>
  <c r="S559" i="12" s="1"/>
  <c r="L559" i="12" a="1"/>
  <c r="L559" i="12" s="1"/>
  <c r="M187" i="12" a="1"/>
  <c r="M187" i="12" s="1"/>
  <c r="I515" i="12" a="1"/>
  <c r="I515" i="12" s="1"/>
  <c r="F230" i="12" a="1"/>
  <c r="F230" i="12" s="1"/>
  <c r="U347" i="2" a="1"/>
  <c r="U347" i="2" s="1"/>
  <c r="F227" i="12" a="1"/>
  <c r="F227" i="12" s="1"/>
  <c r="U344" i="2" a="1"/>
  <c r="U344" i="2" s="1"/>
  <c r="I190" i="12" a="1"/>
  <c r="I190" i="12" s="1"/>
  <c r="N199" i="12" a="1"/>
  <c r="N199" i="12" s="1"/>
  <c r="F526" i="12" a="1"/>
  <c r="F526" i="12" s="1"/>
  <c r="U312" i="2" a="1"/>
  <c r="U312" i="2" s="1"/>
  <c r="S497" i="12" a="1"/>
  <c r="S497" i="12" s="1"/>
  <c r="N502" i="12" a="1"/>
  <c r="N502" i="12" s="1"/>
  <c r="N162" i="12" a="1"/>
  <c r="N162" i="12" s="1"/>
  <c r="G511" i="12" a="1"/>
  <c r="G511" i="12" s="1"/>
  <c r="G597" i="12" a="1"/>
  <c r="G597" i="12" s="1"/>
  <c r="L564" i="12" a="1"/>
  <c r="L564" i="12" s="1"/>
  <c r="L530" i="12" a="1"/>
  <c r="L530" i="12" s="1"/>
  <c r="J530" i="12" a="1"/>
  <c r="J530" i="12" s="1"/>
  <c r="AQ355" i="2" a="1"/>
  <c r="AQ355" i="2" s="1"/>
  <c r="AR355" i="2" a="1"/>
  <c r="AR355" i="2" s="1"/>
  <c r="K206" i="12" a="1"/>
  <c r="K206" i="12" s="1"/>
  <c r="T582" i="12" a="1"/>
  <c r="T582" i="12" s="1"/>
  <c r="P582" i="12" a="1"/>
  <c r="P582" i="12" s="1"/>
  <c r="J533" i="12" a="1"/>
  <c r="J533" i="12" s="1"/>
  <c r="L533" i="12" a="1"/>
  <c r="L533" i="12" s="1"/>
  <c r="P221" i="12" a="1"/>
  <c r="P221" i="12" s="1"/>
  <c r="M197" i="12" a="1"/>
  <c r="M197" i="12" s="1"/>
  <c r="S426" i="12" a="1"/>
  <c r="S426" i="12" s="1"/>
  <c r="S131" i="12" a="1"/>
  <c r="S131" i="12" s="1"/>
  <c r="L522" i="12" a="1"/>
  <c r="L522" i="12" s="1"/>
  <c r="Q526" i="12" a="1"/>
  <c r="Q526" i="12" s="1"/>
  <c r="K466" i="12" a="1"/>
  <c r="K466" i="12" s="1"/>
  <c r="Q558" i="12" a="1"/>
  <c r="Q558" i="12" s="1"/>
  <c r="F169" i="12" a="1"/>
  <c r="F169" i="12" s="1"/>
  <c r="U285" i="2" a="1"/>
  <c r="U285" i="2" s="1"/>
  <c r="T502" i="12" a="1"/>
  <c r="T502" i="12" s="1"/>
  <c r="R442" i="12" a="1"/>
  <c r="R442" i="12" s="1"/>
  <c r="P492" i="12" a="1"/>
  <c r="P492" i="12" s="1"/>
  <c r="L374" i="12" a="1"/>
  <c r="L374" i="12" s="1"/>
  <c r="K204" i="12" a="1"/>
  <c r="K204" i="12" s="1"/>
  <c r="Q160" i="12" a="1"/>
  <c r="Q160" i="12" s="1"/>
  <c r="F356" i="12" a="1"/>
  <c r="F356" i="12" s="1"/>
  <c r="U275" i="2" a="1"/>
  <c r="U275" i="2" s="1"/>
  <c r="T162" i="12" a="1"/>
  <c r="T162" i="12" s="1"/>
  <c r="R383" i="12" a="1"/>
  <c r="R383" i="12" s="1"/>
  <c r="I345" i="12" a="1"/>
  <c r="I345" i="12" s="1"/>
  <c r="R114" i="12" a="1"/>
  <c r="R114" i="12" s="1"/>
  <c r="G226" i="12" a="1"/>
  <c r="G226" i="12" s="1"/>
  <c r="J475" i="12" a="1"/>
  <c r="J475" i="12" s="1"/>
  <c r="K475" i="12" a="1"/>
  <c r="K475" i="12" s="1"/>
  <c r="I173" i="12" a="1"/>
  <c r="I173" i="12" s="1"/>
  <c r="K192" i="12" a="1"/>
  <c r="K192" i="12" s="1"/>
  <c r="G228" i="12" a="1"/>
  <c r="G228" i="12" s="1"/>
  <c r="T215" i="12" a="1"/>
  <c r="T215" i="12" s="1"/>
  <c r="R540" i="12" a="1"/>
  <c r="R540" i="12" s="1"/>
  <c r="O540" i="12" a="1"/>
  <c r="O540" i="12" s="1"/>
  <c r="J274" i="12" a="1"/>
  <c r="J274" i="12" s="1"/>
  <c r="J541" i="12" a="1"/>
  <c r="J541" i="12" s="1"/>
  <c r="O522" i="12" a="1"/>
  <c r="O522" i="12" s="1"/>
  <c r="Q195" i="12" a="1"/>
  <c r="Q195" i="12" s="1"/>
  <c r="T176" i="12" a="1"/>
  <c r="T176" i="12" s="1"/>
  <c r="N187" i="12" a="1"/>
  <c r="N187" i="12" s="1"/>
  <c r="K220" i="12" a="1"/>
  <c r="K220" i="12" s="1"/>
  <c r="L515" i="12" a="1"/>
  <c r="L515" i="12" s="1"/>
  <c r="M274" i="12" a="1"/>
  <c r="M274" i="12" s="1"/>
  <c r="N526" i="12" a="1"/>
  <c r="N526" i="12" s="1"/>
  <c r="S558" i="12" a="1"/>
  <c r="S558" i="12" s="1"/>
  <c r="F214" i="12" a="1"/>
  <c r="F214" i="12" s="1"/>
  <c r="U403" i="2" a="1"/>
  <c r="U403" i="2" s="1"/>
  <c r="K267" i="12" a="1"/>
  <c r="K267" i="12" s="1"/>
  <c r="P246" i="12" a="1"/>
  <c r="P246" i="12" s="1"/>
  <c r="M231" i="12" a="1"/>
  <c r="M231" i="12" s="1"/>
  <c r="L541" i="12" a="1"/>
  <c r="L541" i="12" s="1"/>
  <c r="F494" i="12" a="1"/>
  <c r="F494" i="12" s="1"/>
  <c r="U338" i="2" a="1"/>
  <c r="U338" i="2" s="1"/>
  <c r="N131" i="12" a="1"/>
  <c r="N131" i="12" s="1"/>
  <c r="T497" i="12" a="1"/>
  <c r="T497" i="12" s="1"/>
  <c r="O205" i="12" a="1"/>
  <c r="O205" i="12" s="1"/>
  <c r="R132" i="12" a="1"/>
  <c r="R132" i="12" s="1"/>
  <c r="R603" i="12" a="1"/>
  <c r="R603" i="12" s="1"/>
  <c r="J502" i="12" a="1"/>
  <c r="J502" i="12" s="1"/>
  <c r="J416" i="12" a="1"/>
  <c r="J416" i="12" s="1"/>
  <c r="G479" i="12" a="1"/>
  <c r="G479" i="12" s="1"/>
  <c r="O135" i="12" a="1"/>
  <c r="O135" i="12" s="1"/>
  <c r="M108" i="12" a="1"/>
  <c r="M108" i="12" s="1"/>
  <c r="G377" i="12" a="1"/>
  <c r="G377" i="12" s="1"/>
  <c r="K422" i="12" a="1"/>
  <c r="K422" i="12" s="1"/>
  <c r="I138" i="12" a="1"/>
  <c r="I138" i="12" s="1"/>
  <c r="F112" i="12" a="1"/>
  <c r="F112" i="12" s="1"/>
  <c r="U222" i="2" a="1"/>
  <c r="U222" i="2" s="1"/>
  <c r="J283" i="12" a="1"/>
  <c r="J283" i="12" s="1"/>
  <c r="X613" i="12" a="1"/>
  <c r="X613" i="12" s="1"/>
  <c r="P157" i="12" a="1"/>
  <c r="P157" i="12" s="1"/>
  <c r="J117" i="12" a="1"/>
  <c r="J117" i="12" s="1"/>
  <c r="M101" i="12" a="1"/>
  <c r="M101" i="12" s="1"/>
  <c r="N378" i="12" a="1"/>
  <c r="N378" i="12" s="1"/>
  <c r="J317" i="12" a="1"/>
  <c r="J317" i="12" s="1"/>
  <c r="I133" i="12" a="1"/>
  <c r="I133" i="12" s="1"/>
  <c r="Q250" i="12" a="1"/>
  <c r="Q250" i="12" s="1"/>
  <c r="I73" i="12" a="1"/>
  <c r="I73" i="12" s="1"/>
  <c r="P124" i="12" a="1"/>
  <c r="P124" i="12" s="1"/>
  <c r="J87" i="12" a="1"/>
  <c r="J87" i="12" s="1"/>
  <c r="G54" i="12" a="1"/>
  <c r="G54" i="12" s="1"/>
  <c r="T38" i="12" a="1"/>
  <c r="T38" i="12" s="1"/>
  <c r="M147" i="12" a="1"/>
  <c r="M147" i="12" s="1"/>
  <c r="J534" i="12" a="1"/>
  <c r="J534" i="12" s="1"/>
  <c r="P583" i="12" a="1"/>
  <c r="P583" i="12" s="1"/>
  <c r="Q583" i="12" a="1"/>
  <c r="Q583" i="12" s="1"/>
  <c r="F209" i="12" a="1"/>
  <c r="F209" i="12" s="1"/>
  <c r="U291" i="2" a="1"/>
  <c r="U291" i="2" s="1"/>
  <c r="P139" i="12" a="1"/>
  <c r="P139" i="12" s="1"/>
  <c r="N142" i="12" a="1"/>
  <c r="N142" i="12" s="1"/>
  <c r="T388" i="12" a="1"/>
  <c r="T388" i="12" s="1"/>
  <c r="O401" i="12" a="1"/>
  <c r="O401" i="12" s="1"/>
  <c r="S283" i="12" a="1"/>
  <c r="S283" i="12" s="1"/>
  <c r="Q376" i="12" a="1"/>
  <c r="Q376" i="12" s="1"/>
  <c r="N421" i="12" a="1"/>
  <c r="N421" i="12" s="1"/>
  <c r="J293" i="12" a="1"/>
  <c r="J293" i="12" s="1"/>
  <c r="S111" i="12" a="1"/>
  <c r="S111" i="12" s="1"/>
  <c r="K102" i="12" a="1"/>
  <c r="K102" i="12" s="1"/>
  <c r="T266" i="12" a="1"/>
  <c r="T266" i="12" s="1"/>
  <c r="T95" i="12" a="1"/>
  <c r="T95" i="12" s="1"/>
  <c r="T155" i="12" a="1"/>
  <c r="T155" i="12" s="1"/>
  <c r="N308" i="12" a="1"/>
  <c r="N308" i="12" s="1"/>
  <c r="AB624" i="12" a="1"/>
  <c r="AB624" i="12" s="1"/>
  <c r="M356" i="12" a="1"/>
  <c r="M356" i="12" s="1"/>
  <c r="M337" i="12" a="1"/>
  <c r="M337" i="12" s="1"/>
  <c r="O167" i="12" a="1"/>
  <c r="O167" i="12" s="1"/>
  <c r="L414" i="12" a="1"/>
  <c r="L414" i="12" s="1"/>
  <c r="J145" i="12" a="1"/>
  <c r="J145" i="12" s="1"/>
  <c r="L108" i="12" a="1"/>
  <c r="L108" i="12" s="1"/>
  <c r="K159" i="12" a="1"/>
  <c r="K159" i="12" s="1"/>
  <c r="G388" i="12" a="1"/>
  <c r="G388" i="12" s="1"/>
  <c r="Q177" i="12" a="1"/>
  <c r="Q177" i="12" s="1"/>
  <c r="X665" i="12" a="1"/>
  <c r="X665" i="12" s="1"/>
  <c r="M127" i="12" a="1"/>
  <c r="M127" i="12" s="1"/>
  <c r="T285" i="12" a="1"/>
  <c r="T285" i="12" s="1"/>
  <c r="J425" i="12" a="1"/>
  <c r="J425" i="12" s="1"/>
  <c r="G111" i="12" a="1"/>
  <c r="G111" i="12" s="1"/>
  <c r="O126" i="12" a="1"/>
  <c r="O126" i="12" s="1"/>
  <c r="M449" i="12" a="1"/>
  <c r="M449" i="12" s="1"/>
  <c r="R412" i="12" a="1"/>
  <c r="R412" i="12" s="1"/>
  <c r="S442" i="12" a="1"/>
  <c r="S442" i="12" s="1"/>
  <c r="F469" i="12" a="1"/>
  <c r="F469" i="12" s="1"/>
  <c r="U269" i="2" a="1"/>
  <c r="U269" i="2" s="1"/>
  <c r="K108" i="12" a="1"/>
  <c r="K108" i="12" s="1"/>
  <c r="N354" i="12" a="1"/>
  <c r="N354" i="12" s="1"/>
  <c r="N115" i="12" a="1"/>
  <c r="N115" i="12" s="1"/>
  <c r="R299" i="12" a="1"/>
  <c r="R299" i="12" s="1"/>
  <c r="F183" i="12" a="1"/>
  <c r="F183" i="12" s="1"/>
  <c r="U194" i="2" a="1"/>
  <c r="U194" i="2" s="1"/>
  <c r="J127" i="12" a="1"/>
  <c r="J127" i="12" s="1"/>
  <c r="F312" i="12" a="1"/>
  <c r="F312" i="12" s="1"/>
  <c r="U175" i="2" a="1"/>
  <c r="U175" i="2" s="1"/>
  <c r="R602" i="12" a="1"/>
  <c r="R602" i="12" s="1"/>
  <c r="G250" i="12" a="1"/>
  <c r="G250" i="12" s="1"/>
  <c r="L193" i="12" a="1"/>
  <c r="L193" i="12" s="1"/>
  <c r="J454" i="12" a="1"/>
  <c r="J454" i="12" s="1"/>
  <c r="L454" i="12" a="1"/>
  <c r="L454" i="12" s="1"/>
  <c r="X651" i="12" a="1"/>
  <c r="X651" i="12" s="1"/>
  <c r="R156" i="12" a="1"/>
  <c r="R156" i="12" s="1"/>
  <c r="M139" i="12" a="1"/>
  <c r="M139" i="12" s="1"/>
  <c r="T321" i="12" a="1"/>
  <c r="T321" i="12" s="1"/>
  <c r="L431" i="12" a="1"/>
  <c r="L431" i="12" s="1"/>
  <c r="R607" i="12" a="1"/>
  <c r="R607" i="12" s="1"/>
  <c r="Q299" i="12" a="1"/>
  <c r="Q299" i="12" s="1"/>
  <c r="O183" i="12" a="1"/>
  <c r="O183" i="12" s="1"/>
  <c r="K378" i="12" a="1"/>
  <c r="K378" i="12" s="1"/>
  <c r="I128" i="12" a="1"/>
  <c r="I128" i="12" s="1"/>
  <c r="Q314" i="12" a="1"/>
  <c r="Q314" i="12" s="1"/>
  <c r="I604" i="12" a="1"/>
  <c r="I604" i="12" s="1"/>
  <c r="R209" i="12" a="1"/>
  <c r="R209" i="12" s="1"/>
  <c r="F416" i="12" a="1"/>
  <c r="F416" i="12" s="1"/>
  <c r="U268" i="2" a="1"/>
  <c r="U268" i="2" s="1"/>
  <c r="F458" i="12" a="1"/>
  <c r="F458" i="12" s="1"/>
  <c r="U264" i="2" a="1"/>
  <c r="U264" i="2" s="1"/>
  <c r="I372" i="12" a="1"/>
  <c r="I372" i="12" s="1"/>
  <c r="J346" i="12" a="1"/>
  <c r="J346" i="12" s="1"/>
  <c r="K332" i="12" a="1"/>
  <c r="K332" i="12" s="1"/>
  <c r="Q325" i="12" a="1"/>
  <c r="Q325" i="12" s="1"/>
  <c r="G151" i="12" a="1"/>
  <c r="G151" i="12" s="1"/>
  <c r="P150" i="12" a="1"/>
  <c r="P150" i="12" s="1"/>
  <c r="S107" i="12" a="1"/>
  <c r="S107" i="12" s="1"/>
  <c r="U204" i="2" a="1"/>
  <c r="U204" i="2" s="1"/>
  <c r="N183" i="12" a="1"/>
  <c r="N183" i="12" s="1"/>
  <c r="R222" i="12" a="1"/>
  <c r="R222" i="12" s="1"/>
  <c r="S74" i="12" a="1"/>
  <c r="S74" i="12" s="1"/>
  <c r="Q76" i="12" a="1"/>
  <c r="Q76" i="12" s="1"/>
  <c r="L216" i="12" a="1"/>
  <c r="L216" i="12" s="1"/>
  <c r="N232" i="12" a="1"/>
  <c r="N232" i="12" s="1"/>
  <c r="G168" i="12" a="1"/>
  <c r="G168" i="12" s="1"/>
  <c r="J168" i="12" a="1"/>
  <c r="J168" i="12" s="1"/>
  <c r="K186" i="12" a="1"/>
  <c r="K186" i="12" s="1"/>
  <c r="X636" i="12" a="1"/>
  <c r="X636" i="12" s="1"/>
  <c r="P229" i="12" a="1"/>
  <c r="P229" i="12" s="1"/>
  <c r="I374" i="12" a="1"/>
  <c r="I374" i="12" s="1"/>
  <c r="O164" i="12" a="1"/>
  <c r="O164" i="12" s="1"/>
  <c r="K123" i="12" a="1"/>
  <c r="K123" i="12" s="1"/>
  <c r="G432" i="12" a="1"/>
  <c r="G432" i="12" s="1"/>
  <c r="K153" i="12" a="1"/>
  <c r="K153" i="12" s="1"/>
  <c r="N138" i="12" a="1"/>
  <c r="N138" i="12" s="1"/>
  <c r="K165" i="12" a="1"/>
  <c r="K165" i="12" s="1"/>
  <c r="J388" i="12" a="1"/>
  <c r="J388" i="12" s="1"/>
  <c r="M177" i="12" a="1"/>
  <c r="M177" i="12" s="1"/>
  <c r="N368" i="12" a="1"/>
  <c r="N368" i="12" s="1"/>
  <c r="Q117" i="12" a="1"/>
  <c r="Q117" i="12" s="1"/>
  <c r="M183" i="12" a="1"/>
  <c r="M183" i="12" s="1"/>
  <c r="F140" i="12" a="1"/>
  <c r="F140" i="12" s="1"/>
  <c r="U192" i="2" a="1"/>
  <c r="U192" i="2" s="1"/>
  <c r="L161" i="12" a="1"/>
  <c r="L161" i="12" s="1"/>
  <c r="P297" i="12" a="1"/>
  <c r="P297" i="12" s="1"/>
  <c r="I602" i="12" a="1"/>
  <c r="I602" i="12" s="1"/>
  <c r="J99" i="12" a="1"/>
  <c r="J99" i="12" s="1"/>
  <c r="T97" i="12" a="1"/>
  <c r="T97" i="12" s="1"/>
  <c r="Q203" i="12" a="1"/>
  <c r="Q203" i="12" s="1"/>
  <c r="G462" i="12" a="1"/>
  <c r="G462" i="12" s="1"/>
  <c r="O462" i="12" a="1"/>
  <c r="O462" i="12" s="1"/>
  <c r="P403" i="12" a="1"/>
  <c r="P403" i="12" s="1"/>
  <c r="Q403" i="12" a="1"/>
  <c r="Q403" i="12" s="1"/>
  <c r="L141" i="12" a="1"/>
  <c r="L141" i="12" s="1"/>
  <c r="O162" i="12" a="1"/>
  <c r="O162" i="12" s="1"/>
  <c r="F393" i="12" a="1"/>
  <c r="F393" i="12" s="1"/>
  <c r="U262" i="2" a="1"/>
  <c r="U262" i="2" s="1"/>
  <c r="O427" i="12" a="1"/>
  <c r="O427" i="12" s="1"/>
  <c r="G332" i="12" a="1"/>
  <c r="G332" i="12" s="1"/>
  <c r="L119" i="12" a="1"/>
  <c r="L119" i="12" s="1"/>
  <c r="F250" i="12" a="1"/>
  <c r="F250" i="12" s="1"/>
  <c r="U159" i="2" a="1"/>
  <c r="U159" i="2" s="1"/>
  <c r="S121" i="12" a="1"/>
  <c r="S121" i="12" s="1"/>
  <c r="T72" i="12" a="1"/>
  <c r="T72" i="12" s="1"/>
  <c r="N193" i="12" a="1"/>
  <c r="N193" i="12" s="1"/>
  <c r="K235" i="12" a="1"/>
  <c r="K235" i="12" s="1"/>
  <c r="G170" i="12" a="1"/>
  <c r="G170" i="12" s="1"/>
  <c r="O439" i="12" a="1"/>
  <c r="O439" i="12" s="1"/>
  <c r="F152" i="12" a="1"/>
  <c r="F152" i="12" s="1"/>
  <c r="U267" i="2" a="1"/>
  <c r="U267" i="2" s="1"/>
  <c r="I458" i="12" a="1"/>
  <c r="I458" i="12" s="1"/>
  <c r="O366" i="12" a="1"/>
  <c r="O366" i="12" s="1"/>
  <c r="R370" i="12" a="1"/>
  <c r="R370" i="12" s="1"/>
  <c r="T431" i="12" a="1"/>
  <c r="T431" i="12" s="1"/>
  <c r="G365" i="12" a="1"/>
  <c r="G365" i="12" s="1"/>
  <c r="K150" i="12" a="1"/>
  <c r="K150" i="12" s="1"/>
  <c r="N348" i="12" a="1"/>
  <c r="N348" i="12" s="1"/>
  <c r="M335" i="12" a="1"/>
  <c r="M335" i="12" s="1"/>
  <c r="L317" i="12" a="1"/>
  <c r="L317" i="12" s="1"/>
  <c r="P602" i="12" a="1"/>
  <c r="P602" i="12" s="1"/>
  <c r="P314" i="12" a="1"/>
  <c r="P314" i="12" s="1"/>
  <c r="L97" i="12" a="1"/>
  <c r="L97" i="12" s="1"/>
  <c r="S73" i="12" a="1"/>
  <c r="S73" i="12" s="1"/>
  <c r="Q540" i="12" a="1"/>
  <c r="Q540" i="12" s="1"/>
  <c r="P205" i="12" a="1"/>
  <c r="P205" i="12" s="1"/>
  <c r="K528" i="12" a="1"/>
  <c r="K528" i="12" s="1"/>
  <c r="AA615" i="12" a="1"/>
  <c r="AA615" i="12" s="1"/>
  <c r="T414" i="12" a="1"/>
  <c r="T414" i="12" s="1"/>
  <c r="G363" i="12" a="1"/>
  <c r="G363" i="12" s="1"/>
  <c r="G490" i="12" a="1"/>
  <c r="G490" i="12" s="1"/>
  <c r="M404" i="12" a="1"/>
  <c r="M404" i="12" s="1"/>
  <c r="Z613" i="12" a="1"/>
  <c r="Z613" i="12" s="1"/>
  <c r="T293" i="12" a="1"/>
  <c r="T293" i="12" s="1"/>
  <c r="S161" i="12" a="1"/>
  <c r="S161" i="12" s="1"/>
  <c r="G255" i="12" a="1"/>
  <c r="G255" i="12" s="1"/>
  <c r="J97" i="12" a="1"/>
  <c r="J97" i="12" s="1"/>
  <c r="R253" i="12" a="1"/>
  <c r="R253" i="12" s="1"/>
  <c r="I203" i="12" a="1"/>
  <c r="I203" i="12" s="1"/>
  <c r="M202" i="12" a="1"/>
  <c r="M202" i="12" s="1"/>
  <c r="K431" i="12" a="1"/>
  <c r="K431" i="12" s="1"/>
  <c r="I125" i="12" a="1"/>
  <c r="I125" i="12" s="1"/>
  <c r="K119" i="12" a="1"/>
  <c r="K119" i="12" s="1"/>
  <c r="F266" i="12" a="1"/>
  <c r="F266" i="12" s="1"/>
  <c r="U142" i="2" a="1"/>
  <c r="U142" i="2" s="1"/>
  <c r="S207" i="12" a="1"/>
  <c r="S207" i="12" s="1"/>
  <c r="Q305" i="12" a="1"/>
  <c r="Q305" i="12" s="1"/>
  <c r="I14" i="12" a="1"/>
  <c r="I14" i="12" s="1"/>
  <c r="P30" i="12" a="1"/>
  <c r="P30" i="12" s="1"/>
  <c r="O110" i="12" a="1"/>
  <c r="O110" i="12" s="1"/>
  <c r="O109" i="12" a="1"/>
  <c r="O109" i="12" s="1"/>
  <c r="G113" i="12" a="1"/>
  <c r="G113" i="12" s="1"/>
  <c r="M8" i="12" a="1"/>
  <c r="M8" i="12" s="1"/>
  <c r="L85" i="12" a="1"/>
  <c r="L85" i="12" s="1"/>
  <c r="N32" i="12" a="1"/>
  <c r="N32" i="12" s="1"/>
  <c r="L25" i="12" a="1"/>
  <c r="L25" i="12" s="1"/>
  <c r="F43" i="12" a="1"/>
  <c r="F43" i="12" s="1"/>
  <c r="U83" i="2" a="1"/>
  <c r="U83" i="2" s="1"/>
  <c r="L37" i="12" a="1"/>
  <c r="L37" i="12" s="1"/>
  <c r="AB641" i="12" a="1"/>
  <c r="AB641" i="12" s="1"/>
  <c r="S18" i="12" a="1"/>
  <c r="S18" i="12" s="1"/>
  <c r="P27" i="12" a="1"/>
  <c r="P27" i="12" s="1"/>
  <c r="G86" i="12" a="1"/>
  <c r="G86" i="12" s="1"/>
  <c r="N109" i="12" a="1"/>
  <c r="N109" i="12" s="1"/>
  <c r="J47" i="12" a="1"/>
  <c r="J47" i="12" s="1"/>
  <c r="N40" i="12" a="1"/>
  <c r="N40" i="12" s="1"/>
  <c r="N44" i="12" a="1"/>
  <c r="N44" i="12" s="1"/>
  <c r="K7" i="12" a="1"/>
  <c r="K7" i="12" s="1"/>
  <c r="L130" i="12" a="1"/>
  <c r="L130" i="12" s="1"/>
  <c r="M191" i="12" a="1"/>
  <c r="M191" i="12" s="1"/>
  <c r="P5" i="12" a="1"/>
  <c r="P5" i="12" s="1"/>
  <c r="T152" i="12" a="1"/>
  <c r="T152" i="12" s="1"/>
  <c r="P119" i="12" a="1"/>
  <c r="P119" i="12" s="1"/>
  <c r="G143" i="12" a="1"/>
  <c r="G143" i="12" s="1"/>
  <c r="L143" i="12" a="1"/>
  <c r="L143" i="12" s="1"/>
  <c r="G72" i="12" a="1"/>
  <c r="G72" i="12" s="1"/>
  <c r="AA635" i="12" a="1"/>
  <c r="AA635" i="12" s="1"/>
  <c r="Q256" i="12" a="1"/>
  <c r="Q256" i="12" s="1"/>
  <c r="S95" i="12" a="1"/>
  <c r="S95" i="12" s="1"/>
  <c r="I166" i="12" a="1"/>
  <c r="I166" i="12" s="1"/>
  <c r="N2" i="12" a="1"/>
  <c r="N2" i="12" s="1"/>
  <c r="S2" i="3" a="1"/>
  <c r="S2" i="3" s="1"/>
  <c r="M29" i="12" a="1"/>
  <c r="M29" i="12" s="1"/>
  <c r="I56" i="12" a="1"/>
  <c r="I56" i="12" s="1"/>
  <c r="P167" i="12" a="1"/>
  <c r="P167" i="12" s="1"/>
  <c r="P496" i="12" a="1"/>
  <c r="P496" i="12" s="1"/>
  <c r="T423" i="12" a="1"/>
  <c r="T423" i="12" s="1"/>
  <c r="G423" i="12" a="1"/>
  <c r="G423" i="12" s="1"/>
  <c r="Z635" i="12" a="1"/>
  <c r="Z635" i="12" s="1"/>
  <c r="T104" i="12" a="1"/>
  <c r="T104" i="12" s="1"/>
  <c r="T212" i="12" a="1"/>
  <c r="T212" i="12" s="1"/>
  <c r="F207" i="12" a="1"/>
  <c r="F207" i="12" s="1"/>
  <c r="U113" i="2" a="1"/>
  <c r="U113" i="2" s="1"/>
  <c r="L6" i="12" a="1"/>
  <c r="L6" i="12" s="1"/>
  <c r="J27" i="12" a="1"/>
  <c r="J27" i="12" s="1"/>
  <c r="I285" i="12" a="1"/>
  <c r="I285" i="12" s="1"/>
  <c r="N333" i="12" a="1"/>
  <c r="N333" i="12" s="1"/>
  <c r="J121" i="12" a="1"/>
  <c r="J121" i="12" s="1"/>
  <c r="R28" i="12" a="1"/>
  <c r="R28" i="12" s="1"/>
  <c r="R64" i="12" a="1"/>
  <c r="R64" i="12" s="1"/>
  <c r="O222" i="12" a="1"/>
  <c r="O222" i="12" s="1"/>
  <c r="R275" i="12" a="1"/>
  <c r="R275" i="12" s="1"/>
  <c r="P202" i="12" a="1"/>
  <c r="P202" i="12" s="1"/>
  <c r="P148" i="12" a="1"/>
  <c r="P148" i="12" s="1"/>
  <c r="F30" i="12" a="1"/>
  <c r="F30" i="12" s="1"/>
  <c r="U46" i="2" a="1"/>
  <c r="U46" i="2" s="1"/>
  <c r="M130" i="12" a="1"/>
  <c r="M130" i="12" s="1"/>
  <c r="Q5" i="12" a="1"/>
  <c r="Q5" i="12" s="1"/>
  <c r="J492" i="12" a="1"/>
  <c r="J492" i="12" s="1"/>
  <c r="N124" i="12" a="1"/>
  <c r="N124" i="12" s="1"/>
  <c r="R58" i="12" a="1"/>
  <c r="R58" i="12" s="1"/>
  <c r="L46" i="12" a="1"/>
  <c r="L46" i="12" s="1"/>
  <c r="Z623" i="12" a="1"/>
  <c r="Z623" i="12" s="1"/>
  <c r="P74" i="12" a="1"/>
  <c r="P74" i="12" s="1"/>
  <c r="J8" i="12" a="1"/>
  <c r="J8" i="12" s="1"/>
  <c r="P7" i="12" a="1"/>
  <c r="P7" i="12" s="1"/>
  <c r="N4" i="12" a="1"/>
  <c r="N4" i="12" s="1"/>
  <c r="O88" i="12" a="1"/>
  <c r="O88" i="12" s="1"/>
  <c r="L88" i="12" a="1"/>
  <c r="L88" i="12" s="1"/>
  <c r="P292" i="12" a="1"/>
  <c r="P292" i="12" s="1"/>
  <c r="N146" i="12" a="1"/>
  <c r="N146" i="12" s="1"/>
  <c r="P224" i="12" a="1"/>
  <c r="P224" i="12" s="1"/>
  <c r="J61" i="12" a="1"/>
  <c r="J61" i="12" s="1"/>
  <c r="P66" i="12" a="1"/>
  <c r="P66" i="12" s="1"/>
  <c r="N148" i="12" a="1"/>
  <c r="N148" i="12" s="1"/>
  <c r="Q52" i="12" a="1"/>
  <c r="Q52" i="12" s="1"/>
  <c r="L157" i="12" a="1"/>
  <c r="L157" i="12" s="1"/>
  <c r="F67" i="12" a="1"/>
  <c r="F67" i="12" s="1"/>
  <c r="L84" i="12" a="1"/>
  <c r="L84" i="12" s="1"/>
  <c r="N84" i="12" a="1"/>
  <c r="N84" i="12" s="1"/>
  <c r="N64" i="12" a="1"/>
  <c r="N64" i="12" s="1"/>
  <c r="J212" i="12" a="1"/>
  <c r="J212" i="12" s="1"/>
  <c r="Q275" i="12" a="1"/>
  <c r="Q275" i="12" s="1"/>
  <c r="S69" i="12" a="1"/>
  <c r="S69" i="12" s="1"/>
  <c r="P82" i="12" a="1"/>
  <c r="P82" i="12" s="1"/>
  <c r="R55" i="12" a="1"/>
  <c r="R55" i="12" s="1"/>
  <c r="L39" i="12" a="1"/>
  <c r="L39" i="12" s="1"/>
  <c r="S9" i="12" a="1"/>
  <c r="S9" i="12" s="1"/>
  <c r="K142" i="12" a="1"/>
  <c r="K142" i="12" s="1"/>
  <c r="N379" i="12" a="1"/>
  <c r="N379" i="12" s="1"/>
  <c r="AB613" i="12" a="1"/>
  <c r="AB613" i="12" s="1"/>
  <c r="I330" i="12" a="1"/>
  <c r="I330" i="12" s="1"/>
  <c r="J330" i="12" a="1"/>
  <c r="J330" i="12" s="1"/>
  <c r="O81" i="12" a="1"/>
  <c r="O81" i="12" s="1"/>
  <c r="T81" i="12" a="1"/>
  <c r="T81" i="12" s="1"/>
  <c r="I382" i="12" a="1"/>
  <c r="I382" i="12" s="1"/>
  <c r="N58" i="12" a="1"/>
  <c r="N58" i="12" s="1"/>
  <c r="N77" i="12" a="1"/>
  <c r="N77" i="12" s="1"/>
  <c r="L74" i="12" a="1"/>
  <c r="L74" i="12" s="1"/>
  <c r="AB609" i="12" a="1"/>
  <c r="AB609" i="12" s="1"/>
  <c r="S94" i="12" a="1"/>
  <c r="S94" i="12" s="1"/>
  <c r="T90" i="12" a="1"/>
  <c r="T90" i="12" s="1"/>
  <c r="S105" i="12" a="1"/>
  <c r="S105" i="12" s="1"/>
  <c r="Q85" i="12" a="1"/>
  <c r="Q85" i="12" s="1"/>
  <c r="M78" i="12" a="1"/>
  <c r="M78" i="12" s="1"/>
  <c r="G305" i="12" a="1"/>
  <c r="G305" i="12" s="1"/>
  <c r="S178" i="12" a="1"/>
  <c r="S178" i="12" s="1"/>
  <c r="P25" i="12" a="1"/>
  <c r="P25" i="12" s="1"/>
  <c r="K166" i="12" a="1"/>
  <c r="K166" i="12" s="1"/>
  <c r="M144" i="12" a="1"/>
  <c r="M144" i="12" s="1"/>
  <c r="Q29" i="12" a="1"/>
  <c r="Q29" i="12" s="1"/>
  <c r="G191" i="12" a="1"/>
  <c r="G191" i="12" s="1"/>
  <c r="AB669" i="12" a="1"/>
  <c r="AB669" i="12" s="1"/>
  <c r="N25" i="3" a="1"/>
  <c r="N25" i="3" s="1"/>
  <c r="N28" i="3" s="1" a="1"/>
  <c r="N28" i="3" s="1"/>
  <c r="M26" i="12" a="1"/>
  <c r="M26" i="12" s="1"/>
  <c r="R14" i="3" a="1"/>
  <c r="R14" i="3" s="1"/>
  <c r="AB643" i="12" a="1"/>
  <c r="AB643" i="12" s="1"/>
  <c r="I6" i="12" a="1"/>
  <c r="I6" i="12" s="1"/>
  <c r="X621" i="12" a="1"/>
  <c r="X621" i="12" s="1"/>
  <c r="J160" i="12" a="1"/>
  <c r="J160" i="12" s="1"/>
  <c r="L117" i="12" a="1"/>
  <c r="L117" i="12" s="1"/>
  <c r="K279" i="12" a="1"/>
  <c r="K279" i="12" s="1"/>
  <c r="N279" i="12" a="1"/>
  <c r="N279" i="12" s="1"/>
  <c r="M70" i="12" a="1"/>
  <c r="M70" i="12" s="1"/>
  <c r="Q93" i="12" a="1"/>
  <c r="Q93" i="12" s="1"/>
  <c r="I275" i="12" a="1"/>
  <c r="I275" i="12" s="1"/>
  <c r="M201" i="12" a="1"/>
  <c r="M201" i="12" s="1"/>
  <c r="T202" i="12" a="1"/>
  <c r="T202" i="12" s="1"/>
  <c r="O36" i="12" a="1"/>
  <c r="O36" i="12" s="1"/>
  <c r="S15" i="12" a="1"/>
  <c r="S15" i="12" s="1"/>
  <c r="N20" i="12" a="1"/>
  <c r="N20" i="12" s="1"/>
  <c r="M6" i="12" a="1"/>
  <c r="M6" i="12" s="1"/>
  <c r="S82" i="12" a="1"/>
  <c r="S82" i="12" s="1"/>
  <c r="S35" i="12" a="1"/>
  <c r="S35" i="12" s="1"/>
  <c r="S144" i="12" a="1"/>
  <c r="S144" i="12" s="1"/>
  <c r="J26" i="12" a="1"/>
  <c r="J26" i="12" s="1"/>
  <c r="O14" i="3" a="1"/>
  <c r="O14" i="3" s="1"/>
  <c r="R166" i="12" a="1"/>
  <c r="R166" i="12" s="1"/>
  <c r="M103" i="12" a="1"/>
  <c r="M103" i="12" s="1"/>
  <c r="T16" i="12" a="1"/>
  <c r="T16" i="12" s="1"/>
  <c r="S222" i="12" a="1"/>
  <c r="S222" i="12" s="1"/>
  <c r="J130" i="12" a="1"/>
  <c r="J130" i="12" s="1"/>
  <c r="T10" i="12" a="1"/>
  <c r="T10" i="12" s="1"/>
  <c r="N10" i="12" a="1"/>
  <c r="N10" i="12" s="1"/>
  <c r="O207" i="12" a="1"/>
  <c r="O207" i="12" s="1"/>
  <c r="T41" i="12" a="1"/>
  <c r="T41" i="12" s="1"/>
  <c r="F41" i="12" a="1"/>
  <c r="F41" i="12" s="1"/>
  <c r="U82" i="2" a="1"/>
  <c r="U82" i="2" s="1"/>
  <c r="L116" i="12" a="1"/>
  <c r="L116" i="12" s="1"/>
  <c r="F45" i="12" a="1"/>
  <c r="F45" i="12" s="1"/>
  <c r="U19" i="2" a="1"/>
  <c r="U19" i="2" s="1"/>
  <c r="T31" i="12" a="1"/>
  <c r="T31" i="12" s="1"/>
  <c r="P129" i="12" a="1"/>
  <c r="P129" i="12" s="1"/>
  <c r="S129" i="12" a="1"/>
  <c r="S129" i="12" s="1"/>
  <c r="L184" i="12" a="1"/>
  <c r="L184" i="12" s="1"/>
  <c r="I59" i="12" a="1"/>
  <c r="I59" i="12" s="1"/>
  <c r="M59" i="12" a="1"/>
  <c r="M59" i="12" s="1"/>
  <c r="L118" i="12" a="1"/>
  <c r="L118" i="12" s="1"/>
  <c r="P118" i="12" a="1"/>
  <c r="P118" i="12" s="1"/>
  <c r="S22" i="12" a="1"/>
  <c r="S22" i="12" s="1"/>
  <c r="L42" i="12" a="1"/>
  <c r="L42" i="12" s="1"/>
  <c r="Q80" i="12" a="1"/>
  <c r="Q80" i="12" s="1"/>
  <c r="T80" i="12" a="1"/>
  <c r="T80" i="12" s="1"/>
  <c r="O382" i="12" a="1"/>
  <c r="O382" i="12" s="1"/>
  <c r="G62" i="12" a="1"/>
  <c r="G62" i="12" s="1"/>
  <c r="Q62" i="12" a="1"/>
  <c r="Q62" i="12" s="1"/>
  <c r="J21" i="12" a="1"/>
  <c r="J21" i="12" s="1"/>
  <c r="P130" i="12" a="1"/>
  <c r="P130" i="12" s="1"/>
  <c r="AL39" i="2" a="1"/>
  <c r="AL39" i="2" s="1"/>
  <c r="P34" i="12" a="1"/>
  <c r="P34" i="12" s="1"/>
  <c r="J203" i="12" a="1"/>
  <c r="J203" i="12" s="1"/>
  <c r="Q57" i="12" a="1"/>
  <c r="Q57" i="12" s="1"/>
  <c r="K57" i="12" a="1"/>
  <c r="K57" i="12" s="1"/>
  <c r="I182" i="12" a="1"/>
  <c r="I182" i="12" s="1"/>
  <c r="L29" i="12" a="1"/>
  <c r="L29" i="12" s="1"/>
  <c r="I13" i="12" a="1"/>
  <c r="I13" i="12" s="1"/>
  <c r="X669" i="12" a="1"/>
  <c r="X669" i="12" s="1"/>
  <c r="S174" i="12" a="1"/>
  <c r="S174" i="12" s="1"/>
  <c r="O53" i="12" a="1"/>
  <c r="O53" i="12" s="1"/>
  <c r="N37" i="12" a="1"/>
  <c r="N37" i="12" s="1"/>
  <c r="F49" i="12" a="1"/>
  <c r="F49" i="12" s="1"/>
  <c r="U49" i="2" a="1"/>
  <c r="U49" i="2" s="1"/>
  <c r="F63" i="12" a="1"/>
  <c r="F63" i="12" s="1"/>
  <c r="U11" i="2" a="1"/>
  <c r="U11" i="2" s="1"/>
  <c r="R11" i="12" a="1"/>
  <c r="R11" i="12" s="1"/>
  <c r="Q11" i="12" a="1"/>
  <c r="Q11" i="12" s="1"/>
  <c r="J51" i="12" a="1"/>
  <c r="J51" i="12" s="1"/>
  <c r="I200" i="12" a="1"/>
  <c r="I200" i="12" s="1"/>
  <c r="K40" i="12" a="1"/>
  <c r="K40" i="12" s="1"/>
  <c r="O50" i="12" a="1"/>
  <c r="O50" i="12" s="1"/>
  <c r="S33" i="12" a="1"/>
  <c r="S33" i="12" s="1"/>
  <c r="G33" i="12" a="1"/>
  <c r="G33" i="12" s="1"/>
  <c r="L32" i="12" a="1"/>
  <c r="L32" i="12" s="1"/>
  <c r="L189" i="12" a="1"/>
  <c r="L189" i="12" s="1"/>
  <c r="S189" i="12" a="1"/>
  <c r="S189" i="12" s="1"/>
  <c r="P47" i="12" a="1"/>
  <c r="P47" i="12" s="1"/>
  <c r="I32" i="12" a="1"/>
  <c r="I32" i="12" s="1"/>
  <c r="F38" i="12" a="1"/>
  <c r="F38" i="12" s="1"/>
  <c r="Q12" i="12" a="1"/>
  <c r="Q12" i="12" s="1"/>
  <c r="Q248" i="12" a="1"/>
  <c r="Q248" i="12" s="1"/>
  <c r="L519" i="12" a="1"/>
  <c r="L519" i="12" s="1"/>
  <c r="J457" i="12" a="1"/>
  <c r="J457" i="12" s="1"/>
  <c r="G474" i="12" a="1"/>
  <c r="G474" i="12" s="1"/>
  <c r="AB656" i="12" a="1"/>
  <c r="AB656" i="12" s="1"/>
  <c r="M451" i="12" a="1"/>
  <c r="M451" i="12" s="1"/>
  <c r="J221" i="12" a="1"/>
  <c r="J221" i="12" s="1"/>
  <c r="N490" i="12" a="1"/>
  <c r="N490" i="12" s="1"/>
  <c r="Q272" i="12" a="1"/>
  <c r="Q272" i="12" s="1"/>
  <c r="N463" i="12" a="1"/>
  <c r="N463" i="12" s="1"/>
  <c r="J218" i="12" a="1"/>
  <c r="J218" i="12" s="1"/>
  <c r="P257" i="12" a="1"/>
  <c r="P257" i="12" s="1"/>
  <c r="L260" i="12" a="1"/>
  <c r="L260" i="12" s="1"/>
  <c r="G561" i="12" a="1"/>
  <c r="G561" i="12" s="1"/>
  <c r="P208" i="12" a="1"/>
  <c r="P208" i="12" s="1"/>
  <c r="AA652" i="12" a="1"/>
  <c r="AA652" i="12" s="1"/>
  <c r="J347" i="12" a="1"/>
  <c r="J347" i="12" s="1"/>
  <c r="O311" i="12" a="1"/>
  <c r="O311" i="12" s="1"/>
  <c r="F233" i="12" a="1"/>
  <c r="F233" i="12" s="1"/>
  <c r="U451" i="2" a="1"/>
  <c r="U451" i="2" s="1"/>
  <c r="I234" i="12" a="1"/>
  <c r="I234" i="12" s="1"/>
  <c r="M581" i="12" a="1"/>
  <c r="M581" i="12" s="1"/>
  <c r="T537" i="12" a="1"/>
  <c r="T537" i="12" s="1"/>
  <c r="K510" i="12" a="1"/>
  <c r="K510" i="12" s="1"/>
  <c r="Q474" i="12" a="1"/>
  <c r="Q474" i="12" s="1"/>
  <c r="I495" i="12" a="1"/>
  <c r="I495" i="12" s="1"/>
  <c r="J551" i="12" a="1"/>
  <c r="J551" i="12" s="1"/>
  <c r="L509" i="12" a="1"/>
  <c r="L509" i="12" s="1"/>
  <c r="P408" i="12" a="1"/>
  <c r="P408" i="12" s="1"/>
  <c r="L136" i="12" a="1"/>
  <c r="L136" i="12" s="1"/>
  <c r="R188" i="12" a="1"/>
  <c r="R188" i="12" s="1"/>
  <c r="F154" i="12" a="1"/>
  <c r="F154" i="12" s="1"/>
  <c r="U263" i="2" a="1"/>
  <c r="U263" i="2" s="1"/>
  <c r="P132" i="12" a="1"/>
  <c r="P132" i="12" s="1"/>
  <c r="Q276" i="12" a="1"/>
  <c r="Q276" i="12" s="1"/>
  <c r="AB662" i="12" a="1"/>
  <c r="AB662" i="12" s="1"/>
  <c r="G220" i="12" a="1"/>
  <c r="G220" i="12" s="1"/>
  <c r="M527" i="12" a="1"/>
  <c r="M527" i="12" s="1"/>
  <c r="T244" i="12" a="1"/>
  <c r="T244" i="12" s="1"/>
  <c r="L465" i="12" a="1"/>
  <c r="L465" i="12" s="1"/>
  <c r="M415" i="12" a="1"/>
  <c r="M415" i="12" s="1"/>
  <c r="S504" i="12" a="1"/>
  <c r="S504" i="12" s="1"/>
  <c r="I500" i="12" a="1"/>
  <c r="I500" i="12" s="1"/>
  <c r="M494" i="12" a="1"/>
  <c r="M494" i="12" s="1"/>
  <c r="S179" i="12" a="1"/>
  <c r="S179" i="12" s="1"/>
  <c r="P163" i="12" a="1"/>
  <c r="P163" i="12" s="1"/>
  <c r="K493" i="12" a="1"/>
  <c r="K493" i="12" s="1"/>
  <c r="K397" i="12" a="1"/>
  <c r="K397" i="12" s="1"/>
  <c r="O194" i="12" a="1"/>
  <c r="O194" i="12" s="1"/>
  <c r="K263" i="12" a="1"/>
  <c r="K263" i="12" s="1"/>
  <c r="G604" i="12" a="1"/>
  <c r="G604" i="12" s="1"/>
  <c r="N588" i="12" a="1"/>
  <c r="N588" i="12" s="1"/>
  <c r="F547" i="12" a="1"/>
  <c r="F547" i="12" s="1"/>
  <c r="U362" i="2" a="1"/>
  <c r="U362" i="2" s="1"/>
  <c r="F562" i="12" a="1"/>
  <c r="F562" i="12" s="1"/>
  <c r="K407" i="12" a="1"/>
  <c r="K407" i="12" s="1"/>
  <c r="R193" i="12" a="1"/>
  <c r="R193" i="12" s="1"/>
  <c r="O408" i="12" a="1"/>
  <c r="O408" i="12" s="1"/>
  <c r="I586" i="12" a="1"/>
  <c r="I586" i="12" s="1"/>
  <c r="T188" i="12" a="1"/>
  <c r="T188" i="12" s="1"/>
  <c r="M176" i="12" a="1"/>
  <c r="M176" i="12" s="1"/>
  <c r="O606" i="12" a="1"/>
  <c r="O606" i="12" s="1"/>
  <c r="T584" i="12" a="1"/>
  <c r="T584" i="12" s="1"/>
  <c r="G541" i="12" a="1"/>
  <c r="G541" i="12" s="1"/>
  <c r="P508" i="12" a="1"/>
  <c r="P508" i="12" s="1"/>
  <c r="L345" i="12" a="1"/>
  <c r="L345" i="12" s="1"/>
  <c r="R559" i="12" a="1"/>
  <c r="R559" i="12" s="1"/>
  <c r="O585" i="12" a="1"/>
  <c r="O585" i="12" s="1"/>
  <c r="K210" i="12" a="1"/>
  <c r="K210" i="12" s="1"/>
  <c r="P515" i="12" a="1"/>
  <c r="P515" i="12" s="1"/>
  <c r="N515" i="12" a="1"/>
  <c r="N515" i="12" s="1"/>
  <c r="R426" i="12" a="1"/>
  <c r="R426" i="12" s="1"/>
  <c r="K230" i="12" a="1"/>
  <c r="K230" i="12" s="1"/>
  <c r="K227" i="12" a="1"/>
  <c r="K227" i="12" s="1"/>
  <c r="S147" i="12" a="1"/>
  <c r="S147" i="12" s="1"/>
  <c r="K190" i="12" a="1"/>
  <c r="K190" i="12" s="1"/>
  <c r="O199" i="12" a="1"/>
  <c r="O199" i="12" s="1"/>
  <c r="G497" i="12" a="1"/>
  <c r="G497" i="12" s="1"/>
  <c r="P194" i="12" a="1"/>
  <c r="P194" i="12" s="1"/>
  <c r="N442" i="12" a="1"/>
  <c r="N442" i="12" s="1"/>
  <c r="N383" i="12" a="1"/>
  <c r="N383" i="12" s="1"/>
  <c r="N511" i="12" a="1"/>
  <c r="N511" i="12" s="1"/>
  <c r="I564" i="12" a="1"/>
  <c r="I564" i="12" s="1"/>
  <c r="S564" i="12" a="1"/>
  <c r="S564" i="12" s="1"/>
  <c r="S530" i="12" a="1"/>
  <c r="S530" i="12" s="1"/>
  <c r="O530" i="12" a="1"/>
  <c r="O530" i="12" s="1"/>
  <c r="M568" i="12" a="1"/>
  <c r="M568" i="12" s="1"/>
  <c r="P206" i="12" a="1"/>
  <c r="P206" i="12" s="1"/>
  <c r="M549" i="12" a="1"/>
  <c r="M549" i="12" s="1"/>
  <c r="M582" i="12" a="1"/>
  <c r="M582" i="12" s="1"/>
  <c r="K582" i="12" a="1"/>
  <c r="K582" i="12" s="1"/>
  <c r="S533" i="12" a="1"/>
  <c r="S533" i="12" s="1"/>
  <c r="R588" i="12" a="1"/>
  <c r="R588" i="12" s="1"/>
  <c r="G520" i="12" a="1"/>
  <c r="G520" i="12" s="1"/>
  <c r="F426" i="12" a="1"/>
  <c r="F426" i="12" s="1"/>
  <c r="U351" i="2" a="1"/>
  <c r="U351" i="2" s="1"/>
  <c r="Q522" i="12" a="1"/>
  <c r="Q522" i="12" s="1"/>
  <c r="J526" i="12" a="1"/>
  <c r="J526" i="12" s="1"/>
  <c r="P466" i="12" a="1"/>
  <c r="P466" i="12" s="1"/>
  <c r="L558" i="12" a="1"/>
  <c r="L558" i="12" s="1"/>
  <c r="K169" i="12" a="1"/>
  <c r="K169" i="12" s="1"/>
  <c r="Q502" i="12" a="1"/>
  <c r="Q502" i="12" s="1"/>
  <c r="F442" i="12" a="1"/>
  <c r="F442" i="12" s="1"/>
  <c r="U282" i="2" a="1"/>
  <c r="U282" i="2" s="1"/>
  <c r="T170" i="12" a="1"/>
  <c r="T170" i="12" s="1"/>
  <c r="R374" i="12" a="1"/>
  <c r="R374" i="12" s="1"/>
  <c r="P204" i="12" a="1"/>
  <c r="P204" i="12" s="1"/>
  <c r="L160" i="12" a="1"/>
  <c r="L160" i="12" s="1"/>
  <c r="K356" i="12" a="1"/>
  <c r="K356" i="12" s="1"/>
  <c r="Q162" i="12" a="1"/>
  <c r="Q162" i="12" s="1"/>
  <c r="F383" i="12" a="1"/>
  <c r="F383" i="12" s="1"/>
  <c r="U272" i="2" a="1"/>
  <c r="U272" i="2" s="1"/>
  <c r="N345" i="12" a="1"/>
  <c r="N345" i="12" s="1"/>
  <c r="L114" i="12" a="1"/>
  <c r="L114" i="12" s="1"/>
  <c r="P226" i="12" a="1"/>
  <c r="P226" i="12" s="1"/>
  <c r="T475" i="12" a="1"/>
  <c r="T475" i="12" s="1"/>
  <c r="I267" i="12" a="1"/>
  <c r="I267" i="12" s="1"/>
  <c r="J173" i="12" a="1"/>
  <c r="J173" i="12" s="1"/>
  <c r="P192" i="12" a="1"/>
  <c r="P192" i="12" s="1"/>
  <c r="I215" i="12" a="1"/>
  <c r="I215" i="12" s="1"/>
  <c r="L540" i="12" a="1"/>
  <c r="L540" i="12" s="1"/>
  <c r="T540" i="12" a="1"/>
  <c r="T540" i="12" s="1"/>
  <c r="O274" i="12" a="1"/>
  <c r="O274" i="12" s="1"/>
  <c r="O541" i="12" a="1"/>
  <c r="O541" i="12" s="1"/>
  <c r="R179" i="12" a="1"/>
  <c r="R179" i="12" s="1"/>
  <c r="O526" i="12" a="1"/>
  <c r="O526" i="12" s="1"/>
  <c r="R272" i="12" a="1"/>
  <c r="R272" i="12" s="1"/>
  <c r="X656" i="12" a="1"/>
  <c r="X656" i="12" s="1"/>
  <c r="M228" i="12" a="1"/>
  <c r="M228" i="12" s="1"/>
  <c r="N541" i="12" a="1"/>
  <c r="N541" i="12" s="1"/>
  <c r="S449" i="12" a="1"/>
  <c r="S449" i="12" s="1"/>
  <c r="Q412" i="12" a="1"/>
  <c r="Q412" i="12" s="1"/>
  <c r="S169" i="12" a="1"/>
  <c r="S169" i="12" s="1"/>
  <c r="P214" i="12" a="1"/>
  <c r="P214" i="12" s="1"/>
  <c r="N267" i="12" a="1"/>
  <c r="N267" i="12" s="1"/>
  <c r="G181" i="12" a="1"/>
  <c r="G181" i="12" s="1"/>
  <c r="J231" i="12" a="1"/>
  <c r="J231" i="12" s="1"/>
  <c r="K494" i="12" a="1"/>
  <c r="K494" i="12" s="1"/>
  <c r="Z616" i="12" a="1"/>
  <c r="Z616" i="12" s="1"/>
  <c r="AL303" i="2" a="1"/>
  <c r="AL303" i="2" s="1"/>
  <c r="I205" i="12" a="1"/>
  <c r="I205" i="12" s="1"/>
  <c r="N154" i="12" a="1"/>
  <c r="N154" i="12" s="1"/>
  <c r="I132" i="12" a="1"/>
  <c r="I132" i="12" s="1"/>
  <c r="P114" i="12" a="1"/>
  <c r="P114" i="12" s="1"/>
  <c r="K603" i="12" a="1"/>
  <c r="K603" i="12" s="1"/>
  <c r="X624" i="12" a="1"/>
  <c r="X624" i="12" s="1"/>
  <c r="O170" i="12" a="1"/>
  <c r="O170" i="12" s="1"/>
  <c r="R152" i="12" a="1"/>
  <c r="R152" i="12" s="1"/>
  <c r="L479" i="12" a="1"/>
  <c r="L479" i="12" s="1"/>
  <c r="T135" i="12" a="1"/>
  <c r="T135" i="12" s="1"/>
  <c r="S108" i="12" a="1"/>
  <c r="S108" i="12" s="1"/>
  <c r="M377" i="12" a="1"/>
  <c r="M377" i="12" s="1"/>
  <c r="F422" i="12" a="1"/>
  <c r="F422" i="12" s="1"/>
  <c r="U232" i="2" a="1"/>
  <c r="U232" i="2" s="1"/>
  <c r="Q112" i="12" a="1"/>
  <c r="Q112" i="12" s="1"/>
  <c r="K157" i="12" a="1"/>
  <c r="K157" i="12" s="1"/>
  <c r="T299" i="12" a="1"/>
  <c r="T299" i="12" s="1"/>
  <c r="I140" i="12" a="1"/>
  <c r="I140" i="12" s="1"/>
  <c r="F378" i="12" a="1"/>
  <c r="F378" i="12" s="1"/>
  <c r="U189" i="2" a="1"/>
  <c r="U189" i="2" s="1"/>
  <c r="L297" i="12" a="1"/>
  <c r="L297" i="12" s="1"/>
  <c r="L102" i="12" a="1"/>
  <c r="L102" i="12" s="1"/>
  <c r="I250" i="12" a="1"/>
  <c r="I250" i="12" s="1"/>
  <c r="N266" i="12" a="1"/>
  <c r="N266" i="12" s="1"/>
  <c r="P534" i="12" a="1"/>
  <c r="P534" i="12" s="1"/>
  <c r="R583" i="12" a="1"/>
  <c r="R583" i="12" s="1"/>
  <c r="U301" i="2" a="1"/>
  <c r="U301" i="2" s="1"/>
  <c r="N209" i="12" a="1"/>
  <c r="N209" i="12" s="1"/>
  <c r="I416" i="12" a="1"/>
  <c r="I416" i="12" s="1"/>
  <c r="G372" i="12" a="1"/>
  <c r="G372" i="12" s="1"/>
  <c r="N377" i="12" a="1"/>
  <c r="N377" i="12" s="1"/>
  <c r="J142" i="12" a="1"/>
  <c r="J142" i="12" s="1"/>
  <c r="P401" i="12" a="1"/>
  <c r="P401" i="12" s="1"/>
  <c r="T151" i="12" a="1"/>
  <c r="T151" i="12" s="1"/>
  <c r="N120" i="12" a="1"/>
  <c r="N120" i="12" s="1"/>
  <c r="F607" i="12" a="1"/>
  <c r="F607" i="12" s="1"/>
  <c r="U209" i="2" a="1"/>
  <c r="U209" i="2" s="1"/>
  <c r="Q183" i="12" a="1"/>
  <c r="Q183" i="12" s="1"/>
  <c r="O91" i="12" a="1"/>
  <c r="O91" i="12" s="1"/>
  <c r="K297" i="12" a="1"/>
  <c r="K297" i="12" s="1"/>
  <c r="K111" i="12" a="1"/>
  <c r="K111" i="12" s="1"/>
  <c r="Q102" i="12" a="1"/>
  <c r="Q102" i="12" s="1"/>
  <c r="G203" i="12" a="1"/>
  <c r="G203" i="12" s="1"/>
  <c r="J96" i="12" a="1"/>
  <c r="J96" i="12" s="1"/>
  <c r="I95" i="12" a="1"/>
  <c r="I95" i="12" s="1"/>
  <c r="L77" i="12" a="1"/>
  <c r="L77" i="12" s="1"/>
  <c r="L51" i="12" a="1"/>
  <c r="L51" i="12" s="1"/>
  <c r="I155" i="12" a="1"/>
  <c r="I155" i="12" s="1"/>
  <c r="G308" i="12" a="1"/>
  <c r="G308" i="12" s="1"/>
  <c r="O466" i="12" a="1"/>
  <c r="O466" i="12" s="1"/>
  <c r="M170" i="12" a="1"/>
  <c r="M170" i="12" s="1"/>
  <c r="J439" i="12" a="1"/>
  <c r="J439" i="12" s="1"/>
  <c r="S337" i="12" a="1"/>
  <c r="S337" i="12" s="1"/>
  <c r="J167" i="12" a="1"/>
  <c r="J167" i="12" s="1"/>
  <c r="T164" i="12" a="1"/>
  <c r="T164" i="12" s="1"/>
  <c r="P145" i="12" a="1"/>
  <c r="P145" i="12" s="1"/>
  <c r="Q159" i="12" a="1"/>
  <c r="Q159" i="12" s="1"/>
  <c r="F177" i="12" a="1"/>
  <c r="F177" i="12" s="1"/>
  <c r="U219" i="2" a="1"/>
  <c r="U219" i="2" s="1"/>
  <c r="G107" i="12" a="1"/>
  <c r="G107" i="12" s="1"/>
  <c r="I299" i="12" a="1"/>
  <c r="I299" i="12" s="1"/>
  <c r="P285" i="12" a="1"/>
  <c r="P285" i="12" s="1"/>
  <c r="Q133" i="12" a="1"/>
  <c r="Q133" i="12" s="1"/>
  <c r="R111" i="12" a="1"/>
  <c r="R111" i="12" s="1"/>
  <c r="O259" i="12" a="1"/>
  <c r="O259" i="12" s="1"/>
  <c r="K136" i="12" a="1"/>
  <c r="K136" i="12" s="1"/>
  <c r="K412" i="12" a="1"/>
  <c r="K412" i="12" s="1"/>
  <c r="T469" i="12" a="1"/>
  <c r="T469" i="12" s="1"/>
  <c r="S153" i="12" a="1"/>
  <c r="S153" i="12" s="1"/>
  <c r="T358" i="12" a="1"/>
  <c r="T358" i="12" s="1"/>
  <c r="O115" i="12" a="1"/>
  <c r="O115" i="12" s="1"/>
  <c r="P107" i="12" a="1"/>
  <c r="P107" i="12" s="1"/>
  <c r="N264" i="12" a="1"/>
  <c r="N264" i="12" s="1"/>
  <c r="T101" i="12" a="1"/>
  <c r="T101" i="12" s="1"/>
  <c r="R293" i="12" a="1"/>
  <c r="R293" i="12" s="1"/>
  <c r="Q312" i="12" a="1"/>
  <c r="Q312" i="12" s="1"/>
  <c r="M602" i="12" a="1"/>
  <c r="M602" i="12" s="1"/>
  <c r="G131" i="12" a="1"/>
  <c r="G131" i="12" s="1"/>
  <c r="M454" i="12" a="1"/>
  <c r="M454" i="12" s="1"/>
  <c r="Q454" i="12" a="1"/>
  <c r="Q454" i="12" s="1"/>
  <c r="G502" i="12" a="1"/>
  <c r="G502" i="12" s="1"/>
  <c r="AL265" i="2" a="1"/>
  <c r="AL265" i="2" s="1"/>
  <c r="Q372" i="12" a="1"/>
  <c r="Q372" i="12" s="1"/>
  <c r="F156" i="12" a="1"/>
  <c r="F156" i="12" s="1"/>
  <c r="U246" i="2" a="1"/>
  <c r="U246" i="2" s="1"/>
  <c r="M159" i="12" a="1"/>
  <c r="M159" i="12" s="1"/>
  <c r="S431" i="12" a="1"/>
  <c r="S431" i="12" s="1"/>
  <c r="L401" i="12" a="1"/>
  <c r="L401" i="12" s="1"/>
  <c r="S157" i="12" a="1"/>
  <c r="S157" i="12" s="1"/>
  <c r="M264" i="12" a="1"/>
  <c r="M264" i="12" s="1"/>
  <c r="I297" i="12" a="1"/>
  <c r="I297" i="12" s="1"/>
  <c r="S289" i="12" a="1"/>
  <c r="S289" i="12" s="1"/>
  <c r="M314" i="12" a="1"/>
  <c r="M314" i="12" s="1"/>
  <c r="AR146" i="2" a="1"/>
  <c r="AR146" i="2" s="1"/>
  <c r="AQ146" i="2" a="1"/>
  <c r="AQ146" i="2" s="1"/>
  <c r="K181" i="12" a="1"/>
  <c r="K181" i="12" s="1"/>
  <c r="S484" i="12" a="1"/>
  <c r="S484" i="12" s="1"/>
  <c r="N416" i="12" a="1"/>
  <c r="N416" i="12" s="1"/>
  <c r="N372" i="12" a="1"/>
  <c r="N372" i="12" s="1"/>
  <c r="Q346" i="12" a="1"/>
  <c r="Q346" i="12" s="1"/>
  <c r="G366" i="12" a="1"/>
  <c r="G366" i="12" s="1"/>
  <c r="G325" i="12" a="1"/>
  <c r="G325" i="12" s="1"/>
  <c r="R151" i="12" a="1"/>
  <c r="R151" i="12" s="1"/>
  <c r="G150" i="12" a="1"/>
  <c r="G150" i="12" s="1"/>
  <c r="O107" i="12" a="1"/>
  <c r="O107" i="12" s="1"/>
  <c r="P92" i="12" a="1"/>
  <c r="P92" i="12" s="1"/>
  <c r="R101" i="12" a="1"/>
  <c r="R101" i="12" s="1"/>
  <c r="G293" i="12" a="1"/>
  <c r="G293" i="12" s="1"/>
  <c r="U186" i="2" a="1"/>
  <c r="U186" i="2" s="1"/>
  <c r="S602" i="12" a="1"/>
  <c r="S602" i="12" s="1"/>
  <c r="J289" i="12" a="1"/>
  <c r="J289" i="12" s="1"/>
  <c r="M126" i="12" a="1"/>
  <c r="M126" i="12" s="1"/>
  <c r="G222" i="12" a="1"/>
  <c r="G222" i="12" s="1"/>
  <c r="M74" i="12" a="1"/>
  <c r="M74" i="12" s="1"/>
  <c r="F76" i="12" a="1"/>
  <c r="F76" i="12" s="1"/>
  <c r="U76" i="2" a="1"/>
  <c r="U76" i="2" s="1"/>
  <c r="R38" i="12" a="1"/>
  <c r="R38" i="12" s="1"/>
  <c r="P228" i="12" a="1"/>
  <c r="P228" i="12" s="1"/>
  <c r="I232" i="12" a="1"/>
  <c r="I232" i="12" s="1"/>
  <c r="I168" i="12" a="1"/>
  <c r="I168" i="12" s="1"/>
  <c r="O168" i="12" a="1"/>
  <c r="O168" i="12" s="1"/>
  <c r="O412" i="12" a="1"/>
  <c r="O412" i="12" s="1"/>
  <c r="AQ299" i="2" a="1"/>
  <c r="AQ299" i="2" s="1"/>
  <c r="AR299" i="2" a="1"/>
  <c r="AR299" i="2" s="1"/>
  <c r="I229" i="12" a="1"/>
  <c r="I229" i="12" s="1"/>
  <c r="O204" i="12" a="1"/>
  <c r="O204" i="12" s="1"/>
  <c r="R123" i="12" a="1"/>
  <c r="R123" i="12" s="1"/>
  <c r="R432" i="12" a="1"/>
  <c r="R432" i="12" s="1"/>
  <c r="L153" i="12" a="1"/>
  <c r="L153" i="12" s="1"/>
  <c r="T138" i="12" a="1"/>
  <c r="T138" i="12" s="1"/>
  <c r="G165" i="12" a="1"/>
  <c r="G165" i="12" s="1"/>
  <c r="F388" i="12" a="1"/>
  <c r="F388" i="12" s="1"/>
  <c r="U226" i="2" a="1"/>
  <c r="U226" i="2" s="1"/>
  <c r="N177" i="12" a="1"/>
  <c r="N177" i="12" s="1"/>
  <c r="K283" i="12" a="1"/>
  <c r="K283" i="12" s="1"/>
  <c r="J368" i="12" a="1"/>
  <c r="J368" i="12" s="1"/>
  <c r="S183" i="12" a="1"/>
  <c r="S183" i="12" s="1"/>
  <c r="Q140" i="12" a="1"/>
  <c r="Q140" i="12" s="1"/>
  <c r="S127" i="12" a="1"/>
  <c r="S127" i="12" s="1"/>
  <c r="K161" i="12" a="1"/>
  <c r="K161" i="12" s="1"/>
  <c r="N106" i="12" a="1"/>
  <c r="N106" i="12" s="1"/>
  <c r="T250" i="12" a="1"/>
  <c r="T250" i="12" s="1"/>
  <c r="M87" i="12" a="1"/>
  <c r="M87" i="12" s="1"/>
  <c r="L203" i="12" a="1"/>
  <c r="L203" i="12" s="1"/>
  <c r="O54" i="12" a="1"/>
  <c r="O54" i="12" s="1"/>
  <c r="I462" i="12" a="1"/>
  <c r="I462" i="12" s="1"/>
  <c r="T462" i="12" a="1"/>
  <c r="T462" i="12" s="1"/>
  <c r="S403" i="12" a="1"/>
  <c r="S403" i="12" s="1"/>
  <c r="F141" i="12" a="1"/>
  <c r="F141" i="12" s="1"/>
  <c r="U290" i="2" a="1"/>
  <c r="U290" i="2" s="1"/>
  <c r="S175" i="12" a="1"/>
  <c r="S175" i="12" s="1"/>
  <c r="G383" i="12" a="1"/>
  <c r="G383" i="12" s="1"/>
  <c r="T393" i="12" a="1"/>
  <c r="T393" i="12" s="1"/>
  <c r="I427" i="12" a="1"/>
  <c r="I427" i="12" s="1"/>
  <c r="Q366" i="12" a="1"/>
  <c r="Q366" i="12" s="1"/>
  <c r="O358" i="12" a="1"/>
  <c r="O358" i="12" s="1"/>
  <c r="O157" i="12" a="1"/>
  <c r="O157" i="12" s="1"/>
  <c r="P101" i="12" a="1"/>
  <c r="P101" i="12" s="1"/>
  <c r="M119" i="12" a="1"/>
  <c r="M119" i="12" s="1"/>
  <c r="R255" i="12" a="1"/>
  <c r="R255" i="12" s="1"/>
  <c r="L250" i="12" a="1"/>
  <c r="L250" i="12" s="1"/>
  <c r="O121" i="12" a="1"/>
  <c r="O121" i="12" s="1"/>
  <c r="T253" i="12" a="1"/>
  <c r="T253" i="12" s="1"/>
  <c r="M96" i="12" a="1"/>
  <c r="M96" i="12" s="1"/>
  <c r="Q415" i="12" a="1"/>
  <c r="Q415" i="12" s="1"/>
  <c r="F235" i="12" a="1"/>
  <c r="F235" i="12" s="1"/>
  <c r="U321" i="2" a="1"/>
  <c r="U321" i="2" s="1"/>
  <c r="T205" i="12" a="1"/>
  <c r="T205" i="12" s="1"/>
  <c r="I170" i="12" a="1"/>
  <c r="I170" i="12" s="1"/>
  <c r="O383" i="12" a="1"/>
  <c r="O383" i="12" s="1"/>
  <c r="G152" i="12" a="1"/>
  <c r="G152" i="12" s="1"/>
  <c r="J458" i="12" a="1"/>
  <c r="J458" i="12" s="1"/>
  <c r="R452" i="12" a="1"/>
  <c r="R452" i="12" s="1"/>
  <c r="K366" i="12" a="1"/>
  <c r="K366" i="12" s="1"/>
  <c r="L370" i="12" a="1"/>
  <c r="L370" i="12" s="1"/>
  <c r="I348" i="12" a="1"/>
  <c r="I348" i="12" s="1"/>
  <c r="L335" i="12" a="1"/>
  <c r="L335" i="12" s="1"/>
  <c r="S317" i="12" a="1"/>
  <c r="S317" i="12" s="1"/>
  <c r="I99" i="12" a="1"/>
  <c r="I99" i="12" s="1"/>
  <c r="S97" i="12" a="1"/>
  <c r="S97" i="12" s="1"/>
  <c r="O73" i="12" a="1"/>
  <c r="O73" i="12" s="1"/>
  <c r="I230" i="12" a="1"/>
  <c r="I230" i="12" s="1"/>
  <c r="L528" i="12" a="1"/>
  <c r="L528" i="12" s="1"/>
  <c r="Q528" i="12" a="1"/>
  <c r="Q528" i="12" s="1"/>
  <c r="X615" i="12" a="1"/>
  <c r="X615" i="12" s="1"/>
  <c r="O414" i="12" a="1"/>
  <c r="O414" i="12" s="1"/>
  <c r="F363" i="12" a="1"/>
  <c r="F363" i="12" s="1"/>
  <c r="U253" i="2" a="1"/>
  <c r="U253" i="2" s="1"/>
  <c r="P490" i="12" a="1"/>
  <c r="P490" i="12" s="1"/>
  <c r="L404" i="12" a="1"/>
  <c r="L404" i="12" s="1"/>
  <c r="T376" i="12" a="1"/>
  <c r="T376" i="12" s="1"/>
  <c r="P293" i="12" a="1"/>
  <c r="P293" i="12" s="1"/>
  <c r="J161" i="12" a="1"/>
  <c r="J161" i="12" s="1"/>
  <c r="O602" i="12" a="1"/>
  <c r="O602" i="12" s="1"/>
  <c r="M111" i="12" a="1"/>
  <c r="M111" i="12" s="1"/>
  <c r="J73" i="12" a="1"/>
  <c r="J73" i="12" s="1"/>
  <c r="M148" i="12" a="1"/>
  <c r="M148" i="12" s="1"/>
  <c r="M283" i="12" a="1"/>
  <c r="M283" i="12" s="1"/>
  <c r="T125" i="12" a="1"/>
  <c r="T125" i="12" s="1"/>
  <c r="Q127" i="12" a="1"/>
  <c r="Q127" i="12" s="1"/>
  <c r="G266" i="12" a="1"/>
  <c r="G266" i="12" s="1"/>
  <c r="F305" i="12" a="1"/>
  <c r="F305" i="12" s="1"/>
  <c r="U99" i="2" a="1"/>
  <c r="U99" i="2" s="1"/>
  <c r="M60" i="12" a="1"/>
  <c r="M60" i="12" s="1"/>
  <c r="T14" i="12" a="1"/>
  <c r="T14" i="12" s="1"/>
  <c r="I30" i="12" a="1"/>
  <c r="I30" i="12" s="1"/>
  <c r="L110" i="12" a="1"/>
  <c r="L110" i="12" s="1"/>
  <c r="R24" i="12" a="1"/>
  <c r="R24" i="12" s="1"/>
  <c r="AA669" i="12" a="1"/>
  <c r="AA669" i="12" s="1"/>
  <c r="M25" i="3" a="1"/>
  <c r="M25" i="3" s="1"/>
  <c r="M28" i="3" s="1" a="1"/>
  <c r="M28" i="3" s="1"/>
  <c r="F8" i="12" a="1"/>
  <c r="F8" i="12" s="1"/>
  <c r="U16" i="2" a="1"/>
  <c r="U16" i="2" s="1"/>
  <c r="K4" i="12" a="1"/>
  <c r="K4" i="12" s="1"/>
  <c r="I78" i="12" a="1"/>
  <c r="I78" i="12" s="1"/>
  <c r="K174" i="12" a="1"/>
  <c r="K174" i="12" s="1"/>
  <c r="S25" i="12" a="1"/>
  <c r="S25" i="12" s="1"/>
  <c r="L43" i="12" a="1"/>
  <c r="L43" i="12" s="1"/>
  <c r="N52" i="12" a="1"/>
  <c r="N52" i="12" s="1"/>
  <c r="N18" i="12" a="1"/>
  <c r="N18" i="12" s="1"/>
  <c r="Z643" i="12" a="1"/>
  <c r="Z643" i="12" s="1"/>
  <c r="J134" i="12" a="1"/>
  <c r="J134" i="12" s="1"/>
  <c r="J24" i="12" a="1"/>
  <c r="J24" i="12" s="1"/>
  <c r="O47" i="12" a="1"/>
  <c r="O47" i="12" s="1"/>
  <c r="O16" i="12" a="1"/>
  <c r="O16" i="12" s="1"/>
  <c r="K32" i="12" a="1"/>
  <c r="K32" i="12" s="1"/>
  <c r="I44" i="12" a="1"/>
  <c r="I44" i="12" s="1"/>
  <c r="L40" i="12" a="1"/>
  <c r="L40" i="12" s="1"/>
  <c r="Q116" i="12" a="1"/>
  <c r="Q116" i="12" s="1"/>
  <c r="N321" i="12" a="1"/>
  <c r="N321" i="12" s="1"/>
  <c r="J91" i="12" a="1"/>
  <c r="J91" i="12" s="1"/>
  <c r="I143" i="12" a="1"/>
  <c r="I143" i="12" s="1"/>
  <c r="R143" i="12" a="1"/>
  <c r="R143" i="12" s="1"/>
  <c r="I72" i="12" a="1"/>
  <c r="I72" i="12" s="1"/>
  <c r="O70" i="12" a="1"/>
  <c r="O70" i="12" s="1"/>
  <c r="L256" i="12" a="1"/>
  <c r="L256" i="12" s="1"/>
  <c r="J201" i="12" a="1"/>
  <c r="J201" i="12" s="1"/>
  <c r="N182" i="12" a="1"/>
  <c r="N182" i="12" s="1"/>
  <c r="G2" i="12" a="1"/>
  <c r="G2" i="12" s="1"/>
  <c r="L2" i="3" a="1"/>
  <c r="L2" i="3" s="1"/>
  <c r="S29" i="12" a="1"/>
  <c r="S29" i="12" s="1"/>
  <c r="N23" i="12" a="1"/>
  <c r="N23" i="12" s="1"/>
  <c r="M23" i="12" a="1"/>
  <c r="M23" i="12" s="1"/>
  <c r="O56" i="12" a="1"/>
  <c r="O56" i="12" s="1"/>
  <c r="R496" i="12" a="1"/>
  <c r="R496" i="12" s="1"/>
  <c r="K423" i="12" a="1"/>
  <c r="K423" i="12" s="1"/>
  <c r="R423" i="12" a="1"/>
  <c r="R423" i="12" s="1"/>
  <c r="S253" i="12" a="1"/>
  <c r="S253" i="12" s="1"/>
  <c r="K212" i="12" a="1"/>
  <c r="K212" i="12" s="1"/>
  <c r="Q146" i="12" a="1"/>
  <c r="Q146" i="12" s="1"/>
  <c r="L207" i="12" a="1"/>
  <c r="L207" i="12" s="1"/>
  <c r="R6" i="12" a="1"/>
  <c r="R6" i="12" s="1"/>
  <c r="F15" i="12" a="1"/>
  <c r="F15" i="12" s="1"/>
  <c r="L27" i="12" a="1"/>
  <c r="L27" i="12" s="1"/>
  <c r="R333" i="12" a="1"/>
  <c r="R333" i="12" s="1"/>
  <c r="J333" i="12" a="1"/>
  <c r="J333" i="12" s="1"/>
  <c r="R121" i="12" a="1"/>
  <c r="R121" i="12" s="1"/>
  <c r="S28" i="12" a="1"/>
  <c r="S28" i="12" s="1"/>
  <c r="S68" i="12" a="1"/>
  <c r="S68" i="12" s="1"/>
  <c r="Q46" i="12" a="1"/>
  <c r="Q46" i="12" s="1"/>
  <c r="S216" i="12" a="1"/>
  <c r="S216" i="12" s="1"/>
  <c r="R82" i="12" a="1"/>
  <c r="R82" i="12" s="1"/>
  <c r="Q55" i="12" a="1"/>
  <c r="Q55" i="12" s="1"/>
  <c r="M40" i="12" a="1"/>
  <c r="M40" i="12" s="1"/>
  <c r="X617" i="12" a="1"/>
  <c r="X617" i="12" s="1"/>
  <c r="I134" i="12" a="1"/>
  <c r="I134" i="12" s="1"/>
  <c r="I5" i="12" a="1"/>
  <c r="I5" i="12" s="1"/>
  <c r="G492" i="12" a="1"/>
  <c r="G492" i="12" s="1"/>
  <c r="P151" i="12" a="1"/>
  <c r="P151" i="12" s="1"/>
  <c r="S104" i="12" a="1"/>
  <c r="S104" i="12" s="1"/>
  <c r="G46" i="12" a="1"/>
  <c r="G46" i="12" s="1"/>
  <c r="Q77" i="12" a="1"/>
  <c r="Q77" i="12" s="1"/>
  <c r="P54" i="12" a="1"/>
  <c r="P54" i="12" s="1"/>
  <c r="AR77" i="2" a="1"/>
  <c r="AR77" i="2" s="1"/>
  <c r="AQ77" i="2" a="1"/>
  <c r="AQ77" i="2" s="1"/>
  <c r="K122" i="12" a="1"/>
  <c r="K122" i="12" s="1"/>
  <c r="S109" i="12" a="1"/>
  <c r="S109" i="12" s="1"/>
  <c r="K17" i="12" a="1"/>
  <c r="K17" i="12" s="1"/>
  <c r="N8" i="12" a="1"/>
  <c r="N8" i="12" s="1"/>
  <c r="S7" i="12" a="1"/>
  <c r="S7" i="12" s="1"/>
  <c r="M586" i="12" a="1"/>
  <c r="M586" i="12" s="1"/>
  <c r="T102" i="12" a="1"/>
  <c r="T102" i="12" s="1"/>
  <c r="P88" i="12" a="1"/>
  <c r="P88" i="12" s="1"/>
  <c r="P28" i="12" a="1"/>
  <c r="P28" i="12" s="1"/>
  <c r="L292" i="12" a="1"/>
  <c r="L292" i="12" s="1"/>
  <c r="O146" i="12" a="1"/>
  <c r="O146" i="12" s="1"/>
  <c r="K224" i="12" a="1"/>
  <c r="K224" i="12" s="1"/>
  <c r="R148" i="12" a="1"/>
  <c r="R148" i="12" s="1"/>
  <c r="F110" i="12" a="1"/>
  <c r="F110" i="12" s="1"/>
  <c r="J2" i="12" a="1"/>
  <c r="J2" i="12" s="1"/>
  <c r="T602" i="12" a="1"/>
  <c r="T602" i="12" s="1"/>
  <c r="T84" i="12" a="1"/>
  <c r="T84" i="12" s="1"/>
  <c r="J84" i="12" a="1"/>
  <c r="J84" i="12" s="1"/>
  <c r="F64" i="12" a="1"/>
  <c r="F64" i="12" s="1"/>
  <c r="U130" i="2" a="1"/>
  <c r="U130" i="2" s="1"/>
  <c r="M275" i="12" a="1"/>
  <c r="M275" i="12" s="1"/>
  <c r="O69" i="12" a="1"/>
  <c r="O69" i="12" s="1"/>
  <c r="AB623" i="12" a="1"/>
  <c r="AB623" i="12" s="1"/>
  <c r="G82" i="12" a="1"/>
  <c r="G82" i="12" s="1"/>
  <c r="M55" i="12" a="1"/>
  <c r="M55" i="12" s="1"/>
  <c r="N39" i="12" a="1"/>
  <c r="N39" i="12" s="1"/>
  <c r="P325" i="12" a="1"/>
  <c r="P325" i="12" s="1"/>
  <c r="T379" i="12" a="1"/>
  <c r="T379" i="12" s="1"/>
  <c r="Q330" i="12" a="1"/>
  <c r="Q330" i="12" s="1"/>
  <c r="F330" i="12" a="1"/>
  <c r="F330" i="12" s="1"/>
  <c r="U164" i="2" a="1"/>
  <c r="U164" i="2" s="1"/>
  <c r="I81" i="12" a="1"/>
  <c r="I81" i="12" s="1"/>
  <c r="K81" i="12" a="1"/>
  <c r="K81" i="12" s="1"/>
  <c r="T382" i="12" a="1"/>
  <c r="T382" i="12" s="1"/>
  <c r="F58" i="12" a="1"/>
  <c r="F58" i="12" s="1"/>
  <c r="U125" i="2" a="1"/>
  <c r="U125" i="2" s="1"/>
  <c r="P216" i="12" a="1"/>
  <c r="P216" i="12" s="1"/>
  <c r="N82" i="12" a="1"/>
  <c r="N82" i="12" s="1"/>
  <c r="N94" i="12" a="1"/>
  <c r="N94" i="12" s="1"/>
  <c r="K90" i="12" a="1"/>
  <c r="K90" i="12" s="1"/>
  <c r="O105" i="12" a="1"/>
  <c r="O105" i="12" s="1"/>
  <c r="M85" i="12" a="1"/>
  <c r="M85" i="12" s="1"/>
  <c r="S78" i="12" a="1"/>
  <c r="S78" i="12" s="1"/>
  <c r="S21" i="12" a="1"/>
  <c r="S21" i="12" s="1"/>
  <c r="I29" i="12" a="1"/>
  <c r="I29" i="12" s="1"/>
  <c r="R191" i="12" a="1"/>
  <c r="R191" i="12" s="1"/>
  <c r="O116" i="12" a="1"/>
  <c r="O116" i="12" s="1"/>
  <c r="F26" i="12" a="1"/>
  <c r="F26" i="12" s="1"/>
  <c r="K14" i="3" a="1"/>
  <c r="K14" i="3" s="1"/>
  <c r="U6" i="2" a="1"/>
  <c r="U6" i="2" s="1"/>
  <c r="M4" i="12" a="1"/>
  <c r="M4" i="12" s="1"/>
  <c r="AL47" i="2" a="1"/>
  <c r="AL47" i="2" s="1"/>
  <c r="K16" i="12" a="1"/>
  <c r="K16" i="12" s="1"/>
  <c r="G160" i="12" a="1"/>
  <c r="G160" i="12" s="1"/>
  <c r="S279" i="12" a="1"/>
  <c r="S279" i="12" s="1"/>
  <c r="I64" i="12" a="1"/>
  <c r="I64" i="12" s="1"/>
  <c r="M93" i="12" a="1"/>
  <c r="M93" i="12" s="1"/>
  <c r="J224" i="12" a="1"/>
  <c r="J224" i="12" s="1"/>
  <c r="O52" i="12" a="1"/>
  <c r="O52" i="12" s="1"/>
  <c r="AA617" i="12" a="1"/>
  <c r="AA617" i="12" s="1"/>
  <c r="M15" i="12" a="1"/>
  <c r="M15" i="12" s="1"/>
  <c r="J9" i="12" a="1"/>
  <c r="J9" i="12" s="1"/>
  <c r="P16" i="12" a="1"/>
  <c r="P16" i="12" s="1"/>
  <c r="N35" i="12" a="1"/>
  <c r="N35" i="12" s="1"/>
  <c r="O21" i="12" a="1"/>
  <c r="O21" i="12" s="1"/>
  <c r="G3" i="12" a="1"/>
  <c r="G3" i="12" s="1"/>
  <c r="L10" i="3" a="1"/>
  <c r="L10" i="3" s="1"/>
  <c r="O3" i="12" a="1"/>
  <c r="O3" i="12" s="1"/>
  <c r="M166" i="12" a="1"/>
  <c r="M166" i="12" s="1"/>
  <c r="T47" i="12" a="1"/>
  <c r="T47" i="12" s="1"/>
  <c r="G93" i="12" a="1"/>
  <c r="G93" i="12" s="1"/>
  <c r="G10" i="12" a="1"/>
  <c r="G10" i="12" s="1"/>
  <c r="K10" i="12" a="1"/>
  <c r="K10" i="12" s="1"/>
  <c r="J305" i="12" a="1"/>
  <c r="J305" i="12" s="1"/>
  <c r="J41" i="12" a="1"/>
  <c r="J41" i="12" s="1"/>
  <c r="Q41" i="12" a="1"/>
  <c r="Q41" i="12" s="1"/>
  <c r="N38" i="12" a="1"/>
  <c r="N38" i="12" s="1"/>
  <c r="K45" i="12" a="1"/>
  <c r="K45" i="12" s="1"/>
  <c r="N45" i="12" a="1"/>
  <c r="N45" i="12" s="1"/>
  <c r="N6" i="12" a="1"/>
  <c r="N6" i="12" s="1"/>
  <c r="Q31" i="12" a="1"/>
  <c r="Q31" i="12" s="1"/>
  <c r="J256" i="12" a="1"/>
  <c r="J256" i="12" s="1"/>
  <c r="T129" i="12" a="1"/>
  <c r="T129" i="12" s="1"/>
  <c r="N129" i="12" a="1"/>
  <c r="N129" i="12" s="1"/>
  <c r="K59" i="12" a="1"/>
  <c r="K59" i="12" s="1"/>
  <c r="K37" i="12" a="1"/>
  <c r="K37" i="12" s="1"/>
  <c r="F118" i="12" a="1"/>
  <c r="F118" i="12" s="1"/>
  <c r="U58" i="2" a="1"/>
  <c r="U58" i="2" s="1"/>
  <c r="I22" i="12" a="1"/>
  <c r="I22" i="12" s="1"/>
  <c r="J22" i="12" a="1"/>
  <c r="J22" i="12" s="1"/>
  <c r="T42" i="12" a="1"/>
  <c r="T42" i="12" s="1"/>
  <c r="I15" i="12" a="1"/>
  <c r="I15" i="12" s="1"/>
  <c r="I80" i="12" a="1"/>
  <c r="I80" i="12" s="1"/>
  <c r="K13" i="12" a="1"/>
  <c r="K13" i="12" s="1"/>
  <c r="R62" i="12" a="1"/>
  <c r="R62" i="12" s="1"/>
  <c r="S155" i="12" a="1"/>
  <c r="S155" i="12" s="1"/>
  <c r="M134" i="12" a="1"/>
  <c r="M134" i="12" s="1"/>
  <c r="I34" i="12" a="1"/>
  <c r="I34" i="12" s="1"/>
  <c r="Z647" i="12" a="1"/>
  <c r="Z647" i="12" s="1"/>
  <c r="M57" i="12" a="1"/>
  <c r="M57" i="12" s="1"/>
  <c r="K182" i="12" a="1"/>
  <c r="K182" i="12" s="1"/>
  <c r="F191" i="12" a="1"/>
  <c r="F191" i="12" s="1"/>
  <c r="U40" i="2" a="1"/>
  <c r="U40" i="2" s="1"/>
  <c r="K9" i="12" a="1"/>
  <c r="K9" i="12" s="1"/>
  <c r="P17" i="12" a="1"/>
  <c r="P17" i="12" s="1"/>
  <c r="O25" i="12" a="1"/>
  <c r="O25" i="12" s="1"/>
  <c r="R53" i="12" a="1"/>
  <c r="R53" i="12" s="1"/>
  <c r="N49" i="12" a="1"/>
  <c r="N49" i="12" s="1"/>
  <c r="M63" i="12" a="1"/>
  <c r="M63" i="12" s="1"/>
  <c r="G11" i="12" a="1"/>
  <c r="G11" i="12" s="1"/>
  <c r="K11" i="12" a="1"/>
  <c r="K11" i="12" s="1"/>
  <c r="O85" i="12" a="1"/>
  <c r="O85" i="12" s="1"/>
  <c r="K51" i="12" a="1"/>
  <c r="K51" i="12" s="1"/>
  <c r="T200" i="12" a="1"/>
  <c r="T200" i="12" s="1"/>
  <c r="F40" i="12" a="1"/>
  <c r="F40" i="12" s="1"/>
  <c r="U73" i="2" a="1"/>
  <c r="U73" i="2" s="1"/>
  <c r="S47" i="12" a="1"/>
  <c r="S47" i="12" s="1"/>
  <c r="N33" i="12" a="1"/>
  <c r="N33" i="12" s="1"/>
  <c r="M33" i="12" a="1"/>
  <c r="M33" i="12" s="1"/>
  <c r="O189" i="12" a="1"/>
  <c r="O189" i="12" s="1"/>
  <c r="N55" i="12" a="1"/>
  <c r="N55" i="12" s="1"/>
  <c r="I47" i="12" a="1"/>
  <c r="I47" i="12" s="1"/>
  <c r="Q109" i="12" a="1"/>
  <c r="Q109" i="12" s="1"/>
  <c r="S237" i="12" a="1"/>
  <c r="S237" i="12" s="1"/>
  <c r="R298" i="12" a="1"/>
  <c r="R298" i="12" s="1"/>
  <c r="G536" i="12" a="1"/>
  <c r="G536" i="12" s="1"/>
  <c r="Q501" i="12" a="1"/>
  <c r="Q501" i="12" s="1"/>
  <c r="N514" i="12" a="1"/>
  <c r="N514" i="12" s="1"/>
  <c r="F519" i="12" a="1"/>
  <c r="F519" i="12" s="1"/>
  <c r="U411" i="2" a="1"/>
  <c r="U411" i="2" s="1"/>
  <c r="P180" i="12" a="1"/>
  <c r="P180" i="12" s="1"/>
  <c r="Q568" i="12" a="1"/>
  <c r="Q568" i="12" s="1"/>
  <c r="T228" i="12" a="1"/>
  <c r="T228" i="12" s="1"/>
  <c r="S527" i="12" a="1"/>
  <c r="S527" i="12" s="1"/>
  <c r="O531" i="12" a="1"/>
  <c r="O531" i="12" s="1"/>
  <c r="N197" i="12" a="1"/>
  <c r="N197" i="12" s="1"/>
  <c r="K556" i="12" a="1"/>
  <c r="K556" i="12" s="1"/>
  <c r="J549" i="12" a="1"/>
  <c r="J549" i="12" s="1"/>
  <c r="K147" i="12" a="1"/>
  <c r="K147" i="12" s="1"/>
  <c r="J597" i="12" a="1"/>
  <c r="J597" i="12" s="1"/>
  <c r="N505" i="12" a="1"/>
  <c r="N505" i="12" s="1"/>
  <c r="Q237" i="12" a="1"/>
  <c r="Q237" i="12" s="1"/>
  <c r="F213" i="12" a="1"/>
  <c r="F213" i="12" s="1"/>
  <c r="U420" i="2" a="1"/>
  <c r="U420" i="2" s="1"/>
  <c r="R263" i="12" a="1"/>
  <c r="R263" i="12" s="1"/>
  <c r="I83" i="12" a="1"/>
  <c r="I83" i="12" s="1"/>
  <c r="J214" i="12" a="1"/>
  <c r="J214" i="12" s="1"/>
  <c r="F588" i="12" a="1"/>
  <c r="F588" i="12" s="1"/>
  <c r="U392" i="2" a="1"/>
  <c r="U392" i="2" s="1"/>
  <c r="F223" i="12" a="1"/>
  <c r="F223" i="12" s="1"/>
  <c r="U464" i="2" a="1"/>
  <c r="U464" i="2" s="1"/>
  <c r="P223" i="12" a="1"/>
  <c r="P223" i="12" s="1"/>
  <c r="T557" i="12" a="1"/>
  <c r="T557" i="12" s="1"/>
  <c r="O258" i="12" a="1"/>
  <c r="O258" i="12" s="1"/>
  <c r="N272" i="12" a="1"/>
  <c r="N272" i="12" s="1"/>
  <c r="S323" i="12" a="1"/>
  <c r="S323" i="12" s="1"/>
  <c r="Q539" i="12" a="1"/>
  <c r="Q539" i="12" s="1"/>
  <c r="N226" i="12" a="1"/>
  <c r="N226" i="12" s="1"/>
  <c r="L514" i="12" a="1"/>
  <c r="L514" i="12" s="1"/>
  <c r="N519" i="12" a="1"/>
  <c r="N519" i="12" s="1"/>
  <c r="T598" i="12" a="1"/>
  <c r="T598" i="12" s="1"/>
  <c r="P598" i="12" a="1"/>
  <c r="P598" i="12" s="1"/>
  <c r="N276" i="12" a="1"/>
  <c r="N276" i="12" s="1"/>
  <c r="N211" i="12" a="1"/>
  <c r="N211" i="12" s="1"/>
  <c r="O243" i="12" a="1"/>
  <c r="O243" i="12" s="1"/>
  <c r="Q226" i="12" a="1"/>
  <c r="Q226" i="12" s="1"/>
  <c r="N561" i="12" a="1"/>
  <c r="N561" i="12" s="1"/>
  <c r="K519" i="12" a="1"/>
  <c r="K519" i="12" s="1"/>
  <c r="M245" i="12" a="1"/>
  <c r="M245" i="12" s="1"/>
  <c r="L503" i="12" a="1"/>
  <c r="L503" i="12" s="1"/>
  <c r="R495" i="12" a="1"/>
  <c r="R495" i="12" s="1"/>
  <c r="R451" i="12" a="1"/>
  <c r="R451" i="12" s="1"/>
  <c r="Q225" i="12" a="1"/>
  <c r="Q225" i="12" s="1"/>
  <c r="I221" i="12" a="1"/>
  <c r="I221" i="12" s="1"/>
  <c r="S490" i="12" a="1"/>
  <c r="S490" i="12" s="1"/>
  <c r="T247" i="12" a="1"/>
  <c r="T247" i="12" s="1"/>
  <c r="N271" i="12" a="1"/>
  <c r="N271" i="12" s="1"/>
  <c r="P463" i="12" a="1"/>
  <c r="P463" i="12" s="1"/>
  <c r="G257" i="12" a="1"/>
  <c r="G257" i="12" s="1"/>
  <c r="K503" i="12" a="1"/>
  <c r="K503" i="12" s="1"/>
  <c r="F236" i="12" a="1"/>
  <c r="F236" i="12" s="1"/>
  <c r="S282" i="12" a="1"/>
  <c r="S282" i="12" s="1"/>
  <c r="N260" i="12" a="1"/>
  <c r="N260" i="12" s="1"/>
  <c r="M561" i="12" a="1"/>
  <c r="M561" i="12" s="1"/>
  <c r="G208" i="12" a="1"/>
  <c r="G208" i="12" s="1"/>
  <c r="K573" i="12" a="1"/>
  <c r="K573" i="12" s="1"/>
  <c r="Z652" i="12" a="1"/>
  <c r="Z652" i="12" s="1"/>
  <c r="J576" i="12" a="1"/>
  <c r="J576" i="12" s="1"/>
  <c r="O247" i="12" a="1"/>
  <c r="O247" i="12" s="1"/>
  <c r="I311" i="12" a="1"/>
  <c r="I311" i="12" s="1"/>
  <c r="Q233" i="12" a="1"/>
  <c r="Q233" i="12" s="1"/>
  <c r="S234" i="12" a="1"/>
  <c r="S234" i="12" s="1"/>
  <c r="L271" i="12" a="1"/>
  <c r="L271" i="12" s="1"/>
  <c r="S581" i="12" a="1"/>
  <c r="S581" i="12" s="1"/>
  <c r="O248" i="12" a="1"/>
  <c r="O248" i="12" s="1"/>
  <c r="N263" i="12" a="1"/>
  <c r="N263" i="12" s="1"/>
  <c r="Q83" i="12" a="1"/>
  <c r="Q83" i="12" s="1"/>
  <c r="L474" i="12" a="1"/>
  <c r="L474" i="12" s="1"/>
  <c r="T519" i="12" a="1"/>
  <c r="T519" i="12" s="1"/>
  <c r="S495" i="12" a="1"/>
  <c r="S495" i="12" s="1"/>
  <c r="G527" i="12" a="1"/>
  <c r="G527" i="12" s="1"/>
  <c r="O551" i="12" a="1"/>
  <c r="O551" i="12" s="1"/>
  <c r="I206" i="12" a="1"/>
  <c r="I206" i="12" s="1"/>
  <c r="S509" i="12" a="1"/>
  <c r="S509" i="12" s="1"/>
  <c r="Q136" i="12" a="1"/>
  <c r="Q136" i="12" s="1"/>
  <c r="P493" i="12" a="1"/>
  <c r="P493" i="12" s="1"/>
  <c r="F176" i="12" a="1"/>
  <c r="F176" i="12" s="1"/>
  <c r="U305" i="2" a="1"/>
  <c r="U305" i="2" s="1"/>
  <c r="P332" i="12" a="1"/>
  <c r="P332" i="12" s="1"/>
  <c r="AQ405" i="2" a="1"/>
  <c r="AQ405" i="2" s="1"/>
  <c r="AR405" i="2" a="1"/>
  <c r="AR405" i="2" s="1"/>
  <c r="O495" i="12" a="1"/>
  <c r="O495" i="12" s="1"/>
  <c r="L220" i="12" a="1"/>
  <c r="L220" i="12" s="1"/>
  <c r="G562" i="12" a="1"/>
  <c r="G562" i="12" s="1"/>
  <c r="I244" i="12" a="1"/>
  <c r="I244" i="12" s="1"/>
  <c r="G415" i="12" a="1"/>
  <c r="G415" i="12" s="1"/>
  <c r="G504" i="12" a="1"/>
  <c r="G504" i="12" s="1"/>
  <c r="R500" i="12" a="1"/>
  <c r="R500" i="12" s="1"/>
  <c r="N179" i="12" a="1"/>
  <c r="N179" i="12" s="1"/>
  <c r="R163" i="12" a="1"/>
  <c r="R163" i="12" s="1"/>
  <c r="F493" i="12" a="1"/>
  <c r="F493" i="12" s="1"/>
  <c r="U314" i="2" a="1"/>
  <c r="U314" i="2" s="1"/>
  <c r="Q397" i="12" a="1"/>
  <c r="Q397" i="12" s="1"/>
  <c r="T194" i="12" a="1"/>
  <c r="T194" i="12" s="1"/>
  <c r="N218" i="12" a="1"/>
  <c r="N218" i="12" s="1"/>
  <c r="P604" i="12" a="1"/>
  <c r="P604" i="12" s="1"/>
  <c r="M547" i="12" a="1"/>
  <c r="M547" i="12" s="1"/>
  <c r="L231" i="12" a="1"/>
  <c r="L231" i="12" s="1"/>
  <c r="P407" i="12" a="1"/>
  <c r="P407" i="12" s="1"/>
  <c r="F193" i="12" a="1"/>
  <c r="F193" i="12" s="1"/>
  <c r="U343" i="2" a="1"/>
  <c r="U343" i="2" s="1"/>
  <c r="T408" i="12" a="1"/>
  <c r="T408" i="12" s="1"/>
  <c r="J586" i="12" a="1"/>
  <c r="J586" i="12" s="1"/>
  <c r="N188" i="12" a="1"/>
  <c r="N188" i="12" s="1"/>
  <c r="M186" i="12" a="1"/>
  <c r="M186" i="12" s="1"/>
  <c r="R176" i="12" a="1"/>
  <c r="R176" i="12" s="1"/>
  <c r="AA653" i="12" a="1"/>
  <c r="AA653" i="12" s="1"/>
  <c r="I584" i="12" a="1"/>
  <c r="I584" i="12" s="1"/>
  <c r="L210" i="12" a="1"/>
  <c r="L210" i="12" s="1"/>
  <c r="S206" i="12" a="1"/>
  <c r="S206" i="12" s="1"/>
  <c r="J508" i="12" a="1"/>
  <c r="J508" i="12" s="1"/>
  <c r="R476" i="12" a="1"/>
  <c r="R476" i="12" s="1"/>
  <c r="L139" i="12" a="1"/>
  <c r="L139" i="12" s="1"/>
  <c r="J559" i="12" a="1"/>
  <c r="J559" i="12" s="1"/>
  <c r="F559" i="12" a="1"/>
  <c r="F559" i="12" s="1"/>
  <c r="U437" i="2" a="1"/>
  <c r="U437" i="2" s="1"/>
  <c r="T604" i="12" a="1"/>
  <c r="T604" i="12" s="1"/>
  <c r="I192" i="12" a="1"/>
  <c r="I192" i="12" s="1"/>
  <c r="S515" i="12" a="1"/>
  <c r="S515" i="12" s="1"/>
  <c r="S541" i="12" a="1"/>
  <c r="S541" i="12" s="1"/>
  <c r="P230" i="12" a="1"/>
  <c r="P230" i="12" s="1"/>
  <c r="P227" i="12" a="1"/>
  <c r="P227" i="12" s="1"/>
  <c r="G190" i="12" a="1"/>
  <c r="G190" i="12" s="1"/>
  <c r="J199" i="12" a="1"/>
  <c r="J199" i="12" s="1"/>
  <c r="M497" i="12" a="1"/>
  <c r="M497" i="12" s="1"/>
  <c r="N492" i="12" a="1"/>
  <c r="N492" i="12" s="1"/>
  <c r="O511" i="12" a="1"/>
  <c r="O511" i="12" s="1"/>
  <c r="P483" i="12" a="1"/>
  <c r="P483" i="12" s="1"/>
  <c r="I519" i="12" a="1"/>
  <c r="I519" i="12" s="1"/>
  <c r="J564" i="12" a="1"/>
  <c r="J564" i="12" s="1"/>
  <c r="P564" i="12" a="1"/>
  <c r="P564" i="12" s="1"/>
  <c r="M530" i="12" a="1"/>
  <c r="M530" i="12" s="1"/>
  <c r="T530" i="12" a="1"/>
  <c r="T530" i="12" s="1"/>
  <c r="L407" i="12" a="1"/>
  <c r="L407" i="12" s="1"/>
  <c r="J206" i="12" a="1"/>
  <c r="J206" i="12" s="1"/>
  <c r="G494" i="12" a="1"/>
  <c r="G494" i="12" s="1"/>
  <c r="N171" i="12" a="1"/>
  <c r="N171" i="12" s="1"/>
  <c r="K271" i="12" a="1"/>
  <c r="K271" i="12" s="1"/>
  <c r="M208" i="12" a="1"/>
  <c r="M208" i="12" s="1"/>
  <c r="T533" i="12" a="1"/>
  <c r="T533" i="12" s="1"/>
  <c r="J588" i="12" a="1"/>
  <c r="J588" i="12" s="1"/>
  <c r="L451" i="12" a="1"/>
  <c r="L451" i="12" s="1"/>
  <c r="K426" i="12" a="1"/>
  <c r="K426" i="12" s="1"/>
  <c r="J522" i="12" a="1"/>
  <c r="J522" i="12" s="1"/>
  <c r="P526" i="12" a="1"/>
  <c r="P526" i="12" s="1"/>
  <c r="O476" i="12" a="1"/>
  <c r="O476" i="12" s="1"/>
  <c r="T217" i="12" a="1"/>
  <c r="T217" i="12" s="1"/>
  <c r="R558" i="12" a="1"/>
  <c r="R558" i="12" s="1"/>
  <c r="P169" i="12" a="1"/>
  <c r="P169" i="12" s="1"/>
  <c r="L502" i="12" a="1"/>
  <c r="L502" i="12" s="1"/>
  <c r="K442" i="12" a="1"/>
  <c r="K442" i="12" s="1"/>
  <c r="Q170" i="12" a="1"/>
  <c r="Q170" i="12" s="1"/>
  <c r="F374" i="12" a="1"/>
  <c r="F374" i="12" s="1"/>
  <c r="U279" i="2" a="1"/>
  <c r="U279" i="2" s="1"/>
  <c r="T419" i="12" a="1"/>
  <c r="T419" i="12" s="1"/>
  <c r="R160" i="12" a="1"/>
  <c r="R160" i="12" s="1"/>
  <c r="P356" i="12" a="1"/>
  <c r="P356" i="12" s="1"/>
  <c r="L162" i="12" a="1"/>
  <c r="L162" i="12" s="1"/>
  <c r="K383" i="12" a="1"/>
  <c r="K383" i="12" s="1"/>
  <c r="S345" i="12" a="1"/>
  <c r="S345" i="12" s="1"/>
  <c r="R226" i="12" a="1"/>
  <c r="R226" i="12" s="1"/>
  <c r="M475" i="12" a="1"/>
  <c r="M475" i="12" s="1"/>
  <c r="S173" i="12" a="1"/>
  <c r="S173" i="12" s="1"/>
  <c r="G192" i="12" a="1"/>
  <c r="G192" i="12" s="1"/>
  <c r="J192" i="12" a="1"/>
  <c r="J192" i="12" s="1"/>
  <c r="P215" i="12" a="1"/>
  <c r="P215" i="12" s="1"/>
  <c r="N215" i="12" a="1"/>
  <c r="N215" i="12" s="1"/>
  <c r="S540" i="12" a="1"/>
  <c r="S540" i="12" s="1"/>
  <c r="L274" i="12" a="1"/>
  <c r="L274" i="12" s="1"/>
  <c r="T274" i="12" a="1"/>
  <c r="T274" i="12" s="1"/>
  <c r="T541" i="12" a="1"/>
  <c r="T541" i="12" s="1"/>
  <c r="G408" i="12" a="1"/>
  <c r="G408" i="12" s="1"/>
  <c r="M171" i="12" a="1"/>
  <c r="M171" i="12" s="1"/>
  <c r="N195" i="12" a="1"/>
  <c r="N195" i="12" s="1"/>
  <c r="M476" i="12" a="1"/>
  <c r="M476" i="12" s="1"/>
  <c r="T295" i="12" a="1"/>
  <c r="T295" i="12" s="1"/>
  <c r="Z658" i="12" a="1"/>
  <c r="Z658" i="12" s="1"/>
  <c r="F187" i="12" a="1"/>
  <c r="F187" i="12" s="1"/>
  <c r="U386" i="2" a="1"/>
  <c r="U386" i="2" s="1"/>
  <c r="L206" i="12" a="1"/>
  <c r="L206" i="12" s="1"/>
  <c r="G449" i="12" a="1"/>
  <c r="G449" i="12" s="1"/>
  <c r="M205" i="12" a="1"/>
  <c r="M205" i="12" s="1"/>
  <c r="Q281" i="12" a="1"/>
  <c r="Q281" i="12" s="1"/>
  <c r="K185" i="12" a="1"/>
  <c r="K185" i="12" s="1"/>
  <c r="T267" i="12" a="1"/>
  <c r="T267" i="12" s="1"/>
  <c r="AA629" i="12" a="1"/>
  <c r="AA629" i="12" s="1"/>
  <c r="G180" i="12" a="1"/>
  <c r="G180" i="12" s="1"/>
  <c r="O231" i="12" a="1"/>
  <c r="O231" i="12" s="1"/>
  <c r="P494" i="12" a="1"/>
  <c r="P494" i="12" s="1"/>
  <c r="AA616" i="12" a="1"/>
  <c r="AA616" i="12" s="1"/>
  <c r="N205" i="12" a="1"/>
  <c r="N205" i="12" s="1"/>
  <c r="AR260" i="2" a="1"/>
  <c r="AR260" i="2" s="1"/>
  <c r="AQ260" i="2" a="1"/>
  <c r="AQ260" i="2" s="1"/>
  <c r="N132" i="12" a="1"/>
  <c r="N132" i="12" s="1"/>
  <c r="J114" i="12" a="1"/>
  <c r="J114" i="12" s="1"/>
  <c r="M217" i="12" a="1"/>
  <c r="M217" i="12" s="1"/>
  <c r="M374" i="12" a="1"/>
  <c r="M374" i="12" s="1"/>
  <c r="Q479" i="12" a="1"/>
  <c r="Q479" i="12" s="1"/>
  <c r="M370" i="12" a="1"/>
  <c r="M370" i="12" s="1"/>
  <c r="N108" i="12" a="1"/>
  <c r="N108" i="12" s="1"/>
  <c r="I377" i="12" a="1"/>
  <c r="I377" i="12" s="1"/>
  <c r="Q422" i="12" a="1"/>
  <c r="Q422" i="12" s="1"/>
  <c r="J165" i="12" a="1"/>
  <c r="J165" i="12" s="1"/>
  <c r="G112" i="12" a="1"/>
  <c r="G112" i="12" s="1"/>
  <c r="J151" i="12" a="1"/>
  <c r="J151" i="12" s="1"/>
  <c r="S150" i="12" a="1"/>
  <c r="S150" i="12" s="1"/>
  <c r="Q157" i="12" a="1"/>
  <c r="Q157" i="12" s="1"/>
  <c r="P264" i="12" a="1"/>
  <c r="P264" i="12" s="1"/>
  <c r="M48" i="12" a="1"/>
  <c r="M48" i="12" s="1"/>
  <c r="T119" i="12" a="1"/>
  <c r="T119" i="12" s="1"/>
  <c r="R67" i="12" a="1"/>
  <c r="R67" i="12" s="1"/>
  <c r="Z633" i="12" a="1"/>
  <c r="Z633" i="12" s="1"/>
  <c r="T128" i="12" a="1"/>
  <c r="T128" i="12" s="1"/>
  <c r="Q126" i="12" a="1"/>
  <c r="Q126" i="12" s="1"/>
  <c r="R89" i="12" a="1"/>
  <c r="R89" i="12" s="1"/>
  <c r="Q96" i="12" a="1"/>
  <c r="Q96" i="12" s="1"/>
  <c r="L202" i="12" a="1"/>
  <c r="L202" i="12" s="1"/>
  <c r="R534" i="12" a="1"/>
  <c r="R534" i="12" s="1"/>
  <c r="T583" i="12" a="1"/>
  <c r="T583" i="12" s="1"/>
  <c r="F606" i="12" a="1"/>
  <c r="F606" i="12" s="1"/>
  <c r="P209" i="12" a="1"/>
  <c r="P209" i="12" s="1"/>
  <c r="AR265" i="2" a="1"/>
  <c r="AR265" i="2" s="1"/>
  <c r="AQ265" i="2" a="1"/>
  <c r="AQ265" i="2" s="1"/>
  <c r="O452" i="12" a="1"/>
  <c r="O452" i="12" s="1"/>
  <c r="L309" i="12" a="1"/>
  <c r="L309" i="12" s="1"/>
  <c r="F142" i="12" a="1"/>
  <c r="F142" i="12" s="1"/>
  <c r="U231" i="2" a="1"/>
  <c r="U231" i="2" s="1"/>
  <c r="K404" i="12" a="1"/>
  <c r="K404" i="12" s="1"/>
  <c r="N365" i="12" a="1"/>
  <c r="N365" i="12" s="1"/>
  <c r="T368" i="12" a="1"/>
  <c r="T368" i="12" s="1"/>
  <c r="M120" i="12" a="1"/>
  <c r="M120" i="12" s="1"/>
  <c r="P115" i="12" a="1"/>
  <c r="P115" i="12" s="1"/>
  <c r="T296" i="12" a="1"/>
  <c r="T296" i="12" s="1"/>
  <c r="G297" i="12" a="1"/>
  <c r="G297" i="12" s="1"/>
  <c r="S65" i="12" a="1"/>
  <c r="S65" i="12" s="1"/>
  <c r="M102" i="12" a="1"/>
  <c r="M102" i="12" s="1"/>
  <c r="Q94" i="12" a="1"/>
  <c r="Q94" i="12" s="1"/>
  <c r="P70" i="12" a="1"/>
  <c r="P70" i="12" s="1"/>
  <c r="T222" i="12" a="1"/>
  <c r="T222" i="12" s="1"/>
  <c r="J74" i="12" a="1"/>
  <c r="J74" i="12" s="1"/>
  <c r="N76" i="12" a="1"/>
  <c r="N76" i="12" s="1"/>
  <c r="T122" i="12" a="1"/>
  <c r="T122" i="12" s="1"/>
  <c r="K308" i="12" a="1"/>
  <c r="K308" i="12" s="1"/>
  <c r="N337" i="12" a="1"/>
  <c r="N337" i="12" s="1"/>
  <c r="Q167" i="12" a="1"/>
  <c r="Q167" i="12" s="1"/>
  <c r="U258" i="2" a="1"/>
  <c r="U258" i="2" s="1"/>
  <c r="L135" i="12" a="1"/>
  <c r="L135" i="12" s="1"/>
  <c r="L145" i="12" a="1"/>
  <c r="L145" i="12" s="1"/>
  <c r="R321" i="12" a="1"/>
  <c r="R321" i="12" s="1"/>
  <c r="N309" i="12" a="1"/>
  <c r="N309" i="12" s="1"/>
  <c r="I404" i="12" a="1"/>
  <c r="I404" i="12" s="1"/>
  <c r="S293" i="12" a="1"/>
  <c r="S293" i="12" s="1"/>
  <c r="K285" i="12" a="1"/>
  <c r="K285" i="12" s="1"/>
  <c r="L602" i="12" a="1"/>
  <c r="L602" i="12" s="1"/>
  <c r="N111" i="12" a="1"/>
  <c r="N111" i="12" s="1"/>
  <c r="G259" i="12" a="1"/>
  <c r="G259" i="12" s="1"/>
  <c r="T82" i="12" a="1"/>
  <c r="T82" i="12" s="1"/>
  <c r="J190" i="12" a="1"/>
  <c r="J190" i="12" s="1"/>
  <c r="J412" i="12" a="1"/>
  <c r="J412" i="12" s="1"/>
  <c r="G469" i="12" a="1"/>
  <c r="G469" i="12" s="1"/>
  <c r="L452" i="12" a="1"/>
  <c r="L452" i="12" s="1"/>
  <c r="F153" i="12" a="1"/>
  <c r="F153" i="12" s="1"/>
  <c r="U237" i="2" a="1"/>
  <c r="U237" i="2" s="1"/>
  <c r="L422" i="12" a="1"/>
  <c r="L422" i="12" s="1"/>
  <c r="K115" i="12" a="1"/>
  <c r="K115" i="12" s="1"/>
  <c r="Q335" i="12" a="1"/>
  <c r="Q335" i="12" s="1"/>
  <c r="O140" i="12" a="1"/>
  <c r="O140" i="12" s="1"/>
  <c r="L91" i="12" a="1"/>
  <c r="L91" i="12" s="1"/>
  <c r="L312" i="12" a="1"/>
  <c r="L312" i="12" s="1"/>
  <c r="N602" i="12" a="1"/>
  <c r="N602" i="12" s="1"/>
  <c r="J128" i="12" a="1"/>
  <c r="J128" i="12" s="1"/>
  <c r="N454" i="12" a="1"/>
  <c r="N454" i="12" s="1"/>
  <c r="O497" i="12" a="1"/>
  <c r="O497" i="12" s="1"/>
  <c r="I502" i="12" a="1"/>
  <c r="I502" i="12" s="1"/>
  <c r="J356" i="12" a="1"/>
  <c r="J356" i="12" s="1"/>
  <c r="Z651" i="12" a="1"/>
  <c r="Z651" i="12" s="1"/>
  <c r="O345" i="12" a="1"/>
  <c r="O345" i="12" s="1"/>
  <c r="M156" i="12" a="1"/>
  <c r="M156" i="12" s="1"/>
  <c r="G321" i="12" a="1"/>
  <c r="G321" i="12" s="1"/>
  <c r="J377" i="12" a="1"/>
  <c r="J377" i="12" s="1"/>
  <c r="J431" i="12" a="1"/>
  <c r="J431" i="12" s="1"/>
  <c r="M354" i="12" a="1"/>
  <c r="M354" i="12" s="1"/>
  <c r="N376" i="12" a="1"/>
  <c r="N376" i="12" s="1"/>
  <c r="N607" i="12" a="1"/>
  <c r="N607" i="12" s="1"/>
  <c r="L387" i="12" a="1"/>
  <c r="L387" i="12" s="1"/>
  <c r="J264" i="12" a="1"/>
  <c r="J264" i="12" s="1"/>
  <c r="S48" i="12" a="1"/>
  <c r="S48" i="12" s="1"/>
  <c r="F133" i="12" a="1"/>
  <c r="F133" i="12" s="1"/>
  <c r="K289" i="12" a="1"/>
  <c r="K289" i="12" s="1"/>
  <c r="AL146" i="2" a="1"/>
  <c r="AL146" i="2" s="1"/>
  <c r="M195" i="12" a="1"/>
  <c r="M195" i="12" s="1"/>
  <c r="L484" i="12" a="1"/>
  <c r="L484" i="12" s="1"/>
  <c r="R416" i="12" a="1"/>
  <c r="R416" i="12" s="1"/>
  <c r="S372" i="12" a="1"/>
  <c r="S372" i="12" s="1"/>
  <c r="O490" i="12" a="1"/>
  <c r="O490" i="12" s="1"/>
  <c r="J422" i="12" a="1"/>
  <c r="J422" i="12" s="1"/>
  <c r="R325" i="12" a="1"/>
  <c r="R325" i="12" s="1"/>
  <c r="P368" i="12" a="1"/>
  <c r="P368" i="12" s="1"/>
  <c r="R150" i="12" a="1"/>
  <c r="R150" i="12" s="1"/>
  <c r="J107" i="12" a="1"/>
  <c r="J107" i="12" s="1"/>
  <c r="G92" i="12" a="1"/>
  <c r="G92" i="12" s="1"/>
  <c r="N140" i="12" a="1"/>
  <c r="N140" i="12" s="1"/>
  <c r="P106" i="12" a="1"/>
  <c r="P106" i="12" s="1"/>
  <c r="J314" i="12" a="1"/>
  <c r="J314" i="12" s="1"/>
  <c r="T121" i="12" a="1"/>
  <c r="T121" i="12" s="1"/>
  <c r="N71" i="12" a="1"/>
  <c r="N71" i="12" s="1"/>
  <c r="R203" i="12" a="1"/>
  <c r="R203" i="12" s="1"/>
  <c r="R79" i="12" a="1"/>
  <c r="R79" i="12" s="1"/>
  <c r="J54" i="12" a="1"/>
  <c r="J54" i="12" s="1"/>
  <c r="R40" i="12" a="1"/>
  <c r="R40" i="12" s="1"/>
  <c r="G38" i="12" a="1"/>
  <c r="G38" i="12" s="1"/>
  <c r="J100" i="12" a="1"/>
  <c r="J100" i="12" s="1"/>
  <c r="T148" i="12" a="1"/>
  <c r="T148" i="12" s="1"/>
  <c r="F232" i="12" a="1"/>
  <c r="F232" i="12" s="1"/>
  <c r="U345" i="2" a="1"/>
  <c r="U345" i="2" s="1"/>
  <c r="K168" i="12" a="1"/>
  <c r="K168" i="12" s="1"/>
  <c r="T168" i="12" a="1"/>
  <c r="T168" i="12" s="1"/>
  <c r="R229" i="12" a="1"/>
  <c r="R229" i="12" s="1"/>
  <c r="M419" i="12" a="1"/>
  <c r="M419" i="12" s="1"/>
  <c r="J479" i="12" a="1"/>
  <c r="J479" i="12" s="1"/>
  <c r="Q427" i="12" a="1"/>
  <c r="Q427" i="12" s="1"/>
  <c r="L123" i="12" a="1"/>
  <c r="L123" i="12" s="1"/>
  <c r="N432" i="12" a="1"/>
  <c r="N432" i="12" s="1"/>
  <c r="S432" i="12" a="1"/>
  <c r="S432" i="12" s="1"/>
  <c r="G153" i="12" a="1"/>
  <c r="G153" i="12" s="1"/>
  <c r="P138" i="12" a="1"/>
  <c r="P138" i="12" s="1"/>
  <c r="R165" i="12" a="1"/>
  <c r="R165" i="12" s="1"/>
  <c r="Q388" i="12" a="1"/>
  <c r="Q388" i="12" s="1"/>
  <c r="T177" i="12" a="1"/>
  <c r="T177" i="12" s="1"/>
  <c r="G283" i="12" a="1"/>
  <c r="G283" i="12" s="1"/>
  <c r="F368" i="12" a="1"/>
  <c r="F368" i="12" s="1"/>
  <c r="U216" i="2" a="1"/>
  <c r="U216" i="2" s="1"/>
  <c r="F299" i="12" a="1"/>
  <c r="F299" i="12" s="1"/>
  <c r="I183" i="12" a="1"/>
  <c r="I183" i="12" s="1"/>
  <c r="L140" i="12" a="1"/>
  <c r="L140" i="12" s="1"/>
  <c r="O293" i="12" a="1"/>
  <c r="O293" i="12" s="1"/>
  <c r="G161" i="12" a="1"/>
  <c r="G161" i="12" s="1"/>
  <c r="F106" i="12" a="1"/>
  <c r="F106" i="12" s="1"/>
  <c r="U171" i="2" a="1"/>
  <c r="U171" i="2" s="1"/>
  <c r="T126" i="12" a="1"/>
  <c r="T126" i="12" s="1"/>
  <c r="F87" i="12" a="1"/>
  <c r="F87" i="12" s="1"/>
  <c r="N203" i="12" a="1"/>
  <c r="N203" i="12" s="1"/>
  <c r="P568" i="12" a="1"/>
  <c r="P568" i="12" s="1"/>
  <c r="K462" i="12" a="1"/>
  <c r="K462" i="12" s="1"/>
  <c r="T131" i="12" a="1"/>
  <c r="T131" i="12" s="1"/>
  <c r="J403" i="12" a="1"/>
  <c r="J403" i="12" s="1"/>
  <c r="N141" i="12" a="1"/>
  <c r="N141" i="12" s="1"/>
  <c r="I383" i="12" a="1"/>
  <c r="I383" i="12" s="1"/>
  <c r="O393" i="12" a="1"/>
  <c r="O393" i="12" s="1"/>
  <c r="G427" i="12" a="1"/>
  <c r="G427" i="12" s="1"/>
  <c r="N427" i="12" a="1"/>
  <c r="N427" i="12" s="1"/>
  <c r="R135" i="12" a="1"/>
  <c r="R135" i="12" s="1"/>
  <c r="L321" i="12" a="1"/>
  <c r="L321" i="12" s="1"/>
  <c r="S120" i="12" a="1"/>
  <c r="S120" i="12" s="1"/>
  <c r="F157" i="12" a="1"/>
  <c r="F157" i="12" s="1"/>
  <c r="S119" i="12" a="1"/>
  <c r="S119" i="12" s="1"/>
  <c r="N133" i="12" a="1"/>
  <c r="N133" i="12" s="1"/>
  <c r="S126" i="12" a="1"/>
  <c r="S126" i="12" s="1"/>
  <c r="K121" i="12" a="1"/>
  <c r="K121" i="12" s="1"/>
  <c r="M253" i="12" a="1"/>
  <c r="M253" i="12" s="1"/>
  <c r="M556" i="12" a="1"/>
  <c r="M556" i="12" s="1"/>
  <c r="M235" i="12" a="1"/>
  <c r="M235" i="12" s="1"/>
  <c r="S308" i="12" a="1"/>
  <c r="S308" i="12" s="1"/>
  <c r="O374" i="12" a="1"/>
  <c r="O374" i="12" s="1"/>
  <c r="L152" i="12" a="1"/>
  <c r="L152" i="12" s="1"/>
  <c r="G458" i="12" a="1"/>
  <c r="G458" i="12" s="1"/>
  <c r="Q363" i="12" a="1"/>
  <c r="Q363" i="12" s="1"/>
  <c r="R366" i="12" a="1"/>
  <c r="R366" i="12" s="1"/>
  <c r="G370" i="12" a="1"/>
  <c r="G370" i="12" s="1"/>
  <c r="K177" i="12" a="1"/>
  <c r="K177" i="12" s="1"/>
  <c r="T348" i="12" a="1"/>
  <c r="T348" i="12" s="1"/>
  <c r="R335" i="12" a="1"/>
  <c r="R335" i="12" s="1"/>
  <c r="N317" i="12" a="1"/>
  <c r="N317" i="12" s="1"/>
  <c r="O97" i="12" a="1"/>
  <c r="O97" i="12" s="1"/>
  <c r="K73" i="12" a="1"/>
  <c r="K73" i="12" s="1"/>
  <c r="I415" i="12" a="1"/>
  <c r="I415" i="12" s="1"/>
  <c r="M528" i="12" a="1"/>
  <c r="M528" i="12" s="1"/>
  <c r="J528" i="12" a="1"/>
  <c r="J528" i="12" s="1"/>
  <c r="K414" i="12" a="1"/>
  <c r="K414" i="12" s="1"/>
  <c r="I363" i="12" a="1"/>
  <c r="I363" i="12" s="1"/>
  <c r="S159" i="12" a="1"/>
  <c r="S159" i="12" s="1"/>
  <c r="S404" i="12" a="1"/>
  <c r="S404" i="12" s="1"/>
  <c r="M358" i="12" a="1"/>
  <c r="M358" i="12" s="1"/>
  <c r="I376" i="12" a="1"/>
  <c r="I376" i="12" s="1"/>
  <c r="G387" i="12" a="1"/>
  <c r="G387" i="12" s="1"/>
  <c r="N101" i="12" a="1"/>
  <c r="N101" i="12" s="1"/>
  <c r="K293" i="12" a="1"/>
  <c r="K293" i="12" s="1"/>
  <c r="K317" i="12" a="1"/>
  <c r="K317" i="12" s="1"/>
  <c r="F602" i="12" a="1"/>
  <c r="F602" i="12" s="1"/>
  <c r="U172" i="2" a="1"/>
  <c r="U172" i="2" s="1"/>
  <c r="F71" i="12" a="1"/>
  <c r="F71" i="12" s="1"/>
  <c r="U151" i="2" a="1"/>
  <c r="U151" i="2" s="1"/>
  <c r="G196" i="12" a="1"/>
  <c r="G196" i="12" s="1"/>
  <c r="N151" i="12" a="1"/>
  <c r="N151" i="12" s="1"/>
  <c r="N125" i="12" a="1"/>
  <c r="N125" i="12" s="1"/>
  <c r="R94" i="12" a="1"/>
  <c r="R94" i="12" s="1"/>
  <c r="O61" i="12" a="1"/>
  <c r="O61" i="12" s="1"/>
  <c r="K14" i="12" a="1"/>
  <c r="K14" i="12" s="1"/>
  <c r="G29" i="12" a="1"/>
  <c r="G29" i="12" s="1"/>
  <c r="G110" i="12" a="1"/>
  <c r="G110" i="12" s="1"/>
  <c r="K24" i="12" a="1"/>
  <c r="K24" i="12" s="1"/>
  <c r="Q47" i="12" a="1"/>
  <c r="Q47" i="12" s="1"/>
  <c r="T20" i="12" a="1"/>
  <c r="T20" i="12" s="1"/>
  <c r="F79" i="12" a="1"/>
  <c r="F79" i="12" s="1"/>
  <c r="U123" i="2" a="1"/>
  <c r="U123" i="2" s="1"/>
  <c r="I69" i="12" a="1"/>
  <c r="I69" i="12" s="1"/>
  <c r="AQ91" i="2" a="1"/>
  <c r="AQ91" i="2" s="1"/>
  <c r="AR91" i="2" a="1"/>
  <c r="AR91" i="2" s="1"/>
  <c r="N25" i="12" a="1"/>
  <c r="N25" i="12" s="1"/>
  <c r="N43" i="12" a="1"/>
  <c r="N43" i="12" s="1"/>
  <c r="J144" i="12" a="1"/>
  <c r="J144" i="12" s="1"/>
  <c r="G30" i="12" a="1"/>
  <c r="G30" i="12" s="1"/>
  <c r="O29" i="12" a="1"/>
  <c r="O29" i="12" s="1"/>
  <c r="N24" i="12" a="1"/>
  <c r="N24" i="12" s="1"/>
  <c r="L47" i="12" a="1"/>
  <c r="L47" i="12" s="1"/>
  <c r="R3" i="12" a="1"/>
  <c r="R3" i="12" s="1"/>
  <c r="W10" i="3" a="1"/>
  <c r="W10" i="3" s="1"/>
  <c r="G32" i="12" a="1"/>
  <c r="G32" i="12" s="1"/>
  <c r="M122" i="12" a="1"/>
  <c r="M122" i="12" s="1"/>
  <c r="T44" i="12" a="1"/>
  <c r="T44" i="12" s="1"/>
  <c r="M17" i="12" a="1"/>
  <c r="M17" i="12" s="1"/>
  <c r="Q6" i="12" a="1"/>
  <c r="Q6" i="12" s="1"/>
  <c r="R12" i="12" a="1"/>
  <c r="R12" i="12" s="1"/>
  <c r="J13" i="12" a="1"/>
  <c r="J13" i="12" s="1"/>
  <c r="O6" i="3" a="1"/>
  <c r="O6" i="3" s="1"/>
  <c r="L109" i="12" a="1"/>
  <c r="L109" i="12" s="1"/>
  <c r="L165" i="12" a="1"/>
  <c r="L165" i="12" s="1"/>
  <c r="P143" i="12" a="1"/>
  <c r="P143" i="12" s="1"/>
  <c r="N143" i="12" a="1"/>
  <c r="N143" i="12" s="1"/>
  <c r="K72" i="12" a="1"/>
  <c r="K72" i="12" s="1"/>
  <c r="K70" i="12" a="1"/>
  <c r="K70" i="12" s="1"/>
  <c r="P256" i="12" a="1"/>
  <c r="P256" i="12" s="1"/>
  <c r="L90" i="12" a="1"/>
  <c r="L90" i="12" s="1"/>
  <c r="T74" i="12" a="1"/>
  <c r="T74" i="12" s="1"/>
  <c r="AB621" i="12" a="1"/>
  <c r="AB621" i="12" s="1"/>
  <c r="F4" i="12" a="1"/>
  <c r="F4" i="12" s="1"/>
  <c r="U2" i="2" a="1"/>
  <c r="U2" i="2" s="1"/>
  <c r="T50" i="12" a="1"/>
  <c r="T50" i="12" s="1"/>
  <c r="T9" i="12" a="1"/>
  <c r="T9" i="12" s="1"/>
  <c r="R130" i="12" a="1"/>
  <c r="R130" i="12" s="1"/>
  <c r="F56" i="12" a="1"/>
  <c r="F56" i="12" s="1"/>
  <c r="U68" i="2" a="1"/>
  <c r="U68" i="2" s="1"/>
  <c r="F496" i="12" a="1"/>
  <c r="F496" i="12" s="1"/>
  <c r="U240" i="2" a="1"/>
  <c r="U240" i="2" s="1"/>
  <c r="S309" i="12" a="1"/>
  <c r="S309" i="12" s="1"/>
  <c r="M423" i="12" a="1"/>
  <c r="M423" i="12" s="1"/>
  <c r="S423" i="12" a="1"/>
  <c r="S423" i="12" s="1"/>
  <c r="R102" i="12" a="1"/>
  <c r="R102" i="12" s="1"/>
  <c r="F96" i="12" a="1"/>
  <c r="F96" i="12" s="1"/>
  <c r="U134" i="2" a="1"/>
  <c r="U134" i="2" s="1"/>
  <c r="Q79" i="12" a="1"/>
  <c r="Q79" i="12" s="1"/>
  <c r="F212" i="12" a="1"/>
  <c r="F212" i="12" s="1"/>
  <c r="U122" i="2" a="1"/>
  <c r="U122" i="2" s="1"/>
  <c r="G207" i="12" a="1"/>
  <c r="G207" i="12" s="1"/>
  <c r="AA637" i="12" a="1"/>
  <c r="AA637" i="12" s="1"/>
  <c r="K12" i="12" a="1"/>
  <c r="K12" i="12" s="1"/>
  <c r="R27" i="12" a="1"/>
  <c r="R27" i="12" s="1"/>
  <c r="I333" i="12" a="1"/>
  <c r="I333" i="12" s="1"/>
  <c r="P333" i="12" a="1"/>
  <c r="P333" i="12" s="1"/>
  <c r="F121" i="12" a="1"/>
  <c r="F121" i="12" s="1"/>
  <c r="U156" i="2" a="1"/>
  <c r="U156" i="2" s="1"/>
  <c r="N28" i="12" a="1"/>
  <c r="N28" i="12" s="1"/>
  <c r="O68" i="12" a="1"/>
  <c r="O68" i="12" s="1"/>
  <c r="P146" i="12" a="1"/>
  <c r="P146" i="12" s="1"/>
  <c r="I305" i="12" a="1"/>
  <c r="I305" i="12" s="1"/>
  <c r="F55" i="12" a="1"/>
  <c r="F55" i="12" s="1"/>
  <c r="U85" i="2" a="1"/>
  <c r="U85" i="2" s="1"/>
  <c r="F39" i="12" a="1"/>
  <c r="F39" i="12" s="1"/>
  <c r="U44" i="2" a="1"/>
  <c r="U44" i="2" s="1"/>
  <c r="M109" i="12" a="1"/>
  <c r="M109" i="12" s="1"/>
  <c r="R8" i="12" a="1"/>
  <c r="R8" i="12" s="1"/>
  <c r="T5" i="12" a="1"/>
  <c r="T5" i="12" s="1"/>
  <c r="O4" i="12" a="1"/>
  <c r="O4" i="12" s="1"/>
  <c r="I492" i="12" a="1"/>
  <c r="I492" i="12" s="1"/>
  <c r="U210" i="2" a="1"/>
  <c r="U210" i="2" s="1"/>
  <c r="L266" i="12" a="1"/>
  <c r="L266" i="12" s="1"/>
  <c r="O104" i="12" a="1"/>
  <c r="O104" i="12" s="1"/>
  <c r="R46" i="12" a="1"/>
  <c r="R46" i="12" s="1"/>
  <c r="R77" i="12" a="1"/>
  <c r="R77" i="12" s="1"/>
  <c r="Z609" i="12" a="1"/>
  <c r="Z609" i="12" s="1"/>
  <c r="L76" i="12" a="1"/>
  <c r="L76" i="12" s="1"/>
  <c r="K35" i="12" a="1"/>
  <c r="K35" i="12" s="1"/>
  <c r="P110" i="12" a="1"/>
  <c r="P110" i="12" s="1"/>
  <c r="K8" i="12" a="1"/>
  <c r="K8" i="12" s="1"/>
  <c r="R469" i="12" a="1"/>
  <c r="R469" i="12" s="1"/>
  <c r="P128" i="12" a="1"/>
  <c r="P128" i="12" s="1"/>
  <c r="I88" i="12" a="1"/>
  <c r="I88" i="12" s="1"/>
  <c r="I266" i="12" a="1"/>
  <c r="I266" i="12" s="1"/>
  <c r="J222" i="12" a="1"/>
  <c r="J222" i="12" s="1"/>
  <c r="G292" i="12" a="1"/>
  <c r="G292" i="12" s="1"/>
  <c r="M207" i="12" a="1"/>
  <c r="M207" i="12" s="1"/>
  <c r="G224" i="12" a="1"/>
  <c r="G224" i="12" s="1"/>
  <c r="R75" i="12" a="1"/>
  <c r="R75" i="12" s="1"/>
  <c r="N134" i="12" a="1"/>
  <c r="N134" i="12" s="1"/>
  <c r="K27" i="12" a="1"/>
  <c r="K27" i="12" s="1"/>
  <c r="S479" i="12" a="1"/>
  <c r="S479" i="12" s="1"/>
  <c r="AQ199" i="2" a="1"/>
  <c r="AQ199" i="2" s="1"/>
  <c r="G106" i="12" a="1"/>
  <c r="G106" i="12" s="1"/>
  <c r="M84" i="12" a="1"/>
  <c r="M84" i="12" s="1"/>
  <c r="F84" i="12" a="1"/>
  <c r="F84" i="12" s="1"/>
  <c r="U150" i="2" a="1"/>
  <c r="U150" i="2" s="1"/>
  <c r="Q64" i="12" a="1"/>
  <c r="Q64" i="12" s="1"/>
  <c r="M95" i="12" a="1"/>
  <c r="M95" i="12" s="1"/>
  <c r="S275" i="12" a="1"/>
  <c r="S275" i="12" s="1"/>
  <c r="J69" i="12" a="1"/>
  <c r="J69" i="12" s="1"/>
  <c r="X623" i="12" a="1"/>
  <c r="X623" i="12" s="1"/>
  <c r="S61" i="12" a="1"/>
  <c r="S61" i="12" s="1"/>
  <c r="O55" i="12" a="1"/>
  <c r="O55" i="12" s="1"/>
  <c r="G18" i="12" a="1"/>
  <c r="G18" i="12" s="1"/>
  <c r="T39" i="12" a="1"/>
  <c r="T39" i="12" s="1"/>
  <c r="P379" i="12" a="1"/>
  <c r="P379" i="12" s="1"/>
  <c r="AB655" i="12" a="1"/>
  <c r="AB655" i="12" s="1"/>
  <c r="R330" i="12" a="1"/>
  <c r="R330" i="12" s="1"/>
  <c r="L330" i="12" a="1"/>
  <c r="L330" i="12" s="1"/>
  <c r="P81" i="12" a="1"/>
  <c r="P81" i="12" s="1"/>
  <c r="G81" i="12" a="1"/>
  <c r="G81" i="12" s="1"/>
  <c r="J382" i="12" a="1"/>
  <c r="J382" i="12" s="1"/>
  <c r="Q58" i="12" a="1"/>
  <c r="Q58" i="12" s="1"/>
  <c r="N292" i="12" a="1"/>
  <c r="N292" i="12" s="1"/>
  <c r="L201" i="12" a="1"/>
  <c r="L201" i="12" s="1"/>
  <c r="R61" i="12" a="1"/>
  <c r="R61" i="12" s="1"/>
  <c r="S32" i="12" a="1"/>
  <c r="S32" i="12" s="1"/>
  <c r="R25" i="12" a="1"/>
  <c r="R25" i="12" s="1"/>
  <c r="R35" i="12" a="1"/>
  <c r="R35" i="12" s="1"/>
  <c r="G299" i="12" a="1"/>
  <c r="G299" i="12" s="1"/>
  <c r="N259" i="12" a="1"/>
  <c r="N259" i="12" s="1"/>
  <c r="F90" i="12" a="1"/>
  <c r="F90" i="12" s="1"/>
  <c r="U126" i="2" a="1"/>
  <c r="U126" i="2" s="1"/>
  <c r="J105" i="12" a="1"/>
  <c r="J105" i="12" s="1"/>
  <c r="S85" i="12" a="1"/>
  <c r="S85" i="12" s="1"/>
  <c r="O78" i="12" a="1"/>
  <c r="O78" i="12" s="1"/>
  <c r="J174" i="12" a="1"/>
  <c r="J174" i="12" s="1"/>
  <c r="J148" i="12" a="1"/>
  <c r="J148" i="12" s="1"/>
  <c r="M56" i="12" a="1"/>
  <c r="M56" i="12" s="1"/>
  <c r="L155" i="12" a="1"/>
  <c r="L155" i="12" s="1"/>
  <c r="T3" i="12" a="1"/>
  <c r="T3" i="12" s="1"/>
  <c r="Y10" i="3" a="1"/>
  <c r="Y10" i="3" s="1"/>
  <c r="I160" i="12" a="1"/>
  <c r="I160" i="12" s="1"/>
  <c r="U181" i="2" a="1"/>
  <c r="U181" i="2" s="1"/>
  <c r="T99" i="12" a="1"/>
  <c r="T99" i="12" s="1"/>
  <c r="I89" i="12" a="1"/>
  <c r="I89" i="12" s="1"/>
  <c r="S256" i="12" a="1"/>
  <c r="S256" i="12" s="1"/>
  <c r="S93" i="12" a="1"/>
  <c r="S93" i="12" s="1"/>
  <c r="I55" i="12" a="1"/>
  <c r="I55" i="12" s="1"/>
  <c r="Q39" i="12" a="1"/>
  <c r="Q39" i="12" s="1"/>
  <c r="O15" i="12" a="1"/>
  <c r="O15" i="12" s="1"/>
  <c r="I130" i="12" a="1"/>
  <c r="I130" i="12" s="1"/>
  <c r="N13" i="12" a="1"/>
  <c r="N13" i="12" s="1"/>
  <c r="S6" i="3" a="1"/>
  <c r="S6" i="3" s="1"/>
  <c r="O9" i="12" a="1"/>
  <c r="O9" i="12" s="1"/>
  <c r="S26" i="12" a="1"/>
  <c r="S26" i="12" s="1"/>
  <c r="X14" i="3" a="1"/>
  <c r="X14" i="3" s="1"/>
  <c r="T35" i="12" a="1"/>
  <c r="T35" i="12" s="1"/>
  <c r="G21" i="12" a="1"/>
  <c r="G21" i="12" s="1"/>
  <c r="M3" i="12" a="1"/>
  <c r="M3" i="12" s="1"/>
  <c r="R10" i="3" a="1"/>
  <c r="R10" i="3" s="1"/>
  <c r="R21" i="12" a="1"/>
  <c r="R21" i="12" s="1"/>
  <c r="S166" i="12" a="1"/>
  <c r="S166" i="12" s="1"/>
  <c r="F47" i="12" a="1"/>
  <c r="F47" i="12" s="1"/>
  <c r="G26" i="12" a="1"/>
  <c r="G26" i="12" s="1"/>
  <c r="L10" i="12" a="1"/>
  <c r="L10" i="12" s="1"/>
  <c r="M41" i="12" a="1"/>
  <c r="M41" i="12" s="1"/>
  <c r="J36" i="12" a="1"/>
  <c r="J36" i="12" s="1"/>
  <c r="R45" i="12" a="1"/>
  <c r="R45" i="12" s="1"/>
  <c r="Q45" i="12" a="1"/>
  <c r="Q45" i="12" s="1"/>
  <c r="J31" i="12" a="1"/>
  <c r="J31" i="12" s="1"/>
  <c r="L31" i="12" a="1"/>
  <c r="L31" i="12" s="1"/>
  <c r="Q104" i="12" a="1"/>
  <c r="Q104" i="12" s="1"/>
  <c r="J129" i="12" a="1"/>
  <c r="J129" i="12" s="1"/>
  <c r="F184" i="12" a="1"/>
  <c r="F184" i="12" s="1"/>
  <c r="U53" i="2" a="1"/>
  <c r="U53" i="2" s="1"/>
  <c r="T184" i="12" a="1"/>
  <c r="T184" i="12" s="1"/>
  <c r="I148" i="12" a="1"/>
  <c r="I148" i="12" s="1"/>
  <c r="T59" i="12" a="1"/>
  <c r="T59" i="12" s="1"/>
  <c r="F37" i="12" a="1"/>
  <c r="F37" i="12" s="1"/>
  <c r="U69" i="2" a="1"/>
  <c r="U69" i="2" s="1"/>
  <c r="N118" i="12" a="1"/>
  <c r="N118" i="12" s="1"/>
  <c r="K22" i="12" a="1"/>
  <c r="K22" i="12" s="1"/>
  <c r="G22" i="12" a="1"/>
  <c r="G22" i="12" s="1"/>
  <c r="S42" i="12" a="1"/>
  <c r="S42" i="12" s="1"/>
  <c r="P44" i="12" a="1"/>
  <c r="P44" i="12" s="1"/>
  <c r="K80" i="12" a="1"/>
  <c r="K80" i="12" s="1"/>
  <c r="P80" i="12" a="1"/>
  <c r="P80" i="12" s="1"/>
  <c r="N69" i="12" a="1"/>
  <c r="N69" i="12" s="1"/>
  <c r="I62" i="12" a="1"/>
  <c r="I62" i="12" s="1"/>
  <c r="J155" i="12" a="1"/>
  <c r="J155" i="12" s="1"/>
  <c r="J34" i="12" a="1"/>
  <c r="J34" i="12" s="1"/>
  <c r="Q34" i="12" a="1"/>
  <c r="Q34" i="12" s="1"/>
  <c r="G57" i="12" a="1"/>
  <c r="G57" i="12" s="1"/>
  <c r="S57" i="12" a="1"/>
  <c r="S57" i="12" s="1"/>
  <c r="G182" i="12" a="1"/>
  <c r="G182" i="12" s="1"/>
  <c r="P191" i="12" a="1"/>
  <c r="P191" i="12" s="1"/>
  <c r="N5" i="12" a="1"/>
  <c r="N5" i="12" s="1"/>
  <c r="O8" i="12" a="1"/>
  <c r="O8" i="12" s="1"/>
  <c r="F53" i="12" a="1"/>
  <c r="F53" i="12" s="1"/>
  <c r="U79" i="2" a="1"/>
  <c r="U79" i="2" s="1"/>
  <c r="L49" i="12" a="1"/>
  <c r="L49" i="12" s="1"/>
  <c r="R86" i="12" a="1"/>
  <c r="R86" i="12" s="1"/>
  <c r="T63" i="12" a="1"/>
  <c r="T63" i="12" s="1"/>
  <c r="N11" i="12" a="1"/>
  <c r="N11" i="12" s="1"/>
  <c r="M11" i="12" a="1"/>
  <c r="M11" i="12" s="1"/>
  <c r="R78" i="12" a="1"/>
  <c r="R78" i="12" s="1"/>
  <c r="M43" i="12" a="1"/>
  <c r="M43" i="12" s="1"/>
  <c r="N200" i="12" a="1"/>
  <c r="N200" i="12" s="1"/>
  <c r="P40" i="12" a="1"/>
  <c r="P40" i="12" s="1"/>
  <c r="K47" i="12" a="1"/>
  <c r="K47" i="12" s="1"/>
  <c r="Q33" i="12" a="1"/>
  <c r="Q33" i="12" s="1"/>
  <c r="J33" i="12" a="1"/>
  <c r="J33" i="12" s="1"/>
  <c r="F202" i="12" a="1"/>
  <c r="F202" i="12" s="1"/>
  <c r="S103" i="12" a="1"/>
  <c r="S103" i="12" s="1"/>
  <c r="I19" i="12" a="1"/>
  <c r="I19" i="12" s="1"/>
  <c r="K208" i="12" a="1"/>
  <c r="K208" i="12" s="1"/>
  <c r="R510" i="12" a="1"/>
  <c r="R510" i="12" s="1"/>
  <c r="G245" i="12" a="1"/>
  <c r="G245" i="12" s="1"/>
  <c r="J568" i="12" a="1"/>
  <c r="J568" i="12" s="1"/>
  <c r="I228" i="12" a="1"/>
  <c r="I228" i="12" s="1"/>
  <c r="Q562" i="12" a="1"/>
  <c r="Q562" i="12" s="1"/>
  <c r="T531" i="12" a="1"/>
  <c r="T531" i="12" s="1"/>
  <c r="S197" i="12" a="1"/>
  <c r="S197" i="12" s="1"/>
  <c r="AQ333" i="2" a="1"/>
  <c r="AQ333" i="2" s="1"/>
  <c r="AR333" i="2" a="1"/>
  <c r="AR333" i="2" s="1"/>
  <c r="P556" i="12" a="1"/>
  <c r="P556" i="12" s="1"/>
  <c r="F549" i="12" a="1"/>
  <c r="F549" i="12" s="1"/>
  <c r="U328" i="2" a="1"/>
  <c r="U328" i="2" s="1"/>
  <c r="P147" i="12" a="1"/>
  <c r="P147" i="12" s="1"/>
  <c r="K282" i="12" a="1"/>
  <c r="K282" i="12" s="1"/>
  <c r="P597" i="12" a="1"/>
  <c r="P597" i="12" s="1"/>
  <c r="T505" i="12" a="1"/>
  <c r="T505" i="12" s="1"/>
  <c r="M514" i="12" a="1"/>
  <c r="M514" i="12" s="1"/>
  <c r="Q213" i="12" a="1"/>
  <c r="Q213" i="12" s="1"/>
  <c r="T83" i="12" a="1"/>
  <c r="T83" i="12" s="1"/>
  <c r="J185" i="12" a="1"/>
  <c r="J185" i="12" s="1"/>
  <c r="Q588" i="12" a="1"/>
  <c r="Q588" i="12" s="1"/>
  <c r="M223" i="12" a="1"/>
  <c r="M223" i="12" s="1"/>
  <c r="G223" i="12" a="1"/>
  <c r="G223" i="12" s="1"/>
  <c r="F557" i="12" a="1"/>
  <c r="F557" i="12" s="1"/>
  <c r="U461" i="2" a="1"/>
  <c r="U461" i="2" s="1"/>
  <c r="I258" i="12" a="1"/>
  <c r="I258" i="12" s="1"/>
  <c r="J238" i="12" a="1"/>
  <c r="J238" i="12" s="1"/>
  <c r="G323" i="12" a="1"/>
  <c r="G323" i="12" s="1"/>
  <c r="S539" i="12" a="1"/>
  <c r="S539" i="12" s="1"/>
  <c r="P260" i="12" a="1"/>
  <c r="P260" i="12" s="1"/>
  <c r="R514" i="12" a="1"/>
  <c r="R514" i="12" s="1"/>
  <c r="N598" i="12" a="1"/>
  <c r="N598" i="12" s="1"/>
  <c r="G598" i="12" a="1"/>
  <c r="G598" i="12" s="1"/>
  <c r="J261" i="12" a="1"/>
  <c r="J261" i="12" s="1"/>
  <c r="O276" i="12" a="1"/>
  <c r="O276" i="12" s="1"/>
  <c r="T211" i="12" a="1"/>
  <c r="T211" i="12" s="1"/>
  <c r="P243" i="12" a="1"/>
  <c r="P243" i="12" s="1"/>
  <c r="I280" i="12" a="1"/>
  <c r="I280" i="12" s="1"/>
  <c r="M226" i="12" a="1"/>
  <c r="M226" i="12" s="1"/>
  <c r="G519" i="12" a="1"/>
  <c r="G519" i="12" s="1"/>
  <c r="O503" i="12" a="1"/>
  <c r="O503" i="12" s="1"/>
  <c r="G495" i="12" a="1"/>
  <c r="G495" i="12" s="1"/>
  <c r="AA656" i="12" a="1"/>
  <c r="AA656" i="12" s="1"/>
  <c r="J225" i="12" a="1"/>
  <c r="J225" i="12" s="1"/>
  <c r="N221" i="12" a="1"/>
  <c r="N221" i="12" s="1"/>
  <c r="F412" i="12" a="1"/>
  <c r="F412" i="12" s="1"/>
  <c r="U302" i="2" a="1"/>
  <c r="U302" i="2" s="1"/>
  <c r="AB646" i="12" a="1"/>
  <c r="AB646" i="12" s="1"/>
  <c r="S329" i="12" a="1"/>
  <c r="S329" i="12" s="1"/>
  <c r="K463" i="12" a="1"/>
  <c r="K463" i="12" s="1"/>
  <c r="R257" i="12" a="1"/>
  <c r="R257" i="12" s="1"/>
  <c r="R295" i="12" a="1"/>
  <c r="R295" i="12" s="1"/>
  <c r="I260" i="12" a="1"/>
  <c r="I260" i="12" s="1"/>
  <c r="O561" i="12" a="1"/>
  <c r="O561" i="12" s="1"/>
  <c r="M277" i="12" a="1"/>
  <c r="M277" i="12" s="1"/>
  <c r="N268" i="12" a="1"/>
  <c r="N268" i="12" s="1"/>
  <c r="L245" i="12" a="1"/>
  <c r="L245" i="12" s="1"/>
  <c r="L499" i="12" a="1"/>
  <c r="L499" i="12" s="1"/>
  <c r="AB626" i="12" a="1"/>
  <c r="AB626" i="12" s="1"/>
  <c r="N329" i="12" a="1"/>
  <c r="N329" i="12" s="1"/>
  <c r="P311" i="12" a="1"/>
  <c r="P311" i="12" s="1"/>
  <c r="S233" i="12" a="1"/>
  <c r="S233" i="12" s="1"/>
  <c r="J234" i="12" a="1"/>
  <c r="J234" i="12" s="1"/>
  <c r="I539" i="12" a="1"/>
  <c r="I539" i="12" s="1"/>
  <c r="S226" i="12" a="1"/>
  <c r="S226" i="12" s="1"/>
  <c r="P213" i="12" a="1"/>
  <c r="P213" i="12" s="1"/>
  <c r="L277" i="12" a="1"/>
  <c r="L277" i="12" s="1"/>
  <c r="N273" i="12" a="1"/>
  <c r="N273" i="12" s="1"/>
  <c r="I573" i="12" a="1"/>
  <c r="I573" i="12" s="1"/>
  <c r="I503" i="12" a="1"/>
  <c r="I503" i="12" s="1"/>
  <c r="R557" i="12" a="1"/>
  <c r="R557" i="12" s="1"/>
  <c r="R519" i="12" a="1"/>
  <c r="R519" i="12" s="1"/>
  <c r="T551" i="12" a="1"/>
  <c r="T551" i="12" s="1"/>
  <c r="F509" i="12" a="1"/>
  <c r="F509" i="12" s="1"/>
  <c r="U341" i="2" a="1"/>
  <c r="U341" i="2" s="1"/>
  <c r="R186" i="12" a="1"/>
  <c r="R186" i="12" s="1"/>
  <c r="Q606" i="12" a="1"/>
  <c r="Q606" i="12" s="1"/>
  <c r="Q135" i="12" a="1"/>
  <c r="Q135" i="12" s="1"/>
  <c r="F241" i="12" a="1"/>
  <c r="F241" i="12" s="1"/>
  <c r="AL405" i="2" a="1"/>
  <c r="AL405" i="2" s="1"/>
  <c r="F220" i="12" a="1"/>
  <c r="F220" i="12" s="1"/>
  <c r="U378" i="2" a="1"/>
  <c r="U378" i="2" s="1"/>
  <c r="Q220" i="12" a="1"/>
  <c r="Q220" i="12" s="1"/>
  <c r="Z640" i="12" a="1"/>
  <c r="Z640" i="12" s="1"/>
  <c r="P244" i="12" a="1"/>
  <c r="P244" i="12" s="1"/>
  <c r="N244" i="12" a="1"/>
  <c r="N244" i="12" s="1"/>
  <c r="N415" i="12" a="1"/>
  <c r="N415" i="12" s="1"/>
  <c r="N504" i="12" a="1"/>
  <c r="N504" i="12" s="1"/>
  <c r="J179" i="12" a="1"/>
  <c r="J179" i="12" s="1"/>
  <c r="N449" i="12" a="1"/>
  <c r="N449" i="12" s="1"/>
  <c r="X614" i="12" a="1"/>
  <c r="X614" i="12" s="1"/>
  <c r="M163" i="12" a="1"/>
  <c r="M163" i="12" s="1"/>
  <c r="M493" i="12" a="1"/>
  <c r="M493" i="12" s="1"/>
  <c r="T476" i="12" a="1"/>
  <c r="T476" i="12" s="1"/>
  <c r="J397" i="12" a="1"/>
  <c r="J397" i="12" s="1"/>
  <c r="Q223" i="12" a="1"/>
  <c r="Q223" i="12" s="1"/>
  <c r="T239" i="12" a="1"/>
  <c r="T239" i="12" s="1"/>
  <c r="J604" i="12" a="1"/>
  <c r="J604" i="12" s="1"/>
  <c r="R503" i="12" a="1"/>
  <c r="R503" i="12" s="1"/>
  <c r="J547" i="12" a="1"/>
  <c r="J547" i="12" s="1"/>
  <c r="Q407" i="12" a="1"/>
  <c r="Q407" i="12" s="1"/>
  <c r="J407" i="12" a="1"/>
  <c r="J407" i="12" s="1"/>
  <c r="K193" i="12" a="1"/>
  <c r="K193" i="12" s="1"/>
  <c r="K408" i="12" a="1"/>
  <c r="K408" i="12" s="1"/>
  <c r="S435" i="12" a="1"/>
  <c r="S435" i="12" s="1"/>
  <c r="P586" i="12" a="1"/>
  <c r="P586" i="12" s="1"/>
  <c r="I188" i="12" a="1"/>
  <c r="I188" i="12" s="1"/>
  <c r="T195" i="12" a="1"/>
  <c r="T195" i="12" s="1"/>
  <c r="O132" i="12" a="1"/>
  <c r="O132" i="12" s="1"/>
  <c r="P584" i="12" a="1"/>
  <c r="P584" i="12" s="1"/>
  <c r="O584" i="12" a="1"/>
  <c r="O584" i="12" s="1"/>
  <c r="G185" i="12" a="1"/>
  <c r="G185" i="12" s="1"/>
  <c r="R499" i="12" a="1"/>
  <c r="R499" i="12" s="1"/>
  <c r="T180" i="12" a="1"/>
  <c r="T180" i="12" s="1"/>
  <c r="N508" i="12" a="1"/>
  <c r="N508" i="12" s="1"/>
  <c r="O508" i="12" a="1"/>
  <c r="O508" i="12" s="1"/>
  <c r="G556" i="12" a="1"/>
  <c r="G556" i="12" s="1"/>
  <c r="K559" i="12" a="1"/>
  <c r="K559" i="12" s="1"/>
  <c r="Q559" i="12" a="1"/>
  <c r="Q559" i="12" s="1"/>
  <c r="N457" i="12" a="1"/>
  <c r="N457" i="12" s="1"/>
  <c r="K515" i="12" a="1"/>
  <c r="K515" i="12" s="1"/>
  <c r="J230" i="12" a="1"/>
  <c r="J230" i="12" s="1"/>
  <c r="J227" i="12" a="1"/>
  <c r="J227" i="12" s="1"/>
  <c r="J136" i="12" a="1"/>
  <c r="J136" i="12" s="1"/>
  <c r="L190" i="12" a="1"/>
  <c r="L190" i="12" s="1"/>
  <c r="P199" i="12" a="1"/>
  <c r="P199" i="12" s="1"/>
  <c r="F476" i="12" a="1"/>
  <c r="F476" i="12" s="1"/>
  <c r="U307" i="2" a="1"/>
  <c r="U307" i="2" s="1"/>
  <c r="R497" i="12" a="1"/>
  <c r="R497" i="12" s="1"/>
  <c r="N170" i="12" a="1"/>
  <c r="N170" i="12" s="1"/>
  <c r="I511" i="12" a="1"/>
  <c r="I511" i="12" s="1"/>
  <c r="T514" i="12" a="1"/>
  <c r="T514" i="12" s="1"/>
  <c r="J83" i="12" a="1"/>
  <c r="J83" i="12" s="1"/>
  <c r="T564" i="12" a="1"/>
  <c r="T564" i="12" s="1"/>
  <c r="K564" i="12" a="1"/>
  <c r="K564" i="12" s="1"/>
  <c r="G530" i="12" a="1"/>
  <c r="G530" i="12" s="1"/>
  <c r="L547" i="12" a="1"/>
  <c r="L547" i="12" s="1"/>
  <c r="O206" i="12" a="1"/>
  <c r="O206" i="12" s="1"/>
  <c r="Q147" i="12" a="1"/>
  <c r="Q147" i="12" s="1"/>
  <c r="F582" i="12" a="1"/>
  <c r="F582" i="12" s="1"/>
  <c r="U418" i="2" a="1"/>
  <c r="U418" i="2" s="1"/>
  <c r="K533" i="12" a="1"/>
  <c r="K533" i="12" s="1"/>
  <c r="P426" i="12" a="1"/>
  <c r="P426" i="12" s="1"/>
  <c r="P522" i="12" a="1"/>
  <c r="P522" i="12" s="1"/>
  <c r="K526" i="12" a="1"/>
  <c r="K526" i="12" s="1"/>
  <c r="Q217" i="12" a="1"/>
  <c r="Q217" i="12" s="1"/>
  <c r="F558" i="12" a="1"/>
  <c r="F558" i="12" s="1"/>
  <c r="U286" i="2" a="1"/>
  <c r="U286" i="2" s="1"/>
  <c r="T175" i="12" a="1"/>
  <c r="T175" i="12" s="1"/>
  <c r="R502" i="12" a="1"/>
  <c r="R502" i="12" s="1"/>
  <c r="P442" i="12" a="1"/>
  <c r="P442" i="12" s="1"/>
  <c r="L170" i="12" a="1"/>
  <c r="L170" i="12" s="1"/>
  <c r="K374" i="12" a="1"/>
  <c r="K374" i="12" s="1"/>
  <c r="Q419" i="12" a="1"/>
  <c r="Q419" i="12" s="1"/>
  <c r="F160" i="12" a="1"/>
  <c r="F160" i="12" s="1"/>
  <c r="U276" i="2" a="1"/>
  <c r="U276" i="2" s="1"/>
  <c r="T439" i="12" a="1"/>
  <c r="T439" i="12" s="1"/>
  <c r="R162" i="12" a="1"/>
  <c r="R162" i="12" s="1"/>
  <c r="P383" i="12" a="1"/>
  <c r="P383" i="12" s="1"/>
  <c r="L490" i="12" a="1"/>
  <c r="L490" i="12" s="1"/>
  <c r="F475" i="12" a="1"/>
  <c r="F475" i="12" s="1"/>
  <c r="U400" i="2" a="1"/>
  <c r="U400" i="2" s="1"/>
  <c r="L173" i="12" a="1"/>
  <c r="L173" i="12" s="1"/>
  <c r="N192" i="12" a="1"/>
  <c r="N192" i="12" s="1"/>
  <c r="O192" i="12" a="1"/>
  <c r="O192" i="12" s="1"/>
  <c r="S215" i="12" a="1"/>
  <c r="S215" i="12" s="1"/>
  <c r="M540" i="12" a="1"/>
  <c r="M540" i="12" s="1"/>
  <c r="S274" i="12" a="1"/>
  <c r="S274" i="12" s="1"/>
  <c r="I541" i="12" a="1"/>
  <c r="I541" i="12" s="1"/>
  <c r="M206" i="12" a="1"/>
  <c r="M206" i="12" s="1"/>
  <c r="O195" i="12" a="1"/>
  <c r="O195" i="12" s="1"/>
  <c r="S476" i="12" a="1"/>
  <c r="S476" i="12" s="1"/>
  <c r="T606" i="12" a="1"/>
  <c r="T606" i="12" s="1"/>
  <c r="N185" i="12" a="1"/>
  <c r="N185" i="12" s="1"/>
  <c r="L187" i="12" a="1"/>
  <c r="L187" i="12" s="1"/>
  <c r="G547" i="12" a="1"/>
  <c r="G547" i="12" s="1"/>
  <c r="G193" i="12" a="1"/>
  <c r="G193" i="12" s="1"/>
  <c r="O131" i="12" a="1"/>
  <c r="O131" i="12" s="1"/>
  <c r="T586" i="12" a="1"/>
  <c r="T586" i="12" s="1"/>
  <c r="M397" i="12" a="1"/>
  <c r="M397" i="12" s="1"/>
  <c r="S597" i="12" a="1"/>
  <c r="S597" i="12" s="1"/>
  <c r="L267" i="12" a="1"/>
  <c r="L267" i="12" s="1"/>
  <c r="P267" i="12" a="1"/>
  <c r="P267" i="12" s="1"/>
  <c r="X630" i="12" a="1"/>
  <c r="X630" i="12" s="1"/>
  <c r="T231" i="12" a="1"/>
  <c r="T231" i="12" s="1"/>
  <c r="J494" i="12" a="1"/>
  <c r="J494" i="12" s="1"/>
  <c r="S205" i="12" a="1"/>
  <c r="S205" i="12" s="1"/>
  <c r="AB653" i="12" a="1"/>
  <c r="AB653" i="12" s="1"/>
  <c r="S132" i="12" a="1"/>
  <c r="S132" i="12" s="1"/>
  <c r="I114" i="12" a="1"/>
  <c r="I114" i="12" s="1"/>
  <c r="S603" i="12" a="1"/>
  <c r="S603" i="12" s="1"/>
  <c r="J558" i="12" a="1"/>
  <c r="J558" i="12" s="1"/>
  <c r="J204" i="12" a="1"/>
  <c r="J204" i="12" s="1"/>
  <c r="I479" i="12" a="1"/>
  <c r="I479" i="12" s="1"/>
  <c r="Q458" i="12" a="1"/>
  <c r="Q458" i="12" s="1"/>
  <c r="O363" i="12" a="1"/>
  <c r="O363" i="12" s="1"/>
  <c r="Q145" i="12" a="1"/>
  <c r="Q145" i="12" s="1"/>
  <c r="T108" i="12" a="1"/>
  <c r="T108" i="12" s="1"/>
  <c r="O377" i="12" a="1"/>
  <c r="O377" i="12" s="1"/>
  <c r="G422" i="12" a="1"/>
  <c r="G422" i="12" s="1"/>
  <c r="R112" i="12" a="1"/>
  <c r="R112" i="12" s="1"/>
  <c r="S607" i="12" a="1"/>
  <c r="S607" i="12" s="1"/>
  <c r="G157" i="12" a="1"/>
  <c r="G157" i="12" s="1"/>
  <c r="G264" i="12" a="1"/>
  <c r="G264" i="12" s="1"/>
  <c r="L48" i="12" a="1"/>
  <c r="L48" i="12" s="1"/>
  <c r="P127" i="12" a="1"/>
  <c r="P127" i="12" s="1"/>
  <c r="N289" i="12" a="1"/>
  <c r="N289" i="12" s="1"/>
  <c r="I126" i="12" a="1"/>
  <c r="I126" i="12" s="1"/>
  <c r="K89" i="12" a="1"/>
  <c r="K89" i="12" s="1"/>
  <c r="K96" i="12" a="1"/>
  <c r="K96" i="12" s="1"/>
  <c r="K534" i="12" a="1"/>
  <c r="K534" i="12" s="1"/>
  <c r="F534" i="12" a="1"/>
  <c r="F534" i="12" s="1"/>
  <c r="U320" i="2" a="1"/>
  <c r="U320" i="2" s="1"/>
  <c r="I583" i="12" a="1"/>
  <c r="I583" i="12" s="1"/>
  <c r="G209" i="12" a="1"/>
  <c r="G209" i="12" s="1"/>
  <c r="S492" i="12" a="1"/>
  <c r="S492" i="12" s="1"/>
  <c r="N458" i="12" a="1"/>
  <c r="N458" i="12" s="1"/>
  <c r="S114" i="12" a="1"/>
  <c r="S114" i="12" s="1"/>
  <c r="R309" i="12" a="1"/>
  <c r="R309" i="12" s="1"/>
  <c r="Q142" i="12" a="1"/>
  <c r="Q142" i="12" s="1"/>
  <c r="K401" i="12" a="1"/>
  <c r="K401" i="12" s="1"/>
  <c r="J365" i="12" a="1"/>
  <c r="J365" i="12" s="1"/>
  <c r="I120" i="12" a="1"/>
  <c r="I120" i="12" s="1"/>
  <c r="Z655" i="12" a="1"/>
  <c r="Z655" i="12" s="1"/>
  <c r="R297" i="12" a="1"/>
  <c r="R297" i="12" s="1"/>
  <c r="K65" i="12" a="1"/>
  <c r="K65" i="12" s="1"/>
  <c r="K128" i="12" a="1"/>
  <c r="K128" i="12" s="1"/>
  <c r="P73" i="12" a="1"/>
  <c r="P73" i="12" s="1"/>
  <c r="J94" i="12" a="1"/>
  <c r="J94" i="12" s="1"/>
  <c r="I70" i="12" a="1"/>
  <c r="I70" i="12" s="1"/>
  <c r="I222" i="12" a="1"/>
  <c r="I222" i="12" s="1"/>
  <c r="I122" i="12" a="1"/>
  <c r="I122" i="12" s="1"/>
  <c r="Q308" i="12" a="1"/>
  <c r="Q308" i="12" s="1"/>
  <c r="G337" i="12" a="1"/>
  <c r="G337" i="12" s="1"/>
  <c r="L167" i="12" a="1"/>
  <c r="L167" i="12" s="1"/>
  <c r="R145" i="12" a="1"/>
  <c r="R145" i="12" s="1"/>
  <c r="F159" i="12" a="1"/>
  <c r="F159" i="12" s="1"/>
  <c r="U235" i="2" a="1"/>
  <c r="U235" i="2" s="1"/>
  <c r="N422" i="12" a="1"/>
  <c r="N422" i="12" s="1"/>
  <c r="S151" i="12" a="1"/>
  <c r="S151" i="12" s="1"/>
  <c r="AL212" i="2" a="1"/>
  <c r="AL212" i="2" s="1"/>
  <c r="N91" i="12" a="1"/>
  <c r="N91" i="12" s="1"/>
  <c r="L285" i="12" a="1"/>
  <c r="L285" i="12" s="1"/>
  <c r="R106" i="12" a="1"/>
  <c r="R106" i="12" s="1"/>
  <c r="J65" i="12" a="1"/>
  <c r="J65" i="12" s="1"/>
  <c r="T314" i="12" a="1"/>
  <c r="T314" i="12" s="1"/>
  <c r="G121" i="12" a="1"/>
  <c r="G121" i="12" s="1"/>
  <c r="S196" i="12" a="1"/>
  <c r="S196" i="12" s="1"/>
  <c r="P531" i="12" a="1"/>
  <c r="P531" i="12" s="1"/>
  <c r="P190" i="12" a="1"/>
  <c r="P190" i="12" s="1"/>
  <c r="P412" i="12" a="1"/>
  <c r="P412" i="12" s="1"/>
  <c r="I469" i="12" a="1"/>
  <c r="I469" i="12" s="1"/>
  <c r="L469" i="12" a="1"/>
  <c r="L469" i="12" s="1"/>
  <c r="Q156" i="12" a="1"/>
  <c r="Q156" i="12" s="1"/>
  <c r="P321" i="12" a="1"/>
  <c r="P321" i="12" s="1"/>
  <c r="L142" i="12" a="1"/>
  <c r="L142" i="12" s="1"/>
  <c r="Q115" i="12" a="1"/>
  <c r="Q115" i="12" s="1"/>
  <c r="S348" i="12" a="1"/>
  <c r="S348" i="12" s="1"/>
  <c r="M421" i="12" a="1"/>
  <c r="M421" i="12" s="1"/>
  <c r="K48" i="12" a="1"/>
  <c r="K48" i="12" s="1"/>
  <c r="K91" i="12" a="1"/>
  <c r="K91" i="12" s="1"/>
  <c r="M312" i="12" a="1"/>
  <c r="M312" i="12" s="1"/>
  <c r="F126" i="12" a="1"/>
  <c r="F126" i="12" s="1"/>
  <c r="U158" i="2" a="1"/>
  <c r="U158" i="2" s="1"/>
  <c r="AA657" i="12" a="1"/>
  <c r="AA657" i="12" s="1"/>
  <c r="I199" i="12" a="1"/>
  <c r="I199" i="12" s="1"/>
  <c r="F454" i="12" a="1"/>
  <c r="F454" i="12" s="1"/>
  <c r="U308" i="2" a="1"/>
  <c r="U308" i="2" s="1"/>
  <c r="T412" i="12" a="1"/>
  <c r="T412" i="12" s="1"/>
  <c r="O442" i="12" a="1"/>
  <c r="O442" i="12" s="1"/>
  <c r="T156" i="12" a="1"/>
  <c r="T156" i="12" s="1"/>
  <c r="M321" i="12" a="1"/>
  <c r="M321" i="12" s="1"/>
  <c r="P431" i="12" a="1"/>
  <c r="P431" i="12" s="1"/>
  <c r="L354" i="12" a="1"/>
  <c r="L354" i="12" s="1"/>
  <c r="J376" i="12" a="1"/>
  <c r="J376" i="12" s="1"/>
  <c r="M607" i="12" a="1"/>
  <c r="M607" i="12" s="1"/>
  <c r="R92" i="12" a="1"/>
  <c r="R92" i="12" s="1"/>
  <c r="F264" i="12" a="1"/>
  <c r="F264" i="12" s="1"/>
  <c r="U197" i="2" a="1"/>
  <c r="U197" i="2" s="1"/>
  <c r="J602" i="12" a="1"/>
  <c r="J602" i="12" s="1"/>
  <c r="M289" i="12" a="1"/>
  <c r="M289" i="12" s="1"/>
  <c r="N97" i="12" a="1"/>
  <c r="N97" i="12" s="1"/>
  <c r="G531" i="12" a="1"/>
  <c r="G531" i="12" s="1"/>
  <c r="N497" i="12" a="1"/>
  <c r="N497" i="12" s="1"/>
  <c r="M484" i="12" a="1"/>
  <c r="M484" i="12" s="1"/>
  <c r="M416" i="12" a="1"/>
  <c r="M416" i="12" s="1"/>
  <c r="O372" i="12" a="1"/>
  <c r="O372" i="12" s="1"/>
  <c r="M345" i="12" a="1"/>
  <c r="M345" i="12" s="1"/>
  <c r="R346" i="12" a="1"/>
  <c r="R346" i="12" s="1"/>
  <c r="P388" i="12" a="1"/>
  <c r="P388" i="12" s="1"/>
  <c r="O177" i="12" a="1"/>
  <c r="O177" i="12" s="1"/>
  <c r="N150" i="12" a="1"/>
  <c r="N150" i="12" s="1"/>
  <c r="K107" i="12" a="1"/>
  <c r="K107" i="12" s="1"/>
  <c r="Q296" i="12" a="1"/>
  <c r="Q296" i="12" s="1"/>
  <c r="F99" i="12" a="1"/>
  <c r="F99" i="12" s="1"/>
  <c r="U160" i="2" a="1"/>
  <c r="U160" i="2" s="1"/>
  <c r="G253" i="12" a="1"/>
  <c r="G253" i="12" s="1"/>
  <c r="K203" i="12" a="1"/>
  <c r="K203" i="12" s="1"/>
  <c r="G79" i="12" a="1"/>
  <c r="G79" i="12" s="1"/>
  <c r="G40" i="12" a="1"/>
  <c r="G40" i="12" s="1"/>
  <c r="R144" i="12" a="1"/>
  <c r="R144" i="12" s="1"/>
  <c r="K232" i="12" a="1"/>
  <c r="K232" i="12" s="1"/>
  <c r="R168" i="12" a="1"/>
  <c r="R168" i="12" s="1"/>
  <c r="N528" i="12" a="1"/>
  <c r="N528" i="12" s="1"/>
  <c r="G229" i="12" a="1"/>
  <c r="G229" i="12" s="1"/>
  <c r="G439" i="12" a="1"/>
  <c r="G439" i="12" s="1"/>
  <c r="O154" i="12" a="1"/>
  <c r="O154" i="12" s="1"/>
  <c r="F123" i="12" a="1"/>
  <c r="F123" i="12" s="1"/>
  <c r="U247" i="2" a="1"/>
  <c r="U247" i="2" s="1"/>
  <c r="Q432" i="12" a="1"/>
  <c r="Q432" i="12" s="1"/>
  <c r="M114" i="12" a="1"/>
  <c r="M114" i="12" s="1"/>
  <c r="R153" i="12" a="1"/>
  <c r="R153" i="12" s="1"/>
  <c r="L138" i="12" a="1"/>
  <c r="L138" i="12" s="1"/>
  <c r="N165" i="12" a="1"/>
  <c r="N165" i="12" s="1"/>
  <c r="M388" i="12" a="1"/>
  <c r="M388" i="12" s="1"/>
  <c r="P177" i="12" a="1"/>
  <c r="P177" i="12" s="1"/>
  <c r="R283" i="12" a="1"/>
  <c r="R283" i="12" s="1"/>
  <c r="Q368" i="12" a="1"/>
  <c r="Q368" i="12" s="1"/>
  <c r="T264" i="12" a="1"/>
  <c r="T264" i="12" s="1"/>
  <c r="T183" i="12" a="1"/>
  <c r="T183" i="12" s="1"/>
  <c r="R140" i="12" a="1"/>
  <c r="R140" i="12" s="1"/>
  <c r="F293" i="12" a="1"/>
  <c r="F293" i="12" s="1"/>
  <c r="R161" i="12" a="1"/>
  <c r="R161" i="12" s="1"/>
  <c r="S312" i="12" a="1"/>
  <c r="S312" i="12" s="1"/>
  <c r="I255" i="12" a="1"/>
  <c r="I255" i="12" s="1"/>
  <c r="L126" i="12" a="1"/>
  <c r="L126" i="12" s="1"/>
  <c r="O77" i="12" a="1"/>
  <c r="O77" i="12" s="1"/>
  <c r="P527" i="12" a="1"/>
  <c r="P527" i="12" s="1"/>
  <c r="Q462" i="12" a="1"/>
  <c r="Q462" i="12" s="1"/>
  <c r="I522" i="12" a="1"/>
  <c r="I522" i="12" s="1"/>
  <c r="T403" i="12" a="1"/>
  <c r="T403" i="12" s="1"/>
  <c r="P141" i="12" a="1"/>
  <c r="P141" i="12" s="1"/>
  <c r="I393" i="12" a="1"/>
  <c r="I393" i="12" s="1"/>
  <c r="P427" i="12" a="1"/>
  <c r="P427" i="12" s="1"/>
  <c r="S427" i="12" a="1"/>
  <c r="S427" i="12" s="1"/>
  <c r="Q370" i="12" a="1"/>
  <c r="Q370" i="12" s="1"/>
  <c r="O404" i="12" a="1"/>
  <c r="O404" i="12" s="1"/>
  <c r="J607" i="12" a="1"/>
  <c r="J607" i="12" s="1"/>
  <c r="R387" i="12" a="1"/>
  <c r="R387" i="12" s="1"/>
  <c r="N293" i="12" a="1"/>
  <c r="N293" i="12" s="1"/>
  <c r="F297" i="12" a="1"/>
  <c r="F297" i="12" s="1"/>
  <c r="J133" i="12" a="1"/>
  <c r="J133" i="12" s="1"/>
  <c r="G128" i="12" a="1"/>
  <c r="G128" i="12" s="1"/>
  <c r="K126" i="12" a="1"/>
  <c r="K126" i="12" s="1"/>
  <c r="Q121" i="12" a="1"/>
  <c r="Q121" i="12" s="1"/>
  <c r="U145" i="2" a="1"/>
  <c r="U145" i="2" s="1"/>
  <c r="I136" i="12" a="1"/>
  <c r="I136" i="12" s="1"/>
  <c r="S235" i="12" a="1"/>
  <c r="S235" i="12" s="1"/>
  <c r="M204" i="12" a="1"/>
  <c r="M204" i="12" s="1"/>
  <c r="Q152" i="12" a="1"/>
  <c r="Q152" i="12" s="1"/>
  <c r="M458" i="12" a="1"/>
  <c r="M458" i="12" s="1"/>
  <c r="M132" i="12" a="1"/>
  <c r="M132" i="12" s="1"/>
  <c r="J366" i="12" a="1"/>
  <c r="J366" i="12" s="1"/>
  <c r="F370" i="12" a="1"/>
  <c r="F370" i="12" s="1"/>
  <c r="U243" i="2" a="1"/>
  <c r="U243" i="2" s="1"/>
  <c r="J348" i="12" a="1"/>
  <c r="J348" i="12" s="1"/>
  <c r="N335" i="12" a="1"/>
  <c r="N335" i="12" s="1"/>
  <c r="O317" i="12" a="1"/>
  <c r="O317" i="12" s="1"/>
  <c r="G73" i="12" a="1"/>
  <c r="G73" i="12" s="1"/>
  <c r="N500" i="12" a="1"/>
  <c r="N500" i="12" s="1"/>
  <c r="O528" i="12" a="1"/>
  <c r="O528" i="12" s="1"/>
  <c r="Z615" i="12" a="1"/>
  <c r="Z615" i="12" s="1"/>
  <c r="R414" i="12" a="1"/>
  <c r="R414" i="12" s="1"/>
  <c r="N363" i="12" a="1"/>
  <c r="N363" i="12" s="1"/>
  <c r="G159" i="12" a="1"/>
  <c r="G159" i="12" s="1"/>
  <c r="J404" i="12" a="1"/>
  <c r="J404" i="12" s="1"/>
  <c r="L358" i="12" a="1"/>
  <c r="L358" i="12" s="1"/>
  <c r="L299" i="12" a="1"/>
  <c r="L299" i="12" s="1"/>
  <c r="L293" i="12" a="1"/>
  <c r="L293" i="12" s="1"/>
  <c r="L106" i="12" a="1"/>
  <c r="L106" i="12" s="1"/>
  <c r="Q71" i="12" a="1"/>
  <c r="Q71" i="12" s="1"/>
  <c r="K87" i="12" a="1"/>
  <c r="K87" i="12" s="1"/>
  <c r="M51" i="12" a="1"/>
  <c r="M51" i="12" s="1"/>
  <c r="R107" i="12" a="1"/>
  <c r="R107" i="12" s="1"/>
  <c r="J125" i="12" a="1"/>
  <c r="J125" i="12" s="1"/>
  <c r="F94" i="12" a="1"/>
  <c r="F94" i="12" s="1"/>
  <c r="U139" i="2" a="1"/>
  <c r="U139" i="2" s="1"/>
  <c r="L61" i="12" a="1"/>
  <c r="L61" i="12" s="1"/>
  <c r="O32" i="12" a="1"/>
  <c r="O32" i="12" s="1"/>
  <c r="AB611" i="12" a="1"/>
  <c r="AB611" i="12" s="1"/>
  <c r="AQ72" i="2" a="1"/>
  <c r="AQ72" i="2" s="1"/>
  <c r="AR72" i="2" a="1"/>
  <c r="AR72" i="2" s="1"/>
  <c r="Q14" i="12" a="1"/>
  <c r="Q14" i="12" s="1"/>
  <c r="R110" i="12" a="1"/>
  <c r="R110" i="12" s="1"/>
  <c r="N17" i="12" a="1"/>
  <c r="N17" i="12" s="1"/>
  <c r="F20" i="12" a="1"/>
  <c r="F20" i="12" s="1"/>
  <c r="U14" i="2" a="1"/>
  <c r="U14" i="2" s="1"/>
  <c r="AQ117" i="2" a="1"/>
  <c r="AQ117" i="2" s="1"/>
  <c r="AR117" i="2" a="1"/>
  <c r="AR117" i="2" s="1"/>
  <c r="AQ109" i="2" a="1"/>
  <c r="AQ109" i="2" s="1"/>
  <c r="AR109" i="2" a="1"/>
  <c r="AR109" i="2" s="1"/>
  <c r="X663" i="12" a="1"/>
  <c r="X663" i="12" s="1"/>
  <c r="K25" i="12" a="1"/>
  <c r="K25" i="12" s="1"/>
  <c r="I43" i="12" a="1"/>
  <c r="I43" i="12" s="1"/>
  <c r="G36" i="12" a="1"/>
  <c r="G36" i="12" s="1"/>
  <c r="AL45" i="2" a="1"/>
  <c r="AL45" i="2" s="1"/>
  <c r="N12" i="12" a="1"/>
  <c r="N12" i="12" s="1"/>
  <c r="F24" i="12" a="1"/>
  <c r="F24" i="12" s="1"/>
  <c r="U29" i="2" a="1"/>
  <c r="U29" i="2" s="1"/>
  <c r="R47" i="12" a="1"/>
  <c r="R47" i="12" s="1"/>
  <c r="F224" i="12" a="1"/>
  <c r="F224" i="12" s="1"/>
  <c r="U104" i="2" a="1"/>
  <c r="U104" i="2" s="1"/>
  <c r="R32" i="12" a="1"/>
  <c r="R32" i="12" s="1"/>
  <c r="G130" i="12" a="1"/>
  <c r="G130" i="12" s="1"/>
  <c r="G16" i="12" a="1"/>
  <c r="G16" i="12" s="1"/>
  <c r="M21" i="12" a="1"/>
  <c r="M21" i="12" s="1"/>
  <c r="O13" i="12" a="1"/>
  <c r="O13" i="12" s="1"/>
  <c r="T6" i="3" a="1"/>
  <c r="T6" i="3" s="1"/>
  <c r="I109" i="12" a="1"/>
  <c r="I109" i="12" s="1"/>
  <c r="M50" i="12" a="1"/>
  <c r="M50" i="12" s="1"/>
  <c r="K345" i="12" a="1"/>
  <c r="K345" i="12" s="1"/>
  <c r="M376" i="12" a="1"/>
  <c r="M376" i="12" s="1"/>
  <c r="J143" i="12" a="1"/>
  <c r="J143" i="12" s="1"/>
  <c r="S124" i="12" a="1"/>
  <c r="S124" i="12" s="1"/>
  <c r="F70" i="12" a="1"/>
  <c r="F70" i="12" s="1"/>
  <c r="U133" i="2" a="1"/>
  <c r="U133" i="2" s="1"/>
  <c r="G256" i="12" a="1"/>
  <c r="G256" i="12" s="1"/>
  <c r="T54" i="12" a="1"/>
  <c r="T54" i="12" s="1"/>
  <c r="Q4" i="12" a="1"/>
  <c r="Q4" i="12" s="1"/>
  <c r="AA611" i="12" a="1"/>
  <c r="AA611" i="12" s="1"/>
  <c r="N86" i="12" a="1"/>
  <c r="N86" i="12" s="1"/>
  <c r="N191" i="12" a="1"/>
  <c r="N191" i="12" s="1"/>
  <c r="F9" i="12" a="1"/>
  <c r="F9" i="12" s="1"/>
  <c r="K130" i="12" a="1"/>
  <c r="K130" i="12" s="1"/>
  <c r="Z669" i="12" a="1"/>
  <c r="Z669" i="12" s="1"/>
  <c r="L25" i="3" a="1"/>
  <c r="L25" i="3" s="1"/>
  <c r="L28" i="3" s="1" a="1"/>
  <c r="L28" i="3" s="1"/>
  <c r="Q182" i="12" a="1"/>
  <c r="Q182" i="12" s="1"/>
  <c r="Q56" i="12" a="1"/>
  <c r="Q56" i="12" s="1"/>
  <c r="I496" i="12" a="1"/>
  <c r="I496" i="12" s="1"/>
  <c r="J138" i="12" a="1"/>
  <c r="J138" i="12" s="1"/>
  <c r="N423" i="12" a="1"/>
  <c r="N423" i="12" s="1"/>
  <c r="G101" i="12" a="1"/>
  <c r="G101" i="12" s="1"/>
  <c r="M128" i="12" a="1"/>
  <c r="M128" i="12" s="1"/>
  <c r="S87" i="12" a="1"/>
  <c r="S87" i="12" s="1"/>
  <c r="Q212" i="12" a="1"/>
  <c r="Q212" i="12" s="1"/>
  <c r="R207" i="12" a="1"/>
  <c r="R207" i="12" s="1"/>
  <c r="T77" i="12" a="1"/>
  <c r="T77" i="12" s="1"/>
  <c r="M12" i="12" a="1"/>
  <c r="M12" i="12" s="1"/>
  <c r="Z619" i="12" a="1"/>
  <c r="Z619" i="12" s="1"/>
  <c r="G27" i="12" a="1"/>
  <c r="G27" i="12" s="1"/>
  <c r="M165" i="12" a="1"/>
  <c r="M165" i="12" s="1"/>
  <c r="S333" i="12" a="1"/>
  <c r="S333" i="12" s="1"/>
  <c r="K333" i="12" a="1"/>
  <c r="K333" i="12" s="1"/>
  <c r="O87" i="12" a="1"/>
  <c r="O87" i="12" s="1"/>
  <c r="I28" i="12" a="1"/>
  <c r="I28" i="12" s="1"/>
  <c r="J68" i="12" a="1"/>
  <c r="J68" i="12" s="1"/>
  <c r="Q74" i="12" a="1"/>
  <c r="Q74" i="12" s="1"/>
  <c r="T305" i="12" a="1"/>
  <c r="T305" i="12" s="1"/>
  <c r="K178" i="12" a="1"/>
  <c r="K178" i="12" s="1"/>
  <c r="S51" i="12" a="1"/>
  <c r="S51" i="12" s="1"/>
  <c r="K52" i="12" a="1"/>
  <c r="K52" i="12" s="1"/>
  <c r="F109" i="12" a="1"/>
  <c r="F109" i="12" s="1"/>
  <c r="U30" i="2" a="1"/>
  <c r="U30" i="2" s="1"/>
  <c r="Q7" i="12" a="1"/>
  <c r="Q7" i="12" s="1"/>
  <c r="F150" i="12" a="1"/>
  <c r="F150" i="12" s="1"/>
  <c r="O89" i="12" a="1"/>
  <c r="O89" i="12" s="1"/>
  <c r="J104" i="12" a="1"/>
  <c r="J104" i="12" s="1"/>
  <c r="Q292" i="12" a="1"/>
  <c r="Q292" i="12" s="1"/>
  <c r="M46" i="12" a="1"/>
  <c r="M46" i="12" s="1"/>
  <c r="T76" i="12" a="1"/>
  <c r="T76" i="12" s="1"/>
  <c r="M38" i="12" a="1"/>
  <c r="M38" i="12" s="1"/>
  <c r="N27" i="12" a="1"/>
  <c r="N27" i="12" s="1"/>
  <c r="U36" i="2" a="1"/>
  <c r="U36" i="2" s="1"/>
  <c r="Q51" i="12" a="1"/>
  <c r="Q51" i="12" s="1"/>
  <c r="S458" i="12" a="1"/>
  <c r="S458" i="12" s="1"/>
  <c r="K99" i="12" a="1"/>
  <c r="K99" i="12" s="1"/>
  <c r="Q88" i="12" a="1"/>
  <c r="Q88" i="12" s="1"/>
  <c r="P222" i="12" a="1"/>
  <c r="P222" i="12" s="1"/>
  <c r="R292" i="12" a="1"/>
  <c r="R292" i="12" s="1"/>
  <c r="R224" i="12" a="1"/>
  <c r="R224" i="12" s="1"/>
  <c r="N66" i="12" a="1"/>
  <c r="N66" i="12" s="1"/>
  <c r="G75" i="12" a="1"/>
  <c r="G75" i="12" s="1"/>
  <c r="J38" i="12" a="1"/>
  <c r="J38" i="12" s="1"/>
  <c r="T191" i="12" a="1"/>
  <c r="T191" i="12" s="1"/>
  <c r="K388" i="12" a="1"/>
  <c r="K388" i="12" s="1"/>
  <c r="G84" i="12" a="1"/>
  <c r="G84" i="12" s="1"/>
  <c r="Q84" i="12" a="1"/>
  <c r="Q84" i="12" s="1"/>
  <c r="O100" i="12" a="1"/>
  <c r="O100" i="12" s="1"/>
  <c r="M64" i="12" a="1"/>
  <c r="M64" i="12" s="1"/>
  <c r="N104" i="12" a="1"/>
  <c r="N104" i="12" s="1"/>
  <c r="O275" i="12" a="1"/>
  <c r="O275" i="12" s="1"/>
  <c r="F69" i="12" a="1"/>
  <c r="F69" i="12" s="1"/>
  <c r="U110" i="2" a="1"/>
  <c r="U110" i="2" s="1"/>
  <c r="AL109" i="2" a="1"/>
  <c r="AL109" i="2" s="1"/>
  <c r="X609" i="12" a="1"/>
  <c r="X609" i="12" s="1"/>
  <c r="J55" i="12" a="1"/>
  <c r="J55" i="12" s="1"/>
  <c r="J122" i="12" a="1"/>
  <c r="J122" i="12" s="1"/>
  <c r="I39" i="12" a="1"/>
  <c r="I39" i="12" s="1"/>
  <c r="F379" i="12" a="1"/>
  <c r="F379" i="12" s="1"/>
  <c r="U224" i="2" a="1"/>
  <c r="U224" i="2" s="1"/>
  <c r="L379" i="12" a="1"/>
  <c r="L379" i="12" s="1"/>
  <c r="L607" i="12" a="1"/>
  <c r="L607" i="12" s="1"/>
  <c r="S285" i="12" a="1"/>
  <c r="S285" i="12" s="1"/>
  <c r="K330" i="12" a="1"/>
  <c r="K330" i="12" s="1"/>
  <c r="J81" i="12" a="1"/>
  <c r="J81" i="12" s="1"/>
  <c r="M81" i="12" a="1"/>
  <c r="M81" i="12" s="1"/>
  <c r="P382" i="12" a="1"/>
  <c r="P382" i="12" s="1"/>
  <c r="M58" i="12" a="1"/>
  <c r="M58" i="12" s="1"/>
  <c r="J146" i="12" a="1"/>
  <c r="J146" i="12" s="1"/>
  <c r="N201" i="12" a="1"/>
  <c r="N201" i="12" s="1"/>
  <c r="G61" i="12" a="1"/>
  <c r="G61" i="12" s="1"/>
  <c r="K202" i="12" a="1"/>
  <c r="K202" i="12" s="1"/>
  <c r="G25" i="12" a="1"/>
  <c r="G25" i="12" s="1"/>
  <c r="J29" i="12" a="1"/>
  <c r="J29" i="12" s="1"/>
  <c r="X655" i="12" a="1"/>
  <c r="X655" i="12" s="1"/>
  <c r="R73" i="12" a="1"/>
  <c r="R73" i="12" s="1"/>
  <c r="Q90" i="12" a="1"/>
  <c r="Q90" i="12" s="1"/>
  <c r="K104" i="12" a="1"/>
  <c r="K104" i="12" s="1"/>
  <c r="P105" i="12" a="1"/>
  <c r="P105" i="12" s="1"/>
  <c r="N85" i="12" a="1"/>
  <c r="N85" i="12" s="1"/>
  <c r="J78" i="12" a="1"/>
  <c r="J78" i="12" s="1"/>
  <c r="F174" i="12" a="1"/>
  <c r="F174" i="12" s="1"/>
  <c r="U92" i="2" a="1"/>
  <c r="U92" i="2" s="1"/>
  <c r="O75" i="12" a="1"/>
  <c r="O75" i="12" s="1"/>
  <c r="G35" i="12" a="1"/>
  <c r="G35" i="12" s="1"/>
  <c r="P122" i="12" a="1"/>
  <c r="P122" i="12" s="1"/>
  <c r="G44" i="12" a="1"/>
  <c r="G44" i="12" s="1"/>
  <c r="F3" i="12" a="1"/>
  <c r="F3" i="12" s="1"/>
  <c r="K10" i="3" a="1"/>
  <c r="K10" i="3" s="1"/>
  <c r="U4" i="2" a="1"/>
  <c r="U4" i="2" s="1"/>
  <c r="O26" i="12" a="1"/>
  <c r="O26" i="12" s="1"/>
  <c r="M490" i="12" a="1"/>
  <c r="M490" i="12" s="1"/>
  <c r="F161" i="12" a="1"/>
  <c r="F161" i="12" s="1"/>
  <c r="L279" i="12" a="1"/>
  <c r="L279" i="12" s="1"/>
  <c r="N121" i="12" a="1"/>
  <c r="N121" i="12" s="1"/>
  <c r="T203" i="12" a="1"/>
  <c r="T203" i="12" s="1"/>
  <c r="I104" i="12" a="1"/>
  <c r="I104" i="12" s="1"/>
  <c r="N93" i="12" a="1"/>
  <c r="N93" i="12" s="1"/>
  <c r="I54" i="12" a="1"/>
  <c r="I54" i="12" s="1"/>
  <c r="X619" i="12" a="1"/>
  <c r="X619" i="12" s="1"/>
  <c r="AL77" i="2" a="1"/>
  <c r="AL77" i="2" s="1"/>
  <c r="L144" i="12" a="1"/>
  <c r="L144" i="12" s="1"/>
  <c r="J39" i="12" a="1"/>
  <c r="J39" i="12" s="1"/>
  <c r="J15" i="12" a="1"/>
  <c r="J15" i="12" s="1"/>
  <c r="L134" i="12" a="1"/>
  <c r="L134" i="12" s="1"/>
  <c r="G13" i="12" a="1"/>
  <c r="G13" i="12" s="1"/>
  <c r="L6" i="3" a="1"/>
  <c r="L6" i="3" s="1"/>
  <c r="L9" i="12" a="1"/>
  <c r="L9" i="12" s="1"/>
  <c r="L26" i="12" a="1"/>
  <c r="L26" i="12" s="1"/>
  <c r="Q14" i="3" a="1"/>
  <c r="Q14" i="3" s="1"/>
  <c r="L60" i="12" a="1"/>
  <c r="L60" i="12" s="1"/>
  <c r="M36" i="12" a="1"/>
  <c r="M36" i="12" s="1"/>
  <c r="AL24" i="2" a="1"/>
  <c r="AL24" i="2" s="1"/>
  <c r="J3" i="12" a="1"/>
  <c r="J3" i="12" s="1"/>
  <c r="O10" i="3" a="1"/>
  <c r="O10" i="3" s="1"/>
  <c r="I21" i="12" a="1"/>
  <c r="I21" i="12" s="1"/>
  <c r="P18" i="12" a="1"/>
  <c r="P18" i="12" s="1"/>
  <c r="I52" i="12" a="1"/>
  <c r="I52" i="12" s="1"/>
  <c r="L23" i="12" a="1"/>
  <c r="L23" i="12" s="1"/>
  <c r="K292" i="12" a="1"/>
  <c r="K292" i="12" s="1"/>
  <c r="J25" i="12" a="1"/>
  <c r="J25" i="12" s="1"/>
  <c r="P134" i="12" a="1"/>
  <c r="P134" i="12" s="1"/>
  <c r="O10" i="12" a="1"/>
  <c r="O10" i="12" s="1"/>
  <c r="N178" i="12" a="1"/>
  <c r="N178" i="12" s="1"/>
  <c r="P41" i="12" a="1"/>
  <c r="P41" i="12" s="1"/>
  <c r="X625" i="12" a="1"/>
  <c r="X625" i="12" s="1"/>
  <c r="K36" i="12" a="1"/>
  <c r="K36" i="12" s="1"/>
  <c r="P45" i="12" a="1"/>
  <c r="P45" i="12" s="1"/>
  <c r="G45" i="12" a="1"/>
  <c r="G45" i="12" s="1"/>
  <c r="K31" i="12" a="1"/>
  <c r="K31" i="12" s="1"/>
  <c r="R105" i="12" a="1"/>
  <c r="R105" i="12" s="1"/>
  <c r="M129" i="12" a="1"/>
  <c r="M129" i="12" s="1"/>
  <c r="N184" i="12" a="1"/>
  <c r="N184" i="12" s="1"/>
  <c r="M184" i="12" a="1"/>
  <c r="M184" i="12" s="1"/>
  <c r="N51" i="12" a="1"/>
  <c r="N51" i="12" s="1"/>
  <c r="N59" i="12" a="1"/>
  <c r="N59" i="12" s="1"/>
  <c r="P37" i="12" a="1"/>
  <c r="P37" i="12" s="1"/>
  <c r="G118" i="12" a="1"/>
  <c r="G118" i="12" s="1"/>
  <c r="F22" i="12" a="1"/>
  <c r="F22" i="12" s="1"/>
  <c r="U57" i="2" a="1"/>
  <c r="U57" i="2" s="1"/>
  <c r="R22" i="12" a="1"/>
  <c r="R22" i="12" s="1"/>
  <c r="N42" i="12" a="1"/>
  <c r="N42" i="12" s="1"/>
  <c r="K44" i="12" a="1"/>
  <c r="K44" i="12" s="1"/>
  <c r="R80" i="12" a="1"/>
  <c r="R80" i="12" s="1"/>
  <c r="S80" i="12" a="1"/>
  <c r="S80" i="12" s="1"/>
  <c r="AB637" i="12" a="1"/>
  <c r="AB637" i="12" s="1"/>
  <c r="J62" i="12" a="1"/>
  <c r="J62" i="12" s="1"/>
  <c r="M18" i="12" a="1"/>
  <c r="M18" i="12" s="1"/>
  <c r="R34" i="12" a="1"/>
  <c r="R34" i="12" s="1"/>
  <c r="K34" i="12" a="1"/>
  <c r="K34" i="12" s="1"/>
  <c r="M256" i="12" a="1"/>
  <c r="M256" i="12" s="1"/>
  <c r="R57" i="12" a="1"/>
  <c r="R57" i="12" s="1"/>
  <c r="L178" i="12" a="1"/>
  <c r="L178" i="12" s="1"/>
  <c r="R182" i="12" a="1"/>
  <c r="R182" i="12" s="1"/>
  <c r="L15" i="12" a="1"/>
  <c r="L15" i="12" s="1"/>
  <c r="Q15" i="12" a="1"/>
  <c r="Q15" i="12" s="1"/>
  <c r="Q53" i="12" a="1"/>
  <c r="Q53" i="12" s="1"/>
  <c r="N155" i="12" a="1"/>
  <c r="N155" i="12" s="1"/>
  <c r="R29" i="12" a="1"/>
  <c r="R29" i="12" s="1"/>
  <c r="R63" i="12" a="1"/>
  <c r="R63" i="12" s="1"/>
  <c r="J11" i="12" a="1"/>
  <c r="J11" i="12" s="1"/>
  <c r="M216" i="12" a="1"/>
  <c r="M216" i="12" s="1"/>
  <c r="K200" i="12" a="1"/>
  <c r="K200" i="12" s="1"/>
  <c r="J200" i="12" a="1"/>
  <c r="J200" i="12" s="1"/>
  <c r="S36" i="12" a="1"/>
  <c r="S36" i="12" s="1"/>
  <c r="S17" i="12" a="1"/>
  <c r="S17" i="12" s="1"/>
  <c r="L33" i="12" a="1"/>
  <c r="L33" i="12" s="1"/>
  <c r="S4" i="12" a="1"/>
  <c r="S4" i="12" s="1"/>
  <c r="F189" i="12" a="1"/>
  <c r="F189" i="12" s="1"/>
  <c r="U86" i="2" a="1"/>
  <c r="U86" i="2" s="1"/>
  <c r="AB617" i="12" a="1"/>
  <c r="AB617" i="12" s="1"/>
  <c r="J28" i="12" a="1"/>
  <c r="J28" i="12" s="1"/>
  <c r="O536" i="12" a="1"/>
  <c r="O536" i="12" s="1"/>
  <c r="J596" i="12" a="1"/>
  <c r="J596" i="12" s="1"/>
  <c r="F243" i="12" a="1"/>
  <c r="F243" i="12" s="1"/>
  <c r="U441" i="2" a="1"/>
  <c r="U441" i="2" s="1"/>
  <c r="O463" i="12" a="1"/>
  <c r="O463" i="12" s="1"/>
  <c r="S208" i="12" a="1"/>
  <c r="S208" i="12" s="1"/>
  <c r="I510" i="12" a="1"/>
  <c r="I510" i="12" s="1"/>
  <c r="Q246" i="12" a="1"/>
  <c r="Q246" i="12" s="1"/>
  <c r="P520" i="12" a="1"/>
  <c r="P520" i="12" s="1"/>
  <c r="O568" i="12" a="1"/>
  <c r="O568" i="12" s="1"/>
  <c r="N228" i="12" a="1"/>
  <c r="N228" i="12" s="1"/>
  <c r="J562" i="12" a="1"/>
  <c r="J562" i="12" s="1"/>
  <c r="I531" i="12" a="1"/>
  <c r="I531" i="12" s="1"/>
  <c r="J149" i="12" a="1"/>
  <c r="J149" i="12" s="1"/>
  <c r="K549" i="12" a="1"/>
  <c r="K549" i="12" s="1"/>
  <c r="J131" i="12" a="1"/>
  <c r="J131" i="12" s="1"/>
  <c r="F282" i="12" a="1"/>
  <c r="F282" i="12" s="1"/>
  <c r="U443" i="2" a="1"/>
  <c r="U443" i="2" s="1"/>
  <c r="P323" i="12" a="1"/>
  <c r="P323" i="12" s="1"/>
  <c r="L213" i="12" a="1"/>
  <c r="L213" i="12" s="1"/>
  <c r="P83" i="12" a="1"/>
  <c r="P83" i="12" s="1"/>
  <c r="L588" i="12" a="1"/>
  <c r="L588" i="12" s="1"/>
  <c r="T223" i="12" a="1"/>
  <c r="T223" i="12" s="1"/>
  <c r="R223" i="12" a="1"/>
  <c r="R223" i="12" s="1"/>
  <c r="Q557" i="12" a="1"/>
  <c r="Q557" i="12" s="1"/>
  <c r="S258" i="12" a="1"/>
  <c r="S258" i="12" s="1"/>
  <c r="R243" i="12" a="1"/>
  <c r="R243" i="12" s="1"/>
  <c r="R323" i="12" a="1"/>
  <c r="R323" i="12" s="1"/>
  <c r="K280" i="12" a="1"/>
  <c r="K280" i="12" s="1"/>
  <c r="J208" i="12" a="1"/>
  <c r="J208" i="12" s="1"/>
  <c r="O598" i="12" a="1"/>
  <c r="O598" i="12" s="1"/>
  <c r="R598" i="12" a="1"/>
  <c r="R598" i="12" s="1"/>
  <c r="G234" i="12" a="1"/>
  <c r="G234" i="12" s="1"/>
  <c r="J243" i="12" a="1"/>
  <c r="J243" i="12" s="1"/>
  <c r="N501" i="12" a="1"/>
  <c r="N501" i="12" s="1"/>
  <c r="O226" i="12" a="1"/>
  <c r="O226" i="12" s="1"/>
  <c r="P537" i="12" a="1"/>
  <c r="P537" i="12" s="1"/>
  <c r="M519" i="12" a="1"/>
  <c r="M519" i="12" s="1"/>
  <c r="L573" i="12" a="1"/>
  <c r="L573" i="12" s="1"/>
  <c r="F503" i="12" a="1"/>
  <c r="F503" i="12" s="1"/>
  <c r="U387" i="2" a="1"/>
  <c r="U387" i="2" s="1"/>
  <c r="L495" i="12" a="1"/>
  <c r="L495" i="12" s="1"/>
  <c r="Q210" i="12" a="1"/>
  <c r="Q210" i="12" s="1"/>
  <c r="I225" i="12" a="1"/>
  <c r="I225" i="12" s="1"/>
  <c r="S221" i="12" a="1"/>
  <c r="S221" i="12" s="1"/>
  <c r="R606" i="12" a="1"/>
  <c r="R606" i="12" s="1"/>
  <c r="J302" i="12" a="1"/>
  <c r="J302" i="12" s="1"/>
  <c r="I238" i="12" a="1"/>
  <c r="I238" i="12" s="1"/>
  <c r="N237" i="12" a="1"/>
  <c r="N237" i="12" s="1"/>
  <c r="O537" i="12" a="1"/>
  <c r="O537" i="12" s="1"/>
  <c r="S239" i="12" a="1"/>
  <c r="S239" i="12" s="1"/>
  <c r="M257" i="12" a="1"/>
  <c r="M257" i="12" s="1"/>
  <c r="T588" i="12" a="1"/>
  <c r="T588" i="12" s="1"/>
  <c r="S280" i="12" a="1"/>
  <c r="S280" i="12" s="1"/>
  <c r="T260" i="12" a="1"/>
  <c r="T260" i="12" s="1"/>
  <c r="J561" i="12" a="1"/>
  <c r="J561" i="12" s="1"/>
  <c r="J277" i="12" a="1"/>
  <c r="J277" i="12" s="1"/>
  <c r="J245" i="12" a="1"/>
  <c r="J245" i="12" s="1"/>
  <c r="S499" i="12" a="1"/>
  <c r="S499" i="12" s="1"/>
  <c r="T520" i="12" a="1"/>
  <c r="T520" i="12" s="1"/>
  <c r="J575" i="12" a="1"/>
  <c r="J575" i="12" s="1"/>
  <c r="L311" i="12" a="1"/>
  <c r="L311" i="12" s="1"/>
  <c r="L557" i="12" a="1"/>
  <c r="L557" i="12" s="1"/>
  <c r="G233" i="12" a="1"/>
  <c r="G233" i="12" s="1"/>
  <c r="Q234" i="12" a="1"/>
  <c r="Q234" i="12" s="1"/>
  <c r="P234" i="12" a="1"/>
  <c r="P234" i="12" s="1"/>
  <c r="L237" i="12" a="1"/>
  <c r="L237" i="12" s="1"/>
  <c r="G213" i="12" a="1"/>
  <c r="G213" i="12" s="1"/>
  <c r="Q239" i="12" a="1"/>
  <c r="Q239" i="12" s="1"/>
  <c r="K585" i="12" a="1"/>
  <c r="K585" i="12" s="1"/>
  <c r="G258" i="12" a="1"/>
  <c r="G258" i="12" s="1"/>
  <c r="P210" i="12" a="1"/>
  <c r="P210" i="12" s="1"/>
  <c r="I551" i="12" a="1"/>
  <c r="I551" i="12" s="1"/>
  <c r="K509" i="12" a="1"/>
  <c r="K509" i="12" s="1"/>
  <c r="F186" i="12" a="1"/>
  <c r="F186" i="12" s="1"/>
  <c r="U313" i="2" a="1"/>
  <c r="U313" i="2" s="1"/>
  <c r="K195" i="12" a="1"/>
  <c r="K195" i="12" s="1"/>
  <c r="Q452" i="12" a="1"/>
  <c r="Q452" i="12" s="1"/>
  <c r="J135" i="12" a="1"/>
  <c r="J135" i="12" s="1"/>
  <c r="R561" i="12" a="1"/>
  <c r="R561" i="12" s="1"/>
  <c r="AA662" i="12" a="1"/>
  <c r="AA662" i="12" s="1"/>
  <c r="N220" i="12" a="1"/>
  <c r="N220" i="12" s="1"/>
  <c r="G172" i="12" a="1"/>
  <c r="G172" i="12" s="1"/>
  <c r="AA640" i="12" a="1"/>
  <c r="AA640" i="12" s="1"/>
  <c r="S244" i="12" a="1"/>
  <c r="S244" i="12" s="1"/>
  <c r="G206" i="12" a="1"/>
  <c r="G206" i="12" s="1"/>
  <c r="F415" i="12" a="1"/>
  <c r="F415" i="12" s="1"/>
  <c r="U342" i="2" a="1"/>
  <c r="U342" i="2" s="1"/>
  <c r="I504" i="12" a="1"/>
  <c r="I504" i="12" s="1"/>
  <c r="M500" i="12" a="1"/>
  <c r="M500" i="12" s="1"/>
  <c r="O179" i="12" a="1"/>
  <c r="O179" i="12" s="1"/>
  <c r="Q549" i="12" a="1"/>
  <c r="Q549" i="12" s="1"/>
  <c r="AL324" i="2" a="1"/>
  <c r="AL324" i="2" s="1"/>
  <c r="S163" i="12" a="1"/>
  <c r="S163" i="12" s="1"/>
  <c r="S493" i="12" a="1"/>
  <c r="S493" i="12" s="1"/>
  <c r="I476" i="12" a="1"/>
  <c r="I476" i="12" s="1"/>
  <c r="O397" i="12" a="1"/>
  <c r="O397" i="12" s="1"/>
  <c r="T258" i="12" a="1"/>
  <c r="T258" i="12" s="1"/>
  <c r="P519" i="12" a="1"/>
  <c r="P519" i="12" s="1"/>
  <c r="R604" i="12" a="1"/>
  <c r="R604" i="12" s="1"/>
  <c r="N495" i="12" a="1"/>
  <c r="N495" i="12" s="1"/>
  <c r="O547" i="12" a="1"/>
  <c r="O547" i="12" s="1"/>
  <c r="G407" i="12" a="1"/>
  <c r="G407" i="12" s="1"/>
  <c r="O407" i="12" a="1"/>
  <c r="O407" i="12" s="1"/>
  <c r="P193" i="12" a="1"/>
  <c r="P193" i="12" s="1"/>
  <c r="Q408" i="12" a="1"/>
  <c r="Q408" i="12" s="1"/>
  <c r="G435" i="12" a="1"/>
  <c r="G435" i="12" s="1"/>
  <c r="K586" i="12" a="1"/>
  <c r="K586" i="12" s="1"/>
  <c r="J188" i="12" a="1"/>
  <c r="J188" i="12" s="1"/>
  <c r="I195" i="12" a="1"/>
  <c r="I195" i="12" s="1"/>
  <c r="J584" i="12" a="1"/>
  <c r="J584" i="12" s="1"/>
  <c r="L584" i="12" a="1"/>
  <c r="L584" i="12" s="1"/>
  <c r="P185" i="12" a="1"/>
  <c r="P185" i="12" s="1"/>
  <c r="P503" i="12" a="1"/>
  <c r="P503" i="12" s="1"/>
  <c r="K236" i="12" a="1"/>
  <c r="K236" i="12" s="1"/>
  <c r="G215" i="12" a="1"/>
  <c r="G215" i="12" s="1"/>
  <c r="I508" i="12" a="1"/>
  <c r="I508" i="12" s="1"/>
  <c r="T508" i="12" a="1"/>
  <c r="T508" i="12" s="1"/>
  <c r="M559" i="12" a="1"/>
  <c r="M559" i="12" s="1"/>
  <c r="J539" i="12" a="1"/>
  <c r="J539" i="12" s="1"/>
  <c r="R515" i="12" a="1"/>
  <c r="R515" i="12" s="1"/>
  <c r="R230" i="12" a="1"/>
  <c r="R230" i="12" s="1"/>
  <c r="O230" i="12" a="1"/>
  <c r="O230" i="12" s="1"/>
  <c r="O227" i="12" a="1"/>
  <c r="O227" i="12" s="1"/>
  <c r="F522" i="12" a="1"/>
  <c r="F522" i="12" s="1"/>
  <c r="U322" i="2" a="1"/>
  <c r="U322" i="2" s="1"/>
  <c r="Q190" i="12" a="1"/>
  <c r="Q190" i="12" s="1"/>
  <c r="G199" i="12" a="1"/>
  <c r="G199" i="12" s="1"/>
  <c r="Q205" i="12" a="1"/>
  <c r="Q205" i="12" s="1"/>
  <c r="N374" i="12" a="1"/>
  <c r="N374" i="12" s="1"/>
  <c r="Z653" i="12" a="1"/>
  <c r="Z653" i="12" s="1"/>
  <c r="P511" i="12" a="1"/>
  <c r="P511" i="12" s="1"/>
  <c r="T561" i="12" a="1"/>
  <c r="T561" i="12" s="1"/>
  <c r="M564" i="12" a="1"/>
  <c r="M564" i="12" s="1"/>
  <c r="K173" i="12" a="1"/>
  <c r="K173" i="12" s="1"/>
  <c r="N530" i="12" a="1"/>
  <c r="N530" i="12" s="1"/>
  <c r="R274" i="12" a="1"/>
  <c r="R274" i="12" s="1"/>
  <c r="T206" i="12" a="1"/>
  <c r="T206" i="12" s="1"/>
  <c r="I179" i="12" a="1"/>
  <c r="I179" i="12" s="1"/>
  <c r="I223" i="12" a="1"/>
  <c r="I223" i="12" s="1"/>
  <c r="O582" i="12" a="1"/>
  <c r="O582" i="12" s="1"/>
  <c r="N533" i="12" a="1"/>
  <c r="N533" i="12" s="1"/>
  <c r="J426" i="12" a="1"/>
  <c r="J426" i="12" s="1"/>
  <c r="K522" i="12" a="1"/>
  <c r="K522" i="12" s="1"/>
  <c r="R526" i="12" a="1"/>
  <c r="R526" i="12" s="1"/>
  <c r="L217" i="12" a="1"/>
  <c r="L217" i="12" s="1"/>
  <c r="K558" i="12" a="1"/>
  <c r="K558" i="12" s="1"/>
  <c r="Q175" i="12" a="1"/>
  <c r="Q175" i="12" s="1"/>
  <c r="F502" i="12" a="1"/>
  <c r="F502" i="12" s="1"/>
  <c r="U283" i="2" a="1"/>
  <c r="U283" i="2" s="1"/>
  <c r="T492" i="12" a="1"/>
  <c r="T492" i="12" s="1"/>
  <c r="R170" i="12" a="1"/>
  <c r="R170" i="12" s="1"/>
  <c r="P374" i="12" a="1"/>
  <c r="P374" i="12" s="1"/>
  <c r="L419" i="12" a="1"/>
  <c r="L419" i="12" s="1"/>
  <c r="K160" i="12" a="1"/>
  <c r="K160" i="12" s="1"/>
  <c r="Q439" i="12" a="1"/>
  <c r="Q439" i="12" s="1"/>
  <c r="F162" i="12" a="1"/>
  <c r="F162" i="12" s="1"/>
  <c r="U273" i="2" a="1"/>
  <c r="U273" i="2" s="1"/>
  <c r="Q139" i="12" a="1"/>
  <c r="Q139" i="12" s="1"/>
  <c r="O238" i="12" a="1"/>
  <c r="O238" i="12" s="1"/>
  <c r="O475" i="12" a="1"/>
  <c r="O475" i="12" s="1"/>
  <c r="N173" i="12" a="1"/>
  <c r="N173" i="12" s="1"/>
  <c r="Q192" i="12" a="1"/>
  <c r="Q192" i="12" s="1"/>
  <c r="T192" i="12" a="1"/>
  <c r="T192" i="12" s="1"/>
  <c r="K215" i="12" a="1"/>
  <c r="K215" i="12" s="1"/>
  <c r="G244" i="12" a="1"/>
  <c r="G244" i="12" s="1"/>
  <c r="G540" i="12" a="1"/>
  <c r="G540" i="12" s="1"/>
  <c r="G274" i="12" a="1"/>
  <c r="G274" i="12" s="1"/>
  <c r="R541" i="12" a="1"/>
  <c r="R541" i="12" s="1"/>
  <c r="J195" i="12" a="1"/>
  <c r="J195" i="12" s="1"/>
  <c r="N476" i="12" a="1"/>
  <c r="N476" i="12" s="1"/>
  <c r="J606" i="12" a="1"/>
  <c r="J606" i="12" s="1"/>
  <c r="G187" i="12" a="1"/>
  <c r="G187" i="12" s="1"/>
  <c r="S187" i="12" a="1"/>
  <c r="S187" i="12" s="1"/>
  <c r="M562" i="12" a="1"/>
  <c r="M562" i="12" s="1"/>
  <c r="R509" i="12" a="1"/>
  <c r="R509" i="12" s="1"/>
  <c r="L539" i="12" a="1"/>
  <c r="L539" i="12" s="1"/>
  <c r="G267" i="12" a="1"/>
  <c r="G267" i="12" s="1"/>
  <c r="AB630" i="12" a="1"/>
  <c r="AB630" i="12" s="1"/>
  <c r="G225" i="12" a="1"/>
  <c r="G225" i="12" s="1"/>
  <c r="I231" i="12" a="1"/>
  <c r="I231" i="12" s="1"/>
  <c r="O494" i="12" a="1"/>
  <c r="O494" i="12" s="1"/>
  <c r="G549" i="12" a="1"/>
  <c r="G549" i="12" s="1"/>
  <c r="AR303" i="2" a="1"/>
  <c r="AR303" i="2" s="1"/>
  <c r="AQ303" i="2" a="1"/>
  <c r="AQ303" i="2" s="1"/>
  <c r="J332" i="12" a="1"/>
  <c r="J332" i="12" s="1"/>
  <c r="T114" i="12" a="1"/>
  <c r="T114" i="12" s="1"/>
  <c r="L194" i="12" a="1"/>
  <c r="L194" i="12" s="1"/>
  <c r="L603" i="12" a="1"/>
  <c r="L603" i="12" s="1"/>
  <c r="G558" i="12" a="1"/>
  <c r="G558" i="12" s="1"/>
  <c r="O356" i="12" a="1"/>
  <c r="O356" i="12" s="1"/>
  <c r="T479" i="12" a="1"/>
  <c r="T479" i="12" s="1"/>
  <c r="N393" i="12" a="1"/>
  <c r="N393" i="12" s="1"/>
  <c r="J108" i="12" a="1"/>
  <c r="J108" i="12" s="1"/>
  <c r="Q377" i="12" a="1"/>
  <c r="Q377" i="12" s="1"/>
  <c r="R422" i="12" a="1"/>
  <c r="R422" i="12" s="1"/>
  <c r="J325" i="12" a="1"/>
  <c r="J325" i="12" s="1"/>
  <c r="F115" i="12" a="1"/>
  <c r="F115" i="12" s="1"/>
  <c r="U208" i="2" a="1"/>
  <c r="U208" i="2" s="1"/>
  <c r="R157" i="12" a="1"/>
  <c r="R157" i="12" s="1"/>
  <c r="M117" i="12" a="1"/>
  <c r="M117" i="12" s="1"/>
  <c r="R48" i="12" a="1"/>
  <c r="R48" i="12" s="1"/>
  <c r="F127" i="12" a="1"/>
  <c r="F127" i="12" s="1"/>
  <c r="U187" i="2" a="1"/>
  <c r="U187" i="2" s="1"/>
  <c r="T111" i="12" a="1"/>
  <c r="T111" i="12" s="1"/>
  <c r="F289" i="12" a="1"/>
  <c r="F289" i="12" s="1"/>
  <c r="U162" i="2" a="1"/>
  <c r="U162" i="2" s="1"/>
  <c r="Q259" i="12" a="1"/>
  <c r="Q259" i="12" s="1"/>
  <c r="R71" i="12" a="1"/>
  <c r="R71" i="12" s="1"/>
  <c r="Z631" i="12" a="1"/>
  <c r="Z631" i="12" s="1"/>
  <c r="J89" i="12" a="1"/>
  <c r="J89" i="12" s="1"/>
  <c r="J70" i="12" a="1"/>
  <c r="J70" i="12" s="1"/>
  <c r="O40" i="12" a="1"/>
  <c r="O40" i="12" s="1"/>
  <c r="T144" i="12" a="1"/>
  <c r="T144" i="12" s="1"/>
  <c r="M534" i="12" a="1"/>
  <c r="M534" i="12" s="1"/>
  <c r="G534" i="12" a="1"/>
  <c r="G534" i="12" s="1"/>
  <c r="K583" i="12" a="1"/>
  <c r="K583" i="12" s="1"/>
  <c r="R397" i="12" a="1"/>
  <c r="R397" i="12" s="1"/>
  <c r="J209" i="12" a="1"/>
  <c r="J209" i="12" s="1"/>
  <c r="M363" i="12" a="1"/>
  <c r="M363" i="12" s="1"/>
  <c r="F114" i="12" a="1"/>
  <c r="F114" i="12" s="1"/>
  <c r="U241" i="2" a="1"/>
  <c r="U241" i="2" s="1"/>
  <c r="I309" i="12" a="1"/>
  <c r="I309" i="12" s="1"/>
  <c r="M142" i="12" a="1"/>
  <c r="M142" i="12" s="1"/>
  <c r="G401" i="12" a="1"/>
  <c r="G401" i="12" s="1"/>
  <c r="U223" i="2" a="1"/>
  <c r="U223" i="2" s="1"/>
  <c r="F365" i="12" a="1"/>
  <c r="F365" i="12" s="1"/>
  <c r="U221" i="2" a="1"/>
  <c r="U221" i="2" s="1"/>
  <c r="K358" i="12" a="1"/>
  <c r="K358" i="12" s="1"/>
  <c r="T120" i="12" a="1"/>
  <c r="T120" i="12" s="1"/>
  <c r="K348" i="12" a="1"/>
  <c r="K348" i="12" s="1"/>
  <c r="L101" i="12" a="1"/>
  <c r="L101" i="12" s="1"/>
  <c r="M285" i="12" a="1"/>
  <c r="M285" i="12" s="1"/>
  <c r="M297" i="12" a="1"/>
  <c r="M297" i="12" s="1"/>
  <c r="M65" i="12" a="1"/>
  <c r="M65" i="12" s="1"/>
  <c r="I71" i="12" a="1"/>
  <c r="I71" i="12" s="1"/>
  <c r="I94" i="12" a="1"/>
  <c r="I94" i="12" s="1"/>
  <c r="N70" i="12" a="1"/>
  <c r="N70" i="12" s="1"/>
  <c r="O37" i="12" a="1"/>
  <c r="O37" i="12" s="1"/>
  <c r="F308" i="12" a="1"/>
  <c r="F308" i="12" s="1"/>
  <c r="U297" i="2" a="1"/>
  <c r="U297" i="2" s="1"/>
  <c r="J308" i="12" a="1"/>
  <c r="J308" i="12" s="1"/>
  <c r="M169" i="12" a="1"/>
  <c r="M169" i="12" s="1"/>
  <c r="L337" i="12" a="1"/>
  <c r="L337" i="12" s="1"/>
  <c r="S167" i="12" a="1"/>
  <c r="S167" i="12" s="1"/>
  <c r="F145" i="12" a="1"/>
  <c r="F145" i="12" s="1"/>
  <c r="U239" i="2" a="1"/>
  <c r="U239" i="2" s="1"/>
  <c r="N159" i="12" a="1"/>
  <c r="N159" i="12" s="1"/>
  <c r="O431" i="12" a="1"/>
  <c r="O431" i="12" s="1"/>
  <c r="R368" i="12" a="1"/>
  <c r="R368" i="12" s="1"/>
  <c r="AA613" i="12" a="1"/>
  <c r="AA613" i="12" s="1"/>
  <c r="P161" i="12" a="1"/>
  <c r="P161" i="12" s="1"/>
  <c r="J102" i="12" a="1"/>
  <c r="J102" i="12" s="1"/>
  <c r="P71" i="12" a="1"/>
  <c r="P71" i="12" s="1"/>
  <c r="I87" i="12" a="1"/>
  <c r="I87" i="12" s="1"/>
  <c r="Q72" i="12" a="1"/>
  <c r="Q72" i="12" s="1"/>
  <c r="P197" i="12" a="1"/>
  <c r="P197" i="12" s="1"/>
  <c r="R190" i="12" a="1"/>
  <c r="R190" i="12" s="1"/>
  <c r="P397" i="12" a="1"/>
  <c r="P397" i="12" s="1"/>
  <c r="K469" i="12" a="1"/>
  <c r="K469" i="12" s="1"/>
  <c r="Q469" i="12" a="1"/>
  <c r="Q469" i="12" s="1"/>
  <c r="O139" i="12" a="1"/>
  <c r="O139" i="12" s="1"/>
  <c r="N431" i="12" a="1"/>
  <c r="N431" i="12" s="1"/>
  <c r="L120" i="12" a="1"/>
  <c r="L120" i="12" s="1"/>
  <c r="M115" i="12" a="1"/>
  <c r="M115" i="12" s="1"/>
  <c r="K387" i="12" a="1"/>
  <c r="K387" i="12" s="1"/>
  <c r="I421" i="12" a="1"/>
  <c r="I421" i="12" s="1"/>
  <c r="T378" i="12" a="1"/>
  <c r="T378" i="12" s="1"/>
  <c r="G91" i="12" a="1"/>
  <c r="G91" i="12" s="1"/>
  <c r="N255" i="12" a="1"/>
  <c r="N255" i="12" s="1"/>
  <c r="L289" i="12" a="1"/>
  <c r="L289" i="12" s="1"/>
  <c r="K199" i="12" a="1"/>
  <c r="K199" i="12" s="1"/>
  <c r="P454" i="12" a="1"/>
  <c r="P454" i="12" s="1"/>
  <c r="M492" i="12" a="1"/>
  <c r="M492" i="12" s="1"/>
  <c r="AA651" i="12" a="1"/>
  <c r="AA651" i="12" s="1"/>
  <c r="P156" i="12" a="1"/>
  <c r="P156" i="12" s="1"/>
  <c r="O114" i="12" a="1"/>
  <c r="O114" i="12" s="1"/>
  <c r="S321" i="12" a="1"/>
  <c r="S321" i="12" s="1"/>
  <c r="F431" i="12" a="1"/>
  <c r="F431" i="12" s="1"/>
  <c r="U230" i="2" a="1"/>
  <c r="U230" i="2" s="1"/>
  <c r="S354" i="12" a="1"/>
  <c r="S354" i="12" s="1"/>
  <c r="F376" i="12" a="1"/>
  <c r="F376" i="12" s="1"/>
  <c r="U211" i="2" a="1"/>
  <c r="U211" i="2" s="1"/>
  <c r="I607" i="12" a="1"/>
  <c r="I607" i="12" s="1"/>
  <c r="S117" i="12" a="1"/>
  <c r="S117" i="12" s="1"/>
  <c r="Q264" i="12" a="1"/>
  <c r="Q264" i="12" s="1"/>
  <c r="R296" i="12" a="1"/>
  <c r="R296" i="12" s="1"/>
  <c r="Q106" i="12" a="1"/>
  <c r="Q106" i="12" s="1"/>
  <c r="I289" i="12" a="1"/>
  <c r="I289" i="12" s="1"/>
  <c r="K196" i="12" a="1"/>
  <c r="K196" i="12" s="1"/>
  <c r="K606" i="12" a="1"/>
  <c r="K606" i="12" s="1"/>
  <c r="F484" i="12" a="1"/>
  <c r="F484" i="12" s="1"/>
  <c r="U292" i="2" a="1"/>
  <c r="U292" i="2" s="1"/>
  <c r="S162" i="12" a="1"/>
  <c r="S162" i="12" s="1"/>
  <c r="S416" i="12" a="1"/>
  <c r="S416" i="12" s="1"/>
  <c r="K372" i="12" a="1"/>
  <c r="K372" i="12" s="1"/>
  <c r="K346" i="12" a="1"/>
  <c r="K346" i="12" s="1"/>
  <c r="Q123" i="12" a="1"/>
  <c r="Q123" i="12" s="1"/>
  <c r="O138" i="12" a="1"/>
  <c r="O138" i="12" s="1"/>
  <c r="M151" i="12" a="1"/>
  <c r="M151" i="12" s="1"/>
  <c r="I150" i="12" a="1"/>
  <c r="I150" i="12" s="1"/>
  <c r="Q107" i="12" a="1"/>
  <c r="Q107" i="12" s="1"/>
  <c r="Z649" i="12" a="1"/>
  <c r="Z649" i="12" s="1"/>
  <c r="AL170" i="2" a="1"/>
  <c r="AL170" i="2" s="1"/>
  <c r="L99" i="12" a="1"/>
  <c r="L99" i="12" s="1"/>
  <c r="M97" i="12" a="1"/>
  <c r="M97" i="12" s="1"/>
  <c r="Q196" i="12" a="1"/>
  <c r="Q196" i="12" s="1"/>
  <c r="G94" i="12" a="1"/>
  <c r="G94" i="12" s="1"/>
  <c r="R95" i="12" a="1"/>
  <c r="R95" i="12" s="1"/>
  <c r="J202" i="12" a="1"/>
  <c r="J202" i="12" s="1"/>
  <c r="O182" i="12" a="1"/>
  <c r="O182" i="12" s="1"/>
  <c r="G144" i="12" a="1"/>
  <c r="G144" i="12" s="1"/>
  <c r="M232" i="12" a="1"/>
  <c r="M232" i="12" s="1"/>
  <c r="P232" i="12" a="1"/>
  <c r="P232" i="12" s="1"/>
  <c r="F168" i="12" a="1"/>
  <c r="F168" i="12" s="1"/>
  <c r="U337" i="2" a="1"/>
  <c r="U337" i="2" s="1"/>
  <c r="I149" i="12" a="1"/>
  <c r="I149" i="12" s="1"/>
  <c r="L397" i="12" a="1"/>
  <c r="L397" i="12" s="1"/>
  <c r="K229" i="12" a="1"/>
  <c r="K229" i="12" s="1"/>
  <c r="M558" i="12" a="1"/>
  <c r="M558" i="12" s="1"/>
  <c r="I439" i="12" a="1"/>
  <c r="I439" i="12" s="1"/>
  <c r="T363" i="12" a="1"/>
  <c r="T363" i="12" s="1"/>
  <c r="M123" i="12" a="1"/>
  <c r="M123" i="12" s="1"/>
  <c r="F432" i="12" a="1"/>
  <c r="F432" i="12" s="1"/>
  <c r="U242" i="2" a="1"/>
  <c r="U242" i="2" s="1"/>
  <c r="T377" i="12" a="1"/>
  <c r="T377" i="12" s="1"/>
  <c r="G138" i="12" a="1"/>
  <c r="G138" i="12" s="1"/>
  <c r="T165" i="12" a="1"/>
  <c r="T165" i="12" s="1"/>
  <c r="S388" i="12" a="1"/>
  <c r="S388" i="12" s="1"/>
  <c r="L177" i="12" a="1"/>
  <c r="L177" i="12" s="1"/>
  <c r="N283" i="12" a="1"/>
  <c r="N283" i="12" s="1"/>
  <c r="M368" i="12" a="1"/>
  <c r="M368" i="12" s="1"/>
  <c r="S140" i="12" a="1"/>
  <c r="S140" i="12" s="1"/>
  <c r="M161" i="12" a="1"/>
  <c r="M161" i="12" s="1"/>
  <c r="I312" i="12" a="1"/>
  <c r="I312" i="12" s="1"/>
  <c r="O65" i="12" a="1"/>
  <c r="O65" i="12" s="1"/>
  <c r="L82" i="12" a="1"/>
  <c r="L82" i="12" s="1"/>
  <c r="F462" i="12" a="1"/>
  <c r="F462" i="12" s="1"/>
  <c r="U336" i="2" a="1"/>
  <c r="U336" i="2" s="1"/>
  <c r="S190" i="12" a="1"/>
  <c r="S190" i="12" s="1"/>
  <c r="N403" i="12" a="1"/>
  <c r="N403" i="12" s="1"/>
  <c r="I141" i="12" a="1"/>
  <c r="I141" i="12" s="1"/>
  <c r="J337" i="12" a="1"/>
  <c r="J337" i="12" s="1"/>
  <c r="P393" i="12" a="1"/>
  <c r="P393" i="12" s="1"/>
  <c r="K427" i="12" a="1"/>
  <c r="K427" i="12" s="1"/>
  <c r="K114" i="12" a="1"/>
  <c r="K114" i="12" s="1"/>
  <c r="S422" i="12" a="1"/>
  <c r="S422" i="12" s="1"/>
  <c r="S112" i="12" a="1"/>
  <c r="S112" i="12" s="1"/>
  <c r="N92" i="12" a="1"/>
  <c r="N92" i="12" s="1"/>
  <c r="P48" i="12" a="1"/>
  <c r="P48" i="12" s="1"/>
  <c r="L67" i="12" a="1"/>
  <c r="L67" i="12" s="1"/>
  <c r="P133" i="12" a="1"/>
  <c r="P133" i="12" s="1"/>
  <c r="O111" i="12" a="1"/>
  <c r="O111" i="12" s="1"/>
  <c r="Q289" i="12" a="1"/>
  <c r="Q289" i="12" s="1"/>
  <c r="S259" i="12" a="1"/>
  <c r="S259" i="12" s="1"/>
  <c r="M121" i="12" a="1"/>
  <c r="M121" i="12" s="1"/>
  <c r="F253" i="12" a="1"/>
  <c r="F253" i="12" s="1"/>
  <c r="J235" i="12" a="1"/>
  <c r="J235" i="12" s="1"/>
  <c r="G235" i="12" a="1"/>
  <c r="G235" i="12" s="1"/>
  <c r="AA624" i="12" a="1"/>
  <c r="AA624" i="12" s="1"/>
  <c r="P152" i="12" a="1"/>
  <c r="P152" i="12" s="1"/>
  <c r="R458" i="12" a="1"/>
  <c r="R458" i="12" s="1"/>
  <c r="T332" i="12" a="1"/>
  <c r="T332" i="12" s="1"/>
  <c r="P366" i="12" a="1"/>
  <c r="P366" i="12" s="1"/>
  <c r="J156" i="12" a="1"/>
  <c r="J156" i="12" s="1"/>
  <c r="I370" i="12" a="1"/>
  <c r="I370" i="12" s="1"/>
  <c r="I335" i="12" a="1"/>
  <c r="I335" i="12" s="1"/>
  <c r="O48" i="12" a="1"/>
  <c r="O48" i="12" s="1"/>
  <c r="O297" i="12" a="1"/>
  <c r="O297" i="12" s="1"/>
  <c r="Q255" i="12" a="1"/>
  <c r="Q255" i="12" s="1"/>
  <c r="J126" i="12" a="1"/>
  <c r="J126" i="12" s="1"/>
  <c r="M73" i="12" a="1"/>
  <c r="M73" i="12" s="1"/>
  <c r="I131" i="12" a="1"/>
  <c r="I131" i="12" s="1"/>
  <c r="F528" i="12" a="1"/>
  <c r="F528" i="12" s="1"/>
  <c r="U298" i="2" a="1"/>
  <c r="U298" i="2" s="1"/>
  <c r="T528" i="12" a="1"/>
  <c r="T528" i="12" s="1"/>
  <c r="J414" i="12" a="1"/>
  <c r="J414" i="12" s="1"/>
  <c r="S363" i="12" a="1"/>
  <c r="S363" i="12" s="1"/>
  <c r="R139" i="12" a="1"/>
  <c r="R139" i="12" s="1"/>
  <c r="P404" i="12" a="1"/>
  <c r="P404" i="12" s="1"/>
  <c r="S358" i="12" a="1"/>
  <c r="S358" i="12" s="1"/>
  <c r="R115" i="12" a="1"/>
  <c r="R115" i="12" s="1"/>
  <c r="S92" i="12" a="1"/>
  <c r="S92" i="12" s="1"/>
  <c r="S299" i="12" a="1"/>
  <c r="S299" i="12" s="1"/>
  <c r="P91" i="12" a="1"/>
  <c r="P91" i="12" s="1"/>
  <c r="J67" i="12" a="1"/>
  <c r="J67" i="12" s="1"/>
  <c r="M106" i="12" a="1"/>
  <c r="M106" i="12" s="1"/>
  <c r="S71" i="12" a="1"/>
  <c r="S71" i="12" s="1"/>
  <c r="G87" i="12" a="1"/>
  <c r="G87" i="12" s="1"/>
  <c r="U143" i="2" a="1"/>
  <c r="U143" i="2" s="1"/>
  <c r="S77" i="12" a="1"/>
  <c r="S77" i="12" s="1"/>
  <c r="K125" i="12" a="1"/>
  <c r="K125" i="12" s="1"/>
  <c r="F125" i="12" a="1"/>
  <c r="F125" i="12" s="1"/>
  <c r="U206" i="2" a="1"/>
  <c r="U206" i="2" s="1"/>
  <c r="K253" i="12" a="1"/>
  <c r="K253" i="12" s="1"/>
  <c r="I100" i="12" a="1"/>
  <c r="I100" i="12" s="1"/>
  <c r="I58" i="12" a="1"/>
  <c r="I58" i="12" s="1"/>
  <c r="L78" i="12" a="1"/>
  <c r="L78" i="12" s="1"/>
  <c r="N61" i="12" a="1"/>
  <c r="N61" i="12" s="1"/>
  <c r="S202" i="12" a="1"/>
  <c r="S202" i="12" s="1"/>
  <c r="T56" i="12" a="1"/>
  <c r="T56" i="12" s="1"/>
  <c r="F14" i="12" a="1"/>
  <c r="F14" i="12" s="1"/>
  <c r="U55" i="2" a="1"/>
  <c r="U55" i="2" s="1"/>
  <c r="Q191" i="12" a="1"/>
  <c r="Q191" i="12" s="1"/>
  <c r="N19" i="12" a="1"/>
  <c r="N19" i="12" s="1"/>
  <c r="G17" i="12" a="1"/>
  <c r="G17" i="12" s="1"/>
  <c r="L7" i="12" a="1"/>
  <c r="L7" i="12" s="1"/>
  <c r="I216" i="12" a="1"/>
  <c r="I216" i="12" s="1"/>
  <c r="AA663" i="12" a="1"/>
  <c r="AA663" i="12" s="1"/>
  <c r="F25" i="12" a="1"/>
  <c r="F25" i="12" s="1"/>
  <c r="U87" i="2" a="1"/>
  <c r="U87" i="2" s="1"/>
  <c r="T43" i="12" a="1"/>
  <c r="T43" i="12" s="1"/>
  <c r="R36" i="12" a="1"/>
  <c r="R36" i="12" s="1"/>
  <c r="AL50" i="2" a="1"/>
  <c r="AL50" i="2" s="1"/>
  <c r="G12" i="12" a="1"/>
  <c r="G12" i="12" s="1"/>
  <c r="Q24" i="12" a="1"/>
  <c r="Q24" i="12" s="1"/>
  <c r="O305" i="12" a="1"/>
  <c r="O305" i="12" s="1"/>
  <c r="M32" i="12" a="1"/>
  <c r="M32" i="12" s="1"/>
  <c r="Q134" i="12" a="1"/>
  <c r="Q134" i="12" s="1"/>
  <c r="P23" i="12" a="1"/>
  <c r="P23" i="12" s="1"/>
  <c r="Q26" i="12" a="1"/>
  <c r="Q26" i="12" s="1"/>
  <c r="V14" i="3" a="1"/>
  <c r="V14" i="3" s="1"/>
  <c r="L13" i="12" a="1"/>
  <c r="L13" i="12" s="1"/>
  <c r="Q6" i="3" a="1"/>
  <c r="Q6" i="3" s="1"/>
  <c r="T109" i="12" a="1"/>
  <c r="T109" i="12" s="1"/>
  <c r="J50" i="12" a="1"/>
  <c r="J50" i="12" s="1"/>
  <c r="P345" i="12" a="1"/>
  <c r="P345" i="12" s="1"/>
  <c r="Q143" i="12" a="1"/>
  <c r="Q143" i="12" s="1"/>
  <c r="I253" i="12" a="1"/>
  <c r="I253" i="12" s="1"/>
  <c r="AB647" i="12" a="1"/>
  <c r="AB647" i="12" s="1"/>
  <c r="R70" i="12" a="1"/>
  <c r="R70" i="12" s="1"/>
  <c r="R256" i="12" a="1"/>
  <c r="R256" i="12" s="1"/>
  <c r="F60" i="12" a="1"/>
  <c r="F60" i="12" s="1"/>
  <c r="U75" i="2" a="1"/>
  <c r="U75" i="2" s="1"/>
  <c r="S5" i="12" a="1"/>
  <c r="S5" i="12" s="1"/>
  <c r="I4" i="12" a="1"/>
  <c r="I4" i="12" s="1"/>
  <c r="O30" i="12" a="1"/>
  <c r="O30" i="12" s="1"/>
  <c r="S113" i="12" a="1"/>
  <c r="S113" i="12" s="1"/>
  <c r="P144" i="12" a="1"/>
  <c r="P144" i="12" s="1"/>
  <c r="T86" i="12" a="1"/>
  <c r="T86" i="12" s="1"/>
  <c r="O24" i="12" a="1"/>
  <c r="O24" i="12" s="1"/>
  <c r="O25" i="3" a="1"/>
  <c r="O25" i="3" s="1"/>
  <c r="O28" i="3" s="1" a="1"/>
  <c r="O28" i="3" s="1"/>
  <c r="AQ24" i="2" a="1"/>
  <c r="AQ24" i="2" s="1"/>
  <c r="AR24" i="2" a="1"/>
  <c r="AR24" i="2" s="1"/>
  <c r="L56" i="12" a="1"/>
  <c r="L56" i="12" s="1"/>
  <c r="O496" i="12" a="1"/>
  <c r="O496" i="12" s="1"/>
  <c r="K365" i="12" a="1"/>
  <c r="K365" i="12" s="1"/>
  <c r="O423" i="12" a="1"/>
  <c r="O423" i="12" s="1"/>
  <c r="K127" i="12" a="1"/>
  <c r="K127" i="12" s="1"/>
  <c r="R99" i="12" a="1"/>
  <c r="R99" i="12" s="1"/>
  <c r="T100" i="12" a="1"/>
  <c r="T100" i="12" s="1"/>
  <c r="L212" i="12" a="1"/>
  <c r="L212" i="12" s="1"/>
  <c r="N207" i="12" a="1"/>
  <c r="N207" i="12" s="1"/>
  <c r="Q202" i="12" a="1"/>
  <c r="Q202" i="12" s="1"/>
  <c r="J12" i="12" a="1"/>
  <c r="J12" i="12" s="1"/>
  <c r="S40" i="12" a="1"/>
  <c r="S40" i="12" s="1"/>
  <c r="M27" i="12" a="1"/>
  <c r="M27" i="12" s="1"/>
  <c r="N325" i="12" a="1"/>
  <c r="N325" i="12" s="1"/>
  <c r="T333" i="12" a="1"/>
  <c r="T333" i="12" s="1"/>
  <c r="L333" i="12" a="1"/>
  <c r="L333" i="12" s="1"/>
  <c r="P89" i="12" a="1"/>
  <c r="P89" i="12" s="1"/>
  <c r="T28" i="12" a="1"/>
  <c r="T28" i="12" s="1"/>
  <c r="P68" i="12" a="1"/>
  <c r="P68" i="12" s="1"/>
  <c r="T105" i="12" a="1"/>
  <c r="T105" i="12" s="1"/>
  <c r="P305" i="12" a="1"/>
  <c r="P305" i="12" s="1"/>
  <c r="G178" i="12" a="1"/>
  <c r="G178" i="12" s="1"/>
  <c r="AA627" i="12" a="1"/>
  <c r="AA627" i="12" s="1"/>
  <c r="N21" i="12" a="1"/>
  <c r="N21" i="12" s="1"/>
  <c r="R20" i="12" a="1"/>
  <c r="R20" i="12" s="1"/>
  <c r="J7" i="12" a="1"/>
  <c r="J7" i="12" s="1"/>
  <c r="P8" i="12" a="1"/>
  <c r="P8" i="12" s="1"/>
  <c r="P104" i="12" a="1"/>
  <c r="P104" i="12" s="1"/>
  <c r="S60" i="12" a="1"/>
  <c r="S60" i="12" s="1"/>
  <c r="Z641" i="12" a="1"/>
  <c r="Z641" i="12" s="1"/>
  <c r="M39" i="12" a="1"/>
  <c r="M39" i="12" s="1"/>
  <c r="Q44" i="12" a="1"/>
  <c r="Q44" i="12" s="1"/>
  <c r="R116" i="12" a="1"/>
  <c r="R116" i="12" s="1"/>
  <c r="Q20" i="12" a="1"/>
  <c r="Q20" i="12" s="1"/>
  <c r="M16" i="12" a="1"/>
  <c r="M16" i="12" s="1"/>
  <c r="J43" i="12" a="1"/>
  <c r="J43" i="12" s="1"/>
  <c r="I159" i="12" a="1"/>
  <c r="I159" i="12" s="1"/>
  <c r="T107" i="12" a="1"/>
  <c r="T107" i="12" s="1"/>
  <c r="R250" i="12" a="1"/>
  <c r="R250" i="12" s="1"/>
  <c r="R88" i="12" a="1"/>
  <c r="R88" i="12" s="1"/>
  <c r="M292" i="12" a="1"/>
  <c r="M292" i="12" s="1"/>
  <c r="U112" i="2" a="1"/>
  <c r="U112" i="2" s="1"/>
  <c r="M224" i="12" a="1"/>
  <c r="M224" i="12" s="1"/>
  <c r="K66" i="12" a="1"/>
  <c r="K66" i="12" s="1"/>
  <c r="N202" i="12" a="1"/>
  <c r="N202" i="12" s="1"/>
  <c r="T25" i="12" a="1"/>
  <c r="T25" i="12" s="1"/>
  <c r="P38" i="12" a="1"/>
  <c r="P38" i="12" s="1"/>
  <c r="S401" i="12" a="1"/>
  <c r="S401" i="12" s="1"/>
  <c r="O84" i="12" a="1"/>
  <c r="O84" i="12" s="1"/>
  <c r="J72" i="12" a="1"/>
  <c r="J72" i="12" s="1"/>
  <c r="S64" i="12" a="1"/>
  <c r="S64" i="12" s="1"/>
  <c r="AB661" i="12" a="1"/>
  <c r="AB661" i="12" s="1"/>
  <c r="J275" i="12" a="1"/>
  <c r="J275" i="12" s="1"/>
  <c r="L69" i="12" a="1"/>
  <c r="L69" i="12" s="1"/>
  <c r="P55" i="12" a="1"/>
  <c r="P55" i="12" s="1"/>
  <c r="T27" i="12" a="1"/>
  <c r="T27" i="12" s="1"/>
  <c r="O39" i="12" a="1"/>
  <c r="O39" i="12" s="1"/>
  <c r="U254" i="2" a="1"/>
  <c r="U254" i="2" s="1"/>
  <c r="Q379" i="12" a="1"/>
  <c r="Q379" i="12" s="1"/>
  <c r="G379" i="12" a="1"/>
  <c r="G379" i="12" s="1"/>
  <c r="L115" i="12" a="1"/>
  <c r="L115" i="12" s="1"/>
  <c r="J312" i="12" a="1"/>
  <c r="J312" i="12" s="1"/>
  <c r="S330" i="12" a="1"/>
  <c r="S330" i="12" s="1"/>
  <c r="O143" i="12" a="1"/>
  <c r="O143" i="12" s="1"/>
  <c r="Q81" i="12" a="1"/>
  <c r="Q81" i="12" s="1"/>
  <c r="R266" i="12" a="1"/>
  <c r="R266" i="12" s="1"/>
  <c r="G96" i="12" a="1"/>
  <c r="G96" i="12" s="1"/>
  <c r="K382" i="12" a="1"/>
  <c r="K382" i="12" s="1"/>
  <c r="S58" i="12" a="1"/>
  <c r="S58" i="12" s="1"/>
  <c r="F146" i="12" a="1"/>
  <c r="F146" i="12" s="1"/>
  <c r="U114" i="2" a="1"/>
  <c r="U114" i="2" s="1"/>
  <c r="I201" i="12" a="1"/>
  <c r="I201" i="12" s="1"/>
  <c r="P174" i="12" a="1"/>
  <c r="P174" i="12" s="1"/>
  <c r="N130" i="12" a="1"/>
  <c r="N130" i="12" s="1"/>
  <c r="AB631" i="12" a="1"/>
  <c r="AB631" i="12" s="1"/>
  <c r="M90" i="12" a="1"/>
  <c r="M90" i="12" s="1"/>
  <c r="K105" i="12" a="1"/>
  <c r="K105" i="12" s="1"/>
  <c r="P78" i="12" a="1"/>
  <c r="P78" i="12" s="1"/>
  <c r="Q174" i="12" a="1"/>
  <c r="Q174" i="12" s="1"/>
  <c r="F75" i="12" a="1"/>
  <c r="F75" i="12" s="1"/>
  <c r="U88" i="2" a="1"/>
  <c r="U88" i="2" s="1"/>
  <c r="R51" i="12" a="1"/>
  <c r="R51" i="12" s="1"/>
  <c r="AB645" i="12" a="1"/>
  <c r="AB645" i="12" s="1"/>
  <c r="F134" i="12" a="1"/>
  <c r="F134" i="12" s="1"/>
  <c r="U33" i="2" a="1"/>
  <c r="U33" i="2" s="1"/>
  <c r="L86" i="12" a="1"/>
  <c r="L86" i="12" s="1"/>
  <c r="X627" i="12" a="1"/>
  <c r="X627" i="12" s="1"/>
  <c r="M425" i="12" a="1"/>
  <c r="M425" i="12" s="1"/>
  <c r="T279" i="12" a="1"/>
  <c r="T279" i="12" s="1"/>
  <c r="T166" i="12" a="1"/>
  <c r="T166" i="12" s="1"/>
  <c r="O144" i="12" a="1"/>
  <c r="O144" i="12" s="1"/>
  <c r="P86" i="12" a="1"/>
  <c r="P86" i="12" s="1"/>
  <c r="P15" i="12" a="1"/>
  <c r="P15" i="12" s="1"/>
  <c r="O12" i="12" a="1"/>
  <c r="O12" i="12" s="1"/>
  <c r="R23" i="12" a="1"/>
  <c r="R23" i="12" s="1"/>
  <c r="R9" i="12" a="1"/>
  <c r="R9" i="12" s="1"/>
  <c r="M182" i="12" a="1"/>
  <c r="M182" i="12" s="1"/>
  <c r="L52" i="12" a="1"/>
  <c r="L52" i="12" s="1"/>
  <c r="T21" i="12" a="1"/>
  <c r="T21" i="12" s="1"/>
  <c r="I46" i="12" a="1"/>
  <c r="I46" i="12" s="1"/>
  <c r="K43" i="12" a="1"/>
  <c r="K43" i="12" s="1"/>
  <c r="F103" i="12" a="1"/>
  <c r="F103" i="12" s="1"/>
  <c r="U31" i="2" a="1"/>
  <c r="U31" i="2" s="1"/>
  <c r="M10" i="12" a="1"/>
  <c r="M10" i="12" s="1"/>
  <c r="G41" i="12" a="1"/>
  <c r="G41" i="12" s="1"/>
  <c r="AL66" i="2" a="1"/>
  <c r="AL66" i="2" s="1"/>
  <c r="R30" i="12" a="1"/>
  <c r="R30" i="12" s="1"/>
  <c r="M45" i="12" a="1"/>
  <c r="M45" i="12" s="1"/>
  <c r="N31" i="12" a="1"/>
  <c r="N31" i="12" s="1"/>
  <c r="O31" i="12" a="1"/>
  <c r="O31" i="12" s="1"/>
  <c r="L275" i="12" a="1"/>
  <c r="L275" i="12" s="1"/>
  <c r="R129" i="12" a="1"/>
  <c r="R129" i="12" s="1"/>
  <c r="G184" i="12" a="1"/>
  <c r="G184" i="12" s="1"/>
  <c r="S184" i="12" a="1"/>
  <c r="S184" i="12" s="1"/>
  <c r="X611" i="12" a="1"/>
  <c r="X611" i="12" s="1"/>
  <c r="J59" i="12" a="1"/>
  <c r="J59" i="12" s="1"/>
  <c r="I37" i="12" a="1"/>
  <c r="I37" i="12" s="1"/>
  <c r="O118" i="12" a="1"/>
  <c r="O118" i="12" s="1"/>
  <c r="L22" i="12" a="1"/>
  <c r="L22" i="12" s="1"/>
  <c r="M22" i="12" a="1"/>
  <c r="M22" i="12" s="1"/>
  <c r="F42" i="12" a="1"/>
  <c r="F42" i="12" s="1"/>
  <c r="U52" i="2" a="1"/>
  <c r="U52" i="2" s="1"/>
  <c r="K109" i="12" a="1"/>
  <c r="K109" i="12" s="1"/>
  <c r="N80" i="12" a="1"/>
  <c r="N80" i="12" s="1"/>
  <c r="O20" i="12" a="1"/>
  <c r="O20" i="12" s="1"/>
  <c r="M82" i="12" a="1"/>
  <c r="M82" i="12" s="1"/>
  <c r="L62" i="12" a="1"/>
  <c r="L62" i="12" s="1"/>
  <c r="AA619" i="12" a="1"/>
  <c r="AA619" i="12" s="1"/>
  <c r="U51" i="2" a="1"/>
  <c r="U51" i="2" s="1"/>
  <c r="AQ39" i="2" a="1"/>
  <c r="AQ39" i="2" s="1"/>
  <c r="AR39" i="2" a="1"/>
  <c r="AR39" i="2" s="1"/>
  <c r="F34" i="12" a="1"/>
  <c r="F34" i="12" s="1"/>
  <c r="U38" i="2" a="1"/>
  <c r="U38" i="2" s="1"/>
  <c r="M34" i="12" a="1"/>
  <c r="M34" i="12" s="1"/>
  <c r="S79" i="12" a="1"/>
  <c r="S79" i="12" s="1"/>
  <c r="I57" i="12" a="1"/>
  <c r="I57" i="12" s="1"/>
  <c r="F182" i="12" a="1"/>
  <c r="F182" i="12" s="1"/>
  <c r="U70" i="2" a="1"/>
  <c r="U70" i="2" s="1"/>
  <c r="M24" i="12" a="1"/>
  <c r="M24" i="12" s="1"/>
  <c r="N3" i="12" a="1"/>
  <c r="N3" i="12" s="1"/>
  <c r="P24" i="12" a="1"/>
  <c r="P24" i="12" s="1"/>
  <c r="G53" i="12" a="1"/>
  <c r="G53" i="12" s="1"/>
  <c r="S53" i="12" a="1"/>
  <c r="S53" i="12" s="1"/>
  <c r="M14" i="12" a="1"/>
  <c r="M14" i="12" s="1"/>
  <c r="T49" i="12" a="1"/>
  <c r="T49" i="12" s="1"/>
  <c r="P63" i="12" a="1"/>
  <c r="P63" i="12" s="1"/>
  <c r="G63" i="12" a="1"/>
  <c r="G63" i="12" s="1"/>
  <c r="L11" i="12" a="1"/>
  <c r="L11" i="12" s="1"/>
  <c r="P11" i="12" a="1"/>
  <c r="P11" i="12" s="1"/>
  <c r="U102" i="2" a="1"/>
  <c r="U102" i="2" s="1"/>
  <c r="P200" i="12" a="1"/>
  <c r="P200" i="12" s="1"/>
  <c r="F33" i="12" a="1"/>
  <c r="F33" i="12" s="1"/>
  <c r="U9" i="2" a="1"/>
  <c r="U9" i="2" s="1"/>
  <c r="I68" i="12" a="1"/>
  <c r="I68" i="12" s="1"/>
  <c r="Q189" i="12" a="1"/>
  <c r="Q189" i="12" s="1"/>
  <c r="L55" i="12" a="1"/>
  <c r="L55" i="12" s="1"/>
  <c r="F144" i="12" a="1"/>
  <c r="F144" i="12" s="1"/>
  <c r="S561" i="12" a="1"/>
  <c r="S561" i="12" s="1"/>
  <c r="S263" i="12" a="1"/>
  <c r="S263" i="12" s="1"/>
  <c r="AQ410" i="2" a="1"/>
  <c r="AQ410" i="2" s="1"/>
  <c r="AR410" i="2" a="1"/>
  <c r="AR410" i="2" s="1"/>
  <c r="S520" i="12" a="1"/>
  <c r="S520" i="12" s="1"/>
  <c r="R172" i="12" a="1"/>
  <c r="R172" i="12" s="1"/>
  <c r="Q236" i="12" a="1"/>
  <c r="Q236" i="12" s="1"/>
  <c r="R562" i="12" a="1"/>
  <c r="R562" i="12" s="1"/>
  <c r="S412" i="12" a="1"/>
  <c r="S412" i="12" s="1"/>
  <c r="N219" i="12" a="1"/>
  <c r="N219" i="12" s="1"/>
  <c r="N281" i="12" a="1"/>
  <c r="N281" i="12" s="1"/>
  <c r="G238" i="12" a="1"/>
  <c r="G238" i="12" s="1"/>
  <c r="N280" i="12" a="1"/>
  <c r="N280" i="12" s="1"/>
  <c r="G483" i="12" a="1"/>
  <c r="G483" i="12" s="1"/>
  <c r="G463" i="12" a="1"/>
  <c r="G463" i="12" s="1"/>
  <c r="P298" i="12" a="1"/>
  <c r="P298" i="12" s="1"/>
  <c r="I536" i="12" a="1"/>
  <c r="I536" i="12" s="1"/>
  <c r="R311" i="12" a="1"/>
  <c r="R311" i="12" s="1"/>
  <c r="L233" i="12" a="1"/>
  <c r="L233" i="12" s="1"/>
  <c r="Q597" i="12" a="1"/>
  <c r="Q597" i="12" s="1"/>
  <c r="F463" i="12" a="1"/>
  <c r="F463" i="12" s="1"/>
  <c r="U423" i="2" a="1"/>
  <c r="U423" i="2" s="1"/>
  <c r="O208" i="12" a="1"/>
  <c r="O208" i="12" s="1"/>
  <c r="T568" i="12" a="1"/>
  <c r="T568" i="12" s="1"/>
  <c r="S228" i="12" a="1"/>
  <c r="S228" i="12" s="1"/>
  <c r="O562" i="12" a="1"/>
  <c r="O562" i="12" s="1"/>
  <c r="N531" i="12" a="1"/>
  <c r="N531" i="12" s="1"/>
  <c r="F149" i="12" a="1"/>
  <c r="F149" i="12" s="1"/>
  <c r="U330" i="2" a="1"/>
  <c r="U330" i="2" s="1"/>
  <c r="P549" i="12" a="1"/>
  <c r="P549" i="12" s="1"/>
  <c r="F131" i="12" a="1"/>
  <c r="F131" i="12" s="1"/>
  <c r="U325" i="2" a="1"/>
  <c r="U325" i="2" s="1"/>
  <c r="R282" i="12" a="1"/>
  <c r="R282" i="12" s="1"/>
  <c r="Q271" i="12" a="1"/>
  <c r="Q271" i="12" s="1"/>
  <c r="K505" i="12" a="1"/>
  <c r="K505" i="12" s="1"/>
  <c r="P501" i="12" a="1"/>
  <c r="P501" i="12" s="1"/>
  <c r="J248" i="12" a="1"/>
  <c r="J248" i="12" s="1"/>
  <c r="R213" i="12" a="1"/>
  <c r="R213" i="12" s="1"/>
  <c r="G83" i="12" a="1"/>
  <c r="G83" i="12" s="1"/>
  <c r="G499" i="12" a="1"/>
  <c r="G499" i="12" s="1"/>
  <c r="AB664" i="12" a="1"/>
  <c r="AB664" i="12" s="1"/>
  <c r="N223" i="12" a="1"/>
  <c r="N223" i="12" s="1"/>
  <c r="P261" i="12" a="1"/>
  <c r="P261" i="12" s="1"/>
  <c r="S557" i="12" a="1"/>
  <c r="S557" i="12" s="1"/>
  <c r="J258" i="12" a="1"/>
  <c r="J258" i="12" s="1"/>
  <c r="P271" i="12" a="1"/>
  <c r="P271" i="12" s="1"/>
  <c r="F280" i="12" a="1"/>
  <c r="F280" i="12" s="1"/>
  <c r="P237" i="12" a="1"/>
  <c r="P237" i="12" s="1"/>
  <c r="P277" i="12" a="1"/>
  <c r="P277" i="12" s="1"/>
  <c r="K83" i="12" a="1"/>
  <c r="K83" i="12" s="1"/>
  <c r="F499" i="12" a="1"/>
  <c r="F499" i="12" s="1"/>
  <c r="I598" i="12" a="1"/>
  <c r="I598" i="12" s="1"/>
  <c r="L301" i="12" a="1"/>
  <c r="L301" i="12" s="1"/>
  <c r="L276" i="12" a="1"/>
  <c r="L276" i="12" s="1"/>
  <c r="P272" i="12" a="1"/>
  <c r="P272" i="12" s="1"/>
  <c r="K211" i="12" a="1"/>
  <c r="K211" i="12" s="1"/>
  <c r="N243" i="12" a="1"/>
  <c r="N243" i="12" s="1"/>
  <c r="T501" i="12" a="1"/>
  <c r="T501" i="12" s="1"/>
  <c r="J226" i="12" a="1"/>
  <c r="J226" i="12" s="1"/>
  <c r="I208" i="12" a="1"/>
  <c r="I208" i="12" s="1"/>
  <c r="O519" i="12" a="1"/>
  <c r="O519" i="12" s="1"/>
  <c r="J573" i="12" a="1"/>
  <c r="J573" i="12" s="1"/>
  <c r="Q503" i="12" a="1"/>
  <c r="Q503" i="12" s="1"/>
  <c r="Q495" i="12" a="1"/>
  <c r="Q495" i="12" s="1"/>
  <c r="J210" i="12" a="1"/>
  <c r="J210" i="12" s="1"/>
  <c r="N225" i="12" a="1"/>
  <c r="N225" i="12" s="1"/>
  <c r="M221" i="12" a="1"/>
  <c r="M221" i="12" s="1"/>
  <c r="L606" i="12" a="1"/>
  <c r="L606" i="12" s="1"/>
  <c r="L362" i="12" a="1"/>
  <c r="L362" i="12" s="1"/>
  <c r="N261" i="12" a="1"/>
  <c r="N261" i="12" s="1"/>
  <c r="T280" i="12" a="1"/>
  <c r="T280" i="12" s="1"/>
  <c r="F263" i="12" a="1"/>
  <c r="F263" i="12" s="1"/>
  <c r="U417" i="2" a="1"/>
  <c r="U417" i="2" s="1"/>
  <c r="O268" i="12" a="1"/>
  <c r="O268" i="12" s="1"/>
  <c r="S214" i="12" a="1"/>
  <c r="S214" i="12" s="1"/>
  <c r="O181" i="12" a="1"/>
  <c r="O181" i="12" s="1"/>
  <c r="K501" i="12" a="1"/>
  <c r="K501" i="12" s="1"/>
  <c r="I514" i="12" a="1"/>
  <c r="I514" i="12" s="1"/>
  <c r="F277" i="12" a="1"/>
  <c r="F277" i="12" s="1"/>
  <c r="U414" i="2" a="1"/>
  <c r="U414" i="2" s="1"/>
  <c r="F245" i="12" a="1"/>
  <c r="F245" i="12" s="1"/>
  <c r="U396" i="2" a="1"/>
  <c r="U396" i="2" s="1"/>
  <c r="P499" i="12" a="1"/>
  <c r="P499" i="12" s="1"/>
  <c r="K575" i="12" a="1"/>
  <c r="K575" i="12" s="1"/>
  <c r="M311" i="12" a="1"/>
  <c r="M311" i="12" s="1"/>
  <c r="N258" i="12" a="1"/>
  <c r="N258" i="12" s="1"/>
  <c r="N233" i="12" a="1"/>
  <c r="N233" i="12" s="1"/>
  <c r="K234" i="12" a="1"/>
  <c r="K234" i="12" s="1"/>
  <c r="S315" i="12" a="1"/>
  <c r="S315" i="12" s="1"/>
  <c r="Q280" i="12" a="1"/>
  <c r="Q280" i="12" s="1"/>
  <c r="K237" i="12" a="1"/>
  <c r="K237" i="12" s="1"/>
  <c r="M537" i="12" a="1"/>
  <c r="M537" i="12" s="1"/>
  <c r="T246" i="12" a="1"/>
  <c r="T246" i="12" s="1"/>
  <c r="M585" i="12" a="1"/>
  <c r="M585" i="12" s="1"/>
  <c r="I315" i="12" a="1"/>
  <c r="I315" i="12" s="1"/>
  <c r="L83" i="12" a="1"/>
  <c r="L83" i="12" s="1"/>
  <c r="P551" i="12" a="1"/>
  <c r="P551" i="12" s="1"/>
  <c r="N551" i="12" a="1"/>
  <c r="N551" i="12" s="1"/>
  <c r="P509" i="12" a="1"/>
  <c r="P509" i="12" s="1"/>
  <c r="S549" i="12" a="1"/>
  <c r="S549" i="12" s="1"/>
  <c r="T186" i="12" a="1"/>
  <c r="T186" i="12" s="1"/>
  <c r="J452" i="12" a="1"/>
  <c r="J452" i="12" s="1"/>
  <c r="G135" i="12" a="1"/>
  <c r="G135" i="12" s="1"/>
  <c r="N295" i="12" a="1"/>
  <c r="N295" i="12" s="1"/>
  <c r="S510" i="12" a="1"/>
  <c r="S510" i="12" s="1"/>
  <c r="X662" i="12" a="1"/>
  <c r="X662" i="12" s="1"/>
  <c r="O220" i="12" a="1"/>
  <c r="O220" i="12" s="1"/>
  <c r="O210" i="12" a="1"/>
  <c r="O210" i="12" s="1"/>
  <c r="X640" i="12" a="1"/>
  <c r="X640" i="12" s="1"/>
  <c r="K244" i="12" a="1"/>
  <c r="K244" i="12" s="1"/>
  <c r="R508" i="12" a="1"/>
  <c r="R508" i="12" s="1"/>
  <c r="K415" i="12" a="1"/>
  <c r="K415" i="12" s="1"/>
  <c r="F504" i="12" a="1"/>
  <c r="F504" i="12" s="1"/>
  <c r="U340" i="2" a="1"/>
  <c r="U340" i="2" s="1"/>
  <c r="F500" i="12" a="1"/>
  <c r="F500" i="12" s="1"/>
  <c r="U339" i="2" a="1"/>
  <c r="U339" i="2" s="1"/>
  <c r="T179" i="12" a="1"/>
  <c r="T179" i="12" s="1"/>
  <c r="T171" i="12" a="1"/>
  <c r="T171" i="12" s="1"/>
  <c r="AA614" i="12" a="1"/>
  <c r="AA614" i="12" s="1"/>
  <c r="T163" i="12" a="1"/>
  <c r="T163" i="12" s="1"/>
  <c r="N493" i="12" a="1"/>
  <c r="N493" i="12" s="1"/>
  <c r="T397" i="12" a="1"/>
  <c r="T397" i="12" s="1"/>
  <c r="K281" i="12" a="1"/>
  <c r="K281" i="12" s="1"/>
  <c r="U408" i="2" a="1"/>
  <c r="U408" i="2" s="1"/>
  <c r="F604" i="12" a="1"/>
  <c r="F604" i="12" s="1"/>
  <c r="U406" i="2" a="1"/>
  <c r="U406" i="2" s="1"/>
  <c r="K520" i="12" a="1"/>
  <c r="K520" i="12" s="1"/>
  <c r="F221" i="12" a="1"/>
  <c r="F221" i="12" s="1"/>
  <c r="T547" i="12" a="1"/>
  <c r="T547" i="12" s="1"/>
  <c r="N407" i="12" a="1"/>
  <c r="N407" i="12" s="1"/>
  <c r="T407" i="12" a="1"/>
  <c r="T407" i="12" s="1"/>
  <c r="J193" i="12" a="1"/>
  <c r="J193" i="12" s="1"/>
  <c r="F408" i="12" a="1"/>
  <c r="F408" i="12" s="1"/>
  <c r="U334" i="2" a="1"/>
  <c r="U334" i="2" s="1"/>
  <c r="O549" i="12" a="1"/>
  <c r="O549" i="12" s="1"/>
  <c r="R586" i="12" a="1"/>
  <c r="R586" i="12" s="1"/>
  <c r="P188" i="12" a="1"/>
  <c r="P188" i="12" s="1"/>
  <c r="O332" i="12" a="1"/>
  <c r="O332" i="12" s="1"/>
  <c r="R584" i="12" a="1"/>
  <c r="R584" i="12" s="1"/>
  <c r="R185" i="12" a="1"/>
  <c r="R185" i="12" s="1"/>
  <c r="Q585" i="12" a="1"/>
  <c r="Q585" i="12" s="1"/>
  <c r="Q508" i="12" a="1"/>
  <c r="Q508" i="12" s="1"/>
  <c r="L500" i="12" a="1"/>
  <c r="L500" i="12" s="1"/>
  <c r="N190" i="12" a="1"/>
  <c r="N190" i="12" s="1"/>
  <c r="R205" i="12" a="1"/>
  <c r="R205" i="12" s="1"/>
  <c r="P559" i="12" a="1"/>
  <c r="P559" i="12" s="1"/>
  <c r="L246" i="12" a="1"/>
  <c r="L246" i="12" s="1"/>
  <c r="F515" i="12" a="1"/>
  <c r="F515" i="12" s="1"/>
  <c r="U366" i="2" a="1"/>
  <c r="U366" i="2" s="1"/>
  <c r="L230" i="12" a="1"/>
  <c r="L230" i="12" s="1"/>
  <c r="T230" i="12" a="1"/>
  <c r="T230" i="12" s="1"/>
  <c r="T227" i="12" a="1"/>
  <c r="T227" i="12" s="1"/>
  <c r="L199" i="12" a="1"/>
  <c r="L199" i="12" s="1"/>
  <c r="G205" i="12" a="1"/>
  <c r="G205" i="12" s="1"/>
  <c r="N466" i="12" a="1"/>
  <c r="N466" i="12" s="1"/>
  <c r="N204" i="12" a="1"/>
  <c r="N204" i="12" s="1"/>
  <c r="Q154" i="12" a="1"/>
  <c r="Q154" i="12" s="1"/>
  <c r="I276" i="12" a="1"/>
  <c r="I276" i="12" s="1"/>
  <c r="M511" i="12" a="1"/>
  <c r="M511" i="12" s="1"/>
  <c r="I213" i="12" a="1"/>
  <c r="I213" i="12" s="1"/>
  <c r="F273" i="12" a="1"/>
  <c r="F273" i="12" s="1"/>
  <c r="U407" i="2" a="1"/>
  <c r="U407" i="2" s="1"/>
  <c r="N564" i="12" a="1"/>
  <c r="N564" i="12" s="1"/>
  <c r="K588" i="12" a="1"/>
  <c r="K588" i="12" s="1"/>
  <c r="I530" i="12" a="1"/>
  <c r="I530" i="12" s="1"/>
  <c r="Z654" i="12" a="1"/>
  <c r="Z654" i="12" s="1"/>
  <c r="I483" i="12" a="1"/>
  <c r="I483" i="12" s="1"/>
  <c r="G582" i="12" a="1"/>
  <c r="G582" i="12" s="1"/>
  <c r="M533" i="12" a="1"/>
  <c r="M533" i="12" s="1"/>
  <c r="N426" i="12" a="1"/>
  <c r="N426" i="12" s="1"/>
  <c r="O426" i="12" a="1"/>
  <c r="O426" i="12" s="1"/>
  <c r="O556" i="12" a="1"/>
  <c r="O556" i="12" s="1"/>
  <c r="R522" i="12" a="1"/>
  <c r="R522" i="12" s="1"/>
  <c r="M526" i="12" a="1"/>
  <c r="M526" i="12" s="1"/>
  <c r="T466" i="12" a="1"/>
  <c r="T466" i="12" s="1"/>
  <c r="R217" i="12" a="1"/>
  <c r="R217" i="12" s="1"/>
  <c r="P558" i="12" a="1"/>
  <c r="P558" i="12" s="1"/>
  <c r="L175" i="12" a="1"/>
  <c r="L175" i="12" s="1"/>
  <c r="K502" i="12" a="1"/>
  <c r="K502" i="12" s="1"/>
  <c r="Q492" i="12" a="1"/>
  <c r="Q492" i="12" s="1"/>
  <c r="F170" i="12" a="1"/>
  <c r="F170" i="12" s="1"/>
  <c r="U280" i="2" a="1"/>
  <c r="U280" i="2" s="1"/>
  <c r="T204" i="12" a="1"/>
  <c r="T204" i="12" s="1"/>
  <c r="R419" i="12" a="1"/>
  <c r="R419" i="12" s="1"/>
  <c r="P160" i="12" a="1"/>
  <c r="P160" i="12" s="1"/>
  <c r="L439" i="12" a="1"/>
  <c r="L439" i="12" s="1"/>
  <c r="K162" i="12" a="1"/>
  <c r="K162" i="12" s="1"/>
  <c r="I154" i="12" a="1"/>
  <c r="I154" i="12" s="1"/>
  <c r="J139" i="12" a="1"/>
  <c r="J139" i="12" s="1"/>
  <c r="M243" i="12" a="1"/>
  <c r="M243" i="12" s="1"/>
  <c r="U404" i="2" a="1"/>
  <c r="U404" i="2" s="1"/>
  <c r="T173" i="12" a="1"/>
  <c r="T173" i="12" s="1"/>
  <c r="R192" i="12" a="1"/>
  <c r="R192" i="12" s="1"/>
  <c r="AA630" i="12" a="1"/>
  <c r="AA630" i="12" s="1"/>
  <c r="L180" i="12" a="1"/>
  <c r="L180" i="12" s="1"/>
  <c r="R215" i="12" a="1"/>
  <c r="R215" i="12" s="1"/>
  <c r="N540" i="12" a="1"/>
  <c r="N540" i="12" s="1"/>
  <c r="N274" i="12" a="1"/>
  <c r="N274" i="12" s="1"/>
  <c r="P195" i="12" a="1"/>
  <c r="P195" i="12" s="1"/>
  <c r="J476" i="12" a="1"/>
  <c r="J476" i="12" s="1"/>
  <c r="O505" i="12" a="1"/>
  <c r="O505" i="12" s="1"/>
  <c r="O187" i="12" a="1"/>
  <c r="O187" i="12" s="1"/>
  <c r="J187" i="12" a="1"/>
  <c r="J187" i="12" s="1"/>
  <c r="S500" i="12" a="1"/>
  <c r="S500" i="12" s="1"/>
  <c r="T226" i="12" a="1"/>
  <c r="T226" i="12" s="1"/>
  <c r="O267" i="12" a="1"/>
  <c r="O267" i="12" s="1"/>
  <c r="R267" i="12" a="1"/>
  <c r="R267" i="12" s="1"/>
  <c r="T495" i="12" a="1"/>
  <c r="T495" i="12" s="1"/>
  <c r="P231" i="12" a="1"/>
  <c r="P231" i="12" s="1"/>
  <c r="N231" i="12" a="1"/>
  <c r="N231" i="12" s="1"/>
  <c r="T494" i="12" a="1"/>
  <c r="T494" i="12" s="1"/>
  <c r="I171" i="12" a="1"/>
  <c r="I171" i="12" s="1"/>
  <c r="S188" i="12" a="1"/>
  <c r="S188" i="12" s="1"/>
  <c r="AB616" i="12" a="1"/>
  <c r="AB616" i="12" s="1"/>
  <c r="Q332" i="12" a="1"/>
  <c r="Q332" i="12" s="1"/>
  <c r="M603" i="12" a="1"/>
  <c r="M603" i="12" s="1"/>
  <c r="G603" i="12" a="1"/>
  <c r="G603" i="12" s="1"/>
  <c r="I558" i="12" a="1"/>
  <c r="I558" i="12" s="1"/>
  <c r="M439" i="12" a="1"/>
  <c r="M439" i="12" s="1"/>
  <c r="F479" i="12" a="1"/>
  <c r="F479" i="12" s="1"/>
  <c r="U266" i="2" a="1"/>
  <c r="U266" i="2" s="1"/>
  <c r="J153" i="12" a="1"/>
  <c r="J153" i="12" s="1"/>
  <c r="S377" i="12" a="1"/>
  <c r="S377" i="12" s="1"/>
  <c r="P142" i="12" a="1"/>
  <c r="P142" i="12" s="1"/>
  <c r="G117" i="12" a="1"/>
  <c r="G117" i="12" s="1"/>
  <c r="N48" i="12" a="1"/>
  <c r="N48" i="12" s="1"/>
  <c r="L111" i="12" a="1"/>
  <c r="L111" i="12" s="1"/>
  <c r="P121" i="12" a="1"/>
  <c r="P121" i="12" s="1"/>
  <c r="J71" i="12" a="1"/>
  <c r="J71" i="12" s="1"/>
  <c r="Q253" i="12" a="1"/>
  <c r="Q253" i="12" s="1"/>
  <c r="F89" i="12" a="1"/>
  <c r="F89" i="12" s="1"/>
  <c r="U141" i="2" a="1"/>
  <c r="U141" i="2" s="1"/>
  <c r="G202" i="12" a="1"/>
  <c r="G202" i="12" s="1"/>
  <c r="I144" i="12" a="1"/>
  <c r="I144" i="12" s="1"/>
  <c r="Q515" i="12" a="1"/>
  <c r="Q515" i="12" s="1"/>
  <c r="N534" i="12" a="1"/>
  <c r="N534" i="12" s="1"/>
  <c r="L534" i="12" a="1"/>
  <c r="L534" i="12" s="1"/>
  <c r="F583" i="12" a="1"/>
  <c r="F583" i="12" s="1"/>
  <c r="U311" i="2" a="1"/>
  <c r="U311" i="2" s="1"/>
  <c r="I209" i="12" a="1"/>
  <c r="I209" i="12" s="1"/>
  <c r="O209" i="12" a="1"/>
  <c r="O209" i="12" s="1"/>
  <c r="O309" i="12" a="1"/>
  <c r="O309" i="12" s="1"/>
  <c r="S142" i="12" a="1"/>
  <c r="S142" i="12" s="1"/>
  <c r="R401" i="12" a="1"/>
  <c r="R401" i="12" s="1"/>
  <c r="Q365" i="12" a="1"/>
  <c r="Q365" i="12" s="1"/>
  <c r="X667" i="12" a="1"/>
  <c r="X667" i="12" s="1"/>
  <c r="AL214" i="2" a="1"/>
  <c r="AL214" i="2" s="1"/>
  <c r="K120" i="12" a="1"/>
  <c r="K120" i="12" s="1"/>
  <c r="O387" i="12" a="1"/>
  <c r="O387" i="12" s="1"/>
  <c r="S101" i="12" a="1"/>
  <c r="S101" i="12" s="1"/>
  <c r="Q161" i="12" a="1"/>
  <c r="Q161" i="12" s="1"/>
  <c r="N297" i="12" a="1"/>
  <c r="N297" i="12" s="1"/>
  <c r="I65" i="12" a="1"/>
  <c r="I65" i="12" s="1"/>
  <c r="T94" i="12" a="1"/>
  <c r="T94" i="12" s="1"/>
  <c r="S70" i="12" a="1"/>
  <c r="S70" i="12" s="1"/>
  <c r="T79" i="12" a="1"/>
  <c r="T79" i="12" s="1"/>
  <c r="L54" i="12" a="1"/>
  <c r="L54" i="12" s="1"/>
  <c r="I549" i="12" a="1"/>
  <c r="I549" i="12" s="1"/>
  <c r="P308" i="12" a="1"/>
  <c r="P308" i="12" s="1"/>
  <c r="O308" i="12" a="1"/>
  <c r="O308" i="12" s="1"/>
  <c r="J383" i="12" a="1"/>
  <c r="J383" i="12" s="1"/>
  <c r="Q337" i="12" a="1"/>
  <c r="Q337" i="12" s="1"/>
  <c r="F167" i="12" a="1"/>
  <c r="F167" i="12" s="1"/>
  <c r="U261" i="2" a="1"/>
  <c r="U261" i="2" s="1"/>
  <c r="R490" i="12" a="1"/>
  <c r="R490" i="12" s="1"/>
  <c r="N145" i="12" a="1"/>
  <c r="N145" i="12" s="1"/>
  <c r="T159" i="12" a="1"/>
  <c r="T159" i="12" s="1"/>
  <c r="Q138" i="12" a="1"/>
  <c r="Q138" i="12" s="1"/>
  <c r="M401" i="12" a="1"/>
  <c r="M401" i="12" s="1"/>
  <c r="G368" i="12" a="1"/>
  <c r="G368" i="12" s="1"/>
  <c r="AQ212" i="2" a="1"/>
  <c r="AQ212" i="2" s="1"/>
  <c r="AR212" i="2" a="1"/>
  <c r="AR212" i="2" s="1"/>
  <c r="N387" i="12" a="1"/>
  <c r="N387" i="12" s="1"/>
  <c r="L296" i="12" a="1"/>
  <c r="L296" i="12" s="1"/>
  <c r="Q317" i="12" a="1"/>
  <c r="Q317" i="12" s="1"/>
  <c r="F128" i="12" a="1"/>
  <c r="F128" i="12" s="1"/>
  <c r="U165" i="2" a="1"/>
  <c r="U165" i="2" s="1"/>
  <c r="M266" i="12" a="1"/>
  <c r="M266" i="12" s="1"/>
  <c r="P96" i="12" a="1"/>
  <c r="P96" i="12" s="1"/>
  <c r="T216" i="12" a="1"/>
  <c r="T216" i="12" s="1"/>
  <c r="L227" i="12" a="1"/>
  <c r="L227" i="12" s="1"/>
  <c r="S419" i="12" a="1"/>
  <c r="S419" i="12" s="1"/>
  <c r="S469" i="12" a="1"/>
  <c r="S469" i="12" s="1"/>
  <c r="S154" i="12" a="1"/>
  <c r="S154" i="12" s="1"/>
  <c r="J363" i="12" a="1"/>
  <c r="J363" i="12" s="1"/>
  <c r="T404" i="12" a="1"/>
  <c r="T404" i="12" s="1"/>
  <c r="O376" i="12" a="1"/>
  <c r="O376" i="12" s="1"/>
  <c r="S115" i="12" a="1"/>
  <c r="S115" i="12" s="1"/>
  <c r="Q387" i="12" a="1"/>
  <c r="Q387" i="12" s="1"/>
  <c r="T421" i="12" a="1"/>
  <c r="T421" i="12" s="1"/>
  <c r="R91" i="12" a="1"/>
  <c r="R91" i="12" s="1"/>
  <c r="G317" i="12" a="1"/>
  <c r="G317" i="12" s="1"/>
  <c r="I425" i="12" a="1"/>
  <c r="I425" i="12" s="1"/>
  <c r="J255" i="12" a="1"/>
  <c r="J255" i="12" s="1"/>
  <c r="O124" i="12" a="1"/>
  <c r="O124" i="12" s="1"/>
  <c r="R199" i="12" a="1"/>
  <c r="R199" i="12" s="1"/>
  <c r="R454" i="12" a="1"/>
  <c r="R454" i="12" s="1"/>
  <c r="M466" i="12" a="1"/>
  <c r="M466" i="12" s="1"/>
  <c r="J170" i="12" a="1"/>
  <c r="J170" i="12" s="1"/>
  <c r="K452" i="12" a="1"/>
  <c r="K452" i="12" s="1"/>
  <c r="I156" i="12" a="1"/>
  <c r="I156" i="12" s="1"/>
  <c r="O321" i="12" a="1"/>
  <c r="O321" i="12" s="1"/>
  <c r="Q431" i="12" a="1"/>
  <c r="Q431" i="12" s="1"/>
  <c r="J354" i="12" a="1"/>
  <c r="J354" i="12" s="1"/>
  <c r="L376" i="12" a="1"/>
  <c r="L376" i="12" s="1"/>
  <c r="T607" i="12" a="1"/>
  <c r="T607" i="12" s="1"/>
  <c r="Z665" i="12" a="1"/>
  <c r="Z665" i="12" s="1"/>
  <c r="L264" i="12" a="1"/>
  <c r="L264" i="12" s="1"/>
  <c r="I296" i="12" a="1"/>
  <c r="I296" i="12" s="1"/>
  <c r="K255" i="12" a="1"/>
  <c r="K255" i="12" s="1"/>
  <c r="T289" i="12" a="1"/>
  <c r="T289" i="12" s="1"/>
  <c r="N73" i="12" a="1"/>
  <c r="N73" i="12" s="1"/>
  <c r="Q194" i="12" a="1"/>
  <c r="Q194" i="12" s="1"/>
  <c r="N484" i="12" a="1"/>
  <c r="N484" i="12" s="1"/>
  <c r="S502" i="12" a="1"/>
  <c r="S502" i="12" s="1"/>
  <c r="AR271" i="2" a="1"/>
  <c r="AR271" i="2" s="1"/>
  <c r="AQ271" i="2" a="1"/>
  <c r="AQ271" i="2" s="1"/>
  <c r="G416" i="12" a="1"/>
  <c r="G416" i="12" s="1"/>
  <c r="R372" i="12" a="1"/>
  <c r="R372" i="12" s="1"/>
  <c r="I346" i="12" a="1"/>
  <c r="I346" i="12" s="1"/>
  <c r="M325" i="12" a="1"/>
  <c r="M325" i="12" s="1"/>
  <c r="I151" i="12" a="1"/>
  <c r="I151" i="12" s="1"/>
  <c r="R358" i="12" a="1"/>
  <c r="R358" i="12" s="1"/>
  <c r="T150" i="12" a="1"/>
  <c r="T150" i="12" s="1"/>
  <c r="P299" i="12" a="1"/>
  <c r="P299" i="12" s="1"/>
  <c r="AB649" i="12" a="1"/>
  <c r="AB649" i="12" s="1"/>
  <c r="AA633" i="12" a="1"/>
  <c r="AA633" i="12" s="1"/>
  <c r="S99" i="12" a="1"/>
  <c r="S99" i="12" s="1"/>
  <c r="J196" i="12" a="1"/>
  <c r="J196" i="12" s="1"/>
  <c r="K100" i="12" a="1"/>
  <c r="K100" i="12" s="1"/>
  <c r="G95" i="12" a="1"/>
  <c r="G95" i="12" s="1"/>
  <c r="R155" i="12" a="1"/>
  <c r="R155" i="12" s="1"/>
  <c r="I51" i="12" a="1"/>
  <c r="I51" i="12" s="1"/>
  <c r="Q232" i="12" a="1"/>
  <c r="Q232" i="12" s="1"/>
  <c r="J232" i="12" a="1"/>
  <c r="J232" i="12" s="1"/>
  <c r="L168" i="12" a="1"/>
  <c r="L168" i="12" s="1"/>
  <c r="T147" i="12" a="1"/>
  <c r="T147" i="12" s="1"/>
  <c r="S229" i="12" a="1"/>
  <c r="S229" i="12" s="1"/>
  <c r="Q229" i="12" a="1"/>
  <c r="Q229" i="12" s="1"/>
  <c r="G175" i="12" a="1"/>
  <c r="G175" i="12" s="1"/>
  <c r="G162" i="12" a="1"/>
  <c r="G162" i="12" s="1"/>
  <c r="T123" i="12" a="1"/>
  <c r="T123" i="12" s="1"/>
  <c r="M432" i="12" a="1"/>
  <c r="M432" i="12" s="1"/>
  <c r="R138" i="12" a="1"/>
  <c r="R138" i="12" s="1"/>
  <c r="I388" i="12" a="1"/>
  <c r="I388" i="12" s="1"/>
  <c r="G177" i="12" a="1"/>
  <c r="G177" i="12" s="1"/>
  <c r="T283" i="12" a="1"/>
  <c r="T283" i="12" s="1"/>
  <c r="S368" i="12" a="1"/>
  <c r="S368" i="12" s="1"/>
  <c r="P296" i="12" a="1"/>
  <c r="P296" i="12" s="1"/>
  <c r="N161" i="12" a="1"/>
  <c r="N161" i="12" s="1"/>
  <c r="P425" i="12" a="1"/>
  <c r="P425" i="12" s="1"/>
  <c r="G65" i="12" a="1"/>
  <c r="G65" i="12" s="1"/>
  <c r="G426" i="12" a="1"/>
  <c r="G426" i="12" s="1"/>
  <c r="L462" i="12" a="1"/>
  <c r="L462" i="12" s="1"/>
  <c r="I493" i="12" a="1"/>
  <c r="I493" i="12" s="1"/>
  <c r="I403" i="12" a="1"/>
  <c r="I403" i="12" s="1"/>
  <c r="S194" i="12" a="1"/>
  <c r="S194" i="12" s="1"/>
  <c r="Q141" i="12" a="1"/>
  <c r="Q141" i="12" s="1"/>
  <c r="S374" i="12" a="1"/>
  <c r="S374" i="12" s="1"/>
  <c r="J393" i="12" a="1"/>
  <c r="J393" i="12" s="1"/>
  <c r="R427" i="12" a="1"/>
  <c r="R427" i="12" s="1"/>
  <c r="G142" i="12" a="1"/>
  <c r="G142" i="12" s="1"/>
  <c r="J115" i="12" a="1"/>
  <c r="J115" i="12" s="1"/>
  <c r="Q378" i="12" a="1"/>
  <c r="Q378" i="12" s="1"/>
  <c r="M67" i="12" a="1"/>
  <c r="M67" i="12" s="1"/>
  <c r="K133" i="12" a="1"/>
  <c r="K133" i="12" s="1"/>
  <c r="Q99" i="12" a="1"/>
  <c r="Q99" i="12" s="1"/>
  <c r="K259" i="12" a="1"/>
  <c r="K259" i="12" s="1"/>
  <c r="K97" i="12" a="1"/>
  <c r="K97" i="12" s="1"/>
  <c r="O235" i="12" a="1"/>
  <c r="O235" i="12" s="1"/>
  <c r="L235" i="12" a="1"/>
  <c r="L235" i="12" s="1"/>
  <c r="J466" i="12" a="1"/>
  <c r="J466" i="12" s="1"/>
  <c r="G169" i="12" a="1"/>
  <c r="G169" i="12" s="1"/>
  <c r="S152" i="12" a="1"/>
  <c r="S152" i="12" s="1"/>
  <c r="I167" i="12" a="1"/>
  <c r="I167" i="12" s="1"/>
  <c r="I366" i="12" a="1"/>
  <c r="I366" i="12" s="1"/>
  <c r="N370" i="12" a="1"/>
  <c r="N370" i="12" s="1"/>
  <c r="M153" i="12" a="1"/>
  <c r="M153" i="12" s="1"/>
  <c r="L151" i="12" a="1"/>
  <c r="L151" i="12" s="1"/>
  <c r="T335" i="12" a="1"/>
  <c r="T335" i="12" s="1"/>
  <c r="F48" i="12" a="1"/>
  <c r="F48" i="12" s="1"/>
  <c r="Q91" i="12" a="1"/>
  <c r="Q91" i="12" s="1"/>
  <c r="F111" i="12" a="1"/>
  <c r="F111" i="12" s="1"/>
  <c r="P126" i="12" a="1"/>
  <c r="P126" i="12" s="1"/>
  <c r="Z657" i="12" a="1"/>
  <c r="Z657" i="12" s="1"/>
  <c r="T71" i="12" a="1"/>
  <c r="T71" i="12" s="1"/>
  <c r="P528" i="12" a="1"/>
  <c r="P528" i="12" s="1"/>
  <c r="I308" i="12" a="1"/>
  <c r="I308" i="12" s="1"/>
  <c r="U270" i="2" a="1"/>
  <c r="U270" i="2" s="1"/>
  <c r="P414" i="12" a="1"/>
  <c r="P414" i="12" s="1"/>
  <c r="P452" i="12" a="1"/>
  <c r="P452" i="12" s="1"/>
  <c r="K132" i="12" a="1"/>
  <c r="K132" i="12" s="1"/>
  <c r="F404" i="12" a="1"/>
  <c r="F404" i="12" s="1"/>
  <c r="U225" i="2" a="1"/>
  <c r="U225" i="2" s="1"/>
  <c r="J358" i="12" a="1"/>
  <c r="J358" i="12" s="1"/>
  <c r="G115" i="12" a="1"/>
  <c r="G115" i="12" s="1"/>
  <c r="O92" i="12" a="1"/>
  <c r="O92" i="12" s="1"/>
  <c r="O299" i="12" a="1"/>
  <c r="O299" i="12" s="1"/>
  <c r="P312" i="12" a="1"/>
  <c r="P312" i="12" s="1"/>
  <c r="I106" i="12" a="1"/>
  <c r="I106" i="12" s="1"/>
  <c r="O289" i="12" a="1"/>
  <c r="O289" i="12" s="1"/>
  <c r="O71" i="12" a="1"/>
  <c r="O71" i="12" s="1"/>
  <c r="R87" i="12" a="1"/>
  <c r="R87" i="12" s="1"/>
  <c r="M77" i="12" a="1"/>
  <c r="M77" i="12" s="1"/>
  <c r="O76" i="12" a="1"/>
  <c r="O76" i="12" s="1"/>
  <c r="M125" i="12" a="1"/>
  <c r="M125" i="12" s="1"/>
  <c r="L125" i="12" a="1"/>
  <c r="L125" i="12" s="1"/>
  <c r="O72" i="12" a="1"/>
  <c r="O72" i="12" s="1"/>
  <c r="S212" i="12" a="1"/>
  <c r="S212" i="12" s="1"/>
  <c r="I61" i="12" a="1"/>
  <c r="I61" i="12" s="1"/>
  <c r="Q178" i="12" a="1"/>
  <c r="Q178" i="12" s="1"/>
  <c r="N36" i="12" a="1"/>
  <c r="N36" i="12" s="1"/>
  <c r="L14" i="12" a="1"/>
  <c r="L14" i="12" s="1"/>
  <c r="I191" i="12" a="1"/>
  <c r="I191" i="12" s="1"/>
  <c r="O130" i="12" a="1"/>
  <c r="O130" i="12" s="1"/>
  <c r="G19" i="12" a="1"/>
  <c r="G19" i="12" s="1"/>
  <c r="N116" i="12" a="1"/>
  <c r="N116" i="12" s="1"/>
  <c r="T275" i="12" a="1"/>
  <c r="T275" i="12" s="1"/>
  <c r="J82" i="12" a="1"/>
  <c r="J82" i="12" s="1"/>
  <c r="Q25" i="12" a="1"/>
  <c r="Q25" i="12" s="1"/>
  <c r="I36" i="12" a="1"/>
  <c r="I36" i="12" s="1"/>
  <c r="P39" i="12" a="1"/>
  <c r="P39" i="12" s="1"/>
  <c r="Q103" i="12" a="1"/>
  <c r="Q103" i="12" s="1"/>
  <c r="T19" i="12" a="1"/>
  <c r="T19" i="12" s="1"/>
  <c r="M116" i="12" a="1"/>
  <c r="M116" i="12" s="1"/>
  <c r="Q66" i="12" a="1"/>
  <c r="Q66" i="12" s="1"/>
  <c r="J32" i="12" a="1"/>
  <c r="J32" i="12" s="1"/>
  <c r="K134" i="12" a="1"/>
  <c r="K134" i="12" s="1"/>
  <c r="S20" i="12" a="1"/>
  <c r="S20" i="12" s="1"/>
  <c r="L50" i="12" a="1"/>
  <c r="L50" i="12" s="1"/>
  <c r="J19" i="12" a="1"/>
  <c r="J19" i="12" s="1"/>
  <c r="R13" i="12" a="1"/>
  <c r="R13" i="12" s="1"/>
  <c r="W6" i="3" a="1"/>
  <c r="W6" i="3" s="1"/>
  <c r="P50" i="12" a="1"/>
  <c r="P50" i="12" s="1"/>
  <c r="F345" i="12" a="1"/>
  <c r="F345" i="12" s="1"/>
  <c r="U255" i="2" a="1"/>
  <c r="U255" i="2" s="1"/>
  <c r="K143" i="12" a="1"/>
  <c r="K143" i="12" s="1"/>
  <c r="T89" i="12" a="1"/>
  <c r="T89" i="12" s="1"/>
  <c r="AR136" i="2" a="1"/>
  <c r="AR136" i="2" s="1"/>
  <c r="AQ136" i="2" a="1"/>
  <c r="AQ136" i="2" s="1"/>
  <c r="L382" i="12" a="1"/>
  <c r="L382" i="12" s="1"/>
  <c r="N256" i="12" a="1"/>
  <c r="N256" i="12" s="1"/>
  <c r="Q60" i="12" a="1"/>
  <c r="Q60" i="12" s="1"/>
  <c r="T37" i="12" a="1"/>
  <c r="T37" i="12" s="1"/>
  <c r="K6" i="12" a="1"/>
  <c r="K6" i="12" s="1"/>
  <c r="T4" i="12" a="1"/>
  <c r="T4" i="12" s="1"/>
  <c r="M61" i="12" a="1"/>
  <c r="M61" i="12" s="1"/>
  <c r="G39" i="12" a="1"/>
  <c r="G39" i="12" s="1"/>
  <c r="AA645" i="12" a="1"/>
  <c r="AA645" i="12" s="1"/>
  <c r="K86" i="12" a="1"/>
  <c r="K86" i="12" s="1"/>
  <c r="F17" i="12" a="1"/>
  <c r="F17" i="12" s="1"/>
  <c r="U22" i="2" a="1"/>
  <c r="U22" i="2" s="1"/>
  <c r="R109" i="12" a="1"/>
  <c r="R109" i="12" s="1"/>
  <c r="K38" i="12" a="1"/>
  <c r="K38" i="12" s="1"/>
  <c r="T496" i="12" a="1"/>
  <c r="T496" i="12" s="1"/>
  <c r="G496" i="12" a="1"/>
  <c r="G496" i="12" s="1"/>
  <c r="U218" i="2" a="1"/>
  <c r="U218" i="2" s="1"/>
  <c r="P423" i="12" a="1"/>
  <c r="P423" i="12" s="1"/>
  <c r="J259" i="12" a="1"/>
  <c r="J259" i="12" s="1"/>
  <c r="AB635" i="12" a="1"/>
  <c r="AB635" i="12" s="1"/>
  <c r="P212" i="12" a="1"/>
  <c r="P212" i="12" s="1"/>
  <c r="L93" i="12" a="1"/>
  <c r="L93" i="12" s="1"/>
  <c r="I207" i="12" a="1"/>
  <c r="I207" i="12" s="1"/>
  <c r="N26" i="12" a="1"/>
  <c r="N26" i="12" s="1"/>
  <c r="S14" i="3" a="1"/>
  <c r="S14" i="3" s="1"/>
  <c r="I60" i="12" a="1"/>
  <c r="I60" i="12" s="1"/>
  <c r="P12" i="12" a="1"/>
  <c r="P12" i="12" s="1"/>
  <c r="M155" i="12" a="1"/>
  <c r="M155" i="12" s="1"/>
  <c r="S39" i="12" a="1"/>
  <c r="S39" i="12" s="1"/>
  <c r="K368" i="12" a="1"/>
  <c r="K368" i="12" s="1"/>
  <c r="M333" i="12" a="1"/>
  <c r="M333" i="12" s="1"/>
  <c r="T312" i="12" a="1"/>
  <c r="T312" i="12" s="1"/>
  <c r="L94" i="12" a="1"/>
  <c r="L94" i="12" s="1"/>
  <c r="K28" i="12" a="1"/>
  <c r="K28" i="12" s="1"/>
  <c r="L68" i="12" a="1"/>
  <c r="L68" i="12" s="1"/>
  <c r="G105" i="12" a="1"/>
  <c r="G105" i="12" s="1"/>
  <c r="T78" i="12" a="1"/>
  <c r="T78" i="12" s="1"/>
  <c r="K305" i="12" a="1"/>
  <c r="K305" i="12" s="1"/>
  <c r="R178" i="12" a="1"/>
  <c r="R178" i="12" s="1"/>
  <c r="AB619" i="12" a="1"/>
  <c r="AB619" i="12" s="1"/>
  <c r="P155" i="12" a="1"/>
  <c r="P155" i="12" s="1"/>
  <c r="I24" i="12" a="1"/>
  <c r="I24" i="12" s="1"/>
  <c r="K20" i="12" a="1"/>
  <c r="K20" i="12" s="1"/>
  <c r="P20" i="12" a="1"/>
  <c r="P20" i="12" s="1"/>
  <c r="X653" i="12" a="1"/>
  <c r="X653" i="12" s="1"/>
  <c r="F100" i="12" a="1"/>
  <c r="F100" i="12" s="1"/>
  <c r="L104" i="12" a="1"/>
  <c r="L104" i="12" s="1"/>
  <c r="P46" i="12" a="1"/>
  <c r="P46" i="12" s="1"/>
  <c r="O166" i="12" a="1"/>
  <c r="O166" i="12" s="1"/>
  <c r="T52" i="12" a="1"/>
  <c r="T52" i="12" s="1"/>
  <c r="S130" i="12" a="1"/>
  <c r="S130" i="12" s="1"/>
  <c r="R19" i="12" a="1"/>
  <c r="R19" i="12" s="1"/>
  <c r="K116" i="12" a="1"/>
  <c r="K116" i="12" s="1"/>
  <c r="G20" i="12" a="1"/>
  <c r="G20" i="12" s="1"/>
  <c r="U228" i="2" a="1"/>
  <c r="U228" i="2" s="1"/>
  <c r="M293" i="12" a="1"/>
  <c r="M293" i="12" s="1"/>
  <c r="K88" i="12" a="1"/>
  <c r="K88" i="12" s="1"/>
  <c r="L72" i="12" a="1"/>
  <c r="L72" i="12" s="1"/>
  <c r="M79" i="12" a="1"/>
  <c r="M79" i="12" s="1"/>
  <c r="N95" i="12" a="1"/>
  <c r="N95" i="12" s="1"/>
  <c r="F85" i="12" a="1"/>
  <c r="F85" i="12" s="1"/>
  <c r="S224" i="12" a="1"/>
  <c r="S224" i="12" s="1"/>
  <c r="R66" i="12" a="1"/>
  <c r="R66" i="12" s="1"/>
  <c r="R202" i="12" a="1"/>
  <c r="R202" i="12" s="1"/>
  <c r="I25" i="12" a="1"/>
  <c r="I25" i="12" s="1"/>
  <c r="I38" i="12" a="1"/>
  <c r="I38" i="12" s="1"/>
  <c r="L150" i="12" a="1"/>
  <c r="L150" i="12" s="1"/>
  <c r="P84" i="12" a="1"/>
  <c r="P84" i="12" s="1"/>
  <c r="AA631" i="12" a="1"/>
  <c r="AA631" i="12" s="1"/>
  <c r="O96" i="12" a="1"/>
  <c r="O96" i="12" s="1"/>
  <c r="O64" i="12" a="1"/>
  <c r="O64" i="12" s="1"/>
  <c r="X661" i="12" a="1"/>
  <c r="X661" i="12" s="1"/>
  <c r="P275" i="12" a="1"/>
  <c r="P275" i="12" s="1"/>
  <c r="G69" i="12" a="1"/>
  <c r="G69" i="12" s="1"/>
  <c r="Q216" i="12" a="1"/>
  <c r="Q216" i="12" s="1"/>
  <c r="T32" i="12" a="1"/>
  <c r="T32" i="12" s="1"/>
  <c r="T30" i="12" a="1"/>
  <c r="T30" i="12" s="1"/>
  <c r="S86" i="12" a="1"/>
  <c r="S86" i="12" s="1"/>
  <c r="F452" i="12" a="1"/>
  <c r="F452" i="12" s="1"/>
  <c r="I379" i="12" a="1"/>
  <c r="I379" i="12" s="1"/>
  <c r="R379" i="12" a="1"/>
  <c r="R379" i="12" s="1"/>
  <c r="P387" i="12" a="1"/>
  <c r="P387" i="12" s="1"/>
  <c r="Q425" i="12" a="1"/>
  <c r="Q425" i="12" s="1"/>
  <c r="T330" i="12" a="1"/>
  <c r="T330" i="12" s="1"/>
  <c r="R81" i="12" a="1"/>
  <c r="R81" i="12" s="1"/>
  <c r="T70" i="12" a="1"/>
  <c r="T70" i="12" s="1"/>
  <c r="F382" i="12" a="1"/>
  <c r="F382" i="12" s="1"/>
  <c r="U131" i="2" a="1"/>
  <c r="U131" i="2" s="1"/>
  <c r="K68" i="12" a="1"/>
  <c r="K68" i="12" s="1"/>
  <c r="O58" i="12" a="1"/>
  <c r="O58" i="12" s="1"/>
  <c r="J95" i="12" a="1"/>
  <c r="J95" i="12" s="1"/>
  <c r="R85" i="12" a="1"/>
  <c r="R85" i="12" s="1"/>
  <c r="T201" i="12" a="1"/>
  <c r="T201" i="12" s="1"/>
  <c r="F130" i="12" a="1"/>
  <c r="F130" i="12" s="1"/>
  <c r="U34" i="2" a="1"/>
  <c r="U34" i="2" s="1"/>
  <c r="L283" i="12" a="1"/>
  <c r="L283" i="12" s="1"/>
  <c r="X639" i="12" a="1"/>
  <c r="X639" i="12" s="1"/>
  <c r="R196" i="12" a="1"/>
  <c r="R196" i="12" s="1"/>
  <c r="S90" i="12" a="1"/>
  <c r="S90" i="12" s="1"/>
  <c r="L95" i="12" a="1"/>
  <c r="L95" i="12" s="1"/>
  <c r="L174" i="12" a="1"/>
  <c r="L174" i="12" s="1"/>
  <c r="Q75" i="12" a="1"/>
  <c r="Q75" i="12" s="1"/>
  <c r="S27" i="12" a="1"/>
  <c r="S27" i="12" s="1"/>
  <c r="I50" i="12" a="1"/>
  <c r="I50" i="12" s="1"/>
  <c r="I12" i="12" a="1"/>
  <c r="I12" i="12" s="1"/>
  <c r="AA659" i="12" a="1"/>
  <c r="AA659" i="12" s="1"/>
  <c r="Z627" i="12" a="1"/>
  <c r="Z627" i="12" s="1"/>
  <c r="R108" i="12" a="1"/>
  <c r="R108" i="12" s="1"/>
  <c r="M279" i="12" a="1"/>
  <c r="M279" i="12" s="1"/>
  <c r="P93" i="12" a="1"/>
  <c r="P93" i="12" s="1"/>
  <c r="K69" i="12" a="1"/>
  <c r="K69" i="12" s="1"/>
  <c r="O82" i="12" a="1"/>
  <c r="O82" i="12" s="1"/>
  <c r="J166" i="12" a="1"/>
  <c r="J166" i="12" s="1"/>
  <c r="K155" i="12" a="1"/>
  <c r="K155" i="12" s="1"/>
  <c r="P29" i="12" a="1"/>
  <c r="P29" i="12" s="1"/>
  <c r="M44" i="12" a="1"/>
  <c r="M44" i="12" s="1"/>
  <c r="P109" i="12" a="1"/>
  <c r="P109" i="12" s="1"/>
  <c r="F23" i="12" a="1"/>
  <c r="F23" i="12" s="1"/>
  <c r="U17" i="2" a="1"/>
  <c r="U17" i="2" s="1"/>
  <c r="T7" i="12" a="1"/>
  <c r="T7" i="12" s="1"/>
  <c r="L182" i="12" a="1"/>
  <c r="L182" i="12" s="1"/>
  <c r="S52" i="12" a="1"/>
  <c r="S52" i="12" s="1"/>
  <c r="T2" i="12" a="1"/>
  <c r="T2" i="12" s="1"/>
  <c r="Y2" i="3" a="1"/>
  <c r="Y2" i="3" s="1"/>
  <c r="K21" i="12" a="1"/>
  <c r="K21" i="12" s="1"/>
  <c r="L30" i="12" a="1"/>
  <c r="L30" i="12" s="1"/>
  <c r="Q2" i="12" a="1"/>
  <c r="Q2" i="12" s="1"/>
  <c r="V2" i="3" a="1"/>
  <c r="V2" i="3" s="1"/>
  <c r="G14" i="12" a="1"/>
  <c r="G14" i="12" s="1"/>
  <c r="O2" i="12" a="1"/>
  <c r="O2" i="12" s="1"/>
  <c r="T2" i="3" a="1"/>
  <c r="T2" i="3" s="1"/>
  <c r="K146" i="12" a="1"/>
  <c r="K146" i="12" s="1"/>
  <c r="O60" i="12" a="1"/>
  <c r="O60" i="12" s="1"/>
  <c r="P103" i="12" a="1"/>
  <c r="P103" i="12" s="1"/>
  <c r="F10" i="12" a="1"/>
  <c r="F10" i="12" s="1"/>
  <c r="U21" i="2" a="1"/>
  <c r="U21" i="2" s="1"/>
  <c r="R43" i="12" a="1"/>
  <c r="R43" i="12" s="1"/>
  <c r="M174" i="12" a="1"/>
  <c r="M174" i="12" s="1"/>
  <c r="R41" i="12" a="1"/>
  <c r="R41" i="12" s="1"/>
  <c r="AB625" i="12" a="1"/>
  <c r="AB625" i="12" s="1"/>
  <c r="M86" i="12" a="1"/>
  <c r="M86" i="12" s="1"/>
  <c r="S45" i="12" a="1"/>
  <c r="S45" i="12" s="1"/>
  <c r="J45" i="12" a="1"/>
  <c r="J45" i="12" s="1"/>
  <c r="G31" i="12" a="1"/>
  <c r="G31" i="12" s="1"/>
  <c r="P31" i="12" a="1"/>
  <c r="P31" i="12" s="1"/>
  <c r="Z637" i="12" a="1"/>
  <c r="Z637" i="12" s="1"/>
  <c r="L129" i="12" a="1"/>
  <c r="L129" i="12" s="1"/>
  <c r="Q184" i="12" a="1"/>
  <c r="Q184" i="12" s="1"/>
  <c r="J184" i="12" a="1"/>
  <c r="J184" i="12" s="1"/>
  <c r="F275" i="12" a="1"/>
  <c r="F275" i="12" s="1"/>
  <c r="G60" i="12" a="1"/>
  <c r="G60" i="12" s="1"/>
  <c r="O59" i="12" a="1"/>
  <c r="O59" i="12" s="1"/>
  <c r="L38" i="12" a="1"/>
  <c r="L38" i="12" s="1"/>
  <c r="M118" i="12" a="1"/>
  <c r="M118" i="12" s="1"/>
  <c r="T22" i="12" a="1"/>
  <c r="T22" i="12" s="1"/>
  <c r="I42" i="12" a="1"/>
  <c r="I42" i="12" s="1"/>
  <c r="J42" i="12" a="1"/>
  <c r="J42" i="12" s="1"/>
  <c r="J109" i="12" a="1"/>
  <c r="J109" i="12" s="1"/>
  <c r="G80" i="12" a="1"/>
  <c r="G80" i="12" s="1"/>
  <c r="L305" i="12" a="1"/>
  <c r="L305" i="12" s="1"/>
  <c r="S62" i="12" a="1"/>
  <c r="S62" i="12" s="1"/>
  <c r="G76" i="12" a="1"/>
  <c r="G76" i="12" s="1"/>
  <c r="F122" i="12" a="1"/>
  <c r="F122" i="12" s="1"/>
  <c r="Z671" i="12" a="1"/>
  <c r="Z671" i="12" s="1"/>
  <c r="N34" i="12" a="1"/>
  <c r="N34" i="12" s="1"/>
  <c r="S34" i="12" a="1"/>
  <c r="S34" i="12" s="1"/>
  <c r="T292" i="12" a="1"/>
  <c r="T292" i="12" s="1"/>
  <c r="J57" i="12" a="1"/>
  <c r="J57" i="12" s="1"/>
  <c r="Q37" i="12" a="1"/>
  <c r="Q37" i="12" s="1"/>
  <c r="AQ26" i="2" a="1"/>
  <c r="AQ26" i="2" s="1"/>
  <c r="I116" i="12" a="1"/>
  <c r="I116" i="12" s="1"/>
  <c r="I53" i="12" a="1"/>
  <c r="I53" i="12" s="1"/>
  <c r="N53" i="12" a="1"/>
  <c r="N53" i="12" s="1"/>
  <c r="I49" i="12" a="1"/>
  <c r="I49" i="12" s="1"/>
  <c r="G49" i="12" a="1"/>
  <c r="G49" i="12" s="1"/>
  <c r="J63" i="12" a="1"/>
  <c r="J63" i="12" s="1"/>
  <c r="O63" i="12" a="1"/>
  <c r="O63" i="12" s="1"/>
  <c r="S11" i="12" a="1"/>
  <c r="S11" i="12" s="1"/>
  <c r="F54" i="12" a="1"/>
  <c r="F54" i="12" s="1"/>
  <c r="F200" i="12" a="1"/>
  <c r="F200" i="12" s="1"/>
  <c r="U78" i="2" a="1"/>
  <c r="U78" i="2" s="1"/>
  <c r="M200" i="12" a="1"/>
  <c r="M200" i="12" s="1"/>
  <c r="T6" i="12" a="1"/>
  <c r="T6" i="12" s="1"/>
  <c r="T33" i="12" a="1"/>
  <c r="T33" i="12" s="1"/>
  <c r="O212" i="12" a="1"/>
  <c r="O212" i="12" s="1"/>
  <c r="M75" i="12" a="1"/>
  <c r="M75" i="12" s="1"/>
  <c r="N189" i="12" a="1"/>
  <c r="N189" i="12" s="1"/>
  <c r="K50" i="12" a="1"/>
  <c r="K50" i="12" s="1"/>
  <c r="Q598" i="12" a="1"/>
  <c r="Q598" i="12" s="1"/>
  <c r="S276" i="12" a="1"/>
  <c r="S276" i="12" s="1"/>
  <c r="F211" i="12" a="1"/>
  <c r="F211" i="12" s="1"/>
  <c r="U445" i="2" a="1"/>
  <c r="U445" i="2" s="1"/>
  <c r="Q211" i="12" a="1"/>
  <c r="Q211" i="12" s="1"/>
  <c r="T243" i="12" a="1"/>
  <c r="T243" i="12" s="1"/>
  <c r="L501" i="12" a="1"/>
  <c r="L501" i="12" s="1"/>
  <c r="Q483" i="12" a="1"/>
  <c r="Q483" i="12" s="1"/>
  <c r="O277" i="12" a="1"/>
  <c r="O277" i="12" s="1"/>
  <c r="J519" i="12" a="1"/>
  <c r="J519" i="12" s="1"/>
  <c r="F573" i="12" a="1"/>
  <c r="F573" i="12" s="1"/>
  <c r="U401" i="2" a="1"/>
  <c r="U401" i="2" s="1"/>
  <c r="S503" i="12" a="1"/>
  <c r="S503" i="12" s="1"/>
  <c r="F495" i="12" a="1"/>
  <c r="F495" i="12" s="1"/>
  <c r="U380" i="2" a="1"/>
  <c r="U380" i="2" s="1"/>
  <c r="Q451" i="12" a="1"/>
  <c r="Q451" i="12" s="1"/>
  <c r="I210" i="12" a="1"/>
  <c r="I210" i="12" s="1"/>
  <c r="S225" i="12" a="1"/>
  <c r="S225" i="12" s="1"/>
  <c r="R221" i="12" a="1"/>
  <c r="R221" i="12" s="1"/>
  <c r="Q313" i="12" a="1"/>
  <c r="Q313" i="12" s="1"/>
  <c r="J514" i="12" a="1"/>
  <c r="J514" i="12" s="1"/>
  <c r="L218" i="12" a="1"/>
  <c r="L218" i="12" s="1"/>
  <c r="N604" i="12" a="1"/>
  <c r="N604" i="12" s="1"/>
  <c r="Q277" i="12" a="1"/>
  <c r="Q277" i="12" s="1"/>
  <c r="M510" i="12" a="1"/>
  <c r="M510" i="12" s="1"/>
  <c r="Q245" i="12" a="1"/>
  <c r="Q245" i="12" s="1"/>
  <c r="K499" i="12" a="1"/>
  <c r="K499" i="12" s="1"/>
  <c r="F575" i="12" a="1"/>
  <c r="F575" i="12" s="1"/>
  <c r="U482" i="2" a="1"/>
  <c r="U482" i="2" s="1"/>
  <c r="T311" i="12" a="1"/>
  <c r="T311" i="12" s="1"/>
  <c r="N555" i="12" a="1"/>
  <c r="N555" i="12" s="1"/>
  <c r="O233" i="12" a="1"/>
  <c r="O233" i="12" s="1"/>
  <c r="R234" i="12" a="1"/>
  <c r="R234" i="12" s="1"/>
  <c r="AB638" i="12" a="1"/>
  <c r="AB638" i="12" s="1"/>
  <c r="G237" i="12" a="1"/>
  <c r="G237" i="12" s="1"/>
  <c r="J537" i="12" a="1"/>
  <c r="J537" i="12" s="1"/>
  <c r="I585" i="12" a="1"/>
  <c r="I585" i="12" s="1"/>
  <c r="L323" i="12" a="1"/>
  <c r="L323" i="12" s="1"/>
  <c r="S551" i="12" a="1"/>
  <c r="S551" i="12" s="1"/>
  <c r="S193" i="12" a="1"/>
  <c r="S193" i="12" s="1"/>
  <c r="J509" i="12" a="1"/>
  <c r="J509" i="12" s="1"/>
  <c r="R136" i="12" a="1"/>
  <c r="R136" i="12" s="1"/>
  <c r="N186" i="12" a="1"/>
  <c r="N186" i="12" s="1"/>
  <c r="G452" i="12" a="1"/>
  <c r="G452" i="12" s="1"/>
  <c r="M135" i="12" a="1"/>
  <c r="M135" i="12" s="1"/>
  <c r="L505" i="12" a="1"/>
  <c r="L505" i="12" s="1"/>
  <c r="J220" i="12" a="1"/>
  <c r="J220" i="12" s="1"/>
  <c r="G210" i="12" a="1"/>
  <c r="G210" i="12" s="1"/>
  <c r="AR368" i="2" a="1"/>
  <c r="AR368" i="2" s="1"/>
  <c r="AQ368" i="2" a="1"/>
  <c r="AQ368" i="2" s="1"/>
  <c r="R244" i="12" a="1"/>
  <c r="R244" i="12" s="1"/>
  <c r="S227" i="12" a="1"/>
  <c r="S227" i="12" s="1"/>
  <c r="P415" i="12" a="1"/>
  <c r="P415" i="12" s="1"/>
  <c r="K504" i="12" a="1"/>
  <c r="K504" i="12" s="1"/>
  <c r="K500" i="12" a="1"/>
  <c r="K500" i="12" s="1"/>
  <c r="K179" i="12" a="1"/>
  <c r="K179" i="12" s="1"/>
  <c r="Z650" i="12" a="1"/>
  <c r="Z650" i="12" s="1"/>
  <c r="Z614" i="12" a="1"/>
  <c r="Z614" i="12" s="1"/>
  <c r="O163" i="12" a="1"/>
  <c r="O163" i="12" s="1"/>
  <c r="O493" i="12" a="1"/>
  <c r="O493" i="12" s="1"/>
  <c r="K243" i="12" a="1"/>
  <c r="K243" i="12" s="1"/>
  <c r="F83" i="12" a="1"/>
  <c r="F83" i="12" s="1"/>
  <c r="N214" i="12" a="1"/>
  <c r="N214" i="12" s="1"/>
  <c r="T451" i="12" a="1"/>
  <c r="T451" i="12" s="1"/>
  <c r="I547" i="12" a="1"/>
  <c r="I547" i="12" s="1"/>
  <c r="I407" i="12" a="1"/>
  <c r="I407" i="12" s="1"/>
  <c r="O193" i="12" a="1"/>
  <c r="O193" i="12" s="1"/>
  <c r="L408" i="12" a="1"/>
  <c r="L408" i="12" s="1"/>
  <c r="G586" i="12" a="1"/>
  <c r="G586" i="12" s="1"/>
  <c r="G188" i="12" a="1"/>
  <c r="G188" i="12" s="1"/>
  <c r="P176" i="12" a="1"/>
  <c r="P176" i="12" s="1"/>
  <c r="N114" i="12" a="1"/>
  <c r="N114" i="12" s="1"/>
  <c r="K584" i="12" a="1"/>
  <c r="K584" i="12" s="1"/>
  <c r="F584" i="12" a="1"/>
  <c r="F584" i="12" s="1"/>
  <c r="U447" i="2" a="1"/>
  <c r="U447" i="2" s="1"/>
  <c r="P457" i="12" a="1"/>
  <c r="P457" i="12" s="1"/>
  <c r="M495" i="12" a="1"/>
  <c r="M495" i="12" s="1"/>
  <c r="L551" i="12" a="1"/>
  <c r="L551" i="12" s="1"/>
  <c r="N559" i="12" a="1"/>
  <c r="N559" i="12" s="1"/>
  <c r="R181" i="12" a="1"/>
  <c r="R181" i="12" s="1"/>
  <c r="L520" i="12" a="1"/>
  <c r="L520" i="12" s="1"/>
  <c r="F225" i="12" a="1"/>
  <c r="F225" i="12" s="1"/>
  <c r="U371" i="2" a="1"/>
  <c r="U371" i="2" s="1"/>
  <c r="M515" i="12" a="1"/>
  <c r="M515" i="12" s="1"/>
  <c r="F527" i="12" a="1"/>
  <c r="F527" i="12" s="1"/>
  <c r="S230" i="12" a="1"/>
  <c r="S230" i="12" s="1"/>
  <c r="I227" i="12" a="1"/>
  <c r="I227" i="12" s="1"/>
  <c r="M193" i="12" a="1"/>
  <c r="M193" i="12" s="1"/>
  <c r="O435" i="12" a="1"/>
  <c r="O435" i="12" s="1"/>
  <c r="Q199" i="12" a="1"/>
  <c r="Q199" i="12" s="1"/>
  <c r="L176" i="12" a="1"/>
  <c r="L176" i="12" s="1"/>
  <c r="N217" i="12" a="1"/>
  <c r="N217" i="12" s="1"/>
  <c r="N419" i="12" a="1"/>
  <c r="N419" i="12" s="1"/>
  <c r="J154" i="12" a="1"/>
  <c r="J154" i="12" s="1"/>
  <c r="J511" i="12" a="1"/>
  <c r="J511" i="12" s="1"/>
  <c r="T511" i="12" a="1"/>
  <c r="T511" i="12" s="1"/>
  <c r="Q263" i="12" a="1"/>
  <c r="Q263" i="12" s="1"/>
  <c r="P273" i="12" a="1"/>
  <c r="P273" i="12" s="1"/>
  <c r="F564" i="12" a="1"/>
  <c r="F564" i="12" s="1"/>
  <c r="U395" i="2" a="1"/>
  <c r="U395" i="2" s="1"/>
  <c r="J474" i="12" a="1"/>
  <c r="J474" i="12" s="1"/>
  <c r="Q530" i="12" a="1"/>
  <c r="Q530" i="12" s="1"/>
  <c r="AA654" i="12" a="1"/>
  <c r="AA654" i="12" s="1"/>
  <c r="Q541" i="12" a="1"/>
  <c r="Q541" i="12" s="1"/>
  <c r="Q556" i="12" a="1"/>
  <c r="Q556" i="12" s="1"/>
  <c r="P571" i="12" a="1"/>
  <c r="P571" i="12" s="1"/>
  <c r="K248" i="12" a="1"/>
  <c r="K248" i="12" s="1"/>
  <c r="Q582" i="12" a="1"/>
  <c r="Q582" i="12" s="1"/>
  <c r="I533" i="12" a="1"/>
  <c r="I533" i="12" s="1"/>
  <c r="G585" i="12" a="1"/>
  <c r="G585" i="12" s="1"/>
  <c r="I426" i="12" a="1"/>
  <c r="I426" i="12" s="1"/>
  <c r="T426" i="12" a="1"/>
  <c r="T426" i="12" s="1"/>
  <c r="M522" i="12" a="1"/>
  <c r="M522" i="12" s="1"/>
  <c r="K188" i="12" a="1"/>
  <c r="K188" i="12" s="1"/>
  <c r="S526" i="12" a="1"/>
  <c r="S526" i="12" s="1"/>
  <c r="J176" i="12" a="1"/>
  <c r="J176" i="12" s="1"/>
  <c r="F397" i="12" a="1"/>
  <c r="F397" i="12" s="1"/>
  <c r="U296" i="2" a="1"/>
  <c r="U296" i="2" s="1"/>
  <c r="Q466" i="12" a="1"/>
  <c r="Q466" i="12" s="1"/>
  <c r="F217" i="12" a="1"/>
  <c r="F217" i="12" s="1"/>
  <c r="U287" i="2" a="1"/>
  <c r="U287" i="2" s="1"/>
  <c r="T169" i="12" a="1"/>
  <c r="T169" i="12" s="1"/>
  <c r="R175" i="12" a="1"/>
  <c r="R175" i="12" s="1"/>
  <c r="P502" i="12" a="1"/>
  <c r="P502" i="12" s="1"/>
  <c r="L492" i="12" a="1"/>
  <c r="L492" i="12" s="1"/>
  <c r="K170" i="12" a="1"/>
  <c r="K170" i="12" s="1"/>
  <c r="Q204" i="12" a="1"/>
  <c r="Q204" i="12" s="1"/>
  <c r="F419" i="12" a="1"/>
  <c r="F419" i="12" s="1"/>
  <c r="U277" i="2" a="1"/>
  <c r="U277" i="2" s="1"/>
  <c r="T356" i="12" a="1"/>
  <c r="T356" i="12" s="1"/>
  <c r="R439" i="12" a="1"/>
  <c r="R439" i="12" s="1"/>
  <c r="P162" i="12" a="1"/>
  <c r="P162" i="12" s="1"/>
  <c r="L164" i="12" a="1"/>
  <c r="L164" i="12" s="1"/>
  <c r="T139" i="12" a="1"/>
  <c r="T139" i="12" s="1"/>
  <c r="O501" i="12" a="1"/>
  <c r="O501" i="12" s="1"/>
  <c r="F257" i="12" a="1"/>
  <c r="F257" i="12" s="1"/>
  <c r="G475" i="12" a="1"/>
  <c r="G475" i="12" s="1"/>
  <c r="P173" i="12" a="1"/>
  <c r="P173" i="12" s="1"/>
  <c r="L192" i="12" a="1"/>
  <c r="L192" i="12" s="1"/>
  <c r="G236" i="12" a="1"/>
  <c r="G236" i="12" s="1"/>
  <c r="F215" i="12" a="1"/>
  <c r="F215" i="12" s="1"/>
  <c r="U364" i="2" a="1"/>
  <c r="U364" i="2" s="1"/>
  <c r="F540" i="12" a="1"/>
  <c r="F540" i="12" s="1"/>
  <c r="U352" i="2" a="1"/>
  <c r="U352" i="2" s="1"/>
  <c r="I274" i="12" a="1"/>
  <c r="I274" i="12" s="1"/>
  <c r="M541" i="12" a="1"/>
  <c r="M541" i="12" s="1"/>
  <c r="I193" i="12" a="1"/>
  <c r="I193" i="12" s="1"/>
  <c r="M435" i="12" a="1"/>
  <c r="M435" i="12" s="1"/>
  <c r="N147" i="12" a="1"/>
  <c r="N147" i="12" s="1"/>
  <c r="R195" i="12" a="1"/>
  <c r="R195" i="12" s="1"/>
  <c r="P476" i="12" a="1"/>
  <c r="P476" i="12" s="1"/>
  <c r="N397" i="12" a="1"/>
  <c r="N397" i="12" s="1"/>
  <c r="K566" i="12" a="1"/>
  <c r="K566" i="12" s="1"/>
  <c r="Q187" i="12" a="1"/>
  <c r="Q187" i="12" s="1"/>
  <c r="P187" i="12" a="1"/>
  <c r="P187" i="12" s="1"/>
  <c r="O172" i="12" a="1"/>
  <c r="O172" i="12" s="1"/>
  <c r="F163" i="12" a="1"/>
  <c r="F163" i="12" s="1"/>
  <c r="I176" i="12" a="1"/>
  <c r="I176" i="12" s="1"/>
  <c r="T483" i="12" a="1"/>
  <c r="T483" i="12" s="1"/>
  <c r="F267" i="12" a="1"/>
  <c r="F267" i="12" s="1"/>
  <c r="U399" i="2" a="1"/>
  <c r="U399" i="2" s="1"/>
  <c r="M267" i="12" a="1"/>
  <c r="M267" i="12" s="1"/>
  <c r="S231" i="12" a="1"/>
  <c r="S231" i="12" s="1"/>
  <c r="P179" i="12" a="1"/>
  <c r="P179" i="12" s="1"/>
  <c r="I332" i="12" a="1"/>
  <c r="I332" i="12" s="1"/>
  <c r="F603" i="12" a="1"/>
  <c r="F603" i="12" s="1"/>
  <c r="U293" i="2" a="1"/>
  <c r="U293" i="2" s="1"/>
  <c r="J603" i="12" a="1"/>
  <c r="J603" i="12" s="1"/>
  <c r="O169" i="12" a="1"/>
  <c r="O169" i="12" s="1"/>
  <c r="M383" i="12" a="1"/>
  <c r="M383" i="12" s="1"/>
  <c r="N479" i="12" a="1"/>
  <c r="N479" i="12" s="1"/>
  <c r="K164" i="12" a="1"/>
  <c r="K164" i="12" s="1"/>
  <c r="J123" i="12" a="1"/>
  <c r="J123" i="12" s="1"/>
  <c r="O108" i="12" a="1"/>
  <c r="O108" i="12" s="1"/>
  <c r="Q309" i="12" a="1"/>
  <c r="Q309" i="12" s="1"/>
  <c r="M112" i="12" a="1"/>
  <c r="M112" i="12" s="1"/>
  <c r="R354" i="12" a="1"/>
  <c r="R354" i="12" s="1"/>
  <c r="L348" i="12" a="1"/>
  <c r="L348" i="12" s="1"/>
  <c r="R117" i="12" a="1"/>
  <c r="R117" i="12" s="1"/>
  <c r="K335" i="12" a="1"/>
  <c r="K335" i="12" s="1"/>
  <c r="I48" i="12" a="1"/>
  <c r="I48" i="12" s="1"/>
  <c r="F91" i="12" a="1"/>
  <c r="F91" i="12" s="1"/>
  <c r="U185" i="2" a="1"/>
  <c r="U185" i="2" s="1"/>
  <c r="L425" i="12" a="1"/>
  <c r="L425" i="12" s="1"/>
  <c r="N314" i="12" a="1"/>
  <c r="N314" i="12" s="1"/>
  <c r="Q97" i="12" a="1"/>
  <c r="Q97" i="12" s="1"/>
  <c r="Q124" i="12" a="1"/>
  <c r="Q124" i="12" s="1"/>
  <c r="L253" i="12" a="1"/>
  <c r="L253" i="12" s="1"/>
  <c r="Q89" i="12" a="1"/>
  <c r="Q89" i="12" s="1"/>
  <c r="G148" i="12" a="1"/>
  <c r="G148" i="12" s="1"/>
  <c r="Q547" i="12" a="1"/>
  <c r="Q547" i="12" s="1"/>
  <c r="S534" i="12" a="1"/>
  <c r="S534" i="12" s="1"/>
  <c r="Q534" i="12" a="1"/>
  <c r="Q534" i="12" s="1"/>
  <c r="M583" i="12" a="1"/>
  <c r="M583" i="12" s="1"/>
  <c r="Q209" i="12" a="1"/>
  <c r="Q209" i="12" s="1"/>
  <c r="T209" i="12" a="1"/>
  <c r="T209" i="12" s="1"/>
  <c r="L393" i="12" a="1"/>
  <c r="L393" i="12" s="1"/>
  <c r="G346" i="12" a="1"/>
  <c r="G346" i="12" s="1"/>
  <c r="I153" i="12" a="1"/>
  <c r="I153" i="12" s="1"/>
  <c r="I142" i="12" a="1"/>
  <c r="I142" i="12" s="1"/>
  <c r="N401" i="12" a="1"/>
  <c r="N401" i="12" s="1"/>
  <c r="M365" i="12" a="1"/>
  <c r="M365" i="12" s="1"/>
  <c r="Z667" i="12" a="1"/>
  <c r="Z667" i="12" s="1"/>
  <c r="F120" i="12" a="1"/>
  <c r="F120" i="12" s="1"/>
  <c r="U213" i="2" a="1"/>
  <c r="U213" i="2" s="1"/>
  <c r="O101" i="12" a="1"/>
  <c r="O101" i="12" s="1"/>
  <c r="N312" i="12" a="1"/>
  <c r="N312" i="12" s="1"/>
  <c r="S106" i="12" a="1"/>
  <c r="S106" i="12" s="1"/>
  <c r="T65" i="12" a="1"/>
  <c r="T65" i="12" s="1"/>
  <c r="N99" i="12" a="1"/>
  <c r="N99" i="12" s="1"/>
  <c r="P94" i="12" a="1"/>
  <c r="P94" i="12" s="1"/>
  <c r="I79" i="12" a="1"/>
  <c r="I79" i="12" s="1"/>
  <c r="T146" i="12" a="1"/>
  <c r="T146" i="12" s="1"/>
  <c r="R308" i="12" a="1"/>
  <c r="R308" i="12" s="1"/>
  <c r="T308" i="12" a="1"/>
  <c r="T308" i="12" s="1"/>
  <c r="J374" i="12" a="1"/>
  <c r="J374" i="12" s="1"/>
  <c r="P337" i="12" a="1"/>
  <c r="P337" i="12" s="1"/>
  <c r="T167" i="12" a="1"/>
  <c r="T167" i="12" s="1"/>
  <c r="F490" i="12" a="1"/>
  <c r="F490" i="12" s="1"/>
  <c r="U248" i="2" a="1"/>
  <c r="U248" i="2" s="1"/>
  <c r="T145" i="12" a="1"/>
  <c r="T145" i="12" s="1"/>
  <c r="J159" i="12" a="1"/>
  <c r="J159" i="12" s="1"/>
  <c r="F138" i="12" a="1"/>
  <c r="F138" i="12" s="1"/>
  <c r="U229" i="2" a="1"/>
  <c r="U229" i="2" s="1"/>
  <c r="J296" i="12" a="1"/>
  <c r="J296" i="12" s="1"/>
  <c r="L128" i="12" a="1"/>
  <c r="L128" i="12" s="1"/>
  <c r="I96" i="12" a="1"/>
  <c r="I96" i="12" s="1"/>
  <c r="M504" i="12" a="1"/>
  <c r="M504" i="12" s="1"/>
  <c r="AB634" i="12" a="1"/>
  <c r="AB634" i="12" s="1"/>
  <c r="M469" i="12" a="1"/>
  <c r="M469" i="12" s="1"/>
  <c r="P154" i="12" a="1"/>
  <c r="P154" i="12" s="1"/>
  <c r="T132" i="12" a="1"/>
  <c r="T132" i="12" s="1"/>
  <c r="Q150" i="12" a="1"/>
  <c r="Q150" i="12" s="1"/>
  <c r="I115" i="12" a="1"/>
  <c r="I115" i="12" s="1"/>
  <c r="M387" i="12" a="1"/>
  <c r="M387" i="12" s="1"/>
  <c r="P421" i="12" a="1"/>
  <c r="P421" i="12" s="1"/>
  <c r="L127" i="12" a="1"/>
  <c r="L127" i="12" s="1"/>
  <c r="M91" i="12" a="1"/>
  <c r="M91" i="12" s="1"/>
  <c r="P255" i="12" a="1"/>
  <c r="P255" i="12" s="1"/>
  <c r="X631" i="12" a="1"/>
  <c r="X631" i="12" s="1"/>
  <c r="F199" i="12" a="1"/>
  <c r="F199" i="12" s="1"/>
  <c r="U317" i="2" a="1"/>
  <c r="U317" i="2" s="1"/>
  <c r="T454" i="12" a="1"/>
  <c r="T454" i="12" s="1"/>
  <c r="J217" i="12" a="1"/>
  <c r="J217" i="12" s="1"/>
  <c r="G204" i="12" a="1"/>
  <c r="G204" i="12" s="1"/>
  <c r="L332" i="12" a="1"/>
  <c r="L332" i="12" s="1"/>
  <c r="N156" i="12" a="1"/>
  <c r="N156" i="12" s="1"/>
  <c r="Q321" i="12" a="1"/>
  <c r="Q321" i="12" s="1"/>
  <c r="Q165" i="12" a="1"/>
  <c r="Q165" i="12" s="1"/>
  <c r="P354" i="12" a="1"/>
  <c r="P354" i="12" s="1"/>
  <c r="G376" i="12" a="1"/>
  <c r="G376" i="12" s="1"/>
  <c r="P607" i="12" a="1"/>
  <c r="P607" i="12" s="1"/>
  <c r="AA665" i="12" a="1"/>
  <c r="AA665" i="12" s="1"/>
  <c r="R264" i="12" a="1"/>
  <c r="R264" i="12" s="1"/>
  <c r="O161" i="12" a="1"/>
  <c r="O161" i="12" s="1"/>
  <c r="Q111" i="12" a="1"/>
  <c r="Q111" i="12" s="1"/>
  <c r="P289" i="12" a="1"/>
  <c r="P289" i="12" s="1"/>
  <c r="F73" i="12" a="1"/>
  <c r="F73" i="12" s="1"/>
  <c r="U152" i="2" a="1"/>
  <c r="U152" i="2" s="1"/>
  <c r="S203" i="12" a="1"/>
  <c r="S203" i="12" s="1"/>
  <c r="P136" i="12" a="1"/>
  <c r="P136" i="12" s="1"/>
  <c r="P484" i="12" a="1"/>
  <c r="P484" i="12" s="1"/>
  <c r="G484" i="12" a="1"/>
  <c r="G484" i="12" s="1"/>
  <c r="O337" i="12" a="1"/>
  <c r="O337" i="12" s="1"/>
  <c r="L416" i="12" a="1"/>
  <c r="L416" i="12" s="1"/>
  <c r="F372" i="12" a="1"/>
  <c r="F372" i="12" s="1"/>
  <c r="U256" i="2" a="1"/>
  <c r="U256" i="2" s="1"/>
  <c r="F346" i="12" a="1"/>
  <c r="F346" i="12" s="1"/>
  <c r="U251" i="2" a="1"/>
  <c r="U251" i="2" s="1"/>
  <c r="N346" i="12" a="1"/>
  <c r="N346" i="12" s="1"/>
  <c r="T370" i="12" a="1"/>
  <c r="T370" i="12" s="1"/>
  <c r="I325" i="12" a="1"/>
  <c r="I325" i="12" s="1"/>
  <c r="R404" i="12" a="1"/>
  <c r="R404" i="12" s="1"/>
  <c r="O151" i="12" a="1"/>
  <c r="O151" i="12" s="1"/>
  <c r="G358" i="12" a="1"/>
  <c r="G358" i="12" s="1"/>
  <c r="J150" i="12" a="1"/>
  <c r="J150" i="12" s="1"/>
  <c r="O99" i="12" a="1"/>
  <c r="O99" i="12" s="1"/>
  <c r="I196" i="12" a="1"/>
  <c r="I196" i="12" s="1"/>
  <c r="G100" i="12" a="1"/>
  <c r="G100" i="12" s="1"/>
  <c r="R146" i="12" a="1"/>
  <c r="R146" i="12" s="1"/>
  <c r="O148" i="12" a="1"/>
  <c r="O148" i="12" s="1"/>
  <c r="R37" i="12" a="1"/>
  <c r="R37" i="12" s="1"/>
  <c r="G155" i="12" a="1"/>
  <c r="G155" i="12" s="1"/>
  <c r="R232" i="12" a="1"/>
  <c r="R232" i="12" s="1"/>
  <c r="O232" i="12" a="1"/>
  <c r="O232" i="12" s="1"/>
  <c r="S168" i="12" a="1"/>
  <c r="S168" i="12" s="1"/>
  <c r="I147" i="12" a="1"/>
  <c r="I147" i="12" s="1"/>
  <c r="Z636" i="12" a="1"/>
  <c r="Z636" i="12" s="1"/>
  <c r="J229" i="12" a="1"/>
  <c r="J229" i="12" s="1"/>
  <c r="I175" i="12" a="1"/>
  <c r="I175" i="12" s="1"/>
  <c r="I162" i="12" a="1"/>
  <c r="I162" i="12" s="1"/>
  <c r="O123" i="12" a="1"/>
  <c r="O123" i="12" s="1"/>
  <c r="K139" i="12" a="1"/>
  <c r="K139" i="12" s="1"/>
  <c r="I432" i="12" a="1"/>
  <c r="I432" i="12" s="1"/>
  <c r="S138" i="12" a="1"/>
  <c r="S138" i="12" s="1"/>
  <c r="I165" i="12" a="1"/>
  <c r="I165" i="12" s="1"/>
  <c r="O388" i="12" a="1"/>
  <c r="O388" i="12" s="1"/>
  <c r="R177" i="12" a="1"/>
  <c r="R177" i="12" s="1"/>
  <c r="I368" i="12" a="1"/>
  <c r="I368" i="12" s="1"/>
  <c r="Q348" i="12" a="1"/>
  <c r="Q348" i="12" s="1"/>
  <c r="O335" i="12" a="1"/>
  <c r="O335" i="12" s="1"/>
  <c r="AA655" i="12" a="1"/>
  <c r="AA655" i="12" s="1"/>
  <c r="T161" i="12" a="1"/>
  <c r="T161" i="12" s="1"/>
  <c r="U174" i="2" a="1"/>
  <c r="U174" i="2" s="1"/>
  <c r="L259" i="12" a="1"/>
  <c r="L259" i="12" s="1"/>
  <c r="T73" i="12" a="1"/>
  <c r="T73" i="12" s="1"/>
  <c r="O202" i="12" a="1"/>
  <c r="O202" i="12" s="1"/>
  <c r="M462" i="12" a="1"/>
  <c r="M462" i="12" s="1"/>
  <c r="K403" i="12" a="1"/>
  <c r="K403" i="12" s="1"/>
  <c r="I603" i="12" a="1"/>
  <c r="I603" i="12" s="1"/>
  <c r="G141" i="12" a="1"/>
  <c r="G141" i="12" s="1"/>
  <c r="Q393" i="12" a="1"/>
  <c r="Q393" i="12" s="1"/>
  <c r="L427" i="12" a="1"/>
  <c r="L427" i="12" s="1"/>
  <c r="I354" i="12" a="1"/>
  <c r="I354" i="12" s="1"/>
  <c r="P117" i="12" a="1"/>
  <c r="P117" i="12" s="1"/>
  <c r="N119" i="12" a="1"/>
  <c r="N119" i="12" s="1"/>
  <c r="O296" i="12" a="1"/>
  <c r="O296" i="12" s="1"/>
  <c r="I67" i="12" a="1"/>
  <c r="I67" i="12" s="1"/>
  <c r="L133" i="12" a="1"/>
  <c r="L133" i="12" s="1"/>
  <c r="S250" i="12" a="1"/>
  <c r="S250" i="12" s="1"/>
  <c r="M259" i="12" a="1"/>
  <c r="M259" i="12" s="1"/>
  <c r="L71" i="12" a="1"/>
  <c r="L71" i="12" s="1"/>
  <c r="T87" i="12" a="1"/>
  <c r="T87" i="12" s="1"/>
  <c r="P235" i="12" a="1"/>
  <c r="P235" i="12" s="1"/>
  <c r="Q235" i="12" a="1"/>
  <c r="Q235" i="12" s="1"/>
  <c r="G466" i="12" a="1"/>
  <c r="G466" i="12" s="1"/>
  <c r="I169" i="12" a="1"/>
  <c r="I169" i="12" s="1"/>
  <c r="M152" i="12" a="1"/>
  <c r="M152" i="12" s="1"/>
  <c r="T458" i="12" a="1"/>
  <c r="T458" i="12" s="1"/>
  <c r="Q414" i="12" a="1"/>
  <c r="Q414" i="12" s="1"/>
  <c r="F332" i="12" a="1"/>
  <c r="F332" i="12" s="1"/>
  <c r="N366" i="12" a="1"/>
  <c r="N366" i="12" s="1"/>
  <c r="P135" i="12" a="1"/>
  <c r="P135" i="12" s="1"/>
  <c r="S370" i="12" a="1"/>
  <c r="S370" i="12" s="1"/>
  <c r="R377" i="12" a="1"/>
  <c r="R377" i="12" s="1"/>
  <c r="L325" i="12" a="1"/>
  <c r="L325" i="12" s="1"/>
  <c r="L368" i="12" a="1"/>
  <c r="L368" i="12" s="1"/>
  <c r="O117" i="12" a="1"/>
  <c r="O117" i="12" s="1"/>
  <c r="J335" i="12" a="1"/>
  <c r="J335" i="12" s="1"/>
  <c r="P378" i="12" a="1"/>
  <c r="P378" i="12" s="1"/>
  <c r="N296" i="12" a="1"/>
  <c r="N296" i="12" s="1"/>
  <c r="N65" i="12" a="1"/>
  <c r="N65" i="12" s="1"/>
  <c r="G126" i="12" a="1"/>
  <c r="G126" i="12" s="1"/>
  <c r="R528" i="12" a="1"/>
  <c r="R528" i="12" s="1"/>
  <c r="F337" i="12" a="1"/>
  <c r="F337" i="12" s="1"/>
  <c r="I414" i="12" a="1"/>
  <c r="I414" i="12" s="1"/>
  <c r="P363" i="12" a="1"/>
  <c r="P363" i="12" s="1"/>
  <c r="F309" i="12" a="1"/>
  <c r="F309" i="12" s="1"/>
  <c r="Q404" i="12" a="1"/>
  <c r="Q404" i="12" s="1"/>
  <c r="P358" i="12" a="1"/>
  <c r="P358" i="12" s="1"/>
  <c r="I107" i="12" a="1"/>
  <c r="I107" i="12" s="1"/>
  <c r="J92" i="12" a="1"/>
  <c r="J92" i="12" s="1"/>
  <c r="J299" i="12" a="1"/>
  <c r="J299" i="12" s="1"/>
  <c r="O378" i="12" a="1"/>
  <c r="O378" i="12" s="1"/>
  <c r="G312" i="12" a="1"/>
  <c r="G312" i="12" s="1"/>
  <c r="T106" i="12" a="1"/>
  <c r="T106" i="12" s="1"/>
  <c r="G289" i="12" a="1"/>
  <c r="G289" i="12" s="1"/>
  <c r="J216" i="12" a="1"/>
  <c r="J216" i="12" s="1"/>
  <c r="O125" i="12" a="1"/>
  <c r="O125" i="12" s="1"/>
  <c r="G125" i="12" a="1"/>
  <c r="G125" i="12" s="1"/>
  <c r="O93" i="12" a="1"/>
  <c r="O93" i="12" s="1"/>
  <c r="T61" i="12" a="1"/>
  <c r="T61" i="12" s="1"/>
  <c r="F178" i="12" a="1"/>
  <c r="F178" i="12" s="1"/>
  <c r="U90" i="2" a="1"/>
  <c r="U90" i="2" s="1"/>
  <c r="T18" i="12" a="1"/>
  <c r="T18" i="12" s="1"/>
  <c r="R15" i="12" a="1"/>
  <c r="R15" i="12" s="1"/>
  <c r="R134" i="12" a="1"/>
  <c r="R134" i="12" s="1"/>
  <c r="T13" i="12" a="1"/>
  <c r="T13" i="12" s="1"/>
  <c r="Y6" i="3" a="1"/>
  <c r="Y6" i="3" s="1"/>
  <c r="S6" i="12" a="1"/>
  <c r="S6" i="12" s="1"/>
  <c r="G275" i="12" a="1"/>
  <c r="G275" i="12" s="1"/>
  <c r="F82" i="12" a="1"/>
  <c r="F82" i="12" s="1"/>
  <c r="U101" i="2" a="1"/>
  <c r="U101" i="2" s="1"/>
  <c r="S55" i="12" a="1"/>
  <c r="S55" i="12" s="1"/>
  <c r="AB627" i="12" a="1"/>
  <c r="AB627" i="12" s="1"/>
  <c r="T36" i="12" a="1"/>
  <c r="T36" i="12" s="1"/>
  <c r="J103" i="12" a="1"/>
  <c r="J103" i="12" s="1"/>
  <c r="M19" i="12" a="1"/>
  <c r="M19" i="12" s="1"/>
  <c r="M13" i="12" a="1"/>
  <c r="M13" i="12" s="1"/>
  <c r="R6" i="3" a="1"/>
  <c r="R6" i="3" s="1"/>
  <c r="F66" i="12" a="1"/>
  <c r="F66" i="12" s="1"/>
  <c r="U98" i="2" a="1"/>
  <c r="U98" i="2" s="1"/>
  <c r="P32" i="12" a="1"/>
  <c r="P32" i="12" s="1"/>
  <c r="S134" i="12" a="1"/>
  <c r="S134" i="12" s="1"/>
  <c r="T24" i="12" a="1"/>
  <c r="T24" i="12" s="1"/>
  <c r="R345" i="12" a="1"/>
  <c r="R345" i="12" s="1"/>
  <c r="K117" i="12" a="1"/>
  <c r="K117" i="12" s="1"/>
  <c r="T255" i="12" a="1"/>
  <c r="T255" i="12" s="1"/>
  <c r="S143" i="12" a="1"/>
  <c r="S143" i="12" s="1"/>
  <c r="P203" i="12" a="1"/>
  <c r="P203" i="12" s="1"/>
  <c r="T64" i="12" a="1"/>
  <c r="T64" i="12" s="1"/>
  <c r="I256" i="12" a="1"/>
  <c r="I256" i="12" s="1"/>
  <c r="N60" i="12" a="1"/>
  <c r="N60" i="12" s="1"/>
  <c r="J37" i="12" a="1"/>
  <c r="J37" i="12" s="1"/>
  <c r="G50" i="12" a="1"/>
  <c r="G50" i="12" s="1"/>
  <c r="N29" i="12" a="1"/>
  <c r="N29" i="12" s="1"/>
  <c r="F86" i="12" a="1"/>
  <c r="F86" i="12" s="1"/>
  <c r="U43" i="2" a="1"/>
  <c r="U43" i="2" s="1"/>
  <c r="Q17" i="12" a="1"/>
  <c r="Q17" i="12" s="1"/>
  <c r="T103" i="12" a="1"/>
  <c r="T103" i="12" s="1"/>
  <c r="M496" i="12" a="1"/>
  <c r="M496" i="12" s="1"/>
  <c r="F283" i="12" a="1"/>
  <c r="F283" i="12" s="1"/>
  <c r="Q423" i="12" a="1"/>
  <c r="Q423" i="12" s="1"/>
  <c r="R259" i="12" a="1"/>
  <c r="R259" i="12" s="1"/>
  <c r="AQ135" i="2" a="1"/>
  <c r="AQ135" i="2" s="1"/>
  <c r="AR135" i="2" a="1"/>
  <c r="AR135" i="2" s="1"/>
  <c r="G212" i="12" a="1"/>
  <c r="G212" i="12" s="1"/>
  <c r="T207" i="12" a="1"/>
  <c r="T207" i="12" s="1"/>
  <c r="K26" i="12" a="1"/>
  <c r="K26" i="12" s="1"/>
  <c r="P14" i="3" a="1"/>
  <c r="P14" i="3" s="1"/>
  <c r="S182" i="12" a="1"/>
  <c r="S182" i="12" s="1"/>
  <c r="N103" i="12" a="1"/>
  <c r="N103" i="12" s="1"/>
  <c r="O18" i="12" a="1"/>
  <c r="O18" i="12" s="1"/>
  <c r="M47" i="12" a="1"/>
  <c r="M47" i="12" s="1"/>
  <c r="F333" i="12" a="1"/>
  <c r="F333" i="12" s="1"/>
  <c r="U178" i="2" a="1"/>
  <c r="U178" i="2" s="1"/>
  <c r="I111" i="12" a="1"/>
  <c r="I111" i="12" s="1"/>
  <c r="F28" i="12" a="1"/>
  <c r="F28" i="12" s="1"/>
  <c r="U132" i="2" a="1"/>
  <c r="U132" i="2" s="1"/>
  <c r="G68" i="12" a="1"/>
  <c r="G68" i="12" s="1"/>
  <c r="G78" i="12" a="1"/>
  <c r="G78" i="12" s="1"/>
  <c r="M305" i="12" a="1"/>
  <c r="M305" i="12" s="1"/>
  <c r="M178" i="12" a="1"/>
  <c r="M178" i="12" s="1"/>
  <c r="T60" i="12" a="1"/>
  <c r="T60" i="12" s="1"/>
  <c r="R14" i="12" a="1"/>
  <c r="R14" i="12" s="1"/>
  <c r="F50" i="12" a="1"/>
  <c r="F50" i="12" s="1"/>
  <c r="U41" i="2" a="1"/>
  <c r="U41" i="2" s="1"/>
  <c r="L113" i="12" a="1"/>
  <c r="L113" i="12" s="1"/>
  <c r="M72" i="12" a="1"/>
  <c r="M72" i="12" s="1"/>
  <c r="G104" i="12" a="1"/>
  <c r="G104" i="12" s="1"/>
  <c r="S46" i="12" a="1"/>
  <c r="S46" i="12" s="1"/>
  <c r="R216" i="12" a="1"/>
  <c r="R216" i="12" s="1"/>
  <c r="J40" i="12" a="1"/>
  <c r="J40" i="12" s="1"/>
  <c r="Q144" i="12" a="1"/>
  <c r="Q144" i="12" s="1"/>
  <c r="O134" i="12" a="1"/>
  <c r="O134" i="12" s="1"/>
  <c r="M20" i="12" a="1"/>
  <c r="M20" i="12" s="1"/>
  <c r="F165" i="12" a="1"/>
  <c r="F165" i="12" s="1"/>
  <c r="J285" i="12" a="1"/>
  <c r="J285" i="12" s="1"/>
  <c r="T88" i="12" a="1"/>
  <c r="T88" i="12" s="1"/>
  <c r="S88" i="12" a="1"/>
  <c r="S88" i="12" s="1"/>
  <c r="R96" i="12" a="1"/>
  <c r="R96" i="12" s="1"/>
  <c r="M212" i="12" a="1"/>
  <c r="M212" i="12" s="1"/>
  <c r="O95" i="12" a="1"/>
  <c r="O95" i="12" s="1"/>
  <c r="Q69" i="12" a="1"/>
  <c r="Q69" i="12" s="1"/>
  <c r="N224" i="12" a="1"/>
  <c r="N224" i="12" s="1"/>
  <c r="G66" i="12" a="1"/>
  <c r="G66" i="12" s="1"/>
  <c r="R174" i="12" a="1"/>
  <c r="R174" i="12" s="1"/>
  <c r="O38" i="12" a="1"/>
  <c r="O38" i="12" s="1"/>
  <c r="AA641" i="12" a="1"/>
  <c r="AA641" i="12" s="1"/>
  <c r="M107" i="12" a="1"/>
  <c r="M107" i="12" s="1"/>
  <c r="AQ190" i="2" a="1"/>
  <c r="AQ190" i="2" s="1"/>
  <c r="R128" i="12" a="1"/>
  <c r="R128" i="12" s="1"/>
  <c r="I84" i="12" a="1"/>
  <c r="I84" i="12" s="1"/>
  <c r="O253" i="12" a="1"/>
  <c r="O253" i="12" s="1"/>
  <c r="J64" i="12" a="1"/>
  <c r="J64" i="12" s="1"/>
  <c r="AA661" i="12" a="1"/>
  <c r="AA661" i="12" s="1"/>
  <c r="N46" i="12" a="1"/>
  <c r="N46" i="12" s="1"/>
  <c r="R69" i="12" a="1"/>
  <c r="R69" i="12" s="1"/>
  <c r="G216" i="12" a="1"/>
  <c r="G216" i="12" s="1"/>
  <c r="AB663" i="12" a="1"/>
  <c r="AB663" i="12" s="1"/>
  <c r="K76" i="12" a="1"/>
  <c r="K76" i="12" s="1"/>
  <c r="K30" i="12" a="1"/>
  <c r="K30" i="12" s="1"/>
  <c r="G132" i="12" a="1"/>
  <c r="G132" i="12" s="1"/>
  <c r="J379" i="12" a="1"/>
  <c r="J379" i="12" s="1"/>
  <c r="S379" i="12" a="1"/>
  <c r="S379" i="12" s="1"/>
  <c r="J421" i="12" a="1"/>
  <c r="J421" i="12" s="1"/>
  <c r="K425" i="12" a="1"/>
  <c r="K425" i="12" s="1"/>
  <c r="Q382" i="12" a="1"/>
  <c r="Q382" i="12" s="1"/>
  <c r="K222" i="12" a="1"/>
  <c r="K222" i="12" s="1"/>
  <c r="J58" i="12" a="1"/>
  <c r="J58" i="12" s="1"/>
  <c r="P95" i="12" a="1"/>
  <c r="P95" i="12" s="1"/>
  <c r="P201" i="12" a="1"/>
  <c r="P201" i="12" s="1"/>
  <c r="S43" i="12" a="1"/>
  <c r="S43" i="12" s="1"/>
  <c r="Q130" i="12" a="1"/>
  <c r="Q130" i="12" s="1"/>
  <c r="R312" i="12" a="1"/>
  <c r="R312" i="12" s="1"/>
  <c r="U144" i="2" a="1"/>
  <c r="U144" i="2" s="1"/>
  <c r="N90" i="12" a="1"/>
  <c r="N90" i="12" s="1"/>
  <c r="N105" i="12" a="1"/>
  <c r="N105" i="12" s="1"/>
  <c r="I85" i="12" a="1"/>
  <c r="I85" i="12" s="1"/>
  <c r="T174" i="12" a="1"/>
  <c r="T174" i="12" s="1"/>
  <c r="L75" i="12" a="1"/>
  <c r="L75" i="12" s="1"/>
  <c r="S191" i="12" a="1"/>
  <c r="S191" i="12" s="1"/>
  <c r="O19" i="12" a="1"/>
  <c r="O19" i="12" s="1"/>
  <c r="N113" i="12" a="1"/>
  <c r="N113" i="12" s="1"/>
  <c r="AQ81" i="2" a="1"/>
  <c r="AQ81" i="2" s="1"/>
  <c r="AR81" i="2" a="1"/>
  <c r="AR81" i="2" s="1"/>
  <c r="J321" i="12" a="1"/>
  <c r="J321" i="12" s="1"/>
  <c r="O279" i="12" a="1"/>
  <c r="O279" i="12" s="1"/>
  <c r="F279" i="12" a="1"/>
  <c r="F279" i="12" s="1"/>
  <c r="U163" i="2" a="1"/>
  <c r="U163" i="2" s="1"/>
  <c r="G124" i="12" a="1"/>
  <c r="G124" i="12" s="1"/>
  <c r="I93" i="12" a="1"/>
  <c r="I93" i="12" s="1"/>
  <c r="T66" i="12" a="1"/>
  <c r="T66" i="12" s="1"/>
  <c r="M37" i="12" a="1"/>
  <c r="M37" i="12" s="1"/>
  <c r="Z645" i="12" a="1"/>
  <c r="Z645" i="12" s="1"/>
  <c r="Q50" i="12" a="1"/>
  <c r="Q50" i="12" s="1"/>
  <c r="F44" i="12" a="1"/>
  <c r="F44" i="12" s="1"/>
  <c r="U35" i="2" a="1"/>
  <c r="U35" i="2" s="1"/>
  <c r="O17" i="12" a="1"/>
  <c r="O17" i="12" s="1"/>
  <c r="Q23" i="12" a="1"/>
  <c r="Q23" i="12" s="1"/>
  <c r="M7" i="12" a="1"/>
  <c r="M7" i="12" s="1"/>
  <c r="I35" i="12" a="1"/>
  <c r="I35" i="12" s="1"/>
  <c r="J52" i="12" a="1"/>
  <c r="J52" i="12" s="1"/>
  <c r="S13" i="12" a="1"/>
  <c r="S13" i="12" s="1"/>
  <c r="X6" i="3" a="1"/>
  <c r="X6" i="3" s="1"/>
  <c r="J4" i="12" a="1"/>
  <c r="J4" i="12" s="1"/>
  <c r="Q21" i="12" a="1"/>
  <c r="Q21" i="12" s="1"/>
  <c r="Z659" i="12" a="1"/>
  <c r="Z659" i="12" s="1"/>
  <c r="S76" i="12" a="1"/>
  <c r="S76" i="12" s="1"/>
  <c r="R16" i="12" a="1"/>
  <c r="R16" i="12" s="1"/>
  <c r="L2" i="12" a="1"/>
  <c r="L2" i="12" s="1"/>
  <c r="Q2" i="3" a="1"/>
  <c r="Q2" i="3" s="1"/>
  <c r="K77" i="12" a="1"/>
  <c r="K77" i="12" s="1"/>
  <c r="Q40" i="12" a="1"/>
  <c r="Q40" i="12" s="1"/>
  <c r="I103" i="12" a="1"/>
  <c r="I103" i="12" s="1"/>
  <c r="I10" i="12" a="1"/>
  <c r="I10" i="12" s="1"/>
  <c r="P56" i="12" a="1"/>
  <c r="P56" i="12" s="1"/>
  <c r="AL91" i="2" a="1"/>
  <c r="AL91" i="2" s="1"/>
  <c r="L41" i="12" a="1"/>
  <c r="L41" i="12" s="1"/>
  <c r="L45" i="12" a="1"/>
  <c r="L45" i="12" s="1"/>
  <c r="K23" i="12" a="1"/>
  <c r="K23" i="12" s="1"/>
  <c r="I31" i="12" a="1"/>
  <c r="I31" i="12" s="1"/>
  <c r="S31" i="12" a="1"/>
  <c r="S31" i="12" s="1"/>
  <c r="G129" i="12" a="1"/>
  <c r="G129" i="12" s="1"/>
  <c r="R184" i="12" a="1"/>
  <c r="R184" i="12" s="1"/>
  <c r="P184" i="12" a="1"/>
  <c r="P184" i="12" s="1"/>
  <c r="J85" i="12" a="1"/>
  <c r="J85" i="12" s="1"/>
  <c r="L59" i="12" a="1"/>
  <c r="L59" i="12" s="1"/>
  <c r="S59" i="12" a="1"/>
  <c r="S59" i="12" s="1"/>
  <c r="R118" i="12" a="1"/>
  <c r="R118" i="12" s="1"/>
  <c r="Q118" i="12" a="1"/>
  <c r="Q118" i="12" s="1"/>
  <c r="N22" i="12" a="1"/>
  <c r="N22" i="12" s="1"/>
  <c r="Q42" i="12" a="1"/>
  <c r="Q42" i="12" s="1"/>
  <c r="G42" i="12" a="1"/>
  <c r="G42" i="12" s="1"/>
  <c r="L19" i="12" a="1"/>
  <c r="L19" i="12" s="1"/>
  <c r="O80" i="12" a="1"/>
  <c r="O80" i="12" s="1"/>
  <c r="R4" i="12" a="1"/>
  <c r="R4" i="12" s="1"/>
  <c r="M62" i="12" a="1"/>
  <c r="M62" i="12" s="1"/>
  <c r="N62" i="12" a="1"/>
  <c r="N62" i="12" s="1"/>
  <c r="L34" i="12" a="1"/>
  <c r="L34" i="12" s="1"/>
  <c r="O201" i="12" a="1"/>
  <c r="O201" i="12" s="1"/>
  <c r="L57" i="12" a="1"/>
  <c r="L57" i="12" s="1"/>
  <c r="N14" i="12" a="1"/>
  <c r="N14" i="12" s="1"/>
  <c r="L64" i="12" a="1"/>
  <c r="L64" i="12" s="1"/>
  <c r="T53" i="12" a="1"/>
  <c r="T53" i="12" s="1"/>
  <c r="P53" i="12" a="1"/>
  <c r="P53" i="12" s="1"/>
  <c r="Q49" i="12" a="1"/>
  <c r="Q49" i="12" s="1"/>
  <c r="O49" i="12" a="1"/>
  <c r="O49" i="12" s="1"/>
  <c r="Q63" i="12" a="1"/>
  <c r="Q63" i="12" s="1"/>
  <c r="I63" i="12" a="1"/>
  <c r="I63" i="12" s="1"/>
  <c r="O11" i="12" a="1"/>
  <c r="O11" i="12" s="1"/>
  <c r="F104" i="12" a="1"/>
  <c r="F104" i="12" s="1"/>
  <c r="K82" i="12" a="1"/>
  <c r="K82" i="12" s="1"/>
  <c r="Q200" i="12" a="1"/>
  <c r="Q200" i="12" s="1"/>
  <c r="G200" i="12" a="1"/>
  <c r="G200" i="12" s="1"/>
  <c r="G7" i="12" a="1"/>
  <c r="G7" i="12" s="1"/>
  <c r="P6" i="12" a="1"/>
  <c r="P6" i="12" s="1"/>
  <c r="K33" i="12" a="1"/>
  <c r="K33" i="12" s="1"/>
  <c r="G189" i="12" a="1"/>
  <c r="G189" i="12" s="1"/>
  <c r="J189" i="12" a="1"/>
  <c r="J189" i="12" s="1"/>
  <c r="T40" i="12" a="1"/>
  <c r="T40" i="12" s="1"/>
  <c r="O224" i="12" a="1"/>
  <c r="O224" i="12" s="1"/>
  <c r="R50" i="12" a="1"/>
  <c r="R50" i="12" s="1"/>
  <c r="J17" i="12" a="1"/>
  <c r="J17" i="12" s="1"/>
  <c r="Q180" i="12" a="1"/>
  <c r="Q180" i="12" s="1"/>
  <c r="I236" i="12" a="1"/>
  <c r="I236" i="12" s="1"/>
  <c r="R228" i="12" a="1"/>
  <c r="R228" i="12" s="1"/>
  <c r="Q465" i="12" a="1"/>
  <c r="Q465" i="12" s="1"/>
  <c r="J219" i="12" a="1"/>
  <c r="J219" i="12" s="1"/>
  <c r="T238" i="12" a="1"/>
  <c r="T238" i="12" s="1"/>
  <c r="T248" i="12" a="1"/>
  <c r="T248" i="12" s="1"/>
  <c r="J298" i="12" a="1"/>
  <c r="J298" i="12" s="1"/>
  <c r="Q298" i="12" a="1"/>
  <c r="Q298" i="12" s="1"/>
  <c r="R536" i="12" a="1"/>
  <c r="R536" i="12" s="1"/>
  <c r="J536" i="12" a="1"/>
  <c r="J536" i="12" s="1"/>
  <c r="Q254" i="12" a="1"/>
  <c r="Q254" i="12" s="1"/>
  <c r="F271" i="12" a="1"/>
  <c r="F271" i="12" s="1"/>
  <c r="U438" i="2" a="1"/>
  <c r="U438" i="2" s="1"/>
  <c r="X666" i="12" a="1"/>
  <c r="X666" i="12" s="1"/>
  <c r="Q208" i="12" a="1"/>
  <c r="Q208" i="12" s="1"/>
  <c r="P172" i="12" a="1"/>
  <c r="P172" i="12" s="1"/>
  <c r="P236" i="12" a="1"/>
  <c r="P236" i="12" s="1"/>
  <c r="N568" i="12" a="1"/>
  <c r="N568" i="12" s="1"/>
  <c r="J527" i="12" a="1"/>
  <c r="J527" i="12" s="1"/>
  <c r="I562" i="12" a="1"/>
  <c r="I562" i="12" s="1"/>
  <c r="Q197" i="12" a="1"/>
  <c r="Q197" i="12" s="1"/>
  <c r="F435" i="12" a="1"/>
  <c r="F435" i="12" s="1"/>
  <c r="U332" i="2" a="1"/>
  <c r="U332" i="2" s="1"/>
  <c r="P149" i="12" a="1"/>
  <c r="P149" i="12" s="1"/>
  <c r="F171" i="12" a="1"/>
  <c r="F171" i="12" s="1"/>
  <c r="U327" i="2" a="1"/>
  <c r="U327" i="2" s="1"/>
  <c r="P131" i="12" a="1"/>
  <c r="P131" i="12" s="1"/>
  <c r="P282" i="12" a="1"/>
  <c r="P282" i="12" s="1"/>
  <c r="J505" i="12" a="1"/>
  <c r="J505" i="12" s="1"/>
  <c r="G581" i="12" a="1"/>
  <c r="G581" i="12" s="1"/>
  <c r="G277" i="12" a="1"/>
  <c r="G277" i="12" s="1"/>
  <c r="M83" i="12" a="1"/>
  <c r="M83" i="12" s="1"/>
  <c r="R474" i="12" a="1"/>
  <c r="R474" i="12" s="1"/>
  <c r="G606" i="12" a="1"/>
  <c r="G606" i="12" s="1"/>
  <c r="K223" i="12" a="1"/>
  <c r="K223" i="12" s="1"/>
  <c r="N557" i="12" a="1"/>
  <c r="N557" i="12" s="1"/>
  <c r="K258" i="12" a="1"/>
  <c r="K258" i="12" s="1"/>
  <c r="N323" i="12" a="1"/>
  <c r="N323" i="12" s="1"/>
  <c r="AQ433" i="2" a="1"/>
  <c r="AQ433" i="2" s="1"/>
  <c r="AR433" i="2" a="1"/>
  <c r="AR433" i="2" s="1"/>
  <c r="K514" i="12" a="1"/>
  <c r="K514" i="12" s="1"/>
  <c r="L239" i="12" a="1"/>
  <c r="L239" i="12" s="1"/>
  <c r="K598" i="12" a="1"/>
  <c r="K598" i="12" s="1"/>
  <c r="J276" i="12" a="1"/>
  <c r="J276" i="12" s="1"/>
  <c r="L211" i="12" a="1"/>
  <c r="L211" i="12" s="1"/>
  <c r="J211" i="12" a="1"/>
  <c r="J211" i="12" s="1"/>
  <c r="S243" i="12" a="1"/>
  <c r="S243" i="12" s="1"/>
  <c r="R501" i="12" a="1"/>
  <c r="R501" i="12" s="1"/>
  <c r="O260" i="12" a="1"/>
  <c r="O260" i="12" s="1"/>
  <c r="J239" i="12" a="1"/>
  <c r="J239" i="12" s="1"/>
  <c r="O510" i="12" a="1"/>
  <c r="O510" i="12" s="1"/>
  <c r="Q573" i="12" a="1"/>
  <c r="Q573" i="12" s="1"/>
  <c r="N503" i="12" a="1"/>
  <c r="N503" i="12" s="1"/>
  <c r="K495" i="12" a="1"/>
  <c r="K495" i="12" s="1"/>
  <c r="J451" i="12" a="1"/>
  <c r="J451" i="12" s="1"/>
  <c r="N210" i="12" a="1"/>
  <c r="N210" i="12" s="1"/>
  <c r="M225" i="12" a="1"/>
  <c r="M225" i="12" s="1"/>
  <c r="I164" i="12" a="1"/>
  <c r="I164" i="12" s="1"/>
  <c r="S555" i="12" a="1"/>
  <c r="S555" i="12" s="1"/>
  <c r="N581" i="12" a="1"/>
  <c r="N581" i="12" s="1"/>
  <c r="P566" i="12" a="1"/>
  <c r="P566" i="12" s="1"/>
  <c r="K218" i="12" a="1"/>
  <c r="K218" i="12" s="1"/>
  <c r="J593" i="12" a="1"/>
  <c r="J593" i="12" s="1"/>
  <c r="J463" i="12" a="1"/>
  <c r="J463" i="12" s="1"/>
  <c r="O263" i="12" a="1"/>
  <c r="O263" i="12" s="1"/>
  <c r="N277" i="12" a="1"/>
  <c r="N277" i="12" s="1"/>
  <c r="S245" i="12" a="1"/>
  <c r="S245" i="12" s="1"/>
  <c r="AA668" i="12" a="1"/>
  <c r="AA668" i="12" s="1"/>
  <c r="P451" i="12" a="1"/>
  <c r="P451" i="12" s="1"/>
  <c r="F311" i="12" a="1"/>
  <c r="F311" i="12" s="1"/>
  <c r="U466" i="2" a="1"/>
  <c r="U466" i="2" s="1"/>
  <c r="I233" i="12" a="1"/>
  <c r="I233" i="12" s="1"/>
  <c r="L581" i="12" a="1"/>
  <c r="L581" i="12" s="1"/>
  <c r="M237" i="12" a="1"/>
  <c r="M237" i="12" s="1"/>
  <c r="F537" i="12" a="1"/>
  <c r="F537" i="12" s="1"/>
  <c r="U419" i="2" a="1"/>
  <c r="U419" i="2" s="1"/>
  <c r="S519" i="12" a="1"/>
  <c r="S519" i="12" s="1"/>
  <c r="M474" i="12" a="1"/>
  <c r="M474" i="12" s="1"/>
  <c r="T585" i="12" a="1"/>
  <c r="T585" i="12" s="1"/>
  <c r="K221" i="12" a="1"/>
  <c r="K221" i="12" s="1"/>
  <c r="K551" i="12" a="1"/>
  <c r="K551" i="12" s="1"/>
  <c r="N509" i="12" a="1"/>
  <c r="N509" i="12" s="1"/>
  <c r="O509" i="12" a="1"/>
  <c r="O509" i="12" s="1"/>
  <c r="F136" i="12" a="1"/>
  <c r="F136" i="12" s="1"/>
  <c r="U323" i="2" a="1"/>
  <c r="U323" i="2" s="1"/>
  <c r="G186" i="12" a="1"/>
  <c r="G186" i="12" s="1"/>
  <c r="K476" i="12" a="1"/>
  <c r="K476" i="12" s="1"/>
  <c r="M452" i="12" a="1"/>
  <c r="M452" i="12" s="1"/>
  <c r="I135" i="12" a="1"/>
  <c r="I135" i="12" s="1"/>
  <c r="O280" i="12" a="1"/>
  <c r="O280" i="12" s="1"/>
  <c r="S185" i="12" a="1"/>
  <c r="S185" i="12" s="1"/>
  <c r="S220" i="12" a="1"/>
  <c r="S220" i="12" s="1"/>
  <c r="AB640" i="12" a="1"/>
  <c r="AB640" i="12" s="1"/>
  <c r="F244" i="12" a="1"/>
  <c r="F244" i="12" s="1"/>
  <c r="U360" i="2" a="1"/>
  <c r="U360" i="2" s="1"/>
  <c r="J415" i="12" a="1"/>
  <c r="J415" i="12" s="1"/>
  <c r="P504" i="12" a="1"/>
  <c r="P504" i="12" s="1"/>
  <c r="P500" i="12" a="1"/>
  <c r="P500" i="12" s="1"/>
  <c r="Q179" i="12" a="1"/>
  <c r="Q179" i="12" s="1"/>
  <c r="T435" i="12" a="1"/>
  <c r="T435" i="12" s="1"/>
  <c r="I163" i="12" a="1"/>
  <c r="I163" i="12" s="1"/>
  <c r="G493" i="12" a="1"/>
  <c r="G493" i="12" s="1"/>
  <c r="M412" i="12" a="1"/>
  <c r="M412" i="12" s="1"/>
  <c r="M597" i="12" a="1"/>
  <c r="M597" i="12" s="1"/>
  <c r="P573" i="12" a="1"/>
  <c r="P573" i="12" s="1"/>
  <c r="P547" i="12" a="1"/>
  <c r="P547" i="12" s="1"/>
  <c r="N547" i="12" a="1"/>
  <c r="N547" i="12" s="1"/>
  <c r="R407" i="12" a="1"/>
  <c r="R407" i="12" s="1"/>
  <c r="T193" i="12" a="1"/>
  <c r="T193" i="12" s="1"/>
  <c r="M408" i="12" a="1"/>
  <c r="M408" i="12" s="1"/>
  <c r="S171" i="12" a="1"/>
  <c r="S171" i="12" s="1"/>
  <c r="L586" i="12" a="1"/>
  <c r="L586" i="12" s="1"/>
  <c r="L188" i="12" a="1"/>
  <c r="L188" i="12" s="1"/>
  <c r="K176" i="12" a="1"/>
  <c r="K176" i="12" s="1"/>
  <c r="F497" i="12" a="1"/>
  <c r="F497" i="12" s="1"/>
  <c r="G584" i="12" a="1"/>
  <c r="G584" i="12" s="1"/>
  <c r="Q584" i="12" a="1"/>
  <c r="Q584" i="12" s="1"/>
  <c r="Z656" i="12" a="1"/>
  <c r="Z656" i="12" s="1"/>
  <c r="L508" i="12" a="1"/>
  <c r="L508" i="12" s="1"/>
  <c r="N549" i="12" a="1"/>
  <c r="N549" i="12" s="1"/>
  <c r="S266" i="12" a="1"/>
  <c r="S266" i="12" s="1"/>
  <c r="T559" i="12" a="1"/>
  <c r="T559" i="12" s="1"/>
  <c r="S566" i="12" a="1"/>
  <c r="S566" i="12" s="1"/>
  <c r="O451" i="12" a="1"/>
  <c r="O451" i="12" s="1"/>
  <c r="O236" i="12" a="1"/>
  <c r="O236" i="12" s="1"/>
  <c r="J515" i="12" a="1"/>
  <c r="J515" i="12" s="1"/>
  <c r="L244" i="12" a="1"/>
  <c r="L244" i="12" s="1"/>
  <c r="M230" i="12" a="1"/>
  <c r="M230" i="12" s="1"/>
  <c r="R227" i="12" a="1"/>
  <c r="R227" i="12" s="1"/>
  <c r="M190" i="12" a="1"/>
  <c r="M190" i="12" s="1"/>
  <c r="M188" i="12" a="1"/>
  <c r="M188" i="12" s="1"/>
  <c r="P497" i="12" a="1"/>
  <c r="P497" i="12" s="1"/>
  <c r="N558" i="12" a="1"/>
  <c r="N558" i="12" s="1"/>
  <c r="N160" i="12" a="1"/>
  <c r="N160" i="12" s="1"/>
  <c r="G154" i="12" a="1"/>
  <c r="G154" i="12" s="1"/>
  <c r="K511" i="12" a="1"/>
  <c r="K511" i="12" s="1"/>
  <c r="F511" i="12" a="1"/>
  <c r="F511" i="12" s="1"/>
  <c r="U456" i="2" a="1"/>
  <c r="U456" i="2" s="1"/>
  <c r="T218" i="12" a="1"/>
  <c r="T218" i="12" s="1"/>
  <c r="I273" i="12" a="1"/>
  <c r="I273" i="12" s="1"/>
  <c r="O564" i="12" a="1"/>
  <c r="O564" i="12" s="1"/>
  <c r="M503" i="12" a="1"/>
  <c r="M503" i="12" s="1"/>
  <c r="F530" i="12" a="1"/>
  <c r="F530" i="12" s="1"/>
  <c r="U382" i="2" a="1"/>
  <c r="U382" i="2" s="1"/>
  <c r="AB654" i="12" a="1"/>
  <c r="AB654" i="12" s="1"/>
  <c r="Q206" i="12" a="1"/>
  <c r="Q206" i="12" s="1"/>
  <c r="M508" i="12" a="1"/>
  <c r="M508" i="12" s="1"/>
  <c r="T149" i="12" a="1"/>
  <c r="T149" i="12" s="1"/>
  <c r="L241" i="12" a="1"/>
  <c r="L241" i="12" s="1"/>
  <c r="I582" i="12" a="1"/>
  <c r="I582" i="12" s="1"/>
  <c r="L582" i="12" a="1"/>
  <c r="L582" i="12" s="1"/>
  <c r="G533" i="12" a="1"/>
  <c r="G533" i="12" s="1"/>
  <c r="O533" i="12" a="1"/>
  <c r="O533" i="12" s="1"/>
  <c r="F210" i="12" a="1"/>
  <c r="F210" i="12" s="1"/>
  <c r="U373" i="2" a="1"/>
  <c r="U373" i="2" s="1"/>
  <c r="Q426" i="12" a="1"/>
  <c r="Q426" i="12" s="1"/>
  <c r="Q274" i="12" a="1"/>
  <c r="Q274" i="12" s="1"/>
  <c r="S149" i="12" a="1"/>
  <c r="S149" i="12" s="1"/>
  <c r="S522" i="12" a="1"/>
  <c r="S522" i="12" s="1"/>
  <c r="J163" i="12" a="1"/>
  <c r="J163" i="12" s="1"/>
  <c r="T526" i="12" a="1"/>
  <c r="T526" i="12" s="1"/>
  <c r="N194" i="12" a="1"/>
  <c r="N194" i="12" s="1"/>
  <c r="L466" i="12" a="1"/>
  <c r="L466" i="12" s="1"/>
  <c r="K217" i="12" a="1"/>
  <c r="K217" i="12" s="1"/>
  <c r="Q169" i="12" a="1"/>
  <c r="Q169" i="12" s="1"/>
  <c r="F175" i="12" a="1"/>
  <c r="F175" i="12" s="1"/>
  <c r="U284" i="2" a="1"/>
  <c r="U284" i="2" s="1"/>
  <c r="T442" i="12" a="1"/>
  <c r="T442" i="12" s="1"/>
  <c r="R492" i="12" a="1"/>
  <c r="R492" i="12" s="1"/>
  <c r="P170" i="12" a="1"/>
  <c r="P170" i="12" s="1"/>
  <c r="L204" i="12" a="1"/>
  <c r="L204" i="12" s="1"/>
  <c r="K419" i="12" a="1"/>
  <c r="K419" i="12" s="1"/>
  <c r="Q356" i="12" a="1"/>
  <c r="Q356" i="12" s="1"/>
  <c r="F439" i="12" a="1"/>
  <c r="F439" i="12" s="1"/>
  <c r="U274" i="2" a="1"/>
  <c r="U274" i="2" s="1"/>
  <c r="T383" i="12" a="1"/>
  <c r="T383" i="12" s="1"/>
  <c r="Q345" i="12" a="1"/>
  <c r="Q345" i="12" s="1"/>
  <c r="I139" i="12" a="1"/>
  <c r="I139" i="12" s="1"/>
  <c r="Q475" i="12" a="1"/>
  <c r="Q475" i="12" s="1"/>
  <c r="L475" i="12" a="1"/>
  <c r="L475" i="12" s="1"/>
  <c r="O173" i="12" a="1"/>
  <c r="O173" i="12" s="1"/>
  <c r="G173" i="12" a="1"/>
  <c r="G173" i="12" s="1"/>
  <c r="S192" i="12" a="1"/>
  <c r="S192" i="12" s="1"/>
  <c r="O221" i="12" a="1"/>
  <c r="O221" i="12" s="1"/>
  <c r="M215" i="12" a="1"/>
  <c r="M215" i="12" s="1"/>
  <c r="K540" i="12" a="1"/>
  <c r="K540" i="12" s="1"/>
  <c r="F274" i="12" a="1"/>
  <c r="F274" i="12" s="1"/>
  <c r="U350" i="2" a="1"/>
  <c r="U350" i="2" s="1"/>
  <c r="F541" i="12" a="1"/>
  <c r="F541" i="12" s="1"/>
  <c r="U349" i="2" a="1"/>
  <c r="U349" i="2" s="1"/>
  <c r="N556" i="12" a="1"/>
  <c r="N556" i="12" s="1"/>
  <c r="Q131" i="12" a="1"/>
  <c r="Q131" i="12" s="1"/>
  <c r="F195" i="12" a="1"/>
  <c r="F195" i="12" s="1"/>
  <c r="U310" i="2" a="1"/>
  <c r="U310" i="2" s="1"/>
  <c r="G476" i="12" a="1"/>
  <c r="G476" i="12" s="1"/>
  <c r="T213" i="12" a="1"/>
  <c r="T213" i="12" s="1"/>
  <c r="R187" i="12" a="1"/>
  <c r="R187" i="12" s="1"/>
  <c r="K187" i="12" a="1"/>
  <c r="K187" i="12" s="1"/>
  <c r="T210" i="12" a="1"/>
  <c r="T210" i="12" s="1"/>
  <c r="N522" i="12" a="1"/>
  <c r="N522" i="12" s="1"/>
  <c r="R493" i="12" a="1"/>
  <c r="R493" i="12" s="1"/>
  <c r="K268" i="12" a="1"/>
  <c r="K268" i="12" s="1"/>
  <c r="Q267" i="12" a="1"/>
  <c r="Q267" i="12" s="1"/>
  <c r="K245" i="12" a="1"/>
  <c r="K245" i="12" s="1"/>
  <c r="L221" i="12" a="1"/>
  <c r="L221" i="12" s="1"/>
  <c r="K231" i="12" a="1"/>
  <c r="K231" i="12" s="1"/>
  <c r="Q500" i="12" a="1"/>
  <c r="Q500" i="12" s="1"/>
  <c r="L205" i="12" a="1"/>
  <c r="L205" i="12" s="1"/>
  <c r="Q132" i="12" a="1"/>
  <c r="Q132" i="12" s="1"/>
  <c r="N332" i="12" a="1"/>
  <c r="N332" i="12" s="1"/>
  <c r="L494" i="12" a="1"/>
  <c r="L494" i="12" s="1"/>
  <c r="N603" i="12" a="1"/>
  <c r="N603" i="12" s="1"/>
  <c r="O603" i="12" a="1"/>
  <c r="O603" i="12" s="1"/>
  <c r="M175" i="12" a="1"/>
  <c r="M175" i="12" s="1"/>
  <c r="O479" i="12" a="1"/>
  <c r="O479" i="12" s="1"/>
  <c r="J164" i="12" a="1"/>
  <c r="J164" i="12" s="1"/>
  <c r="Q108" i="12" a="1"/>
  <c r="Q108" i="12" s="1"/>
  <c r="M422" i="12" a="1"/>
  <c r="M422" i="12" s="1"/>
  <c r="I112" i="12" a="1"/>
  <c r="I112" i="12" s="1"/>
  <c r="G354" i="12" a="1"/>
  <c r="G354" i="12" s="1"/>
  <c r="M157" i="12" a="1"/>
  <c r="M157" i="12" s="1"/>
  <c r="F387" i="12" a="1"/>
  <c r="F387" i="12" s="1"/>
  <c r="U203" i="2" a="1"/>
  <c r="U203" i="2" s="1"/>
  <c r="N117" i="12" a="1"/>
  <c r="N117" i="12" s="1"/>
  <c r="O421" i="12" a="1"/>
  <c r="O421" i="12" s="1"/>
  <c r="T48" i="12" a="1"/>
  <c r="T48" i="12" s="1"/>
  <c r="S425" i="12" a="1"/>
  <c r="S425" i="12" s="1"/>
  <c r="F314" i="12" a="1"/>
  <c r="F314" i="12" s="1"/>
  <c r="U161" i="2" a="1"/>
  <c r="U161" i="2" s="1"/>
  <c r="I97" i="12" a="1"/>
  <c r="I97" i="12" s="1"/>
  <c r="J124" i="12" a="1"/>
  <c r="J124" i="12" s="1"/>
  <c r="N253" i="12" a="1"/>
  <c r="N253" i="12" s="1"/>
  <c r="O203" i="12" a="1"/>
  <c r="O203" i="12" s="1"/>
  <c r="G51" i="12" a="1"/>
  <c r="G51" i="12" s="1"/>
  <c r="G508" i="12" a="1"/>
  <c r="G508" i="12" s="1"/>
  <c r="T534" i="12" a="1"/>
  <c r="T534" i="12" s="1"/>
  <c r="S586" i="12" a="1"/>
  <c r="S586" i="12" s="1"/>
  <c r="S583" i="12" a="1"/>
  <c r="S583" i="12" s="1"/>
  <c r="K209" i="12" a="1"/>
  <c r="K209" i="12" s="1"/>
  <c r="S141" i="12" a="1"/>
  <c r="S141" i="12" s="1"/>
  <c r="S160" i="12" a="1"/>
  <c r="S160" i="12" s="1"/>
  <c r="L366" i="12" a="1"/>
  <c r="L366" i="12" s="1"/>
  <c r="P309" i="12" a="1"/>
  <c r="P309" i="12" s="1"/>
  <c r="O142" i="12" a="1"/>
  <c r="O142" i="12" s="1"/>
  <c r="T401" i="12" a="1"/>
  <c r="T401" i="12" s="1"/>
  <c r="S365" i="12" a="1"/>
  <c r="S365" i="12" s="1"/>
  <c r="Q120" i="12" a="1"/>
  <c r="Q120" i="12" s="1"/>
  <c r="J101" i="12" a="1"/>
  <c r="J101" i="12" s="1"/>
  <c r="J106" i="12" a="1"/>
  <c r="J106" i="12" s="1"/>
  <c r="P65" i="12" a="1"/>
  <c r="P65" i="12" s="1"/>
  <c r="I146" i="12" a="1"/>
  <c r="I146" i="12" s="1"/>
  <c r="L308" i="12" a="1"/>
  <c r="L308" i="12" s="1"/>
  <c r="N229" i="12" a="1"/>
  <c r="N229" i="12" s="1"/>
  <c r="J175" i="12" a="1"/>
  <c r="J175" i="12" s="1"/>
  <c r="G419" i="12" a="1"/>
  <c r="G419" i="12" s="1"/>
  <c r="R337" i="12" a="1"/>
  <c r="R337" i="12" s="1"/>
  <c r="G167" i="12" a="1"/>
  <c r="G167" i="12" s="1"/>
  <c r="J370" i="12" a="1"/>
  <c r="J370" i="12" s="1"/>
  <c r="S145" i="12" a="1"/>
  <c r="S145" i="12" s="1"/>
  <c r="P159" i="12" a="1"/>
  <c r="P159" i="12" s="1"/>
  <c r="I358" i="12" a="1"/>
  <c r="I358" i="12" s="1"/>
  <c r="P376" i="12" a="1"/>
  <c r="P376" i="12" s="1"/>
  <c r="P183" i="12" a="1"/>
  <c r="P183" i="12" s="1"/>
  <c r="M378" i="12" a="1"/>
  <c r="M378" i="12" s="1"/>
  <c r="K296" i="12" a="1"/>
  <c r="K296" i="12" s="1"/>
  <c r="T297" i="12" a="1"/>
  <c r="T297" i="12" s="1"/>
  <c r="M255" i="12" a="1"/>
  <c r="M255" i="12" s="1"/>
  <c r="S128" i="12" a="1"/>
  <c r="S128" i="12" s="1"/>
  <c r="M203" i="12" a="1"/>
  <c r="M203" i="12" s="1"/>
  <c r="N96" i="12" a="1"/>
  <c r="N96" i="12" s="1"/>
  <c r="I408" i="12" a="1"/>
  <c r="I408" i="12" s="1"/>
  <c r="N176" i="12" a="1"/>
  <c r="N176" i="12" s="1"/>
  <c r="N469" i="12" a="1"/>
  <c r="N469" i="12" s="1"/>
  <c r="F132" i="12" a="1"/>
  <c r="F132" i="12" s="1"/>
  <c r="U252" i="2" a="1"/>
  <c r="U252" i="2" s="1"/>
  <c r="O607" i="12" a="1"/>
  <c r="O607" i="12" s="1"/>
  <c r="T115" i="12" a="1"/>
  <c r="T115" i="12" s="1"/>
  <c r="S387" i="12" a="1"/>
  <c r="S387" i="12" s="1"/>
  <c r="K421" i="12" a="1"/>
  <c r="K421" i="12" s="1"/>
  <c r="N127" i="12" a="1"/>
  <c r="N127" i="12" s="1"/>
  <c r="S91" i="12" a="1"/>
  <c r="S91" i="12" s="1"/>
  <c r="S297" i="12" a="1"/>
  <c r="S297" i="12" s="1"/>
  <c r="F255" i="12" a="1"/>
  <c r="F255" i="12" s="1"/>
  <c r="U169" i="2" a="1"/>
  <c r="U169" i="2" s="1"/>
  <c r="L314" i="12" a="1"/>
  <c r="L314" i="12" s="1"/>
  <c r="P253" i="12" a="1"/>
  <c r="P253" i="12" s="1"/>
  <c r="J493" i="12" a="1"/>
  <c r="J493" i="12" s="1"/>
  <c r="O454" i="12" a="1"/>
  <c r="O454" i="12" s="1"/>
  <c r="G217" i="12" a="1"/>
  <c r="G217" i="12" s="1"/>
  <c r="I204" i="12" a="1"/>
  <c r="I204" i="12" s="1"/>
  <c r="J152" i="12" a="1"/>
  <c r="J152" i="12" s="1"/>
  <c r="S156" i="12" a="1"/>
  <c r="S156" i="12" s="1"/>
  <c r="K321" i="12" a="1"/>
  <c r="K321" i="12" s="1"/>
  <c r="F354" i="12" a="1"/>
  <c r="F354" i="12" s="1"/>
  <c r="U220" i="2" a="1"/>
  <c r="U220" i="2" s="1"/>
  <c r="R376" i="12" a="1"/>
  <c r="R376" i="12" s="1"/>
  <c r="K607" i="12" a="1"/>
  <c r="K607" i="12" s="1"/>
  <c r="S264" i="12" a="1"/>
  <c r="S264" i="12" s="1"/>
  <c r="X649" i="12" a="1"/>
  <c r="X649" i="12" s="1"/>
  <c r="Q65" i="12" a="1"/>
  <c r="Q65" i="12" s="1"/>
  <c r="S314" i="12" a="1"/>
  <c r="S314" i="12" s="1"/>
  <c r="O94" i="12" a="1"/>
  <c r="O94" i="12" s="1"/>
  <c r="N235" i="12" a="1"/>
  <c r="N235" i="12" s="1"/>
  <c r="I484" i="12" a="1"/>
  <c r="I484" i="12" s="1"/>
  <c r="J484" i="12" a="1"/>
  <c r="J484" i="12" s="1"/>
  <c r="T416" i="12" a="1"/>
  <c r="T416" i="12" s="1"/>
  <c r="Q416" i="12" a="1"/>
  <c r="Q416" i="12" s="1"/>
  <c r="M372" i="12" a="1"/>
  <c r="M372" i="12" s="1"/>
  <c r="M346" i="12" a="1"/>
  <c r="M346" i="12" s="1"/>
  <c r="S346" i="12" a="1"/>
  <c r="S346" i="12" s="1"/>
  <c r="I108" i="12" a="1"/>
  <c r="I108" i="12" s="1"/>
  <c r="O325" i="12" a="1"/>
  <c r="O325" i="12" s="1"/>
  <c r="G404" i="12" a="1"/>
  <c r="G404" i="12" s="1"/>
  <c r="K151" i="12" a="1"/>
  <c r="K151" i="12" s="1"/>
  <c r="N107" i="12" a="1"/>
  <c r="N107" i="12" s="1"/>
  <c r="Q297" i="12" a="1"/>
  <c r="Q297" i="12" s="1"/>
  <c r="S255" i="12" a="1"/>
  <c r="S255" i="12" s="1"/>
  <c r="T196" i="12" a="1"/>
  <c r="T196" i="12" s="1"/>
  <c r="R100" i="12" a="1"/>
  <c r="R100" i="12" s="1"/>
  <c r="G146" i="12" a="1"/>
  <c r="G146" i="12" s="1"/>
  <c r="G37" i="12" a="1"/>
  <c r="G37" i="12" s="1"/>
  <c r="R122" i="12" a="1"/>
  <c r="R122" i="12" s="1"/>
  <c r="L146" i="12" a="1"/>
  <c r="L146" i="12" s="1"/>
  <c r="L232" i="12" a="1"/>
  <c r="L232" i="12" s="1"/>
  <c r="T232" i="12" a="1"/>
  <c r="T232" i="12" s="1"/>
  <c r="M168" i="12" a="1"/>
  <c r="M168" i="12" s="1"/>
  <c r="O188" i="12" a="1"/>
  <c r="O188" i="12" s="1"/>
  <c r="AL299" i="2" a="1"/>
  <c r="AL299" i="2" s="1"/>
  <c r="L229" i="12" a="1"/>
  <c r="L229" i="12" s="1"/>
  <c r="O229" i="12" a="1"/>
  <c r="O229" i="12" s="1"/>
  <c r="O502" i="12" a="1"/>
  <c r="O502" i="12" s="1"/>
  <c r="S383" i="12" a="1"/>
  <c r="S383" i="12" s="1"/>
  <c r="K167" i="12" a="1"/>
  <c r="K167" i="12" s="1"/>
  <c r="I123" i="12" a="1"/>
  <c r="I123" i="12" s="1"/>
  <c r="G139" i="12" a="1"/>
  <c r="G139" i="12" s="1"/>
  <c r="O432" i="12" a="1"/>
  <c r="O432" i="12" s="1"/>
  <c r="O153" i="12" a="1"/>
  <c r="O153" i="12" s="1"/>
  <c r="T422" i="12" a="1"/>
  <c r="T422" i="12" s="1"/>
  <c r="O165" i="12" a="1"/>
  <c r="O165" i="12" s="1"/>
  <c r="T112" i="12" a="1"/>
  <c r="T112" i="12" s="1"/>
  <c r="S177" i="12" a="1"/>
  <c r="S177" i="12" s="1"/>
  <c r="I283" i="12" a="1"/>
  <c r="I283" i="12" s="1"/>
  <c r="O368" i="12" a="1"/>
  <c r="O368" i="12" s="1"/>
  <c r="U202" i="2" a="1"/>
  <c r="U202" i="2" s="1"/>
  <c r="L183" i="12" a="1"/>
  <c r="L183" i="12" s="1"/>
  <c r="Q101" i="12" a="1"/>
  <c r="Q101" i="12" s="1"/>
  <c r="Q48" i="12" a="1"/>
  <c r="Q48" i="12" s="1"/>
  <c r="AR183" i="2" a="1"/>
  <c r="AR183" i="2" s="1"/>
  <c r="AQ183" i="2" a="1"/>
  <c r="AQ183" i="2" s="1"/>
  <c r="AA639" i="12" a="1"/>
  <c r="AA639" i="12" s="1"/>
  <c r="F425" i="12" a="1"/>
  <c r="F425" i="12" s="1"/>
  <c r="L73" i="12" a="1"/>
  <c r="L73" i="12" s="1"/>
  <c r="M124" i="12" a="1"/>
  <c r="M124" i="12" s="1"/>
  <c r="Q266" i="12" a="1"/>
  <c r="Q266" i="12" s="1"/>
  <c r="F216" i="12" a="1"/>
  <c r="F216" i="12" s="1"/>
  <c r="U106" i="2" a="1"/>
  <c r="U106" i="2" s="1"/>
  <c r="I202" i="12" a="1"/>
  <c r="I202" i="12" s="1"/>
  <c r="P462" i="12" a="1"/>
  <c r="P462" i="12" s="1"/>
  <c r="S462" i="12" a="1"/>
  <c r="S462" i="12" s="1"/>
  <c r="M403" i="12" a="1"/>
  <c r="M403" i="12" s="1"/>
  <c r="R403" i="12" a="1"/>
  <c r="R403" i="12" s="1"/>
  <c r="J141" i="12" a="1"/>
  <c r="J141" i="12" s="1"/>
  <c r="L154" i="12" a="1"/>
  <c r="L154" i="12" s="1"/>
  <c r="G393" i="12" a="1"/>
  <c r="G393" i="12" s="1"/>
  <c r="F427" i="12" a="1"/>
  <c r="F427" i="12" s="1"/>
  <c r="U257" i="2" a="1"/>
  <c r="U257" i="2" s="1"/>
  <c r="I145" i="12" a="1"/>
  <c r="I145" i="12" s="1"/>
  <c r="I431" i="12" a="1"/>
  <c r="I431" i="12" s="1"/>
  <c r="N299" i="12" a="1"/>
  <c r="N299" i="12" s="1"/>
  <c r="J119" i="12" a="1"/>
  <c r="J119" i="12" s="1"/>
  <c r="G296" i="12" a="1"/>
  <c r="G296" i="12" s="1"/>
  <c r="T67" i="12" a="1"/>
  <c r="T67" i="12" s="1"/>
  <c r="Q602" i="12" a="1"/>
  <c r="Q602" i="12" s="1"/>
  <c r="K250" i="12" a="1"/>
  <c r="K250" i="12" s="1"/>
  <c r="I259" i="12" a="1"/>
  <c r="I259" i="12" s="1"/>
  <c r="G89" i="12" a="1"/>
  <c r="G89" i="12" s="1"/>
  <c r="R235" i="12" a="1"/>
  <c r="R235" i="12" s="1"/>
  <c r="N583" i="12" a="1"/>
  <c r="N583" i="12" s="1"/>
  <c r="I466" i="12" a="1"/>
  <c r="I466" i="12" s="1"/>
  <c r="O175" i="12" a="1"/>
  <c r="O175" i="12" s="1"/>
  <c r="J419" i="12" a="1"/>
  <c r="J419" i="12" s="1"/>
  <c r="K458" i="12" a="1"/>
  <c r="K458" i="12" s="1"/>
  <c r="M164" i="12" a="1"/>
  <c r="M164" i="12" s="1"/>
  <c r="F366" i="12" a="1"/>
  <c r="F366" i="12" s="1"/>
  <c r="U249" i="2" a="1"/>
  <c r="U249" i="2" s="1"/>
  <c r="S366" i="12" a="1"/>
  <c r="S366" i="12" s="1"/>
  <c r="L432" i="12" a="1"/>
  <c r="L432" i="12" s="1"/>
  <c r="U234" i="2" a="1"/>
  <c r="U234" i="2" s="1"/>
  <c r="L388" i="12" a="1"/>
  <c r="L388" i="12" s="1"/>
  <c r="N358" i="12" a="1"/>
  <c r="N358" i="12" s="1"/>
  <c r="P348" i="12" a="1"/>
  <c r="P348" i="12" s="1"/>
  <c r="F117" i="12" a="1"/>
  <c r="F117" i="12" s="1"/>
  <c r="Q421" i="12" a="1"/>
  <c r="Q421" i="12" s="1"/>
  <c r="G378" i="12" a="1"/>
  <c r="G378" i="12" s="1"/>
  <c r="F296" i="12" a="1"/>
  <c r="F296" i="12" s="1"/>
  <c r="R126" i="12" a="1"/>
  <c r="R126" i="12" s="1"/>
  <c r="AB657" i="12" a="1"/>
  <c r="AB657" i="12" s="1"/>
  <c r="I528" i="12" a="1"/>
  <c r="I528" i="12" s="1"/>
  <c r="Z624" i="12" a="1"/>
  <c r="Z624" i="12" s="1"/>
  <c r="K416" i="12" a="1"/>
  <c r="K416" i="12" s="1"/>
  <c r="N414" i="12" a="1"/>
  <c r="N414" i="12" s="1"/>
  <c r="K363" i="12" a="1"/>
  <c r="K363" i="12" s="1"/>
  <c r="Q401" i="12" a="1"/>
  <c r="Q401" i="12" s="1"/>
  <c r="F358" i="12" a="1"/>
  <c r="F358" i="12" s="1"/>
  <c r="U215" i="2" a="1"/>
  <c r="U215" i="2" s="1"/>
  <c r="K92" i="12" a="1"/>
  <c r="K92" i="12" s="1"/>
  <c r="K299" i="12" a="1"/>
  <c r="K299" i="12" s="1"/>
  <c r="O106" i="12" a="1"/>
  <c r="O106" i="12" s="1"/>
  <c r="G314" i="12" a="1"/>
  <c r="G314" i="12" s="1"/>
  <c r="K124" i="12" a="1"/>
  <c r="K124" i="12" s="1"/>
  <c r="S89" i="12" a="1"/>
  <c r="S89" i="12" s="1"/>
  <c r="K74" i="12" a="1"/>
  <c r="K74" i="12" s="1"/>
  <c r="K145" i="12" a="1"/>
  <c r="K145" i="12" s="1"/>
  <c r="P125" i="12" a="1"/>
  <c r="P125" i="12" s="1"/>
  <c r="R125" i="12" a="1"/>
  <c r="R125" i="12" s="1"/>
  <c r="J266" i="12" a="1"/>
  <c r="J266" i="12" s="1"/>
  <c r="T68" i="12" a="1"/>
  <c r="T68" i="12" s="1"/>
  <c r="L105" i="12" a="1"/>
  <c r="L105" i="12" s="1"/>
  <c r="K61" i="12" a="1"/>
  <c r="K61" i="12" s="1"/>
  <c r="S148" i="12" a="1"/>
  <c r="S148" i="12" s="1"/>
  <c r="K144" i="12" a="1"/>
  <c r="K144" i="12" s="1"/>
  <c r="L18" i="12" a="1"/>
  <c r="L18" i="12" s="1"/>
  <c r="K15" i="12" a="1"/>
  <c r="K15" i="12" s="1"/>
  <c r="F13" i="12" a="1"/>
  <c r="F13" i="12" s="1"/>
  <c r="K6" i="3" a="1"/>
  <c r="K6" i="3" s="1"/>
  <c r="U18" i="2" a="1"/>
  <c r="U18" i="2" s="1"/>
  <c r="P9" i="12" a="1"/>
  <c r="P9" i="12" s="1"/>
  <c r="S3" i="12" a="1"/>
  <c r="S3" i="12" s="1"/>
  <c r="X10" i="3" a="1"/>
  <c r="X10" i="3" s="1"/>
  <c r="S146" i="12" a="1"/>
  <c r="S146" i="12" s="1"/>
  <c r="I82" i="12" a="1"/>
  <c r="I82" i="12" s="1"/>
  <c r="F148" i="12" a="1"/>
  <c r="F148" i="12" s="1"/>
  <c r="U89" i="2" a="1"/>
  <c r="U89" i="2" s="1"/>
  <c r="P76" i="12" a="1"/>
  <c r="P76" i="12" s="1"/>
  <c r="Q36" i="12" a="1"/>
  <c r="Q36" i="12" s="1"/>
  <c r="O103" i="12" a="1"/>
  <c r="O103" i="12" s="1"/>
  <c r="T113" i="12" a="1"/>
  <c r="T113" i="12" s="1"/>
  <c r="S8" i="12" a="1"/>
  <c r="S8" i="12" s="1"/>
  <c r="AA609" i="12" a="1"/>
  <c r="AA609" i="12" s="1"/>
  <c r="T12" i="12" a="1"/>
  <c r="T12" i="12" s="1"/>
  <c r="P3" i="12" a="1"/>
  <c r="P3" i="12" s="1"/>
  <c r="J113" i="12" a="1"/>
  <c r="J113" i="12" s="1"/>
  <c r="I113" i="12" a="1"/>
  <c r="I113" i="12" s="1"/>
  <c r="G345" i="12" a="1"/>
  <c r="G345" i="12" s="1"/>
  <c r="I101" i="12" a="1"/>
  <c r="I101" i="12" s="1"/>
  <c r="M143" i="12" a="1"/>
  <c r="M143" i="12" s="1"/>
  <c r="X647" i="12" a="1"/>
  <c r="X647" i="12" s="1"/>
  <c r="G64" i="12" a="1"/>
  <c r="G64" i="12" s="1"/>
  <c r="T256" i="12" a="1"/>
  <c r="T256" i="12" s="1"/>
  <c r="P60" i="12" a="1"/>
  <c r="P60" i="12" s="1"/>
  <c r="S56" i="12" a="1"/>
  <c r="S56" i="12" s="1"/>
  <c r="T116" i="12" a="1"/>
  <c r="T116" i="12" s="1"/>
  <c r="K3" i="12" a="1"/>
  <c r="K3" i="12" s="1"/>
  <c r="P10" i="3" a="1"/>
  <c r="P10" i="3" s="1"/>
  <c r="Q148" i="12" a="1"/>
  <c r="Q148" i="12" s="1"/>
  <c r="F29" i="12" a="1"/>
  <c r="F29" i="12" s="1"/>
  <c r="U42" i="2" a="1"/>
  <c r="U42" i="2" s="1"/>
  <c r="Q86" i="12" a="1"/>
  <c r="Q86" i="12" s="1"/>
  <c r="I17" i="12" a="1"/>
  <c r="I17" i="12" s="1"/>
  <c r="Q19" i="12" a="1"/>
  <c r="Q19" i="12" s="1"/>
  <c r="P116" i="12" a="1"/>
  <c r="P116" i="12" s="1"/>
  <c r="J496" i="12" a="1"/>
  <c r="J496" i="12" s="1"/>
  <c r="S496" i="12" a="1"/>
  <c r="S496" i="12" s="1"/>
  <c r="N157" i="12" a="1"/>
  <c r="N157" i="12" s="1"/>
  <c r="J423" i="12" a="1"/>
  <c r="J423" i="12" s="1"/>
  <c r="T317" i="12" a="1"/>
  <c r="T317" i="12" s="1"/>
  <c r="F259" i="12" a="1"/>
  <c r="F259" i="12" s="1"/>
  <c r="U157" i="2" a="1"/>
  <c r="U157" i="2" s="1"/>
  <c r="O256" i="12" a="1"/>
  <c r="O256" i="12" s="1"/>
  <c r="R212" i="12" a="1"/>
  <c r="R212" i="12" s="1"/>
  <c r="F292" i="12" a="1"/>
  <c r="F292" i="12" s="1"/>
  <c r="P207" i="12" a="1"/>
  <c r="P207" i="12" s="1"/>
  <c r="K264" i="12" a="1"/>
  <c r="K264" i="12" s="1"/>
  <c r="G333" i="12" a="1"/>
  <c r="G333" i="12" s="1"/>
  <c r="Q28" i="12" a="1"/>
  <c r="Q28" i="12" s="1"/>
  <c r="R68" i="12" a="1"/>
  <c r="R68" i="12" s="1"/>
  <c r="T69" i="12" a="1"/>
  <c r="T69" i="12" s="1"/>
  <c r="Q54" i="12" a="1"/>
  <c r="Q54" i="12" s="1"/>
  <c r="S305" i="12" a="1"/>
  <c r="S305" i="12" s="1"/>
  <c r="O178" i="12" a="1"/>
  <c r="O178" i="12" s="1"/>
  <c r="L35" i="12" a="1"/>
  <c r="L35" i="12" s="1"/>
  <c r="L122" i="12" a="1"/>
  <c r="L122" i="12" s="1"/>
  <c r="O191" i="12" a="1"/>
  <c r="O191" i="12" s="1"/>
  <c r="L17" i="12" a="1"/>
  <c r="L17" i="12" s="1"/>
  <c r="G9" i="12" a="1"/>
  <c r="G9" i="12" s="1"/>
  <c r="I3" i="12" a="1"/>
  <c r="I3" i="12" s="1"/>
  <c r="Z611" i="12" a="1"/>
  <c r="Z611" i="12" s="1"/>
  <c r="T140" i="12" a="1"/>
  <c r="T140" i="12" s="1"/>
  <c r="L70" i="12" a="1"/>
  <c r="L70" i="12" s="1"/>
  <c r="R104" i="12" a="1"/>
  <c r="R104" i="12" s="1"/>
  <c r="O46" i="12" a="1"/>
  <c r="O46" i="12" s="1"/>
  <c r="G85" i="12" a="1"/>
  <c r="G85" i="12" s="1"/>
  <c r="G201" i="12" a="1"/>
  <c r="G201" i="12" s="1"/>
  <c r="Z621" i="12" a="1"/>
  <c r="Z621" i="12" s="1"/>
  <c r="P14" i="12" a="1"/>
  <c r="P14" i="12" s="1"/>
  <c r="S12" i="12" a="1"/>
  <c r="S12" i="12" s="1"/>
  <c r="J20" i="12" a="1"/>
  <c r="J20" i="12" s="1"/>
  <c r="P26" i="12" a="1"/>
  <c r="P26" i="12" s="1"/>
  <c r="AB639" i="12" a="1"/>
  <c r="AB639" i="12" s="1"/>
  <c r="N88" i="12" a="1"/>
  <c r="N88" i="12" s="1"/>
  <c r="T96" i="12" a="1"/>
  <c r="T96" i="12" s="1"/>
  <c r="S292" i="12" a="1"/>
  <c r="S292" i="12" s="1"/>
  <c r="S201" i="12" a="1"/>
  <c r="S201" i="12" s="1"/>
  <c r="N74" i="12" a="1"/>
  <c r="N74" i="12" s="1"/>
  <c r="M66" i="12" a="1"/>
  <c r="M66" i="12" s="1"/>
  <c r="G174" i="12" a="1"/>
  <c r="G174" i="12" s="1"/>
  <c r="S16" i="12" a="1"/>
  <c r="S16" i="12" s="1"/>
  <c r="AQ63" i="2" a="1"/>
  <c r="AQ63" i="2" s="1"/>
  <c r="AR63" i="2" a="1"/>
  <c r="AR63" i="2" s="1"/>
  <c r="O5" i="12" a="1"/>
  <c r="O5" i="12" s="1"/>
  <c r="R84" i="12" a="1"/>
  <c r="R84" i="12" s="1"/>
  <c r="J253" i="12" a="1"/>
  <c r="J253" i="12" s="1"/>
  <c r="O28" i="12" a="1"/>
  <c r="O28" i="12" s="1"/>
  <c r="P64" i="12" a="1"/>
  <c r="P64" i="12" s="1"/>
  <c r="M146" i="12" a="1"/>
  <c r="M146" i="12" s="1"/>
  <c r="M69" i="12" a="1"/>
  <c r="M69" i="12" s="1"/>
  <c r="R201" i="12" a="1"/>
  <c r="R201" i="12" s="1"/>
  <c r="L166" i="12" a="1"/>
  <c r="L166" i="12" s="1"/>
  <c r="M30" i="12" a="1"/>
  <c r="M30" i="12" s="1"/>
  <c r="R332" i="12" a="1"/>
  <c r="R332" i="12" s="1"/>
  <c r="K379" i="12" a="1"/>
  <c r="K379" i="12" s="1"/>
  <c r="P365" i="12" a="1"/>
  <c r="P365" i="12" s="1"/>
  <c r="J183" i="12" a="1"/>
  <c r="J183" i="12" s="1"/>
  <c r="O133" i="12" a="1"/>
  <c r="O133" i="12" s="1"/>
  <c r="M330" i="12" a="1"/>
  <c r="M330" i="12" s="1"/>
  <c r="S81" i="12" a="1"/>
  <c r="S81" i="12" s="1"/>
  <c r="M89" i="12" a="1"/>
  <c r="M89" i="12" s="1"/>
  <c r="M382" i="12" a="1"/>
  <c r="M382" i="12" s="1"/>
  <c r="R90" i="12" a="1"/>
  <c r="R90" i="12" s="1"/>
  <c r="P58" i="12" a="1"/>
  <c r="P58" i="12" s="1"/>
  <c r="K201" i="12" a="1"/>
  <c r="K201" i="12" s="1"/>
  <c r="AR97" i="2" a="1"/>
  <c r="AR97" i="2" s="1"/>
  <c r="AQ97" i="2" a="1"/>
  <c r="AQ97" i="2" s="1"/>
  <c r="T178" i="12" a="1"/>
  <c r="T178" i="12" s="1"/>
  <c r="G24" i="12" a="1"/>
  <c r="G24" i="12" s="1"/>
  <c r="J157" i="12" a="1"/>
  <c r="J157" i="12" s="1"/>
  <c r="K312" i="12" a="1"/>
  <c r="K312" i="12" s="1"/>
  <c r="F105" i="12" a="1"/>
  <c r="F105" i="12" s="1"/>
  <c r="U120" i="2" a="1"/>
  <c r="U120" i="2" s="1"/>
  <c r="T85" i="12" a="1"/>
  <c r="T85" i="12" s="1"/>
  <c r="N78" i="12" a="1"/>
  <c r="N78" i="12" s="1"/>
  <c r="N174" i="12" a="1"/>
  <c r="N174" i="12" s="1"/>
  <c r="N75" i="12" a="1"/>
  <c r="N75" i="12" s="1"/>
  <c r="G43" i="12" a="1"/>
  <c r="G43" i="12" s="1"/>
  <c r="P52" i="12" a="1"/>
  <c r="P52" i="12" s="1"/>
  <c r="K191" i="12" a="1"/>
  <c r="K191" i="12" s="1"/>
  <c r="G5" i="12" a="1"/>
  <c r="G5" i="12" s="1"/>
  <c r="K113" i="12" a="1"/>
  <c r="K113" i="12" s="1"/>
  <c r="N144" i="12" a="1"/>
  <c r="N144" i="12" s="1"/>
  <c r="T309" i="12" a="1"/>
  <c r="T309" i="12" s="1"/>
  <c r="I279" i="12" a="1"/>
  <c r="I279" i="12" s="1"/>
  <c r="P279" i="12" a="1"/>
  <c r="P279" i="12" s="1"/>
  <c r="O196" i="12" a="1"/>
  <c r="O196" i="12" s="1"/>
  <c r="T93" i="12" a="1"/>
  <c r="T93" i="12" s="1"/>
  <c r="I66" i="12" a="1"/>
  <c r="I66" i="12" s="1"/>
  <c r="Q27" i="12" a="1"/>
  <c r="Q27" i="12" s="1"/>
  <c r="I23" i="12" a="1"/>
  <c r="I23" i="12" s="1"/>
  <c r="F7" i="12" a="1"/>
  <c r="F7" i="12" s="1"/>
  <c r="U10" i="2" a="1"/>
  <c r="U10" i="2" s="1"/>
  <c r="L3" i="12" a="1"/>
  <c r="L3" i="12" s="1"/>
  <c r="Q10" i="3" a="1"/>
  <c r="Q10" i="3" s="1"/>
  <c r="O35" i="12" a="1"/>
  <c r="O35" i="12" s="1"/>
  <c r="R52" i="12" a="1"/>
  <c r="R52" i="12" s="1"/>
  <c r="F21" i="12" a="1"/>
  <c r="F21" i="12" s="1"/>
  <c r="U60" i="2" a="1"/>
  <c r="U60" i="2" s="1"/>
  <c r="N47" i="12" a="1"/>
  <c r="N47" i="12" s="1"/>
  <c r="N166" i="12" a="1"/>
  <c r="N166" i="12" s="1"/>
  <c r="F16" i="12" a="1"/>
  <c r="F16" i="12" s="1"/>
  <c r="U7" i="2" a="1"/>
  <c r="U7" i="2" s="1"/>
  <c r="R2" i="12" a="1"/>
  <c r="R2" i="12" s="1"/>
  <c r="W2" i="3" a="1"/>
  <c r="W2" i="3" s="1"/>
  <c r="P77" i="12" a="1"/>
  <c r="P77" i="12" s="1"/>
  <c r="L24" i="12" a="1"/>
  <c r="L24" i="12" s="1"/>
  <c r="P10" i="12" a="1"/>
  <c r="P10" i="12" s="1"/>
  <c r="L58" i="12" a="1"/>
  <c r="L58" i="12" s="1"/>
  <c r="S75" i="12" a="1"/>
  <c r="S75" i="12" s="1"/>
  <c r="S41" i="12" a="1"/>
  <c r="S41" i="12" s="1"/>
  <c r="AA625" i="12" a="1"/>
  <c r="AA625" i="12" s="1"/>
  <c r="T15" i="12" a="1"/>
  <c r="T15" i="12" s="1"/>
  <c r="O45" i="12" a="1"/>
  <c r="O45" i="12" s="1"/>
  <c r="G8" i="12" a="1"/>
  <c r="G8" i="12" s="1"/>
  <c r="R31" i="12" a="1"/>
  <c r="R31" i="12" s="1"/>
  <c r="P61" i="12" a="1"/>
  <c r="P61" i="12" s="1"/>
  <c r="O129" i="12" a="1"/>
  <c r="O129" i="12" s="1"/>
  <c r="K184" i="12" a="1"/>
  <c r="K184" i="12" s="1"/>
  <c r="P59" i="12" a="1"/>
  <c r="P59" i="12" s="1"/>
  <c r="K118" i="12" a="1"/>
  <c r="K118" i="12" s="1"/>
  <c r="I118" i="12" a="1"/>
  <c r="I118" i="12" s="1"/>
  <c r="O22" i="12" a="1"/>
  <c r="O22" i="12" s="1"/>
  <c r="O42" i="12" a="1"/>
  <c r="O42" i="12" s="1"/>
  <c r="R42" i="12" a="1"/>
  <c r="R42" i="12" s="1"/>
  <c r="S23" i="12" a="1"/>
  <c r="S23" i="12" s="1"/>
  <c r="M80" i="12" a="1"/>
  <c r="M80" i="12" s="1"/>
  <c r="P19" i="12" a="1"/>
  <c r="P19" i="12" s="1"/>
  <c r="K5" i="12" a="1"/>
  <c r="K5" i="12" s="1"/>
  <c r="O62" i="12" a="1"/>
  <c r="O62" i="12" s="1"/>
  <c r="T62" i="12" a="1"/>
  <c r="T62" i="12" s="1"/>
  <c r="S37" i="12" a="1"/>
  <c r="S37" i="12" s="1"/>
  <c r="AB671" i="12" a="1"/>
  <c r="AB671" i="12" s="1"/>
  <c r="G34" i="12" a="1"/>
  <c r="G34" i="12" s="1"/>
  <c r="U32" i="2" a="1"/>
  <c r="U32" i="2" s="1"/>
  <c r="L66" i="12" a="1"/>
  <c r="L66" i="12" s="1"/>
  <c r="N57" i="12" a="1"/>
  <c r="N57" i="12" s="1"/>
  <c r="J18" i="12" a="1"/>
  <c r="J18" i="12" s="1"/>
  <c r="J90" i="12" a="1"/>
  <c r="J90" i="12" s="1"/>
  <c r="J53" i="12" a="1"/>
  <c r="J53" i="12" s="1"/>
  <c r="K53" i="12" a="1"/>
  <c r="K53" i="12" s="1"/>
  <c r="R49" i="12" a="1"/>
  <c r="R49" i="12" s="1"/>
  <c r="S49" i="12" a="1"/>
  <c r="S49" i="12" s="1"/>
  <c r="L63" i="12" a="1"/>
  <c r="L63" i="12" s="1"/>
  <c r="N63" i="12" a="1"/>
  <c r="N63" i="12" s="1"/>
  <c r="F11" i="12" a="1"/>
  <c r="F11" i="12" s="1"/>
  <c r="U27" i="2" a="1"/>
  <c r="U27" i="2" s="1"/>
  <c r="K79" i="12" a="1"/>
  <c r="K79" i="12" s="1"/>
  <c r="I178" i="12" a="1"/>
  <c r="I178" i="12" s="1"/>
  <c r="O200" i="12" a="1"/>
  <c r="O200" i="12" s="1"/>
  <c r="S200" i="12" a="1"/>
  <c r="S200" i="12" s="1"/>
  <c r="O33" i="12" a="1"/>
  <c r="O33" i="12" s="1"/>
  <c r="R189" i="12" a="1"/>
  <c r="R189" i="12" s="1"/>
  <c r="P189" i="12" a="1"/>
  <c r="P189" i="12" s="1"/>
  <c r="S38" i="12" a="1"/>
  <c r="S38" i="12" s="1"/>
  <c r="I74" i="12" a="1"/>
  <c r="I74" i="12" s="1"/>
  <c r="M76" i="12" a="1"/>
  <c r="M76" i="12" s="1"/>
  <c r="U56" i="2" a="1"/>
  <c r="U56" i="2" s="1"/>
  <c r="S24" i="12" a="1"/>
  <c r="S24" i="12" s="1"/>
  <c r="I157" i="2" l="1"/>
  <c r="I31" i="2"/>
  <c r="I257" i="2"/>
  <c r="I418" i="2"/>
  <c r="I277" i="2"/>
  <c r="I203" i="2"/>
  <c r="I513" i="2"/>
  <c r="AD614" i="12" a="1"/>
  <c r="AD614" i="12" s="1"/>
  <c r="AD668" i="12" a="1"/>
  <c r="AD668" i="12" s="1"/>
  <c r="H497" i="12" a="1"/>
  <c r="H497" i="12" s="1"/>
  <c r="C497" i="12" s="1" a="1"/>
  <c r="C497" i="12" s="1"/>
  <c r="I304" i="2" s="1"/>
  <c r="AD652" i="12" a="1"/>
  <c r="AD652" i="12" s="1"/>
  <c r="AD640" i="12" a="1"/>
  <c r="AD640" i="12" s="1"/>
  <c r="Y663" i="12" a="1"/>
  <c r="Y663" i="12" s="1"/>
  <c r="H562" i="12" a="1"/>
  <c r="H562" i="12" s="1"/>
  <c r="C562" i="12" s="1" a="1"/>
  <c r="C562" i="12" s="1"/>
  <c r="I361" i="2" s="1"/>
  <c r="AC641" i="12" a="1"/>
  <c r="AC641" i="12" s="1"/>
  <c r="H259" i="12" a="1"/>
  <c r="H259" i="12" s="1"/>
  <c r="AD632" i="12" a="1"/>
  <c r="AD632" i="12" s="1"/>
  <c r="Y615" i="12" a="1"/>
  <c r="Y615" i="12" s="1"/>
  <c r="H292" i="12" a="1"/>
  <c r="H292" i="12" s="1"/>
  <c r="C292" i="12" s="1" a="1"/>
  <c r="C292" i="12" s="1"/>
  <c r="I119" i="2" s="1"/>
  <c r="AD639" i="12" a="1"/>
  <c r="AD639" i="12" s="1"/>
  <c r="AC643" i="12" a="1"/>
  <c r="AC643" i="12" s="1"/>
  <c r="H303" i="12" a="1"/>
  <c r="H303" i="12" s="1"/>
  <c r="C303" i="12" s="1" a="1"/>
  <c r="C303" i="12" s="1"/>
  <c r="I547" i="2" s="1"/>
  <c r="AC634" i="12" a="1"/>
  <c r="AC634" i="12" s="1"/>
  <c r="Y621" i="12" a="1"/>
  <c r="Y621" i="12" s="1"/>
  <c r="O22" i="3" a="1"/>
  <c r="O22" i="3" s="1"/>
  <c r="C259" i="12" a="1"/>
  <c r="C259" i="12" s="1"/>
  <c r="I51" i="8" s="1" a="1"/>
  <c r="I51" i="8" s="1"/>
  <c r="W22" i="3" a="1"/>
  <c r="W22" i="3" s="1"/>
  <c r="Y22" i="3" a="1"/>
  <c r="Y22" i="3" s="1"/>
  <c r="Q22" i="3" a="1"/>
  <c r="Q22" i="3" s="1"/>
  <c r="H73" i="12" a="1"/>
  <c r="H73" i="12" s="1"/>
  <c r="C73" i="12" s="1" a="1"/>
  <c r="C73" i="12" s="1"/>
  <c r="I152" i="2" s="1"/>
  <c r="Y639" i="12" a="1"/>
  <c r="Y639" i="12" s="1"/>
  <c r="AC640" i="12" a="1"/>
  <c r="AC640" i="12" s="1"/>
  <c r="H404" i="12" a="1"/>
  <c r="H404" i="12" s="1"/>
  <c r="C404" i="12" s="1" a="1"/>
  <c r="C404" i="12" s="1"/>
  <c r="I82" i="8" s="1" a="1"/>
  <c r="I82" i="8" s="1"/>
  <c r="H332" i="12" a="1"/>
  <c r="H332" i="12" s="1"/>
  <c r="C332" i="12" s="1" a="1"/>
  <c r="C332" i="12" s="1"/>
  <c r="I250" i="2" s="1"/>
  <c r="H29" i="12" a="1"/>
  <c r="H29" i="12" s="1"/>
  <c r="C29" i="12" s="1" a="1"/>
  <c r="C29" i="12" s="1"/>
  <c r="I42" i="2" s="1"/>
  <c r="H372" i="12" a="1"/>
  <c r="H372" i="12" s="1"/>
  <c r="C372" i="12" s="1" a="1"/>
  <c r="C372" i="12" s="1"/>
  <c r="I100" i="8" s="1" a="1"/>
  <c r="I100" i="8" s="1"/>
  <c r="H138" i="12" a="1"/>
  <c r="H138" i="12" s="1"/>
  <c r="C138" i="12" s="1" a="1"/>
  <c r="C138" i="12" s="1"/>
  <c r="I229" i="2" s="1"/>
  <c r="H419" i="12" a="1"/>
  <c r="H419" i="12" s="1"/>
  <c r="C419" i="12" s="1" a="1"/>
  <c r="C419" i="12" s="1"/>
  <c r="I112" i="8" s="1" a="1"/>
  <c r="I112" i="8" s="1"/>
  <c r="H273" i="12" a="1"/>
  <c r="H273" i="12" s="1"/>
  <c r="C273" i="12" s="1" a="1"/>
  <c r="C273" i="12" s="1"/>
  <c r="I407" i="2" s="1"/>
  <c r="H103" i="12" a="1"/>
  <c r="H103" i="12" s="1"/>
  <c r="C103" i="12" s="1" a="1"/>
  <c r="C103" i="12" s="1"/>
  <c r="I14" i="8" s="1" a="1"/>
  <c r="I14" i="8" s="1"/>
  <c r="H134" i="12" a="1"/>
  <c r="H134" i="12" s="1"/>
  <c r="C134" i="12" s="1" a="1"/>
  <c r="C134" i="12" s="1"/>
  <c r="I15" i="8" s="1" a="1"/>
  <c r="I15" i="8" s="1"/>
  <c r="Y633" i="12" a="1"/>
  <c r="Y633" i="12" s="1"/>
  <c r="H18" i="12" a="1"/>
  <c r="H18" i="12" s="1"/>
  <c r="C18" i="12" s="1" a="1"/>
  <c r="C18" i="12" s="1"/>
  <c r="I54" i="2" s="1"/>
  <c r="H13" i="12" a="1"/>
  <c r="H13" i="12" s="1"/>
  <c r="C13" i="12" s="1" a="1"/>
  <c r="C13" i="12" s="1"/>
  <c r="I18" i="2" s="1"/>
  <c r="M6" i="3" a="1"/>
  <c r="M6" i="3" s="1"/>
  <c r="H427" i="12" a="1"/>
  <c r="H427" i="12" s="1"/>
  <c r="C427" i="12" s="1" a="1"/>
  <c r="C427" i="12" s="1"/>
  <c r="I101" i="8" s="1" a="1"/>
  <c r="I101" i="8" s="1"/>
  <c r="AD655" i="12" a="1"/>
  <c r="AD655" i="12" s="1"/>
  <c r="H387" i="12" a="1"/>
  <c r="H387" i="12" s="1"/>
  <c r="C387" i="12" s="1" a="1"/>
  <c r="C387" i="12" s="1"/>
  <c r="I72" i="8" s="1" a="1"/>
  <c r="I72" i="8" s="1"/>
  <c r="H172" i="12" a="1"/>
  <c r="H172" i="12" s="1"/>
  <c r="C172" i="12" s="1" a="1"/>
  <c r="C172" i="12" s="1"/>
  <c r="I374" i="2" s="1"/>
  <c r="AC627" i="12" a="1"/>
  <c r="AC627" i="12" s="1"/>
  <c r="H28" i="12" a="1"/>
  <c r="H28" i="12" s="1"/>
  <c r="C28" i="12" s="1" a="1"/>
  <c r="C28" i="12" s="1"/>
  <c r="I132" i="2" s="1"/>
  <c r="H603" i="12" a="1"/>
  <c r="H603" i="12" s="1"/>
  <c r="C603" i="12" s="1" a="1"/>
  <c r="C603" i="12" s="1"/>
  <c r="I293" i="2" s="1"/>
  <c r="H540" i="12" a="1"/>
  <c r="H540" i="12" s="1"/>
  <c r="C540" i="12" s="1" a="1"/>
  <c r="C540" i="12" s="1"/>
  <c r="I148" i="8" s="1" a="1"/>
  <c r="I148" i="8" s="1"/>
  <c r="H397" i="12" a="1"/>
  <c r="H397" i="12" s="1"/>
  <c r="C397" i="12" s="1" a="1"/>
  <c r="C397" i="12" s="1"/>
  <c r="I120" i="8" s="1" a="1"/>
  <c r="I120" i="8" s="1"/>
  <c r="H564" i="12" a="1"/>
  <c r="H564" i="12" s="1"/>
  <c r="C564" i="12" s="1" a="1"/>
  <c r="C564" i="12" s="1"/>
  <c r="I168" i="8" s="1" a="1"/>
  <c r="I168" i="8" s="1"/>
  <c r="H575" i="12" a="1"/>
  <c r="H575" i="12" s="1"/>
  <c r="C575" i="12" s="1" a="1"/>
  <c r="C575" i="12" s="1"/>
  <c r="I197" i="8" s="1" a="1"/>
  <c r="I197" i="8" s="1"/>
  <c r="AD615" i="12" a="1"/>
  <c r="AD615" i="12" s="1"/>
  <c r="Y649" i="12" a="1"/>
  <c r="Y649" i="12" s="1"/>
  <c r="Y667" i="12" a="1"/>
  <c r="Y667" i="12" s="1"/>
  <c r="H504" i="12" a="1"/>
  <c r="H504" i="12" s="1"/>
  <c r="C504" i="12" s="1" a="1"/>
  <c r="C504" i="12" s="1"/>
  <c r="I142" i="8" s="1" a="1"/>
  <c r="I142" i="8" s="1"/>
  <c r="AD671" i="12" a="1"/>
  <c r="AD671" i="12" s="1"/>
  <c r="H14" i="12" a="1"/>
  <c r="H14" i="12" s="1"/>
  <c r="C14" i="12" s="1" a="1"/>
  <c r="C14" i="12" s="1"/>
  <c r="I55" i="2" s="1"/>
  <c r="H125" i="12" a="1"/>
  <c r="H125" i="12" s="1"/>
  <c r="C125" i="12" s="1" a="1"/>
  <c r="C125" i="12" s="1"/>
  <c r="I206" i="2" s="1"/>
  <c r="H115" i="12" a="1"/>
  <c r="H115" i="12" s="1"/>
  <c r="C115" i="12" s="1" a="1"/>
  <c r="C115" i="12" s="1"/>
  <c r="I208" i="2" s="1"/>
  <c r="H221" i="12" a="1"/>
  <c r="H221" i="12" s="1"/>
  <c r="C221" i="12" s="1" a="1"/>
  <c r="C221" i="12" s="1"/>
  <c r="Y619" i="12" a="1"/>
  <c r="Y619" i="12" s="1"/>
  <c r="AD621" i="12" a="1"/>
  <c r="AD621" i="12" s="1"/>
  <c r="H123" i="12" a="1"/>
  <c r="H123" i="12" s="1"/>
  <c r="C123" i="12" s="1" a="1"/>
  <c r="C123" i="12" s="1"/>
  <c r="I247" i="2" s="1"/>
  <c r="H48" i="12" a="1"/>
  <c r="H48" i="12" s="1"/>
  <c r="C48" i="12" s="1" a="1"/>
  <c r="C48" i="12" s="1"/>
  <c r="Y613" i="12" a="1"/>
  <c r="Y613" i="12" s="1"/>
  <c r="H558" i="12" a="1"/>
  <c r="H558" i="12" s="1"/>
  <c r="C558" i="12" s="1" a="1"/>
  <c r="C558" i="12" s="1"/>
  <c r="I286" i="2" s="1"/>
  <c r="H582" i="12" a="1"/>
  <c r="H582" i="12" s="1"/>
  <c r="C582" i="12" s="1" a="1"/>
  <c r="C582" i="12" s="1"/>
  <c r="I175" i="8" s="1" a="1"/>
  <c r="I175" i="8" s="1"/>
  <c r="H557" i="12" a="1"/>
  <c r="H557" i="12" s="1"/>
  <c r="C557" i="12" s="1" a="1"/>
  <c r="C557" i="12" s="1"/>
  <c r="I461" i="2" s="1"/>
  <c r="AC665" i="12" a="1"/>
  <c r="AC665" i="12" s="1"/>
  <c r="H55" i="12" a="1"/>
  <c r="H55" i="12" s="1"/>
  <c r="C55" i="12" s="1" a="1"/>
  <c r="C55" i="12" s="1"/>
  <c r="I85" i="2" s="1"/>
  <c r="AD651" i="12" a="1"/>
  <c r="AD651" i="12" s="1"/>
  <c r="AD653" i="12" a="1"/>
  <c r="AD653" i="12" s="1"/>
  <c r="H176" i="12" a="1"/>
  <c r="H176" i="12" s="1"/>
  <c r="C176" i="12" s="1" a="1"/>
  <c r="C176" i="12" s="1"/>
  <c r="I305" i="2" s="1"/>
  <c r="AC636" i="12" a="1"/>
  <c r="AC636" i="12" s="1"/>
  <c r="AC631" i="12" a="1"/>
  <c r="AC631" i="12" s="1"/>
  <c r="Y671" i="12" a="1"/>
  <c r="Y671" i="12" s="1"/>
  <c r="H112" i="12" a="1"/>
  <c r="H112" i="12" s="1"/>
  <c r="C112" i="12" s="1" a="1"/>
  <c r="C112" i="12" s="1"/>
  <c r="I222" i="2" s="1"/>
  <c r="H227" i="12" a="1"/>
  <c r="H227" i="12" s="1"/>
  <c r="C227" i="12" s="1" a="1"/>
  <c r="C227" i="12" s="1"/>
  <c r="I344" i="2" s="1"/>
  <c r="H57" i="12" a="1"/>
  <c r="H57" i="12" s="1"/>
  <c r="C57" i="12" s="1" a="1"/>
  <c r="C57" i="12" s="1"/>
  <c r="I95" i="2" s="1"/>
  <c r="H166" i="12" a="1"/>
  <c r="H166" i="12" s="1"/>
  <c r="C166" i="12" s="1" a="1"/>
  <c r="C166" i="12" s="1"/>
  <c r="I74" i="2" s="1"/>
  <c r="H101" i="12" a="1"/>
  <c r="H101" i="12" s="1"/>
  <c r="C101" i="12" s="1" a="1"/>
  <c r="C101" i="12" s="1"/>
  <c r="I193" i="2" s="1"/>
  <c r="H335" i="12" a="1"/>
  <c r="H335" i="12" s="1"/>
  <c r="C335" i="12" s="1" a="1"/>
  <c r="C335" i="12" s="1"/>
  <c r="I196" i="2" s="1"/>
  <c r="AC624" i="12" a="1"/>
  <c r="AC624" i="12" s="1"/>
  <c r="H508" i="12" a="1"/>
  <c r="H508" i="12" s="1"/>
  <c r="C508" i="12" s="1" a="1"/>
  <c r="C508" i="12" s="1"/>
  <c r="I145" i="8" s="1" a="1"/>
  <c r="I145" i="8" s="1"/>
  <c r="AC625" i="12" a="1"/>
  <c r="AC625" i="12" s="1"/>
  <c r="K22" i="3" a="1"/>
  <c r="K22" i="3" s="1"/>
  <c r="H151" i="12" a="1"/>
  <c r="H151" i="12" s="1"/>
  <c r="C151" i="12" s="1" a="1"/>
  <c r="C151" i="12" s="1"/>
  <c r="I217" i="2" s="1"/>
  <c r="Y637" i="12" a="1"/>
  <c r="Y637" i="12" s="1"/>
  <c r="H197" i="12" a="1"/>
  <c r="H197" i="12" s="1"/>
  <c r="C197" i="12" s="1" a="1"/>
  <c r="C197" i="12" s="1"/>
  <c r="I357" i="2" s="1"/>
  <c r="H492" i="12" a="1"/>
  <c r="H492" i="12" s="1"/>
  <c r="C492" i="12" s="1" a="1"/>
  <c r="C492" i="12" s="1"/>
  <c r="I281" i="2" s="1"/>
  <c r="Y634" i="12" a="1"/>
  <c r="Y634" i="12" s="1"/>
  <c r="H585" i="12" a="1"/>
  <c r="H585" i="12" s="1"/>
  <c r="C585" i="12" s="1" a="1"/>
  <c r="C585" i="12" s="1"/>
  <c r="I384" i="2" s="1"/>
  <c r="H510" i="12" a="1"/>
  <c r="H510" i="12" s="1"/>
  <c r="C510" i="12" s="1" a="1"/>
  <c r="C510" i="12" s="1"/>
  <c r="I173" i="8" s="1" a="1"/>
  <c r="I173" i="8" s="1"/>
  <c r="AC610" i="12" a="1"/>
  <c r="AC610" i="12" s="1"/>
  <c r="H524" i="12" a="1"/>
  <c r="H524" i="12" s="1"/>
  <c r="C524" i="12" s="1" a="1"/>
  <c r="C524" i="12" s="1"/>
  <c r="I610" i="2" s="1"/>
  <c r="H569" i="12" a="1"/>
  <c r="H569" i="12" s="1"/>
  <c r="C569" i="12" s="1" a="1"/>
  <c r="C569" i="12" s="1"/>
  <c r="I635" i="2" s="1"/>
  <c r="H367" i="12" a="1"/>
  <c r="H367" i="12" s="1"/>
  <c r="C367" i="12" s="1" a="1"/>
  <c r="C367" i="12" s="1"/>
  <c r="AC642" i="12" a="1"/>
  <c r="AC642" i="12" s="1"/>
  <c r="H27" i="12" a="1"/>
  <c r="H27" i="12" s="1"/>
  <c r="C27" i="12" s="1" a="1"/>
  <c r="C27" i="12" s="1"/>
  <c r="I48" i="2" s="1"/>
  <c r="H467" i="12" a="1"/>
  <c r="H467" i="12" s="1"/>
  <c r="C467" i="12" s="1" a="1"/>
  <c r="C467" i="12" s="1"/>
  <c r="I654" i="2" s="1"/>
  <c r="H578" i="12" a="1"/>
  <c r="H578" i="12" s="1"/>
  <c r="C578" i="12" s="1" a="1"/>
  <c r="C578" i="12" s="1"/>
  <c r="I666" i="2" s="1"/>
  <c r="H433" i="12" a="1"/>
  <c r="H433" i="12" s="1"/>
  <c r="C433" i="12" s="1" a="1"/>
  <c r="C433" i="12" s="1"/>
  <c r="I594" i="2" s="1"/>
  <c r="Y648" i="12" a="1"/>
  <c r="Y648" i="12" s="1"/>
  <c r="H307" i="12" a="1"/>
  <c r="H307" i="12" s="1"/>
  <c r="C307" i="12" s="1" a="1"/>
  <c r="C307" i="12" s="1"/>
  <c r="I519" i="2" s="1"/>
  <c r="H339" i="12" a="1"/>
  <c r="H339" i="12" s="1"/>
  <c r="C339" i="12" s="1" a="1"/>
  <c r="C339" i="12" s="1"/>
  <c r="I533" i="2" s="1"/>
  <c r="H480" i="12" a="1"/>
  <c r="H480" i="12" s="1"/>
  <c r="C480" i="12" s="1" a="1"/>
  <c r="C480" i="12" s="1"/>
  <c r="I599" i="2" s="1"/>
  <c r="H258" i="12" a="1"/>
  <c r="H258" i="12" s="1"/>
  <c r="C258" i="12" s="1" a="1"/>
  <c r="C258" i="12" s="1"/>
  <c r="I460" i="2" s="1"/>
  <c r="H544" i="12" a="1"/>
  <c r="H544" i="12" s="1"/>
  <c r="C544" i="12" s="1" a="1"/>
  <c r="C544" i="12" s="1"/>
  <c r="I655" i="2" s="1"/>
  <c r="H147" i="12" a="1"/>
  <c r="H147" i="12" s="1"/>
  <c r="C147" i="12" s="1" a="1"/>
  <c r="C147" i="12" s="1"/>
  <c r="I326" i="2" s="1"/>
  <c r="H483" i="12" a="1"/>
  <c r="H483" i="12" s="1"/>
  <c r="C483" i="12" s="1" a="1"/>
  <c r="C483" i="12" s="1"/>
  <c r="I181" i="8" s="1" a="1"/>
  <c r="I181" i="8" s="1"/>
  <c r="H468" i="12" a="1"/>
  <c r="H468" i="12" s="1"/>
  <c r="C468" i="12" s="1" a="1"/>
  <c r="C468" i="12" s="1"/>
  <c r="I565" i="2" s="1"/>
  <c r="H322" i="12" a="1"/>
  <c r="H322" i="12" s="1"/>
  <c r="C322" i="12" s="1" a="1"/>
  <c r="C322" i="12" s="1"/>
  <c r="I554" i="2" s="1"/>
  <c r="H536" i="12" a="1"/>
  <c r="H536" i="12" s="1"/>
  <c r="C536" i="12" s="1" a="1"/>
  <c r="C536" i="12" s="1"/>
  <c r="I196" i="8" s="1" a="1"/>
  <c r="I196" i="8" s="1"/>
  <c r="H362" i="12" a="1"/>
  <c r="H362" i="12" s="1"/>
  <c r="C362" i="12" s="1" a="1"/>
  <c r="C362" i="12" s="1"/>
  <c r="I514" i="2" s="1"/>
  <c r="H405" i="12" a="1"/>
  <c r="H405" i="12" s="1"/>
  <c r="C405" i="12" s="1" a="1"/>
  <c r="C405" i="12" s="1"/>
  <c r="I536" i="2" s="1"/>
  <c r="AC652" i="12" a="1"/>
  <c r="AC652" i="12" s="1"/>
  <c r="Y628" i="12" a="1"/>
  <c r="Y628" i="12" s="1"/>
  <c r="H548" i="12" a="1"/>
  <c r="H548" i="12" s="1"/>
  <c r="C548" i="12" s="1" a="1"/>
  <c r="C548" i="12" s="1"/>
  <c r="H342" i="12" a="1"/>
  <c r="H342" i="12" s="1"/>
  <c r="C342" i="12" s="1" a="1"/>
  <c r="C342" i="12" s="1"/>
  <c r="H267" i="12" a="1"/>
  <c r="H267" i="12" s="1"/>
  <c r="C267" i="12" s="1" a="1"/>
  <c r="C267" i="12" s="1"/>
  <c r="I399" i="2" s="1"/>
  <c r="H10" i="12" a="1"/>
  <c r="H10" i="12" s="1"/>
  <c r="C10" i="12" s="1" a="1"/>
  <c r="C10" i="12" s="1"/>
  <c r="I21" i="2" s="1"/>
  <c r="H382" i="12" a="1"/>
  <c r="H382" i="12" s="1"/>
  <c r="C382" i="12" s="1" a="1"/>
  <c r="C382" i="12" s="1"/>
  <c r="I46" i="8" s="1" a="1"/>
  <c r="I46" i="8" s="1"/>
  <c r="H167" i="12" a="1"/>
  <c r="H167" i="12" s="1"/>
  <c r="C167" i="12" s="1" a="1"/>
  <c r="C167" i="12" s="1"/>
  <c r="I261" i="2" s="1"/>
  <c r="H583" i="12" a="1"/>
  <c r="H583" i="12" s="1"/>
  <c r="C583" i="12" s="1" a="1"/>
  <c r="C583" i="12" s="1"/>
  <c r="I128" i="8" s="1" a="1"/>
  <c r="I128" i="8" s="1"/>
  <c r="H479" i="12" a="1"/>
  <c r="H479" i="12" s="1"/>
  <c r="C479" i="12" s="1" a="1"/>
  <c r="C479" i="12" s="1"/>
  <c r="I105" i="8" s="1" a="1"/>
  <c r="I105" i="8" s="1"/>
  <c r="H515" i="12" a="1"/>
  <c r="H515" i="12" s="1"/>
  <c r="C515" i="12" s="1" a="1"/>
  <c r="C515" i="12" s="1"/>
  <c r="I157" i="8" s="1" a="1"/>
  <c r="I157" i="8" s="1"/>
  <c r="H54" i="12" a="1"/>
  <c r="H54" i="12" s="1"/>
  <c r="C54" i="12" s="1" a="1"/>
  <c r="C54" i="12" s="1"/>
  <c r="I102" i="2" s="1"/>
  <c r="AC671" i="12" a="1"/>
  <c r="AC671" i="12" s="1"/>
  <c r="H528" i="12" a="1"/>
  <c r="H528" i="12" s="1"/>
  <c r="C528" i="12" s="1" a="1"/>
  <c r="C528" i="12" s="1"/>
  <c r="I122" i="8" s="1" a="1"/>
  <c r="I122" i="8" s="1"/>
  <c r="H462" i="12" a="1"/>
  <c r="H462" i="12" s="1"/>
  <c r="C462" i="12" s="1" a="1"/>
  <c r="C462" i="12" s="1"/>
  <c r="I139" i="8" s="1" a="1"/>
  <c r="I139" i="8" s="1"/>
  <c r="H308" i="12" a="1"/>
  <c r="H308" i="12" s="1"/>
  <c r="C308" i="12" s="1" a="1"/>
  <c r="C308" i="12" s="1"/>
  <c r="I121" i="8" s="1" a="1"/>
  <c r="I121" i="8" s="1"/>
  <c r="H289" i="12" a="1"/>
  <c r="H289" i="12" s="1"/>
  <c r="C289" i="12" s="1" a="1"/>
  <c r="C289" i="12" s="1"/>
  <c r="I162" i="2" s="1"/>
  <c r="H522" i="12" a="1"/>
  <c r="H522" i="12" s="1"/>
  <c r="C522" i="12" s="1" a="1"/>
  <c r="C522" i="12" s="1"/>
  <c r="I322" i="2" s="1"/>
  <c r="H3" i="12" a="1"/>
  <c r="H3" i="12" s="1"/>
  <c r="C3" i="12" s="1" a="1"/>
  <c r="C3" i="12" s="1"/>
  <c r="I4" i="2" s="1"/>
  <c r="M10" i="3" a="1"/>
  <c r="M10" i="3" s="1"/>
  <c r="H379" i="12" a="1"/>
  <c r="H379" i="12" s="1"/>
  <c r="C379" i="12" s="1" a="1"/>
  <c r="C379" i="12" s="1"/>
  <c r="I81" i="8" s="1" a="1"/>
  <c r="I81" i="8" s="1"/>
  <c r="H110" i="12" a="1"/>
  <c r="H110" i="12" s="1"/>
  <c r="C110" i="12" s="1" a="1"/>
  <c r="C110" i="12" s="1"/>
  <c r="I18" i="8" s="1" a="1"/>
  <c r="I18" i="8" s="1"/>
  <c r="AD623" i="12" a="1"/>
  <c r="AD623" i="12" s="1"/>
  <c r="AC621" i="12" a="1"/>
  <c r="AC621" i="12" s="1"/>
  <c r="H454" i="12" a="1"/>
  <c r="H454" i="12" s="1"/>
  <c r="C454" i="12" s="1" a="1"/>
  <c r="C454" i="12" s="1"/>
  <c r="I126" i="8" s="1" a="1"/>
  <c r="I126" i="8" s="1"/>
  <c r="H534" i="12" a="1"/>
  <c r="H534" i="12" s="1"/>
  <c r="C534" i="12" s="1" a="1"/>
  <c r="C534" i="12" s="1"/>
  <c r="I132" i="8" s="1" a="1"/>
  <c r="I132" i="8" s="1"/>
  <c r="H106" i="12" a="1"/>
  <c r="H106" i="12" s="1"/>
  <c r="C106" i="12" s="1" a="1"/>
  <c r="C106" i="12" s="1"/>
  <c r="I171" i="2" s="1"/>
  <c r="H213" i="12" a="1"/>
  <c r="H213" i="12" s="1"/>
  <c r="C213" i="12" s="1" a="1"/>
  <c r="C213" i="12" s="1"/>
  <c r="I420" i="2" s="1"/>
  <c r="H64" i="12" a="1"/>
  <c r="H64" i="12" s="1"/>
  <c r="C64" i="12" s="1" a="1"/>
  <c r="C64" i="12" s="1"/>
  <c r="I130" i="2" s="1"/>
  <c r="AD631" i="12" a="1"/>
  <c r="AD631" i="12" s="1"/>
  <c r="H177" i="12" a="1"/>
  <c r="H177" i="12" s="1"/>
  <c r="C177" i="12" s="1" a="1"/>
  <c r="C177" i="12" s="1"/>
  <c r="I219" i="2" s="1"/>
  <c r="H426" i="12" a="1"/>
  <c r="H426" i="12" s="1"/>
  <c r="C426" i="12" s="1" a="1"/>
  <c r="C426" i="12" s="1"/>
  <c r="I147" i="8" s="1" a="1"/>
  <c r="I147" i="8" s="1"/>
  <c r="H154" i="12" a="1"/>
  <c r="H154" i="12" s="1"/>
  <c r="C154" i="12" s="1" a="1"/>
  <c r="C154" i="12" s="1"/>
  <c r="I263" i="2" s="1"/>
  <c r="H458" i="12" a="1"/>
  <c r="H458" i="12" s="1"/>
  <c r="C458" i="12" s="1" a="1"/>
  <c r="C458" i="12" s="1"/>
  <c r="I264" i="2" s="1"/>
  <c r="H356" i="12" a="1"/>
  <c r="H356" i="12" s="1"/>
  <c r="C356" i="12" s="1" a="1"/>
  <c r="C356" i="12" s="1"/>
  <c r="I111" i="8" s="1" a="1"/>
  <c r="I111" i="8" s="1"/>
  <c r="H407" i="12" a="1"/>
  <c r="H407" i="12" s="1"/>
  <c r="C407" i="12" s="1" a="1"/>
  <c r="C407" i="12" s="1"/>
  <c r="I150" i="8" s="1" a="1"/>
  <c r="I150" i="8" s="1"/>
  <c r="H260" i="12" a="1"/>
  <c r="H260" i="12" s="1"/>
  <c r="C260" i="12" s="1" a="1"/>
  <c r="C260" i="12" s="1"/>
  <c r="I428" i="2" s="1"/>
  <c r="H77" i="12" a="1"/>
  <c r="H77" i="12" s="1"/>
  <c r="C77" i="12" s="1" a="1"/>
  <c r="C77" i="12" s="1"/>
  <c r="I107" i="2" s="1"/>
  <c r="H81" i="12" a="1"/>
  <c r="H81" i="12" s="1"/>
  <c r="C81" i="12" s="1" a="1"/>
  <c r="C81" i="12" s="1"/>
  <c r="I147" i="2" s="1"/>
  <c r="H67" i="12" a="1"/>
  <c r="H67" i="12" s="1"/>
  <c r="C67" i="12" s="1" a="1"/>
  <c r="C67" i="12" s="1"/>
  <c r="I176" i="2" s="1"/>
  <c r="H129" i="12" a="1"/>
  <c r="H129" i="12" s="1"/>
  <c r="C129" i="12" s="1" a="1"/>
  <c r="C129" i="12" s="1"/>
  <c r="I25" i="8" s="1" a="1"/>
  <c r="I25" i="8" s="1"/>
  <c r="H321" i="12" a="1"/>
  <c r="H321" i="12" s="1"/>
  <c r="C321" i="12" s="1" a="1"/>
  <c r="C321" i="12" s="1"/>
  <c r="I236" i="2" s="1"/>
  <c r="H108" i="12" a="1"/>
  <c r="H108" i="12" s="1"/>
  <c r="C108" i="12" s="1" a="1"/>
  <c r="C108" i="12" s="1"/>
  <c r="Y661" i="12" a="1"/>
  <c r="Y661" i="12" s="1"/>
  <c r="H218" i="12" a="1"/>
  <c r="H218" i="12" s="1"/>
  <c r="C218" i="12" s="1" a="1"/>
  <c r="C218" i="12" s="1"/>
  <c r="I416" i="2" s="1"/>
  <c r="H601" i="12" a="1"/>
  <c r="H601" i="12" s="1"/>
  <c r="C601" i="12" s="1" a="1"/>
  <c r="C601" i="12" s="1"/>
  <c r="I203" i="8" s="1" a="1"/>
  <c r="I203" i="8" s="1"/>
  <c r="H390" i="12" a="1"/>
  <c r="H390" i="12" s="1"/>
  <c r="C390" i="12" s="1" a="1"/>
  <c r="C390" i="12" s="1"/>
  <c r="I568" i="2" s="1"/>
  <c r="H434" i="12" a="1"/>
  <c r="H434" i="12" s="1"/>
  <c r="C434" i="12" s="1" a="1"/>
  <c r="C434" i="12" s="1"/>
  <c r="I619" i="2" s="1"/>
  <c r="H281" i="12" a="1"/>
  <c r="H281" i="12" s="1"/>
  <c r="C281" i="12" s="1" a="1"/>
  <c r="C281" i="12" s="1"/>
  <c r="H574" i="12" a="1"/>
  <c r="H574" i="12" s="1"/>
  <c r="C574" i="12" s="1" a="1"/>
  <c r="C574" i="12" s="1"/>
  <c r="I201" i="8" s="1" a="1"/>
  <c r="I201" i="8" s="1"/>
  <c r="H413" i="12" a="1"/>
  <c r="H413" i="12" s="1"/>
  <c r="C413" i="12" s="1" a="1"/>
  <c r="C413" i="12" s="1"/>
  <c r="AD642" i="12" a="1"/>
  <c r="AD642" i="12" s="1"/>
  <c r="Y655" i="12" a="1"/>
  <c r="Y655" i="12" s="1"/>
  <c r="H323" i="12" a="1"/>
  <c r="H323" i="12" s="1"/>
  <c r="C323" i="12" s="1" a="1"/>
  <c r="C323" i="12" s="1"/>
  <c r="I439" i="2" s="1"/>
  <c r="Y610" i="12" a="1"/>
  <c r="Y610" i="12" s="1"/>
  <c r="AC648" i="12" a="1"/>
  <c r="AC648" i="12" s="1"/>
  <c r="H429" i="12" a="1"/>
  <c r="H429" i="12" s="1"/>
  <c r="C429" i="12" s="1" a="1"/>
  <c r="C429" i="12" s="1"/>
  <c r="I605" i="2" s="1"/>
  <c r="H238" i="12" a="1"/>
  <c r="H238" i="12" s="1"/>
  <c r="C238" i="12" s="1" a="1"/>
  <c r="C238" i="12" s="1"/>
  <c r="I446" i="2" s="1"/>
  <c r="H252" i="12" a="1"/>
  <c r="H252" i="12" s="1"/>
  <c r="C252" i="12" s="1" a="1"/>
  <c r="C252" i="12" s="1"/>
  <c r="I481" i="2" s="1"/>
  <c r="H443" i="12" a="1"/>
  <c r="H443" i="12" s="1"/>
  <c r="C443" i="12" s="1" a="1"/>
  <c r="C443" i="12" s="1"/>
  <c r="I561" i="2" s="1"/>
  <c r="H461" i="12" a="1"/>
  <c r="H461" i="12" s="1"/>
  <c r="C461" i="12" s="1" a="1"/>
  <c r="C461" i="12" s="1"/>
  <c r="I572" i="2" s="1"/>
  <c r="Y612" i="12" a="1"/>
  <c r="Y612" i="12" s="1"/>
  <c r="H450" i="12" a="1"/>
  <c r="H450" i="12" s="1"/>
  <c r="C450" i="12" s="1" a="1"/>
  <c r="C450" i="12" s="1"/>
  <c r="I636" i="2" s="1"/>
  <c r="H587" i="12" a="1"/>
  <c r="H587" i="12" s="1"/>
  <c r="C587" i="12" s="1" a="1"/>
  <c r="C587" i="12" s="1"/>
  <c r="I670" i="2" s="1"/>
  <c r="H343" i="12" a="1"/>
  <c r="H343" i="12" s="1"/>
  <c r="C343" i="12" s="1" a="1"/>
  <c r="C343" i="12" s="1"/>
  <c r="I503" i="2" s="1"/>
  <c r="H334" i="12" a="1"/>
  <c r="H334" i="12" s="1"/>
  <c r="C334" i="12" s="1" a="1"/>
  <c r="C334" i="12" s="1"/>
  <c r="H411" i="12" a="1"/>
  <c r="H411" i="12" s="1"/>
  <c r="C411" i="12" s="1" a="1"/>
  <c r="C411" i="12" s="1"/>
  <c r="I555" i="2" s="1"/>
  <c r="H449" i="12" a="1"/>
  <c r="H449" i="12" s="1"/>
  <c r="C449" i="12" s="1" a="1"/>
  <c r="C449" i="12" s="1"/>
  <c r="I329" i="2" s="1"/>
  <c r="Y618" i="12" a="1"/>
  <c r="Y618" i="12" s="1"/>
  <c r="H543" i="12" a="1"/>
  <c r="H543" i="12" s="1"/>
  <c r="C543" i="12" s="1" a="1"/>
  <c r="C543" i="12" s="1"/>
  <c r="I651" i="2" s="1"/>
  <c r="H550" i="12" a="1"/>
  <c r="H550" i="12" s="1"/>
  <c r="C550" i="12" s="1" a="1"/>
  <c r="C550" i="12" s="1"/>
  <c r="I664" i="2" s="1"/>
  <c r="AC649" i="12" a="1"/>
  <c r="AC649" i="12" s="1"/>
  <c r="H244" i="12" a="1"/>
  <c r="H244" i="12" s="1"/>
  <c r="C244" i="12" s="1" a="1"/>
  <c r="C244" i="12" s="1"/>
  <c r="I360" i="2" s="1"/>
  <c r="H9" i="12" a="1"/>
  <c r="H9" i="12" s="1"/>
  <c r="C9" i="12" s="1" a="1"/>
  <c r="C9" i="12" s="1"/>
  <c r="I13" i="2" s="1"/>
  <c r="H215" i="12" a="1"/>
  <c r="H215" i="12" s="1"/>
  <c r="C215" i="12" s="1" a="1"/>
  <c r="C215" i="12" s="1"/>
  <c r="I364" i="2" s="1"/>
  <c r="H211" i="12" a="1"/>
  <c r="H211" i="12" s="1"/>
  <c r="C211" i="12" s="1" a="1"/>
  <c r="C211" i="12" s="1"/>
  <c r="I445" i="2" s="1"/>
  <c r="H345" i="12" a="1"/>
  <c r="H345" i="12" s="1"/>
  <c r="C345" i="12" s="1" a="1"/>
  <c r="C345" i="12" s="1"/>
  <c r="I99" i="8" s="1" a="1"/>
  <c r="I99" i="8" s="1"/>
  <c r="H520" i="12" a="1"/>
  <c r="H520" i="12" s="1"/>
  <c r="C520" i="12" s="1" a="1"/>
  <c r="C520" i="12" s="1"/>
  <c r="I376" i="2" s="1"/>
  <c r="H131" i="12" a="1"/>
  <c r="H131" i="12" s="1"/>
  <c r="C131" i="12" s="1" a="1"/>
  <c r="C131" i="12" s="1"/>
  <c r="I325" i="2" s="1"/>
  <c r="H122" i="12" a="1"/>
  <c r="H122" i="12" s="1"/>
  <c r="C122" i="12" s="1" a="1"/>
  <c r="C122" i="12" s="1"/>
  <c r="I51" i="2" s="1"/>
  <c r="H75" i="12" a="1"/>
  <c r="H75" i="12" s="1"/>
  <c r="C75" i="12" s="1" a="1"/>
  <c r="C75" i="12" s="1"/>
  <c r="I88" i="2" s="1"/>
  <c r="Y653" i="12" a="1"/>
  <c r="Y653" i="12" s="1"/>
  <c r="H25" i="12" a="1"/>
  <c r="H25" i="12" s="1"/>
  <c r="C25" i="12" s="1" a="1"/>
  <c r="C25" i="12" s="1"/>
  <c r="I87" i="2" s="1"/>
  <c r="H484" i="12" a="1"/>
  <c r="H484" i="12" s="1"/>
  <c r="C484" i="12" s="1" a="1"/>
  <c r="C484" i="12" s="1"/>
  <c r="I119" i="8" s="1" a="1"/>
  <c r="I119" i="8" s="1"/>
  <c r="H114" i="12" a="1"/>
  <c r="H114" i="12" s="1"/>
  <c r="C114" i="12" s="1" a="1"/>
  <c r="C114" i="12" s="1"/>
  <c r="I241" i="2" s="1"/>
  <c r="H24" i="12" a="1"/>
  <c r="H24" i="12" s="1"/>
  <c r="C24" i="12" s="1" a="1"/>
  <c r="C24" i="12" s="1"/>
  <c r="I29" i="2" s="1"/>
  <c r="AC623" i="12" a="1"/>
  <c r="AC623" i="12" s="1"/>
  <c r="H160" i="12" a="1"/>
  <c r="H160" i="12" s="1"/>
  <c r="C160" i="12" s="1" a="1"/>
  <c r="C160" i="12" s="1"/>
  <c r="I276" i="2" s="1"/>
  <c r="H150" i="12" a="1"/>
  <c r="H150" i="12" s="1"/>
  <c r="C150" i="12" s="1" a="1"/>
  <c r="C150" i="12" s="1"/>
  <c r="I210" i="2" s="1"/>
  <c r="E48" i="6" a="1"/>
  <c r="E48" i="6" s="1"/>
  <c r="E55" i="5" a="1"/>
  <c r="E55" i="5" s="1"/>
  <c r="E102" i="4" a="1"/>
  <c r="E102" i="4" s="1"/>
  <c r="J193" i="2" a="1"/>
  <c r="J193" i="2" s="1"/>
  <c r="H442" i="12" a="1"/>
  <c r="H442" i="12" s="1"/>
  <c r="C442" i="12" s="1" a="1"/>
  <c r="C442" i="12" s="1"/>
  <c r="I115" i="8" s="1" a="1"/>
  <c r="I115" i="8" s="1"/>
  <c r="H41" i="12" a="1"/>
  <c r="H41" i="12" s="1"/>
  <c r="C41" i="12" s="1" a="1"/>
  <c r="C41" i="12" s="1"/>
  <c r="I82" i="2" s="1"/>
  <c r="H393" i="12" a="1"/>
  <c r="H393" i="12" s="1"/>
  <c r="C393" i="12" s="1" a="1"/>
  <c r="C393" i="12" s="1"/>
  <c r="I103" i="8" s="1" a="1"/>
  <c r="I103" i="8" s="1"/>
  <c r="H214" i="12" a="1"/>
  <c r="H214" i="12" s="1"/>
  <c r="C214" i="12" s="1" a="1"/>
  <c r="C214" i="12" s="1"/>
  <c r="I403" i="2" s="1"/>
  <c r="H143" i="12" a="1"/>
  <c r="H143" i="12" s="1"/>
  <c r="C143" i="12" s="1" a="1"/>
  <c r="C143" i="12" s="1"/>
  <c r="H348" i="12" a="1"/>
  <c r="H348" i="12" s="1"/>
  <c r="C348" i="12" s="1" a="1"/>
  <c r="C348" i="12" s="1"/>
  <c r="I205" i="2" s="1"/>
  <c r="H231" i="12" a="1"/>
  <c r="H231" i="12" s="1"/>
  <c r="C231" i="12" s="1" a="1"/>
  <c r="C231" i="12" s="1"/>
  <c r="I151" i="8" s="1" a="1"/>
  <c r="I151" i="8" s="1"/>
  <c r="H466" i="12" a="1"/>
  <c r="H466" i="12" s="1"/>
  <c r="C466" i="12" s="1" a="1"/>
  <c r="C466" i="12" s="1"/>
  <c r="I288" i="2" s="1"/>
  <c r="H6" i="12" a="1"/>
  <c r="H6" i="12" s="1"/>
  <c r="C6" i="12" s="1" a="1"/>
  <c r="C6" i="12" s="1"/>
  <c r="I8" i="2" s="1"/>
  <c r="H78" i="12" a="1"/>
  <c r="H78" i="12" s="1"/>
  <c r="C78" i="12" s="1" a="1"/>
  <c r="C78" i="12" s="1"/>
  <c r="I111" i="2" s="1"/>
  <c r="H421" i="12" a="1"/>
  <c r="H421" i="12" s="1"/>
  <c r="C421" i="12" s="1" a="1"/>
  <c r="C421" i="12" s="1"/>
  <c r="I195" i="2" s="1"/>
  <c r="H539" i="12" a="1"/>
  <c r="H539" i="12" s="1"/>
  <c r="C539" i="12" s="1" a="1"/>
  <c r="C539" i="12" s="1"/>
  <c r="I185" i="8" s="1" a="1"/>
  <c r="I185" i="8" s="1"/>
  <c r="H185" i="12" a="1"/>
  <c r="H185" i="12" s="1"/>
  <c r="C185" i="12" s="1" a="1"/>
  <c r="C185" i="12" s="1"/>
  <c r="I402" i="2" s="1"/>
  <c r="H240" i="12" a="1"/>
  <c r="H240" i="12" s="1"/>
  <c r="C240" i="12" s="1" a="1"/>
  <c r="C240" i="12" s="1"/>
  <c r="I500" i="2" s="1"/>
  <c r="H302" i="12" a="1"/>
  <c r="H302" i="12" s="1"/>
  <c r="C302" i="12" s="1" a="1"/>
  <c r="C302" i="12" s="1"/>
  <c r="I516" i="2" s="1"/>
  <c r="H440" i="12" a="1"/>
  <c r="H440" i="12" s="1"/>
  <c r="C440" i="12" s="1" a="1"/>
  <c r="C440" i="12" s="1"/>
  <c r="I543" i="2" s="1"/>
  <c r="H294" i="12" a="1"/>
  <c r="H294" i="12" s="1"/>
  <c r="C294" i="12" s="1" a="1"/>
  <c r="C294" i="12" s="1"/>
  <c r="I496" i="2" s="1"/>
  <c r="H406" i="12" a="1"/>
  <c r="H406" i="12" s="1"/>
  <c r="C406" i="12" s="1" a="1"/>
  <c r="C406" i="12" s="1"/>
  <c r="I544" i="2" s="1"/>
  <c r="H420" i="12" a="1"/>
  <c r="H420" i="12" s="1"/>
  <c r="C420" i="12" s="1" a="1"/>
  <c r="C420" i="12" s="1"/>
  <c r="I593" i="2" s="1"/>
  <c r="H459" i="12" a="1"/>
  <c r="H459" i="12" s="1"/>
  <c r="C459" i="12" s="1" a="1"/>
  <c r="C459" i="12" s="1"/>
  <c r="I625" i="2" s="1"/>
  <c r="H487" i="12" a="1"/>
  <c r="H487" i="12" s="1"/>
  <c r="C487" i="12" s="1" a="1"/>
  <c r="C487" i="12" s="1"/>
  <c r="I608" i="2" s="1"/>
  <c r="H310" i="12" a="1"/>
  <c r="H310" i="12" s="1"/>
  <c r="C310" i="12" s="1" a="1"/>
  <c r="C310" i="12" s="1"/>
  <c r="I577" i="2" s="1"/>
  <c r="H202" i="12" a="1"/>
  <c r="H202" i="12" s="1"/>
  <c r="C202" i="12" s="1" a="1"/>
  <c r="C202" i="12" s="1"/>
  <c r="I93" i="2" s="1"/>
  <c r="H318" i="12" a="1"/>
  <c r="H318" i="12" s="1"/>
  <c r="C318" i="12" s="1" a="1"/>
  <c r="C318" i="12" s="1"/>
  <c r="I531" i="2" s="1"/>
  <c r="AC670" i="12" a="1"/>
  <c r="AC670" i="12" s="1"/>
  <c r="H389" i="12" a="1"/>
  <c r="H389" i="12" s="1"/>
  <c r="C389" i="12" s="1" a="1"/>
  <c r="C389" i="12" s="1"/>
  <c r="I564" i="2" s="1"/>
  <c r="H438" i="12" a="1"/>
  <c r="H438" i="12" s="1"/>
  <c r="C438" i="12" s="1" a="1"/>
  <c r="C438" i="12" s="1"/>
  <c r="I643" i="2" s="1"/>
  <c r="H297" i="12" a="1"/>
  <c r="H297" i="12" s="1"/>
  <c r="C297" i="12" s="1" a="1"/>
  <c r="C297" i="12" s="1"/>
  <c r="I177" i="2" s="1"/>
  <c r="AD648" i="12" a="1"/>
  <c r="AD648" i="12" s="1"/>
  <c r="H300" i="12" a="1"/>
  <c r="H300" i="12" s="1"/>
  <c r="C300" i="12" s="1" a="1"/>
  <c r="C300" i="12" s="1"/>
  <c r="I550" i="2" s="1"/>
  <c r="Y638" i="12" a="1"/>
  <c r="Y638" i="12" s="1"/>
  <c r="H576" i="12" a="1"/>
  <c r="H576" i="12" s="1"/>
  <c r="C576" i="12" s="1" a="1"/>
  <c r="C576" i="12" s="1"/>
  <c r="I198" i="8" s="1" a="1"/>
  <c r="I198" i="8" s="1"/>
  <c r="H605" i="12" a="1"/>
  <c r="H605" i="12" s="1"/>
  <c r="C605" i="12" s="1" a="1"/>
  <c r="C605" i="12" s="1"/>
  <c r="I483" i="2" s="1"/>
  <c r="H329" i="12" a="1"/>
  <c r="H329" i="12" s="1"/>
  <c r="C329" i="12" s="1" a="1"/>
  <c r="C329" i="12" s="1"/>
  <c r="I473" i="2" s="1"/>
  <c r="H523" i="12" a="1"/>
  <c r="H523" i="12" s="1"/>
  <c r="C523" i="12" s="1" a="1"/>
  <c r="C523" i="12" s="1"/>
  <c r="I607" i="2" s="1"/>
  <c r="H563" i="12" a="1"/>
  <c r="H563" i="12" s="1"/>
  <c r="C563" i="12" s="1" a="1"/>
  <c r="C563" i="12" s="1"/>
  <c r="I660" i="2" s="1"/>
  <c r="H542" i="12" a="1"/>
  <c r="H542" i="12" s="1"/>
  <c r="C542" i="12" s="1" a="1"/>
  <c r="C542" i="12" s="1"/>
  <c r="I665" i="2" s="1"/>
  <c r="H265" i="12" a="1"/>
  <c r="H265" i="12" s="1"/>
  <c r="C265" i="12" s="1" a="1"/>
  <c r="C265" i="12" s="1"/>
  <c r="I469" i="2" s="1"/>
  <c r="H181" i="12" a="1"/>
  <c r="H181" i="12" s="1"/>
  <c r="C181" i="12" s="1" a="1"/>
  <c r="C181" i="12" s="1"/>
  <c r="I391" i="2" s="1"/>
  <c r="H380" i="12" a="1"/>
  <c r="H380" i="12" s="1"/>
  <c r="C380" i="12" s="1" a="1"/>
  <c r="C380" i="12" s="1"/>
  <c r="I583" i="2" s="1"/>
  <c r="AD628" i="12" a="1"/>
  <c r="AD628" i="12" s="1"/>
  <c r="H538" i="12" a="1"/>
  <c r="H538" i="12" s="1"/>
  <c r="C538" i="12" s="1" a="1"/>
  <c r="C538" i="12" s="1"/>
  <c r="I609" i="2" s="1"/>
  <c r="H249" i="12" a="1"/>
  <c r="H249" i="12" s="1"/>
  <c r="C249" i="12" s="1" a="1"/>
  <c r="C249" i="12" s="1"/>
  <c r="I515" i="2" s="1"/>
  <c r="H489" i="12" a="1"/>
  <c r="H489" i="12" s="1"/>
  <c r="C489" i="12" s="1" a="1"/>
  <c r="C489" i="12" s="1"/>
  <c r="E18" i="5" a="1"/>
  <c r="E18" i="5" s="1"/>
  <c r="E33" i="4" a="1"/>
  <c r="E33" i="4" s="1"/>
  <c r="J48" i="2" a="1"/>
  <c r="J48" i="2" s="1"/>
  <c r="H175" i="12" a="1"/>
  <c r="H175" i="12" s="1"/>
  <c r="C175" i="12" s="1" a="1"/>
  <c r="C175" i="12" s="1"/>
  <c r="H136" i="12" a="1"/>
  <c r="H136" i="12" s="1"/>
  <c r="C136" i="12" s="1" a="1"/>
  <c r="C136" i="12" s="1"/>
  <c r="I323" i="2" s="1"/>
  <c r="H333" i="12" a="1"/>
  <c r="H333" i="12" s="1"/>
  <c r="C333" i="12" s="1" a="1"/>
  <c r="C333" i="12" s="1"/>
  <c r="I178" i="2" s="1"/>
  <c r="H91" i="12" a="1"/>
  <c r="H91" i="12" s="1"/>
  <c r="C91" i="12" s="1" a="1"/>
  <c r="C91" i="12" s="1"/>
  <c r="I185" i="2" s="1"/>
  <c r="AD613" i="12" a="1"/>
  <c r="AD613" i="12" s="1"/>
  <c r="H376" i="12" a="1"/>
  <c r="H376" i="12" s="1"/>
  <c r="C376" i="12" s="1" a="1"/>
  <c r="C376" i="12" s="1"/>
  <c r="I211" i="2" s="1"/>
  <c r="H282" i="12" a="1"/>
  <c r="H282" i="12" s="1"/>
  <c r="C282" i="12" s="1" a="1"/>
  <c r="C282" i="12" s="1"/>
  <c r="I443" i="2" s="1"/>
  <c r="H109" i="12" a="1"/>
  <c r="H109" i="12" s="1"/>
  <c r="C109" i="12" s="1" a="1"/>
  <c r="C109" i="12" s="1"/>
  <c r="I13" i="8" s="1" a="1"/>
  <c r="I13" i="8" s="1"/>
  <c r="AD661" i="12" a="1"/>
  <c r="AD661" i="12" s="1"/>
  <c r="H159" i="12" a="1"/>
  <c r="H159" i="12" s="1"/>
  <c r="C159" i="12" s="1" a="1"/>
  <c r="C159" i="12" s="1"/>
  <c r="I235" i="2" s="1"/>
  <c r="Y624" i="12" a="1"/>
  <c r="Y624" i="12" s="1"/>
  <c r="H509" i="12" a="1"/>
  <c r="H509" i="12" s="1"/>
  <c r="C509" i="12" s="1" a="1"/>
  <c r="C509" i="12" s="1"/>
  <c r="I143" i="8" s="1" a="1"/>
  <c r="I143" i="8" s="1"/>
  <c r="H184" i="12" a="1"/>
  <c r="H184" i="12" s="1"/>
  <c r="C184" i="12" s="1" a="1"/>
  <c r="C184" i="12" s="1"/>
  <c r="I53" i="2" s="1"/>
  <c r="H4" i="12" a="1"/>
  <c r="H4" i="12" s="1"/>
  <c r="C4" i="12" s="1" a="1"/>
  <c r="C4" i="12" s="1"/>
  <c r="I2" i="2" s="1"/>
  <c r="H15" i="12" a="1"/>
  <c r="H15" i="12" s="1"/>
  <c r="C15" i="12" s="1" a="1"/>
  <c r="C15" i="12" s="1"/>
  <c r="I37" i="2" s="1"/>
  <c r="H527" i="12" a="1"/>
  <c r="H527" i="12" s="1"/>
  <c r="C527" i="12" s="1" a="1"/>
  <c r="C527" i="12" s="1"/>
  <c r="I363" i="2" s="1"/>
  <c r="H375" i="12" a="1"/>
  <c r="H375" i="12" s="1"/>
  <c r="C375" i="12" s="1" a="1"/>
  <c r="C375" i="12" s="1"/>
  <c r="I621" i="2" s="1"/>
  <c r="H71" i="12" a="1"/>
  <c r="H71" i="12" s="1"/>
  <c r="C71" i="12" s="1" a="1"/>
  <c r="C71" i="12" s="1"/>
  <c r="I151" i="2" s="1"/>
  <c r="H187" i="12" a="1"/>
  <c r="H187" i="12" s="1"/>
  <c r="C187" i="12" s="1" a="1"/>
  <c r="C187" i="12" s="1"/>
  <c r="I386" i="2" s="1"/>
  <c r="Y640" i="12" a="1"/>
  <c r="Y640" i="12" s="1"/>
  <c r="C640" i="12" s="1" a="1"/>
  <c r="C640" i="12" s="1"/>
  <c r="I368" i="2" s="1"/>
  <c r="H223" i="12" a="1"/>
  <c r="H223" i="12" s="1"/>
  <c r="C223" i="12" s="1" a="1"/>
  <c r="C223" i="12" s="1"/>
  <c r="I464" i="2" s="1"/>
  <c r="AC619" i="12" a="1"/>
  <c r="AC619" i="12" s="1"/>
  <c r="H299" i="12" a="1"/>
  <c r="H299" i="12" s="1"/>
  <c r="C299" i="12" s="1" a="1"/>
  <c r="C299" i="12" s="1"/>
  <c r="I198" i="2" s="1"/>
  <c r="H156" i="12" a="1"/>
  <c r="H156" i="12" s="1"/>
  <c r="C156" i="12" s="1" a="1"/>
  <c r="C156" i="12" s="1"/>
  <c r="I246" i="2" s="1"/>
  <c r="H378" i="12" a="1"/>
  <c r="H378" i="12" s="1"/>
  <c r="C378" i="12" s="1" a="1"/>
  <c r="C378" i="12" s="1"/>
  <c r="I66" i="8" s="1" a="1"/>
  <c r="I66" i="8" s="1"/>
  <c r="Y616" i="12" a="1"/>
  <c r="Y616" i="12" s="1"/>
  <c r="H207" i="12" a="1"/>
  <c r="H207" i="12" s="1"/>
  <c r="C207" i="12" s="1" a="1"/>
  <c r="C207" i="12" s="1"/>
  <c r="I39" i="8" s="1" a="1"/>
  <c r="I39" i="8" s="1"/>
  <c r="H157" i="12" a="1"/>
  <c r="H157" i="12" s="1"/>
  <c r="C157" i="12" s="1" a="1"/>
  <c r="C157" i="12" s="1"/>
  <c r="I204" i="2" s="1"/>
  <c r="H416" i="12" a="1"/>
  <c r="H416" i="12" s="1"/>
  <c r="C416" i="12" s="1" a="1"/>
  <c r="C416" i="12" s="1"/>
  <c r="I106" i="8" s="1" a="1"/>
  <c r="I106" i="8" s="1"/>
  <c r="H230" i="12" a="1"/>
  <c r="H230" i="12" s="1"/>
  <c r="C230" i="12" s="1" a="1"/>
  <c r="C230" i="12" s="1"/>
  <c r="I347" i="2" s="1"/>
  <c r="H474" i="12" a="1"/>
  <c r="H474" i="12" s="1"/>
  <c r="C474" i="12" s="1" a="1"/>
  <c r="C474" i="12" s="1"/>
  <c r="I388" i="2" s="1"/>
  <c r="H222" i="12" a="1"/>
  <c r="H222" i="12" s="1"/>
  <c r="C222" i="12" s="1" a="1"/>
  <c r="C222" i="12" s="1"/>
  <c r="I45" i="8" s="1" a="1"/>
  <c r="I45" i="8" s="1"/>
  <c r="H285" i="12" a="1"/>
  <c r="H285" i="12" s="1"/>
  <c r="C285" i="12" s="1" a="1"/>
  <c r="C285" i="12" s="1"/>
  <c r="I63" i="8" s="1" a="1"/>
  <c r="I63" i="8" s="1"/>
  <c r="AD637" i="12" a="1"/>
  <c r="AD637" i="12" s="1"/>
  <c r="H206" i="12" a="1"/>
  <c r="H206" i="12" s="1"/>
  <c r="C206" i="12" s="1" a="1"/>
  <c r="C206" i="12" s="1"/>
  <c r="I348" i="2" s="1"/>
  <c r="AD666" i="12" a="1"/>
  <c r="AD666" i="12" s="1"/>
  <c r="H551" i="12" a="1"/>
  <c r="H551" i="12" s="1"/>
  <c r="C551" i="12" s="1" a="1"/>
  <c r="C551" i="12" s="1"/>
  <c r="I152" i="8" s="1" a="1"/>
  <c r="I152" i="8" s="1"/>
  <c r="H234" i="12" a="1"/>
  <c r="H234" i="12" s="1"/>
  <c r="C234" i="12" s="1" a="1"/>
  <c r="C234" i="12" s="1"/>
  <c r="I450" i="2" s="1"/>
  <c r="H95" i="12" a="1"/>
  <c r="H95" i="12" s="1"/>
  <c r="C95" i="12" s="1" a="1"/>
  <c r="C95" i="12" s="1"/>
  <c r="I118" i="2" s="1"/>
  <c r="H116" i="12" a="1"/>
  <c r="H116" i="12" s="1"/>
  <c r="C116" i="12" s="1" a="1"/>
  <c r="C116" i="12" s="1"/>
  <c r="I20" i="2" s="1"/>
  <c r="H237" i="12" a="1"/>
  <c r="H237" i="12" s="1"/>
  <c r="C237" i="12" s="1" a="1"/>
  <c r="C237" i="12" s="1"/>
  <c r="I426" i="2" s="1"/>
  <c r="Y668" i="12" a="1"/>
  <c r="Y668" i="12" s="1"/>
  <c r="AD644" i="12" a="1"/>
  <c r="AD644" i="12" s="1"/>
  <c r="H470" i="12" a="1"/>
  <c r="H470" i="12" s="1"/>
  <c r="C470" i="12" s="1" a="1"/>
  <c r="C470" i="12" s="1"/>
  <c r="I575" i="2" s="1"/>
  <c r="AC626" i="12" a="1"/>
  <c r="AC626" i="12" s="1"/>
  <c r="H286" i="12" a="1"/>
  <c r="H286" i="12" s="1"/>
  <c r="C286" i="12" s="1" a="1"/>
  <c r="C286" i="12" s="1"/>
  <c r="I472" i="2" s="1"/>
  <c r="H485" i="12" a="1"/>
  <c r="H485" i="12" s="1"/>
  <c r="C485" i="12" s="1" a="1"/>
  <c r="C485" i="12" s="1"/>
  <c r="I620" i="2" s="1"/>
  <c r="AD618" i="12" a="1"/>
  <c r="AD618" i="12" s="1"/>
  <c r="H208" i="12" a="1"/>
  <c r="H208" i="12" s="1"/>
  <c r="C208" i="12" s="1" a="1"/>
  <c r="C208" i="12" s="1"/>
  <c r="H251" i="12" a="1"/>
  <c r="H251" i="12" s="1"/>
  <c r="C251" i="12" s="1" a="1"/>
  <c r="C251" i="12" s="1"/>
  <c r="I484" i="2" s="1"/>
  <c r="Y642" i="12" a="1"/>
  <c r="Y642" i="12" s="1"/>
  <c r="H361" i="12" a="1"/>
  <c r="H361" i="12" s="1"/>
  <c r="C361" i="12" s="1" a="1"/>
  <c r="C361" i="12" s="1"/>
  <c r="I567" i="2" s="1"/>
  <c r="H456" i="12" a="1"/>
  <c r="H456" i="12" s="1"/>
  <c r="C456" i="12" s="1" a="1"/>
  <c r="C456" i="12" s="1"/>
  <c r="I622" i="2" s="1"/>
  <c r="H589" i="12" a="1"/>
  <c r="H589" i="12" s="1"/>
  <c r="C589" i="12" s="1" a="1"/>
  <c r="C589" i="12" s="1"/>
  <c r="I663" i="2" s="1"/>
  <c r="H198" i="12" a="1"/>
  <c r="H198" i="12" s="1"/>
  <c r="C198" i="12" s="1" a="1"/>
  <c r="C198" i="12" s="1"/>
  <c r="I471" i="2" s="1"/>
  <c r="H364" i="12" a="1"/>
  <c r="H364" i="12" s="1"/>
  <c r="C364" i="12" s="1" a="1"/>
  <c r="C364" i="12" s="1"/>
  <c r="I509" i="2" s="1"/>
  <c r="AD620" i="12" a="1"/>
  <c r="AD620" i="12" s="1"/>
  <c r="H340" i="12" a="1"/>
  <c r="H340" i="12" s="1"/>
  <c r="C340" i="12" s="1" a="1"/>
  <c r="C340" i="12" s="1"/>
  <c r="I560" i="2" s="1"/>
  <c r="H554" i="12" a="1"/>
  <c r="H554" i="12" s="1"/>
  <c r="C554" i="12" s="1" a="1"/>
  <c r="C554" i="12" s="1"/>
  <c r="I650" i="2" s="1"/>
  <c r="H546" i="12" a="1"/>
  <c r="H546" i="12" s="1"/>
  <c r="C546" i="12" s="1" a="1"/>
  <c r="C546" i="12" s="1"/>
  <c r="I632" i="2" s="1"/>
  <c r="H430" i="12" a="1"/>
  <c r="H430" i="12" s="1"/>
  <c r="C430" i="12" s="1" a="1"/>
  <c r="C430" i="12" s="1"/>
  <c r="I624" i="2" s="1"/>
  <c r="H396" i="12" a="1"/>
  <c r="H396" i="12" s="1"/>
  <c r="C396" i="12" s="1" a="1"/>
  <c r="C396" i="12" s="1"/>
  <c r="I571" i="2" s="1"/>
  <c r="H72" i="12" a="1"/>
  <c r="H72" i="12" s="1"/>
  <c r="C72" i="12" s="1" a="1"/>
  <c r="C72" i="12" s="1"/>
  <c r="I137" i="2" s="1"/>
  <c r="H567" i="12" a="1"/>
  <c r="H567" i="12" s="1"/>
  <c r="C567" i="12" s="1" a="1"/>
  <c r="C567" i="12" s="1"/>
  <c r="I630" i="2" s="1"/>
  <c r="AD670" i="12" a="1"/>
  <c r="AD670" i="12" s="1"/>
  <c r="H478" i="12" a="1"/>
  <c r="H478" i="12" s="1"/>
  <c r="C478" i="12" s="1" a="1"/>
  <c r="C478" i="12" s="1"/>
  <c r="I584" i="2" s="1"/>
  <c r="H298" i="12" a="1"/>
  <c r="H298" i="12" s="1"/>
  <c r="C298" i="12" s="1" a="1"/>
  <c r="C298" i="12" s="1"/>
  <c r="AC672" i="12" a="1"/>
  <c r="AC672" i="12" s="1"/>
  <c r="H472" i="12" a="1"/>
  <c r="H472" i="12" s="1"/>
  <c r="C472" i="12" s="1" a="1"/>
  <c r="C472" i="12" s="1"/>
  <c r="I603" i="2" s="1"/>
  <c r="H398" i="12" a="1"/>
  <c r="H398" i="12" s="1"/>
  <c r="C398" i="12" s="1" a="1"/>
  <c r="C398" i="12" s="1"/>
  <c r="I641" i="2" s="1"/>
  <c r="H241" i="12" a="1"/>
  <c r="H241" i="12" s="1"/>
  <c r="C241" i="12" s="1" a="1"/>
  <c r="C241" i="12" s="1"/>
  <c r="H384" i="12" a="1"/>
  <c r="H384" i="12" s="1"/>
  <c r="C384" i="12" s="1" a="1"/>
  <c r="C384" i="12" s="1"/>
  <c r="H560" i="12" a="1"/>
  <c r="H560" i="12" s="1"/>
  <c r="C560" i="12" s="1" a="1"/>
  <c r="C560" i="12" s="1"/>
  <c r="I600" i="2" s="1"/>
  <c r="H418" i="12" a="1"/>
  <c r="H418" i="12" s="1"/>
  <c r="C418" i="12" s="1" a="1"/>
  <c r="C418" i="12" s="1"/>
  <c r="I639" i="2" s="1"/>
  <c r="H579" i="12" a="1"/>
  <c r="H579" i="12" s="1"/>
  <c r="C579" i="12" s="1" a="1"/>
  <c r="C579" i="12" s="1"/>
  <c r="I648" i="2" s="1"/>
  <c r="H505" i="12" a="1"/>
  <c r="H505" i="12" s="1"/>
  <c r="C505" i="12" s="1" a="1"/>
  <c r="C505" i="12" s="1"/>
  <c r="I435" i="2" s="1"/>
  <c r="Y672" i="12" a="1"/>
  <c r="Y672" i="12" s="1"/>
  <c r="H328" i="12" a="1"/>
  <c r="H328" i="12" s="1"/>
  <c r="C328" i="12" s="1" a="1"/>
  <c r="C328" i="12" s="1"/>
  <c r="I506" i="2" s="1"/>
  <c r="AC628" i="12" a="1"/>
  <c r="AC628" i="12" s="1"/>
  <c r="H491" i="12" a="1"/>
  <c r="H491" i="12" s="1"/>
  <c r="C491" i="12" s="1" a="1"/>
  <c r="C491" i="12" s="1"/>
  <c r="H394" i="12" a="1"/>
  <c r="H394" i="12" s="1"/>
  <c r="C394" i="12" s="1" a="1"/>
  <c r="C394" i="12" s="1"/>
  <c r="I569" i="2" s="1"/>
  <c r="H417" i="12" a="1"/>
  <c r="H417" i="12" s="1"/>
  <c r="C417" i="12" s="1" a="1"/>
  <c r="C417" i="12" s="1"/>
  <c r="H216" i="12" a="1"/>
  <c r="H216" i="12" s="1"/>
  <c r="C216" i="12" s="1" a="1"/>
  <c r="C216" i="12" s="1"/>
  <c r="I38" i="8" s="1" a="1"/>
  <c r="I38" i="8" s="1"/>
  <c r="Y636" i="12" a="1"/>
  <c r="Y636" i="12" s="1"/>
  <c r="E8" i="5" a="1"/>
  <c r="E8" i="5" s="1"/>
  <c r="E10" i="4" a="1"/>
  <c r="E10" i="4" s="1"/>
  <c r="J13" i="2" a="1"/>
  <c r="J13" i="2" s="1"/>
  <c r="H537" i="12" a="1"/>
  <c r="H537" i="12" s="1"/>
  <c r="C537" i="12" s="1" a="1"/>
  <c r="C537" i="12" s="1"/>
  <c r="I419" i="2" s="1"/>
  <c r="H171" i="12" a="1"/>
  <c r="H171" i="12" s="1"/>
  <c r="C171" i="12" s="1" a="1"/>
  <c r="C171" i="12" s="1"/>
  <c r="I327" i="2" s="1"/>
  <c r="H148" i="12" a="1"/>
  <c r="H148" i="12" s="1"/>
  <c r="C148" i="12" s="1" a="1"/>
  <c r="C148" i="12" s="1"/>
  <c r="I89" i="2" s="1"/>
  <c r="H195" i="12" a="1"/>
  <c r="H195" i="12" s="1"/>
  <c r="C195" i="12" s="1" a="1"/>
  <c r="C195" i="12" s="1"/>
  <c r="I310" i="2" s="1"/>
  <c r="H337" i="12" a="1"/>
  <c r="H337" i="12" s="1"/>
  <c r="C337" i="12" s="1" a="1"/>
  <c r="C337" i="12" s="1"/>
  <c r="I108" i="8" s="1" a="1"/>
  <c r="I108" i="8" s="1"/>
  <c r="Y656" i="12" a="1"/>
  <c r="Y656" i="12" s="1"/>
  <c r="H182" i="12" a="1"/>
  <c r="H182" i="12" s="1"/>
  <c r="C182" i="12" s="1" a="1"/>
  <c r="C182" i="12" s="1"/>
  <c r="I70" i="2" s="1"/>
  <c r="Y665" i="12" a="1"/>
  <c r="Y665" i="12" s="1"/>
  <c r="H439" i="12" a="1"/>
  <c r="H439" i="12" s="1"/>
  <c r="C439" i="12" s="1" a="1"/>
  <c r="C439" i="12" s="1"/>
  <c r="I110" i="8" s="1" a="1"/>
  <c r="I110" i="8" s="1"/>
  <c r="H210" i="12" a="1"/>
  <c r="H210" i="12" s="1"/>
  <c r="C210" i="12" s="1" a="1"/>
  <c r="C210" i="12" s="1"/>
  <c r="I373" i="2" s="1"/>
  <c r="AD635" i="12" a="1"/>
  <c r="AD635" i="12" s="1"/>
  <c r="H86" i="12" a="1"/>
  <c r="H86" i="12" s="1"/>
  <c r="C86" i="12" s="1" a="1"/>
  <c r="C86" i="12" s="1"/>
  <c r="I20" i="8" s="1" a="1"/>
  <c r="I20" i="8" s="1"/>
  <c r="H199" i="12" a="1"/>
  <c r="H199" i="12" s="1"/>
  <c r="C199" i="12" s="1" a="1"/>
  <c r="C199" i="12" s="1"/>
  <c r="I317" i="2" s="1"/>
  <c r="H573" i="12" a="1"/>
  <c r="H573" i="12" s="1"/>
  <c r="C573" i="12" s="1" a="1"/>
  <c r="C573" i="12" s="1"/>
  <c r="I401" i="2" s="1"/>
  <c r="H200" i="12" a="1"/>
  <c r="H200" i="12" s="1"/>
  <c r="C200" i="12" s="1" a="1"/>
  <c r="C200" i="12" s="1"/>
  <c r="I29" i="8" s="1" a="1"/>
  <c r="I29" i="8" s="1"/>
  <c r="H130" i="12" a="1"/>
  <c r="H130" i="12" s="1"/>
  <c r="C130" i="12" s="1" a="1"/>
  <c r="C130" i="12" s="1"/>
  <c r="I16" i="8" s="1" a="1"/>
  <c r="I16" i="8" s="1"/>
  <c r="H17" i="12" a="1"/>
  <c r="H17" i="12" s="1"/>
  <c r="C17" i="12" s="1" a="1"/>
  <c r="C17" i="12" s="1"/>
  <c r="I22" i="2" s="1"/>
  <c r="AC613" i="12" a="1"/>
  <c r="AC613" i="12" s="1"/>
  <c r="AD669" i="12" a="1"/>
  <c r="AD669" i="12" s="1"/>
  <c r="Q25" i="3" a="1"/>
  <c r="Q25" i="3" s="1"/>
  <c r="AD645" i="12" a="1"/>
  <c r="AD645" i="12" s="1"/>
  <c r="AD611" i="12" a="1"/>
  <c r="AD611" i="12" s="1"/>
  <c r="AD633" i="12" a="1"/>
  <c r="AD633" i="12" s="1"/>
  <c r="AD612" i="12" a="1"/>
  <c r="AD612" i="12" s="1"/>
  <c r="H87" i="12" a="1"/>
  <c r="H87" i="12" s="1"/>
  <c r="C87" i="12" s="1" a="1"/>
  <c r="C87" i="12" s="1"/>
  <c r="I143" i="2" s="1"/>
  <c r="H127" i="12" a="1"/>
  <c r="H127" i="12" s="1"/>
  <c r="C127" i="12" s="1" a="1"/>
  <c r="C127" i="12" s="1"/>
  <c r="I187" i="2" s="1"/>
  <c r="H70" i="12" a="1"/>
  <c r="H70" i="12" s="1"/>
  <c r="C70" i="12" s="1" a="1"/>
  <c r="C70" i="12" s="1"/>
  <c r="I133" i="2" s="1"/>
  <c r="AC661" i="12" a="1"/>
  <c r="AC661" i="12" s="1"/>
  <c r="H476" i="12" a="1"/>
  <c r="H476" i="12" s="1"/>
  <c r="C476" i="12" s="1" a="1"/>
  <c r="C476" i="12" s="1"/>
  <c r="I307" i="2" s="1"/>
  <c r="H496" i="12" a="1"/>
  <c r="H496" i="12" s="1"/>
  <c r="C496" i="12" s="1" a="1"/>
  <c r="C496" i="12" s="1"/>
  <c r="I90" i="8" s="1" a="1"/>
  <c r="I90" i="8" s="1"/>
  <c r="AC645" i="12" a="1"/>
  <c r="AC645" i="12" s="1"/>
  <c r="AD663" i="12" a="1"/>
  <c r="AD663" i="12" s="1"/>
  <c r="H193" i="12" a="1"/>
  <c r="H193" i="12" s="1"/>
  <c r="C193" i="12" s="1" a="1"/>
  <c r="C193" i="12" s="1"/>
  <c r="I343" i="2" s="1"/>
  <c r="H493" i="12" a="1"/>
  <c r="H493" i="12" s="1"/>
  <c r="C493" i="12" s="1" a="1"/>
  <c r="C493" i="12" s="1"/>
  <c r="I314" i="2" s="1"/>
  <c r="H40" i="12" a="1"/>
  <c r="H40" i="12" s="1"/>
  <c r="C40" i="12" s="1" a="1"/>
  <c r="C40" i="12" s="1"/>
  <c r="I73" i="2" s="1"/>
  <c r="H58" i="12" a="1"/>
  <c r="H58" i="12" s="1"/>
  <c r="C58" i="12" s="1" a="1"/>
  <c r="C58" i="12" s="1"/>
  <c r="I125" i="2" s="1"/>
  <c r="AD619" i="12" a="1"/>
  <c r="AD619" i="12" s="1"/>
  <c r="H607" i="12" a="1"/>
  <c r="H607" i="12" s="1"/>
  <c r="C607" i="12" s="1" a="1"/>
  <c r="C607" i="12" s="1"/>
  <c r="I73" i="8" s="1" a="1"/>
  <c r="I73" i="8" s="1"/>
  <c r="H383" i="12" a="1"/>
  <c r="H383" i="12" s="1"/>
  <c r="C383" i="12" s="1" a="1"/>
  <c r="C383" i="12" s="1"/>
  <c r="I272" i="2" s="1"/>
  <c r="H43" i="12" a="1"/>
  <c r="H43" i="12" s="1"/>
  <c r="C43" i="12" s="1" a="1"/>
  <c r="C43" i="12" s="1"/>
  <c r="I83" i="2" s="1"/>
  <c r="H250" i="12" a="1"/>
  <c r="H250" i="12" s="1"/>
  <c r="C250" i="12" s="1" a="1"/>
  <c r="C250" i="12" s="1"/>
  <c r="I52" i="8" s="1" a="1"/>
  <c r="I52" i="8" s="1"/>
  <c r="H312" i="12" a="1"/>
  <c r="H312" i="12" s="1"/>
  <c r="C312" i="12" s="1" a="1"/>
  <c r="C312" i="12" s="1"/>
  <c r="I175" i="2" s="1"/>
  <c r="H469" i="12" a="1"/>
  <c r="H469" i="12" s="1"/>
  <c r="C469" i="12" s="1" a="1"/>
  <c r="C469" i="12" s="1"/>
  <c r="I107" i="8" s="1" a="1"/>
  <c r="I107" i="8" s="1"/>
  <c r="AD654" i="12" a="1"/>
  <c r="AD654" i="12" s="1"/>
  <c r="H526" i="12" a="1"/>
  <c r="H526" i="12" s="1"/>
  <c r="C526" i="12" s="1" a="1"/>
  <c r="C526" i="12" s="1"/>
  <c r="I312" i="2" s="1"/>
  <c r="H268" i="12" a="1"/>
  <c r="H268" i="12" s="1"/>
  <c r="C268" i="12" s="1" a="1"/>
  <c r="C268" i="12" s="1"/>
  <c r="I412" i="2" s="1"/>
  <c r="H598" i="12" a="1"/>
  <c r="H598" i="12" s="1"/>
  <c r="C598" i="12" s="1" a="1"/>
  <c r="C598" i="12" s="1"/>
  <c r="I195" i="8" s="1" a="1"/>
  <c r="I195" i="8" s="1"/>
  <c r="H62" i="12" a="1"/>
  <c r="H62" i="12" s="1"/>
  <c r="C62" i="12" s="1" a="1"/>
  <c r="C62" i="12" s="1"/>
  <c r="I96" i="2" s="1"/>
  <c r="H113" i="12" a="1"/>
  <c r="H113" i="12" s="1"/>
  <c r="C113" i="12" s="1" a="1"/>
  <c r="C113" i="12" s="1"/>
  <c r="I12" i="8" s="1" a="1"/>
  <c r="I12" i="8" s="1"/>
  <c r="AC637" i="12" a="1"/>
  <c r="AC637" i="12" s="1"/>
  <c r="H204" i="12" a="1"/>
  <c r="H204" i="12" s="1"/>
  <c r="C204" i="12" s="1" a="1"/>
  <c r="C204" i="12" s="1"/>
  <c r="H31" i="12" a="1"/>
  <c r="H31" i="12" s="1"/>
  <c r="C31" i="12" s="1" a="1"/>
  <c r="C31" i="12" s="1"/>
  <c r="I5" i="2" s="1"/>
  <c r="H65" i="12" a="1"/>
  <c r="H65" i="12" s="1"/>
  <c r="C65" i="12" s="1" a="1"/>
  <c r="C65" i="12" s="1"/>
  <c r="I167" i="2" s="1"/>
  <c r="AD630" i="12" a="1"/>
  <c r="AD630" i="12" s="1"/>
  <c r="H586" i="12" a="1"/>
  <c r="H586" i="12" s="1"/>
  <c r="C586" i="12" s="1" a="1"/>
  <c r="C586" i="12" s="1"/>
  <c r="I319" i="2" s="1"/>
  <c r="AC618" i="12" a="1"/>
  <c r="AC618" i="12" s="1"/>
  <c r="H319" i="12" a="1"/>
  <c r="H319" i="12" s="1"/>
  <c r="C319" i="12" s="1" a="1"/>
  <c r="C319" i="12" s="1"/>
  <c r="I511" i="2" s="1"/>
  <c r="H371" i="12" a="1"/>
  <c r="H371" i="12" s="1"/>
  <c r="C371" i="12" s="1" a="1"/>
  <c r="C371" i="12" s="1"/>
  <c r="I581" i="2" s="1"/>
  <c r="H315" i="12" a="1"/>
  <c r="H315" i="12" s="1"/>
  <c r="C315" i="12" s="1" a="1"/>
  <c r="C315" i="12" s="1"/>
  <c r="I444" i="2" s="1"/>
  <c r="H446" i="12" a="1"/>
  <c r="H446" i="12" s="1"/>
  <c r="C446" i="12" s="1" a="1"/>
  <c r="C446" i="12" s="1"/>
  <c r="I601" i="2" s="1"/>
  <c r="AC620" i="12" a="1"/>
  <c r="AC620" i="12" s="1"/>
  <c r="H599" i="12" a="1"/>
  <c r="H599" i="12" s="1"/>
  <c r="C599" i="12" s="1" a="1"/>
  <c r="C599" i="12" s="1"/>
  <c r="I669" i="2" s="1"/>
  <c r="H247" i="12" a="1"/>
  <c r="H247" i="12" s="1"/>
  <c r="C247" i="12" s="1" a="1"/>
  <c r="C247" i="12" s="1"/>
  <c r="I475" i="2" s="1"/>
  <c r="AD660" i="12" a="1"/>
  <c r="AD660" i="12" s="1"/>
  <c r="H447" i="12" a="1"/>
  <c r="H447" i="12" s="1"/>
  <c r="C447" i="12" s="1" a="1"/>
  <c r="C447" i="12" s="1"/>
  <c r="I615" i="2" s="1"/>
  <c r="Y646" i="12" a="1"/>
  <c r="Y646" i="12" s="1"/>
  <c r="H545" i="12" a="1"/>
  <c r="H545" i="12" s="1"/>
  <c r="C545" i="12" s="1" a="1"/>
  <c r="C545" i="12" s="1"/>
  <c r="I656" i="2" s="1"/>
  <c r="H400" i="12" a="1"/>
  <c r="H400" i="12" s="1"/>
  <c r="C400" i="12" s="1" a="1"/>
  <c r="C400" i="12" s="1"/>
  <c r="I553" i="2" s="1"/>
  <c r="H437" i="12" a="1"/>
  <c r="H437" i="12" s="1"/>
  <c r="C437" i="12" s="1" a="1"/>
  <c r="C437" i="12" s="1"/>
  <c r="I602" i="2" s="1"/>
  <c r="H137" i="12" a="1"/>
  <c r="H137" i="12" s="1"/>
  <c r="C137" i="12" s="1" a="1"/>
  <c r="C137" i="12" s="1"/>
  <c r="I528" i="2" s="1"/>
  <c r="H552" i="12" a="1"/>
  <c r="H552" i="12" s="1"/>
  <c r="C552" i="12" s="1" a="1"/>
  <c r="C552" i="12" s="1"/>
  <c r="I596" i="2" s="1"/>
  <c r="H482" i="12" a="1"/>
  <c r="H482" i="12" s="1"/>
  <c r="C482" i="12" s="1" a="1"/>
  <c r="C482" i="12" s="1"/>
  <c r="I612" i="2" s="1"/>
  <c r="H556" i="12" a="1"/>
  <c r="H556" i="12" s="1"/>
  <c r="C556" i="12" s="1" a="1"/>
  <c r="C556" i="12" s="1"/>
  <c r="I331" i="2" s="1"/>
  <c r="H239" i="12" a="1"/>
  <c r="H239" i="12" s="1"/>
  <c r="C239" i="12" s="1" a="1"/>
  <c r="C239" i="12" s="1"/>
  <c r="I413" i="2" s="1"/>
  <c r="H572" i="12" a="1"/>
  <c r="H572" i="12" s="1"/>
  <c r="C572" i="12" s="1" a="1"/>
  <c r="C572" i="12" s="1"/>
  <c r="I202" i="8" s="1" a="1"/>
  <c r="I202" i="8" s="1"/>
  <c r="H353" i="12" a="1"/>
  <c r="H353" i="12" s="1"/>
  <c r="C353" i="12" s="1" a="1"/>
  <c r="C353" i="12" s="1"/>
  <c r="Y647" i="12" a="1"/>
  <c r="Y647" i="12" s="1"/>
  <c r="Y629" i="12" a="1"/>
  <c r="Y629" i="12" s="1"/>
  <c r="H38" i="12" a="1"/>
  <c r="H38" i="12" s="1"/>
  <c r="C38" i="12" s="1" a="1"/>
  <c r="C38" i="12" s="1"/>
  <c r="H521" i="12" a="1"/>
  <c r="H521" i="12" s="1"/>
  <c r="C521" i="12" s="1" a="1"/>
  <c r="C521" i="12" s="1"/>
  <c r="I548" i="2" s="1"/>
  <c r="H284" i="12" a="1"/>
  <c r="H284" i="12" s="1"/>
  <c r="C284" i="12" s="1" a="1"/>
  <c r="C284" i="12" s="1"/>
  <c r="I512" i="2" s="1"/>
  <c r="H516" i="12" a="1"/>
  <c r="H516" i="12" s="1"/>
  <c r="C516" i="12" s="1" a="1"/>
  <c r="C516" i="12" s="1"/>
  <c r="I661" i="2" s="1"/>
  <c r="H254" i="12" a="1"/>
  <c r="H254" i="12" s="1"/>
  <c r="C254" i="12" s="1" a="1"/>
  <c r="C254" i="12" s="1"/>
  <c r="H541" i="12" a="1"/>
  <c r="H541" i="12" s="1"/>
  <c r="C541" i="12" s="1" a="1"/>
  <c r="C541" i="12" s="1"/>
  <c r="I146" i="8" s="1" a="1"/>
  <c r="I146" i="8" s="1"/>
  <c r="H561" i="12" a="1"/>
  <c r="H561" i="12" s="1"/>
  <c r="C561" i="12" s="1" a="1"/>
  <c r="C561" i="12" s="1"/>
  <c r="I421" i="2" s="1"/>
  <c r="H44" i="12" a="1"/>
  <c r="H44" i="12" s="1"/>
  <c r="C44" i="12" s="1" a="1"/>
  <c r="C44" i="12" s="1"/>
  <c r="I35" i="2" s="1"/>
  <c r="H105" i="12" a="1"/>
  <c r="H105" i="12" s="1"/>
  <c r="C105" i="12" s="1" a="1"/>
  <c r="C105" i="12" s="1"/>
  <c r="I120" i="2" s="1"/>
  <c r="H50" i="12" a="1"/>
  <c r="H50" i="12" s="1"/>
  <c r="C50" i="12" s="1" a="1"/>
  <c r="C50" i="12" s="1"/>
  <c r="I41" i="2" s="1"/>
  <c r="Y659" i="12" a="1"/>
  <c r="Y659" i="12" s="1"/>
  <c r="H196" i="12" a="1"/>
  <c r="H196" i="12" s="1"/>
  <c r="C196" i="12" s="1" a="1"/>
  <c r="C196" i="12" s="1"/>
  <c r="I144" i="2" s="1"/>
  <c r="H490" i="12" a="1"/>
  <c r="H490" i="12" s="1"/>
  <c r="C490" i="12" s="1" a="1"/>
  <c r="C490" i="12" s="1"/>
  <c r="I93" i="8" s="1" a="1"/>
  <c r="I93" i="8" s="1"/>
  <c r="H314" i="12" a="1"/>
  <c r="H314" i="12" s="1"/>
  <c r="C314" i="12" s="1" a="1"/>
  <c r="C314" i="12" s="1"/>
  <c r="I53" i="8" s="1" a="1"/>
  <c r="I53" i="8" s="1"/>
  <c r="AD649" i="12" a="1"/>
  <c r="AD649" i="12" s="1"/>
  <c r="H16" i="12" a="1"/>
  <c r="H16" i="12" s="1"/>
  <c r="C16" i="12" s="1" a="1"/>
  <c r="C16" i="12" s="1"/>
  <c r="I7" i="2" s="1"/>
  <c r="AD638" i="12" a="1"/>
  <c r="AD638" i="12" s="1"/>
  <c r="H279" i="12" a="1"/>
  <c r="H279" i="12" s="1"/>
  <c r="C279" i="12" s="1" a="1"/>
  <c r="C279" i="12" s="1"/>
  <c r="I55" i="8" s="1" a="1"/>
  <c r="I55" i="8" s="1"/>
  <c r="AC635" i="12" a="1"/>
  <c r="AC635" i="12" s="1"/>
  <c r="H66" i="12" a="1"/>
  <c r="H66" i="12" s="1"/>
  <c r="C66" i="12" s="1" a="1"/>
  <c r="C66" i="12" s="1"/>
  <c r="I98" i="2" s="1"/>
  <c r="H82" i="12" a="1"/>
  <c r="H82" i="12" s="1"/>
  <c r="C82" i="12" s="1" a="1"/>
  <c r="C82" i="12" s="1"/>
  <c r="I101" i="2" s="1"/>
  <c r="AC659" i="12" a="1"/>
  <c r="AC659" i="12" s="1"/>
  <c r="H33" i="12" a="1"/>
  <c r="H33" i="12" s="1"/>
  <c r="C33" i="12" s="1" a="1"/>
  <c r="C33" i="12" s="1"/>
  <c r="I6" i="8" s="1" a="1"/>
  <c r="I6" i="8" s="1"/>
  <c r="Y625" i="12" a="1"/>
  <c r="Y625" i="12" s="1"/>
  <c r="AC669" i="12" a="1"/>
  <c r="AC669" i="12" s="1"/>
  <c r="P25" i="3" a="1"/>
  <c r="P25" i="3" s="1"/>
  <c r="H145" i="12" a="1"/>
  <c r="H145" i="12" s="1"/>
  <c r="C145" i="12" s="1" a="1"/>
  <c r="C145" i="12" s="1"/>
  <c r="I239" i="2" s="1"/>
  <c r="AC616" i="12" a="1"/>
  <c r="AC616" i="12" s="1"/>
  <c r="H502" i="12" a="1"/>
  <c r="H502" i="12" s="1"/>
  <c r="C502" i="12" s="1" a="1"/>
  <c r="C502" i="12" s="1"/>
  <c r="I283" i="2" s="1"/>
  <c r="H415" i="12" a="1"/>
  <c r="H415" i="12" s="1"/>
  <c r="C415" i="12" s="1" a="1"/>
  <c r="C415" i="12" s="1"/>
  <c r="I342" i="2" s="1"/>
  <c r="H189" i="12" a="1"/>
  <c r="H189" i="12" s="1"/>
  <c r="C189" i="12" s="1" a="1"/>
  <c r="C189" i="12" s="1"/>
  <c r="I30" i="8" s="1" a="1"/>
  <c r="I30" i="8" s="1"/>
  <c r="Y617" i="12" a="1"/>
  <c r="Y617" i="12" s="1"/>
  <c r="H20" i="12" a="1"/>
  <c r="H20" i="12" s="1"/>
  <c r="C20" i="12" s="1" a="1"/>
  <c r="C20" i="12" s="1"/>
  <c r="I14" i="2" s="1"/>
  <c r="H94" i="12" a="1"/>
  <c r="H94" i="12" s="1"/>
  <c r="C94" i="12" s="1" a="1"/>
  <c r="C94" i="12" s="1"/>
  <c r="I139" i="2" s="1"/>
  <c r="H126" i="12" a="1"/>
  <c r="H126" i="12" s="1"/>
  <c r="C126" i="12" s="1" a="1"/>
  <c r="C126" i="12" s="1"/>
  <c r="H220" i="12" a="1"/>
  <c r="H220" i="12" s="1"/>
  <c r="C220" i="12" s="1" a="1"/>
  <c r="C220" i="12" s="1"/>
  <c r="I378" i="2" s="1"/>
  <c r="H412" i="12" a="1"/>
  <c r="H412" i="12" s="1"/>
  <c r="C412" i="12" s="1" a="1"/>
  <c r="C412" i="12" s="1"/>
  <c r="I302" i="2" s="1"/>
  <c r="H549" i="12" a="1"/>
  <c r="H549" i="12" s="1"/>
  <c r="C549" i="12" s="1" a="1"/>
  <c r="C549" i="12" s="1"/>
  <c r="I328" i="2" s="1"/>
  <c r="H212" i="12" a="1"/>
  <c r="H212" i="12" s="1"/>
  <c r="C212" i="12" s="1" a="1"/>
  <c r="C212" i="12" s="1"/>
  <c r="I122" i="2" s="1"/>
  <c r="AC663" i="12" a="1"/>
  <c r="AC663" i="12" s="1"/>
  <c r="H602" i="12" a="1"/>
  <c r="H602" i="12" s="1"/>
  <c r="C602" i="12" s="1" a="1"/>
  <c r="C602" i="12" s="1"/>
  <c r="I172" i="2" s="1"/>
  <c r="H153" i="12" a="1"/>
  <c r="H153" i="12" s="1"/>
  <c r="C153" i="12" s="1" a="1"/>
  <c r="C153" i="12" s="1"/>
  <c r="I237" i="2" s="1"/>
  <c r="H164" i="12" a="1"/>
  <c r="H164" i="12" s="1"/>
  <c r="C164" i="12" s="1" a="1"/>
  <c r="C164" i="12" s="1"/>
  <c r="I258" i="2" s="1"/>
  <c r="H142" i="12" a="1"/>
  <c r="H142" i="12" s="1"/>
  <c r="C142" i="12" s="1" a="1"/>
  <c r="C142" i="12" s="1"/>
  <c r="I231" i="2" s="1"/>
  <c r="H118" i="12" a="1"/>
  <c r="H118" i="12" s="1"/>
  <c r="C118" i="12" s="1" a="1"/>
  <c r="C118" i="12" s="1"/>
  <c r="I24" i="8" s="1" a="1"/>
  <c r="I24" i="8" s="1"/>
  <c r="Y643" i="12" a="1"/>
  <c r="Y643" i="12" s="1"/>
  <c r="L22" i="3" a="1"/>
  <c r="L22" i="3" s="1"/>
  <c r="H363" i="12" a="1"/>
  <c r="H363" i="12" s="1"/>
  <c r="C363" i="12" s="1" a="1"/>
  <c r="C363" i="12" s="1"/>
  <c r="I97" i="8" s="1" a="1"/>
  <c r="I97" i="8" s="1"/>
  <c r="H293" i="12" a="1"/>
  <c r="H293" i="12" s="1"/>
  <c r="C293" i="12" s="1" a="1"/>
  <c r="C293" i="12" s="1"/>
  <c r="I186" i="2" s="1"/>
  <c r="H606" i="12" a="1"/>
  <c r="H606" i="12" s="1"/>
  <c r="C606" i="12" s="1" a="1"/>
  <c r="C606" i="12" s="1"/>
  <c r="I301" i="2" s="1"/>
  <c r="E161" i="4" s="1" a="1"/>
  <c r="E161" i="4" s="1"/>
  <c r="H236" i="12" a="1"/>
  <c r="H236" i="12" s="1"/>
  <c r="C236" i="12" s="1" a="1"/>
  <c r="C236" i="12" s="1"/>
  <c r="H63" i="12" a="1"/>
  <c r="H63" i="12" s="1"/>
  <c r="C63" i="12" s="1" a="1"/>
  <c r="C63" i="12" s="1"/>
  <c r="I7" i="8" s="1" a="1"/>
  <c r="I7" i="8" s="1"/>
  <c r="H494" i="12" a="1"/>
  <c r="H494" i="12" s="1"/>
  <c r="C494" i="12" s="1" a="1"/>
  <c r="C494" i="12" s="1"/>
  <c r="I140" i="8" s="1" a="1"/>
  <c r="I140" i="8" s="1"/>
  <c r="AC654" i="12" a="1"/>
  <c r="AC654" i="12" s="1"/>
  <c r="H188" i="12" a="1"/>
  <c r="H188" i="12" s="1"/>
  <c r="C188" i="12" s="1" a="1"/>
  <c r="C188" i="12" s="1"/>
  <c r="I316" i="2" s="1"/>
  <c r="Y627" i="12" a="1"/>
  <c r="Y627" i="12" s="1"/>
  <c r="H229" i="12" a="1"/>
  <c r="H229" i="12" s="1"/>
  <c r="C229" i="12" s="1" a="1"/>
  <c r="C229" i="12" s="1"/>
  <c r="I295" i="2" s="1"/>
  <c r="AD667" i="12" a="1"/>
  <c r="AD667" i="12" s="1"/>
  <c r="H246" i="12" a="1"/>
  <c r="H246" i="12" s="1"/>
  <c r="C246" i="12" s="1" a="1"/>
  <c r="C246" i="12" s="1"/>
  <c r="I393" i="2" s="1"/>
  <c r="H568" i="12" a="1"/>
  <c r="H568" i="12" s="1"/>
  <c r="C568" i="12" s="1" a="1"/>
  <c r="C568" i="12" s="1"/>
  <c r="I367" i="2" s="1"/>
  <c r="H226" i="12" a="1"/>
  <c r="H226" i="12" s="1"/>
  <c r="C226" i="12" s="1" a="1"/>
  <c r="C226" i="12" s="1"/>
  <c r="I430" i="2" s="1"/>
  <c r="H276" i="12" a="1"/>
  <c r="H276" i="12" s="1"/>
  <c r="C276" i="12" s="1" a="1"/>
  <c r="C276" i="12" s="1"/>
  <c r="I459" i="2" s="1"/>
  <c r="H35" i="12" a="1"/>
  <c r="H35" i="12" s="1"/>
  <c r="C35" i="12" s="1" a="1"/>
  <c r="C35" i="12" s="1"/>
  <c r="I67" i="2" s="1"/>
  <c r="X22" i="3" a="1"/>
  <c r="X22" i="3" s="1"/>
  <c r="Z22" i="3" s="1" a="1"/>
  <c r="Z22" i="3" s="1"/>
  <c r="H36" i="12" a="1"/>
  <c r="H36" i="12" s="1"/>
  <c r="C36" i="12" s="1" a="1"/>
  <c r="C36" i="12" s="1"/>
  <c r="H61" i="12" a="1"/>
  <c r="H61" i="12" s="1"/>
  <c r="C61" i="12" s="1" a="1"/>
  <c r="C61" i="12" s="1"/>
  <c r="AC630" i="12" a="1"/>
  <c r="AC630" i="12" s="1"/>
  <c r="Y654" i="12" a="1"/>
  <c r="Y654" i="12" s="1"/>
  <c r="H179" i="12" a="1"/>
  <c r="H179" i="12" s="1"/>
  <c r="C179" i="12" s="1" a="1"/>
  <c r="C179" i="12" s="1"/>
  <c r="I335" i="2" s="1"/>
  <c r="H248" i="12" a="1"/>
  <c r="H248" i="12" s="1"/>
  <c r="C248" i="12" s="1" a="1"/>
  <c r="C248" i="12" s="1"/>
  <c r="I422" i="2" s="1"/>
  <c r="H501" i="12" a="1"/>
  <c r="H501" i="12" s="1"/>
  <c r="C501" i="12" s="1" a="1"/>
  <c r="C501" i="12" s="1"/>
  <c r="I432" i="2" s="1"/>
  <c r="H272" i="12" a="1"/>
  <c r="H272" i="12" s="1"/>
  <c r="C272" i="12" s="1" a="1"/>
  <c r="C272" i="12" s="1"/>
  <c r="I448" i="2" s="1"/>
  <c r="Y664" i="12" a="1"/>
  <c r="Y664" i="12" s="1"/>
  <c r="H477" i="12" a="1"/>
  <c r="H477" i="12" s="1"/>
  <c r="C477" i="12" s="1" a="1"/>
  <c r="C477" i="12" s="1"/>
  <c r="I652" i="2" s="1"/>
  <c r="H453" i="12" a="1"/>
  <c r="H453" i="12" s="1"/>
  <c r="C453" i="12" s="1" a="1"/>
  <c r="C453" i="12" s="1"/>
  <c r="I606" i="2" s="1"/>
  <c r="H395" i="12" a="1"/>
  <c r="H395" i="12" s="1"/>
  <c r="C395" i="12" s="1" a="1"/>
  <c r="C395" i="12" s="1"/>
  <c r="I617" i="2" s="1"/>
  <c r="H295" i="12" a="1"/>
  <c r="H295" i="12" s="1"/>
  <c r="C295" i="12" s="1" a="1"/>
  <c r="C295" i="12" s="1"/>
  <c r="I442" i="2" s="1"/>
  <c r="H262" i="12" a="1"/>
  <c r="H262" i="12" s="1"/>
  <c r="C262" i="12" s="1" a="1"/>
  <c r="C262" i="12" s="1"/>
  <c r="AC632" i="12" a="1"/>
  <c r="AC632" i="12" s="1"/>
  <c r="H455" i="12" a="1"/>
  <c r="H455" i="12" s="1"/>
  <c r="C455" i="12" s="1" a="1"/>
  <c r="C455" i="12" s="1"/>
  <c r="I586" i="2" s="1"/>
  <c r="H269" i="12" a="1"/>
  <c r="H269" i="12" s="1"/>
  <c r="C269" i="12" s="1" a="1"/>
  <c r="C269" i="12" s="1"/>
  <c r="I453" i="2" s="1"/>
  <c r="H553" i="12" a="1"/>
  <c r="H553" i="12" s="1"/>
  <c r="C553" i="12" s="1" a="1"/>
  <c r="C553" i="12" s="1"/>
  <c r="I646" i="2" s="1"/>
  <c r="H306" i="12" a="1"/>
  <c r="H306" i="12" s="1"/>
  <c r="C306" i="12" s="1" a="1"/>
  <c r="C306" i="12" s="1"/>
  <c r="I517" i="2" s="1"/>
  <c r="H410" i="12" a="1"/>
  <c r="H410" i="12" s="1"/>
  <c r="C410" i="12" s="1" a="1"/>
  <c r="C410" i="12" s="1"/>
  <c r="I613" i="2" s="1"/>
  <c r="E384" i="4" a="1"/>
  <c r="E384" i="4" s="1"/>
  <c r="E201" i="5" a="1"/>
  <c r="E201" i="5" s="1"/>
  <c r="J639" i="2" a="1"/>
  <c r="J639" i="2" s="1"/>
  <c r="H144" i="12" a="1"/>
  <c r="H144" i="12" s="1"/>
  <c r="C144" i="12" s="1" a="1"/>
  <c r="C144" i="12" s="1"/>
  <c r="I61" i="2" s="1"/>
  <c r="Y632" i="12" a="1"/>
  <c r="Y632" i="12" s="1"/>
  <c r="H507" i="12" a="1"/>
  <c r="H507" i="12" s="1"/>
  <c r="C507" i="12" s="1" a="1"/>
  <c r="C507" i="12" s="1"/>
  <c r="I647" i="2" s="1"/>
  <c r="AC664" i="12" a="1"/>
  <c r="AC664" i="12" s="1"/>
  <c r="H261" i="12" a="1"/>
  <c r="H261" i="12" s="1"/>
  <c r="C261" i="12" s="1" a="1"/>
  <c r="C261" i="12" s="1"/>
  <c r="I462" i="2" s="1"/>
  <c r="H593" i="12" a="1"/>
  <c r="H593" i="12" s="1"/>
  <c r="C593" i="12" s="1" a="1"/>
  <c r="C593" i="12" s="1"/>
  <c r="I494" i="2" s="1"/>
  <c r="H525" i="12" a="1"/>
  <c r="H525" i="12" s="1"/>
  <c r="C525" i="12" s="1" a="1"/>
  <c r="C525" i="12" s="1"/>
  <c r="I585" i="2" s="1"/>
  <c r="H386" i="12" a="1"/>
  <c r="H386" i="12" s="1"/>
  <c r="C386" i="12" s="1" a="1"/>
  <c r="C386" i="12" s="1"/>
  <c r="I552" i="2" s="1"/>
  <c r="Y626" i="12" a="1"/>
  <c r="Y626" i="12" s="1"/>
  <c r="H511" i="12" a="1"/>
  <c r="H511" i="12" s="1"/>
  <c r="C511" i="12" s="1" a="1"/>
  <c r="C511" i="12" s="1"/>
  <c r="I190" i="8" s="1" a="1"/>
  <c r="I190" i="8" s="1"/>
  <c r="H155" i="12" a="1"/>
  <c r="H155" i="12" s="1"/>
  <c r="C155" i="12" s="1" a="1"/>
  <c r="C155" i="12" s="1"/>
  <c r="I56" i="2" s="1"/>
  <c r="H146" i="12" a="1"/>
  <c r="H146" i="12" s="1"/>
  <c r="C146" i="12" s="1" a="1"/>
  <c r="C146" i="12" s="1"/>
  <c r="I114" i="2" s="1"/>
  <c r="H377" i="12" a="1"/>
  <c r="H377" i="12" s="1"/>
  <c r="C377" i="12" s="1" a="1"/>
  <c r="C377" i="12" s="1"/>
  <c r="I234" i="2" s="1"/>
  <c r="H92" i="12" a="1"/>
  <c r="H92" i="12" s="1"/>
  <c r="C92" i="12" s="1" a="1"/>
  <c r="C92" i="12" s="1"/>
  <c r="I202" i="2" s="1"/>
  <c r="H11" i="12" a="1"/>
  <c r="H11" i="12" s="1"/>
  <c r="C11" i="12" s="1" a="1"/>
  <c r="C11" i="12" s="1"/>
  <c r="I27" i="2" s="1"/>
  <c r="H7" i="12" a="1"/>
  <c r="H7" i="12" s="1"/>
  <c r="C7" i="12" s="1" a="1"/>
  <c r="C7" i="12" s="1"/>
  <c r="I10" i="2" s="1"/>
  <c r="AD641" i="12" a="1"/>
  <c r="AD641" i="12" s="1"/>
  <c r="H358" i="12" a="1"/>
  <c r="H358" i="12" s="1"/>
  <c r="C358" i="12" s="1" a="1"/>
  <c r="C358" i="12" s="1"/>
  <c r="I215" i="2" s="1"/>
  <c r="H530" i="12" a="1"/>
  <c r="H530" i="12" s="1"/>
  <c r="C530" i="12" s="1" a="1"/>
  <c r="C530" i="12" s="1"/>
  <c r="I162" i="8" s="1" a="1"/>
  <c r="I162" i="8" s="1"/>
  <c r="AC638" i="12" a="1"/>
  <c r="AC638" i="12" s="1"/>
  <c r="H435" i="12" a="1"/>
  <c r="H435" i="12" s="1"/>
  <c r="C435" i="12" s="1" a="1"/>
  <c r="C435" i="12" s="1"/>
  <c r="I332" i="2" s="1"/>
  <c r="H178" i="12" a="1"/>
  <c r="H178" i="12" s="1"/>
  <c r="C178" i="12" s="1" a="1"/>
  <c r="C178" i="12" s="1"/>
  <c r="I32" i="8" s="1" a="1"/>
  <c r="I32" i="8" s="1"/>
  <c r="H425" i="12" a="1"/>
  <c r="H425" i="12" s="1"/>
  <c r="C425" i="12" s="1" a="1"/>
  <c r="C425" i="12" s="1"/>
  <c r="I58" i="8" s="1" a="1"/>
  <c r="I58" i="8" s="1"/>
  <c r="H346" i="12" a="1"/>
  <c r="H346" i="12" s="1"/>
  <c r="C346" i="12" s="1" a="1"/>
  <c r="C346" i="12" s="1"/>
  <c r="I96" i="8" s="1" a="1"/>
  <c r="I96" i="8" s="1"/>
  <c r="H217" i="12" a="1"/>
  <c r="H217" i="12" s="1"/>
  <c r="C217" i="12" s="1" a="1"/>
  <c r="C217" i="12" s="1"/>
  <c r="I287" i="2" s="1"/>
  <c r="T22" i="3" a="1"/>
  <c r="T22" i="3" s="1"/>
  <c r="AE7" i="3" s="1" a="1"/>
  <c r="AE7" i="3" s="1"/>
  <c r="H165" i="12" a="1"/>
  <c r="H165" i="12" s="1"/>
  <c r="C165" i="12" s="1" a="1"/>
  <c r="C165" i="12" s="1"/>
  <c r="I228" i="2" s="1"/>
  <c r="AC639" i="12" a="1"/>
  <c r="AC639" i="12" s="1"/>
  <c r="H128" i="12" a="1"/>
  <c r="H128" i="12" s="1"/>
  <c r="C128" i="12" s="1" a="1"/>
  <c r="C128" i="12" s="1"/>
  <c r="I165" i="2" s="1"/>
  <c r="H257" i="12" a="1"/>
  <c r="H257" i="12" s="1"/>
  <c r="C257" i="12" s="1" a="1"/>
  <c r="C257" i="12" s="1"/>
  <c r="I404" i="2" s="1"/>
  <c r="H170" i="12" a="1"/>
  <c r="H170" i="12" s="1"/>
  <c r="C170" i="12" s="1" a="1"/>
  <c r="C170" i="12" s="1"/>
  <c r="I280" i="2" s="1"/>
  <c r="H245" i="12" a="1"/>
  <c r="H245" i="12" s="1"/>
  <c r="C245" i="12" s="1" a="1"/>
  <c r="C245" i="12" s="1"/>
  <c r="I396" i="2" s="1"/>
  <c r="H263" i="12" a="1"/>
  <c r="H263" i="12" s="1"/>
  <c r="C263" i="12" s="1" a="1"/>
  <c r="C263" i="12" s="1"/>
  <c r="I417" i="2" s="1"/>
  <c r="H149" i="12" a="1"/>
  <c r="H149" i="12" s="1"/>
  <c r="C149" i="12" s="1" a="1"/>
  <c r="C149" i="12" s="1"/>
  <c r="I330" i="2" s="1"/>
  <c r="H463" i="12" a="1"/>
  <c r="H463" i="12" s="1"/>
  <c r="C463" i="12" s="1" a="1"/>
  <c r="C463" i="12" s="1"/>
  <c r="I178" i="8" s="1" a="1"/>
  <c r="I178" i="8" s="1"/>
  <c r="AD658" i="12" a="1"/>
  <c r="AD658" i="12" s="1"/>
  <c r="H452" i="12" a="1"/>
  <c r="H452" i="12" s="1"/>
  <c r="C452" i="12" s="1" a="1"/>
  <c r="C452" i="12" s="1"/>
  <c r="I254" i="2" s="1"/>
  <c r="H85" i="12" a="1"/>
  <c r="H85" i="12" s="1"/>
  <c r="C85" i="12" s="1" a="1"/>
  <c r="C85" i="12" s="1"/>
  <c r="I112" i="2" s="1"/>
  <c r="Q28" i="3" a="1"/>
  <c r="Q28" i="3" s="1"/>
  <c r="P28" i="3" a="1"/>
  <c r="P28" i="3" s="1"/>
  <c r="H60" i="12" a="1"/>
  <c r="H60" i="12" s="1"/>
  <c r="C60" i="12" s="1" a="1"/>
  <c r="C60" i="12" s="1"/>
  <c r="H168" i="12" a="1"/>
  <c r="H168" i="12" s="1"/>
  <c r="C168" i="12" s="1" a="1"/>
  <c r="C168" i="12" s="1"/>
  <c r="I337" i="2" s="1"/>
  <c r="H431" i="12" a="1"/>
  <c r="H431" i="12" s="1"/>
  <c r="C431" i="12" s="1" a="1"/>
  <c r="C431" i="12" s="1"/>
  <c r="I230" i="2" s="1"/>
  <c r="H365" i="12" a="1"/>
  <c r="H365" i="12" s="1"/>
  <c r="C365" i="12" s="1" a="1"/>
  <c r="C365" i="12" s="1"/>
  <c r="I79" i="8" s="1" a="1"/>
  <c r="I79" i="8" s="1"/>
  <c r="AD616" i="12" a="1"/>
  <c r="AD616" i="12" s="1"/>
  <c r="H503" i="12" a="1"/>
  <c r="H503" i="12" s="1"/>
  <c r="C503" i="12" s="1" a="1"/>
  <c r="C503" i="12" s="1"/>
  <c r="I164" i="8" s="1" a="1"/>
  <c r="I164" i="8" s="1"/>
  <c r="H99" i="12" a="1"/>
  <c r="H99" i="12" s="1"/>
  <c r="C99" i="12" s="1" a="1"/>
  <c r="C99" i="12" s="1"/>
  <c r="I160" i="2" s="1"/>
  <c r="H475" i="12" a="1"/>
  <c r="H475" i="12" s="1"/>
  <c r="C475" i="12" s="1" a="1"/>
  <c r="C475" i="12" s="1"/>
  <c r="I400" i="2" s="1"/>
  <c r="H53" i="12" a="1"/>
  <c r="H53" i="12" s="1"/>
  <c r="C53" i="12" s="1" a="1"/>
  <c r="C53" i="12" s="1"/>
  <c r="I79" i="2" s="1"/>
  <c r="H161" i="12" a="1"/>
  <c r="H161" i="12" s="1"/>
  <c r="C161" i="12" s="1" a="1"/>
  <c r="C161" i="12" s="1"/>
  <c r="I181" i="2" s="1"/>
  <c r="H84" i="12" a="1"/>
  <c r="H84" i="12" s="1"/>
  <c r="C84" i="12" s="1" a="1"/>
  <c r="C84" i="12" s="1"/>
  <c r="I150" i="2" s="1"/>
  <c r="H56" i="12" a="1"/>
  <c r="H56" i="12" s="1"/>
  <c r="C56" i="12" s="1" a="1"/>
  <c r="C56" i="12" s="1"/>
  <c r="I68" i="2" s="1"/>
  <c r="H531" i="12" a="1"/>
  <c r="H531" i="12" s="1"/>
  <c r="C531" i="12" s="1" a="1"/>
  <c r="C531" i="12" s="1"/>
  <c r="I359" i="2" s="1"/>
  <c r="AD662" i="12" a="1"/>
  <c r="AD662" i="12" s="1"/>
  <c r="H588" i="12" a="1"/>
  <c r="H588" i="12" s="1"/>
  <c r="C588" i="12" s="1" a="1"/>
  <c r="C588" i="12" s="1"/>
  <c r="I392" i="2" s="1"/>
  <c r="AD665" i="12" a="1"/>
  <c r="AD665" i="12" s="1"/>
  <c r="Y611" i="12" a="1"/>
  <c r="Y611" i="12" s="1"/>
  <c r="H141" i="12" a="1"/>
  <c r="H141" i="12" s="1"/>
  <c r="C141" i="12" s="1" a="1"/>
  <c r="C141" i="12" s="1"/>
  <c r="I290" i="2" s="1"/>
  <c r="Y651" i="12" a="1"/>
  <c r="Y651" i="12" s="1"/>
  <c r="H152" i="12" a="1"/>
  <c r="H152" i="12" s="1"/>
  <c r="C152" i="12" s="1" a="1"/>
  <c r="C152" i="12" s="1"/>
  <c r="I267" i="2" s="1"/>
  <c r="H133" i="12" a="1"/>
  <c r="H133" i="12" s="1"/>
  <c r="C133" i="12" s="1" a="1"/>
  <c r="C133" i="12" s="1"/>
  <c r="I173" i="2" s="1"/>
  <c r="R22" i="3" a="1"/>
  <c r="R22" i="3" s="1"/>
  <c r="H32" i="12" a="1"/>
  <c r="H32" i="12" s="1"/>
  <c r="C32" i="12" s="1" a="1"/>
  <c r="C32" i="12" s="1"/>
  <c r="H88" i="12" a="1"/>
  <c r="H88" i="12" s="1"/>
  <c r="C88" i="12" s="1" a="1"/>
  <c r="C88" i="12" s="1"/>
  <c r="H5" i="12" a="1"/>
  <c r="H5" i="12" s="1"/>
  <c r="C5" i="12" s="1" a="1"/>
  <c r="C5" i="12" s="1"/>
  <c r="I12" i="2" s="1"/>
  <c r="H97" i="12" a="1"/>
  <c r="H97" i="12" s="1"/>
  <c r="C97" i="12" s="1" a="1"/>
  <c r="C97" i="12" s="1"/>
  <c r="I155" i="2" s="1"/>
  <c r="H102" i="12" a="1"/>
  <c r="H102" i="12" s="1"/>
  <c r="C102" i="12" s="1" a="1"/>
  <c r="C102" i="12" s="1"/>
  <c r="I166" i="2" s="1"/>
  <c r="Y657" i="12" a="1"/>
  <c r="Y657" i="12" s="1"/>
  <c r="AC667" i="12" a="1"/>
  <c r="AC667" i="12" s="1"/>
  <c r="H139" i="12" a="1"/>
  <c r="H139" i="12" s="1"/>
  <c r="C139" i="12" s="1" a="1"/>
  <c r="C139" i="12" s="1"/>
  <c r="I245" i="2" s="1"/>
  <c r="H205" i="12" a="1"/>
  <c r="H205" i="12" s="1"/>
  <c r="C205" i="12" s="1" a="1"/>
  <c r="C205" i="12" s="1"/>
  <c r="I300" i="2" s="1"/>
  <c r="H52" i="12" a="1"/>
  <c r="H52" i="12" s="1"/>
  <c r="C52" i="12" s="1" a="1"/>
  <c r="C52" i="12" s="1"/>
  <c r="I62" i="2" s="1"/>
  <c r="AC657" i="12" a="1"/>
  <c r="AC657" i="12" s="1"/>
  <c r="H163" i="12" a="1"/>
  <c r="H163" i="12" s="1"/>
  <c r="C163" i="12" s="1" a="1"/>
  <c r="C163" i="12" s="1"/>
  <c r="I315" i="2" s="1"/>
  <c r="H173" i="12" a="1"/>
  <c r="H173" i="12" s="1"/>
  <c r="C173" i="12" s="1" a="1"/>
  <c r="C173" i="12" s="1"/>
  <c r="I394" i="2" s="1"/>
  <c r="H533" i="12" a="1"/>
  <c r="H533" i="12" s="1"/>
  <c r="C533" i="12" s="1" a="1"/>
  <c r="C533" i="12" s="1"/>
  <c r="I169" i="8" s="1" a="1"/>
  <c r="I169" i="8" s="1"/>
  <c r="H591" i="12" a="1"/>
  <c r="H591" i="12" s="1"/>
  <c r="C591" i="12" s="1" a="1"/>
  <c r="C591" i="12" s="1"/>
  <c r="I200" i="8" s="1" a="1"/>
  <c r="I200" i="8" s="1"/>
  <c r="AC666" i="12" a="1"/>
  <c r="AC666" i="12" s="1"/>
  <c r="Y660" i="12" a="1"/>
  <c r="Y660" i="12" s="1"/>
  <c r="H301" i="12" a="1"/>
  <c r="H301" i="12" s="1"/>
  <c r="C301" i="12" s="1" a="1"/>
  <c r="C301" i="12" s="1"/>
  <c r="H448" i="12" a="1"/>
  <c r="H448" i="12" s="1"/>
  <c r="C448" i="12" s="1" a="1"/>
  <c r="C448" i="12" s="1"/>
  <c r="I563" i="2" s="1"/>
  <c r="AC646" i="12" a="1"/>
  <c r="AC646" i="12" s="1"/>
  <c r="H590" i="12" a="1"/>
  <c r="H590" i="12" s="1"/>
  <c r="C590" i="12" s="1" a="1"/>
  <c r="C590" i="12" s="1"/>
  <c r="I667" i="2" s="1"/>
  <c r="H460" i="12" a="1"/>
  <c r="H460" i="12" s="1"/>
  <c r="C460" i="12" s="1" a="1"/>
  <c r="C460" i="12" s="1"/>
  <c r="I604" i="2" s="1"/>
  <c r="H100" i="12" a="1"/>
  <c r="H100" i="12" s="1"/>
  <c r="C100" i="12" s="1" a="1"/>
  <c r="C100" i="12" s="1"/>
  <c r="I138" i="2" s="1"/>
  <c r="H344" i="12" a="1"/>
  <c r="H344" i="12" s="1"/>
  <c r="C344" i="12" s="1" a="1"/>
  <c r="C344" i="12" s="1"/>
  <c r="I518" i="2" s="1"/>
  <c r="H280" i="12" a="1"/>
  <c r="H280" i="12" s="1"/>
  <c r="C280" i="12" s="1" a="1"/>
  <c r="C280" i="12" s="1"/>
  <c r="I434" i="2" s="1"/>
  <c r="H347" i="12" a="1"/>
  <c r="H347" i="12" s="1"/>
  <c r="C347" i="12" s="1" a="1"/>
  <c r="C347" i="12" s="1"/>
  <c r="I477" i="2" s="1"/>
  <c r="E395" i="4" a="1"/>
  <c r="E395" i="4" s="1"/>
  <c r="E206" i="5" a="1"/>
  <c r="E206" i="5" s="1"/>
  <c r="J650" i="2" a="1"/>
  <c r="J650" i="2" s="1"/>
  <c r="H595" i="12" a="1"/>
  <c r="H595" i="12" s="1"/>
  <c r="C595" i="12" s="1" a="1"/>
  <c r="C595" i="12" s="1"/>
  <c r="I659" i="2" s="1"/>
  <c r="H98" i="12" a="1"/>
  <c r="H98" i="12" s="1"/>
  <c r="C98" i="12" s="1" a="1"/>
  <c r="C98" i="12" s="1"/>
  <c r="I671" i="2" s="1"/>
  <c r="H275" i="12" a="1"/>
  <c r="H275" i="12" s="1"/>
  <c r="C275" i="12" s="1" a="1"/>
  <c r="C275" i="12" s="1"/>
  <c r="I116" i="2" s="1"/>
  <c r="H291" i="12" a="1"/>
  <c r="H291" i="12" s="1"/>
  <c r="C291" i="12" s="1" a="1"/>
  <c r="C291" i="12" s="1"/>
  <c r="I579" i="2" s="1"/>
  <c r="E96" i="7" a="1"/>
  <c r="E96" i="7" s="1"/>
  <c r="E86" i="5" a="1"/>
  <c r="E86" i="5" s="1"/>
  <c r="E171" i="4" a="1"/>
  <c r="E171" i="4" s="1"/>
  <c r="J357" i="2" a="1"/>
  <c r="J357" i="2" s="1"/>
  <c r="H600" i="12" a="1"/>
  <c r="H600" i="12" s="1"/>
  <c r="C600" i="12" s="1" a="1"/>
  <c r="C600" i="12" s="1"/>
  <c r="I542" i="2" s="1"/>
  <c r="H399" i="12" a="1"/>
  <c r="H399" i="12" s="1"/>
  <c r="C399" i="12" s="1" a="1"/>
  <c r="C399" i="12" s="1"/>
  <c r="I559" i="2" s="1"/>
  <c r="E207" i="7" a="1"/>
  <c r="E207" i="7" s="1"/>
  <c r="E399" i="4" a="1"/>
  <c r="E399" i="4" s="1"/>
  <c r="J664" i="2" a="1"/>
  <c r="J664" i="2" s="1"/>
  <c r="H597" i="12" a="1"/>
  <c r="H597" i="12" s="1"/>
  <c r="C597" i="12" s="1" a="1"/>
  <c r="C597" i="12" s="1"/>
  <c r="I440" i="2" s="1"/>
  <c r="H324" i="12" a="1"/>
  <c r="H324" i="12" s="1"/>
  <c r="C324" i="12" s="1" a="1"/>
  <c r="C324" i="12" s="1"/>
  <c r="I590" i="2" s="1"/>
  <c r="H498" i="12" a="1"/>
  <c r="H498" i="12" s="1"/>
  <c r="C498" i="12" s="1" a="1"/>
  <c r="C498" i="12" s="1"/>
  <c r="I598" i="2" s="1"/>
  <c r="H288" i="12" a="1"/>
  <c r="H288" i="12" s="1"/>
  <c r="C288" i="12" s="1" a="1"/>
  <c r="C288" i="12" s="1"/>
  <c r="I540" i="2" s="1"/>
  <c r="H513" i="12" a="1"/>
  <c r="H513" i="12" s="1"/>
  <c r="C513" i="12" s="1" a="1"/>
  <c r="C513" i="12" s="1"/>
  <c r="I649" i="2" s="1"/>
  <c r="H518" i="12" a="1"/>
  <c r="H518" i="12" s="1"/>
  <c r="C518" i="12" s="1" a="1"/>
  <c r="C518" i="12" s="1"/>
  <c r="AD664" i="12" a="1"/>
  <c r="AD664" i="12" s="1"/>
  <c r="H471" i="12" a="1"/>
  <c r="H471" i="12" s="1"/>
  <c r="C471" i="12" s="1" a="1"/>
  <c r="C471" i="12" s="1"/>
  <c r="I592" i="2" s="1"/>
  <c r="H535" i="12" a="1"/>
  <c r="H535" i="12" s="1"/>
  <c r="C535" i="12" s="1" a="1"/>
  <c r="C535" i="12" s="1"/>
  <c r="I591" i="2" s="1"/>
  <c r="H473" i="12" a="1"/>
  <c r="H473" i="12" s="1"/>
  <c r="C473" i="12" s="1" a="1"/>
  <c r="C473" i="12" s="1"/>
  <c r="I633" i="2" s="1"/>
  <c r="H402" i="12" a="1"/>
  <c r="H402" i="12" s="1"/>
  <c r="C402" i="12" s="1" a="1"/>
  <c r="C402" i="12" s="1"/>
  <c r="I570" i="2" s="1"/>
  <c r="H219" i="12" a="1"/>
  <c r="H219" i="12" s="1"/>
  <c r="C219" i="12" s="1" a="1"/>
  <c r="C219" i="12" s="1"/>
  <c r="E155" i="7" a="1"/>
  <c r="E155" i="7" s="1"/>
  <c r="E155" i="5" a="1"/>
  <c r="E155" i="5" s="1"/>
  <c r="E287" i="4" a="1"/>
  <c r="E287" i="4" s="1"/>
  <c r="J547" i="2" a="1"/>
  <c r="J547" i="2" s="1"/>
  <c r="H481" i="12" a="1"/>
  <c r="H481" i="12" s="1"/>
  <c r="C481" i="12" s="1" a="1"/>
  <c r="C481" i="12" s="1"/>
  <c r="I642" i="2" s="1"/>
  <c r="H604" i="12" a="1"/>
  <c r="H604" i="12" s="1"/>
  <c r="C604" i="12" s="1" a="1"/>
  <c r="C604" i="12" s="1"/>
  <c r="I406" i="2" s="1"/>
  <c r="AC658" i="12" a="1"/>
  <c r="AC658" i="12" s="1"/>
  <c r="H432" i="12" a="1"/>
  <c r="H432" i="12" s="1"/>
  <c r="C432" i="12" s="1" a="1"/>
  <c r="C432" i="12" s="1"/>
  <c r="I91" i="8" s="1" a="1"/>
  <c r="I91" i="8" s="1"/>
  <c r="H162" i="12" a="1"/>
  <c r="H162" i="12" s="1"/>
  <c r="C162" i="12" s="1" a="1"/>
  <c r="C162" i="12" s="1"/>
  <c r="I273" i="2" s="1"/>
  <c r="H186" i="12" a="1"/>
  <c r="H186" i="12" s="1"/>
  <c r="C186" i="12" s="1" a="1"/>
  <c r="C186" i="12" s="1"/>
  <c r="I313" i="2" s="1"/>
  <c r="Y669" i="12" a="1"/>
  <c r="Y669" i="12" s="1"/>
  <c r="K25" i="3" a="1"/>
  <c r="K25" i="3" s="1"/>
  <c r="K28" i="3" s="1" a="1"/>
  <c r="K28" i="3" s="1"/>
  <c r="Y623" i="12" a="1"/>
  <c r="Y623" i="12" s="1"/>
  <c r="C623" i="12" s="1" a="1"/>
  <c r="C623" i="12" s="1"/>
  <c r="I18" i="9" s="1" a="1"/>
  <c r="I18" i="9" s="1"/>
  <c r="Y662" i="12" a="1"/>
  <c r="Y662" i="12" s="1"/>
  <c r="H37" i="12" a="1"/>
  <c r="H37" i="12" s="1"/>
  <c r="C37" i="12" s="1" a="1"/>
  <c r="C37" i="12" s="1"/>
  <c r="I69" i="2" s="1"/>
  <c r="H121" i="12" a="1"/>
  <c r="H121" i="12" s="1"/>
  <c r="C121" i="12" s="1" a="1"/>
  <c r="C121" i="12" s="1"/>
  <c r="I156" i="2" s="1"/>
  <c r="H79" i="12" a="1"/>
  <c r="H79" i="12" s="1"/>
  <c r="C79" i="12" s="1" a="1"/>
  <c r="C79" i="12" s="1"/>
  <c r="Y631" i="12" a="1"/>
  <c r="Y631" i="12" s="1"/>
  <c r="C631" i="12" s="1" a="1"/>
  <c r="C631" i="12" s="1"/>
  <c r="I22" i="9" s="1" a="1"/>
  <c r="I22" i="9" s="1"/>
  <c r="AC662" i="12" a="1"/>
  <c r="AC662" i="12" s="1"/>
  <c r="H519" i="12" a="1"/>
  <c r="H519" i="12" s="1"/>
  <c r="C519" i="12" s="1" a="1"/>
  <c r="C519" i="12" s="1"/>
  <c r="I411" i="2" s="1"/>
  <c r="H191" i="12" a="1"/>
  <c r="H191" i="12" s="1"/>
  <c r="C191" i="12" s="1" a="1"/>
  <c r="C191" i="12" s="1"/>
  <c r="I19" i="8" s="1" a="1"/>
  <c r="I19" i="8" s="1"/>
  <c r="H26" i="12" a="1"/>
  <c r="H26" i="12" s="1"/>
  <c r="C26" i="12" s="1" a="1"/>
  <c r="C26" i="12" s="1"/>
  <c r="I6" i="2" s="1"/>
  <c r="M14" i="3" a="1"/>
  <c r="M14" i="3" s="1"/>
  <c r="H8" i="12" a="1"/>
  <c r="H8" i="12" s="1"/>
  <c r="C8" i="12" s="1" a="1"/>
  <c r="C8" i="12" s="1"/>
  <c r="I16" i="2" s="1"/>
  <c r="H305" i="12" a="1"/>
  <c r="H305" i="12" s="1"/>
  <c r="C305" i="12" s="1" a="1"/>
  <c r="C305" i="12" s="1"/>
  <c r="I35" i="8" s="1" a="1"/>
  <c r="I35" i="8" s="1"/>
  <c r="H388" i="12" a="1"/>
  <c r="H388" i="12" s="1"/>
  <c r="C388" i="12" s="1" a="1"/>
  <c r="C388" i="12" s="1"/>
  <c r="I226" i="2" s="1"/>
  <c r="AD629" i="12" a="1"/>
  <c r="AD629" i="12" s="1"/>
  <c r="H547" i="12" a="1"/>
  <c r="H547" i="12" s="1"/>
  <c r="C547" i="12" s="1" a="1"/>
  <c r="C547" i="12" s="1"/>
  <c r="I155" i="8" s="1" a="1"/>
  <c r="I155" i="8" s="1"/>
  <c r="H233" i="12" a="1"/>
  <c r="H233" i="12" s="1"/>
  <c r="C233" i="12" s="1" a="1"/>
  <c r="C233" i="12" s="1"/>
  <c r="I451" i="2" s="1"/>
  <c r="H49" i="12" a="1"/>
  <c r="H49" i="12" s="1"/>
  <c r="C49" i="12" s="1" a="1"/>
  <c r="C49" i="12" s="1"/>
  <c r="S22" i="3" a="1"/>
  <c r="S22" i="3" s="1"/>
  <c r="H140" i="12" a="1"/>
  <c r="H140" i="12" s="1"/>
  <c r="C140" i="12" s="1" a="1"/>
  <c r="C140" i="12" s="1"/>
  <c r="I192" i="2" s="1"/>
  <c r="H183" i="12" a="1"/>
  <c r="H183" i="12" s="1"/>
  <c r="C183" i="12" s="1" a="1"/>
  <c r="C183" i="12" s="1"/>
  <c r="I194" i="2" s="1"/>
  <c r="H209" i="12" a="1"/>
  <c r="H209" i="12" s="1"/>
  <c r="C209" i="12" s="1" a="1"/>
  <c r="C209" i="12" s="1"/>
  <c r="I291" i="2" s="1"/>
  <c r="H514" i="12" a="1"/>
  <c r="H514" i="12" s="1"/>
  <c r="C514" i="12" s="1" a="1"/>
  <c r="C514" i="12" s="1"/>
  <c r="I425" i="2" s="1"/>
  <c r="H51" i="12" a="1"/>
  <c r="H51" i="12" s="1"/>
  <c r="C51" i="12" s="1" a="1"/>
  <c r="C51" i="12" s="1"/>
  <c r="H80" i="12" a="1"/>
  <c r="H80" i="12" s="1"/>
  <c r="C80" i="12" s="1" a="1"/>
  <c r="C80" i="12" s="1"/>
  <c r="I15" i="2" s="1"/>
  <c r="H256" i="12" a="1"/>
  <c r="H256" i="12" s="1"/>
  <c r="C256" i="12" s="1" a="1"/>
  <c r="C256" i="12" s="1"/>
  <c r="I127" i="2" s="1"/>
  <c r="H325" i="12" a="1"/>
  <c r="H325" i="12" s="1"/>
  <c r="C325" i="12" s="1" a="1"/>
  <c r="C325" i="12" s="1"/>
  <c r="I84" i="8" s="1" a="1"/>
  <c r="I84" i="8" s="1"/>
  <c r="H190" i="12" a="1"/>
  <c r="H190" i="12" s="1"/>
  <c r="C190" i="12" s="1" a="1"/>
  <c r="C190" i="12" s="1"/>
  <c r="I318" i="2" s="1"/>
  <c r="H180" i="12" a="1"/>
  <c r="H180" i="12" s="1"/>
  <c r="C180" i="12" s="1" a="1"/>
  <c r="C180" i="12" s="1"/>
  <c r="Y652" i="12" a="1"/>
  <c r="Y652" i="12" s="1"/>
  <c r="C652" i="12" s="1" a="1"/>
  <c r="C652" i="12" s="1"/>
  <c r="I379" i="2" s="1"/>
  <c r="AD643" i="12" a="1"/>
  <c r="AD643" i="12" s="1"/>
  <c r="H59" i="12" a="1"/>
  <c r="H59" i="12" s="1"/>
  <c r="C59" i="12" s="1" a="1"/>
  <c r="C59" i="12" s="1"/>
  <c r="I71" i="2" s="1"/>
  <c r="H19" i="12" a="1"/>
  <c r="H19" i="12" s="1"/>
  <c r="C19" i="12" s="1" a="1"/>
  <c r="C19" i="12" s="1"/>
  <c r="I28" i="2" s="1"/>
  <c r="H119" i="12" a="1"/>
  <c r="H119" i="12" s="1"/>
  <c r="C119" i="12" s="1" a="1"/>
  <c r="C119" i="12" s="1"/>
  <c r="I188" i="2" s="1"/>
  <c r="AD657" i="12" a="1"/>
  <c r="AD657" i="12" s="1"/>
  <c r="H566" i="12" a="1"/>
  <c r="H566" i="12" s="1"/>
  <c r="C566" i="12" s="1" a="1"/>
  <c r="C566" i="12" s="1"/>
  <c r="I424" i="2" s="1"/>
  <c r="H517" i="12" a="1"/>
  <c r="H517" i="12" s="1"/>
  <c r="C517" i="12" s="1" a="1"/>
  <c r="C517" i="12" s="1"/>
  <c r="H577" i="12" a="1"/>
  <c r="H577" i="12" s="1"/>
  <c r="C577" i="12" s="1" a="1"/>
  <c r="C577" i="12" s="1"/>
  <c r="I637" i="2" s="1"/>
  <c r="H326" i="12" a="1"/>
  <c r="H326" i="12" s="1"/>
  <c r="C326" i="12" s="1" a="1"/>
  <c r="C326" i="12" s="1"/>
  <c r="I522" i="2" s="1"/>
  <c r="Y650" i="12" a="1"/>
  <c r="Y650" i="12" s="1"/>
  <c r="H304" i="12" a="1"/>
  <c r="H304" i="12" s="1"/>
  <c r="C304" i="12" s="1" a="1"/>
  <c r="C304" i="12" s="1"/>
  <c r="I546" i="2" s="1"/>
  <c r="E151" i="6" s="1" a="1"/>
  <c r="E151" i="6" s="1"/>
  <c r="H313" i="12" a="1"/>
  <c r="H313" i="12" s="1"/>
  <c r="C313" i="12" s="1" a="1"/>
  <c r="C313" i="12" s="1"/>
  <c r="I488" i="2" s="1"/>
  <c r="AD646" i="12" a="1"/>
  <c r="AD646" i="12" s="1"/>
  <c r="H488" i="12" a="1"/>
  <c r="H488" i="12" s="1"/>
  <c r="C488" i="12" s="1" a="1"/>
  <c r="C488" i="12" s="1"/>
  <c r="I626" i="2" s="1"/>
  <c r="Y670" i="12" a="1"/>
  <c r="Y670" i="12" s="1"/>
  <c r="H565" i="12" a="1"/>
  <c r="H565" i="12" s="1"/>
  <c r="C565" i="12" s="1" a="1"/>
  <c r="C565" i="12" s="1"/>
  <c r="I653" i="2" s="1"/>
  <c r="Y658" i="12" a="1"/>
  <c r="Y658" i="12" s="1"/>
  <c r="H158" i="12" a="1"/>
  <c r="H158" i="12" s="1"/>
  <c r="C158" i="12" s="1" a="1"/>
  <c r="C158" i="12" s="1"/>
  <c r="H436" i="12" a="1"/>
  <c r="H436" i="12" s="1"/>
  <c r="C436" i="12" s="1" a="1"/>
  <c r="C436" i="12" s="1"/>
  <c r="AC668" i="12" a="1"/>
  <c r="AC668" i="12" s="1"/>
  <c r="H409" i="12" a="1"/>
  <c r="H409" i="12" s="1"/>
  <c r="C409" i="12" s="1" a="1"/>
  <c r="C409" i="12" s="1"/>
  <c r="I589" i="2" s="1"/>
  <c r="H581" i="12" a="1"/>
  <c r="H581" i="12" s="1"/>
  <c r="C581" i="12" s="1" a="1"/>
  <c r="C581" i="12" s="1"/>
  <c r="I431" i="2" s="1"/>
  <c r="H351" i="12" a="1"/>
  <c r="H351" i="12" s="1"/>
  <c r="C351" i="12" s="1" a="1"/>
  <c r="C351" i="12" s="1"/>
  <c r="I524" i="2" s="1"/>
  <c r="H104" i="12" a="1"/>
  <c r="H104" i="12" s="1"/>
  <c r="C104" i="12" s="1" a="1"/>
  <c r="C104" i="12" s="1"/>
  <c r="H331" i="12" a="1"/>
  <c r="H331" i="12" s="1"/>
  <c r="C331" i="12" s="1" a="1"/>
  <c r="C331" i="12" s="1"/>
  <c r="I508" i="2" s="1"/>
  <c r="H117" i="12" a="1"/>
  <c r="H117" i="12" s="1"/>
  <c r="C117" i="12" s="1" a="1"/>
  <c r="C117" i="12" s="1"/>
  <c r="AC612" i="12" a="1"/>
  <c r="AC612" i="12" s="1"/>
  <c r="H596" i="12" a="1"/>
  <c r="H596" i="12" s="1"/>
  <c r="C596" i="12" s="1" a="1"/>
  <c r="C596" i="12" s="1"/>
  <c r="I467" i="2" s="1"/>
  <c r="H381" i="12" a="1"/>
  <c r="H381" i="12" s="1"/>
  <c r="C381" i="12" s="1" a="1"/>
  <c r="C381" i="12" s="1"/>
  <c r="Y666" i="12" a="1"/>
  <c r="Y666" i="12" s="1"/>
  <c r="AD610" i="12" a="1"/>
  <c r="AD610" i="12" s="1"/>
  <c r="AC609" i="12" a="1"/>
  <c r="AC609" i="12" s="1"/>
  <c r="H366" i="12" a="1"/>
  <c r="H366" i="12" s="1"/>
  <c r="C366" i="12" s="1" a="1"/>
  <c r="C366" i="12" s="1"/>
  <c r="I94" i="8" s="1" a="1"/>
  <c r="I94" i="8" s="1"/>
  <c r="H225" i="12" a="1"/>
  <c r="H225" i="12" s="1"/>
  <c r="C225" i="12" s="1" a="1"/>
  <c r="C225" i="12" s="1"/>
  <c r="I371" i="2" s="1"/>
  <c r="H584" i="12" a="1"/>
  <c r="H584" i="12" s="1"/>
  <c r="C584" i="12" s="1" a="1"/>
  <c r="C584" i="12" s="1"/>
  <c r="I447" i="2" s="1"/>
  <c r="H23" i="12" a="1"/>
  <c r="H23" i="12" s="1"/>
  <c r="C23" i="12" s="1" a="1"/>
  <c r="C23" i="12" s="1"/>
  <c r="I17" i="2" s="1"/>
  <c r="H124" i="12" a="1"/>
  <c r="H124" i="12" s="1"/>
  <c r="C124" i="12" s="1" a="1"/>
  <c r="C124" i="12" s="1"/>
  <c r="H500" i="12" a="1"/>
  <c r="H500" i="12" s="1"/>
  <c r="C500" i="12" s="1" a="1"/>
  <c r="C500" i="12" s="1"/>
  <c r="I141" i="8" s="1" a="1"/>
  <c r="I141" i="8" s="1"/>
  <c r="H277" i="12" a="1"/>
  <c r="H277" i="12" s="1"/>
  <c r="C277" i="12" s="1" a="1"/>
  <c r="C277" i="12" s="1"/>
  <c r="I414" i="2" s="1"/>
  <c r="Y645" i="12" a="1"/>
  <c r="Y645" i="12" s="1"/>
  <c r="H401" i="12" a="1"/>
  <c r="H401" i="12" s="1"/>
  <c r="C401" i="12" s="1" a="1"/>
  <c r="C401" i="12" s="1"/>
  <c r="I80" i="8" s="1" a="1"/>
  <c r="I80" i="8" s="1"/>
  <c r="H22" i="12" a="1"/>
  <c r="H22" i="12" s="1"/>
  <c r="C22" i="12" s="1" a="1"/>
  <c r="C22" i="12" s="1"/>
  <c r="I57" i="2" s="1"/>
  <c r="AD650" i="12" a="1"/>
  <c r="AD650" i="12" s="1"/>
  <c r="H96" i="12" a="1"/>
  <c r="H96" i="12" s="1"/>
  <c r="C96" i="12" s="1" a="1"/>
  <c r="C96" i="12" s="1"/>
  <c r="I134" i="2" s="1"/>
  <c r="H374" i="12" a="1"/>
  <c r="H374" i="12" s="1"/>
  <c r="C374" i="12" s="1" a="1"/>
  <c r="C374" i="12" s="1"/>
  <c r="I113" i="8" s="1" a="1"/>
  <c r="I113" i="8" s="1"/>
  <c r="H559" i="12" a="1"/>
  <c r="H559" i="12" s="1"/>
  <c r="C559" i="12" s="1" a="1"/>
  <c r="C559" i="12" s="1"/>
  <c r="I437" i="2" s="1"/>
  <c r="H235" i="12" a="1"/>
  <c r="H235" i="12" s="1"/>
  <c r="C235" i="12" s="1" a="1"/>
  <c r="C235" i="12" s="1"/>
  <c r="I321" i="2" s="1"/>
  <c r="AD634" i="12" a="1"/>
  <c r="AD634" i="12" s="1"/>
  <c r="H76" i="12" a="1"/>
  <c r="H76" i="12" s="1"/>
  <c r="C76" i="12" s="1" a="1"/>
  <c r="C76" i="12" s="1"/>
  <c r="H45" i="12" a="1"/>
  <c r="H45" i="12" s="1"/>
  <c r="C45" i="12" s="1" a="1"/>
  <c r="C45" i="12" s="1"/>
  <c r="I9" i="8" s="1" a="1"/>
  <c r="I9" i="8" s="1"/>
  <c r="H47" i="12" a="1"/>
  <c r="H47" i="12" s="1"/>
  <c r="C47" i="12" s="1" a="1"/>
  <c r="C47" i="12" s="1"/>
  <c r="I23" i="2" s="1"/>
  <c r="H30" i="12" a="1"/>
  <c r="H30" i="12" s="1"/>
  <c r="C30" i="12" s="1" a="1"/>
  <c r="C30" i="12" s="1"/>
  <c r="I46" i="2" s="1"/>
  <c r="H266" i="12" a="1"/>
  <c r="H266" i="12" s="1"/>
  <c r="C266" i="12" s="1" a="1"/>
  <c r="C266" i="12" s="1"/>
  <c r="I142" i="2" s="1"/>
  <c r="AC656" i="12" a="1"/>
  <c r="AC656" i="12" s="1"/>
  <c r="H46" i="12" a="1"/>
  <c r="H46" i="12" s="1"/>
  <c r="C46" i="12" s="1" a="1"/>
  <c r="C46" i="12" s="1"/>
  <c r="I115" i="2" s="1"/>
  <c r="H403" i="12" a="1"/>
  <c r="H403" i="12" s="1"/>
  <c r="C403" i="12" s="1" a="1"/>
  <c r="C403" i="12" s="1"/>
  <c r="I127" i="8" s="1" a="1"/>
  <c r="I127" i="8" s="1"/>
  <c r="H317" i="12" a="1"/>
  <c r="H317" i="12" s="1"/>
  <c r="C317" i="12" s="1" a="1"/>
  <c r="C317" i="12" s="1"/>
  <c r="I179" i="2" s="1"/>
  <c r="H192" i="12" a="1"/>
  <c r="H192" i="12" s="1"/>
  <c r="C192" i="12" s="1" a="1"/>
  <c r="C192" i="12" s="1"/>
  <c r="I383" i="2" s="1"/>
  <c r="H201" i="12" a="1"/>
  <c r="H201" i="12" s="1"/>
  <c r="C201" i="12" s="1" a="1"/>
  <c r="C201" i="12" s="1"/>
  <c r="I37" i="8" s="1" a="1"/>
  <c r="I37" i="8" s="1"/>
  <c r="P22" i="3" a="1"/>
  <c r="P22" i="3" s="1"/>
  <c r="AC617" i="12" a="1"/>
  <c r="AC617" i="12" s="1"/>
  <c r="H414" i="12" a="1"/>
  <c r="H414" i="12" s="1"/>
  <c r="C414" i="12" s="1" a="1"/>
  <c r="C414" i="12" s="1"/>
  <c r="I102" i="8" s="1" a="1"/>
  <c r="I102" i="8" s="1"/>
  <c r="H107" i="12" a="1"/>
  <c r="H107" i="12" s="1"/>
  <c r="C107" i="12" s="1" a="1"/>
  <c r="C107" i="12" s="1"/>
  <c r="I207" i="2" s="1"/>
  <c r="H203" i="12" a="1"/>
  <c r="H203" i="12" s="1"/>
  <c r="C203" i="12" s="1" a="1"/>
  <c r="C203" i="12" s="1"/>
  <c r="I140" i="2" s="1"/>
  <c r="H194" i="12" a="1"/>
  <c r="H194" i="12" s="1"/>
  <c r="C194" i="12" s="1" a="1"/>
  <c r="C194" i="12" s="1"/>
  <c r="I294" i="2" s="1"/>
  <c r="H327" i="12" a="1"/>
  <c r="H327" i="12" s="1"/>
  <c r="C327" i="12" s="1" a="1"/>
  <c r="C327" i="12" s="1"/>
  <c r="I499" i="2" s="1"/>
  <c r="H571" i="12" a="1"/>
  <c r="H571" i="12" s="1"/>
  <c r="C571" i="12" s="1" a="1"/>
  <c r="C571" i="12" s="1"/>
  <c r="I452" i="2" s="1"/>
  <c r="AC644" i="12" a="1"/>
  <c r="AC644" i="12" s="1"/>
  <c r="H392" i="12" a="1"/>
  <c r="H392" i="12" s="1"/>
  <c r="C392" i="12" s="1" a="1"/>
  <c r="C392" i="12" s="1"/>
  <c r="H512" i="12" a="1"/>
  <c r="H512" i="12" s="1"/>
  <c r="C512" i="12" s="1" a="1"/>
  <c r="C512" i="12" s="1"/>
  <c r="I595" i="2" s="1"/>
  <c r="H529" i="12" a="1"/>
  <c r="H529" i="12" s="1"/>
  <c r="C529" i="12" s="1" a="1"/>
  <c r="C529" i="12" s="1"/>
  <c r="I627" i="2" s="1"/>
  <c r="H570" i="12" a="1"/>
  <c r="H570" i="12" s="1"/>
  <c r="C570" i="12" s="1" a="1"/>
  <c r="C570" i="12" s="1"/>
  <c r="I662" i="2" s="1"/>
  <c r="H464" i="12" a="1"/>
  <c r="H464" i="12" s="1"/>
  <c r="C464" i="12" s="1" a="1"/>
  <c r="C464" i="12" s="1"/>
  <c r="I618" i="2" s="1"/>
  <c r="H270" i="12" a="1"/>
  <c r="H270" i="12" s="1"/>
  <c r="C270" i="12" s="1" a="1"/>
  <c r="C270" i="12" s="1"/>
  <c r="I501" i="2" s="1"/>
  <c r="AD622" i="12" a="1"/>
  <c r="AD622" i="12" s="1"/>
  <c r="H355" i="12" a="1"/>
  <c r="H355" i="12" s="1"/>
  <c r="C355" i="12" s="1" a="1"/>
  <c r="C355" i="12" s="1"/>
  <c r="I539" i="2" s="1"/>
  <c r="H486" i="12" a="1"/>
  <c r="H486" i="12" s="1"/>
  <c r="C486" i="12" s="1" a="1"/>
  <c r="C486" i="12" s="1"/>
  <c r="I597" i="2" s="1"/>
  <c r="H242" i="12" a="1"/>
  <c r="H242" i="12" s="1"/>
  <c r="C242" i="12" s="1" a="1"/>
  <c r="C242" i="12" s="1"/>
  <c r="I493" i="2" s="1"/>
  <c r="AD672" i="12" a="1"/>
  <c r="AD672" i="12" s="1"/>
  <c r="H349" i="12" a="1"/>
  <c r="H349" i="12" s="1"/>
  <c r="C349" i="12" s="1" a="1"/>
  <c r="C349" i="12" s="1"/>
  <c r="I502" i="2" s="1"/>
  <c r="AC611" i="12" a="1"/>
  <c r="AC611" i="12" s="1"/>
  <c r="H444" i="12" a="1"/>
  <c r="H444" i="12" s="1"/>
  <c r="C444" i="12" s="1" a="1"/>
  <c r="C444" i="12" s="1"/>
  <c r="I616" i="2" s="1"/>
  <c r="H278" i="12" a="1"/>
  <c r="H278" i="12" s="1"/>
  <c r="C278" i="12" s="1" a="1"/>
  <c r="C278" i="12" s="1"/>
  <c r="I566" i="2" s="1"/>
  <c r="H287" i="12" a="1"/>
  <c r="H287" i="12" s="1"/>
  <c r="C287" i="12" s="1" a="1"/>
  <c r="C287" i="12" s="1"/>
  <c r="I455" i="2" s="1"/>
  <c r="H316" i="12" a="1"/>
  <c r="H316" i="12" s="1"/>
  <c r="C316" i="12" s="1" a="1"/>
  <c r="C316" i="12" s="1"/>
  <c r="I573" i="2" s="1"/>
  <c r="H320" i="12" a="1"/>
  <c r="H320" i="12" s="1"/>
  <c r="C320" i="12" s="1" a="1"/>
  <c r="C320" i="12" s="1"/>
  <c r="I476" i="2" s="1"/>
  <c r="H111" i="12" a="1"/>
  <c r="H111" i="12" s="1"/>
  <c r="C111" i="12" s="1" a="1"/>
  <c r="C111" i="12" s="1"/>
  <c r="H594" i="12" a="1"/>
  <c r="H594" i="12" s="1"/>
  <c r="C594" i="12" s="1" a="1"/>
  <c r="C594" i="12" s="1"/>
  <c r="I465" i="2" s="1"/>
  <c r="H360" i="12" a="1"/>
  <c r="H360" i="12" s="1"/>
  <c r="C360" i="12" s="1" a="1"/>
  <c r="C360" i="12" s="1"/>
  <c r="I557" i="2" s="1"/>
  <c r="H354" i="12" a="1"/>
  <c r="H354" i="12" s="1"/>
  <c r="C354" i="12" s="1" a="1"/>
  <c r="C354" i="12" s="1"/>
  <c r="I220" i="2" s="1"/>
  <c r="AC647" i="12" a="1"/>
  <c r="AC647" i="12" s="1"/>
  <c r="H132" i="12" a="1"/>
  <c r="H132" i="12" s="1"/>
  <c r="C132" i="12" s="1" a="1"/>
  <c r="C132" i="12" s="1"/>
  <c r="I252" i="2" s="1"/>
  <c r="H283" i="12" a="1"/>
  <c r="H283" i="12" s="1"/>
  <c r="C283" i="12" s="1" a="1"/>
  <c r="C283" i="12" s="1"/>
  <c r="I77" i="8" s="1" a="1"/>
  <c r="I77" i="8" s="1"/>
  <c r="AD647" i="12" a="1"/>
  <c r="AD647" i="12" s="1"/>
  <c r="H34" i="12" a="1"/>
  <c r="H34" i="12" s="1"/>
  <c r="C34" i="12" s="1" a="1"/>
  <c r="C34" i="12" s="1"/>
  <c r="I38" i="2" s="1"/>
  <c r="H451" i="12" a="1"/>
  <c r="H451" i="12" s="1"/>
  <c r="C451" i="12" s="1" a="1"/>
  <c r="C451" i="12" s="1"/>
  <c r="I375" i="2" s="1"/>
  <c r="H243" i="12" a="1"/>
  <c r="H243" i="12" s="1"/>
  <c r="C243" i="12" s="1" a="1"/>
  <c r="C243" i="12" s="1"/>
  <c r="I441" i="2" s="1"/>
  <c r="H174" i="12" a="1"/>
  <c r="H174" i="12" s="1"/>
  <c r="C174" i="12" s="1" a="1"/>
  <c r="C174" i="12" s="1"/>
  <c r="I33" i="8" s="1" a="1"/>
  <c r="I33" i="8" s="1"/>
  <c r="H69" i="12" a="1"/>
  <c r="H69" i="12" s="1"/>
  <c r="C69" i="12" s="1" a="1"/>
  <c r="C69" i="12" s="1"/>
  <c r="I110" i="2" s="1"/>
  <c r="AC633" i="12" a="1"/>
  <c r="AC633" i="12" s="1"/>
  <c r="H39" i="12" a="1"/>
  <c r="H39" i="12" s="1"/>
  <c r="C39" i="12" s="1" a="1"/>
  <c r="C39" i="12" s="1"/>
  <c r="I44" i="2" s="1"/>
  <c r="H232" i="12" a="1"/>
  <c r="H232" i="12" s="1"/>
  <c r="C232" i="12" s="1" a="1"/>
  <c r="C232" i="12" s="1"/>
  <c r="I345" i="2" s="1"/>
  <c r="H12" i="12" a="1"/>
  <c r="H12" i="12" s="1"/>
  <c r="C12" i="12" s="1" a="1"/>
  <c r="C12" i="12" s="1"/>
  <c r="I32" i="2" s="1"/>
  <c r="H21" i="12" a="1"/>
  <c r="H21" i="12" s="1"/>
  <c r="C21" i="12" s="1" a="1"/>
  <c r="C21" i="12" s="1"/>
  <c r="I60" i="2" s="1"/>
  <c r="AD609" i="12" a="1"/>
  <c r="AD609" i="12" s="1"/>
  <c r="AC655" i="12" a="1"/>
  <c r="AC655" i="12" s="1"/>
  <c r="H255" i="12" a="1"/>
  <c r="H255" i="12" s="1"/>
  <c r="C255" i="12" s="1" a="1"/>
  <c r="C255" i="12" s="1"/>
  <c r="I57" i="8" s="1" a="1"/>
  <c r="I57" i="8" s="1"/>
  <c r="H274" i="12" a="1"/>
  <c r="H274" i="12" s="1"/>
  <c r="C274" i="12" s="1" a="1"/>
  <c r="C274" i="12" s="1"/>
  <c r="I350" i="2" s="1"/>
  <c r="H311" i="12" a="1"/>
  <c r="H311" i="12" s="1"/>
  <c r="C311" i="12" s="1" a="1"/>
  <c r="C311" i="12" s="1"/>
  <c r="I466" i="2" s="1"/>
  <c r="H271" i="12" a="1"/>
  <c r="H271" i="12" s="1"/>
  <c r="C271" i="12" s="1" a="1"/>
  <c r="C271" i="12" s="1"/>
  <c r="I438" i="2" s="1"/>
  <c r="AD659" i="12" a="1"/>
  <c r="AD659" i="12" s="1"/>
  <c r="AD627" i="12" a="1"/>
  <c r="AD627" i="12" s="1"/>
  <c r="AC614" i="12" a="1"/>
  <c r="AC614" i="12" s="1"/>
  <c r="H120" i="12" a="1"/>
  <c r="H120" i="12" s="1"/>
  <c r="C120" i="12" s="1" a="1"/>
  <c r="C120" i="12" s="1"/>
  <c r="I213" i="2" s="1"/>
  <c r="H495" i="12" a="1"/>
  <c r="H495" i="12" s="1"/>
  <c r="C495" i="12" s="1" a="1"/>
  <c r="C495" i="12" s="1"/>
  <c r="I380" i="2" s="1"/>
  <c r="V22" i="3" a="1"/>
  <c r="V22" i="3" s="1"/>
  <c r="AC615" i="12" a="1"/>
  <c r="AC615" i="12" s="1"/>
  <c r="C615" i="12" s="1" a="1"/>
  <c r="C615" i="12" s="1"/>
  <c r="I271" i="2" s="1"/>
  <c r="H89" i="12" a="1"/>
  <c r="H89" i="12" s="1"/>
  <c r="C89" i="12" s="1" a="1"/>
  <c r="C89" i="12" s="1"/>
  <c r="I141" i="2" s="1"/>
  <c r="H408" i="12" a="1"/>
  <c r="H408" i="12" s="1"/>
  <c r="C408" i="12" s="1" a="1"/>
  <c r="C408" i="12" s="1"/>
  <c r="I334" i="2" s="1"/>
  <c r="H83" i="12" a="1"/>
  <c r="H83" i="12" s="1"/>
  <c r="C83" i="12" s="1" a="1"/>
  <c r="C83" i="12" s="1"/>
  <c r="I408" i="2" s="1"/>
  <c r="H42" i="12" a="1"/>
  <c r="H42" i="12" s="1"/>
  <c r="C42" i="12" s="1" a="1"/>
  <c r="C42" i="12" s="1"/>
  <c r="I52" i="2" s="1"/>
  <c r="H296" i="12" a="1"/>
  <c r="H296" i="12" s="1"/>
  <c r="C296" i="12" s="1" a="1"/>
  <c r="C296" i="12" s="1"/>
  <c r="I184" i="2" s="1"/>
  <c r="Y614" i="12" a="1"/>
  <c r="Y614" i="12" s="1"/>
  <c r="H499" i="12" a="1"/>
  <c r="H499" i="12" s="1"/>
  <c r="C499" i="12" s="1" a="1"/>
  <c r="C499" i="12" s="1"/>
  <c r="I390" i="2" s="1"/>
  <c r="H224" i="12" a="1"/>
  <c r="H224" i="12" s="1"/>
  <c r="C224" i="12" s="1" a="1"/>
  <c r="C224" i="12" s="1"/>
  <c r="I36" i="8" s="1" a="1"/>
  <c r="I36" i="8" s="1"/>
  <c r="H370" i="12" a="1"/>
  <c r="H370" i="12" s="1"/>
  <c r="C370" i="12" s="1" a="1"/>
  <c r="C370" i="12" s="1"/>
  <c r="I92" i="8" s="1" a="1"/>
  <c r="I92" i="8" s="1"/>
  <c r="H253" i="12" a="1"/>
  <c r="H253" i="12" s="1"/>
  <c r="C253" i="12" s="1" a="1"/>
  <c r="C253" i="12" s="1"/>
  <c r="I145" i="2" s="1"/>
  <c r="H309" i="12" a="1"/>
  <c r="H309" i="12" s="1"/>
  <c r="C309" i="12" s="1" a="1"/>
  <c r="C309" i="12" s="1"/>
  <c r="I233" i="2" s="1"/>
  <c r="H264" i="12" a="1"/>
  <c r="H264" i="12" s="1"/>
  <c r="C264" i="12" s="1" a="1"/>
  <c r="C264" i="12" s="1"/>
  <c r="I197" i="2" s="1"/>
  <c r="AC650" i="12" a="1"/>
  <c r="AC650" i="12" s="1"/>
  <c r="H90" i="12" a="1"/>
  <c r="H90" i="12" s="1"/>
  <c r="C90" i="12" s="1" a="1"/>
  <c r="C90" i="12" s="1"/>
  <c r="I126" i="2" s="1"/>
  <c r="Y641" i="12" a="1"/>
  <c r="Y641" i="12" s="1"/>
  <c r="H368" i="12" a="1"/>
  <c r="H368" i="12" s="1"/>
  <c r="C368" i="12" s="1" a="1"/>
  <c r="C368" i="12" s="1"/>
  <c r="I216" i="2" s="1"/>
  <c r="AC651" i="12" a="1"/>
  <c r="AC651" i="12" s="1"/>
  <c r="AC653" i="12" a="1"/>
  <c r="AC653" i="12" s="1"/>
  <c r="H330" i="12" a="1"/>
  <c r="H330" i="12" s="1"/>
  <c r="C330" i="12" s="1" a="1"/>
  <c r="C330" i="12" s="1"/>
  <c r="I56" i="8" s="1" a="1"/>
  <c r="I56" i="8" s="1"/>
  <c r="AD636" i="12" a="1"/>
  <c r="AD636" i="12" s="1"/>
  <c r="H422" i="12" a="1"/>
  <c r="H422" i="12" s="1"/>
  <c r="C422" i="12" s="1" a="1"/>
  <c r="C422" i="12" s="1"/>
  <c r="I232" i="2" s="1"/>
  <c r="H228" i="12" a="1"/>
  <c r="H228" i="12" s="1"/>
  <c r="C228" i="12" s="1" a="1"/>
  <c r="C228" i="12" s="1"/>
  <c r="I365" i="2" s="1"/>
  <c r="H169" i="12" a="1"/>
  <c r="H169" i="12" s="1"/>
  <c r="C169" i="12" s="1" a="1"/>
  <c r="C169" i="12" s="1"/>
  <c r="I285" i="2" s="1"/>
  <c r="AD656" i="12" a="1"/>
  <c r="AD656" i="12" s="1"/>
  <c r="H93" i="12" a="1"/>
  <c r="H93" i="12" s="1"/>
  <c r="C93" i="12" s="1" a="1"/>
  <c r="C93" i="12" s="1"/>
  <c r="AD624" i="12" a="1"/>
  <c r="AD624" i="12" s="1"/>
  <c r="H74" i="12" a="1"/>
  <c r="H74" i="12" s="1"/>
  <c r="C74" i="12" s="1" a="1"/>
  <c r="C74" i="12" s="1"/>
  <c r="I103" i="2" s="1"/>
  <c r="AD625" i="12" a="1"/>
  <c r="AD625" i="12" s="1"/>
  <c r="H2" i="12" a="1"/>
  <c r="H2" i="12" s="1"/>
  <c r="C2" i="12" s="1" a="1"/>
  <c r="C2" i="12" s="1"/>
  <c r="I3" i="2" s="1"/>
  <c r="M2" i="3" a="1"/>
  <c r="M2" i="3" s="1"/>
  <c r="H423" i="12" a="1"/>
  <c r="H423" i="12" s="1"/>
  <c r="C423" i="12" s="1" a="1"/>
  <c r="C423" i="12" s="1"/>
  <c r="I71" i="8" s="1" a="1"/>
  <c r="I71" i="8" s="1"/>
  <c r="AD617" i="12" a="1"/>
  <c r="AD617" i="12" s="1"/>
  <c r="H68" i="12" a="1"/>
  <c r="H68" i="12" s="1"/>
  <c r="C68" i="12" s="1" a="1"/>
  <c r="C68" i="12" s="1"/>
  <c r="I129" i="2" s="1"/>
  <c r="H135" i="12" a="1"/>
  <c r="H135" i="12" s="1"/>
  <c r="C135" i="12" s="1" a="1"/>
  <c r="C135" i="12" s="1"/>
  <c r="I244" i="2" s="1"/>
  <c r="H555" i="12" a="1"/>
  <c r="H555" i="12" s="1"/>
  <c r="C555" i="12" s="1" a="1"/>
  <c r="C555" i="12" s="1"/>
  <c r="I458" i="2" s="1"/>
  <c r="AD626" i="12" a="1"/>
  <c r="AD626" i="12" s="1"/>
  <c r="Y644" i="12" a="1"/>
  <c r="Y644" i="12" s="1"/>
  <c r="H391" i="12" a="1"/>
  <c r="H391" i="12" s="1"/>
  <c r="C391" i="12" s="1" a="1"/>
  <c r="C391" i="12" s="1"/>
  <c r="I532" i="2" s="1"/>
  <c r="H359" i="12" a="1"/>
  <c r="H359" i="12" s="1"/>
  <c r="C359" i="12" s="1" a="1"/>
  <c r="C359" i="12" s="1"/>
  <c r="I545" i="2" s="1"/>
  <c r="E172" i="7" a="1"/>
  <c r="E172" i="7" s="1"/>
  <c r="E172" i="5" a="1"/>
  <c r="E172" i="5" s="1"/>
  <c r="E320" i="4" a="1"/>
  <c r="E320" i="4" s="1"/>
  <c r="J585" i="2" a="1"/>
  <c r="J585" i="2" s="1"/>
  <c r="E134" i="7" a="1"/>
  <c r="E134" i="7" s="1"/>
  <c r="E121" i="6" a="1"/>
  <c r="E121" i="6" s="1"/>
  <c r="E233" i="4" a="1"/>
  <c r="E233" i="4" s="1"/>
  <c r="J473" i="2" a="1"/>
  <c r="J473" i="2" s="1"/>
  <c r="H341" i="12" a="1"/>
  <c r="H341" i="12" s="1"/>
  <c r="C341" i="12" s="1" a="1"/>
  <c r="C341" i="12" s="1"/>
  <c r="I551" i="2" s="1"/>
  <c r="H336" i="12" a="1"/>
  <c r="H336" i="12" s="1"/>
  <c r="C336" i="12" s="1" a="1"/>
  <c r="C336" i="12" s="1"/>
  <c r="I538" i="2" s="1"/>
  <c r="H441" i="12" a="1"/>
  <c r="H441" i="12" s="1"/>
  <c r="C441" i="12" s="1" a="1"/>
  <c r="C441" i="12" s="1"/>
  <c r="I634" i="2" s="1"/>
  <c r="Y635" i="12" a="1"/>
  <c r="Y635" i="12" s="1"/>
  <c r="C635" i="12" s="1" a="1"/>
  <c r="C635" i="12" s="1"/>
  <c r="I135" i="2" s="1"/>
  <c r="AC629" i="12" a="1"/>
  <c r="AC629" i="12" s="1"/>
  <c r="H290" i="12" a="1"/>
  <c r="H290" i="12" s="1"/>
  <c r="C290" i="12" s="1" a="1"/>
  <c r="C290" i="12" s="1"/>
  <c r="I497" i="2" s="1"/>
  <c r="E103" i="7" a="1"/>
  <c r="E103" i="7" s="1"/>
  <c r="E92" i="6" a="1"/>
  <c r="E92" i="6" s="1"/>
  <c r="E182" i="4" a="1"/>
  <c r="E182" i="4" s="1"/>
  <c r="J374" i="2" a="1"/>
  <c r="J374" i="2" s="1"/>
  <c r="H465" i="12" a="1"/>
  <c r="H465" i="12" s="1"/>
  <c r="C465" i="12" s="1" a="1"/>
  <c r="C465" i="12" s="1"/>
  <c r="I353" i="2" s="1"/>
  <c r="AC622" i="12" a="1"/>
  <c r="AC622" i="12" s="1"/>
  <c r="H506" i="12" a="1"/>
  <c r="H506" i="12" s="1"/>
  <c r="C506" i="12" s="1" a="1"/>
  <c r="C506" i="12" s="1"/>
  <c r="AC660" i="12" a="1"/>
  <c r="AC660" i="12" s="1"/>
  <c r="H532" i="12" a="1"/>
  <c r="H532" i="12" s="1"/>
  <c r="C532" i="12" s="1" a="1"/>
  <c r="C532" i="12" s="1"/>
  <c r="I587" i="2" s="1"/>
  <c r="H424" i="12" a="1"/>
  <c r="H424" i="12" s="1"/>
  <c r="C424" i="12" s="1" a="1"/>
  <c r="C424" i="12" s="1"/>
  <c r="I629" i="2" s="1"/>
  <c r="H580" i="12" a="1"/>
  <c r="H580" i="12" s="1"/>
  <c r="C580" i="12" s="1" a="1"/>
  <c r="C580" i="12" s="1"/>
  <c r="I668" i="2" s="1"/>
  <c r="H338" i="12" a="1"/>
  <c r="H338" i="12" s="1"/>
  <c r="C338" i="12" s="1" a="1"/>
  <c r="C338" i="12" s="1"/>
  <c r="I520" i="2" s="1"/>
  <c r="Y609" i="12" a="1"/>
  <c r="Y609" i="12" s="1"/>
  <c r="Y630" i="12" a="1"/>
  <c r="Y630" i="12" s="1"/>
  <c r="H373" i="12" a="1"/>
  <c r="H373" i="12" s="1"/>
  <c r="C373" i="12" s="1" a="1"/>
  <c r="C373" i="12" s="1"/>
  <c r="I541" i="2" s="1"/>
  <c r="Y622" i="12" a="1"/>
  <c r="Y622" i="12" s="1"/>
  <c r="Y620" i="12" a="1"/>
  <c r="Y620" i="12" s="1"/>
  <c r="H592" i="12" a="1"/>
  <c r="H592" i="12" s="1"/>
  <c r="C592" i="12" s="1" a="1"/>
  <c r="C592" i="12" s="1"/>
  <c r="I657" i="2" s="1"/>
  <c r="H445" i="12" a="1"/>
  <c r="H445" i="12" s="1"/>
  <c r="C445" i="12" s="1" a="1"/>
  <c r="C445" i="12" s="1"/>
  <c r="H385" i="12" a="1"/>
  <c r="H385" i="12" s="1"/>
  <c r="C385" i="12" s="1" a="1"/>
  <c r="C385" i="12" s="1"/>
  <c r="I556" i="2" s="1"/>
  <c r="H457" i="12" a="1"/>
  <c r="H457" i="12" s="1"/>
  <c r="C457" i="12" s="1" a="1"/>
  <c r="C457" i="12" s="1"/>
  <c r="I398" i="2" s="1"/>
  <c r="H357" i="12" a="1"/>
  <c r="H357" i="12" s="1"/>
  <c r="C357" i="12" s="1" a="1"/>
  <c r="C357" i="12" s="1"/>
  <c r="I558" i="2" s="1"/>
  <c r="H428" i="12" a="1"/>
  <c r="H428" i="12" s="1"/>
  <c r="C428" i="12" s="1" a="1"/>
  <c r="C428" i="12" s="1"/>
  <c r="I631" i="2" s="1"/>
  <c r="H350" i="12" a="1"/>
  <c r="H350" i="12" s="1"/>
  <c r="C350" i="12" s="1" a="1"/>
  <c r="C350" i="12" s="1"/>
  <c r="H352" i="12" a="1"/>
  <c r="H352" i="12" s="1"/>
  <c r="C352" i="12" s="1" a="1"/>
  <c r="C352" i="12" s="1"/>
  <c r="H369" i="12" a="1"/>
  <c r="H369" i="12" s="1"/>
  <c r="C369" i="12" s="1" a="1"/>
  <c r="C369" i="12" s="1"/>
  <c r="E383" i="4" l="1" a="1"/>
  <c r="E383" i="4" s="1"/>
  <c r="J651" i="2" a="1"/>
  <c r="J651" i="2" s="1"/>
  <c r="E200" i="6" a="1"/>
  <c r="E200" i="6" s="1"/>
  <c r="E200" i="5" a="1"/>
  <c r="E200" i="5" s="1"/>
  <c r="E56" i="7" a="1"/>
  <c r="E56" i="7" s="1"/>
  <c r="E98" i="4" a="1"/>
  <c r="E98" i="4" s="1"/>
  <c r="E52" i="5" a="1"/>
  <c r="E52" i="5" s="1"/>
  <c r="J176" i="2" a="1"/>
  <c r="J176" i="2" s="1"/>
  <c r="E292" i="4" a="1"/>
  <c r="E292" i="4" s="1"/>
  <c r="E159" i="5" a="1"/>
  <c r="E159" i="5" s="1"/>
  <c r="J536" i="2" a="1"/>
  <c r="J536" i="2" s="1"/>
  <c r="J533" i="2" a="1"/>
  <c r="J533" i="2" s="1"/>
  <c r="E154" i="5" a="1"/>
  <c r="E154" i="5" s="1"/>
  <c r="E285" i="4" a="1"/>
  <c r="E285" i="4" s="1"/>
  <c r="J661" i="2" a="1"/>
  <c r="J661" i="2" s="1"/>
  <c r="E205" i="7" a="1"/>
  <c r="E205" i="7" s="1"/>
  <c r="E396" i="4" a="1"/>
  <c r="E396" i="4" s="1"/>
  <c r="E34" i="5" a="1"/>
  <c r="E34" i="5" s="1"/>
  <c r="E62" i="4" a="1"/>
  <c r="E62" i="4" s="1"/>
  <c r="J118" i="2" a="1"/>
  <c r="J118" i="2" s="1"/>
  <c r="E33" i="7" a="1"/>
  <c r="E33" i="7" s="1"/>
  <c r="E45" i="7" a="1"/>
  <c r="E45" i="7" s="1"/>
  <c r="E80" i="4" a="1"/>
  <c r="E80" i="4" s="1"/>
  <c r="J147" i="2" a="1"/>
  <c r="J147" i="2" s="1"/>
  <c r="E136" i="6" a="1"/>
  <c r="E136" i="6" s="1"/>
  <c r="E131" i="5" a="1"/>
  <c r="E131" i="5" s="1"/>
  <c r="E256" i="4" a="1"/>
  <c r="E256" i="4" s="1"/>
  <c r="J519" i="2" a="1"/>
  <c r="J519" i="2" s="1"/>
  <c r="E137" i="4" a="1"/>
  <c r="E137" i="4" s="1"/>
  <c r="J276" i="2" a="1"/>
  <c r="J276" i="2" s="1"/>
  <c r="E80" i="7" a="1"/>
  <c r="E80" i="7" s="1"/>
  <c r="E86" i="7" a="1"/>
  <c r="E86" i="7" s="1"/>
  <c r="E74" i="6" a="1"/>
  <c r="E74" i="6" s="1"/>
  <c r="E147" i="4" a="1"/>
  <c r="E147" i="4" s="1"/>
  <c r="J305" i="2" a="1"/>
  <c r="J305" i="2" s="1"/>
  <c r="E106" i="7" a="1"/>
  <c r="E106" i="7" s="1"/>
  <c r="E185" i="4" a="1"/>
  <c r="E185" i="4" s="1"/>
  <c r="E21" i="6" a="1"/>
  <c r="E21" i="6" s="1"/>
  <c r="E23" i="5" a="1"/>
  <c r="E23" i="5" s="1"/>
  <c r="E42" i="4" a="1"/>
  <c r="E42" i="4" s="1"/>
  <c r="J83" i="2" a="1"/>
  <c r="J83" i="2" s="1"/>
  <c r="E157" i="6" a="1"/>
  <c r="E157" i="6" s="1"/>
  <c r="E296" i="4" a="1"/>
  <c r="E296" i="4" s="1"/>
  <c r="J560" i="2" a="1"/>
  <c r="J560" i="2" s="1"/>
  <c r="E24" i="6" a="1"/>
  <c r="E24" i="6" s="1"/>
  <c r="E29" i="5" a="1"/>
  <c r="E29" i="5" s="1"/>
  <c r="E52" i="4" a="1"/>
  <c r="E52" i="4" s="1"/>
  <c r="J101" i="2" a="1"/>
  <c r="J101" i="2" s="1"/>
  <c r="E146" i="7" a="1"/>
  <c r="E146" i="7" s="1"/>
  <c r="E137" i="6" a="1"/>
  <c r="E137" i="6" s="1"/>
  <c r="E257" i="4" a="1"/>
  <c r="E257" i="4" s="1"/>
  <c r="J509" i="2" a="1"/>
  <c r="J509" i="2" s="1"/>
  <c r="E134" i="6" a="1"/>
  <c r="E134" i="6" s="1"/>
  <c r="E254" i="4" a="1"/>
  <c r="E254" i="4" s="1"/>
  <c r="E129" i="5" a="1"/>
  <c r="E129" i="5" s="1"/>
  <c r="J515" i="2" a="1"/>
  <c r="J515" i="2" s="1"/>
  <c r="J666" i="2" a="1"/>
  <c r="J666" i="2" s="1"/>
  <c r="E209" i="5" a="1"/>
  <c r="E209" i="5" s="1"/>
  <c r="E403" i="4" a="1"/>
  <c r="E403" i="4" s="1"/>
  <c r="J648" i="2" a="1"/>
  <c r="J648" i="2" s="1"/>
  <c r="E390" i="4" a="1"/>
  <c r="E390" i="4" s="1"/>
  <c r="E204" i="5" a="1"/>
  <c r="E204" i="5" s="1"/>
  <c r="J503" i="2" a="1"/>
  <c r="J503" i="2" s="1"/>
  <c r="E137" i="5" a="1"/>
  <c r="E137" i="5" s="1"/>
  <c r="E264" i="4" a="1"/>
  <c r="E264" i="4" s="1"/>
  <c r="E11" i="4" a="1"/>
  <c r="E11" i="4" s="1"/>
  <c r="J14" i="2" a="1"/>
  <c r="J14" i="2" s="1"/>
  <c r="E9" i="5" a="1"/>
  <c r="E9" i="5" s="1"/>
  <c r="E93" i="5" a="1"/>
  <c r="E93" i="5" s="1"/>
  <c r="E95" i="6" a="1"/>
  <c r="E95" i="6" s="1"/>
  <c r="E107" i="7" a="1"/>
  <c r="E107" i="7" s="1"/>
  <c r="E186" i="4" a="1"/>
  <c r="E186" i="4" s="1"/>
  <c r="E82" i="6" a="1"/>
  <c r="E82" i="6" s="1"/>
  <c r="E163" i="4" a="1"/>
  <c r="E163" i="4" s="1"/>
  <c r="J335" i="2" a="1"/>
  <c r="J335" i="2" s="1"/>
  <c r="E91" i="7" a="1"/>
  <c r="E91" i="7" s="1"/>
  <c r="E124" i="7" a="1"/>
  <c r="E124" i="7" s="1"/>
  <c r="E216" i="4" a="1"/>
  <c r="E216" i="4" s="1"/>
  <c r="J450" i="2" a="1"/>
  <c r="J450" i="2" s="1"/>
  <c r="E196" i="7" a="1"/>
  <c r="E196" i="7" s="1"/>
  <c r="J636" i="2" a="1"/>
  <c r="J636" i="2" s="1"/>
  <c r="E365" i="4" a="1"/>
  <c r="E365" i="4" s="1"/>
  <c r="E78" i="7" a="1"/>
  <c r="E78" i="7" s="1"/>
  <c r="E133" i="4" a="1"/>
  <c r="E133" i="4" s="1"/>
  <c r="J263" i="2" a="1"/>
  <c r="J263" i="2" s="1"/>
  <c r="E170" i="5" a="1"/>
  <c r="E170" i="5" s="1"/>
  <c r="E318" i="4" a="1"/>
  <c r="E318" i="4" s="1"/>
  <c r="J569" i="2" a="1"/>
  <c r="J569" i="2" s="1"/>
  <c r="I582" i="2"/>
  <c r="I9" i="2"/>
  <c r="I505" i="2"/>
  <c r="I227" i="2"/>
  <c r="I163" i="2"/>
  <c r="I106" i="2"/>
  <c r="I429" i="2"/>
  <c r="I320" i="2"/>
  <c r="I189" i="2"/>
  <c r="I341" i="2"/>
  <c r="I436" i="2"/>
  <c r="I549" i="2"/>
  <c r="E288" i="4" s="1" a="1"/>
  <c r="E288" i="4" s="1"/>
  <c r="I90" i="2"/>
  <c r="J396" i="2" a="1"/>
  <c r="J396" i="2" s="1"/>
  <c r="J100" i="2" a="1"/>
  <c r="J100" i="2" s="1"/>
  <c r="I644" i="2"/>
  <c r="I296" i="2"/>
  <c r="I259" i="2"/>
  <c r="I224" i="2"/>
  <c r="I275" i="2"/>
  <c r="I30" i="2"/>
  <c r="I182" i="2"/>
  <c r="I243" i="2"/>
  <c r="I409" i="2"/>
  <c r="I354" i="2"/>
  <c r="I640" i="2"/>
  <c r="E192" i="6" s="1" a="1"/>
  <c r="E192" i="6" s="1"/>
  <c r="I159" i="2"/>
  <c r="I161" i="2"/>
  <c r="J529" i="2" a="1"/>
  <c r="J529" i="2" s="1"/>
  <c r="I645" i="2"/>
  <c r="J645" i="2" s="1" a="1"/>
  <c r="J645" i="2" s="1"/>
  <c r="E127" i="6" a="1"/>
  <c r="E127" i="6" s="1"/>
  <c r="E119" i="7" a="1"/>
  <c r="E119" i="7" s="1"/>
  <c r="I638" i="2"/>
  <c r="J638" i="2" s="1" a="1"/>
  <c r="J638" i="2" s="1"/>
  <c r="E116" i="7" a="1"/>
  <c r="E116" i="7" s="1"/>
  <c r="J284" i="2" a="1"/>
  <c r="J284" i="2" s="1"/>
  <c r="I100" i="2"/>
  <c r="I238" i="2"/>
  <c r="E64" i="6" s="1" a="1"/>
  <c r="E64" i="6" s="1"/>
  <c r="I104" i="2"/>
  <c r="I262" i="2"/>
  <c r="I36" i="2"/>
  <c r="I349" i="2"/>
  <c r="I49" i="2"/>
  <c r="J49" i="2" s="1" a="1"/>
  <c r="J49" i="2" s="1"/>
  <c r="I225" i="2"/>
  <c r="I113" i="2"/>
  <c r="I382" i="2"/>
  <c r="I574" i="2"/>
  <c r="J574" i="2" s="1" a="1"/>
  <c r="J574" i="2" s="1"/>
  <c r="E162" i="7" a="1"/>
  <c r="E162" i="7" s="1"/>
  <c r="I64" i="2"/>
  <c r="I351" i="2"/>
  <c r="I588" i="2"/>
  <c r="E175" i="7" s="1" a="1"/>
  <c r="E175" i="7" s="1"/>
  <c r="I201" i="2"/>
  <c r="I58" i="2"/>
  <c r="I218" i="2"/>
  <c r="I362" i="2"/>
  <c r="I34" i="2"/>
  <c r="I456" i="2"/>
  <c r="I174" i="2"/>
  <c r="E38" i="6" a="1"/>
  <c r="E38" i="6" s="1"/>
  <c r="I65" i="2"/>
  <c r="E20" i="7" s="1" a="1"/>
  <c r="E20" i="7" s="1"/>
  <c r="I168" i="2"/>
  <c r="E92" i="4" s="1" a="1"/>
  <c r="E92" i="4" s="1"/>
  <c r="E94" i="6" a="1"/>
  <c r="E94" i="6" s="1"/>
  <c r="I149" i="2"/>
  <c r="E36" i="6" s="1" a="1"/>
  <c r="E36" i="6" s="1"/>
  <c r="I482" i="2"/>
  <c r="I76" i="2"/>
  <c r="J76" i="2" s="1" a="1"/>
  <c r="J76" i="2" s="1"/>
  <c r="I86" i="2"/>
  <c r="I274" i="2"/>
  <c r="I498" i="2"/>
  <c r="I128" i="2"/>
  <c r="I92" i="2"/>
  <c r="I284" i="2"/>
  <c r="E141" i="4" s="1" a="1"/>
  <c r="E141" i="4" s="1"/>
  <c r="I266" i="2"/>
  <c r="I338" i="2"/>
  <c r="I242" i="2"/>
  <c r="I339" i="2"/>
  <c r="I282" i="2"/>
  <c r="E133" i="6" a="1"/>
  <c r="E133" i="6" s="1"/>
  <c r="I200" i="2"/>
  <c r="E52" i="6" s="1" a="1"/>
  <c r="E52" i="6" s="1"/>
  <c r="E204" i="7" a="1"/>
  <c r="E204" i="7" s="1"/>
  <c r="E127" i="7" a="1"/>
  <c r="E127" i="7" s="1"/>
  <c r="E40" i="7" a="1"/>
  <c r="E40" i="7" s="1"/>
  <c r="J446" i="2" a="1"/>
  <c r="J446" i="2" s="1"/>
  <c r="E345" i="4" a="1"/>
  <c r="E345" i="4" s="1"/>
  <c r="I191" i="2"/>
  <c r="E104" i="4" s="1" a="1"/>
  <c r="E104" i="4" s="1"/>
  <c r="I529" i="2"/>
  <c r="I278" i="2"/>
  <c r="J278" i="2" s="1" a="1"/>
  <c r="J278" i="2" s="1"/>
  <c r="I336" i="2"/>
  <c r="I504" i="2"/>
  <c r="I253" i="2"/>
  <c r="I59" i="2"/>
  <c r="I268" i="2"/>
  <c r="I78" i="2"/>
  <c r="I358" i="2"/>
  <c r="I269" i="2"/>
  <c r="I491" i="2"/>
  <c r="I486" i="2"/>
  <c r="I154" i="2"/>
  <c r="E51" i="7" s="1" a="1"/>
  <c r="E51" i="7" s="1"/>
  <c r="I251" i="2"/>
  <c r="I99" i="2"/>
  <c r="I298" i="2"/>
  <c r="I43" i="2"/>
  <c r="I105" i="2"/>
  <c r="I308" i="2"/>
  <c r="I256" i="2"/>
  <c r="E37" i="7" a="1"/>
  <c r="E37" i="7" s="1"/>
  <c r="E75" i="5" a="1"/>
  <c r="E75" i="5" s="1"/>
  <c r="E127" i="5" a="1"/>
  <c r="E127" i="5" s="1"/>
  <c r="E22" i="7" a="1"/>
  <c r="E22" i="7" s="1"/>
  <c r="I370" i="2"/>
  <c r="E100" i="7" s="1" a="1"/>
  <c r="E100" i="7" s="1"/>
  <c r="I578" i="2"/>
  <c r="E168" i="7" s="1" a="1"/>
  <c r="E168" i="7" s="1"/>
  <c r="E189" i="4" a="1"/>
  <c r="E189" i="4" s="1"/>
  <c r="E141" i="7" a="1"/>
  <c r="E141" i="7" s="1"/>
  <c r="I623" i="2"/>
  <c r="J623" i="2" s="1" a="1"/>
  <c r="J623" i="2" s="1"/>
  <c r="E156" i="6" a="1"/>
  <c r="E156" i="6" s="1"/>
  <c r="I84" i="2"/>
  <c r="J84" i="2" s="1" a="1"/>
  <c r="J84" i="2" s="1"/>
  <c r="I209" i="2"/>
  <c r="I33" i="2"/>
  <c r="I366" i="2"/>
  <c r="I480" i="2"/>
  <c r="I387" i="2"/>
  <c r="I346" i="2"/>
  <c r="I75" i="2"/>
  <c r="E24" i="5" s="1" a="1"/>
  <c r="E24" i="5" s="1"/>
  <c r="I169" i="2"/>
  <c r="I492" i="2"/>
  <c r="I356" i="2"/>
  <c r="I292" i="2"/>
  <c r="E185" i="7" a="1"/>
  <c r="E185" i="7" s="1"/>
  <c r="E35" i="7" a="1"/>
  <c r="E35" i="7" s="1"/>
  <c r="I124" i="2"/>
  <c r="J124" i="2" s="1" a="1"/>
  <c r="J124" i="2" s="1"/>
  <c r="I470" i="2"/>
  <c r="E123" i="5" s="1" a="1"/>
  <c r="E123" i="5" s="1"/>
  <c r="E82" i="5" a="1"/>
  <c r="E82" i="5" s="1"/>
  <c r="E171" i="7" a="1"/>
  <c r="E171" i="7" s="1"/>
  <c r="I478" i="2"/>
  <c r="E124" i="6" s="1" a="1"/>
  <c r="E124" i="6" s="1"/>
  <c r="I658" i="2"/>
  <c r="E204" i="6" s="1" a="1"/>
  <c r="E204" i="6" s="1"/>
  <c r="I495" i="2"/>
  <c r="I121" i="2"/>
  <c r="J121" i="2" s="1" a="1"/>
  <c r="J121" i="2" s="1"/>
  <c r="I131" i="2"/>
  <c r="I249" i="2"/>
  <c r="I148" i="2"/>
  <c r="E46" i="7" s="1" a="1"/>
  <c r="E46" i="7" s="1"/>
  <c r="I415" i="2"/>
  <c r="J415" i="2" s="1" a="1"/>
  <c r="J415" i="2" s="1"/>
  <c r="I279" i="2"/>
  <c r="I311" i="2"/>
  <c r="I297" i="2"/>
  <c r="I25" i="2"/>
  <c r="I11" i="2"/>
  <c r="E154" i="7" a="1"/>
  <c r="E154" i="7" s="1"/>
  <c r="E60" i="7" a="1"/>
  <c r="E60" i="7" s="1"/>
  <c r="E48" i="5" a="1"/>
  <c r="E48" i="5" s="1"/>
  <c r="E332" i="4" a="1"/>
  <c r="E332" i="4" s="1"/>
  <c r="E114" i="4" a="1"/>
  <c r="E114" i="4" s="1"/>
  <c r="J457" i="2" a="1"/>
  <c r="J457" i="2" s="1"/>
  <c r="E160" i="4" a="1"/>
  <c r="E160" i="4" s="1"/>
  <c r="E7" i="6" a="1"/>
  <c r="E7" i="6" s="1"/>
  <c r="I468" i="2"/>
  <c r="E114" i="5" s="1" a="1"/>
  <c r="E114" i="5" s="1"/>
  <c r="I397" i="2"/>
  <c r="I449" i="2"/>
  <c r="J449" i="2" s="1" a="1"/>
  <c r="J449" i="2" s="1"/>
  <c r="I221" i="2"/>
  <c r="I611" i="2"/>
  <c r="E349" i="4" s="1" a="1"/>
  <c r="E349" i="4" s="1"/>
  <c r="I40" i="2"/>
  <c r="I395" i="2"/>
  <c r="I240" i="2"/>
  <c r="I270" i="2"/>
  <c r="I94" i="2"/>
  <c r="E30" i="5" s="1" a="1"/>
  <c r="E30" i="5" s="1"/>
  <c r="I123" i="2"/>
  <c r="E42" i="5" s="1" a="1"/>
  <c r="E42" i="5" s="1"/>
  <c r="I158" i="2"/>
  <c r="E96" i="4" s="1" a="1"/>
  <c r="E96" i="4" s="1"/>
  <c r="I340" i="2"/>
  <c r="I521" i="2"/>
  <c r="E138" i="6" s="1" a="1"/>
  <c r="E138" i="6" s="1"/>
  <c r="I223" i="2"/>
  <c r="E75" i="7" a="1"/>
  <c r="E75" i="7" s="1"/>
  <c r="I628" i="2"/>
  <c r="E193" i="7" s="1" a="1"/>
  <c r="E193" i="7" s="1"/>
  <c r="I372" i="2"/>
  <c r="E91" i="6" s="1" a="1"/>
  <c r="E91" i="6" s="1"/>
  <c r="E76" i="7" a="1"/>
  <c r="E76" i="7" s="1"/>
  <c r="E80" i="6" a="1"/>
  <c r="E80" i="6" s="1"/>
  <c r="I463" i="2"/>
  <c r="E240" i="4" s="1" a="1"/>
  <c r="E240" i="4" s="1"/>
  <c r="E81" i="6" a="1"/>
  <c r="E81" i="6" s="1"/>
  <c r="E210" i="7" a="1"/>
  <c r="E210" i="7" s="1"/>
  <c r="E107" i="6" a="1"/>
  <c r="E107" i="6" s="1"/>
  <c r="I369" i="2"/>
  <c r="E175" i="4" s="1" a="1"/>
  <c r="E175" i="4" s="1"/>
  <c r="I487" i="2"/>
  <c r="E115" i="5" s="1" a="1"/>
  <c r="E115" i="5" s="1"/>
  <c r="I248" i="2"/>
  <c r="I457" i="2"/>
  <c r="I614" i="2"/>
  <c r="E372" i="4" s="1" a="1"/>
  <c r="E372" i="4" s="1"/>
  <c r="I454" i="2"/>
  <c r="J454" i="2" s="1" a="1"/>
  <c r="J454" i="2" s="1"/>
  <c r="I109" i="2"/>
  <c r="I309" i="2"/>
  <c r="I19" i="2"/>
  <c r="I255" i="2"/>
  <c r="I562" i="2"/>
  <c r="E163" i="7" s="1" a="1"/>
  <c r="E163" i="7" s="1"/>
  <c r="I164" i="2"/>
  <c r="I474" i="2"/>
  <c r="I146" i="2"/>
  <c r="I423" i="2"/>
  <c r="I352" i="2"/>
  <c r="C620" i="12" a="1"/>
  <c r="C620" i="12" s="1"/>
  <c r="C645" i="12" a="1"/>
  <c r="C645" i="12" s="1"/>
  <c r="I50" i="2" s="1"/>
  <c r="C670" i="12" a="1"/>
  <c r="C670" i="12" s="1"/>
  <c r="I580" i="2" s="1"/>
  <c r="C642" i="12" a="1"/>
  <c r="C642" i="12" s="1"/>
  <c r="I576" i="2" s="1"/>
  <c r="C669" i="12" a="1"/>
  <c r="C669" i="12" s="1"/>
  <c r="J194" i="2" a="1"/>
  <c r="J194" i="2" s="1"/>
  <c r="E178" i="5" a="1"/>
  <c r="E178" i="5" s="1"/>
  <c r="J488" i="2" a="1"/>
  <c r="J488" i="2" s="1"/>
  <c r="C644" i="12" a="1"/>
  <c r="C644" i="12" s="1"/>
  <c r="I535" i="2" s="1"/>
  <c r="E250" i="4" a="1"/>
  <c r="E250" i="4" s="1"/>
  <c r="J394" i="2" a="1"/>
  <c r="J394" i="2" s="1"/>
  <c r="E15" i="7" a="1"/>
  <c r="E15" i="7" s="1"/>
  <c r="J343" i="2" a="1"/>
  <c r="J343" i="2" s="1"/>
  <c r="E126" i="4" a="1"/>
  <c r="E126" i="4" s="1"/>
  <c r="AF19" i="3" a="1"/>
  <c r="AF19" i="3" s="1"/>
  <c r="J301" i="2" a="1"/>
  <c r="J301" i="2" s="1"/>
  <c r="AF7" i="3" a="1"/>
  <c r="AF7" i="3" s="1"/>
  <c r="J478" i="2" a="1"/>
  <c r="J478" i="2" s="1"/>
  <c r="E198" i="7" a="1"/>
  <c r="E198" i="7" s="1"/>
  <c r="E286" i="4" a="1"/>
  <c r="E286" i="4" s="1"/>
  <c r="E35" i="4" a="1"/>
  <c r="E35" i="4" s="1"/>
  <c r="E81" i="7" a="1"/>
  <c r="E81" i="7" s="1"/>
  <c r="E192" i="5" a="1"/>
  <c r="E192" i="5" s="1"/>
  <c r="J459" i="2" a="1"/>
  <c r="J459" i="2" s="1"/>
  <c r="AE3" i="3" a="1"/>
  <c r="AE3" i="3" s="1"/>
  <c r="E162" i="4" a="1"/>
  <c r="E162" i="4" s="1"/>
  <c r="E222" i="4" a="1"/>
  <c r="E222" i="4" s="1"/>
  <c r="J555" i="2" a="1"/>
  <c r="J555" i="2" s="1"/>
  <c r="C621" i="12" a="1"/>
  <c r="C621" i="12" s="1"/>
  <c r="I72" i="2" s="1"/>
  <c r="E228" i="4" a="1"/>
  <c r="E228" i="4" s="1"/>
  <c r="E295" i="4" a="1"/>
  <c r="E295" i="4" s="1"/>
  <c r="E160" i="7" a="1"/>
  <c r="E160" i="7" s="1"/>
  <c r="E172" i="6" a="1"/>
  <c r="E172" i="6" s="1"/>
  <c r="E26" i="4" a="1"/>
  <c r="E26" i="4" s="1"/>
  <c r="E324" i="4" a="1"/>
  <c r="E324" i="4" s="1"/>
  <c r="E13" i="6" a="1"/>
  <c r="E13" i="6" s="1"/>
  <c r="J238" i="2" a="1"/>
  <c r="J238" i="2" s="1"/>
  <c r="E74" i="7" a="1"/>
  <c r="E74" i="7" s="1"/>
  <c r="E83" i="7" a="1"/>
  <c r="E83" i="7" s="1"/>
  <c r="J604" i="2" a="1"/>
  <c r="J604" i="2" s="1"/>
  <c r="J614" i="2" a="1"/>
  <c r="J614" i="2" s="1"/>
  <c r="E338" i="4" a="1"/>
  <c r="E338" i="4" s="1"/>
  <c r="J640" i="2" a="1"/>
  <c r="J640" i="2" s="1"/>
  <c r="J561" i="2" a="1"/>
  <c r="J561" i="2" s="1"/>
  <c r="E105" i="4" a="1"/>
  <c r="E105" i="4" s="1"/>
  <c r="E181" i="7" a="1"/>
  <c r="E181" i="7" s="1"/>
  <c r="J546" i="2" a="1"/>
  <c r="J546" i="2" s="1"/>
  <c r="AF9" i="3" a="1"/>
  <c r="AF9" i="3" s="1"/>
  <c r="E232" i="4" a="1"/>
  <c r="E232" i="4" s="1"/>
  <c r="AF18" i="3" a="1"/>
  <c r="AF18" i="3" s="1"/>
  <c r="C632" i="12" a="1"/>
  <c r="C632" i="12" s="1"/>
  <c r="I489" i="2" s="1"/>
  <c r="E116" i="5" a="1"/>
  <c r="E116" i="5" s="1"/>
  <c r="J141" i="2" a="1"/>
  <c r="J141" i="2" s="1"/>
  <c r="E220" i="4" a="1"/>
  <c r="E220" i="4" s="1"/>
  <c r="E272" i="4" a="1"/>
  <c r="E272" i="4" s="1"/>
  <c r="E126" i="7" a="1"/>
  <c r="E126" i="7" s="1"/>
  <c r="E86" i="4" a="1"/>
  <c r="E86" i="4" s="1"/>
  <c r="AF3" i="3" a="1"/>
  <c r="AF3" i="3" s="1"/>
  <c r="J584" i="2" a="1"/>
  <c r="J584" i="2" s="1"/>
  <c r="E151" i="7" a="1"/>
  <c r="E151" i="7" s="1"/>
  <c r="E110" i="5" a="1"/>
  <c r="E110" i="5" s="1"/>
  <c r="E260" i="4" a="1"/>
  <c r="E260" i="4" s="1"/>
  <c r="AF12" i="3" a="1"/>
  <c r="AF12" i="3" s="1"/>
  <c r="J21" i="2" a="1"/>
  <c r="J21" i="2" s="1"/>
  <c r="E171" i="5" a="1"/>
  <c r="E171" i="5" s="1"/>
  <c r="E99" i="7" a="1"/>
  <c r="E99" i="7" s="1"/>
  <c r="E115" i="6" a="1"/>
  <c r="E115" i="6" s="1"/>
  <c r="AE6" i="3" a="1"/>
  <c r="AE6" i="3" s="1"/>
  <c r="E14" i="4" a="1"/>
  <c r="E14" i="4" s="1"/>
  <c r="E168" i="6" a="1"/>
  <c r="E168" i="6" s="1"/>
  <c r="E68" i="4" a="1"/>
  <c r="E68" i="4" s="1"/>
  <c r="C609" i="12" a="1"/>
  <c r="C609" i="12" s="1"/>
  <c r="J597" i="2" a="1"/>
  <c r="J597" i="2" s="1"/>
  <c r="E371" i="4" a="1"/>
  <c r="E371" i="4" s="1"/>
  <c r="E137" i="7" a="1"/>
  <c r="E137" i="7" s="1"/>
  <c r="E143" i="6" a="1"/>
  <c r="E143" i="6" s="1"/>
  <c r="E143" i="5" a="1"/>
  <c r="E143" i="5" s="1"/>
  <c r="E273" i="4" a="1"/>
  <c r="E273" i="4" s="1"/>
  <c r="J538" i="2" a="1"/>
  <c r="J538" i="2" s="1"/>
  <c r="E174" i="7" a="1"/>
  <c r="E174" i="7" s="1"/>
  <c r="E169" i="6" a="1"/>
  <c r="E169" i="6" s="1"/>
  <c r="E322" i="4" a="1"/>
  <c r="E322" i="4" s="1"/>
  <c r="J587" i="2" a="1"/>
  <c r="J587" i="2" s="1"/>
  <c r="E14" i="7" a="1"/>
  <c r="E14" i="7" s="1"/>
  <c r="E15" i="5" a="1"/>
  <c r="E15" i="5" s="1"/>
  <c r="E25" i="4" a="1"/>
  <c r="E25" i="4" s="1"/>
  <c r="J44" i="2" a="1"/>
  <c r="J44" i="2" s="1"/>
  <c r="I188" i="8" a="1"/>
  <c r="I188" i="8" s="1"/>
  <c r="J168" i="2" a="1"/>
  <c r="J168" i="2" s="1"/>
  <c r="I180" i="8" a="1"/>
  <c r="I180" i="8" s="1"/>
  <c r="I4" i="8" a="1"/>
  <c r="I4" i="8" s="1"/>
  <c r="E64" i="4" a="1"/>
  <c r="E64" i="4" s="1"/>
  <c r="I41" i="8" a="1"/>
  <c r="I41" i="8" s="1"/>
  <c r="E59" i="5" a="1"/>
  <c r="E59" i="5" s="1"/>
  <c r="E48" i="7" a="1"/>
  <c r="E48" i="7" s="1"/>
  <c r="E37" i="6" a="1"/>
  <c r="E37" i="6" s="1"/>
  <c r="E45" i="5" a="1"/>
  <c r="E45" i="5" s="1"/>
  <c r="E83" i="4" a="1"/>
  <c r="E83" i="4" s="1"/>
  <c r="J150" i="2" a="1"/>
  <c r="J150" i="2" s="1"/>
  <c r="E53" i="5" a="1"/>
  <c r="E53" i="5" s="1"/>
  <c r="E99" i="4" a="1"/>
  <c r="E99" i="4" s="1"/>
  <c r="J165" i="2" a="1"/>
  <c r="J165" i="2" s="1"/>
  <c r="J202" i="2" a="1"/>
  <c r="J202" i="2" s="1"/>
  <c r="E62" i="7" a="1"/>
  <c r="E62" i="7" s="1"/>
  <c r="E53" i="6" a="1"/>
  <c r="E53" i="6" s="1"/>
  <c r="E57" i="5" a="1"/>
  <c r="E57" i="5" s="1"/>
  <c r="E108" i="4" a="1"/>
  <c r="E108" i="4" s="1"/>
  <c r="E81" i="5" a="1"/>
  <c r="E81" i="5" s="1"/>
  <c r="I123" i="8" a="1"/>
  <c r="I123" i="8" s="1"/>
  <c r="E179" i="4" a="1"/>
  <c r="E179" i="4" s="1"/>
  <c r="I177" i="8" a="1"/>
  <c r="I177" i="8" s="1"/>
  <c r="E95" i="5" a="1"/>
  <c r="E95" i="5" s="1"/>
  <c r="E97" i="6" a="1"/>
  <c r="E97" i="6" s="1"/>
  <c r="I125" i="8" a="1"/>
  <c r="I125" i="8" s="1"/>
  <c r="J412" i="2" a="1"/>
  <c r="J412" i="2" s="1"/>
  <c r="I31" i="8" a="1"/>
  <c r="I31" i="8" s="1"/>
  <c r="E63" i="7" a="1"/>
  <c r="E63" i="7" s="1"/>
  <c r="E109" i="4" a="1"/>
  <c r="E109" i="4" s="1"/>
  <c r="J204" i="2" a="1"/>
  <c r="J204" i="2" s="1"/>
  <c r="I41" i="9" a="1"/>
  <c r="I41" i="9" s="1"/>
  <c r="E191" i="7" a="1"/>
  <c r="E191" i="7" s="1"/>
  <c r="E357" i="4" a="1"/>
  <c r="E357" i="4" s="1"/>
  <c r="J621" i="2" a="1"/>
  <c r="J621" i="2" s="1"/>
  <c r="I60" i="8" a="1"/>
  <c r="I60" i="8" s="1"/>
  <c r="E48" i="4" a="1"/>
  <c r="E48" i="4" s="1"/>
  <c r="E26" i="5" a="1"/>
  <c r="E26" i="5" s="1"/>
  <c r="J87" i="2" a="1"/>
  <c r="J87" i="2" s="1"/>
  <c r="E27" i="7" a="1"/>
  <c r="E27" i="7" s="1"/>
  <c r="E144" i="7" a="1"/>
  <c r="E144" i="7" s="1"/>
  <c r="E126" i="5" a="1"/>
  <c r="E126" i="5" s="1"/>
  <c r="E130" i="6" a="1"/>
  <c r="E130" i="6" s="1"/>
  <c r="E249" i="4" a="1"/>
  <c r="E249" i="4" s="1"/>
  <c r="J497" i="2" a="1"/>
  <c r="J497" i="2" s="1"/>
  <c r="J294" i="2" a="1"/>
  <c r="J294" i="2" s="1"/>
  <c r="E77" i="5" a="1"/>
  <c r="E77" i="5" s="1"/>
  <c r="E156" i="4" a="1"/>
  <c r="E156" i="4" s="1"/>
  <c r="I48" i="8" a="1"/>
  <c r="I48" i="8" s="1"/>
  <c r="I8" i="9" a="1"/>
  <c r="I8" i="9" s="1"/>
  <c r="E90" i="6" a="1"/>
  <c r="E90" i="6" s="1"/>
  <c r="E101" i="7" a="1"/>
  <c r="E101" i="7" s="1"/>
  <c r="E178" i="4" a="1"/>
  <c r="E178" i="4" s="1"/>
  <c r="J371" i="2" a="1"/>
  <c r="J371" i="2" s="1"/>
  <c r="I179" i="8" a="1"/>
  <c r="I179" i="8" s="1"/>
  <c r="E29" i="6" a="1"/>
  <c r="E29" i="6" s="1"/>
  <c r="E370" i="4" a="1"/>
  <c r="E370" i="4" s="1"/>
  <c r="J642" i="2" a="1"/>
  <c r="J642" i="2" s="1"/>
  <c r="I187" i="8" a="1"/>
  <c r="I187" i="8" s="1"/>
  <c r="E210" i="6" a="1"/>
  <c r="E210" i="6" s="1"/>
  <c r="E405" i="4" a="1"/>
  <c r="E405" i="4" s="1"/>
  <c r="J671" i="2" a="1"/>
  <c r="J671" i="2" s="1"/>
  <c r="E42" i="7" a="1"/>
  <c r="E42" i="7" s="1"/>
  <c r="E39" i="5" a="1"/>
  <c r="E39" i="5" s="1"/>
  <c r="E73" i="4" a="1"/>
  <c r="E73" i="4" s="1"/>
  <c r="J138" i="2" a="1"/>
  <c r="J138" i="2" s="1"/>
  <c r="E8" i="4" a="1"/>
  <c r="E8" i="4" s="1"/>
  <c r="J12" i="2" a="1"/>
  <c r="J12" i="2" s="1"/>
  <c r="I88" i="8" a="1"/>
  <c r="I88" i="8" s="1"/>
  <c r="E281" i="4" a="1"/>
  <c r="E281" i="4" s="1"/>
  <c r="E150" i="5" a="1"/>
  <c r="E150" i="5" s="1"/>
  <c r="J552" i="2" a="1"/>
  <c r="J552" i="2" s="1"/>
  <c r="E149" i="6" a="1"/>
  <c r="E149" i="6" s="1"/>
  <c r="J245" i="2" a="1"/>
  <c r="J245" i="2" s="1"/>
  <c r="E73" i="6" a="1"/>
  <c r="E73" i="6" s="1"/>
  <c r="E72" i="5" a="1"/>
  <c r="E72" i="5" s="1"/>
  <c r="E146" i="4" a="1"/>
  <c r="E146" i="4" s="1"/>
  <c r="J316" i="2" a="1"/>
  <c r="J316" i="2" s="1"/>
  <c r="I65" i="8" a="1"/>
  <c r="I65" i="8" s="1"/>
  <c r="I129" i="8" a="1"/>
  <c r="I129" i="8" s="1"/>
  <c r="I172" i="8" a="1"/>
  <c r="I172" i="8" s="1"/>
  <c r="E90" i="7" a="1"/>
  <c r="E90" i="7" s="1"/>
  <c r="E80" i="5" a="1"/>
  <c r="E80" i="5" s="1"/>
  <c r="E190" i="5" a="1"/>
  <c r="E190" i="5" s="1"/>
  <c r="E194" i="6" a="1"/>
  <c r="E194" i="6" s="1"/>
  <c r="E368" i="4" a="1"/>
  <c r="E368" i="4" s="1"/>
  <c r="J641" i="2" a="1"/>
  <c r="J641" i="2" s="1"/>
  <c r="E6" i="5" a="1"/>
  <c r="E6" i="5" s="1"/>
  <c r="E184" i="6" a="1"/>
  <c r="E184" i="6" s="1"/>
  <c r="E347" i="4" a="1"/>
  <c r="E347" i="4" s="1"/>
  <c r="E98" i="5" a="1"/>
  <c r="E98" i="5" s="1"/>
  <c r="E196" i="4" a="1"/>
  <c r="E196" i="4" s="1"/>
  <c r="J391" i="2" a="1"/>
  <c r="J391" i="2" s="1"/>
  <c r="E194" i="4" a="1"/>
  <c r="E194" i="4" s="1"/>
  <c r="I64" i="8" a="1"/>
  <c r="I64" i="8" s="1"/>
  <c r="I159" i="8" a="1"/>
  <c r="I159" i="8" s="1"/>
  <c r="I47" i="8" a="1"/>
  <c r="I47" i="8" s="1"/>
  <c r="E16" i="5" a="1"/>
  <c r="E16" i="5" s="1"/>
  <c r="E31" i="4" a="1"/>
  <c r="E31" i="4" s="1"/>
  <c r="J46" i="2" a="1"/>
  <c r="J46" i="2" s="1"/>
  <c r="E99" i="6" a="1"/>
  <c r="E99" i="6" s="1"/>
  <c r="E96" i="5" a="1"/>
  <c r="E96" i="5" s="1"/>
  <c r="E193" i="4" a="1"/>
  <c r="E193" i="4" s="1"/>
  <c r="J414" i="2" a="1"/>
  <c r="J414" i="2" s="1"/>
  <c r="I182" i="8" a="1"/>
  <c r="I182" i="8" s="1"/>
  <c r="E133" i="5" a="1"/>
  <c r="E133" i="5" s="1"/>
  <c r="I43" i="9" a="1"/>
  <c r="I43" i="9" s="1"/>
  <c r="E76" i="5" a="1"/>
  <c r="E76" i="5" s="1"/>
  <c r="E155" i="4" a="1"/>
  <c r="E155" i="4" s="1"/>
  <c r="J291" i="2" a="1"/>
  <c r="J291" i="2" s="1"/>
  <c r="E66" i="4" a="1"/>
  <c r="E66" i="4" s="1"/>
  <c r="C662" i="12" a="1"/>
  <c r="C662" i="12" s="1"/>
  <c r="I405" i="2" s="1"/>
  <c r="E34" i="7" a="1"/>
  <c r="E34" i="7" s="1"/>
  <c r="I85" i="8" a="1"/>
  <c r="I85" i="8" s="1"/>
  <c r="I137" i="8" a="1"/>
  <c r="I137" i="8" s="1"/>
  <c r="E4" i="7" a="1"/>
  <c r="E4" i="7" s="1"/>
  <c r="E7" i="4" a="1"/>
  <c r="E7" i="4" s="1"/>
  <c r="J10" i="2" a="1"/>
  <c r="J10" i="2" s="1"/>
  <c r="I40" i="8" a="1"/>
  <c r="I40" i="8" s="1"/>
  <c r="E203" i="5" a="1"/>
  <c r="E203" i="5" s="1"/>
  <c r="E388" i="4" a="1"/>
  <c r="E388" i="4" s="1"/>
  <c r="J646" i="2" a="1"/>
  <c r="J646" i="2" s="1"/>
  <c r="E128" i="4" a="1"/>
  <c r="E128" i="4" s="1"/>
  <c r="I144" i="8" a="1"/>
  <c r="I144" i="8" s="1"/>
  <c r="J330" i="2" a="1"/>
  <c r="J330" i="2" s="1"/>
  <c r="I131" i="8" a="1"/>
  <c r="I131" i="8" s="1"/>
  <c r="E37" i="5" a="1"/>
  <c r="E37" i="5" s="1"/>
  <c r="E67" i="4" a="1"/>
  <c r="E67" i="4" s="1"/>
  <c r="J125" i="2" a="1"/>
  <c r="J125" i="2" s="1"/>
  <c r="E36" i="7" a="1"/>
  <c r="E36" i="7" s="1"/>
  <c r="I176" i="8" a="1"/>
  <c r="I176" i="8" s="1"/>
  <c r="I184" i="8" a="1"/>
  <c r="I184" i="8" s="1"/>
  <c r="E41" i="7" a="1"/>
  <c r="E41" i="7" s="1"/>
  <c r="E33" i="6" a="1"/>
  <c r="E33" i="6" s="1"/>
  <c r="J137" i="2" a="1"/>
  <c r="J137" i="2" s="1"/>
  <c r="E132" i="7" a="1"/>
  <c r="E132" i="7" s="1"/>
  <c r="E119" i="6" a="1"/>
  <c r="E119" i="6" s="1"/>
  <c r="E229" i="4" a="1"/>
  <c r="E229" i="4" s="1"/>
  <c r="J471" i="2" a="1"/>
  <c r="J471" i="2" s="1"/>
  <c r="I74" i="8" a="1"/>
  <c r="I74" i="8" s="1"/>
  <c r="E3" i="6" a="1"/>
  <c r="E3" i="6" s="1"/>
  <c r="E150" i="6" a="1"/>
  <c r="E150" i="6" s="1"/>
  <c r="E153" i="5" a="1"/>
  <c r="E153" i="5" s="1"/>
  <c r="E284" i="4" a="1"/>
  <c r="E284" i="4" s="1"/>
  <c r="J556" i="2" a="1"/>
  <c r="J556" i="2" s="1"/>
  <c r="E195" i="7" a="1"/>
  <c r="E195" i="7" s="1"/>
  <c r="E364" i="4" a="1"/>
  <c r="E364" i="4" s="1"/>
  <c r="J634" i="2" a="1"/>
  <c r="J634" i="2" s="1"/>
  <c r="E191" i="6" a="1"/>
  <c r="E191" i="6" s="1"/>
  <c r="I76" i="8" a="1"/>
  <c r="I76" i="8" s="1"/>
  <c r="E89" i="5" a="1"/>
  <c r="E89" i="5" s="1"/>
  <c r="E174" i="4" a="1"/>
  <c r="E174" i="4" s="1"/>
  <c r="J365" i="2" a="1"/>
  <c r="J365" i="2" s="1"/>
  <c r="E98" i="7" a="1"/>
  <c r="E98" i="7" s="1"/>
  <c r="I138" i="8" a="1"/>
  <c r="I138" i="8" s="1"/>
  <c r="E142" i="7" a="1"/>
  <c r="E142" i="7" s="1"/>
  <c r="E243" i="4" a="1"/>
  <c r="E243" i="4" s="1"/>
  <c r="J493" i="2" a="1"/>
  <c r="J493" i="2" s="1"/>
  <c r="I11" i="8" a="1"/>
  <c r="I11" i="8" s="1"/>
  <c r="E207" i="5" a="1"/>
  <c r="E207" i="5" s="1"/>
  <c r="E398" i="4" a="1"/>
  <c r="E398" i="4" s="1"/>
  <c r="J653" i="2" a="1"/>
  <c r="J653" i="2" s="1"/>
  <c r="E30" i="6" a="1"/>
  <c r="E30" i="6" s="1"/>
  <c r="E51" i="6" a="1"/>
  <c r="E51" i="6" s="1"/>
  <c r="E208" i="6" a="1"/>
  <c r="E208" i="6" s="1"/>
  <c r="E402" i="4" a="1"/>
  <c r="E402" i="4" s="1"/>
  <c r="J71" i="2" a="1"/>
  <c r="J71" i="2" s="1"/>
  <c r="I199" i="8" a="1"/>
  <c r="I199" i="8" s="1"/>
  <c r="E125" i="7" a="1"/>
  <c r="E125" i="7" s="1"/>
  <c r="E113" i="6" a="1"/>
  <c r="E113" i="6" s="1"/>
  <c r="E218" i="4" a="1"/>
  <c r="E218" i="4" s="1"/>
  <c r="J453" i="2" a="1"/>
  <c r="J453" i="2" s="1"/>
  <c r="I183" i="8" a="1"/>
  <c r="I183" i="8" s="1"/>
  <c r="I116" i="8" a="1"/>
  <c r="I116" i="8" s="1"/>
  <c r="J75" i="2" a="1"/>
  <c r="J75" i="2" s="1"/>
  <c r="E154" i="4" a="1"/>
  <c r="E154" i="4" s="1"/>
  <c r="E50" i="5" a="1"/>
  <c r="E50" i="5" s="1"/>
  <c r="E29" i="7" a="1"/>
  <c r="E29" i="7" s="1"/>
  <c r="E54" i="4" a="1"/>
  <c r="E54" i="4" s="1"/>
  <c r="J98" i="2" a="1"/>
  <c r="J98" i="2" s="1"/>
  <c r="I5" i="8" a="1"/>
  <c r="I5" i="8" s="1"/>
  <c r="J659" i="2" a="1"/>
  <c r="J659" i="2" s="1"/>
  <c r="E135" i="7" a="1"/>
  <c r="E135" i="7" s="1"/>
  <c r="E122" i="6" a="1"/>
  <c r="E122" i="6" s="1"/>
  <c r="E234" i="4" a="1"/>
  <c r="E234" i="4" s="1"/>
  <c r="J475" i="2" a="1"/>
  <c r="J475" i="2" s="1"/>
  <c r="E23" i="7" a="1"/>
  <c r="E23" i="7" s="1"/>
  <c r="E39" i="4" a="1"/>
  <c r="E39" i="4" s="1"/>
  <c r="J73" i="2" a="1"/>
  <c r="J73" i="2" s="1"/>
  <c r="J244" i="2" a="1"/>
  <c r="J244" i="2" s="1"/>
  <c r="J578" i="2" a="1"/>
  <c r="J578" i="2" s="1"/>
  <c r="J426" i="2" a="1"/>
  <c r="J426" i="2" s="1"/>
  <c r="E99" i="5" a="1"/>
  <c r="E99" i="5" s="1"/>
  <c r="E201" i="4" a="1"/>
  <c r="E201" i="4" s="1"/>
  <c r="E3" i="5" a="1"/>
  <c r="E3" i="5" s="1"/>
  <c r="E3" i="4" a="1"/>
  <c r="E3" i="4" s="1"/>
  <c r="J2" i="2" a="1"/>
  <c r="J2" i="2" s="1"/>
  <c r="E31" i="7" a="1"/>
  <c r="E31" i="7" s="1"/>
  <c r="E59" i="4" a="1"/>
  <c r="E59" i="4" s="1"/>
  <c r="J111" i="2" a="1"/>
  <c r="J111" i="2" s="1"/>
  <c r="E97" i="7" a="1"/>
  <c r="E97" i="7" s="1"/>
  <c r="E88" i="5" a="1"/>
  <c r="E88" i="5" s="1"/>
  <c r="E173" i="4" a="1"/>
  <c r="E173" i="4" s="1"/>
  <c r="J364" i="2" a="1"/>
  <c r="J364" i="2" s="1"/>
  <c r="E203" i="7" a="1"/>
  <c r="E203" i="7" s="1"/>
  <c r="E206" i="6" a="1"/>
  <c r="E206" i="6" s="1"/>
  <c r="E393" i="4" a="1"/>
  <c r="E393" i="4" s="1"/>
  <c r="J657" i="2" a="1"/>
  <c r="J657" i="2" s="1"/>
  <c r="I20" i="9" a="1"/>
  <c r="I20" i="9" s="1"/>
  <c r="J476" i="2" a="1"/>
  <c r="J476" i="2" s="1"/>
  <c r="E123" i="6" a="1"/>
  <c r="E123" i="6" s="1"/>
  <c r="E136" i="7" a="1"/>
  <c r="E136" i="7" s="1"/>
  <c r="E235" i="4" a="1"/>
  <c r="E235" i="4" s="1"/>
  <c r="E189" i="7" a="1"/>
  <c r="E189" i="7" s="1"/>
  <c r="E77" i="7" a="1"/>
  <c r="E77" i="7" s="1"/>
  <c r="E67" i="6" a="1"/>
  <c r="E67" i="6" s="1"/>
  <c r="E130" i="4" a="1"/>
  <c r="E130" i="4" s="1"/>
  <c r="J252" i="2" a="1"/>
  <c r="J252" i="2" s="1"/>
  <c r="E181" i="6" a="1"/>
  <c r="E181" i="6" s="1"/>
  <c r="E343" i="4" a="1"/>
  <c r="E343" i="4" s="1"/>
  <c r="J616" i="2" a="1"/>
  <c r="J616" i="2" s="1"/>
  <c r="E224" i="4" a="1"/>
  <c r="E224" i="4" s="1"/>
  <c r="E112" i="5" a="1"/>
  <c r="E112" i="5" s="1"/>
  <c r="J438" i="2" a="1"/>
  <c r="J438" i="2" s="1"/>
  <c r="E152" i="6" a="1"/>
  <c r="E152" i="6" s="1"/>
  <c r="E157" i="5" a="1"/>
  <c r="E157" i="5" s="1"/>
  <c r="I170" i="8" a="1"/>
  <c r="I170" i="8" s="1"/>
  <c r="E4" i="5" a="1"/>
  <c r="E4" i="5" s="1"/>
  <c r="E4" i="4" a="1"/>
  <c r="E4" i="4" s="1"/>
  <c r="F2" i="3" a="1"/>
  <c r="F2" i="3" s="1"/>
  <c r="J3" i="2" a="1"/>
  <c r="J3" i="2" s="1"/>
  <c r="I86" i="8" a="1"/>
  <c r="I86" i="8" s="1"/>
  <c r="E43" i="5" a="1"/>
  <c r="E43" i="5" s="1"/>
  <c r="E78" i="4" a="1"/>
  <c r="E78" i="4" s="1"/>
  <c r="J126" i="2" a="1"/>
  <c r="J126" i="2" s="1"/>
  <c r="E114" i="6" a="1"/>
  <c r="E114" i="6" s="1"/>
  <c r="E109" i="5" a="1"/>
  <c r="E109" i="5" s="1"/>
  <c r="E219" i="4" a="1"/>
  <c r="E219" i="4" s="1"/>
  <c r="J466" i="2" a="1"/>
  <c r="J466" i="2" s="1"/>
  <c r="E18" i="7" a="1"/>
  <c r="E18" i="7" s="1"/>
  <c r="E18" i="6" a="1"/>
  <c r="E18" i="6" s="1"/>
  <c r="E17" i="5" a="1"/>
  <c r="E17" i="5" s="1"/>
  <c r="E32" i="4" a="1"/>
  <c r="E32" i="4" s="1"/>
  <c r="J60" i="2" a="1"/>
  <c r="J60" i="2" s="1"/>
  <c r="J491" i="2" a="1"/>
  <c r="J491" i="2" s="1"/>
  <c r="J502" i="2" a="1"/>
  <c r="J502" i="2" s="1"/>
  <c r="E278" i="4" a="1"/>
  <c r="E278" i="4" s="1"/>
  <c r="J539" i="2" a="1"/>
  <c r="J539" i="2" s="1"/>
  <c r="E152" i="7" a="1"/>
  <c r="E152" i="7" s="1"/>
  <c r="E147" i="5" a="1"/>
  <c r="E147" i="5" s="1"/>
  <c r="E104" i="7" a="1"/>
  <c r="E104" i="7" s="1"/>
  <c r="E183" i="4" a="1"/>
  <c r="E183" i="4" s="1"/>
  <c r="J383" i="2" a="1"/>
  <c r="J383" i="2" s="1"/>
  <c r="E79" i="7" a="1"/>
  <c r="E79" i="7" s="1"/>
  <c r="E135" i="4" a="1"/>
  <c r="E135" i="4" s="1"/>
  <c r="J273" i="2" a="1"/>
  <c r="J273" i="2" s="1"/>
  <c r="AF13" i="3" a="1"/>
  <c r="AF13" i="3" s="1"/>
  <c r="I75" i="8" a="1"/>
  <c r="I75" i="8" s="1"/>
  <c r="E38" i="4" a="1"/>
  <c r="E38" i="4" s="1"/>
  <c r="E46" i="4" a="1"/>
  <c r="E46" i="4" s="1"/>
  <c r="I49" i="8" a="1"/>
  <c r="I49" i="8" s="1"/>
  <c r="E394" i="4" a="1"/>
  <c r="E394" i="4" s="1"/>
  <c r="J442" i="2" a="1"/>
  <c r="J442" i="2" s="1"/>
  <c r="I130" i="8" a="1"/>
  <c r="I130" i="8" s="1"/>
  <c r="E127" i="4" a="1"/>
  <c r="E127" i="4" s="1"/>
  <c r="I27" i="8" a="1"/>
  <c r="I27" i="8" s="1"/>
  <c r="E179" i="5" a="1"/>
  <c r="E179" i="5" s="1"/>
  <c r="E348" i="4" a="1"/>
  <c r="E348" i="4" s="1"/>
  <c r="J624" i="2" a="1"/>
  <c r="J624" i="2" s="1"/>
  <c r="E185" i="6" a="1"/>
  <c r="E185" i="6" s="1"/>
  <c r="E313" i="4" a="1"/>
  <c r="E313" i="4" s="1"/>
  <c r="I22" i="8" a="1"/>
  <c r="I22" i="8" s="1"/>
  <c r="I149" i="8" a="1"/>
  <c r="I149" i="8" s="1"/>
  <c r="I191" i="8" a="1"/>
  <c r="I191" i="8" s="1"/>
  <c r="I33" i="9" a="1"/>
  <c r="I33" i="9" s="1"/>
  <c r="E9" i="7" a="1"/>
  <c r="E9" i="7" s="1"/>
  <c r="E12" i="5" a="1"/>
  <c r="E12" i="5" s="1"/>
  <c r="E19" i="4" a="1"/>
  <c r="E19" i="4" s="1"/>
  <c r="J32" i="2" a="1"/>
  <c r="J32" i="2" s="1"/>
  <c r="E241" i="4" a="1"/>
  <c r="E241" i="4" s="1"/>
  <c r="E253" i="4" a="1"/>
  <c r="E253" i="4" s="1"/>
  <c r="E207" i="6" a="1"/>
  <c r="E207" i="6" s="1"/>
  <c r="E206" i="7" a="1"/>
  <c r="E206" i="7" s="1"/>
  <c r="E397" i="4" a="1"/>
  <c r="E397" i="4" s="1"/>
  <c r="J662" i="2" a="1"/>
  <c r="J662" i="2" s="1"/>
  <c r="I62" i="8" a="1"/>
  <c r="I62" i="8" s="1"/>
  <c r="I66" i="9" a="1"/>
  <c r="I66" i="9" s="1"/>
  <c r="E199" i="6" a="1"/>
  <c r="E199" i="6" s="1"/>
  <c r="E199" i="5" a="1"/>
  <c r="E199" i="5" s="1"/>
  <c r="E381" i="4" a="1"/>
  <c r="E381" i="4" s="1"/>
  <c r="J649" i="2" a="1"/>
  <c r="J649" i="2" s="1"/>
  <c r="E52" i="7" a="1"/>
  <c r="E52" i="7" s="1"/>
  <c r="E90" i="4" a="1"/>
  <c r="E90" i="4" s="1"/>
  <c r="J166" i="2" a="1"/>
  <c r="J166" i="2" s="1"/>
  <c r="I171" i="8" a="1"/>
  <c r="I171" i="8" s="1"/>
  <c r="E20" i="5" a="1"/>
  <c r="E20" i="5" s="1"/>
  <c r="I23" i="8" a="1"/>
  <c r="I23" i="8" s="1"/>
  <c r="J470" i="2" a="1"/>
  <c r="J470" i="2" s="1"/>
  <c r="J430" i="2" a="1"/>
  <c r="J430" i="2" s="1"/>
  <c r="E108" i="5" a="1"/>
  <c r="E108" i="5" s="1"/>
  <c r="E217" i="4" a="1"/>
  <c r="E217" i="4" s="1"/>
  <c r="E210" i="4" a="1"/>
  <c r="E210" i="4" s="1"/>
  <c r="E32" i="6" a="1"/>
  <c r="E32" i="6" s="1"/>
  <c r="J133" i="2" a="1"/>
  <c r="J133" i="2" s="1"/>
  <c r="E65" i="6" a="1"/>
  <c r="E65" i="6" s="1"/>
  <c r="E195" i="6" a="1"/>
  <c r="E195" i="6" s="1"/>
  <c r="J492" i="2" a="1"/>
  <c r="J492" i="2" s="1"/>
  <c r="E242" i="4" a="1"/>
  <c r="E242" i="4" s="1"/>
  <c r="J632" i="2" a="1"/>
  <c r="J632" i="2" s="1"/>
  <c r="E378" i="4" a="1"/>
  <c r="E378" i="4" s="1"/>
  <c r="E167" i="5" a="1"/>
  <c r="E167" i="5" s="1"/>
  <c r="J285" i="2" a="1"/>
  <c r="J285" i="2" s="1"/>
  <c r="E74" i="5" a="1"/>
  <c r="E74" i="5" s="1"/>
  <c r="E77" i="6" a="1"/>
  <c r="E77" i="6" s="1"/>
  <c r="E150" i="4" a="1"/>
  <c r="E150" i="4" s="1"/>
  <c r="J325" i="2" a="1"/>
  <c r="J325" i="2" s="1"/>
  <c r="J545" i="2" a="1"/>
  <c r="J545" i="2" s="1"/>
  <c r="E147" i="6" a="1"/>
  <c r="E147" i="6" s="1"/>
  <c r="E146" i="5" a="1"/>
  <c r="E146" i="5" s="1"/>
  <c r="E277" i="4" a="1"/>
  <c r="E277" i="4" s="1"/>
  <c r="E101" i="5" a="1"/>
  <c r="E101" i="5" s="1"/>
  <c r="E203" i="4" a="1"/>
  <c r="E203" i="4" s="1"/>
  <c r="J441" i="2" a="1"/>
  <c r="J441" i="2" s="1"/>
  <c r="E105" i="6" a="1"/>
  <c r="E105" i="6" s="1"/>
  <c r="E120" i="5" a="1"/>
  <c r="E120" i="5" s="1"/>
  <c r="E145" i="7" a="1"/>
  <c r="E145" i="7" s="1"/>
  <c r="E187" i="5" a="1"/>
  <c r="E187" i="5" s="1"/>
  <c r="E359" i="4" a="1"/>
  <c r="E359" i="4" s="1"/>
  <c r="J627" i="2" a="1"/>
  <c r="J627" i="2" s="1"/>
  <c r="E192" i="7" a="1"/>
  <c r="E192" i="7" s="1"/>
  <c r="E190" i="6" a="1"/>
  <c r="E190" i="6" s="1"/>
  <c r="I189" i="8" a="1"/>
  <c r="I189" i="8" s="1"/>
  <c r="I186" i="8" a="1"/>
  <c r="I186" i="8" s="1"/>
  <c r="J148" i="2" a="1"/>
  <c r="J148" i="2" s="1"/>
  <c r="I83" i="8" a="1"/>
  <c r="I83" i="8" s="1"/>
  <c r="I167" i="8" a="1"/>
  <c r="I167" i="8" s="1"/>
  <c r="E51" i="5" a="1"/>
  <c r="E51" i="5" s="1"/>
  <c r="E97" i="4" a="1"/>
  <c r="E97" i="4" s="1"/>
  <c r="AE8" i="3" a="1"/>
  <c r="AE8" i="3" s="1"/>
  <c r="E245" i="4" a="1"/>
  <c r="E245" i="4" s="1"/>
  <c r="I158" i="8" a="1"/>
  <c r="I158" i="8" s="1"/>
  <c r="J155" i="2" a="1"/>
  <c r="J155" i="2" s="1"/>
  <c r="E12" i="7" a="1"/>
  <c r="E12" i="7" s="1"/>
  <c r="E11" i="6" a="1"/>
  <c r="E11" i="6" s="1"/>
  <c r="E22" i="4" a="1"/>
  <c r="E22" i="4" s="1"/>
  <c r="J41" i="2" a="1"/>
  <c r="J41" i="2" s="1"/>
  <c r="J487" i="2" a="1"/>
  <c r="J487" i="2" s="1"/>
  <c r="E109" i="6" a="1"/>
  <c r="E109" i="6" s="1"/>
  <c r="J65" i="2" a="1"/>
  <c r="J65" i="2" s="1"/>
  <c r="J123" i="2" a="1"/>
  <c r="J123" i="2" s="1"/>
  <c r="E10" i="5" a="1"/>
  <c r="E10" i="5" s="1"/>
  <c r="E16" i="4" a="1"/>
  <c r="E16" i="4" s="1"/>
  <c r="J22" i="2" a="1"/>
  <c r="J22" i="2" s="1"/>
  <c r="J327" i="2" a="1"/>
  <c r="J327" i="2" s="1"/>
  <c r="I165" i="8" a="1"/>
  <c r="I165" i="8" s="1"/>
  <c r="E67" i="5" a="1"/>
  <c r="E67" i="5" s="1"/>
  <c r="E134" i="4" a="1"/>
  <c r="E134" i="4" s="1"/>
  <c r="J246" i="2" a="1"/>
  <c r="J246" i="2" s="1"/>
  <c r="E152" i="4" a="1"/>
  <c r="E152" i="4" s="1"/>
  <c r="I61" i="8" a="1"/>
  <c r="I61" i="8" s="1"/>
  <c r="E145" i="5" a="1"/>
  <c r="E145" i="5" s="1"/>
  <c r="E146" i="6" a="1"/>
  <c r="E146" i="6" s="1"/>
  <c r="E276" i="4" a="1"/>
  <c r="E276" i="4" s="1"/>
  <c r="J544" i="2" a="1"/>
  <c r="J544" i="2" s="1"/>
  <c r="E30" i="7" a="1"/>
  <c r="E30" i="7" s="1"/>
  <c r="E26" i="6" a="1"/>
  <c r="E26" i="6" s="1"/>
  <c r="E55" i="4" a="1"/>
  <c r="E55" i="4" s="1"/>
  <c r="J103" i="2" a="1"/>
  <c r="J103" i="2" s="1"/>
  <c r="I69" i="8" a="1"/>
  <c r="I69" i="8" s="1"/>
  <c r="I166" i="8" a="1"/>
  <c r="I166" i="8" s="1"/>
  <c r="J551" i="2" a="1"/>
  <c r="J551" i="2" s="1"/>
  <c r="E149" i="5" a="1"/>
  <c r="E149" i="5" s="1"/>
  <c r="E148" i="6" a="1"/>
  <c r="E148" i="6" s="1"/>
  <c r="E280" i="4" a="1"/>
  <c r="E280" i="4" s="1"/>
  <c r="I161" i="8" a="1"/>
  <c r="I161" i="8" s="1"/>
  <c r="E140" i="7" a="1"/>
  <c r="E140" i="7" s="1"/>
  <c r="J129" i="2" a="1"/>
  <c r="J129" i="2" s="1"/>
  <c r="E81" i="4" a="1"/>
  <c r="E81" i="4" s="1"/>
  <c r="I44" i="8" a="1"/>
  <c r="I44" i="8" s="1"/>
  <c r="I174" i="8" a="1"/>
  <c r="I174" i="8" s="1"/>
  <c r="E355" i="4" a="1"/>
  <c r="E355" i="4" s="1"/>
  <c r="J633" i="2" a="1"/>
  <c r="J633" i="2" s="1"/>
  <c r="E189" i="6" a="1"/>
  <c r="E189" i="6" s="1"/>
  <c r="E185" i="5" a="1"/>
  <c r="E185" i="5" s="1"/>
  <c r="E161" i="7" a="1"/>
  <c r="E161" i="7" s="1"/>
  <c r="E299" i="4" a="1"/>
  <c r="E299" i="4" s="1"/>
  <c r="J559" i="2" a="1"/>
  <c r="J559" i="2" s="1"/>
  <c r="E83" i="5" a="1"/>
  <c r="E83" i="5" s="1"/>
  <c r="E165" i="4" a="1"/>
  <c r="E165" i="4" s="1"/>
  <c r="J315" i="2" a="1"/>
  <c r="J315" i="2" s="1"/>
  <c r="J200" i="2" a="1"/>
  <c r="J200" i="2" s="1"/>
  <c r="E49" i="5" a="1"/>
  <c r="E49" i="5" s="1"/>
  <c r="E45" i="6" a="1"/>
  <c r="E45" i="6" s="1"/>
  <c r="E94" i="4" a="1"/>
  <c r="E94" i="4" s="1"/>
  <c r="J173" i="2" a="1"/>
  <c r="J173" i="2" s="1"/>
  <c r="J280" i="2" a="1"/>
  <c r="J280" i="2" s="1"/>
  <c r="E70" i="6" a="1"/>
  <c r="E70" i="6" s="1"/>
  <c r="E82" i="7" a="1"/>
  <c r="E82" i="7" s="1"/>
  <c r="E69" i="5" a="1"/>
  <c r="E69" i="5" s="1"/>
  <c r="E140" i="4" a="1"/>
  <c r="E140" i="4" s="1"/>
  <c r="J154" i="2" a="1"/>
  <c r="J154" i="2" s="1"/>
  <c r="J27" i="2" a="1"/>
  <c r="J27" i="2" s="1"/>
  <c r="E7" i="7" a="1"/>
  <c r="E7" i="7" s="1"/>
  <c r="E17" i="4" a="1"/>
  <c r="E17" i="4" s="1"/>
  <c r="E200" i="7" a="1"/>
  <c r="E200" i="7" s="1"/>
  <c r="E382" i="4" a="1"/>
  <c r="E382" i="4" s="1"/>
  <c r="J647" i="2" a="1"/>
  <c r="J647" i="2" s="1"/>
  <c r="E92" i="5" a="1"/>
  <c r="E92" i="5" s="1"/>
  <c r="E93" i="6" a="1"/>
  <c r="E93" i="6" s="1"/>
  <c r="E184" i="4" a="1"/>
  <c r="E184" i="4" s="1"/>
  <c r="J393" i="2" a="1"/>
  <c r="J393" i="2" s="1"/>
  <c r="E105" i="7" a="1"/>
  <c r="E105" i="7" s="1"/>
  <c r="J370" i="2" a="1"/>
  <c r="J370" i="2" s="1"/>
  <c r="E46" i="5" a="1"/>
  <c r="E46" i="5" s="1"/>
  <c r="E41" i="5" a="1"/>
  <c r="E41" i="5" s="1"/>
  <c r="E75" i="4" a="1"/>
  <c r="E75" i="4" s="1"/>
  <c r="J120" i="2" a="1"/>
  <c r="J120" i="2" s="1"/>
  <c r="E104" i="5" a="1"/>
  <c r="E104" i="5" s="1"/>
  <c r="E206" i="4" a="1"/>
  <c r="E206" i="4" s="1"/>
  <c r="J413" i="2" a="1"/>
  <c r="J413" i="2" s="1"/>
  <c r="E230" i="4" a="1"/>
  <c r="E230" i="4" s="1"/>
  <c r="E77" i="4" a="1"/>
  <c r="E77" i="4" s="1"/>
  <c r="E159" i="4" a="1"/>
  <c r="E159" i="4" s="1"/>
  <c r="E85" i="6" a="1"/>
  <c r="E85" i="6" s="1"/>
  <c r="E95" i="7" a="1"/>
  <c r="E95" i="7" s="1"/>
  <c r="E169" i="4" a="1"/>
  <c r="E169" i="4" s="1"/>
  <c r="J347" i="2" a="1"/>
  <c r="J347" i="2" s="1"/>
  <c r="I70" i="8" a="1"/>
  <c r="I70" i="8" s="1"/>
  <c r="E196" i="5" a="1"/>
  <c r="E196" i="5" s="1"/>
  <c r="J667" i="2" a="1"/>
  <c r="J667" i="2" s="1"/>
  <c r="E8" i="7" a="1"/>
  <c r="E8" i="7" s="1"/>
  <c r="E11" i="5" a="1"/>
  <c r="E11" i="5" s="1"/>
  <c r="E18" i="4" a="1"/>
  <c r="E18" i="4" s="1"/>
  <c r="J29" i="2" a="1"/>
  <c r="J29" i="2" s="1"/>
  <c r="E55" i="7" a="1"/>
  <c r="E55" i="7" s="1"/>
  <c r="E46" i="6" a="1"/>
  <c r="E46" i="6" s="1"/>
  <c r="E95" i="4" a="1"/>
  <c r="E95" i="4" s="1"/>
  <c r="J171" i="2" a="1"/>
  <c r="J171" i="2" s="1"/>
  <c r="I78" i="8" a="1"/>
  <c r="I78" i="8" s="1"/>
  <c r="I8" i="8" a="1"/>
  <c r="I8" i="8" s="1"/>
  <c r="E4" i="6" a="1"/>
  <c r="E4" i="6" s="1"/>
  <c r="E7" i="5" a="1"/>
  <c r="E7" i="5" s="1"/>
  <c r="E9" i="4" a="1"/>
  <c r="E9" i="4" s="1"/>
  <c r="J16" i="2" a="1"/>
  <c r="J16" i="2" s="1"/>
  <c r="I204" i="8" a="1"/>
  <c r="I204" i="8" s="1"/>
  <c r="E124" i="5" a="1"/>
  <c r="E124" i="5" s="1"/>
  <c r="E246" i="4" a="1"/>
  <c r="E246" i="4" s="1"/>
  <c r="J477" i="2" a="1"/>
  <c r="J477" i="2" s="1"/>
  <c r="J628" i="2" a="1"/>
  <c r="J628" i="2" s="1"/>
  <c r="E106" i="4" a="1"/>
  <c r="E106" i="4" s="1"/>
  <c r="J192" i="2" a="1"/>
  <c r="J192" i="2" s="1"/>
  <c r="I153" i="8" a="1"/>
  <c r="I153" i="8" s="1"/>
  <c r="E32" i="7" a="1"/>
  <c r="E32" i="7" s="1"/>
  <c r="E28" i="6" a="1"/>
  <c r="E28" i="6" s="1"/>
  <c r="E60" i="4" a="1"/>
  <c r="E60" i="4" s="1"/>
  <c r="J112" i="2" a="1"/>
  <c r="J112" i="2" s="1"/>
  <c r="E89" i="4" a="1"/>
  <c r="E89" i="4" s="1"/>
  <c r="J300" i="2" a="1"/>
  <c r="J300" i="2" s="1"/>
  <c r="J94" i="2" a="1"/>
  <c r="J94" i="2" s="1"/>
  <c r="I43" i="8" a="1"/>
  <c r="I43" i="8" s="1"/>
  <c r="E66" i="5" a="1"/>
  <c r="E66" i="5" s="1"/>
  <c r="E132" i="4" a="1"/>
  <c r="E132" i="4" s="1"/>
  <c r="J239" i="2" a="1"/>
  <c r="J239" i="2" s="1"/>
  <c r="E177" i="4" a="1"/>
  <c r="E177" i="4" s="1"/>
  <c r="E84" i="4" a="1"/>
  <c r="E84" i="4" s="1"/>
  <c r="I136" i="8" a="1"/>
  <c r="I136" i="8" s="1"/>
  <c r="J463" i="2" a="1"/>
  <c r="J463" i="2" s="1"/>
  <c r="E120" i="6" a="1"/>
  <c r="E120" i="6" s="1"/>
  <c r="E209" i="6" a="1"/>
  <c r="E209" i="6" s="1"/>
  <c r="E209" i="7" a="1"/>
  <c r="E209" i="7" s="1"/>
  <c r="E404" i="4" a="1"/>
  <c r="E404" i="4" s="1"/>
  <c r="J669" i="2" a="1"/>
  <c r="J669" i="2" s="1"/>
  <c r="J160" i="2" a="1"/>
  <c r="J160" i="2" s="1"/>
  <c r="J557" i="2" a="1"/>
  <c r="J557" i="2" s="1"/>
  <c r="E64" i="7" a="1"/>
  <c r="E64" i="7" s="1"/>
  <c r="E110" i="4" a="1"/>
  <c r="E110" i="4" s="1"/>
  <c r="J205" i="2" a="1"/>
  <c r="J205" i="2" s="1"/>
  <c r="E61" i="6" a="1"/>
  <c r="E61" i="6" s="1"/>
  <c r="E63" i="5" a="1"/>
  <c r="E63" i="5" s="1"/>
  <c r="E123" i="4" a="1"/>
  <c r="E123" i="4" s="1"/>
  <c r="J241" i="2" a="1"/>
  <c r="J241" i="2" s="1"/>
  <c r="E153" i="7" a="1"/>
  <c r="E153" i="7" s="1"/>
  <c r="E148" i="5" a="1"/>
  <c r="E148" i="5" s="1"/>
  <c r="E279" i="4" a="1"/>
  <c r="E279" i="4" s="1"/>
  <c r="J541" i="2" a="1"/>
  <c r="J541" i="2" s="1"/>
  <c r="I87" i="8" a="1"/>
  <c r="I87" i="8" s="1"/>
  <c r="J629" i="2" a="1"/>
  <c r="J629" i="2" s="1"/>
  <c r="E195" i="5" a="1"/>
  <c r="E195" i="5" s="1"/>
  <c r="E377" i="4" a="1"/>
  <c r="E377" i="4" s="1"/>
  <c r="I63" i="9" a="1"/>
  <c r="I63" i="9" s="1"/>
  <c r="I50" i="8" a="1"/>
  <c r="I50" i="8" s="1"/>
  <c r="I193" i="8" a="1"/>
  <c r="I193" i="8" s="1"/>
  <c r="I194" i="8" a="1"/>
  <c r="I194" i="8" s="1"/>
  <c r="E197" i="7" a="1"/>
  <c r="E197" i="7" s="1"/>
  <c r="E367" i="4" a="1"/>
  <c r="E367" i="4" s="1"/>
  <c r="J637" i="2" a="1"/>
  <c r="J637" i="2" s="1"/>
  <c r="E193" i="6" a="1"/>
  <c r="E193" i="6" s="1"/>
  <c r="E8" i="6" a="1"/>
  <c r="E8" i="6" s="1"/>
  <c r="E15" i="4" a="1"/>
  <c r="E15" i="4" s="1"/>
  <c r="J28" i="2" a="1"/>
  <c r="J28" i="2" s="1"/>
  <c r="E21" i="5" a="1"/>
  <c r="E21" i="5" s="1"/>
  <c r="E40" i="4" a="1"/>
  <c r="E40" i="4" s="1"/>
  <c r="J68" i="2" a="1"/>
  <c r="J68" i="2" s="1"/>
  <c r="I98" i="8" a="1"/>
  <c r="I98" i="8" s="1"/>
  <c r="I26" i="8" a="1"/>
  <c r="I26" i="8" s="1"/>
  <c r="E201" i="7" a="1"/>
  <c r="E201" i="7" s="1"/>
  <c r="E387" i="4" a="1"/>
  <c r="E387" i="4" s="1"/>
  <c r="E203" i="6" a="1"/>
  <c r="E203" i="6" s="1"/>
  <c r="J652" i="2" a="1"/>
  <c r="J652" i="2" s="1"/>
  <c r="I134" i="8" a="1"/>
  <c r="I134" i="8" s="1"/>
  <c r="E119" i="5" a="1"/>
  <c r="E119" i="5" s="1"/>
  <c r="I3" i="8" a="1"/>
  <c r="I3" i="8" s="1"/>
  <c r="I109" i="8" a="1"/>
  <c r="I109" i="8" s="1"/>
  <c r="E71" i="4" a="1"/>
  <c r="E71" i="4" s="1"/>
  <c r="E121" i="5" a="1"/>
  <c r="E121" i="5" s="1"/>
  <c r="E289" i="4" a="1"/>
  <c r="E289" i="4" s="1"/>
  <c r="E72" i="4" a="1"/>
  <c r="E72" i="4" s="1"/>
  <c r="E109" i="7" a="1"/>
  <c r="E109" i="7" s="1"/>
  <c r="E190" i="4" a="1"/>
  <c r="E190" i="4" s="1"/>
  <c r="J402" i="2" a="1"/>
  <c r="J402" i="2" s="1"/>
  <c r="E183" i="6" a="1"/>
  <c r="E183" i="6" s="1"/>
  <c r="E186" i="7" a="1"/>
  <c r="E186" i="7" s="1"/>
  <c r="E178" i="6" a="1"/>
  <c r="E178" i="6" s="1"/>
  <c r="E340" i="4" a="1"/>
  <c r="E340" i="4" s="1"/>
  <c r="J605" i="2" a="1"/>
  <c r="J605" i="2" s="1"/>
  <c r="E214" i="4" a="1"/>
  <c r="E214" i="4" s="1"/>
  <c r="E118" i="7" a="1"/>
  <c r="E118" i="7" s="1"/>
  <c r="E213" i="4" a="1"/>
  <c r="E213" i="4" s="1"/>
  <c r="I68" i="8" a="1"/>
  <c r="I68" i="8" s="1"/>
  <c r="E50" i="6" a="1"/>
  <c r="E50" i="6" s="1"/>
  <c r="I42" i="8" a="1"/>
  <c r="I42" i="8" s="1"/>
  <c r="I154" i="8" a="1"/>
  <c r="I154" i="8" s="1"/>
  <c r="E112" i="6" a="1"/>
  <c r="E112" i="6" s="1"/>
  <c r="E106" i="5" a="1"/>
  <c r="E106" i="5" s="1"/>
  <c r="E59" i="7" a="1"/>
  <c r="E59" i="7" s="1"/>
  <c r="I135" i="8" a="1"/>
  <c r="I135" i="8" s="1"/>
  <c r="E122" i="7" a="1"/>
  <c r="E122" i="7" s="1"/>
  <c r="E111" i="6" a="1"/>
  <c r="E111" i="6" s="1"/>
  <c r="I156" i="8" a="1"/>
  <c r="I156" i="8" s="1"/>
  <c r="E319" i="4" a="1"/>
  <c r="E319" i="4" s="1"/>
  <c r="E301" i="4" a="1"/>
  <c r="E301" i="4" s="1"/>
  <c r="I34" i="8" a="1"/>
  <c r="I34" i="8" s="1"/>
  <c r="I67" i="8" a="1"/>
  <c r="I67" i="8" s="1"/>
  <c r="J149" i="2" a="1"/>
  <c r="J149" i="2" s="1"/>
  <c r="I163" i="8" a="1"/>
  <c r="I163" i="8" s="1"/>
  <c r="I59" i="8" a="1"/>
  <c r="I59" i="8" s="1"/>
  <c r="I65" i="9" a="1"/>
  <c r="I65" i="9" s="1"/>
  <c r="E356" i="4" a="1"/>
  <c r="E356" i="4" s="1"/>
  <c r="J620" i="2" a="1"/>
  <c r="J620" i="2" s="1"/>
  <c r="E190" i="7" a="1"/>
  <c r="E190" i="7" s="1"/>
  <c r="I10" i="8" a="1"/>
  <c r="I10" i="8" s="1"/>
  <c r="E11" i="7" a="1"/>
  <c r="E11" i="7" s="1"/>
  <c r="E10" i="6" a="1"/>
  <c r="E10" i="6" s="1"/>
  <c r="E21" i="4" a="1"/>
  <c r="E21" i="4" s="1"/>
  <c r="J37" i="2" a="1"/>
  <c r="J37" i="2" s="1"/>
  <c r="E150" i="8" a="1"/>
  <c r="E150" i="8" s="1"/>
  <c r="E82" i="4" a="1"/>
  <c r="E82" i="4" s="1"/>
  <c r="J670" i="2" a="1"/>
  <c r="J670" i="2" s="1"/>
  <c r="I28" i="8" a="1"/>
  <c r="I28" i="8" s="1"/>
  <c r="E47" i="7" a="1"/>
  <c r="E47" i="7" s="1"/>
  <c r="E406" i="4" a="1"/>
  <c r="E406" i="4" s="1"/>
  <c r="I124" i="8" a="1"/>
  <c r="I124" i="8" s="1"/>
  <c r="I89" i="8" a="1"/>
  <c r="I89" i="8" s="1"/>
  <c r="E202" i="7" a="1"/>
  <c r="E202" i="7" s="1"/>
  <c r="E391" i="4" a="1"/>
  <c r="E391" i="4" s="1"/>
  <c r="J655" i="2" a="1"/>
  <c r="J655" i="2" s="1"/>
  <c r="E201" i="6" a="1"/>
  <c r="E201" i="6" s="1"/>
  <c r="E202" i="5" a="1"/>
  <c r="E202" i="5" s="1"/>
  <c r="E385" i="4" a="1"/>
  <c r="E385" i="4" s="1"/>
  <c r="J654" i="2" a="1"/>
  <c r="J654" i="2" s="1"/>
  <c r="I114" i="8" a="1"/>
  <c r="I114" i="8" s="1"/>
  <c r="I192" i="8" a="1"/>
  <c r="I192" i="8" s="1"/>
  <c r="E208" i="7" a="1"/>
  <c r="E208" i="7" s="1"/>
  <c r="E400" i="4" a="1"/>
  <c r="E400" i="4" s="1"/>
  <c r="J665" i="2" a="1"/>
  <c r="J665" i="2" s="1"/>
  <c r="J619" i="2" a="1"/>
  <c r="J619" i="2" s="1"/>
  <c r="I118" i="8" a="1"/>
  <c r="I118" i="8" s="1"/>
  <c r="I21" i="8" a="1"/>
  <c r="I21" i="8" s="1"/>
  <c r="I104" i="8" a="1"/>
  <c r="I104" i="8" s="1"/>
  <c r="J439" i="2" a="1"/>
  <c r="J439" i="2" s="1"/>
  <c r="J588" i="2" a="1"/>
  <c r="J588" i="2" s="1"/>
  <c r="I95" i="8" a="1"/>
  <c r="I95" i="8" s="1"/>
  <c r="E205" i="5" a="1"/>
  <c r="E205" i="5" s="1"/>
  <c r="E392" i="4" a="1"/>
  <c r="E392" i="4" s="1"/>
  <c r="J660" i="2" a="1"/>
  <c r="J660" i="2" s="1"/>
  <c r="E205" i="6" a="1"/>
  <c r="E205" i="6" s="1"/>
  <c r="I11" i="9" a="1"/>
  <c r="I11" i="9" s="1"/>
  <c r="I133" i="8" a="1"/>
  <c r="I133" i="8" s="1"/>
  <c r="E207" i="4" a="1"/>
  <c r="E207" i="4" s="1"/>
  <c r="E323" i="4" a="1"/>
  <c r="E323" i="4" s="1"/>
  <c r="J191" i="2" a="1"/>
  <c r="J191" i="2" s="1"/>
  <c r="I160" i="8" a="1"/>
  <c r="I160" i="8" s="1"/>
  <c r="I54" i="8" a="1"/>
  <c r="I54" i="8" s="1"/>
  <c r="I117" i="8" a="1"/>
  <c r="I117" i="8" s="1"/>
  <c r="E19" i="5" a="1"/>
  <c r="E19" i="5" s="1"/>
  <c r="E34" i="4" a="1"/>
  <c r="E34" i="4" s="1"/>
  <c r="J54" i="2" a="1"/>
  <c r="J54" i="2" s="1"/>
  <c r="M22" i="3" a="1"/>
  <c r="M22" i="3" s="1"/>
  <c r="AF5" i="3" a="1"/>
  <c r="AF5" i="3" s="1"/>
  <c r="AF15" i="3" a="1"/>
  <c r="AF15" i="3" s="1"/>
  <c r="C630" i="12" a="1"/>
  <c r="C630" i="12" s="1"/>
  <c r="I381" i="2" s="1"/>
  <c r="C663" i="12" a="1"/>
  <c r="C663" i="12" s="1"/>
  <c r="I91" i="2" s="1"/>
  <c r="C641" i="12" a="1"/>
  <c r="C641" i="12" s="1"/>
  <c r="I63" i="2" s="1"/>
  <c r="C657" i="12" a="1"/>
  <c r="C657" i="12" s="1"/>
  <c r="I153" i="2" s="1"/>
  <c r="AE19" i="3" a="1"/>
  <c r="AE19" i="3" s="1"/>
  <c r="AE13" i="3" a="1"/>
  <c r="AE13" i="3" s="1"/>
  <c r="AE16" i="3" a="1"/>
  <c r="AE16" i="3" s="1"/>
  <c r="C636" i="12" a="1"/>
  <c r="C636" i="12" s="1"/>
  <c r="I299" i="2" s="1"/>
  <c r="C619" i="12" a="1"/>
  <c r="C619" i="12" s="1"/>
  <c r="I77" i="2" s="1"/>
  <c r="C664" i="12" a="1"/>
  <c r="C664" i="12" s="1"/>
  <c r="I479" i="2" s="1"/>
  <c r="C655" i="12" a="1"/>
  <c r="C655" i="12" s="1"/>
  <c r="I183" i="2" s="1"/>
  <c r="C667" i="12" a="1"/>
  <c r="C667" i="12" s="1"/>
  <c r="I214" i="2" s="1"/>
  <c r="AE10" i="3" a="1"/>
  <c r="AE10" i="3" s="1"/>
  <c r="AE4" i="3" a="1"/>
  <c r="AE4" i="3" s="1"/>
  <c r="AE14" i="3" a="1"/>
  <c r="AE14" i="3" s="1"/>
  <c r="AF8" i="3" a="1"/>
  <c r="AF8" i="3" s="1"/>
  <c r="C647" i="12" a="1"/>
  <c r="C647" i="12" s="1"/>
  <c r="I136" i="2" s="1"/>
  <c r="C661" i="12" a="1"/>
  <c r="C661" i="12" s="1"/>
  <c r="I117" i="2" s="1"/>
  <c r="C666" i="12" a="1"/>
  <c r="C666" i="12" s="1"/>
  <c r="I427" i="2" s="1"/>
  <c r="AF17" i="3" a="1"/>
  <c r="AF17" i="3" s="1"/>
  <c r="AF11" i="3" a="1"/>
  <c r="AF11" i="3" s="1"/>
  <c r="AF14" i="3" a="1"/>
  <c r="AF14" i="3" s="1"/>
  <c r="AE9" i="3" a="1"/>
  <c r="AE9" i="3" s="1"/>
  <c r="C659" i="12" a="1"/>
  <c r="C659" i="12" s="1"/>
  <c r="I26" i="2" s="1"/>
  <c r="C668" i="12" a="1"/>
  <c r="C668" i="12" s="1"/>
  <c r="I389" i="2" s="1"/>
  <c r="AE18" i="3" a="1"/>
  <c r="AE18" i="3" s="1"/>
  <c r="AE12" i="3" a="1"/>
  <c r="AE12" i="3" s="1"/>
  <c r="AE15" i="3" a="1"/>
  <c r="AE15" i="3" s="1"/>
  <c r="AF16" i="3" a="1"/>
  <c r="AF16" i="3" s="1"/>
  <c r="C618" i="12" a="1"/>
  <c r="C618" i="12" s="1"/>
  <c r="I534" i="2" s="1"/>
  <c r="AF10" i="3" a="1"/>
  <c r="AF10" i="3" s="1"/>
  <c r="AF4" i="3" a="1"/>
  <c r="AF4" i="3" s="1"/>
  <c r="AF6" i="3" a="1"/>
  <c r="AF6" i="3" s="1"/>
  <c r="AE17" i="3" a="1"/>
  <c r="AE17" i="3" s="1"/>
  <c r="C610" i="12" a="1"/>
  <c r="C610" i="12" s="1"/>
  <c r="I527" i="2" s="1"/>
  <c r="AE11" i="3" a="1"/>
  <c r="AE11" i="3" s="1"/>
  <c r="AE5" i="3" a="1"/>
  <c r="AE5" i="3" s="1"/>
  <c r="C648" i="12" a="1"/>
  <c r="C648" i="12" s="1"/>
  <c r="I526" i="2" s="1"/>
  <c r="C617" i="12" a="1"/>
  <c r="C617" i="12" s="1"/>
  <c r="I45" i="2" s="1"/>
  <c r="C625" i="12" a="1"/>
  <c r="C625" i="12" s="1"/>
  <c r="I66" i="2" s="1"/>
  <c r="C653" i="12" a="1"/>
  <c r="C653" i="12" s="1"/>
  <c r="I260" i="2" s="1"/>
  <c r="I185" i="7" a="1"/>
  <c r="I185" i="7" s="1"/>
  <c r="I338" i="4" a="1"/>
  <c r="I338" i="4" s="1"/>
  <c r="I76" i="7" a="1"/>
  <c r="I76" i="7" s="1"/>
  <c r="I128" i="4" a="1"/>
  <c r="I128" i="4" s="1"/>
  <c r="I187" i="7" a="1"/>
  <c r="I187" i="7" s="1"/>
  <c r="I179" i="6" a="1"/>
  <c r="I179" i="6" s="1"/>
  <c r="I341" i="4" a="1"/>
  <c r="I341" i="4" s="1"/>
  <c r="I9" i="5" a="1"/>
  <c r="I9" i="5" s="1"/>
  <c r="I11" i="4" a="1"/>
  <c r="I11" i="4" s="1"/>
  <c r="I66" i="5" a="1"/>
  <c r="I66" i="5" s="1"/>
  <c r="I132" i="4" a="1"/>
  <c r="I132" i="4" s="1"/>
  <c r="I166" i="6" a="1"/>
  <c r="I166" i="6" s="1"/>
  <c r="I312" i="4" a="1"/>
  <c r="I312" i="4" s="1"/>
  <c r="I87" i="6" a="1"/>
  <c r="I87" i="6" s="1"/>
  <c r="I87" i="5" a="1"/>
  <c r="I87" i="5" s="1"/>
  <c r="I172" i="4" a="1"/>
  <c r="I172" i="4" s="1"/>
  <c r="I116" i="5" a="1"/>
  <c r="I116" i="5" s="1"/>
  <c r="I232" i="4" a="1"/>
  <c r="I232" i="4" s="1"/>
  <c r="I165" i="7" a="1"/>
  <c r="I165" i="7" s="1"/>
  <c r="I308" i="4" a="1"/>
  <c r="I308" i="4" s="1"/>
  <c r="I189" i="5" a="1"/>
  <c r="I189" i="5" s="1"/>
  <c r="I363" i="4" a="1"/>
  <c r="I363" i="4" s="1"/>
  <c r="I160" i="7" a="1"/>
  <c r="I160" i="7" s="1"/>
  <c r="I156" i="6" a="1"/>
  <c r="I156" i="6" s="1"/>
  <c r="I295" i="4" a="1"/>
  <c r="I295" i="4" s="1"/>
  <c r="I164" i="7" a="1"/>
  <c r="I164" i="7" s="1"/>
  <c r="I165" i="5" a="1"/>
  <c r="I165" i="5" s="1"/>
  <c r="I307" i="4" a="1"/>
  <c r="I307" i="4" s="1"/>
  <c r="I18" i="5" a="1"/>
  <c r="I18" i="5" s="1"/>
  <c r="I33" i="4" a="1"/>
  <c r="I33" i="4" s="1"/>
  <c r="I198" i="5" a="1"/>
  <c r="I198" i="5" s="1"/>
  <c r="I380" i="4" a="1"/>
  <c r="I380" i="4" s="1"/>
  <c r="I60" i="5" a="1"/>
  <c r="I60" i="5" s="1"/>
  <c r="I117" i="4" a="1"/>
  <c r="I117" i="4" s="1"/>
  <c r="I99" i="6" a="1"/>
  <c r="I99" i="6" s="1"/>
  <c r="I96" i="5" a="1"/>
  <c r="I96" i="5" s="1"/>
  <c r="I193" i="4" a="1"/>
  <c r="I193" i="4" s="1"/>
  <c r="I192" i="5" a="1"/>
  <c r="I192" i="5" s="1"/>
  <c r="I372" i="4" a="1"/>
  <c r="I372" i="4" s="1"/>
  <c r="I204" i="7" a="1"/>
  <c r="I204" i="7" s="1"/>
  <c r="I394" i="4" a="1"/>
  <c r="I394" i="4" s="1"/>
  <c r="I51" i="7" a="1"/>
  <c r="I51" i="7" s="1"/>
  <c r="I42" i="6" a="1"/>
  <c r="I42" i="6" s="1"/>
  <c r="I89" i="4" a="1"/>
  <c r="I89" i="4" s="1"/>
  <c r="I84" i="7" a="1"/>
  <c r="I84" i="7" s="1"/>
  <c r="I71" i="6" a="1"/>
  <c r="I71" i="6" s="1"/>
  <c r="I71" i="5" a="1"/>
  <c r="I71" i="5" s="1"/>
  <c r="I143" i="4" a="1"/>
  <c r="I143" i="4" s="1"/>
  <c r="I177" i="6" a="1"/>
  <c r="I177" i="6" s="1"/>
  <c r="I177" i="5" a="1"/>
  <c r="I177" i="5" s="1"/>
  <c r="I339" i="4" a="1"/>
  <c r="I339" i="4" s="1"/>
  <c r="I173" i="5" a="1"/>
  <c r="I173" i="5" s="1"/>
  <c r="I324" i="4" a="1"/>
  <c r="I324" i="4" s="1"/>
  <c r="I153" i="6" a="1"/>
  <c r="I153" i="6" s="1"/>
  <c r="I158" i="5" a="1"/>
  <c r="I158" i="5" s="1"/>
  <c r="I290" i="4" a="1"/>
  <c r="I290" i="4" s="1"/>
  <c r="I98" i="7" a="1"/>
  <c r="I98" i="7" s="1"/>
  <c r="I89" i="5" a="1"/>
  <c r="I89" i="5" s="1"/>
  <c r="I174" i="4" a="1"/>
  <c r="I174" i="4" s="1"/>
  <c r="I36" i="5" a="1"/>
  <c r="I36" i="5" s="1"/>
  <c r="I65" i="4" a="1"/>
  <c r="I65" i="4" s="1"/>
  <c r="I152" i="6" a="1"/>
  <c r="I152" i="6" s="1"/>
  <c r="I157" i="5" a="1"/>
  <c r="I157" i="5" s="1"/>
  <c r="I289" i="4" a="1"/>
  <c r="I289" i="4" s="1"/>
  <c r="I162" i="6" a="1"/>
  <c r="I162" i="6" s="1"/>
  <c r="I305" i="4" a="1"/>
  <c r="I305" i="4" s="1"/>
  <c r="I142" i="7" a="1"/>
  <c r="I142" i="7" s="1"/>
  <c r="I243" i="4" a="1"/>
  <c r="I243" i="4" s="1"/>
  <c r="I73" i="5" a="1"/>
  <c r="I73" i="5" s="1"/>
  <c r="I75" i="6" a="1"/>
  <c r="I75" i="6" s="1"/>
  <c r="I148" i="4" a="1"/>
  <c r="I148" i="4" s="1"/>
  <c r="I207" i="5" a="1"/>
  <c r="I207" i="5" s="1"/>
  <c r="I398" i="4" a="1"/>
  <c r="I398" i="4" s="1"/>
  <c r="I91" i="6" a="1"/>
  <c r="I91" i="6" s="1"/>
  <c r="I102" i="7" a="1"/>
  <c r="I102" i="7" s="1"/>
  <c r="I179" i="4" a="1"/>
  <c r="I179" i="4" s="1"/>
  <c r="I72" i="6" a="1"/>
  <c r="I72" i="6" s="1"/>
  <c r="I145" i="4" a="1"/>
  <c r="I145" i="4" s="1"/>
  <c r="I208" i="6" a="1"/>
  <c r="I208" i="6" s="1"/>
  <c r="I402" i="4" a="1"/>
  <c r="I402" i="4" s="1"/>
  <c r="I80" i="6" a="1"/>
  <c r="I80" i="6" s="1"/>
  <c r="I154" i="4" a="1"/>
  <c r="I154" i="4" s="1"/>
  <c r="I147" i="7" a="1"/>
  <c r="I147" i="7" s="1"/>
  <c r="I132" i="5" a="1"/>
  <c r="I132" i="5" s="1"/>
  <c r="I258" i="4" a="1"/>
  <c r="I258" i="4" s="1"/>
  <c r="I203" i="6" a="1"/>
  <c r="I203" i="6" s="1"/>
  <c r="I201" i="7" a="1"/>
  <c r="I201" i="7" s="1"/>
  <c r="I387" i="4" a="1"/>
  <c r="I387" i="4" s="1"/>
  <c r="I57" i="4" a="1"/>
  <c r="I57" i="4" s="1"/>
  <c r="I31" i="5" a="1"/>
  <c r="I31" i="5" s="1"/>
  <c r="I100" i="7" a="1"/>
  <c r="I100" i="7" s="1"/>
  <c r="I177" i="4" a="1"/>
  <c r="I177" i="4" s="1"/>
  <c r="I10" i="7" a="1"/>
  <c r="I10" i="7" s="1"/>
  <c r="I9" i="6" a="1"/>
  <c r="I9" i="6" s="1"/>
  <c r="I13" i="5" a="1"/>
  <c r="I13" i="5" s="1"/>
  <c r="I20" i="4" a="1"/>
  <c r="I20" i="4" s="1"/>
  <c r="I164" i="5" a="1"/>
  <c r="I164" i="5" s="1"/>
  <c r="I304" i="4" a="1"/>
  <c r="I304" i="4" s="1"/>
  <c r="I53" i="7" a="1"/>
  <c r="I53" i="7" s="1"/>
  <c r="I91" i="4" a="1"/>
  <c r="I91" i="4" s="1"/>
  <c r="I87" i="7" a="1"/>
  <c r="I87" i="7" s="1"/>
  <c r="I76" i="6" a="1"/>
  <c r="I76" i="6" s="1"/>
  <c r="I149" i="4" a="1"/>
  <c r="I149" i="4" s="1"/>
  <c r="I171" i="7" a="1"/>
  <c r="I171" i="7" s="1"/>
  <c r="I168" i="6" a="1"/>
  <c r="I168" i="6" s="1"/>
  <c r="I171" i="5" a="1"/>
  <c r="I171" i="5" s="1"/>
  <c r="I319" i="4" a="1"/>
  <c r="I319" i="4" s="1"/>
  <c r="I89" i="6" a="1"/>
  <c r="I89" i="6" s="1"/>
  <c r="I176" i="4" a="1"/>
  <c r="I176" i="4" s="1"/>
  <c r="I11" i="7" a="1"/>
  <c r="I11" i="7" s="1"/>
  <c r="I10" i="6" a="1"/>
  <c r="I10" i="6" s="1"/>
  <c r="I21" i="4" a="1"/>
  <c r="I21" i="4" s="1"/>
  <c r="I136" i="5" a="1"/>
  <c r="I136" i="5" s="1"/>
  <c r="I263" i="4" a="1"/>
  <c r="I263" i="4" s="1"/>
  <c r="I31" i="7" a="1"/>
  <c r="I31" i="7" s="1"/>
  <c r="I59" i="4" a="1"/>
  <c r="I59" i="4" s="1"/>
  <c r="I166" i="7" a="1"/>
  <c r="I166" i="7" s="1"/>
  <c r="I166" i="5" a="1"/>
  <c r="I166" i="5" s="1"/>
  <c r="I165" i="6" a="1"/>
  <c r="I165" i="6" s="1"/>
  <c r="I310" i="4" a="1"/>
  <c r="I310" i="4" s="1"/>
  <c r="I7" i="6" a="1"/>
  <c r="I7" i="6" s="1"/>
  <c r="I14" i="4" a="1"/>
  <c r="I14" i="4" s="1"/>
  <c r="I26" i="7" a="1"/>
  <c r="I26" i="7" s="1"/>
  <c r="I45" i="4" a="1"/>
  <c r="I45" i="4" s="1"/>
  <c r="I14" i="6" a="1"/>
  <c r="I14" i="6" s="1"/>
  <c r="I27" i="4" a="1"/>
  <c r="I27" i="4" s="1"/>
  <c r="I152" i="7" a="1"/>
  <c r="I152" i="7" s="1"/>
  <c r="I147" i="5" a="1"/>
  <c r="I147" i="5" s="1"/>
  <c r="I278" i="4" a="1"/>
  <c r="I278" i="4" s="1"/>
  <c r="I127" i="5" a="1"/>
  <c r="I127" i="5" s="1"/>
  <c r="I250" i="4" a="1"/>
  <c r="I250" i="4" s="1"/>
  <c r="I79" i="7" a="1"/>
  <c r="I79" i="7" s="1"/>
  <c r="I135" i="4" a="1"/>
  <c r="I135" i="4" s="1"/>
  <c r="I92" i="7" a="1"/>
  <c r="I92" i="7" s="1"/>
  <c r="I83" i="6" a="1"/>
  <c r="I83" i="6" s="1"/>
  <c r="I164" i="4" a="1"/>
  <c r="I164" i="4" s="1"/>
  <c r="I19" i="7" a="1"/>
  <c r="I19" i="7" s="1"/>
  <c r="I19" i="6" a="1"/>
  <c r="I19" i="6" s="1"/>
  <c r="I35" i="4" a="1"/>
  <c r="I35" i="4" s="1"/>
  <c r="I20" i="7" a="1"/>
  <c r="I20" i="7" s="1"/>
  <c r="I36" i="4" a="1"/>
  <c r="I36" i="4" s="1"/>
  <c r="I191" i="5" a="1"/>
  <c r="I191" i="5" s="1"/>
  <c r="I369" i="4" a="1"/>
  <c r="I369" i="4" s="1"/>
  <c r="I194" i="6" a="1"/>
  <c r="I194" i="6" s="1"/>
  <c r="I190" i="5" a="1"/>
  <c r="I190" i="5" s="1"/>
  <c r="I368" i="4" a="1"/>
  <c r="I368" i="4" s="1"/>
  <c r="I133" i="7" a="1"/>
  <c r="I133" i="7" s="1"/>
  <c r="I231" i="4" a="1"/>
  <c r="I231" i="4" s="1"/>
  <c r="I33" i="7" a="1"/>
  <c r="I33" i="7" s="1"/>
  <c r="I34" i="5" a="1"/>
  <c r="I34" i="5" s="1"/>
  <c r="I62" i="4" a="1"/>
  <c r="I62" i="4" s="1"/>
  <c r="I67" i="5" a="1"/>
  <c r="I67" i="5" s="1"/>
  <c r="I134" i="4" a="1"/>
  <c r="I134" i="4" s="1"/>
  <c r="I3" i="5" a="1"/>
  <c r="I3" i="5" s="1"/>
  <c r="I3" i="4" a="1"/>
  <c r="I3" i="4" s="1"/>
  <c r="I120" i="7" a="1"/>
  <c r="I120" i="7" s="1"/>
  <c r="I211" i="4" a="1"/>
  <c r="I211" i="4" s="1"/>
  <c r="I143" i="7" a="1"/>
  <c r="I143" i="7" s="1"/>
  <c r="I129" i="6" a="1"/>
  <c r="I129" i="6" s="1"/>
  <c r="I248" i="4" a="1"/>
  <c r="I248" i="4" s="1"/>
  <c r="I106" i="6" a="1"/>
  <c r="I106" i="6" s="1"/>
  <c r="I103" i="5" a="1"/>
  <c r="I103" i="5" s="1"/>
  <c r="I205" i="4" a="1"/>
  <c r="I205" i="4" s="1"/>
  <c r="I108" i="7" a="1"/>
  <c r="I108" i="7" s="1"/>
  <c r="I96" i="6" a="1"/>
  <c r="I96" i="6" s="1"/>
  <c r="I188" i="4" a="1"/>
  <c r="I188" i="4" s="1"/>
  <c r="I128" i="7" a="1"/>
  <c r="I128" i="7" s="1"/>
  <c r="I116" i="6" a="1"/>
  <c r="I116" i="6" s="1"/>
  <c r="I223" i="4" a="1"/>
  <c r="I223" i="4" s="1"/>
  <c r="I209" i="5" a="1"/>
  <c r="I209" i="5" s="1"/>
  <c r="I403" i="4" a="1"/>
  <c r="I403" i="4" s="1"/>
  <c r="I23" i="6" a="1"/>
  <c r="I23" i="6" s="1"/>
  <c r="I50" i="4" a="1"/>
  <c r="I50" i="4" s="1"/>
  <c r="I151" i="7" a="1"/>
  <c r="I151" i="7" s="1"/>
  <c r="I272" i="4" a="1"/>
  <c r="I272" i="4" s="1"/>
  <c r="I171" i="6" a="1"/>
  <c r="I171" i="6" s="1"/>
  <c r="I329" i="4" a="1"/>
  <c r="I329" i="4" s="1"/>
  <c r="I188" i="6" a="1"/>
  <c r="I188" i="6" s="1"/>
  <c r="I182" i="5" a="1"/>
  <c r="I182" i="5" s="1"/>
  <c r="I352" i="4" a="1"/>
  <c r="I352" i="4" s="1"/>
  <c r="I126" i="6" a="1"/>
  <c r="I126" i="6" s="1"/>
  <c r="I139" i="7" a="1"/>
  <c r="I139" i="7" s="1"/>
  <c r="I238" i="4" a="1"/>
  <c r="I238" i="4" s="1"/>
  <c r="I124" i="7" a="1"/>
  <c r="I124" i="7" s="1"/>
  <c r="I216" i="4" a="1"/>
  <c r="I216" i="4" s="1"/>
  <c r="I89" i="7" a="1"/>
  <c r="I89" i="7" s="1"/>
  <c r="I78" i="5" a="1"/>
  <c r="I78" i="5" s="1"/>
  <c r="I157" i="4" a="1"/>
  <c r="I157" i="4" s="1"/>
  <c r="I197" i="6" a="1"/>
  <c r="I197" i="6" s="1"/>
  <c r="I373" i="4" a="1"/>
  <c r="I373" i="4" s="1"/>
  <c r="I179" i="7" a="1"/>
  <c r="I179" i="7" s="1"/>
  <c r="I170" i="6" a="1"/>
  <c r="I170" i="6" s="1"/>
  <c r="I328" i="4" a="1"/>
  <c r="I328" i="4" s="1"/>
  <c r="I145" i="6" a="1"/>
  <c r="I145" i="6" s="1"/>
  <c r="I275" i="4" a="1"/>
  <c r="I275" i="4" s="1"/>
  <c r="I8" i="7" a="1"/>
  <c r="I8" i="7" s="1"/>
  <c r="I11" i="5" a="1"/>
  <c r="I11" i="5" s="1"/>
  <c r="I18" i="4" a="1"/>
  <c r="I18" i="4" s="1"/>
  <c r="I28" i="5" a="1"/>
  <c r="I28" i="5" s="1"/>
  <c r="I51" i="4" a="1"/>
  <c r="I51" i="4" s="1"/>
  <c r="I33" i="5" a="1"/>
  <c r="I33" i="5" s="1"/>
  <c r="I61" i="4" a="1"/>
  <c r="I61" i="4" s="1"/>
  <c r="I202" i="7" a="1"/>
  <c r="I202" i="7" s="1"/>
  <c r="I391" i="4" a="1"/>
  <c r="I391" i="4" s="1"/>
  <c r="I186" i="5" a="1"/>
  <c r="I186" i="5" s="1"/>
  <c r="I358" i="4" a="1"/>
  <c r="I358" i="4" s="1"/>
  <c r="I201" i="6" a="1"/>
  <c r="I201" i="6" s="1"/>
  <c r="I202" i="5" a="1"/>
  <c r="I202" i="5" s="1"/>
  <c r="I385" i="4" a="1"/>
  <c r="I385" i="4" s="1"/>
  <c r="I13" i="7" a="1"/>
  <c r="I13" i="7" s="1"/>
  <c r="I12" i="6" a="1"/>
  <c r="I12" i="6" s="1"/>
  <c r="I23" i="4" a="1"/>
  <c r="I23" i="4" s="1"/>
  <c r="I192" i="7" a="1"/>
  <c r="I192" i="7" s="1"/>
  <c r="I190" i="6" a="1"/>
  <c r="I190" i="6" s="1"/>
  <c r="I187" i="5" a="1"/>
  <c r="I187" i="5" s="1"/>
  <c r="I359" i="4" a="1"/>
  <c r="I359" i="4" s="1"/>
  <c r="I35" i="7" a="1"/>
  <c r="I35" i="7" s="1"/>
  <c r="I30" i="6" a="1"/>
  <c r="I30" i="6" s="1"/>
  <c r="I66" i="4" a="1"/>
  <c r="I66" i="4" s="1"/>
  <c r="I144" i="6" a="1"/>
  <c r="I144" i="6" s="1"/>
  <c r="I144" i="5" a="1"/>
  <c r="I144" i="5" s="1"/>
  <c r="I274" i="4" a="1"/>
  <c r="I274" i="4" s="1"/>
  <c r="I93" i="5" a="1"/>
  <c r="I93" i="5" s="1"/>
  <c r="I107" i="7" a="1"/>
  <c r="I107" i="7" s="1"/>
  <c r="I95" i="6" a="1"/>
  <c r="I95" i="6" s="1"/>
  <c r="I186" i="4" a="1"/>
  <c r="I186" i="4" s="1"/>
  <c r="I388" i="4" a="1"/>
  <c r="I388" i="4" s="1"/>
  <c r="I203" i="5" a="1"/>
  <c r="I203" i="5" s="1"/>
  <c r="I29" i="5" a="1"/>
  <c r="I29" i="5" s="1"/>
  <c r="I24" i="6" a="1"/>
  <c r="I24" i="6" s="1"/>
  <c r="I52" i="4" a="1"/>
  <c r="I52" i="4" s="1"/>
  <c r="I100" i="6" a="1"/>
  <c r="I100" i="6" s="1"/>
  <c r="I194" i="4" a="1"/>
  <c r="I194" i="4" s="1"/>
  <c r="I109" i="7" a="1"/>
  <c r="I109" i="7" s="1"/>
  <c r="I190" i="4" a="1"/>
  <c r="I190" i="4" s="1"/>
  <c r="I61" i="6" a="1"/>
  <c r="I61" i="6" s="1"/>
  <c r="I63" i="5" a="1"/>
  <c r="I63" i="5" s="1"/>
  <c r="I123" i="4" a="1"/>
  <c r="I123" i="4" s="1"/>
  <c r="I3" i="7" a="1"/>
  <c r="I3" i="7" s="1"/>
  <c r="I5" i="4" a="1"/>
  <c r="I5" i="4" s="1"/>
  <c r="I68" i="5" a="1"/>
  <c r="I68" i="5" s="1"/>
  <c r="I136" i="4" a="1"/>
  <c r="I136" i="4" s="1"/>
  <c r="I199" i="7" a="1"/>
  <c r="I199" i="7" s="1"/>
  <c r="I197" i="5" a="1"/>
  <c r="I197" i="5" s="1"/>
  <c r="I379" i="4" a="1"/>
  <c r="I379" i="4" s="1"/>
  <c r="I93" i="7" a="1"/>
  <c r="I93" i="7" s="1"/>
  <c r="I85" i="5" a="1"/>
  <c r="I85" i="5" s="1"/>
  <c r="I167" i="4" a="1"/>
  <c r="I167" i="4" s="1"/>
  <c r="I66" i="7" a="1"/>
  <c r="I66" i="7" s="1"/>
  <c r="I56" i="6" a="1"/>
  <c r="I56" i="6" s="1"/>
  <c r="I113" i="4" a="1"/>
  <c r="I113" i="4" s="1"/>
  <c r="I68" i="6" a="1"/>
  <c r="I68" i="6" s="1"/>
  <c r="I138" i="4" a="1"/>
  <c r="I138" i="4" s="1"/>
  <c r="I67" i="6" a="1"/>
  <c r="I67" i="6" s="1"/>
  <c r="I77" i="7" a="1"/>
  <c r="I77" i="7" s="1"/>
  <c r="I130" i="4" a="1"/>
  <c r="I130" i="4" s="1"/>
  <c r="I43" i="5" a="1"/>
  <c r="I43" i="5" s="1"/>
  <c r="I78" i="4" a="1"/>
  <c r="I78" i="4" s="1"/>
  <c r="I82" i="5" a="1"/>
  <c r="I82" i="5" s="1"/>
  <c r="I161" i="4" a="1"/>
  <c r="I161" i="4" s="1"/>
  <c r="I206" i="7" a="1"/>
  <c r="I206" i="7" s="1"/>
  <c r="I207" i="6" a="1"/>
  <c r="I207" i="6" s="1"/>
  <c r="I397" i="4" a="1"/>
  <c r="I397" i="4" s="1"/>
  <c r="I193" i="5" a="1"/>
  <c r="I193" i="5" s="1"/>
  <c r="I374" i="4" a="1"/>
  <c r="I374" i="4" s="1"/>
  <c r="I73" i="6" a="1"/>
  <c r="I73" i="6" s="1"/>
  <c r="I72" i="5" a="1"/>
  <c r="I72" i="5" s="1"/>
  <c r="I146" i="4" a="1"/>
  <c r="I146" i="4" s="1"/>
  <c r="I184" i="5" a="1"/>
  <c r="I184" i="5" s="1"/>
  <c r="I354" i="4" a="1"/>
  <c r="I354" i="4" s="1"/>
  <c r="I147" i="6" a="1"/>
  <c r="I147" i="6" s="1"/>
  <c r="I146" i="5" a="1"/>
  <c r="I146" i="5" s="1"/>
  <c r="I277" i="4" a="1"/>
  <c r="I277" i="4" s="1"/>
  <c r="I105" i="6" a="1"/>
  <c r="I105" i="6" s="1"/>
  <c r="I101" i="5" a="1"/>
  <c r="I101" i="5" s="1"/>
  <c r="I203" i="4" a="1"/>
  <c r="I203" i="4" s="1"/>
  <c r="I161" i="7" a="1"/>
  <c r="I161" i="7" s="1"/>
  <c r="I299" i="4" a="1"/>
  <c r="I299" i="4" s="1"/>
  <c r="I45" i="6" a="1"/>
  <c r="I45" i="6" s="1"/>
  <c r="I49" i="5" a="1"/>
  <c r="I49" i="5" s="1"/>
  <c r="I94" i="4" a="1"/>
  <c r="I94" i="4" s="1"/>
  <c r="I85" i="7" a="1"/>
  <c r="I85" i="7" s="1"/>
  <c r="I144" i="4" a="1"/>
  <c r="I144" i="4" s="1"/>
  <c r="I82" i="7" a="1"/>
  <c r="I82" i="7" s="1"/>
  <c r="I70" i="6" a="1"/>
  <c r="I70" i="6" s="1"/>
  <c r="I69" i="5" a="1"/>
  <c r="I69" i="5" s="1"/>
  <c r="I140" i="4" a="1"/>
  <c r="I140" i="4" s="1"/>
  <c r="I113" i="6" a="1"/>
  <c r="I113" i="6" s="1"/>
  <c r="I125" i="7" a="1"/>
  <c r="I125" i="7" s="1"/>
  <c r="I218" i="4" a="1"/>
  <c r="I218" i="4" s="1"/>
  <c r="I21" i="7" a="1"/>
  <c r="I21" i="7" s="1"/>
  <c r="I20" i="6" a="1"/>
  <c r="I20" i="6" s="1"/>
  <c r="I37" i="4" a="1"/>
  <c r="I37" i="4" s="1"/>
  <c r="I29" i="7" a="1"/>
  <c r="I29" i="7" s="1"/>
  <c r="I54" i="4" a="1"/>
  <c r="I54" i="4" s="1"/>
  <c r="I151" i="5" a="1"/>
  <c r="I151" i="5" s="1"/>
  <c r="I282" i="4" a="1"/>
  <c r="I282" i="4" s="1"/>
  <c r="I202" i="6" a="1"/>
  <c r="I202" i="6" s="1"/>
  <c r="I386" i="4" a="1"/>
  <c r="I386" i="4" s="1"/>
  <c r="I180" i="6" a="1"/>
  <c r="I180" i="6" s="1"/>
  <c r="I342" i="4" a="1"/>
  <c r="I342" i="4" s="1"/>
  <c r="I163" i="6" a="1"/>
  <c r="I163" i="6" s="1"/>
  <c r="I306" i="4" a="1"/>
  <c r="I306" i="4" s="1"/>
  <c r="I83" i="7" a="1"/>
  <c r="I83" i="7" s="1"/>
  <c r="I141" i="4" a="1"/>
  <c r="I141" i="4" s="1"/>
  <c r="I122" i="5" a="1"/>
  <c r="I122" i="5" s="1"/>
  <c r="I244" i="4" a="1"/>
  <c r="I244" i="4" s="1"/>
  <c r="I205" i="6" a="1"/>
  <c r="I205" i="6" s="1"/>
  <c r="I392" i="4" a="1"/>
  <c r="I392" i="4" s="1"/>
  <c r="I205" i="5" a="1"/>
  <c r="I205" i="5" s="1"/>
  <c r="I77" i="6" a="1"/>
  <c r="I77" i="6" s="1"/>
  <c r="I74" i="5" a="1"/>
  <c r="I74" i="5" s="1"/>
  <c r="I150" i="4" a="1"/>
  <c r="I150" i="4" s="1"/>
  <c r="I97" i="7" a="1"/>
  <c r="I97" i="7" s="1"/>
  <c r="I88" i="5" a="1"/>
  <c r="I88" i="5" s="1"/>
  <c r="I173" i="4" a="1"/>
  <c r="I173" i="4" s="1"/>
  <c r="I8" i="5" a="1"/>
  <c r="I8" i="5" s="1"/>
  <c r="I10" i="4" a="1"/>
  <c r="I10" i="4" s="1"/>
  <c r="I196" i="7" a="1"/>
  <c r="I196" i="7" s="1"/>
  <c r="I365" i="4" a="1"/>
  <c r="I365" i="4" s="1"/>
  <c r="I138" i="7" a="1"/>
  <c r="I138" i="7" s="1"/>
  <c r="I125" i="6" a="1"/>
  <c r="I125" i="6" s="1"/>
  <c r="I117" i="5" a="1"/>
  <c r="I117" i="5" s="1"/>
  <c r="I237" i="4" a="1"/>
  <c r="I237" i="4" s="1"/>
  <c r="I175" i="7" a="1"/>
  <c r="I175" i="7" s="1"/>
  <c r="I323" i="4" a="1"/>
  <c r="I323" i="4" s="1"/>
  <c r="I38" i="7" a="1"/>
  <c r="I38" i="7" s="1"/>
  <c r="I31" i="6" a="1"/>
  <c r="I31" i="6" s="1"/>
  <c r="I38" i="5" a="1"/>
  <c r="I38" i="5" s="1"/>
  <c r="I69" i="4" a="1"/>
  <c r="I69" i="4" s="1"/>
  <c r="I141" i="5" a="1"/>
  <c r="I141" i="5" s="1"/>
  <c r="I269" i="4" a="1"/>
  <c r="I269" i="4" s="1"/>
  <c r="I69" i="7" a="1"/>
  <c r="I69" i="7" s="1"/>
  <c r="I58" i="6" a="1"/>
  <c r="I58" i="6" s="1"/>
  <c r="I118" i="4" a="1"/>
  <c r="I118" i="4" s="1"/>
  <c r="I39" i="7" a="1"/>
  <c r="I39" i="7" s="1"/>
  <c r="I70" i="4" a="1"/>
  <c r="I70" i="4" s="1"/>
  <c r="I6" i="7" a="1"/>
  <c r="I6" i="7" s="1"/>
  <c r="I6" i="6" a="1"/>
  <c r="I6" i="6" s="1"/>
  <c r="I13" i="4" a="1"/>
  <c r="I13" i="4" s="1"/>
  <c r="I18" i="6" a="1"/>
  <c r="I18" i="6" s="1"/>
  <c r="I17" i="5" a="1"/>
  <c r="I17" i="5" s="1"/>
  <c r="I18" i="7" a="1"/>
  <c r="I18" i="7" s="1"/>
  <c r="I32" i="4" a="1"/>
  <c r="I32" i="4" s="1"/>
  <c r="I150" i="6" a="1"/>
  <c r="I150" i="6" s="1"/>
  <c r="I153" i="5" a="1"/>
  <c r="I153" i="5" s="1"/>
  <c r="I284" i="4" a="1"/>
  <c r="I284" i="4" s="1"/>
  <c r="I58" i="7" a="1"/>
  <c r="I58" i="7" s="1"/>
  <c r="I49" i="6" a="1"/>
  <c r="I49" i="6" s="1"/>
  <c r="I103" i="4" a="1"/>
  <c r="I103" i="4" s="1"/>
  <c r="I59" i="5" a="1"/>
  <c r="I59" i="5" s="1"/>
  <c r="I114" i="4" a="1"/>
  <c r="I114" i="4" s="1"/>
  <c r="I42" i="5" a="1"/>
  <c r="I42" i="5" s="1"/>
  <c r="I77" i="4" a="1"/>
  <c r="I77" i="4" s="1"/>
  <c r="I199" i="6" a="1"/>
  <c r="I199" i="6" s="1"/>
  <c r="I199" i="5" a="1"/>
  <c r="I199" i="5" s="1"/>
  <c r="I381" i="4" a="1"/>
  <c r="I381" i="4" s="1"/>
  <c r="I168" i="5" a="1"/>
  <c r="I168" i="5" s="1"/>
  <c r="I314" i="4" a="1"/>
  <c r="I314" i="4" s="1"/>
  <c r="I114" i="7" a="1"/>
  <c r="I114" i="7" s="1"/>
  <c r="I102" i="6" a="1"/>
  <c r="I102" i="6" s="1"/>
  <c r="I199" i="4" a="1"/>
  <c r="I199" i="4" s="1"/>
  <c r="I149" i="6" a="1"/>
  <c r="I149" i="6" s="1"/>
  <c r="I150" i="5" a="1"/>
  <c r="I150" i="5" s="1"/>
  <c r="I281" i="4" a="1"/>
  <c r="I281" i="4" s="1"/>
  <c r="I90" i="7" a="1"/>
  <c r="I90" i="7" s="1"/>
  <c r="I80" i="5" a="1"/>
  <c r="I80" i="5" s="1"/>
  <c r="I159" i="4" a="1"/>
  <c r="I159" i="4" s="1"/>
  <c r="I167" i="6" a="1"/>
  <c r="I167" i="6" s="1"/>
  <c r="I315" i="4" a="1"/>
  <c r="I315" i="4" s="1"/>
  <c r="I41" i="6" a="1"/>
  <c r="I41" i="6" s="1"/>
  <c r="I88" i="4" a="1"/>
  <c r="I88" i="4" s="1"/>
  <c r="I94" i="6" a="1"/>
  <c r="I94" i="6" s="1"/>
  <c r="I106" i="7" a="1"/>
  <c r="I106" i="7" s="1"/>
  <c r="I185" i="4" a="1"/>
  <c r="I185" i="4" s="1"/>
  <c r="I51" i="5" a="1"/>
  <c r="I51" i="5" s="1"/>
  <c r="I97" i="4" a="1"/>
  <c r="I97" i="4" s="1"/>
  <c r="I70" i="7" a="1"/>
  <c r="I70" i="7" s="1"/>
  <c r="I61" i="5" a="1"/>
  <c r="I61" i="5" s="1"/>
  <c r="I119" i="4" a="1"/>
  <c r="I119" i="4" s="1"/>
  <c r="I4" i="7" a="1"/>
  <c r="I4" i="7" s="1"/>
  <c r="I7" i="4" a="1"/>
  <c r="I7" i="4" s="1"/>
  <c r="I66" i="6" a="1"/>
  <c r="I66" i="6" s="1"/>
  <c r="I129" i="4" a="1"/>
  <c r="I129" i="4" s="1"/>
  <c r="I407" i="4" a="1"/>
  <c r="I407" i="4" s="1"/>
  <c r="I210" i="5" a="1"/>
  <c r="I210" i="5" s="1"/>
  <c r="I193" i="7" a="1"/>
  <c r="I193" i="7" s="1"/>
  <c r="I361" i="4" a="1"/>
  <c r="I361" i="4" s="1"/>
  <c r="I46" i="7" a="1"/>
  <c r="I46" i="7" s="1"/>
  <c r="I81" i="4" a="1"/>
  <c r="I81" i="4" s="1"/>
  <c r="I133" i="5" a="1"/>
  <c r="I133" i="5" s="1"/>
  <c r="I138" i="6" a="1"/>
  <c r="I138" i="6" s="1"/>
  <c r="I260" i="4" a="1"/>
  <c r="I260" i="4" s="1"/>
  <c r="I139" i="6" a="1"/>
  <c r="I139" i="6" s="1"/>
  <c r="I134" i="5" a="1"/>
  <c r="I134" i="5" s="1"/>
  <c r="I261" i="4" a="1"/>
  <c r="I261" i="4" s="1"/>
  <c r="I22" i="5" a="1"/>
  <c r="I22" i="5" s="1"/>
  <c r="I41" i="4" a="1"/>
  <c r="I41" i="4" s="1"/>
  <c r="I112" i="7" a="1"/>
  <c r="I112" i="7" s="1"/>
  <c r="I197" i="4" a="1"/>
  <c r="I197" i="4" s="1"/>
  <c r="I182" i="7" a="1"/>
  <c r="I182" i="7" s="1"/>
  <c r="I174" i="6" a="1"/>
  <c r="I174" i="6" s="1"/>
  <c r="I334" i="4" a="1"/>
  <c r="I334" i="4" s="1"/>
  <c r="I124" i="5" a="1"/>
  <c r="I124" i="5" s="1"/>
  <c r="I246" i="4" a="1"/>
  <c r="I246" i="4" s="1"/>
  <c r="I129" i="7" a="1"/>
  <c r="I129" i="7" s="1"/>
  <c r="I225" i="4" a="1"/>
  <c r="I225" i="4" s="1"/>
  <c r="I113" i="5" a="1"/>
  <c r="I113" i="5" s="1"/>
  <c r="I127" i="7" a="1"/>
  <c r="I127" i="7" s="1"/>
  <c r="I222" i="4" a="1"/>
  <c r="I222" i="4" s="1"/>
  <c r="I73" i="7" a="1"/>
  <c r="I73" i="7" s="1"/>
  <c r="I63" i="6" a="1"/>
  <c r="I63" i="6" s="1"/>
  <c r="I125" i="4" a="1"/>
  <c r="I125" i="4" s="1"/>
  <c r="I183" i="7" a="1"/>
  <c r="I183" i="7" s="1"/>
  <c r="I176" i="6" a="1"/>
  <c r="I176" i="6" s="1"/>
  <c r="I336" i="4" a="1"/>
  <c r="I336" i="4" s="1"/>
  <c r="I384" i="4" a="1"/>
  <c r="I384" i="4" s="1"/>
  <c r="I201" i="5" a="1"/>
  <c r="I201" i="5" s="1"/>
  <c r="I167" i="7" a="1"/>
  <c r="I167" i="7" s="1"/>
  <c r="I311" i="4" a="1"/>
  <c r="I311" i="4" s="1"/>
  <c r="I63" i="7" a="1"/>
  <c r="I63" i="7" s="1"/>
  <c r="I109" i="4" a="1"/>
  <c r="I109" i="4" s="1"/>
  <c r="I130" i="7" a="1"/>
  <c r="I130" i="7" s="1"/>
  <c r="I118" i="6" a="1"/>
  <c r="I118" i="6" s="1"/>
  <c r="I227" i="4" a="1"/>
  <c r="I227" i="4" s="1"/>
  <c r="I157" i="7" a="1"/>
  <c r="I157" i="7" s="1"/>
  <c r="I154" i="6" a="1"/>
  <c r="I154" i="6" s="1"/>
  <c r="I291" i="4" a="1"/>
  <c r="I291" i="4" s="1"/>
  <c r="I164" i="6" a="1"/>
  <c r="I164" i="6" s="1"/>
  <c r="I309" i="4" a="1"/>
  <c r="I309" i="4" s="1"/>
  <c r="I86" i="6" a="1"/>
  <c r="I86" i="6" s="1"/>
  <c r="I170" i="4" a="1"/>
  <c r="I170" i="4" s="1"/>
  <c r="I207" i="7" a="1"/>
  <c r="I207" i="7" s="1"/>
  <c r="I399" i="4" a="1"/>
  <c r="I399" i="4" s="1"/>
  <c r="I122" i="7" a="1"/>
  <c r="I122" i="7" s="1"/>
  <c r="I112" i="6" a="1"/>
  <c r="I112" i="6" s="1"/>
  <c r="I214" i="4" a="1"/>
  <c r="I214" i="4" s="1"/>
  <c r="I19" i="5" a="1"/>
  <c r="I19" i="5" s="1"/>
  <c r="I34" i="4" a="1"/>
  <c r="I34" i="4" s="1"/>
  <c r="I24" i="5" a="1"/>
  <c r="I24" i="5" s="1"/>
  <c r="I46" i="4" a="1"/>
  <c r="I46" i="4" s="1"/>
  <c r="I72" i="7" a="1"/>
  <c r="I72" i="7" s="1"/>
  <c r="I60" i="6" a="1"/>
  <c r="I60" i="6" s="1"/>
  <c r="I121" i="4" a="1"/>
  <c r="I121" i="4" s="1"/>
  <c r="I187" i="6" a="1"/>
  <c r="I187" i="6" s="1"/>
  <c r="I351" i="4" a="1"/>
  <c r="I351" i="4" s="1"/>
  <c r="I153" i="7" a="1"/>
  <c r="I153" i="7" s="1"/>
  <c r="I148" i="5" a="1"/>
  <c r="I148" i="5" s="1"/>
  <c r="I279" i="4" a="1"/>
  <c r="I279" i="4" s="1"/>
  <c r="I141" i="6" a="1"/>
  <c r="I141" i="6" s="1"/>
  <c r="I140" i="5" a="1"/>
  <c r="I140" i="5" s="1"/>
  <c r="I268" i="4" a="1"/>
  <c r="I268" i="4" s="1"/>
  <c r="I75" i="7" a="1"/>
  <c r="I75" i="7" s="1"/>
  <c r="I65" i="6" a="1"/>
  <c r="I65" i="6" s="1"/>
  <c r="I127" i="4" a="1"/>
  <c r="I127" i="4" s="1"/>
  <c r="I37" i="7" a="1"/>
  <c r="I37" i="7" s="1"/>
  <c r="I68" i="4" a="1"/>
  <c r="I68" i="4" s="1"/>
  <c r="I173" i="7" a="1"/>
  <c r="I173" i="7" s="1"/>
  <c r="I321" i="4" a="1"/>
  <c r="I321" i="4" s="1"/>
  <c r="I115" i="7" a="1"/>
  <c r="I115" i="7" s="1"/>
  <c r="I103" i="6" a="1"/>
  <c r="I103" i="6" s="1"/>
  <c r="I200" i="4" a="1"/>
  <c r="I200" i="4" s="1"/>
  <c r="I108" i="5" a="1"/>
  <c r="I108" i="5" s="1"/>
  <c r="I217" i="4" a="1"/>
  <c r="I217" i="4" s="1"/>
  <c r="I50" i="5" a="1"/>
  <c r="I50" i="5" s="1"/>
  <c r="I96" i="4" a="1"/>
  <c r="I96" i="4" s="1"/>
  <c r="I205" i="7" a="1"/>
  <c r="I205" i="7" s="1"/>
  <c r="I396" i="4" a="1"/>
  <c r="I396" i="4" s="1"/>
  <c r="I168" i="7" a="1"/>
  <c r="I168" i="7" s="1"/>
  <c r="I167" i="5" a="1"/>
  <c r="I167" i="5" s="1"/>
  <c r="I313" i="4" a="1"/>
  <c r="I313" i="4" s="1"/>
  <c r="I184" i="7" a="1"/>
  <c r="I184" i="7" s="1"/>
  <c r="I337" i="4" a="1"/>
  <c r="I337" i="4" s="1"/>
  <c r="I135" i="7" a="1"/>
  <c r="I135" i="7" s="1"/>
  <c r="I122" i="6" a="1"/>
  <c r="I122" i="6" s="1"/>
  <c r="I234" i="4" a="1"/>
  <c r="I234" i="4" s="1"/>
  <c r="I170" i="5" a="1"/>
  <c r="I170" i="5" s="1"/>
  <c r="I318" i="4" a="1"/>
  <c r="I318" i="4" s="1"/>
  <c r="I141" i="7" a="1"/>
  <c r="I141" i="7" s="1"/>
  <c r="I121" i="5" a="1"/>
  <c r="I121" i="5" s="1"/>
  <c r="I242" i="4" a="1"/>
  <c r="I242" i="4" s="1"/>
  <c r="I185" i="6" a="1"/>
  <c r="I185" i="6" s="1"/>
  <c r="I179" i="5" a="1"/>
  <c r="I179" i="5" s="1"/>
  <c r="I348" i="4" a="1"/>
  <c r="I348" i="4" s="1"/>
  <c r="I65" i="5" a="1"/>
  <c r="I65" i="5" s="1"/>
  <c r="I131" i="4" a="1"/>
  <c r="I131" i="4" s="1"/>
  <c r="I64" i="7" a="1"/>
  <c r="I64" i="7" s="1"/>
  <c r="I110" i="4" a="1"/>
  <c r="I110" i="4" s="1"/>
  <c r="I22" i="6" a="1"/>
  <c r="I22" i="6" s="1"/>
  <c r="I25" i="7" a="1"/>
  <c r="I25" i="7" s="1"/>
  <c r="I44" i="4" a="1"/>
  <c r="I44" i="4" s="1"/>
  <c r="I186" i="7" a="1"/>
  <c r="I186" i="7" s="1"/>
  <c r="I178" i="6" a="1"/>
  <c r="I178" i="6" s="1"/>
  <c r="I340" i="4" a="1"/>
  <c r="I340" i="4" s="1"/>
  <c r="I209" i="4" a="1"/>
  <c r="I209" i="4" s="1"/>
  <c r="I105" i="5" a="1"/>
  <c r="I105" i="5" s="1"/>
  <c r="I62" i="5" a="1"/>
  <c r="I62" i="5" s="1"/>
  <c r="I122" i="4" a="1"/>
  <c r="I122" i="4" s="1"/>
  <c r="I103" i="7" a="1"/>
  <c r="I103" i="7" s="1"/>
  <c r="I92" i="6" a="1"/>
  <c r="I92" i="6" s="1"/>
  <c r="I182" i="4" a="1"/>
  <c r="I182" i="4" s="1"/>
  <c r="I61" i="7" a="1"/>
  <c r="I61" i="7" s="1"/>
  <c r="I52" i="6" a="1"/>
  <c r="I52" i="6" s="1"/>
  <c r="I106" i="4" a="1"/>
  <c r="I106" i="4" s="1"/>
  <c r="I195" i="5" a="1"/>
  <c r="I195" i="5" s="1"/>
  <c r="I377" i="4" a="1"/>
  <c r="I377" i="4" s="1"/>
  <c r="I34" i="7" a="1"/>
  <c r="I34" i="7" s="1"/>
  <c r="I29" i="6" a="1"/>
  <c r="I29" i="6" s="1"/>
  <c r="I64" i="4" a="1"/>
  <c r="I64" i="4" s="1"/>
  <c r="I54" i="6" a="1"/>
  <c r="I54" i="6" s="1"/>
  <c r="I58" i="5" a="1"/>
  <c r="I58" i="5" s="1"/>
  <c r="I111" i="4" a="1"/>
  <c r="I111" i="4" s="1"/>
  <c r="I84" i="6" a="1"/>
  <c r="I84" i="6" s="1"/>
  <c r="I94" i="7" a="1"/>
  <c r="I94" i="7" s="1"/>
  <c r="I168" i="4" a="1"/>
  <c r="I168" i="4" s="1"/>
  <c r="I111" i="5" a="1"/>
  <c r="I111" i="5" s="1"/>
  <c r="I221" i="4" a="1"/>
  <c r="I221" i="4" s="1"/>
  <c r="I110" i="6" a="1"/>
  <c r="I110" i="6" s="1"/>
  <c r="I121" i="7" a="1"/>
  <c r="I121" i="7" s="1"/>
  <c r="I212" i="4" a="1"/>
  <c r="I212" i="4" s="1"/>
  <c r="I36" i="7" a="1"/>
  <c r="I36" i="7" s="1"/>
  <c r="I67" i="4" a="1"/>
  <c r="I67" i="4" s="1"/>
  <c r="I37" i="5" a="1"/>
  <c r="I37" i="5" s="1"/>
  <c r="I188" i="5" a="1"/>
  <c r="I188" i="5" s="1"/>
  <c r="I360" i="4" a="1"/>
  <c r="I360" i="4" s="1"/>
  <c r="I378" i="4" a="1"/>
  <c r="I378" i="4" s="1"/>
  <c r="I196" i="5" a="1"/>
  <c r="I196" i="5" s="1"/>
  <c r="I401" i="4" a="1"/>
  <c r="I401" i="4" s="1"/>
  <c r="I208" i="5" a="1"/>
  <c r="I208" i="5" s="1"/>
  <c r="I90" i="5" a="1"/>
  <c r="I90" i="5" s="1"/>
  <c r="I180" i="4" a="1"/>
  <c r="I180" i="4" s="1"/>
  <c r="I56" i="5" a="1"/>
  <c r="I56" i="5" s="1"/>
  <c r="I107" i="4" a="1"/>
  <c r="I107" i="4" s="1"/>
  <c r="I188" i="7" a="1"/>
  <c r="I188" i="7" s="1"/>
  <c r="I346" i="4" a="1"/>
  <c r="I346" i="4" s="1"/>
  <c r="I146" i="6" a="1"/>
  <c r="I146" i="6" s="1"/>
  <c r="I145" i="5" a="1"/>
  <c r="I145" i="5" s="1"/>
  <c r="I276" i="4" a="1"/>
  <c r="I276" i="4" s="1"/>
  <c r="I27" i="7" a="1"/>
  <c r="I27" i="7" s="1"/>
  <c r="I26" i="5" a="1"/>
  <c r="I26" i="5" s="1"/>
  <c r="I48" i="4" a="1"/>
  <c r="I48" i="4" s="1"/>
  <c r="I111" i="6" a="1"/>
  <c r="I111" i="6" s="1"/>
  <c r="I106" i="5" a="1"/>
  <c r="I106" i="5" s="1"/>
  <c r="I213" i="4" a="1"/>
  <c r="I213" i="4" s="1"/>
  <c r="I57" i="6" a="1"/>
  <c r="I57" i="6" s="1"/>
  <c r="I68" i="7" a="1"/>
  <c r="I68" i="7" s="1"/>
  <c r="I116" i="4" a="1"/>
  <c r="I116" i="4" s="1"/>
  <c r="I50" i="7" a="1"/>
  <c r="I50" i="7" s="1"/>
  <c r="I40" i="6" a="1"/>
  <c r="I40" i="6" s="1"/>
  <c r="I87" i="4" a="1"/>
  <c r="I87" i="4" s="1"/>
  <c r="I75" i="5" a="1"/>
  <c r="I75" i="5" s="1"/>
  <c r="I152" i="4" a="1"/>
  <c r="I152" i="4" s="1"/>
  <c r="I113" i="7" a="1"/>
  <c r="I113" i="7" s="1"/>
  <c r="I198" i="4" a="1"/>
  <c r="I198" i="4" s="1"/>
  <c r="I149" i="7" a="1"/>
  <c r="I149" i="7" s="1"/>
  <c r="I140" i="6" a="1"/>
  <c r="I140" i="6" s="1"/>
  <c r="I265" i="4" a="1"/>
  <c r="I265" i="4" s="1"/>
  <c r="I4" i="5" a="1"/>
  <c r="I4" i="5" s="1"/>
  <c r="I4" i="4" a="1"/>
  <c r="I4" i="4" s="1"/>
  <c r="I48" i="5" a="1"/>
  <c r="I48" i="5" s="1"/>
  <c r="I86" i="4" a="1"/>
  <c r="I86" i="4" s="1"/>
  <c r="I104" i="7" a="1"/>
  <c r="I104" i="7" s="1"/>
  <c r="I183" i="4" a="1"/>
  <c r="I183" i="4" s="1"/>
  <c r="I139" i="5" a="1"/>
  <c r="I139" i="5" s="1"/>
  <c r="I267" i="4" a="1"/>
  <c r="I267" i="4" s="1"/>
  <c r="I79" i="6" a="1"/>
  <c r="I79" i="6" s="1"/>
  <c r="I88" i="7" a="1"/>
  <c r="I88" i="7" s="1"/>
  <c r="I153" i="4" a="1"/>
  <c r="I153" i="4" s="1"/>
  <c r="I204" i="6" a="1"/>
  <c r="I204" i="6" s="1"/>
  <c r="I389" i="4" a="1"/>
  <c r="I389" i="4" s="1"/>
  <c r="I9" i="7" a="1"/>
  <c r="I9" i="7" s="1"/>
  <c r="I12" i="5" a="1"/>
  <c r="I12" i="5" s="1"/>
  <c r="I19" i="4" a="1"/>
  <c r="I19" i="4" s="1"/>
  <c r="I118" i="5" a="1"/>
  <c r="I118" i="5" s="1"/>
  <c r="I239" i="4" a="1"/>
  <c r="I239" i="4" s="1"/>
  <c r="I209" i="7" a="1"/>
  <c r="I209" i="7" s="1"/>
  <c r="I209" i="6" a="1"/>
  <c r="I209" i="6" s="1"/>
  <c r="I404" i="4" a="1"/>
  <c r="I404" i="4" s="1"/>
  <c r="I143" i="6" a="1"/>
  <c r="I143" i="6" s="1"/>
  <c r="I143" i="5" a="1"/>
  <c r="I143" i="5" s="1"/>
  <c r="I273" i="4" a="1"/>
  <c r="I273" i="4" s="1"/>
  <c r="I128" i="6" a="1"/>
  <c r="I128" i="6" s="1"/>
  <c r="I125" i="5" a="1"/>
  <c r="I125" i="5" s="1"/>
  <c r="I247" i="4" a="1"/>
  <c r="I247" i="4" s="1"/>
  <c r="I172" i="7" a="1"/>
  <c r="I172" i="7" s="1"/>
  <c r="I172" i="5" a="1"/>
  <c r="I172" i="5" s="1"/>
  <c r="I320" i="4" a="1"/>
  <c r="I320" i="4" s="1"/>
  <c r="I94" i="5" a="1"/>
  <c r="I94" i="5" s="1"/>
  <c r="I187" i="4" a="1"/>
  <c r="I187" i="4" s="1"/>
  <c r="I148" i="6" a="1"/>
  <c r="I148" i="6" s="1"/>
  <c r="I149" i="5" a="1"/>
  <c r="I149" i="5" s="1"/>
  <c r="I280" i="4" a="1"/>
  <c r="I280" i="4" s="1"/>
  <c r="I197" i="7" a="1"/>
  <c r="I197" i="7" s="1"/>
  <c r="I193" i="6" a="1"/>
  <c r="I193" i="6" s="1"/>
  <c r="I367" i="4" a="1"/>
  <c r="I367" i="4" s="1"/>
  <c r="I8" i="6" a="1"/>
  <c r="I8" i="6" s="1"/>
  <c r="I15" i="4" a="1"/>
  <c r="I15" i="4" s="1"/>
  <c r="I27" i="5" a="1"/>
  <c r="I27" i="5" s="1"/>
  <c r="I49" i="4" a="1"/>
  <c r="I49" i="4" s="1"/>
  <c r="I111" i="7" a="1"/>
  <c r="I111" i="7" s="1"/>
  <c r="I192" i="4" a="1"/>
  <c r="I192" i="4" s="1"/>
  <c r="I174" i="7" a="1"/>
  <c r="I174" i="7" s="1"/>
  <c r="I169" i="6" a="1"/>
  <c r="I169" i="6" s="1"/>
  <c r="I322" i="4" a="1"/>
  <c r="I322" i="4" s="1"/>
  <c r="I130" i="6" a="1"/>
  <c r="I130" i="6" s="1"/>
  <c r="I144" i="7" a="1"/>
  <c r="I144" i="7" s="1"/>
  <c r="I126" i="5" a="1"/>
  <c r="I126" i="5" s="1"/>
  <c r="I249" i="4" a="1"/>
  <c r="I249" i="4" s="1"/>
  <c r="I15" i="6" a="1"/>
  <c r="I15" i="6" s="1"/>
  <c r="I16" i="7" a="1"/>
  <c r="I16" i="7" s="1"/>
  <c r="I28" i="4" a="1"/>
  <c r="I28" i="4" s="1"/>
  <c r="I14" i="7" a="1"/>
  <c r="I14" i="7" s="1"/>
  <c r="I15" i="5" a="1"/>
  <c r="I15" i="5" s="1"/>
  <c r="I25" i="4" a="1"/>
  <c r="I25" i="4" s="1"/>
  <c r="I22" i="7" a="1"/>
  <c r="I22" i="7" s="1"/>
  <c r="I20" i="5" a="1"/>
  <c r="I20" i="5" s="1"/>
  <c r="I38" i="4" a="1"/>
  <c r="I38" i="4" s="1"/>
  <c r="I176" i="7" a="1"/>
  <c r="I176" i="7" s="1"/>
  <c r="I325" i="4" a="1"/>
  <c r="I325" i="4" s="1"/>
  <c r="I148" i="7" a="1"/>
  <c r="I148" i="7" s="1"/>
  <c r="I259" i="4" a="1"/>
  <c r="I259" i="4" s="1"/>
  <c r="I37" i="6" a="1"/>
  <c r="I37" i="6" s="1"/>
  <c r="I48" i="7" a="1"/>
  <c r="I48" i="7" s="1"/>
  <c r="I45" i="5" a="1"/>
  <c r="I45" i="5" s="1"/>
  <c r="I83" i="4" a="1"/>
  <c r="I83" i="4" s="1"/>
  <c r="I53" i="5" a="1"/>
  <c r="I53" i="5" s="1"/>
  <c r="I99" i="4" a="1"/>
  <c r="I99" i="4" s="1"/>
  <c r="I12" i="7" a="1"/>
  <c r="I12" i="7" s="1"/>
  <c r="I11" i="6" a="1"/>
  <c r="I11" i="6" s="1"/>
  <c r="I22" i="4" a="1"/>
  <c r="I22" i="4" s="1"/>
  <c r="I194" i="7" a="1"/>
  <c r="I194" i="7" s="1"/>
  <c r="I362" i="4" a="1"/>
  <c r="I362" i="4" s="1"/>
  <c r="I195" i="7" a="1"/>
  <c r="I195" i="7" s="1"/>
  <c r="I191" i="6" a="1"/>
  <c r="I191" i="6" s="1"/>
  <c r="I364" i="4" a="1"/>
  <c r="I364" i="4" s="1"/>
  <c r="I159" i="6" a="1"/>
  <c r="I159" i="6" s="1"/>
  <c r="I298" i="4" a="1"/>
  <c r="I298" i="4" s="1"/>
  <c r="I182" i="6" a="1"/>
  <c r="I182" i="6" s="1"/>
  <c r="I344" i="4" a="1"/>
  <c r="I344" i="4" s="1"/>
  <c r="I142" i="6" a="1"/>
  <c r="I142" i="6" s="1"/>
  <c r="I150" i="7" a="1"/>
  <c r="I150" i="7" s="1"/>
  <c r="I270" i="4" a="1"/>
  <c r="I270" i="4" s="1"/>
  <c r="I108" i="6" a="1"/>
  <c r="I108" i="6" s="1"/>
  <c r="I208" i="4" a="1"/>
  <c r="I208" i="4" s="1"/>
  <c r="I195" i="6" a="1"/>
  <c r="I195" i="6" s="1"/>
  <c r="I370" i="4" a="1"/>
  <c r="I370" i="4" s="1"/>
  <c r="I178" i="7" a="1"/>
  <c r="I178" i="7" s="1"/>
  <c r="I327" i="4" a="1"/>
  <c r="I327" i="4" s="1"/>
  <c r="I210" i="6" a="1"/>
  <c r="I210" i="6" s="1"/>
  <c r="I405" i="4" a="1"/>
  <c r="I405" i="4" s="1"/>
  <c r="I42" i="7" a="1"/>
  <c r="I42" i="7" s="1"/>
  <c r="I39" i="5" a="1"/>
  <c r="I39" i="5" s="1"/>
  <c r="I73" i="4" a="1"/>
  <c r="I73" i="4" s="1"/>
  <c r="I3" i="6" a="1"/>
  <c r="I3" i="6" s="1"/>
  <c r="I6" i="5" a="1"/>
  <c r="I6" i="5" s="1"/>
  <c r="I8" i="4" a="1"/>
  <c r="I8" i="4" s="1"/>
  <c r="I7" i="7" a="1"/>
  <c r="I7" i="7" s="1"/>
  <c r="I17" i="4" a="1"/>
  <c r="I17" i="4" s="1"/>
  <c r="I41" i="5" a="1"/>
  <c r="I41" i="5" s="1"/>
  <c r="I75" i="4" a="1"/>
  <c r="I75" i="4" s="1"/>
  <c r="I132" i="6" a="1"/>
  <c r="I132" i="6" s="1"/>
  <c r="I128" i="5" a="1"/>
  <c r="I128" i="5" s="1"/>
  <c r="I252" i="4" a="1"/>
  <c r="I252" i="4" s="1"/>
  <c r="I158" i="7" a="1"/>
  <c r="I158" i="7" s="1"/>
  <c r="I160" i="5" a="1"/>
  <c r="I160" i="5" s="1"/>
  <c r="I293" i="4" a="1"/>
  <c r="I293" i="4" s="1"/>
  <c r="I23" i="7" a="1"/>
  <c r="I23" i="7" s="1"/>
  <c r="I39" i="4" a="1"/>
  <c r="I39" i="4" s="1"/>
  <c r="I192" i="6" a="1"/>
  <c r="I192" i="6" s="1"/>
  <c r="I366" i="4" a="1"/>
  <c r="I366" i="4" s="1"/>
  <c r="I206" i="5" a="1"/>
  <c r="I206" i="5" s="1"/>
  <c r="I395" i="4" a="1"/>
  <c r="I395" i="4" s="1"/>
  <c r="I194" i="5" a="1"/>
  <c r="I194" i="5" s="1"/>
  <c r="I376" i="4" a="1"/>
  <c r="I376" i="4" s="1"/>
  <c r="I191" i="7" a="1"/>
  <c r="I191" i="7" s="1"/>
  <c r="I357" i="4" a="1"/>
  <c r="I357" i="4" s="1"/>
  <c r="I186" i="6" a="1"/>
  <c r="I186" i="6" s="1"/>
  <c r="I181" i="5" a="1"/>
  <c r="I181" i="5" s="1"/>
  <c r="I350" i="4" a="1"/>
  <c r="I350" i="4" s="1"/>
  <c r="I135" i="6" a="1"/>
  <c r="I135" i="6" s="1"/>
  <c r="I130" i="5" a="1"/>
  <c r="I130" i="5" s="1"/>
  <c r="I255" i="4" a="1"/>
  <c r="I255" i="4" s="1"/>
  <c r="I183" i="6" a="1"/>
  <c r="I183" i="6" s="1"/>
  <c r="I178" i="5" a="1"/>
  <c r="I178" i="5" s="1"/>
  <c r="I345" i="4" a="1"/>
  <c r="I345" i="4" s="1"/>
  <c r="E112" i="8" a="1"/>
  <c r="E112" i="8" s="1"/>
  <c r="J277" i="2" a="1"/>
  <c r="J277" i="2" s="1"/>
  <c r="E41" i="6" a="1"/>
  <c r="E41" i="6" s="1"/>
  <c r="E88" i="4" a="1"/>
  <c r="E88" i="4" s="1"/>
  <c r="J156" i="2" a="1"/>
  <c r="J156" i="2" s="1"/>
  <c r="E177" i="6" a="1"/>
  <c r="E177" i="6" s="1"/>
  <c r="E177" i="5" a="1"/>
  <c r="E177" i="5" s="1"/>
  <c r="E339" i="4" a="1"/>
  <c r="E339" i="4" s="1"/>
  <c r="J613" i="2" a="1"/>
  <c r="J613" i="2" s="1"/>
  <c r="E194" i="7" a="1"/>
  <c r="E194" i="7" s="1"/>
  <c r="E362" i="4" a="1"/>
  <c r="E362" i="4" s="1"/>
  <c r="J631" i="2" a="1"/>
  <c r="J631" i="2" s="1"/>
  <c r="E128" i="7" a="1"/>
  <c r="E128" i="7" s="1"/>
  <c r="E116" i="6" a="1"/>
  <c r="E116" i="6" s="1"/>
  <c r="E223" i="4" a="1"/>
  <c r="E223" i="4" s="1"/>
  <c r="J460" i="2" a="1"/>
  <c r="J460" i="2" s="1"/>
  <c r="E27" i="6" a="1"/>
  <c r="E27" i="6" s="1"/>
  <c r="E32" i="5" a="1"/>
  <c r="E32" i="5" s="1"/>
  <c r="E58" i="4" a="1"/>
  <c r="E58" i="4" s="1"/>
  <c r="J115" i="2" a="1"/>
  <c r="J115" i="2" s="1"/>
  <c r="E68" i="7" a="1"/>
  <c r="E68" i="7" s="1"/>
  <c r="E57" i="6" a="1"/>
  <c r="E57" i="6" s="1"/>
  <c r="E116" i="4" a="1"/>
  <c r="E116" i="4" s="1"/>
  <c r="J219" i="2" a="1"/>
  <c r="J219" i="2" s="1"/>
  <c r="E92" i="8" a="1"/>
  <c r="E92" i="8" s="1"/>
  <c r="J243" i="2" a="1"/>
  <c r="J243" i="2" s="1"/>
  <c r="E101" i="8" a="1"/>
  <c r="E101" i="8" s="1"/>
  <c r="J257" i="2" a="1"/>
  <c r="J257" i="2" s="1"/>
  <c r="E118" i="5" a="1"/>
  <c r="E118" i="5" s="1"/>
  <c r="E239" i="4" a="1"/>
  <c r="E239" i="4" s="1"/>
  <c r="J455" i="2" a="1"/>
  <c r="J455" i="2" s="1"/>
  <c r="I181" i="7" a="1"/>
  <c r="I181" i="7" s="1"/>
  <c r="I172" i="6" a="1"/>
  <c r="I172" i="6" s="1"/>
  <c r="I332" i="4" a="1"/>
  <c r="I332" i="4" s="1"/>
  <c r="E37" i="8" a="1"/>
  <c r="E37" i="8" s="1"/>
  <c r="J105" i="2" a="1"/>
  <c r="J105" i="2" s="1"/>
  <c r="I16" i="5" a="1"/>
  <c r="I16" i="5" s="1"/>
  <c r="I31" i="4" a="1"/>
  <c r="I31" i="4" s="1"/>
  <c r="E75" i="6" a="1"/>
  <c r="E75" i="6" s="1"/>
  <c r="E73" i="5" a="1"/>
  <c r="E73" i="5" s="1"/>
  <c r="E148" i="4" a="1"/>
  <c r="E148" i="4" s="1"/>
  <c r="J321" i="2" a="1"/>
  <c r="J321" i="2" s="1"/>
  <c r="E150" i="7" a="1"/>
  <c r="E150" i="7" s="1"/>
  <c r="E142" i="6" a="1"/>
  <c r="E142" i="6" s="1"/>
  <c r="E270" i="4" a="1"/>
  <c r="E270" i="4" s="1"/>
  <c r="J524" i="2" a="1"/>
  <c r="J524" i="2" s="1"/>
  <c r="I7" i="5" a="1"/>
  <c r="I7" i="5" s="1"/>
  <c r="I4" i="6" a="1"/>
  <c r="I4" i="6" s="1"/>
  <c r="I9" i="4" a="1"/>
  <c r="I9" i="4" s="1"/>
  <c r="I123" i="5" a="1"/>
  <c r="I123" i="5" s="1"/>
  <c r="I245" i="4" a="1"/>
  <c r="I245" i="4" s="1"/>
  <c r="E70" i="5" a="1"/>
  <c r="E70" i="5" s="1"/>
  <c r="E142" i="4" a="1"/>
  <c r="E142" i="4" s="1"/>
  <c r="J267" i="2" a="1"/>
  <c r="J267" i="2" s="1"/>
  <c r="I57" i="7" a="1"/>
  <c r="I57" i="7" s="1"/>
  <c r="I54" i="5" a="1"/>
  <c r="I54" i="5" s="1"/>
  <c r="I101" i="4" a="1"/>
  <c r="I101" i="4" s="1"/>
  <c r="E190" i="8" a="1"/>
  <c r="E190" i="8" s="1"/>
  <c r="J456" i="2" a="1"/>
  <c r="J456" i="2" s="1"/>
  <c r="C626" i="12" a="1"/>
  <c r="C626" i="12" s="1"/>
  <c r="I485" i="2" s="1"/>
  <c r="E10" i="7" a="1"/>
  <c r="E10" i="7" s="1"/>
  <c r="E13" i="5" a="1"/>
  <c r="E13" i="5" s="1"/>
  <c r="E9" i="6" a="1"/>
  <c r="E9" i="6" s="1"/>
  <c r="E20" i="4" a="1"/>
  <c r="E20" i="4" s="1"/>
  <c r="J35" i="2" a="1"/>
  <c r="J35" i="2" s="1"/>
  <c r="E44" i="7" a="1"/>
  <c r="E44" i="7" s="1"/>
  <c r="E35" i="6" a="1"/>
  <c r="E35" i="6" s="1"/>
  <c r="E76" i="4" a="1"/>
  <c r="E76" i="4" s="1"/>
  <c r="J143" i="2" a="1"/>
  <c r="J143" i="2" s="1"/>
  <c r="E108" i="8" a="1"/>
  <c r="E108" i="8" s="1"/>
  <c r="J270" i="2" a="1"/>
  <c r="J270" i="2" s="1"/>
  <c r="E129" i="6" a="1"/>
  <c r="E129" i="6" s="1"/>
  <c r="E143" i="7" a="1"/>
  <c r="E143" i="7" s="1"/>
  <c r="E248" i="4" a="1"/>
  <c r="E248" i="4" s="1"/>
  <c r="J496" i="2" a="1"/>
  <c r="J496" i="2" s="1"/>
  <c r="E139" i="7" a="1"/>
  <c r="E139" i="7" s="1"/>
  <c r="E126" i="6" a="1"/>
  <c r="E126" i="6" s="1"/>
  <c r="E238" i="4" a="1"/>
  <c r="E238" i="4" s="1"/>
  <c r="J484" i="2" a="1"/>
  <c r="J484" i="2" s="1"/>
  <c r="I184" i="6" a="1"/>
  <c r="I184" i="6" s="1"/>
  <c r="I347" i="4" a="1"/>
  <c r="I347" i="4" s="1"/>
  <c r="E203" i="8" a="1"/>
  <c r="E203" i="8" s="1"/>
  <c r="J505" i="2" a="1"/>
  <c r="J505" i="2" s="1"/>
  <c r="I47" i="7" a="1"/>
  <c r="I47" i="7" s="1"/>
  <c r="I36" i="6" a="1"/>
  <c r="I36" i="6" s="1"/>
  <c r="I82" i="4" a="1"/>
  <c r="I82" i="4" s="1"/>
  <c r="I67" i="7" a="1"/>
  <c r="I67" i="7" s="1"/>
  <c r="I115" i="4" a="1"/>
  <c r="I115" i="4" s="1"/>
  <c r="I163" i="5" a="1"/>
  <c r="I163" i="5" s="1"/>
  <c r="I161" i="6" a="1"/>
  <c r="I161" i="6" s="1"/>
  <c r="I303" i="4" a="1"/>
  <c r="I303" i="4" s="1"/>
  <c r="E186" i="5" a="1"/>
  <c r="E186" i="5" s="1"/>
  <c r="E358" i="4" a="1"/>
  <c r="E358" i="4" s="1"/>
  <c r="J599" i="2" a="1"/>
  <c r="J599" i="2" s="1"/>
  <c r="E166" i="7" a="1"/>
  <c r="E166" i="7" s="1"/>
  <c r="E165" i="6" a="1"/>
  <c r="E165" i="6" s="1"/>
  <c r="E166" i="5" a="1"/>
  <c r="E166" i="5" s="1"/>
  <c r="E310" i="4" a="1"/>
  <c r="E310" i="4" s="1"/>
  <c r="J568" i="2" a="1"/>
  <c r="J568" i="2" s="1"/>
  <c r="I64" i="6" a="1"/>
  <c r="I64" i="6" s="1"/>
  <c r="I74" i="7" a="1"/>
  <c r="I74" i="7" s="1"/>
  <c r="I126" i="4" a="1"/>
  <c r="I126" i="4" s="1"/>
  <c r="I104" i="6" a="1"/>
  <c r="I104" i="6" s="1"/>
  <c r="I117" i="7" a="1"/>
  <c r="I117" i="7" s="1"/>
  <c r="I100" i="5" a="1"/>
  <c r="I100" i="5" s="1"/>
  <c r="I202" i="4" a="1"/>
  <c r="I202" i="4" s="1"/>
  <c r="E81" i="8" a="1"/>
  <c r="E81" i="8" s="1"/>
  <c r="J224" i="2" a="1"/>
  <c r="J224" i="2" s="1"/>
  <c r="E6" i="7" a="1"/>
  <c r="E6" i="7" s="1"/>
  <c r="E6" i="6" a="1"/>
  <c r="E6" i="6" s="1"/>
  <c r="E13" i="4" a="1"/>
  <c r="E13" i="4" s="1"/>
  <c r="F6" i="3" a="1"/>
  <c r="F6" i="3" s="1"/>
  <c r="J18" i="2" a="1"/>
  <c r="J18" i="2" s="1"/>
  <c r="I96" i="7" a="1"/>
  <c r="I96" i="7" s="1"/>
  <c r="I86" i="5" a="1"/>
  <c r="I86" i="5" s="1"/>
  <c r="I171" i="4" a="1"/>
  <c r="I171" i="4" s="1"/>
  <c r="E145" i="8" a="1"/>
  <c r="E145" i="8" s="1"/>
  <c r="J346" i="2" a="1"/>
  <c r="J346" i="2" s="1"/>
  <c r="E175" i="8" a="1"/>
  <c r="E175" i="8" s="1"/>
  <c r="J418" i="2" a="1"/>
  <c r="J418" i="2" s="1"/>
  <c r="E15" i="8" a="1"/>
  <c r="E15" i="8" s="1"/>
  <c r="J33" i="2" a="1"/>
  <c r="J33" i="2" s="1"/>
  <c r="E84" i="7" a="1"/>
  <c r="E84" i="7" s="1"/>
  <c r="E71" i="6" a="1"/>
  <c r="E71" i="6" s="1"/>
  <c r="E71" i="5" a="1"/>
  <c r="E71" i="5" s="1"/>
  <c r="E143" i="4" a="1"/>
  <c r="E143" i="4" s="1"/>
  <c r="J287" i="2" a="1"/>
  <c r="J287" i="2" s="1"/>
  <c r="E113" i="8" a="1"/>
  <c r="E113" i="8" s="1"/>
  <c r="J279" i="2" a="1"/>
  <c r="J279" i="2" s="1"/>
  <c r="E113" i="7" a="1"/>
  <c r="E113" i="7" s="1"/>
  <c r="E198" i="4" a="1"/>
  <c r="E198" i="4" s="1"/>
  <c r="J408" i="2" a="1"/>
  <c r="J408" i="2" s="1"/>
  <c r="E65" i="7" a="1"/>
  <c r="E65" i="7" s="1"/>
  <c r="E55" i="6" a="1"/>
  <c r="E55" i="6" s="1"/>
  <c r="E112" i="4" a="1"/>
  <c r="E112" i="4" s="1"/>
  <c r="J207" i="2" a="1"/>
  <c r="J207" i="2" s="1"/>
  <c r="E141" i="8" a="1"/>
  <c r="E141" i="8" s="1"/>
  <c r="J339" i="2" a="1"/>
  <c r="J339" i="2" s="1"/>
  <c r="E89" i="7" a="1"/>
  <c r="E89" i="7" s="1"/>
  <c r="E78" i="5" a="1"/>
  <c r="E78" i="5" s="1"/>
  <c r="E157" i="4" a="1"/>
  <c r="E157" i="4" s="1"/>
  <c r="J323" i="2" a="1"/>
  <c r="J323" i="2" s="1"/>
  <c r="E14" i="8" a="1"/>
  <c r="E14" i="8" s="1"/>
  <c r="J31" i="2" a="1"/>
  <c r="J31" i="2" s="1"/>
  <c r="I15" i="7" a="1"/>
  <c r="I15" i="7" s="1"/>
  <c r="I13" i="6" a="1"/>
  <c r="I13" i="6" s="1"/>
  <c r="I26" i="4" a="1"/>
  <c r="I26" i="4" s="1"/>
  <c r="E22" i="5" a="1"/>
  <c r="E22" i="5" s="1"/>
  <c r="E41" i="4" a="1"/>
  <c r="E41" i="4" s="1"/>
  <c r="J69" i="2" a="1"/>
  <c r="J69" i="2" s="1"/>
  <c r="E91" i="8" a="1"/>
  <c r="E91" i="8" s="1"/>
  <c r="J242" i="2" a="1"/>
  <c r="J242" i="2" s="1"/>
  <c r="E112" i="7" a="1"/>
  <c r="E112" i="7" s="1"/>
  <c r="E197" i="4" a="1"/>
  <c r="E197" i="4" s="1"/>
  <c r="J406" i="2" a="1"/>
  <c r="J406" i="2" s="1"/>
  <c r="I189" i="6" a="1"/>
  <c r="I189" i="6" s="1"/>
  <c r="I185" i="5" a="1"/>
  <c r="I185" i="5" s="1"/>
  <c r="I355" i="4" a="1"/>
  <c r="I355" i="4" s="1"/>
  <c r="E29" i="8" a="1"/>
  <c r="E29" i="8" s="1"/>
  <c r="J78" i="2" a="1"/>
  <c r="J78" i="2" s="1"/>
  <c r="E18" i="8" a="1"/>
  <c r="E18" i="8" s="1"/>
  <c r="J36" i="2" a="1"/>
  <c r="J36" i="2" s="1"/>
  <c r="E12" i="8" a="1"/>
  <c r="E12" i="8" s="1"/>
  <c r="J25" i="2" a="1"/>
  <c r="J25" i="2" s="1"/>
  <c r="I30" i="5" a="1"/>
  <c r="I30" i="5" s="1"/>
  <c r="I56" i="4" a="1"/>
  <c r="I56" i="4" s="1"/>
  <c r="I70" i="5" a="1"/>
  <c r="I70" i="5" s="1"/>
  <c r="I142" i="4" a="1"/>
  <c r="I142" i="4" s="1"/>
  <c r="E24" i="7" a="1"/>
  <c r="E24" i="7" s="1"/>
  <c r="E43" i="4" a="1"/>
  <c r="E43" i="4" s="1"/>
  <c r="J79" i="2" a="1"/>
  <c r="J79" i="2" s="1"/>
  <c r="E92" i="7" a="1"/>
  <c r="E92" i="7" s="1"/>
  <c r="E83" i="6" a="1"/>
  <c r="E83" i="6" s="1"/>
  <c r="E164" i="4" a="1"/>
  <c r="E164" i="4" s="1"/>
  <c r="J337" i="2" a="1"/>
  <c r="J337" i="2" s="1"/>
  <c r="E82" i="8" a="1"/>
  <c r="E82" i="8" s="1"/>
  <c r="J225" i="2" a="1"/>
  <c r="J225" i="2" s="1"/>
  <c r="I120" i="6" a="1"/>
  <c r="I120" i="6" s="1"/>
  <c r="I115" i="5" a="1"/>
  <c r="I115" i="5" s="1"/>
  <c r="I230" i="4" a="1"/>
  <c r="I230" i="4" s="1"/>
  <c r="E157" i="8" a="1"/>
  <c r="E157" i="8" s="1"/>
  <c r="J366" i="2" a="1"/>
  <c r="J366" i="2" s="1"/>
  <c r="E198" i="5" a="1"/>
  <c r="E198" i="5" s="1"/>
  <c r="E380" i="4" a="1"/>
  <c r="E380" i="4" s="1"/>
  <c r="J635" i="2" a="1"/>
  <c r="J635" i="2" s="1"/>
  <c r="E166" i="6" a="1"/>
  <c r="E166" i="6" s="1"/>
  <c r="E312" i="4" a="1"/>
  <c r="E312" i="4" s="1"/>
  <c r="J581" i="2" a="1"/>
  <c r="J581" i="2" s="1"/>
  <c r="E107" i="8" a="1"/>
  <c r="E107" i="8" s="1"/>
  <c r="J269" i="2" a="1"/>
  <c r="J269" i="2" s="1"/>
  <c r="I44" i="7" a="1"/>
  <c r="I44" i="7" s="1"/>
  <c r="I35" i="6" a="1"/>
  <c r="I35" i="6" s="1"/>
  <c r="I76" i="4" a="1"/>
  <c r="I76" i="4" s="1"/>
  <c r="I95" i="7" a="1"/>
  <c r="I95" i="7" s="1"/>
  <c r="I85" i="6" a="1"/>
  <c r="I85" i="6" s="1"/>
  <c r="I169" i="4" a="1"/>
  <c r="I169" i="4" s="1"/>
  <c r="E74" i="8" a="1"/>
  <c r="E74" i="8" s="1"/>
  <c r="J211" i="2" a="1"/>
  <c r="J211" i="2" s="1"/>
  <c r="I110" i="7" a="1"/>
  <c r="I110" i="7" s="1"/>
  <c r="I98" i="6" a="1"/>
  <c r="I98" i="6" s="1"/>
  <c r="I191" i="4" a="1"/>
  <c r="I191" i="4" s="1"/>
  <c r="I80" i="7" a="1"/>
  <c r="I80" i="7" s="1"/>
  <c r="I137" i="4" a="1"/>
  <c r="I137" i="4" s="1"/>
  <c r="J354" i="2" a="1"/>
  <c r="J354" i="2" s="1"/>
  <c r="E132" i="8" a="1"/>
  <c r="E132" i="8" s="1"/>
  <c r="J320" i="2" a="1"/>
  <c r="J320" i="2" s="1"/>
  <c r="E128" i="8" a="1"/>
  <c r="E128" i="8" s="1"/>
  <c r="J311" i="2" a="1"/>
  <c r="J311" i="2" s="1"/>
  <c r="I156" i="7" a="1"/>
  <c r="I156" i="7" s="1"/>
  <c r="I156" i="5" a="1"/>
  <c r="I156" i="5" s="1"/>
  <c r="I288" i="4" a="1"/>
  <c r="I288" i="4" s="1"/>
  <c r="I159" i="5" a="1"/>
  <c r="I159" i="5" s="1"/>
  <c r="I292" i="4" a="1"/>
  <c r="I292" i="4" s="1"/>
  <c r="C637" i="12" a="1"/>
  <c r="C637" i="12" s="1"/>
  <c r="I108" i="2" s="1"/>
  <c r="E138" i="5" a="1"/>
  <c r="E138" i="5" s="1"/>
  <c r="E266" i="4" a="1"/>
  <c r="E266" i="4" s="1"/>
  <c r="J506" i="2" a="1"/>
  <c r="J506" i="2" s="1"/>
  <c r="E158" i="5" a="1"/>
  <c r="E158" i="5" s="1"/>
  <c r="E153" i="6" a="1"/>
  <c r="E153" i="6" s="1"/>
  <c r="E290" i="4" a="1"/>
  <c r="E290" i="4" s="1"/>
  <c r="J558" i="2" a="1"/>
  <c r="J558" i="2" s="1"/>
  <c r="E50" i="7" a="1"/>
  <c r="E50" i="7" s="1"/>
  <c r="E40" i="6" a="1"/>
  <c r="E40" i="6" s="1"/>
  <c r="E87" i="4" a="1"/>
  <c r="E87" i="4" s="1"/>
  <c r="J152" i="2" a="1"/>
  <c r="J152" i="2" s="1"/>
  <c r="I163" i="7" a="1"/>
  <c r="I163" i="7" s="1"/>
  <c r="I162" i="5" a="1"/>
  <c r="I162" i="5" s="1"/>
  <c r="I302" i="4" a="1"/>
  <c r="I302" i="4" s="1"/>
  <c r="E36" i="5" a="1"/>
  <c r="E36" i="5" s="1"/>
  <c r="E65" i="4" a="1"/>
  <c r="E65" i="4" s="1"/>
  <c r="J110" i="2" a="1"/>
  <c r="J110" i="2" s="1"/>
  <c r="E154" i="6" a="1"/>
  <c r="E154" i="6" s="1"/>
  <c r="E157" i="7" a="1"/>
  <c r="E157" i="7" s="1"/>
  <c r="E291" i="4" a="1"/>
  <c r="E291" i="4" s="1"/>
  <c r="J550" i="2" a="1"/>
  <c r="J550" i="2" s="1"/>
  <c r="I65" i="7" a="1"/>
  <c r="I65" i="7" s="1"/>
  <c r="I55" i="6" a="1"/>
  <c r="I55" i="6" s="1"/>
  <c r="I112" i="4" a="1"/>
  <c r="I112" i="4" s="1"/>
  <c r="E9" i="8" a="1"/>
  <c r="E9" i="8" s="1"/>
  <c r="J19" i="2" a="1"/>
  <c r="J19" i="2" s="1"/>
  <c r="I198" i="6" a="1"/>
  <c r="I198" i="6" s="1"/>
  <c r="I375" i="4" a="1"/>
  <c r="I375" i="4" s="1"/>
  <c r="E108" i="6" a="1"/>
  <c r="E108" i="6" s="1"/>
  <c r="E208" i="4" a="1"/>
  <c r="E208" i="4" s="1"/>
  <c r="J451" i="2" a="1"/>
  <c r="J451" i="2" s="1"/>
  <c r="E158" i="6" a="1"/>
  <c r="E158" i="6" s="1"/>
  <c r="E297" i="4" a="1"/>
  <c r="E297" i="4" s="1"/>
  <c r="J564" i="2" a="1"/>
  <c r="J564" i="2" s="1"/>
  <c r="I126" i="7" a="1"/>
  <c r="I126" i="7" s="1"/>
  <c r="I115" i="6" a="1"/>
  <c r="I115" i="6" s="1"/>
  <c r="I110" i="5" a="1"/>
  <c r="I110" i="5" s="1"/>
  <c r="I220" i="4" a="1"/>
  <c r="I220" i="4" s="1"/>
  <c r="E177" i="7" a="1"/>
  <c r="E177" i="7" s="1"/>
  <c r="E174" i="5" a="1"/>
  <c r="E174" i="5" s="1"/>
  <c r="E326" i="4" a="1"/>
  <c r="E326" i="4" s="1"/>
  <c r="J591" i="2" a="1"/>
  <c r="J591" i="2" s="1"/>
  <c r="E96" i="8" a="1"/>
  <c r="E96" i="8" s="1"/>
  <c r="J251" i="2" a="1"/>
  <c r="J251" i="2" s="1"/>
  <c r="E169" i="8" a="1"/>
  <c r="E169" i="8" s="1"/>
  <c r="J397" i="2" a="1"/>
  <c r="J397" i="2" s="1"/>
  <c r="I24" i="7" a="1"/>
  <c r="I24" i="7" s="1"/>
  <c r="I43" i="4" a="1"/>
  <c r="I43" i="4" s="1"/>
  <c r="E114" i="7" a="1"/>
  <c r="E114" i="7" s="1"/>
  <c r="E102" i="6" a="1"/>
  <c r="E102" i="6" s="1"/>
  <c r="E199" i="4" a="1"/>
  <c r="E199" i="4" s="1"/>
  <c r="J417" i="2" a="1"/>
  <c r="J417" i="2" s="1"/>
  <c r="E145" i="6" a="1"/>
  <c r="E145" i="6" s="1"/>
  <c r="E275" i="4" a="1"/>
  <c r="E275" i="4" s="1"/>
  <c r="J543" i="2" a="1"/>
  <c r="J543" i="2" s="1"/>
  <c r="E33" i="5" a="1"/>
  <c r="E33" i="5" s="1"/>
  <c r="E61" i="4" a="1"/>
  <c r="E61" i="4" s="1"/>
  <c r="J102" i="2" a="1"/>
  <c r="J102" i="2" s="1"/>
  <c r="E86" i="6" a="1"/>
  <c r="E86" i="6" s="1"/>
  <c r="E170" i="4" a="1"/>
  <c r="E170" i="4" s="1"/>
  <c r="J360" i="2" a="1"/>
  <c r="J360" i="2" s="1"/>
  <c r="E60" i="6" a="1"/>
  <c r="E60" i="6" s="1"/>
  <c r="E72" i="7" a="1"/>
  <c r="E72" i="7" s="1"/>
  <c r="E121" i="4" a="1"/>
  <c r="E121" i="4" s="1"/>
  <c r="J231" i="2" a="1"/>
  <c r="J231" i="2" s="1"/>
  <c r="E30" i="8" a="1"/>
  <c r="E30" i="8" s="1"/>
  <c r="J86" i="2" a="1"/>
  <c r="J86" i="2" s="1"/>
  <c r="E6" i="8" a="1"/>
  <c r="E6" i="8" s="1"/>
  <c r="J9" i="2" a="1"/>
  <c r="J9" i="2" s="1"/>
  <c r="E141" i="5" a="1"/>
  <c r="E141" i="5" s="1"/>
  <c r="E269" i="4" a="1"/>
  <c r="E269" i="4" s="1"/>
  <c r="J513" i="2" a="1"/>
  <c r="J513" i="2" s="1"/>
  <c r="E103" i="5" a="1"/>
  <c r="E103" i="5" s="1"/>
  <c r="E106" i="6" a="1"/>
  <c r="E106" i="6" s="1"/>
  <c r="E205" i="4" a="1"/>
  <c r="E205" i="4" s="1"/>
  <c r="J445" i="2" a="1"/>
  <c r="J445" i="2" s="1"/>
  <c r="E53" i="7" a="1"/>
  <c r="E53" i="7" s="1"/>
  <c r="E91" i="4" a="1"/>
  <c r="E91" i="4" s="1"/>
  <c r="J167" i="2" a="1"/>
  <c r="J167" i="2" s="1"/>
  <c r="E87" i="7" a="1"/>
  <c r="E87" i="7" s="1"/>
  <c r="E76" i="6" a="1"/>
  <c r="E76" i="6" s="1"/>
  <c r="E149" i="4" a="1"/>
  <c r="E149" i="4" s="1"/>
  <c r="J310" i="2" a="1"/>
  <c r="J310" i="2" s="1"/>
  <c r="I33" i="6" a="1"/>
  <c r="I33" i="6" s="1"/>
  <c r="I41" i="7" a="1"/>
  <c r="I41" i="7" s="1"/>
  <c r="I72" i="4" a="1"/>
  <c r="I72" i="4" s="1"/>
  <c r="I137" i="6" a="1"/>
  <c r="I137" i="6" s="1"/>
  <c r="I146" i="7" a="1"/>
  <c r="I146" i="7" s="1"/>
  <c r="I257" i="4" a="1"/>
  <c r="I257" i="4" s="1"/>
  <c r="E163" i="6" a="1"/>
  <c r="E163" i="6" s="1"/>
  <c r="E306" i="4" a="1"/>
  <c r="E306" i="4" s="1"/>
  <c r="J575" i="2" a="1"/>
  <c r="J575" i="2" s="1"/>
  <c r="E152" i="8" a="1"/>
  <c r="E152" i="8" s="1"/>
  <c r="J358" i="2" a="1"/>
  <c r="J358" i="2" s="1"/>
  <c r="E106" i="8" a="1"/>
  <c r="E106" i="8" s="1"/>
  <c r="J268" i="2" a="1"/>
  <c r="J268" i="2" s="1"/>
  <c r="E125" i="6" a="1"/>
  <c r="E125" i="6" s="1"/>
  <c r="E138" i="7" a="1"/>
  <c r="E138" i="7" s="1"/>
  <c r="E117" i="5" a="1"/>
  <c r="E117" i="5" s="1"/>
  <c r="E237" i="4" a="1"/>
  <c r="E237" i="4" s="1"/>
  <c r="J481" i="2" a="1"/>
  <c r="J481" i="2" s="1"/>
  <c r="E170" i="7" a="1"/>
  <c r="E170" i="7" s="1"/>
  <c r="E169" i="5" a="1"/>
  <c r="E169" i="5" s="1"/>
  <c r="E317" i="4" a="1"/>
  <c r="E317" i="4" s="1"/>
  <c r="J583" i="2" a="1"/>
  <c r="J583" i="2" s="1"/>
  <c r="E244" i="4" a="1"/>
  <c r="E244" i="4" s="1"/>
  <c r="E122" i="5" a="1"/>
  <c r="E122" i="5" s="1"/>
  <c r="J469" i="2" a="1"/>
  <c r="J469" i="2" s="1"/>
  <c r="E136" i="5" a="1"/>
  <c r="E136" i="5" s="1"/>
  <c r="E263" i="4" a="1"/>
  <c r="E263" i="4" s="1"/>
  <c r="J500" i="2" a="1"/>
  <c r="J500" i="2" s="1"/>
  <c r="E103" i="8" a="1"/>
  <c r="E103" i="8" s="1"/>
  <c r="J262" i="2" a="1"/>
  <c r="J262" i="2" s="1"/>
  <c r="E3" i="7" a="1"/>
  <c r="E3" i="7" s="1"/>
  <c r="E5" i="4" a="1"/>
  <c r="E5" i="4" s="1"/>
  <c r="F10" i="3" a="1"/>
  <c r="F10" i="3" s="1"/>
  <c r="J4" i="2" a="1"/>
  <c r="J4" i="2" s="1"/>
  <c r="I78" i="6" a="1"/>
  <c r="I78" i="6" s="1"/>
  <c r="I151" i="4" a="1"/>
  <c r="I151" i="4" s="1"/>
  <c r="E62" i="5" a="1"/>
  <c r="E62" i="5" s="1"/>
  <c r="E122" i="4" a="1"/>
  <c r="E122" i="4" s="1"/>
  <c r="J217" i="2" a="1"/>
  <c r="J217" i="2" s="1"/>
  <c r="C649" i="12" a="1"/>
  <c r="C649" i="12" s="1"/>
  <c r="I190" i="2" s="1"/>
  <c r="I140" i="7" a="1"/>
  <c r="I140" i="7" s="1"/>
  <c r="I127" i="6" a="1"/>
  <c r="I127" i="6" s="1"/>
  <c r="I120" i="5" a="1"/>
  <c r="I120" i="5" s="1"/>
  <c r="I241" i="4" a="1"/>
  <c r="I241" i="4" s="1"/>
  <c r="E36" i="8" a="1"/>
  <c r="E36" i="8" s="1"/>
  <c r="J104" i="2" a="1"/>
  <c r="J104" i="2" s="1"/>
  <c r="E66" i="7" a="1"/>
  <c r="E66" i="7" s="1"/>
  <c r="E56" i="6" a="1"/>
  <c r="E56" i="6" s="1"/>
  <c r="E113" i="4" a="1"/>
  <c r="E113" i="4" s="1"/>
  <c r="J208" i="2" a="1"/>
  <c r="J208" i="2" s="1"/>
  <c r="E102" i="8" a="1"/>
  <c r="E102" i="8" s="1"/>
  <c r="J259" i="2" a="1"/>
  <c r="J259" i="2" s="1"/>
  <c r="E17" i="7" a="1"/>
  <c r="E17" i="7" s="1"/>
  <c r="E16" i="6" a="1"/>
  <c r="E16" i="6" s="1"/>
  <c r="E29" i="4" a="1"/>
  <c r="E29" i="4" s="1"/>
  <c r="J57" i="2" a="1"/>
  <c r="J57" i="2" s="1"/>
  <c r="E139" i="6" a="1"/>
  <c r="E139" i="6" s="1"/>
  <c r="E134" i="5" a="1"/>
  <c r="E134" i="5" s="1"/>
  <c r="E261" i="4" a="1"/>
  <c r="E261" i="4" s="1"/>
  <c r="J522" i="2" a="1"/>
  <c r="J522" i="2" s="1"/>
  <c r="E139" i="5" a="1"/>
  <c r="E139" i="5" s="1"/>
  <c r="E267" i="4" a="1"/>
  <c r="E267" i="4" s="1"/>
  <c r="J508" i="2" a="1"/>
  <c r="J508" i="2" s="1"/>
  <c r="E68" i="6" a="1"/>
  <c r="E68" i="6" s="1"/>
  <c r="E138" i="4" a="1"/>
  <c r="E138" i="4" s="1"/>
  <c r="J293" i="2" a="1"/>
  <c r="J293" i="2" s="1"/>
  <c r="E22" i="9" a="1"/>
  <c r="E22" i="9" s="1"/>
  <c r="J146" i="2" a="1"/>
  <c r="J146" i="2" s="1"/>
  <c r="E146" i="8" a="1"/>
  <c r="E146" i="8" s="1"/>
  <c r="J349" i="2" a="1"/>
  <c r="J349" i="2" s="1"/>
  <c r="E151" i="5" a="1"/>
  <c r="E151" i="5" s="1"/>
  <c r="E282" i="4" a="1"/>
  <c r="E282" i="4" s="1"/>
  <c r="J528" i="2" a="1"/>
  <c r="J528" i="2" s="1"/>
  <c r="E160" i="6" a="1"/>
  <c r="E160" i="6" s="1"/>
  <c r="E161" i="5" a="1"/>
  <c r="E161" i="5" s="1"/>
  <c r="E300" i="4" a="1"/>
  <c r="E300" i="4" s="1"/>
  <c r="J570" i="2" a="1"/>
  <c r="J570" i="2" s="1"/>
  <c r="I177" i="7" a="1"/>
  <c r="I177" i="7" s="1"/>
  <c r="I174" i="5" a="1"/>
  <c r="I174" i="5" s="1"/>
  <c r="I326" i="4" a="1"/>
  <c r="I326" i="4" s="1"/>
  <c r="E182" i="7" a="1"/>
  <c r="E182" i="7" s="1"/>
  <c r="E174" i="6" a="1"/>
  <c r="E174" i="6" s="1"/>
  <c r="E334" i="4" a="1"/>
  <c r="E334" i="4" s="1"/>
  <c r="J598" i="2" a="1"/>
  <c r="J598" i="2" s="1"/>
  <c r="I52" i="7" a="1"/>
  <c r="I52" i="7" s="1"/>
  <c r="I90" i="4" a="1"/>
  <c r="I90" i="4" s="1"/>
  <c r="C651" i="12" a="1"/>
  <c r="C651" i="12" s="1"/>
  <c r="I265" i="2" s="1"/>
  <c r="E70" i="7" a="1"/>
  <c r="E70" i="7" s="1"/>
  <c r="E61" i="5" a="1"/>
  <c r="E61" i="5" s="1"/>
  <c r="E119" i="4" a="1"/>
  <c r="E119" i="4" s="1"/>
  <c r="J228" i="2" a="1"/>
  <c r="J228" i="2" s="1"/>
  <c r="E162" i="8" a="1"/>
  <c r="E162" i="8" s="1"/>
  <c r="J382" i="2" a="1"/>
  <c r="J382" i="2" s="1"/>
  <c r="I200" i="7" a="1"/>
  <c r="I200" i="7" s="1"/>
  <c r="I382" i="4" a="1"/>
  <c r="I382" i="4" s="1"/>
  <c r="E94" i="5" a="1"/>
  <c r="E94" i="5" s="1"/>
  <c r="E187" i="4" a="1"/>
  <c r="E187" i="4" s="1"/>
  <c r="J378" i="2" a="1"/>
  <c r="J378" i="2" s="1"/>
  <c r="C629" i="12" a="1"/>
  <c r="C629" i="12" s="1"/>
  <c r="I385" i="2" s="1"/>
  <c r="E87" i="6" a="1"/>
  <c r="E87" i="6" s="1"/>
  <c r="E87" i="5" a="1"/>
  <c r="E87" i="5" s="1"/>
  <c r="E172" i="4" a="1"/>
  <c r="E172" i="4" s="1"/>
  <c r="J373" i="2" a="1"/>
  <c r="J373" i="2" s="1"/>
  <c r="E110" i="7" a="1"/>
  <c r="E110" i="7" s="1"/>
  <c r="E98" i="6" a="1"/>
  <c r="E98" i="6" s="1"/>
  <c r="E191" i="4" a="1"/>
  <c r="E191" i="4" s="1"/>
  <c r="J403" i="2" a="1"/>
  <c r="J403" i="2" s="1"/>
  <c r="E17" i="8" a="1"/>
  <c r="E17" i="8" s="1"/>
  <c r="E35" i="5" a="1"/>
  <c r="E35" i="5" s="1"/>
  <c r="E63" i="4" a="1"/>
  <c r="E63" i="4" s="1"/>
  <c r="J107" i="2" a="1"/>
  <c r="J107" i="2" s="1"/>
  <c r="I81" i="6" a="1"/>
  <c r="I81" i="6" s="1"/>
  <c r="I162" i="4" a="1"/>
  <c r="I162" i="4" s="1"/>
  <c r="I204" i="5" a="1"/>
  <c r="I204" i="5" s="1"/>
  <c r="I390" i="4" a="1"/>
  <c r="I390" i="4" s="1"/>
  <c r="E167" i="7" a="1"/>
  <c r="E167" i="7" s="1"/>
  <c r="E311" i="4" a="1"/>
  <c r="E311" i="4" s="1"/>
  <c r="J571" i="2" a="1"/>
  <c r="J571" i="2" s="1"/>
  <c r="I119" i="6" a="1"/>
  <c r="I119" i="6" s="1"/>
  <c r="I132" i="7" a="1"/>
  <c r="I132" i="7" s="1"/>
  <c r="I229" i="4" a="1"/>
  <c r="I229" i="4" s="1"/>
  <c r="E115" i="8" a="1"/>
  <c r="E115" i="8" s="1"/>
  <c r="J282" i="2" a="1"/>
  <c r="J282" i="2" s="1"/>
  <c r="E130" i="7" a="1"/>
  <c r="E130" i="7" s="1"/>
  <c r="E118" i="6" a="1"/>
  <c r="E118" i="6" s="1"/>
  <c r="E227" i="4" a="1"/>
  <c r="E227" i="4" s="1"/>
  <c r="J464" i="2" a="1"/>
  <c r="J464" i="2" s="1"/>
  <c r="C624" i="12" a="1"/>
  <c r="C624" i="12" s="1"/>
  <c r="I289" i="2" s="1"/>
  <c r="I170" i="7" a="1"/>
  <c r="I170" i="7" s="1"/>
  <c r="I169" i="5" a="1"/>
  <c r="I169" i="5" s="1"/>
  <c r="I317" i="4" a="1"/>
  <c r="I317" i="4" s="1"/>
  <c r="I134" i="7" a="1"/>
  <c r="I134" i="7" s="1"/>
  <c r="I121" i="6" a="1"/>
  <c r="I121" i="6" s="1"/>
  <c r="I233" i="4" a="1"/>
  <c r="I233" i="4" s="1"/>
  <c r="I124" i="6" a="1"/>
  <c r="I124" i="6" s="1"/>
  <c r="I137" i="7" a="1"/>
  <c r="I137" i="7" s="1"/>
  <c r="I236" i="4" a="1"/>
  <c r="I236" i="4" s="1"/>
  <c r="E101" i="6" a="1"/>
  <c r="E101" i="6" s="1"/>
  <c r="E97" i="5" a="1"/>
  <c r="E97" i="5" s="1"/>
  <c r="E195" i="4" a="1"/>
  <c r="E195" i="4" s="1"/>
  <c r="J416" i="2" a="1"/>
  <c r="J416" i="2" s="1"/>
  <c r="E126" i="8" a="1"/>
  <c r="E126" i="8" s="1"/>
  <c r="J308" i="2" a="1"/>
  <c r="J308" i="2" s="1"/>
  <c r="E68" i="5" a="1"/>
  <c r="E68" i="5" s="1"/>
  <c r="E136" i="4" a="1"/>
  <c r="E136" i="4" s="1"/>
  <c r="J261" i="2" a="1"/>
  <c r="J261" i="2" s="1"/>
  <c r="C628" i="12" a="1"/>
  <c r="C628" i="12" s="1"/>
  <c r="I530" i="2" s="1"/>
  <c r="I86" i="7" a="1"/>
  <c r="I86" i="7" s="1"/>
  <c r="I74" i="6" a="1"/>
  <c r="I74" i="6" s="1"/>
  <c r="I147" i="4" a="1"/>
  <c r="I147" i="4" s="1"/>
  <c r="C613" i="12" a="1"/>
  <c r="C613" i="12" s="1"/>
  <c r="I212" i="2" s="1"/>
  <c r="I102" i="5" a="1"/>
  <c r="I102" i="5" s="1"/>
  <c r="I204" i="4" a="1"/>
  <c r="I204" i="4" s="1"/>
  <c r="C639" i="12" a="1"/>
  <c r="C639" i="12" s="1"/>
  <c r="I180" i="2" s="1"/>
  <c r="E93" i="8" a="1"/>
  <c r="E93" i="8" s="1"/>
  <c r="J248" i="2" a="1"/>
  <c r="J248" i="2" s="1"/>
  <c r="E181" i="8" a="1"/>
  <c r="E181" i="8" s="1"/>
  <c r="J429" i="2" a="1"/>
  <c r="J429" i="2" s="1"/>
  <c r="E33" i="8" a="1"/>
  <c r="E33" i="8" s="1"/>
  <c r="J92" i="2" a="1"/>
  <c r="J92" i="2" s="1"/>
  <c r="I25" i="5" a="1"/>
  <c r="I25" i="5" s="1"/>
  <c r="I47" i="4" a="1"/>
  <c r="I47" i="4" s="1"/>
  <c r="I17" i="7" a="1"/>
  <c r="I17" i="7" s="1"/>
  <c r="I16" i="6" a="1"/>
  <c r="I16" i="6" s="1"/>
  <c r="I29" i="4" a="1"/>
  <c r="I29" i="4" s="1"/>
  <c r="E94" i="8" a="1"/>
  <c r="E94" i="8" s="1"/>
  <c r="J249" i="2" a="1"/>
  <c r="J249" i="2" s="1"/>
  <c r="E188" i="6" a="1"/>
  <c r="E188" i="6" s="1"/>
  <c r="E182" i="5" a="1"/>
  <c r="E182" i="5" s="1"/>
  <c r="E352" i="4" a="1"/>
  <c r="E352" i="4" s="1"/>
  <c r="J630" i="2" a="1"/>
  <c r="J630" i="2" s="1"/>
  <c r="E18" i="9" a="1"/>
  <c r="E18" i="9" s="1"/>
  <c r="J109" i="2" a="1"/>
  <c r="J109" i="2" s="1"/>
  <c r="E194" i="5" a="1"/>
  <c r="E194" i="5" s="1"/>
  <c r="E376" i="4" a="1"/>
  <c r="E376" i="4" s="1"/>
  <c r="J622" i="2" a="1"/>
  <c r="J622" i="2" s="1"/>
  <c r="E73" i="8" a="1"/>
  <c r="E73" i="8" s="1"/>
  <c r="J209" i="2" a="1"/>
  <c r="J209" i="2" s="1"/>
  <c r="I76" i="5" a="1"/>
  <c r="I76" i="5" s="1"/>
  <c r="I155" i="4" a="1"/>
  <c r="I155" i="4" s="1"/>
  <c r="E155" i="8" a="1"/>
  <c r="E155" i="8" s="1"/>
  <c r="J362" i="2" a="1"/>
  <c r="J362" i="2" s="1"/>
  <c r="E13" i="7" a="1"/>
  <c r="E13" i="7" s="1"/>
  <c r="E12" i="6" a="1"/>
  <c r="E12" i="6" s="1"/>
  <c r="E23" i="4" a="1"/>
  <c r="E23" i="4" s="1"/>
  <c r="J42" i="2" a="1"/>
  <c r="J42" i="2" s="1"/>
  <c r="E168" i="5" a="1"/>
  <c r="E168" i="5" s="1"/>
  <c r="E314" i="4" a="1"/>
  <c r="E314" i="4" s="1"/>
  <c r="J563" i="2" a="1"/>
  <c r="J563" i="2" s="1"/>
  <c r="I160" i="6" a="1"/>
  <c r="I160" i="6" s="1"/>
  <c r="I161" i="5" a="1"/>
  <c r="I161" i="5" s="1"/>
  <c r="I300" i="4" a="1"/>
  <c r="I300" i="4" s="1"/>
  <c r="E178" i="7" a="1"/>
  <c r="E178" i="7" s="1"/>
  <c r="E327" i="4" a="1"/>
  <c r="E327" i="4" s="1"/>
  <c r="J592" i="2" a="1"/>
  <c r="J592" i="2" s="1"/>
  <c r="I38" i="6" a="1"/>
  <c r="I38" i="6" s="1"/>
  <c r="I46" i="5" a="1"/>
  <c r="I46" i="5" s="1"/>
  <c r="I84" i="4" a="1"/>
  <c r="I84" i="4" s="1"/>
  <c r="E85" i="7" a="1"/>
  <c r="E85" i="7" s="1"/>
  <c r="E144" i="4" a="1"/>
  <c r="E144" i="4" s="1"/>
  <c r="J290" i="2" a="1"/>
  <c r="J290" i="2" s="1"/>
  <c r="I62" i="7" a="1"/>
  <c r="I62" i="7" s="1"/>
  <c r="I53" i="6" a="1"/>
  <c r="I53" i="6" s="1"/>
  <c r="I57" i="5" a="1"/>
  <c r="I57" i="5" s="1"/>
  <c r="I108" i="4" a="1"/>
  <c r="I108" i="4" s="1"/>
  <c r="I123" i="7" a="1"/>
  <c r="I123" i="7" s="1"/>
  <c r="I107" i="5" a="1"/>
  <c r="I107" i="5" s="1"/>
  <c r="I215" i="4" a="1"/>
  <c r="I215" i="4" s="1"/>
  <c r="E21" i="7" a="1"/>
  <c r="E21" i="7" s="1"/>
  <c r="E20" i="6" a="1"/>
  <c r="E20" i="6" s="1"/>
  <c r="E37" i="4" a="1"/>
  <c r="E37" i="4" s="1"/>
  <c r="J67" i="2" a="1"/>
  <c r="J67" i="2" s="1"/>
  <c r="E97" i="8" a="1"/>
  <c r="E97" i="8" s="1"/>
  <c r="J253" i="2" a="1"/>
  <c r="J253" i="2" s="1"/>
  <c r="I119" i="5" a="1"/>
  <c r="I119" i="5" s="1"/>
  <c r="I240" i="4" a="1"/>
  <c r="I240" i="4" s="1"/>
  <c r="E197" i="6" a="1"/>
  <c r="E197" i="6" s="1"/>
  <c r="E373" i="4" a="1"/>
  <c r="E373" i="4" s="1"/>
  <c r="J643" i="2" a="1"/>
  <c r="J643" i="2" s="1"/>
  <c r="E131" i="6" a="1"/>
  <c r="E131" i="6" s="1"/>
  <c r="E251" i="4" a="1"/>
  <c r="E251" i="4" s="1"/>
  <c r="J511" i="2" a="1"/>
  <c r="J511" i="2" s="1"/>
  <c r="E28" i="7" a="1"/>
  <c r="E28" i="7" s="1"/>
  <c r="E25" i="6" a="1"/>
  <c r="E25" i="6" s="1"/>
  <c r="E53" i="4" a="1"/>
  <c r="E53" i="4" s="1"/>
  <c r="J96" i="2" a="1"/>
  <c r="J96" i="2" s="1"/>
  <c r="E52" i="8" a="1"/>
  <c r="E52" i="8" s="1"/>
  <c r="J159" i="2" a="1"/>
  <c r="J159" i="2" s="1"/>
  <c r="I40" i="7" a="1"/>
  <c r="I40" i="7" s="1"/>
  <c r="I32" i="6" a="1"/>
  <c r="I32" i="6" s="1"/>
  <c r="I71" i="4" a="1"/>
  <c r="I71" i="4" s="1"/>
  <c r="C665" i="12" a="1"/>
  <c r="C665" i="12" s="1"/>
  <c r="I199" i="2" s="1"/>
  <c r="E119" i="8" a="1"/>
  <c r="E119" i="8" s="1"/>
  <c r="J292" i="2" a="1"/>
  <c r="J292" i="2" s="1"/>
  <c r="E65" i="5" a="1"/>
  <c r="E65" i="5" s="1"/>
  <c r="E131" i="4" a="1"/>
  <c r="E131" i="4" s="1"/>
  <c r="J235" i="2" a="1"/>
  <c r="J235" i="2" s="1"/>
  <c r="I98" i="5" a="1"/>
  <c r="I98" i="5" s="1"/>
  <c r="I196" i="4" a="1"/>
  <c r="I196" i="4" s="1"/>
  <c r="I117" i="6" a="1"/>
  <c r="I117" i="6" s="1"/>
  <c r="I226" i="4" a="1"/>
  <c r="I226" i="4" s="1"/>
  <c r="E179" i="7" a="1"/>
  <c r="E179" i="7" s="1"/>
  <c r="E170" i="6" a="1"/>
  <c r="E170" i="6" s="1"/>
  <c r="E328" i="4" a="1"/>
  <c r="E328" i="4" s="1"/>
  <c r="J593" i="2" a="1"/>
  <c r="J593" i="2" s="1"/>
  <c r="E5" i="5" a="1"/>
  <c r="E5" i="5" s="1"/>
  <c r="E6" i="4" a="1"/>
  <c r="E6" i="4" s="1"/>
  <c r="J8" i="2" a="1"/>
  <c r="J8" i="2" s="1"/>
  <c r="E28" i="5" a="1"/>
  <c r="E28" i="5" s="1"/>
  <c r="E51" i="4" a="1"/>
  <c r="E51" i="4" s="1"/>
  <c r="J88" i="2" a="1"/>
  <c r="J88" i="2" s="1"/>
  <c r="I264" i="4" a="1"/>
  <c r="I264" i="4" s="1"/>
  <c r="I137" i="5" a="1"/>
  <c r="I137" i="5" s="1"/>
  <c r="E201" i="8" a="1"/>
  <c r="E201" i="8" s="1"/>
  <c r="J498" i="2" a="1"/>
  <c r="J498" i="2" s="1"/>
  <c r="I101" i="6" a="1"/>
  <c r="I101" i="6" s="1"/>
  <c r="I97" i="5" a="1"/>
  <c r="I97" i="5" s="1"/>
  <c r="I195" i="4" a="1"/>
  <c r="I195" i="4" s="1"/>
  <c r="E25" i="8" a="1"/>
  <c r="E25" i="8" s="1"/>
  <c r="J59" i="2" a="1"/>
  <c r="J59" i="2" s="1"/>
  <c r="E38" i="7" a="1"/>
  <c r="E38" i="7" s="1"/>
  <c r="E31" i="6" a="1"/>
  <c r="E31" i="6" s="1"/>
  <c r="E38" i="5" a="1"/>
  <c r="E38" i="5" s="1"/>
  <c r="E69" i="4" a="1"/>
  <c r="E69" i="4" s="1"/>
  <c r="J130" i="2" a="1"/>
  <c r="J130" i="2" s="1"/>
  <c r="E142" i="8" a="1"/>
  <c r="E142" i="8" s="1"/>
  <c r="J340" i="2" a="1"/>
  <c r="J340" i="2" s="1"/>
  <c r="E159" i="7" a="1"/>
  <c r="E159" i="7" s="1"/>
  <c r="E155" i="6" a="1"/>
  <c r="E155" i="6" s="1"/>
  <c r="E294" i="4" a="1"/>
  <c r="E294" i="4" s="1"/>
  <c r="J554" i="2" a="1"/>
  <c r="J554" i="2" s="1"/>
  <c r="I155" i="6" a="1"/>
  <c r="I155" i="6" s="1"/>
  <c r="I159" i="7" a="1"/>
  <c r="I159" i="7" s="1"/>
  <c r="I294" i="4" a="1"/>
  <c r="I294" i="4" s="1"/>
  <c r="I59" i="7" a="1"/>
  <c r="I59" i="7" s="1"/>
  <c r="I50" i="6" a="1"/>
  <c r="I50" i="6" s="1"/>
  <c r="I104" i="4" a="1"/>
  <c r="I104" i="4" s="1"/>
  <c r="E197" i="8" a="1"/>
  <c r="E197" i="8" s="1"/>
  <c r="J482" i="2" a="1"/>
  <c r="J482" i="2" s="1"/>
  <c r="E71" i="8" a="1"/>
  <c r="E71" i="8" s="1"/>
  <c r="J201" i="2" a="1"/>
  <c r="J201" i="2" s="1"/>
  <c r="E128" i="6" a="1"/>
  <c r="E128" i="6" s="1"/>
  <c r="E125" i="5" a="1"/>
  <c r="E125" i="5" s="1"/>
  <c r="E247" i="4" a="1"/>
  <c r="E247" i="4" s="1"/>
  <c r="J501" i="2" a="1"/>
  <c r="J501" i="2" s="1"/>
  <c r="I14" i="5" a="1"/>
  <c r="I14" i="5" s="1"/>
  <c r="I24" i="4" a="1"/>
  <c r="I24" i="4" s="1"/>
  <c r="E127" i="8" a="1"/>
  <c r="E127" i="8" s="1"/>
  <c r="J309" i="2" a="1"/>
  <c r="J309" i="2" s="1"/>
  <c r="E78" i="6" a="1"/>
  <c r="E78" i="6" s="1"/>
  <c r="E151" i="4" a="1"/>
  <c r="E151" i="4" s="1"/>
  <c r="J326" i="2" a="1"/>
  <c r="J326" i="2" s="1"/>
  <c r="E58" i="5" a="1"/>
  <c r="E58" i="5" s="1"/>
  <c r="E54" i="6" a="1"/>
  <c r="E54" i="6" s="1"/>
  <c r="E111" i="4" a="1"/>
  <c r="E111" i="4" s="1"/>
  <c r="J213" i="2" a="1"/>
  <c r="J213" i="2" s="1"/>
  <c r="E183" i="5" a="1"/>
  <c r="E183" i="5" s="1"/>
  <c r="E353" i="4" a="1"/>
  <c r="E353" i="4" s="1"/>
  <c r="J595" i="2" a="1"/>
  <c r="J595" i="2" s="1"/>
  <c r="E91" i="5" a="1"/>
  <c r="E91" i="5" s="1"/>
  <c r="E181" i="4" a="1"/>
  <c r="E181" i="4" s="1"/>
  <c r="J350" i="2" a="1"/>
  <c r="J350" i="2" s="1"/>
  <c r="E72" i="6" a="1"/>
  <c r="E72" i="6" s="1"/>
  <c r="E145" i="4" a="1"/>
  <c r="E145" i="4" s="1"/>
  <c r="J313" i="2" a="1"/>
  <c r="J313" i="2" s="1"/>
  <c r="E135" i="5" a="1"/>
  <c r="E135" i="5" s="1"/>
  <c r="E262" i="4" a="1"/>
  <c r="E262" i="4" s="1"/>
  <c r="J499" i="2" a="1"/>
  <c r="J499" i="2" s="1"/>
  <c r="E80" i="8" a="1"/>
  <c r="E80" i="8" s="1"/>
  <c r="J223" i="2" a="1"/>
  <c r="J223" i="2" s="1"/>
  <c r="E202" i="8" a="1"/>
  <c r="E202" i="8" s="1"/>
  <c r="J504" i="2" a="1"/>
  <c r="J504" i="2" s="1"/>
  <c r="E111" i="5" a="1"/>
  <c r="E111" i="5" s="1"/>
  <c r="E221" i="4" a="1"/>
  <c r="E221" i="4" s="1"/>
  <c r="J434" i="2" a="1"/>
  <c r="J434" i="2" s="1"/>
  <c r="E167" i="6" a="1"/>
  <c r="E167" i="6" s="1"/>
  <c r="E315" i="4" a="1"/>
  <c r="E315" i="4" s="1"/>
  <c r="J589" i="2" a="1"/>
  <c r="J589" i="2" s="1"/>
  <c r="I151" i="6" a="1"/>
  <c r="I151" i="6" s="1"/>
  <c r="I154" i="7" a="1"/>
  <c r="I154" i="7" s="1"/>
  <c r="I286" i="4" a="1"/>
  <c r="I286" i="4" s="1"/>
  <c r="I60" i="7" a="1"/>
  <c r="I60" i="7" s="1"/>
  <c r="I51" i="6" a="1"/>
  <c r="I51" i="6" s="1"/>
  <c r="I105" i="4" a="1"/>
  <c r="I105" i="4" s="1"/>
  <c r="E176" i="7" a="1"/>
  <c r="E176" i="7" s="1"/>
  <c r="E325" i="4" a="1"/>
  <c r="E325" i="4" s="1"/>
  <c r="J590" i="2" a="1"/>
  <c r="J590" i="2" s="1"/>
  <c r="I83" i="5" a="1"/>
  <c r="I83" i="5" s="1"/>
  <c r="I165" i="4" a="1"/>
  <c r="I165" i="4" s="1"/>
  <c r="E107" i="4" a="1"/>
  <c r="E107" i="4" s="1"/>
  <c r="E56" i="5" a="1"/>
  <c r="E56" i="5" s="1"/>
  <c r="J185" i="2" a="1"/>
  <c r="J185" i="2" s="1"/>
  <c r="I109" i="6" a="1"/>
  <c r="I109" i="6" s="1"/>
  <c r="I119" i="7" a="1"/>
  <c r="I119" i="7" s="1"/>
  <c r="I210" i="4" a="1"/>
  <c r="I210" i="4" s="1"/>
  <c r="E73" i="7" a="1"/>
  <c r="E73" i="7" s="1"/>
  <c r="E63" i="6" a="1"/>
  <c r="E63" i="6" s="1"/>
  <c r="E125" i="4" a="1"/>
  <c r="E125" i="4" s="1"/>
  <c r="J237" i="2" a="1"/>
  <c r="J237" i="2" s="1"/>
  <c r="C646" i="12" a="1"/>
  <c r="C646" i="12" s="1"/>
  <c r="I523" i="2" s="1"/>
  <c r="I131" i="6" a="1"/>
  <c r="I131" i="6" s="1"/>
  <c r="I251" i="4" a="1"/>
  <c r="I251" i="4" s="1"/>
  <c r="I28" i="7" a="1"/>
  <c r="I28" i="7" s="1"/>
  <c r="I25" i="6" a="1"/>
  <c r="I25" i="6" s="1"/>
  <c r="I53" i="4" a="1"/>
  <c r="I53" i="4" s="1"/>
  <c r="E84" i="5" a="1"/>
  <c r="E84" i="5" s="1"/>
  <c r="E166" i="4" a="1"/>
  <c r="E166" i="4" s="1"/>
  <c r="J317" i="2" a="1"/>
  <c r="J317" i="2" s="1"/>
  <c r="E188" i="5" a="1"/>
  <c r="E188" i="5" s="1"/>
  <c r="E360" i="4" a="1"/>
  <c r="E360" i="4" s="1"/>
  <c r="J600" i="2" a="1"/>
  <c r="J600" i="2" s="1"/>
  <c r="E208" i="5" a="1"/>
  <c r="E208" i="5" s="1"/>
  <c r="E401" i="4" a="1"/>
  <c r="E401" i="4" s="1"/>
  <c r="J663" i="2" a="1"/>
  <c r="J663" i="2" s="1"/>
  <c r="E90" i="5" a="1"/>
  <c r="E90" i="5" s="1"/>
  <c r="E180" i="4" a="1"/>
  <c r="E180" i="4" s="1"/>
  <c r="J348" i="2" a="1"/>
  <c r="J348" i="2" s="1"/>
  <c r="E39" i="8" a="1"/>
  <c r="E39" i="8" s="1"/>
  <c r="J113" i="2" a="1"/>
  <c r="J113" i="2" s="1"/>
  <c r="E39" i="6" a="1"/>
  <c r="E39" i="6" s="1"/>
  <c r="E49" i="7" a="1"/>
  <c r="E49" i="7" s="1"/>
  <c r="E47" i="5" a="1"/>
  <c r="E47" i="5" s="1"/>
  <c r="E85" i="4" a="1"/>
  <c r="E85" i="4" s="1"/>
  <c r="J151" i="2" a="1"/>
  <c r="J151" i="2" s="1"/>
  <c r="I134" i="6" a="1"/>
  <c r="I134" i="6" s="1"/>
  <c r="I129" i="5" a="1"/>
  <c r="I129" i="5" s="1"/>
  <c r="I254" i="4" a="1"/>
  <c r="I254" i="4" s="1"/>
  <c r="E198" i="8" a="1"/>
  <c r="E198" i="8" s="1"/>
  <c r="J486" i="2" a="1"/>
  <c r="J486" i="2" s="1"/>
  <c r="I5" i="5" a="1"/>
  <c r="I5" i="5" s="1"/>
  <c r="I6" i="4" a="1"/>
  <c r="I6" i="4" s="1"/>
  <c r="E14" i="6" a="1"/>
  <c r="E14" i="6" s="1"/>
  <c r="E27" i="4" a="1"/>
  <c r="E27" i="4" s="1"/>
  <c r="J55" i="2" a="1"/>
  <c r="J55" i="2" s="1"/>
  <c r="I162" i="7" a="1"/>
  <c r="I162" i="7" s="1"/>
  <c r="I301" i="4" a="1"/>
  <c r="I301" i="4" s="1"/>
  <c r="E168" i="8" a="1"/>
  <c r="E168" i="8" s="1"/>
  <c r="J395" i="2" a="1"/>
  <c r="J395" i="2" s="1"/>
  <c r="I78" i="7" a="1"/>
  <c r="I78" i="7" s="1"/>
  <c r="I133" i="4" a="1"/>
  <c r="I133" i="4" s="1"/>
  <c r="I180" i="7" a="1"/>
  <c r="I180" i="7" s="1"/>
  <c r="I176" i="5" a="1"/>
  <c r="I176" i="5" s="1"/>
  <c r="I331" i="4" a="1"/>
  <c r="I331" i="4" s="1"/>
  <c r="E62" i="6" a="1"/>
  <c r="E62" i="6" s="1"/>
  <c r="E64" i="5" a="1"/>
  <c r="E64" i="5" s="1"/>
  <c r="E124" i="4" a="1"/>
  <c r="E124" i="4" s="1"/>
  <c r="J247" i="2" a="1"/>
  <c r="J247" i="2" s="1"/>
  <c r="E60" i="5" a="1"/>
  <c r="E60" i="5" s="1"/>
  <c r="E117" i="4" a="1"/>
  <c r="E117" i="4" s="1"/>
  <c r="J206" i="2" a="1"/>
  <c r="J206" i="2" s="1"/>
  <c r="I59" i="6" a="1"/>
  <c r="I59" i="6" s="1"/>
  <c r="I71" i="7" a="1"/>
  <c r="I71" i="7" s="1"/>
  <c r="I120" i="4" a="1"/>
  <c r="I120" i="4" s="1"/>
  <c r="E182" i="6" a="1"/>
  <c r="E182" i="6" s="1"/>
  <c r="E344" i="4" a="1"/>
  <c r="E344" i="4" s="1"/>
  <c r="J618" i="2" a="1"/>
  <c r="J618" i="2" s="1"/>
  <c r="I27" i="6" a="1"/>
  <c r="I27" i="6" s="1"/>
  <c r="I32" i="5" a="1"/>
  <c r="I32" i="5" s="1"/>
  <c r="I58" i="4" a="1"/>
  <c r="I58" i="4" s="1"/>
  <c r="E44" i="5" a="1"/>
  <c r="E44" i="5" s="1"/>
  <c r="E79" i="4" a="1"/>
  <c r="E79" i="4" s="1"/>
  <c r="J134" i="2" a="1"/>
  <c r="J134" i="2" s="1"/>
  <c r="E144" i="5" a="1"/>
  <c r="E144" i="5" s="1"/>
  <c r="E144" i="6" a="1"/>
  <c r="E144" i="6" s="1"/>
  <c r="E274" i="4" a="1"/>
  <c r="E274" i="4" s="1"/>
  <c r="J540" i="2" a="1"/>
  <c r="J540" i="2" s="1"/>
  <c r="I131" i="7" a="1"/>
  <c r="I131" i="7" s="1"/>
  <c r="I114" i="5" a="1"/>
  <c r="I114" i="5" s="1"/>
  <c r="I228" i="4" a="1"/>
  <c r="I228" i="4" s="1"/>
  <c r="E187" i="6" a="1"/>
  <c r="E187" i="6" s="1"/>
  <c r="E351" i="4" a="1"/>
  <c r="E351" i="4" s="1"/>
  <c r="J626" i="2" a="1"/>
  <c r="J626" i="2" s="1"/>
  <c r="C650" i="12" a="1"/>
  <c r="C650" i="12" s="1"/>
  <c r="I333" i="2" s="1"/>
  <c r="E49" i="6" a="1"/>
  <c r="E49" i="6" s="1"/>
  <c r="E58" i="7" a="1"/>
  <c r="E58" i="7" s="1"/>
  <c r="E103" i="4" a="1"/>
  <c r="E103" i="4" s="1"/>
  <c r="J188" i="2" a="1"/>
  <c r="J188" i="2" s="1"/>
  <c r="E66" i="6" a="1"/>
  <c r="E66" i="6" s="1"/>
  <c r="E129" i="4" a="1"/>
  <c r="E129" i="4" s="1"/>
  <c r="J258" i="2" a="1"/>
  <c r="J258" i="2" s="1"/>
  <c r="E135" i="6" a="1"/>
  <c r="E135" i="6" s="1"/>
  <c r="E130" i="5" a="1"/>
  <c r="E130" i="5" s="1"/>
  <c r="E255" i="4" a="1"/>
  <c r="E255" i="4" s="1"/>
  <c r="J516" i="2" a="1"/>
  <c r="J516" i="2" s="1"/>
  <c r="C611" i="12" a="1"/>
  <c r="C611" i="12" s="1"/>
  <c r="I80" i="2" s="1"/>
  <c r="E79" i="8" a="1"/>
  <c r="E79" i="8" s="1"/>
  <c r="J221" i="2" a="1"/>
  <c r="J221" i="2" s="1"/>
  <c r="I32" i="7" a="1"/>
  <c r="I32" i="7" s="1"/>
  <c r="I28" i="6" a="1"/>
  <c r="I28" i="6" s="1"/>
  <c r="I60" i="4" a="1"/>
  <c r="I60" i="4" s="1"/>
  <c r="E111" i="7" a="1"/>
  <c r="E111" i="7" s="1"/>
  <c r="E192" i="4" a="1"/>
  <c r="E192" i="4" s="1"/>
  <c r="J404" i="2" a="1"/>
  <c r="J404" i="2" s="1"/>
  <c r="E71" i="7" a="1"/>
  <c r="E71" i="7" s="1"/>
  <c r="E59" i="6" a="1"/>
  <c r="E59" i="6" s="1"/>
  <c r="E120" i="4" a="1"/>
  <c r="E120" i="4" s="1"/>
  <c r="J229" i="2" a="1"/>
  <c r="J229" i="2" s="1"/>
  <c r="E184" i="5" a="1"/>
  <c r="E184" i="5" s="1"/>
  <c r="E354" i="4" a="1"/>
  <c r="E354" i="4" s="1"/>
  <c r="J596" i="2" a="1"/>
  <c r="J596" i="2" s="1"/>
  <c r="E115" i="7" a="1"/>
  <c r="E115" i="7" s="1"/>
  <c r="E103" i="6" a="1"/>
  <c r="E103" i="6" s="1"/>
  <c r="E200" i="4" a="1"/>
  <c r="E200" i="4" s="1"/>
  <c r="J422" i="2" a="1"/>
  <c r="J422" i="2" s="1"/>
  <c r="E132" i="6" a="1"/>
  <c r="E132" i="6" s="1"/>
  <c r="E128" i="5" a="1"/>
  <c r="E128" i="5" s="1"/>
  <c r="E252" i="4" a="1"/>
  <c r="E252" i="4" s="1"/>
  <c r="J512" i="2" a="1"/>
  <c r="J512" i="2" s="1"/>
  <c r="E184" i="7" a="1"/>
  <c r="E184" i="7" s="1"/>
  <c r="E337" i="4" a="1"/>
  <c r="E337" i="4" s="1"/>
  <c r="J602" i="2" a="1"/>
  <c r="J602" i="2" s="1"/>
  <c r="E202" i="6" a="1"/>
  <c r="E202" i="6" s="1"/>
  <c r="E386" i="4" a="1"/>
  <c r="E386" i="4" s="1"/>
  <c r="J656" i="2" a="1"/>
  <c r="J656" i="2" s="1"/>
  <c r="E180" i="6" a="1"/>
  <c r="E180" i="6" s="1"/>
  <c r="E342" i="4" a="1"/>
  <c r="E342" i="4" s="1"/>
  <c r="J615" i="2" a="1"/>
  <c r="J615" i="2" s="1"/>
  <c r="E195" i="8" a="1"/>
  <c r="E195" i="8" s="1"/>
  <c r="J474" i="2" a="1"/>
  <c r="J474" i="2" s="1"/>
  <c r="I21" i="6" a="1"/>
  <c r="I21" i="6" s="1"/>
  <c r="I23" i="5" a="1"/>
  <c r="I23" i="5" s="1"/>
  <c r="I42" i="4" a="1"/>
  <c r="I42" i="4" s="1"/>
  <c r="E90" i="8" a="1"/>
  <c r="E90" i="8" s="1"/>
  <c r="J240" i="2" a="1"/>
  <c r="J240" i="2" s="1"/>
  <c r="I84" i="5" a="1"/>
  <c r="I84" i="5" s="1"/>
  <c r="I166" i="4" a="1"/>
  <c r="I166" i="4" s="1"/>
  <c r="I169" i="7" a="1"/>
  <c r="I169" i="7" s="1"/>
  <c r="I316" i="4" a="1"/>
  <c r="I316" i="4" s="1"/>
  <c r="I198" i="7" a="1"/>
  <c r="I198" i="7" s="1"/>
  <c r="I196" i="6" a="1"/>
  <c r="I196" i="6" s="1"/>
  <c r="I371" i="4" a="1"/>
  <c r="I371" i="4" s="1"/>
  <c r="I138" i="5" a="1"/>
  <c r="I138" i="5" s="1"/>
  <c r="I266" i="4" a="1"/>
  <c r="I266" i="4" s="1"/>
  <c r="E100" i="8" a="1"/>
  <c r="E100" i="8" s="1"/>
  <c r="J256" i="2" a="1"/>
  <c r="J256" i="2" s="1"/>
  <c r="I116" i="7" a="1"/>
  <c r="I116" i="7" s="1"/>
  <c r="I99" i="5" a="1"/>
  <c r="I99" i="5" s="1"/>
  <c r="I201" i="4" a="1"/>
  <c r="I201" i="4" s="1"/>
  <c r="I49" i="7" a="1"/>
  <c r="I49" i="7" s="1"/>
  <c r="I39" i="6" a="1"/>
  <c r="I39" i="6" s="1"/>
  <c r="I47" i="5" a="1"/>
  <c r="I47" i="5" s="1"/>
  <c r="I85" i="4" a="1"/>
  <c r="I85" i="4" s="1"/>
  <c r="E5" i="7" a="1"/>
  <c r="E5" i="7" s="1"/>
  <c r="E5" i="6" a="1"/>
  <c r="E5" i="6" s="1"/>
  <c r="E12" i="4" a="1"/>
  <c r="E12" i="4" s="1"/>
  <c r="J17" i="2" a="1"/>
  <c r="J17" i="2" s="1"/>
  <c r="I208" i="7" a="1"/>
  <c r="I208" i="7" s="1"/>
  <c r="I400" i="4" a="1"/>
  <c r="I400" i="4" s="1"/>
  <c r="I158" i="6" a="1"/>
  <c r="I158" i="6" s="1"/>
  <c r="I297" i="4" a="1"/>
  <c r="I297" i="4" s="1"/>
  <c r="I210" i="7" a="1"/>
  <c r="I210" i="7" s="1"/>
  <c r="I406" i="4" a="1"/>
  <c r="I406" i="4" s="1"/>
  <c r="I56" i="7" a="1"/>
  <c r="I56" i="7" s="1"/>
  <c r="I52" i="5" a="1"/>
  <c r="I52" i="5" s="1"/>
  <c r="I98" i="4" a="1"/>
  <c r="I98" i="4" s="1"/>
  <c r="E147" i="8" a="1"/>
  <c r="E147" i="8" s="1"/>
  <c r="J351" i="2" a="1"/>
  <c r="J351" i="2" s="1"/>
  <c r="E105" i="5" a="1"/>
  <c r="E105" i="5" s="1"/>
  <c r="E209" i="4" a="1"/>
  <c r="E209" i="4" s="1"/>
  <c r="J420" i="2" a="1"/>
  <c r="J420" i="2" s="1"/>
  <c r="E142" i="5" a="1"/>
  <c r="E142" i="5" s="1"/>
  <c r="E271" i="4" a="1"/>
  <c r="E271" i="4" s="1"/>
  <c r="J514" i="2" a="1"/>
  <c r="J514" i="2" s="1"/>
  <c r="I48" i="6" a="1"/>
  <c r="I48" i="6" s="1"/>
  <c r="I55" i="5" a="1"/>
  <c r="I55" i="5" s="1"/>
  <c r="I102" i="4" a="1"/>
  <c r="I102" i="4" s="1"/>
  <c r="E26" i="7" a="1"/>
  <c r="E26" i="7" s="1"/>
  <c r="E45" i="4" a="1"/>
  <c r="E45" i="4" s="1"/>
  <c r="J85" i="2" a="1"/>
  <c r="J85" i="2" s="1"/>
  <c r="I62" i="6" a="1"/>
  <c r="I62" i="6" s="1"/>
  <c r="I64" i="5" a="1"/>
  <c r="I64" i="5" s="1"/>
  <c r="I124" i="4" a="1"/>
  <c r="I124" i="4" s="1"/>
  <c r="I112" i="5" a="1"/>
  <c r="I112" i="5" s="1"/>
  <c r="I224" i="4" a="1"/>
  <c r="I224" i="4" s="1"/>
  <c r="E193" i="5" a="1"/>
  <c r="E193" i="5" s="1"/>
  <c r="E374" i="4" a="1"/>
  <c r="E374" i="4" s="1"/>
  <c r="J617" i="2" a="1"/>
  <c r="J617" i="2" s="1"/>
  <c r="E38" i="8" a="1"/>
  <c r="E38" i="8" s="1"/>
  <c r="J106" i="2" a="1"/>
  <c r="J106" i="2" s="1"/>
  <c r="I91" i="5" a="1"/>
  <c r="I91" i="5" s="1"/>
  <c r="I181" i="4" a="1"/>
  <c r="I181" i="4" s="1"/>
  <c r="E77" i="8" a="1"/>
  <c r="E77" i="8" s="1"/>
  <c r="J218" i="2" a="1"/>
  <c r="J218" i="2" s="1"/>
  <c r="I189" i="7" a="1"/>
  <c r="I189" i="7" s="1"/>
  <c r="I180" i="5" a="1"/>
  <c r="I180" i="5" s="1"/>
  <c r="I349" i="4" a="1"/>
  <c r="I349" i="4" s="1"/>
  <c r="E148" i="7" a="1"/>
  <c r="E148" i="7" s="1"/>
  <c r="E259" i="4" a="1"/>
  <c r="E259" i="4" s="1"/>
  <c r="J518" i="2" a="1"/>
  <c r="J518" i="2" s="1"/>
  <c r="E141" i="6" a="1"/>
  <c r="E141" i="6" s="1"/>
  <c r="E140" i="5" a="1"/>
  <c r="E140" i="5" s="1"/>
  <c r="E268" i="4" a="1"/>
  <c r="E268" i="4" s="1"/>
  <c r="J532" i="2" a="1"/>
  <c r="J532" i="2" s="1"/>
  <c r="E173" i="8" a="1"/>
  <c r="E173" i="8" s="1"/>
  <c r="J409" i="2" a="1"/>
  <c r="J409" i="2" s="1"/>
  <c r="E88" i="7" a="1"/>
  <c r="E88" i="7" s="1"/>
  <c r="E79" i="6" a="1"/>
  <c r="E79" i="6" s="1"/>
  <c r="E153" i="4" a="1"/>
  <c r="E153" i="4" s="1"/>
  <c r="J318" i="2" a="1"/>
  <c r="J318" i="2" s="1"/>
  <c r="E94" i="7" a="1"/>
  <c r="E94" i="7" s="1"/>
  <c r="E84" i="6" a="1"/>
  <c r="E84" i="6" s="1"/>
  <c r="E168" i="4" a="1"/>
  <c r="E168" i="4" s="1"/>
  <c r="J345" i="2" a="1"/>
  <c r="J345" i="2" s="1"/>
  <c r="C614" i="12" a="1"/>
  <c r="C614" i="12" s="1"/>
  <c r="I324" i="2" s="1"/>
  <c r="E57" i="8" a="1"/>
  <c r="E57" i="8" s="1"/>
  <c r="J169" i="2" a="1"/>
  <c r="J169" i="2" s="1"/>
  <c r="I136" i="7" a="1"/>
  <c r="I136" i="7" s="1"/>
  <c r="I123" i="6" a="1"/>
  <c r="I123" i="6" s="1"/>
  <c r="I235" i="4" a="1"/>
  <c r="I235" i="4" s="1"/>
  <c r="I145" i="7" a="1"/>
  <c r="I145" i="7" s="1"/>
  <c r="I133" i="6" a="1"/>
  <c r="I133" i="6" s="1"/>
  <c r="I253" i="4" a="1"/>
  <c r="I253" i="4" s="1"/>
  <c r="E46" i="8" a="1"/>
  <c r="E46" i="8" s="1"/>
  <c r="J131" i="2" a="1"/>
  <c r="J131" i="2" s="1"/>
  <c r="I44" i="5" a="1"/>
  <c r="I44" i="5" s="1"/>
  <c r="I79" i="4" a="1"/>
  <c r="I79" i="4" s="1"/>
  <c r="I5" i="7" a="1"/>
  <c r="I5" i="7" s="1"/>
  <c r="I5" i="6" a="1"/>
  <c r="I5" i="6" s="1"/>
  <c r="I12" i="4" a="1"/>
  <c r="I12" i="4" s="1"/>
  <c r="E133" i="7" a="1"/>
  <c r="E133" i="7" s="1"/>
  <c r="E231" i="4" a="1"/>
  <c r="E231" i="4" s="1"/>
  <c r="J472" i="2" a="1"/>
  <c r="J472" i="2" s="1"/>
  <c r="C658" i="12" a="1"/>
  <c r="C658" i="12" s="1"/>
  <c r="I410" i="2" s="1"/>
  <c r="E32" i="8" a="1"/>
  <c r="E32" i="8" s="1"/>
  <c r="J90" i="2" a="1"/>
  <c r="J90" i="2" s="1"/>
  <c r="E84" i="8" a="1"/>
  <c r="E84" i="8" s="1"/>
  <c r="J227" i="2" a="1"/>
  <c r="J227" i="2" s="1"/>
  <c r="E111" i="8" a="1"/>
  <c r="E111" i="8" s="1"/>
  <c r="J275" i="2" a="1"/>
  <c r="J275" i="2" s="1"/>
  <c r="E19" i="8" a="1"/>
  <c r="E19" i="8" s="1"/>
  <c r="J40" i="2" a="1"/>
  <c r="J40" i="2" s="1"/>
  <c r="E129" i="7" a="1"/>
  <c r="E129" i="7" s="1"/>
  <c r="E113" i="5" a="1"/>
  <c r="E113" i="5" s="1"/>
  <c r="E225" i="4" a="1"/>
  <c r="E225" i="4" s="1"/>
  <c r="J462" i="2" a="1"/>
  <c r="J462" i="2" s="1"/>
  <c r="E39" i="7" a="1"/>
  <c r="E39" i="7" s="1"/>
  <c r="E70" i="4" a="1"/>
  <c r="E70" i="4" s="1"/>
  <c r="J132" i="2" a="1"/>
  <c r="J132" i="2" s="1"/>
  <c r="E123" i="7" a="1"/>
  <c r="E123" i="7" s="1"/>
  <c r="E107" i="5" a="1"/>
  <c r="E107" i="5" s="1"/>
  <c r="E215" i="4" a="1"/>
  <c r="E215" i="4" s="1"/>
  <c r="J448" i="2" a="1"/>
  <c r="J448" i="2" s="1"/>
  <c r="E173" i="7" a="1"/>
  <c r="E173" i="7" s="1"/>
  <c r="E321" i="4" a="1"/>
  <c r="E321" i="4" s="1"/>
  <c r="J586" i="2" a="1"/>
  <c r="J586" i="2" s="1"/>
  <c r="E200" i="8" a="1"/>
  <c r="E200" i="8" s="1"/>
  <c r="J495" i="2" a="1"/>
  <c r="J495" i="2" s="1"/>
  <c r="E17" i="6" a="1"/>
  <c r="E17" i="6" s="1"/>
  <c r="E30" i="4" a="1"/>
  <c r="E30" i="4" s="1"/>
  <c r="J62" i="2" a="1"/>
  <c r="J62" i="2" s="1"/>
  <c r="I21" i="5" a="1"/>
  <c r="I21" i="5" s="1"/>
  <c r="I40" i="4" a="1"/>
  <c r="I40" i="4" s="1"/>
  <c r="E51" i="8" a="1"/>
  <c r="E51" i="8" s="1"/>
  <c r="J157" i="2" a="1"/>
  <c r="J157" i="2" s="1"/>
  <c r="E53" i="8" a="1"/>
  <c r="E53" i="8" s="1"/>
  <c r="J161" i="2" a="1"/>
  <c r="J161" i="2" s="1"/>
  <c r="E79" i="5" a="1"/>
  <c r="E79" i="5" s="1"/>
  <c r="E158" i="4" a="1"/>
  <c r="E158" i="4" s="1"/>
  <c r="J295" i="2" a="1"/>
  <c r="J295" i="2" s="1"/>
  <c r="E140" i="8" a="1"/>
  <c r="E140" i="8" s="1"/>
  <c r="J338" i="2" a="1"/>
  <c r="J338" i="2" s="1"/>
  <c r="E44" i="6" a="1"/>
  <c r="E44" i="6" s="1"/>
  <c r="E93" i="4" a="1"/>
  <c r="E93" i="4" s="1"/>
  <c r="J172" i="2" a="1"/>
  <c r="J172" i="2" s="1"/>
  <c r="I104" i="5" a="1"/>
  <c r="I104" i="5" s="1"/>
  <c r="I206" i="4" a="1"/>
  <c r="I206" i="4" s="1"/>
  <c r="E183" i="7" a="1"/>
  <c r="E183" i="7" s="1"/>
  <c r="E176" i="6" a="1"/>
  <c r="E176" i="6" s="1"/>
  <c r="E336" i="4" a="1"/>
  <c r="E336" i="4" s="1"/>
  <c r="J601" i="2" a="1"/>
  <c r="J601" i="2" s="1"/>
  <c r="E27" i="8" a="1"/>
  <c r="E27" i="8" s="1"/>
  <c r="J70" i="2" a="1"/>
  <c r="J70" i="2" s="1"/>
  <c r="E173" i="6" a="1"/>
  <c r="E173" i="6" s="1"/>
  <c r="E333" i="4" a="1"/>
  <c r="E333" i="4" s="1"/>
  <c r="J609" i="2" a="1"/>
  <c r="J609" i="2" s="1"/>
  <c r="C672" i="12" a="1"/>
  <c r="C672" i="12" s="1"/>
  <c r="I525" i="2" s="1"/>
  <c r="E117" i="6" a="1"/>
  <c r="E117" i="6" s="1"/>
  <c r="E226" i="4" a="1"/>
  <c r="E226" i="4" s="1"/>
  <c r="J483" i="2" a="1"/>
  <c r="J483" i="2" s="1"/>
  <c r="E13" i="8" a="1"/>
  <c r="E13" i="8" s="1"/>
  <c r="J30" i="2" a="1"/>
  <c r="J30" i="2" s="1"/>
  <c r="I173" i="6" a="1"/>
  <c r="I173" i="6" s="1"/>
  <c r="I333" i="4" a="1"/>
  <c r="I333" i="4" s="1"/>
  <c r="C638" i="12" a="1"/>
  <c r="C638" i="12" s="1"/>
  <c r="I433" i="2" s="1"/>
  <c r="E164" i="6" a="1"/>
  <c r="E164" i="6" s="1"/>
  <c r="E309" i="4" a="1"/>
  <c r="E309" i="4" s="1"/>
  <c r="J577" i="2" a="1"/>
  <c r="J577" i="2" s="1"/>
  <c r="E151" i="8" a="1"/>
  <c r="E151" i="8" s="1"/>
  <c r="J356" i="2" a="1"/>
  <c r="J356" i="2" s="1"/>
  <c r="I200" i="6" a="1"/>
  <c r="I200" i="6" s="1"/>
  <c r="I200" i="5" a="1"/>
  <c r="I200" i="5" s="1"/>
  <c r="I383" i="4" a="1"/>
  <c r="I383" i="4" s="1"/>
  <c r="I45" i="7" a="1"/>
  <c r="I45" i="7" s="1"/>
  <c r="I80" i="4" a="1"/>
  <c r="I80" i="4" s="1"/>
  <c r="E121" i="8" a="1"/>
  <c r="E121" i="8" s="1"/>
  <c r="J297" i="2" a="1"/>
  <c r="J297" i="2" s="1"/>
  <c r="I142" i="5" a="1"/>
  <c r="I142" i="5" s="1"/>
  <c r="I271" i="4" a="1"/>
  <c r="I271" i="4" s="1"/>
  <c r="E175" i="6" a="1"/>
  <c r="E175" i="6" s="1"/>
  <c r="E335" i="4" a="1"/>
  <c r="E335" i="4" s="1"/>
  <c r="J610" i="2" a="1"/>
  <c r="J610" i="2" s="1"/>
  <c r="E187" i="7" a="1"/>
  <c r="E187" i="7" s="1"/>
  <c r="E179" i="6" a="1"/>
  <c r="E179" i="6" s="1"/>
  <c r="E341" i="4" a="1"/>
  <c r="E341" i="4" s="1"/>
  <c r="J606" i="2" a="1"/>
  <c r="J606" i="2" s="1"/>
  <c r="E14" i="5" a="1"/>
  <c r="E14" i="5" s="1"/>
  <c r="E24" i="4" a="1"/>
  <c r="E24" i="4" s="1"/>
  <c r="J38" i="2" a="1"/>
  <c r="J38" i="2" s="1"/>
  <c r="I114" i="6" a="1"/>
  <c r="I114" i="6" s="1"/>
  <c r="I109" i="5" a="1"/>
  <c r="I109" i="5" s="1"/>
  <c r="I219" i="4" a="1"/>
  <c r="I219" i="4" s="1"/>
  <c r="C622" i="12" a="1"/>
  <c r="C622" i="12" s="1"/>
  <c r="I537" i="2" s="1"/>
  <c r="E210" i="5" a="1"/>
  <c r="E210" i="5" s="1"/>
  <c r="E407" i="4" a="1"/>
  <c r="E407" i="4" s="1"/>
  <c r="J668" i="2" a="1"/>
  <c r="J668" i="2" s="1"/>
  <c r="I54" i="7" a="1"/>
  <c r="I54" i="7" s="1"/>
  <c r="I43" i="6" a="1"/>
  <c r="I43" i="6" s="1"/>
  <c r="I92" i="4" a="1"/>
  <c r="I92" i="4" s="1"/>
  <c r="E159" i="6" a="1"/>
  <c r="E159" i="6" s="1"/>
  <c r="E298" i="4" a="1"/>
  <c r="E298" i="4" s="1"/>
  <c r="J566" i="2" a="1"/>
  <c r="J566" i="2" s="1"/>
  <c r="E120" i="8" a="1"/>
  <c r="E120" i="8" s="1"/>
  <c r="J296" i="2" a="1"/>
  <c r="J296" i="2" s="1"/>
  <c r="E171" i="6" a="1"/>
  <c r="E171" i="6" s="1"/>
  <c r="E329" i="4" a="1"/>
  <c r="E329" i="4" s="1"/>
  <c r="J603" i="2" a="1"/>
  <c r="J603" i="2" s="1"/>
  <c r="E162" i="6" a="1"/>
  <c r="E162" i="6" s="1"/>
  <c r="E305" i="4" a="1"/>
  <c r="E305" i="4" s="1"/>
  <c r="J573" i="2" a="1"/>
  <c r="J573" i="2" s="1"/>
  <c r="I181" i="6" a="1"/>
  <c r="I181" i="6" s="1"/>
  <c r="I343" i="4" a="1"/>
  <c r="I343" i="4" s="1"/>
  <c r="E72" i="8" a="1"/>
  <c r="E72" i="8" s="1"/>
  <c r="J203" i="2" a="1"/>
  <c r="J203" i="2" s="1"/>
  <c r="E175" i="5" a="1"/>
  <c r="E175" i="5" s="1"/>
  <c r="E330" i="4" a="1"/>
  <c r="E330" i="4" s="1"/>
  <c r="J579" i="2" a="1"/>
  <c r="J579" i="2" s="1"/>
  <c r="C660" i="12" a="1"/>
  <c r="C660" i="12" s="1"/>
  <c r="I507" i="2" s="1"/>
  <c r="I17" i="6" a="1"/>
  <c r="I17" i="6" s="1"/>
  <c r="I30" i="4" a="1"/>
  <c r="I30" i="4" s="1"/>
  <c r="I91" i="7" a="1"/>
  <c r="I91" i="7" s="1"/>
  <c r="I82" i="6" a="1"/>
  <c r="I82" i="6" s="1"/>
  <c r="I163" i="4" a="1"/>
  <c r="I163" i="4" s="1"/>
  <c r="I79" i="5" a="1"/>
  <c r="I79" i="5" s="1"/>
  <c r="I158" i="4" a="1"/>
  <c r="I158" i="4" s="1"/>
  <c r="C643" i="12" a="1"/>
  <c r="C643" i="12" s="1"/>
  <c r="I47" i="2" s="1"/>
  <c r="I44" i="6" a="1"/>
  <c r="I44" i="6" s="1"/>
  <c r="I93" i="4" a="1"/>
  <c r="I93" i="4" s="1"/>
  <c r="E43" i="7" a="1"/>
  <c r="E43" i="7" s="1"/>
  <c r="E40" i="5" a="1"/>
  <c r="E40" i="5" s="1"/>
  <c r="E34" i="6" a="1"/>
  <c r="E34" i="6" s="1"/>
  <c r="E74" i="4" a="1"/>
  <c r="E74" i="4" s="1"/>
  <c r="J139" i="2" a="1"/>
  <c r="J139" i="2" s="1"/>
  <c r="E164" i="5" a="1"/>
  <c r="E164" i="5" s="1"/>
  <c r="E304" i="4" a="1"/>
  <c r="E304" i="4" s="1"/>
  <c r="J548" i="2" a="1"/>
  <c r="J548" i="2" s="1"/>
  <c r="E158" i="7" a="1"/>
  <c r="E158" i="7" s="1"/>
  <c r="E160" i="5" a="1"/>
  <c r="E160" i="5" s="1"/>
  <c r="E293" i="4" a="1"/>
  <c r="E293" i="4" s="1"/>
  <c r="J553" i="2" a="1"/>
  <c r="J553" i="2" s="1"/>
  <c r="E143" i="8" a="1"/>
  <c r="E143" i="8" s="1"/>
  <c r="J341" i="2" a="1"/>
  <c r="J341" i="2" s="1"/>
  <c r="I69" i="6" a="1"/>
  <c r="I69" i="6" s="1"/>
  <c r="I81" i="7" a="1"/>
  <c r="I81" i="7" s="1"/>
  <c r="I139" i="4" a="1"/>
  <c r="I139" i="4" s="1"/>
  <c r="I95" i="5" a="1"/>
  <c r="I95" i="5" s="1"/>
  <c r="I97" i="6" a="1"/>
  <c r="I97" i="6" s="1"/>
  <c r="I189" i="4" a="1"/>
  <c r="I189" i="4" s="1"/>
  <c r="E47" i="6" a="1"/>
  <c r="E47" i="6" s="1"/>
  <c r="E100" i="4" a="1"/>
  <c r="E100" i="4" s="1"/>
  <c r="J187" i="2" a="1"/>
  <c r="J187" i="2" s="1"/>
  <c r="E122" i="8" a="1"/>
  <c r="E122" i="8" s="1"/>
  <c r="J298" i="2" a="1"/>
  <c r="J298" i="2" s="1"/>
  <c r="I157" i="6" a="1"/>
  <c r="I157" i="6" s="1"/>
  <c r="I296" i="4" a="1"/>
  <c r="I296" i="4" s="1"/>
  <c r="C616" i="12" a="1"/>
  <c r="C616" i="12" s="1"/>
  <c r="I303" i="2" s="1"/>
  <c r="E89" i="6" a="1"/>
  <c r="E89" i="6" s="1"/>
  <c r="E176" i="4" a="1"/>
  <c r="E176" i="4" s="1"/>
  <c r="J386" i="2" a="1"/>
  <c r="J386" i="2" s="1"/>
  <c r="E152" i="5" a="1"/>
  <c r="E152" i="5" s="1"/>
  <c r="E283" i="4" a="1"/>
  <c r="E283" i="4" s="1"/>
  <c r="J531" i="2" a="1"/>
  <c r="J531" i="2" s="1"/>
  <c r="E25" i="7" a="1"/>
  <c r="E25" i="7" s="1"/>
  <c r="E22" i="6" a="1"/>
  <c r="E22" i="6" s="1"/>
  <c r="E44" i="4" a="1"/>
  <c r="E44" i="4" s="1"/>
  <c r="J82" i="2" a="1"/>
  <c r="J82" i="2" s="1"/>
  <c r="C612" i="12" a="1"/>
  <c r="C612" i="12" s="1"/>
  <c r="I490" i="2" s="1"/>
  <c r="I118" i="7" a="1"/>
  <c r="I118" i="7" s="1"/>
  <c r="I107" i="6" a="1"/>
  <c r="I107" i="6" s="1"/>
  <c r="I207" i="4" a="1"/>
  <c r="I207" i="4" s="1"/>
  <c r="I17" i="8" a="1"/>
  <c r="I17" i="8" s="1"/>
  <c r="H105" i="8" s="1" a="1"/>
  <c r="H105" i="8" s="1"/>
  <c r="I35" i="5" a="1"/>
  <c r="I35" i="5" s="1"/>
  <c r="I63" i="4" a="1"/>
  <c r="I63" i="4" s="1"/>
  <c r="I55" i="7" a="1"/>
  <c r="I55" i="7" s="1"/>
  <c r="I46" i="6" a="1"/>
  <c r="I46" i="6" s="1"/>
  <c r="I95" i="4" a="1"/>
  <c r="I95" i="4" s="1"/>
  <c r="E196" i="8" a="1"/>
  <c r="E196" i="8" s="1"/>
  <c r="J480" i="2" a="1"/>
  <c r="J480" i="2" s="1"/>
  <c r="I154" i="5" a="1"/>
  <c r="I154" i="5" s="1"/>
  <c r="I285" i="4" a="1"/>
  <c r="I285" i="4" s="1"/>
  <c r="I175" i="6" a="1"/>
  <c r="I175" i="6" s="1"/>
  <c r="I335" i="4" a="1"/>
  <c r="I335" i="4" s="1"/>
  <c r="C634" i="12" a="1"/>
  <c r="C634" i="12" s="1"/>
  <c r="I306" i="2" s="1"/>
  <c r="C671" i="12" a="1"/>
  <c r="C671" i="12" s="1"/>
  <c r="I39" i="2" s="1"/>
  <c r="E148" i="8" a="1"/>
  <c r="E148" i="8" s="1"/>
  <c r="J352" i="2" a="1"/>
  <c r="J352" i="2" s="1"/>
  <c r="I155" i="7" a="1"/>
  <c r="I155" i="7" s="1"/>
  <c r="I155" i="5" a="1"/>
  <c r="I155" i="5" s="1"/>
  <c r="I287" i="4" a="1"/>
  <c r="I287" i="4" s="1"/>
  <c r="E55" i="8" a="1"/>
  <c r="E55" i="8" s="1"/>
  <c r="J163" i="2" a="1"/>
  <c r="J163" i="2" s="1"/>
  <c r="I183" i="5" a="1"/>
  <c r="I183" i="5" s="1"/>
  <c r="I353" i="4" a="1"/>
  <c r="I353" i="4" s="1"/>
  <c r="E69" i="7" a="1"/>
  <c r="E69" i="7" s="1"/>
  <c r="E58" i="6" a="1"/>
  <c r="E58" i="6" s="1"/>
  <c r="E118" i="4" a="1"/>
  <c r="E118" i="4" s="1"/>
  <c r="J222" i="2" a="1"/>
  <c r="J222" i="2" s="1"/>
  <c r="I30" i="7" a="1"/>
  <c r="I30" i="7" s="1"/>
  <c r="I26" i="6" a="1"/>
  <c r="I26" i="6" s="1"/>
  <c r="I55" i="4" a="1"/>
  <c r="I55" i="4" s="1"/>
  <c r="E56" i="8" a="1"/>
  <c r="E56" i="8" s="1"/>
  <c r="J164" i="2" a="1"/>
  <c r="J164" i="2" s="1"/>
  <c r="I135" i="5" a="1"/>
  <c r="I135" i="5" s="1"/>
  <c r="I262" i="4" a="1"/>
  <c r="I262" i="4" s="1"/>
  <c r="I203" i="7" a="1"/>
  <c r="I203" i="7" s="1"/>
  <c r="I206" i="6" a="1"/>
  <c r="I206" i="6" s="1"/>
  <c r="I393" i="4" a="1"/>
  <c r="I393" i="4" s="1"/>
  <c r="E176" i="5" a="1"/>
  <c r="E176" i="5" s="1"/>
  <c r="E180" i="7" a="1"/>
  <c r="E180" i="7" s="1"/>
  <c r="E331" i="4" a="1"/>
  <c r="E331" i="4" s="1"/>
  <c r="J594" i="2" a="1"/>
  <c r="J594" i="2" s="1"/>
  <c r="E165" i="7" a="1"/>
  <c r="E165" i="7" s="1"/>
  <c r="E308" i="4" a="1"/>
  <c r="E308" i="4" s="1"/>
  <c r="J567" i="2" a="1"/>
  <c r="J567" i="2" s="1"/>
  <c r="E140" i="6" a="1"/>
  <c r="E140" i="6" s="1"/>
  <c r="E149" i="7" a="1"/>
  <c r="E149" i="7" s="1"/>
  <c r="E265" i="4" a="1"/>
  <c r="E265" i="4" s="1"/>
  <c r="J520" i="2" a="1"/>
  <c r="J520" i="2" s="1"/>
  <c r="E108" i="7" a="1"/>
  <c r="E108" i="7" s="1"/>
  <c r="E96" i="6" a="1"/>
  <c r="E96" i="6" s="1"/>
  <c r="E188" i="4" a="1"/>
  <c r="E188" i="4" s="1"/>
  <c r="J399" i="2" a="1"/>
  <c r="J399" i="2" s="1"/>
  <c r="E16" i="7" a="1"/>
  <c r="E16" i="7" s="1"/>
  <c r="E15" i="6" a="1"/>
  <c r="E15" i="6" s="1"/>
  <c r="E28" i="4" a="1"/>
  <c r="E28" i="4" s="1"/>
  <c r="J52" i="2" a="1"/>
  <c r="J52" i="2" s="1"/>
  <c r="E147" i="7" a="1"/>
  <c r="E147" i="7" s="1"/>
  <c r="E132" i="5" a="1"/>
  <c r="E132" i="5" s="1"/>
  <c r="E258" i="4" a="1"/>
  <c r="E258" i="4" s="1"/>
  <c r="J517" i="2" a="1"/>
  <c r="J517" i="2" s="1"/>
  <c r="E102" i="5" a="1"/>
  <c r="E102" i="5" s="1"/>
  <c r="E204" i="4" a="1"/>
  <c r="E204" i="4" s="1"/>
  <c r="J407" i="2" a="1"/>
  <c r="J407" i="2" s="1"/>
  <c r="E35" i="8" a="1"/>
  <c r="E35" i="8" s="1"/>
  <c r="J99" i="2" a="1"/>
  <c r="J99" i="2" s="1"/>
  <c r="I77" i="5" a="1"/>
  <c r="I77" i="5" s="1"/>
  <c r="I156" i="4" a="1"/>
  <c r="I156" i="4" s="1"/>
  <c r="I101" i="7" a="1"/>
  <c r="I101" i="7" s="1"/>
  <c r="I90" i="6" a="1"/>
  <c r="I90" i="6" s="1"/>
  <c r="I178" i="4" a="1"/>
  <c r="I178" i="4" s="1"/>
  <c r="E23" i="6" a="1"/>
  <c r="E23" i="6" s="1"/>
  <c r="E50" i="4" a="1"/>
  <c r="E50" i="4" s="1"/>
  <c r="J95" i="2" a="1"/>
  <c r="J95" i="2" s="1"/>
  <c r="I175" i="5" a="1"/>
  <c r="I175" i="5" s="1"/>
  <c r="I330" i="4" a="1"/>
  <c r="I330" i="4" s="1"/>
  <c r="E164" i="8" a="1"/>
  <c r="E164" i="8" s="1"/>
  <c r="J387" i="2" a="1"/>
  <c r="J387" i="2" s="1"/>
  <c r="I81" i="5" a="1"/>
  <c r="I81" i="5" s="1"/>
  <c r="I160" i="4" a="1"/>
  <c r="I160" i="4" s="1"/>
  <c r="E58" i="8" a="1"/>
  <c r="E58" i="8" s="1"/>
  <c r="J174" i="2" a="1"/>
  <c r="J174" i="2" s="1"/>
  <c r="E57" i="7" a="1"/>
  <c r="E57" i="7" s="1"/>
  <c r="E54" i="5" a="1"/>
  <c r="E54" i="5" s="1"/>
  <c r="E101" i="4" a="1"/>
  <c r="E101" i="4" s="1"/>
  <c r="J181" i="2" a="1"/>
  <c r="J181" i="2" s="1"/>
  <c r="E178" i="8" a="1"/>
  <c r="E178" i="8" s="1"/>
  <c r="J423" i="2" a="1"/>
  <c r="J423" i="2" s="1"/>
  <c r="E189" i="5" a="1"/>
  <c r="E189" i="5" s="1"/>
  <c r="E363" i="4" a="1"/>
  <c r="E363" i="4" s="1"/>
  <c r="J607" i="2" a="1"/>
  <c r="J607" i="2" s="1"/>
  <c r="C654" i="12" a="1"/>
  <c r="C654" i="12" s="1"/>
  <c r="I355" i="2" s="1"/>
  <c r="I105" i="7" a="1"/>
  <c r="I105" i="7" s="1"/>
  <c r="I93" i="6" a="1"/>
  <c r="I93" i="6" s="1"/>
  <c r="I92" i="5" a="1"/>
  <c r="I92" i="5" s="1"/>
  <c r="I184" i="4" a="1"/>
  <c r="I184" i="4" s="1"/>
  <c r="C627" i="12" a="1"/>
  <c r="C627" i="12" s="1"/>
  <c r="I81" i="2" s="1"/>
  <c r="E7" i="8" a="1"/>
  <c r="E7" i="8" s="1"/>
  <c r="J11" i="2" a="1"/>
  <c r="J11" i="2" s="1"/>
  <c r="E24" i="8" a="1"/>
  <c r="E24" i="8" s="1"/>
  <c r="J58" i="2" a="1"/>
  <c r="J58" i="2" s="1"/>
  <c r="I43" i="7" a="1"/>
  <c r="I43" i="7" s="1"/>
  <c r="I34" i="6" a="1"/>
  <c r="I34" i="6" s="1"/>
  <c r="I40" i="5" a="1"/>
  <c r="I40" i="5" s="1"/>
  <c r="I74" i="4" a="1"/>
  <c r="I74" i="4" s="1"/>
  <c r="E191" i="5" a="1"/>
  <c r="E191" i="5" s="1"/>
  <c r="E369" i="4" a="1"/>
  <c r="E369" i="4" s="1"/>
  <c r="J612" i="2" a="1"/>
  <c r="J612" i="2" s="1"/>
  <c r="E110" i="6" a="1"/>
  <c r="E110" i="6" s="1"/>
  <c r="E121" i="7" a="1"/>
  <c r="E121" i="7" s="1"/>
  <c r="E212" i="4" a="1"/>
  <c r="E212" i="4" s="1"/>
  <c r="J444" i="2" a="1"/>
  <c r="J444" i="2" s="1"/>
  <c r="E20" i="8" a="1"/>
  <c r="E20" i="8" s="1"/>
  <c r="J43" i="2" a="1"/>
  <c r="J43" i="2" s="1"/>
  <c r="I47" i="6" a="1"/>
  <c r="I47" i="6" s="1"/>
  <c r="I100" i="4" a="1"/>
  <c r="I100" i="4" s="1"/>
  <c r="I10" i="5" a="1"/>
  <c r="I10" i="5" s="1"/>
  <c r="I16" i="4" a="1"/>
  <c r="I16" i="4" s="1"/>
  <c r="C656" i="12" a="1"/>
  <c r="C656" i="12" s="1"/>
  <c r="I377" i="2" s="1"/>
  <c r="E186" i="6" a="1"/>
  <c r="E186" i="6" s="1"/>
  <c r="E181" i="5" a="1"/>
  <c r="E181" i="5" s="1"/>
  <c r="E350" i="4" a="1"/>
  <c r="E350" i="4" s="1"/>
  <c r="J625" i="2" a="1"/>
  <c r="J625" i="2" s="1"/>
  <c r="E165" i="8" a="1"/>
  <c r="E165" i="8" s="1"/>
  <c r="J388" i="2" a="1"/>
  <c r="J388" i="2" s="1"/>
  <c r="I190" i="7" a="1"/>
  <c r="I190" i="7" s="1"/>
  <c r="I356" i="4" a="1"/>
  <c r="I356" i="4" s="1"/>
  <c r="E120" i="7" a="1"/>
  <c r="E120" i="7" s="1"/>
  <c r="E211" i="4" a="1"/>
  <c r="E211" i="4" s="1"/>
  <c r="J443" i="2" a="1"/>
  <c r="J443" i="2" s="1"/>
  <c r="E61" i="8" a="1"/>
  <c r="E61" i="8" s="1"/>
  <c r="J178" i="2" a="1"/>
  <c r="J178" i="2" s="1"/>
  <c r="I152" i="5" a="1"/>
  <c r="I152" i="5" s="1"/>
  <c r="I283" i="4" a="1"/>
  <c r="I283" i="4" s="1"/>
  <c r="E188" i="7" a="1"/>
  <c r="E188" i="7" s="1"/>
  <c r="E346" i="4" a="1"/>
  <c r="E346" i="4" s="1"/>
  <c r="J608" i="2" a="1"/>
  <c r="J608" i="2" s="1"/>
  <c r="E67" i="7" a="1"/>
  <c r="E67" i="7" s="1"/>
  <c r="E115" i="4" a="1"/>
  <c r="E115" i="4" s="1"/>
  <c r="J210" i="2" a="1"/>
  <c r="J210" i="2" s="1"/>
  <c r="E161" i="6" a="1"/>
  <c r="E161" i="6" s="1"/>
  <c r="E163" i="5" a="1"/>
  <c r="E163" i="5" s="1"/>
  <c r="E303" i="4" a="1"/>
  <c r="E303" i="4" s="1"/>
  <c r="J572" i="2" a="1"/>
  <c r="J572" i="2" s="1"/>
  <c r="E104" i="6" a="1"/>
  <c r="E104" i="6" s="1"/>
  <c r="E117" i="7" a="1"/>
  <c r="E117" i="7" s="1"/>
  <c r="E100" i="5" a="1"/>
  <c r="E100" i="5" s="1"/>
  <c r="E202" i="4" a="1"/>
  <c r="E202" i="4" s="1"/>
  <c r="J428" i="2" a="1"/>
  <c r="J428" i="2" s="1"/>
  <c r="E139" i="8" a="1"/>
  <c r="E139" i="8" s="1"/>
  <c r="J336" i="2" a="1"/>
  <c r="J336" i="2" s="1"/>
  <c r="E164" i="7" a="1"/>
  <c r="E164" i="7" s="1"/>
  <c r="E165" i="5" a="1"/>
  <c r="E165" i="5" s="1"/>
  <c r="E307" i="4" a="1"/>
  <c r="E307" i="4" s="1"/>
  <c r="J565" i="2" a="1"/>
  <c r="J565" i="2" s="1"/>
  <c r="I131" i="5" a="1"/>
  <c r="I131" i="5" s="1"/>
  <c r="I136" i="6" a="1"/>
  <c r="I136" i="6" s="1"/>
  <c r="I256" i="4" a="1"/>
  <c r="I256" i="4" s="1"/>
  <c r="E93" i="7" a="1"/>
  <c r="E93" i="7" s="1"/>
  <c r="E85" i="5" a="1"/>
  <c r="E85" i="5" s="1"/>
  <c r="E167" i="4" a="1"/>
  <c r="E167" i="4" s="1"/>
  <c r="J344" i="2" a="1"/>
  <c r="J344" i="2" s="1"/>
  <c r="I99" i="7" a="1"/>
  <c r="I99" i="7" s="1"/>
  <c r="I88" i="6" a="1"/>
  <c r="I88" i="6" s="1"/>
  <c r="I175" i="4" a="1"/>
  <c r="I175" i="4" s="1"/>
  <c r="C633" i="12" a="1"/>
  <c r="C633" i="12" s="1"/>
  <c r="I170" i="2" s="1"/>
  <c r="E236" i="4" l="1" a="1"/>
  <c r="E236" i="4" s="1"/>
  <c r="J468" i="2" a="1"/>
  <c r="J468" i="2" s="1"/>
  <c r="E131" i="7" a="1"/>
  <c r="E131" i="7" s="1"/>
  <c r="E25" i="5" a="1"/>
  <c r="E25" i="5" s="1"/>
  <c r="E361" i="4" a="1"/>
  <c r="E361" i="4" s="1"/>
  <c r="E366" i="4" a="1"/>
  <c r="E366" i="4" s="1"/>
  <c r="J158" i="2" a="1"/>
  <c r="J158" i="2" s="1"/>
  <c r="E27" i="5" a="1"/>
  <c r="E27" i="5" s="1"/>
  <c r="J658" i="2" a="1"/>
  <c r="J658" i="2" s="1"/>
  <c r="E42" i="6" a="1"/>
  <c r="E42" i="6" s="1"/>
  <c r="E61" i="7" a="1"/>
  <c r="E61" i="7" s="1"/>
  <c r="E36" i="4" a="1"/>
  <c r="E36" i="4" s="1"/>
  <c r="E49" i="4" a="1"/>
  <c r="E49" i="4" s="1"/>
  <c r="I3" i="9" a="1"/>
  <c r="I3" i="9" s="1"/>
  <c r="I24" i="2"/>
  <c r="J372" i="2" a="1"/>
  <c r="J372" i="2" s="1"/>
  <c r="E54" i="7" a="1"/>
  <c r="E54" i="7" s="1"/>
  <c r="E102" i="7" a="1"/>
  <c r="E102" i="7" s="1"/>
  <c r="E180" i="5" a="1"/>
  <c r="E180" i="5" s="1"/>
  <c r="J611" i="2" a="1"/>
  <c r="J611" i="2" s="1"/>
  <c r="J369" i="2" a="1"/>
  <c r="J369" i="2" s="1"/>
  <c r="E47" i="4" a="1"/>
  <c r="E47" i="4" s="1"/>
  <c r="E56" i="4" a="1"/>
  <c r="E56" i="4" s="1"/>
  <c r="E198" i="6" a="1"/>
  <c r="E198" i="6" s="1"/>
  <c r="J562" i="2" a="1"/>
  <c r="J562" i="2" s="1"/>
  <c r="E196" i="6" a="1"/>
  <c r="E196" i="6" s="1"/>
  <c r="I56" i="9" a="1"/>
  <c r="I56" i="9" s="1"/>
  <c r="I510" i="2"/>
  <c r="E19" i="7" a="1"/>
  <c r="E19" i="7" s="1"/>
  <c r="E19" i="6" a="1"/>
  <c r="E19" i="6" s="1"/>
  <c r="E156" i="7" a="1"/>
  <c r="E156" i="7" s="1"/>
  <c r="E156" i="5" a="1"/>
  <c r="E156" i="5" s="1"/>
  <c r="J549" i="2" a="1"/>
  <c r="J549" i="2" s="1"/>
  <c r="E162" i="5" a="1"/>
  <c r="E162" i="5" s="1"/>
  <c r="E43" i="6" a="1"/>
  <c r="E43" i="6" s="1"/>
  <c r="E302" i="4" a="1"/>
  <c r="E302" i="4" s="1"/>
  <c r="J64" i="2" a="1"/>
  <c r="J64" i="2" s="1"/>
  <c r="E100" i="6" a="1"/>
  <c r="E100" i="6" s="1"/>
  <c r="E379" i="4" a="1"/>
  <c r="E379" i="4" s="1"/>
  <c r="J644" i="2" a="1"/>
  <c r="J644" i="2" s="1"/>
  <c r="E199" i="7" a="1"/>
  <c r="E199" i="7" s="1"/>
  <c r="E389" i="4" a="1"/>
  <c r="E389" i="4" s="1"/>
  <c r="E69" i="6" a="1"/>
  <c r="E69" i="6" s="1"/>
  <c r="E139" i="4" a="1"/>
  <c r="E139" i="4" s="1"/>
  <c r="E173" i="5" a="1"/>
  <c r="E173" i="5" s="1"/>
  <c r="E31" i="5" a="1"/>
  <c r="E31" i="5" s="1"/>
  <c r="E57" i="4" a="1"/>
  <c r="E57" i="4" s="1"/>
  <c r="E197" i="5" a="1"/>
  <c r="E197" i="5" s="1"/>
  <c r="E169" i="7" a="1"/>
  <c r="E169" i="7" s="1"/>
  <c r="E316" i="4" a="1"/>
  <c r="E316" i="4" s="1"/>
  <c r="J521" i="2" a="1"/>
  <c r="J521" i="2" s="1"/>
  <c r="E375" i="4" a="1"/>
  <c r="E375" i="4" s="1"/>
  <c r="E88" i="6" a="1"/>
  <c r="E88" i="6" s="1"/>
  <c r="J582" i="2" a="1"/>
  <c r="J582" i="2" s="1"/>
  <c r="I16" i="9" a="1"/>
  <c r="I16" i="9" s="1"/>
  <c r="I97" i="2"/>
  <c r="H10" i="8" a="1"/>
  <c r="H10" i="8" s="1"/>
  <c r="H63" i="8" a="1"/>
  <c r="H63" i="8" s="1"/>
  <c r="H129" i="8" a="1"/>
  <c r="H129" i="8" s="1"/>
  <c r="I53" i="9" a="1"/>
  <c r="I53" i="9" s="1"/>
  <c r="I59" i="9" a="1"/>
  <c r="I59" i="9" s="1"/>
  <c r="I19" i="9" a="1"/>
  <c r="I19" i="9" s="1"/>
  <c r="I35" i="9" a="1"/>
  <c r="I35" i="9" s="1"/>
  <c r="E66" i="8" a="1"/>
  <c r="E66" i="8" s="1"/>
  <c r="J189" i="2" a="1"/>
  <c r="J189" i="2" s="1"/>
  <c r="E104" i="8" a="1"/>
  <c r="E104" i="8" s="1"/>
  <c r="J264" i="2" a="1"/>
  <c r="J264" i="2" s="1"/>
  <c r="E105" i="8" a="1"/>
  <c r="E105" i="8" s="1"/>
  <c r="J266" i="2" a="1"/>
  <c r="J266" i="2" s="1"/>
  <c r="E59" i="8" a="1"/>
  <c r="E59" i="8" s="1"/>
  <c r="J175" i="2" a="1"/>
  <c r="J175" i="2" s="1"/>
  <c r="J542" i="2" a="1"/>
  <c r="J542" i="2" s="1"/>
  <c r="E204" i="8" a="1"/>
  <c r="E204" i="8" s="1"/>
  <c r="E70" i="8" a="1"/>
  <c r="E70" i="8" s="1"/>
  <c r="J198" i="2" a="1"/>
  <c r="J198" i="2" s="1"/>
  <c r="E191" i="8" a="1"/>
  <c r="E191" i="8" s="1"/>
  <c r="J458" i="2" a="1"/>
  <c r="J458" i="2" s="1"/>
  <c r="E170" i="8" a="1"/>
  <c r="E170" i="8" s="1"/>
  <c r="J398" i="2" a="1"/>
  <c r="J398" i="2" s="1"/>
  <c r="E5" i="8" a="1"/>
  <c r="E5" i="8" s="1"/>
  <c r="J7" i="2" a="1"/>
  <c r="J7" i="2" s="1"/>
  <c r="E183" i="8" a="1"/>
  <c r="E183" i="8" s="1"/>
  <c r="J432" i="2" a="1"/>
  <c r="J432" i="2" s="1"/>
  <c r="E144" i="8" a="1"/>
  <c r="E144" i="8" s="1"/>
  <c r="J342" i="2" a="1"/>
  <c r="J342" i="2" s="1"/>
  <c r="E88" i="8" a="1"/>
  <c r="E88" i="8" s="1"/>
  <c r="J234" i="2" a="1"/>
  <c r="J234" i="2" s="1"/>
  <c r="E180" i="8" a="1"/>
  <c r="E180" i="8" s="1"/>
  <c r="J425" i="2" a="1"/>
  <c r="J425" i="2" s="1"/>
  <c r="H135" i="8" a="1"/>
  <c r="H135" i="8" s="1"/>
  <c r="I39" i="9" a="1"/>
  <c r="I39" i="9" s="1"/>
  <c r="I61" i="9" a="1"/>
  <c r="I61" i="9" s="1"/>
  <c r="I45" i="9" a="1"/>
  <c r="I45" i="9" s="1"/>
  <c r="I21" i="9" a="1"/>
  <c r="I21" i="9" s="1"/>
  <c r="E192" i="8" a="1"/>
  <c r="E192" i="8" s="1"/>
  <c r="J461" i="2" a="1"/>
  <c r="J461" i="2" s="1"/>
  <c r="E16" i="8" a="1"/>
  <c r="E16" i="8" s="1"/>
  <c r="J34" i="2" a="1"/>
  <c r="J34" i="2" s="1"/>
  <c r="E156" i="8" a="1"/>
  <c r="E156" i="8" s="1"/>
  <c r="J363" i="2" a="1"/>
  <c r="J363" i="2" s="1"/>
  <c r="E98" i="8" a="1"/>
  <c r="E98" i="8" s="1"/>
  <c r="J254" i="2" a="1"/>
  <c r="J254" i="2" s="1"/>
  <c r="E161" i="8" a="1"/>
  <c r="E161" i="8" s="1"/>
  <c r="J380" i="2" a="1"/>
  <c r="J380" i="2" s="1"/>
  <c r="E158" i="8" a="1"/>
  <c r="E158" i="8" s="1"/>
  <c r="J367" i="2" a="1"/>
  <c r="J367" i="2" s="1"/>
  <c r="E83" i="8" a="1"/>
  <c r="E83" i="8" s="1"/>
  <c r="J226" i="2" a="1"/>
  <c r="J226" i="2" s="1"/>
  <c r="E20" i="9" a="1"/>
  <c r="E20" i="9" s="1"/>
  <c r="J135" i="2" a="1"/>
  <c r="J135" i="2" s="1"/>
  <c r="E138" i="8" a="1"/>
  <c r="E138" i="8" s="1"/>
  <c r="J334" i="2" a="1"/>
  <c r="J334" i="2" s="1"/>
  <c r="E137" i="8" a="1"/>
  <c r="E137" i="8" s="1"/>
  <c r="J332" i="2" a="1"/>
  <c r="J332" i="2" s="1"/>
  <c r="J177" i="2" a="1"/>
  <c r="J177" i="2" s="1"/>
  <c r="E60" i="8" a="1"/>
  <c r="E60" i="8" s="1"/>
  <c r="E31" i="8" a="1"/>
  <c r="E31" i="8" s="1"/>
  <c r="J89" i="2" a="1"/>
  <c r="J89" i="2" s="1"/>
  <c r="H114" i="8" a="1"/>
  <c r="H114" i="8" s="1"/>
  <c r="H35" i="8" a="1"/>
  <c r="H35" i="8" s="1"/>
  <c r="H158" i="8" a="1"/>
  <c r="H158" i="8" s="1"/>
  <c r="H56" i="8" a="1"/>
  <c r="H56" i="8" s="1"/>
  <c r="I34" i="9" a="1"/>
  <c r="I34" i="9" s="1"/>
  <c r="I27" i="9" a="1"/>
  <c r="I27" i="9" s="1"/>
  <c r="I52" i="9" a="1"/>
  <c r="I52" i="9" s="1"/>
  <c r="E21" i="8" a="1"/>
  <c r="E21" i="8" s="1"/>
  <c r="J51" i="2" a="1"/>
  <c r="J51" i="2" s="1"/>
  <c r="E89" i="8" a="1"/>
  <c r="E89" i="8" s="1"/>
  <c r="J236" i="2" a="1"/>
  <c r="J236" i="2" s="1"/>
  <c r="J74" i="2" a="1"/>
  <c r="J74" i="2" s="1"/>
  <c r="E28" i="8" a="1"/>
  <c r="E28" i="8" s="1"/>
  <c r="E163" i="8" a="1"/>
  <c r="E163" i="8" s="1"/>
  <c r="J384" i="2" a="1"/>
  <c r="J384" i="2" s="1"/>
  <c r="E134" i="8" a="1"/>
  <c r="E134" i="8" s="1"/>
  <c r="J328" i="2" a="1"/>
  <c r="J328" i="2" s="1"/>
  <c r="E153" i="8" a="1"/>
  <c r="E153" i="8" s="1"/>
  <c r="J359" i="2" a="1"/>
  <c r="J359" i="2" s="1"/>
  <c r="E174" i="8" a="1"/>
  <c r="E174" i="8" s="1"/>
  <c r="J411" i="2" a="1"/>
  <c r="J411" i="2" s="1"/>
  <c r="E23" i="8" a="1"/>
  <c r="E23" i="8" s="1"/>
  <c r="J56" i="2" a="1"/>
  <c r="J56" i="2" s="1"/>
  <c r="E149" i="8" a="1"/>
  <c r="E149" i="8" s="1"/>
  <c r="J353" i="2" a="1"/>
  <c r="J353" i="2" s="1"/>
  <c r="E75" i="8" a="1"/>
  <c r="E75" i="8" s="1"/>
  <c r="J215" i="2" a="1"/>
  <c r="J215" i="2" s="1"/>
  <c r="E43" i="9" a="1"/>
  <c r="E43" i="9" s="1"/>
  <c r="J379" i="2" a="1"/>
  <c r="J379" i="2" s="1"/>
  <c r="E187" i="8" a="1"/>
  <c r="E187" i="8" s="1"/>
  <c r="J440" i="2" a="1"/>
  <c r="J440" i="2" s="1"/>
  <c r="H13" i="8" a="1"/>
  <c r="H13" i="8" s="1"/>
  <c r="I32" i="9" a="1"/>
  <c r="I32" i="9" s="1"/>
  <c r="I17" i="9" a="1"/>
  <c r="I17" i="9" s="1"/>
  <c r="I60" i="9" a="1"/>
  <c r="I60" i="9" s="1"/>
  <c r="I46" i="9" a="1"/>
  <c r="I46" i="9" s="1"/>
  <c r="E114" i="8" a="1"/>
  <c r="E114" i="8" s="1"/>
  <c r="J281" i="2" a="1"/>
  <c r="J281" i="2" s="1"/>
  <c r="E10" i="8" a="1"/>
  <c r="E10" i="8" s="1"/>
  <c r="J20" i="2" a="1"/>
  <c r="J20" i="2" s="1"/>
  <c r="E63" i="8" a="1"/>
  <c r="E63" i="8" s="1"/>
  <c r="J182" i="2" a="1"/>
  <c r="J182" i="2" s="1"/>
  <c r="E194" i="8" a="1"/>
  <c r="E194" i="8" s="1"/>
  <c r="J467" i="2" a="1"/>
  <c r="J467" i="2" s="1"/>
  <c r="E43" i="8" a="1"/>
  <c r="E43" i="8" s="1"/>
  <c r="J122" i="2" a="1"/>
  <c r="J122" i="2" s="1"/>
  <c r="E85" i="8" a="1"/>
  <c r="E85" i="8" s="1"/>
  <c r="J230" i="2" a="1"/>
  <c r="J230" i="2" s="1"/>
  <c r="E123" i="8" a="1"/>
  <c r="E123" i="8" s="1"/>
  <c r="J302" i="2" a="1"/>
  <c r="J302" i="2" s="1"/>
  <c r="I24" i="9" a="1"/>
  <c r="I24" i="9" s="1"/>
  <c r="I40" i="9" a="1"/>
  <c r="I40" i="9" s="1"/>
  <c r="H102" i="8" a="1"/>
  <c r="H102" i="8" s="1"/>
  <c r="H121" i="8" a="1"/>
  <c r="H121" i="8" s="1"/>
  <c r="I54" i="9" a="1"/>
  <c r="I54" i="9" s="1"/>
  <c r="H109" i="8" a="1"/>
  <c r="H109" i="8" s="1"/>
  <c r="I57" i="9" a="1"/>
  <c r="I57" i="9" s="1"/>
  <c r="I25" i="9" a="1"/>
  <c r="I25" i="9" s="1"/>
  <c r="I4" i="9" a="1"/>
  <c r="I4" i="9" s="1"/>
  <c r="I23" i="9" a="1"/>
  <c r="I23" i="9" s="1"/>
  <c r="E117" i="8" a="1"/>
  <c r="E117" i="8" s="1"/>
  <c r="J286" i="2" a="1"/>
  <c r="J286" i="2" s="1"/>
  <c r="E133" i="8" a="1"/>
  <c r="E133" i="8" s="1"/>
  <c r="J322" i="2" a="1"/>
  <c r="J322" i="2" s="1"/>
  <c r="E110" i="8" a="1"/>
  <c r="E110" i="8" s="1"/>
  <c r="J274" i="2" a="1"/>
  <c r="J274" i="2" s="1"/>
  <c r="E118" i="8" a="1"/>
  <c r="E118" i="8" s="1"/>
  <c r="J288" i="2" a="1"/>
  <c r="J288" i="2" s="1"/>
  <c r="E154" i="8" a="1"/>
  <c r="E154" i="8" s="1"/>
  <c r="J361" i="2" a="1"/>
  <c r="J361" i="2" s="1"/>
  <c r="E87" i="8" a="1"/>
  <c r="E87" i="8" s="1"/>
  <c r="J233" i="2" a="1"/>
  <c r="J233" i="2" s="1"/>
  <c r="E44" i="8" a="1"/>
  <c r="E44" i="8" s="1"/>
  <c r="J127" i="2" a="1"/>
  <c r="J127" i="2" s="1"/>
  <c r="J437" i="2" a="1"/>
  <c r="J437" i="2" s="1"/>
  <c r="E186" i="8" a="1"/>
  <c r="E186" i="8" s="1"/>
  <c r="E66" i="9" a="1"/>
  <c r="E66" i="9" s="1"/>
  <c r="J580" i="2" a="1"/>
  <c r="J580" i="2" s="1"/>
  <c r="E22" i="8" a="1"/>
  <c r="E22" i="8" s="1"/>
  <c r="J53" i="2" a="1"/>
  <c r="J53" i="2" s="1"/>
  <c r="E130" i="8" a="1"/>
  <c r="E130" i="8" s="1"/>
  <c r="J314" i="2" a="1"/>
  <c r="J314" i="2" s="1"/>
  <c r="E86" i="8" a="1"/>
  <c r="E86" i="8" s="1"/>
  <c r="J232" i="2" a="1"/>
  <c r="J232" i="2" s="1"/>
  <c r="J401" i="2" a="1"/>
  <c r="J401" i="2" s="1"/>
  <c r="E172" i="8" a="1"/>
  <c r="E172" i="8" s="1"/>
  <c r="E8" i="9" a="1"/>
  <c r="E8" i="9" s="1"/>
  <c r="J50" i="2" a="1"/>
  <c r="J50" i="2" s="1"/>
  <c r="E125" i="8" a="1"/>
  <c r="E125" i="8" s="1"/>
  <c r="J307" i="2" a="1"/>
  <c r="J307" i="2" s="1"/>
  <c r="E188" i="8" a="1"/>
  <c r="E188" i="8" s="1"/>
  <c r="J447" i="2" a="1"/>
  <c r="J447" i="2" s="1"/>
  <c r="H142" i="8" a="1"/>
  <c r="H142" i="8" s="1"/>
  <c r="H199" i="8" a="1"/>
  <c r="H199" i="8" s="1"/>
  <c r="H45" i="8" a="1"/>
  <c r="H45" i="8" s="1"/>
  <c r="I42" i="9" a="1"/>
  <c r="I42" i="9" s="1"/>
  <c r="H160" i="8" a="1"/>
  <c r="H160" i="8" s="1"/>
  <c r="H83" i="8" a="1"/>
  <c r="H83" i="8" s="1"/>
  <c r="I64" i="9" a="1"/>
  <c r="I64" i="9" s="1"/>
  <c r="I9" i="9" a="1"/>
  <c r="I9" i="9" s="1"/>
  <c r="E45" i="8" a="1"/>
  <c r="E45" i="8" s="1"/>
  <c r="J128" i="2" a="1"/>
  <c r="J128" i="2" s="1"/>
  <c r="J436" i="2" a="1"/>
  <c r="J436" i="2" s="1"/>
  <c r="E185" i="8" a="1"/>
  <c r="E185" i="8" s="1"/>
  <c r="E67" i="8" a="1"/>
  <c r="E67" i="8" s="1"/>
  <c r="J195" i="2" a="1"/>
  <c r="J195" i="2" s="1"/>
  <c r="E135" i="8" a="1"/>
  <c r="E135" i="8" s="1"/>
  <c r="J329" i="2" a="1"/>
  <c r="J329" i="2" s="1"/>
  <c r="E193" i="8" a="1"/>
  <c r="E193" i="8" s="1"/>
  <c r="J465" i="2" a="1"/>
  <c r="J465" i="2" s="1"/>
  <c r="E171" i="8" a="1"/>
  <c r="E171" i="8" s="1"/>
  <c r="J400" i="2" a="1"/>
  <c r="J400" i="2" s="1"/>
  <c r="E131" i="8" a="1"/>
  <c r="E131" i="8" s="1"/>
  <c r="J319" i="2" a="1"/>
  <c r="J319" i="2" s="1"/>
  <c r="E182" i="8" a="1"/>
  <c r="E182" i="8" s="1"/>
  <c r="J431" i="2" a="1"/>
  <c r="J431" i="2" s="1"/>
  <c r="E47" i="8" a="1"/>
  <c r="E47" i="8" s="1"/>
  <c r="J140" i="2" a="1"/>
  <c r="J140" i="2" s="1"/>
  <c r="E41" i="8" a="1"/>
  <c r="E41" i="8" s="1"/>
  <c r="J116" i="2" a="1"/>
  <c r="J116" i="2" s="1"/>
  <c r="I5" i="9" a="1"/>
  <c r="I5" i="9" s="1"/>
  <c r="H120" i="8" a="1"/>
  <c r="H120" i="8" s="1"/>
  <c r="I28" i="9" a="1"/>
  <c r="I28" i="9" s="1"/>
  <c r="I30" i="9" a="1"/>
  <c r="I30" i="9" s="1"/>
  <c r="I15" i="9" a="1"/>
  <c r="I15" i="9" s="1"/>
  <c r="E54" i="8" a="1"/>
  <c r="E54" i="8" s="1"/>
  <c r="J162" i="2" a="1"/>
  <c r="J162" i="2" s="1"/>
  <c r="E11" i="9" a="1"/>
  <c r="E11" i="9" s="1"/>
  <c r="J72" i="2" a="1"/>
  <c r="J72" i="2" s="1"/>
  <c r="E95" i="8" a="1"/>
  <c r="E95" i="8" s="1"/>
  <c r="J250" i="2" a="1"/>
  <c r="J250" i="2" s="1"/>
  <c r="E124" i="8" a="1"/>
  <c r="E124" i="8" s="1"/>
  <c r="J304" i="2" a="1"/>
  <c r="J304" i="2" s="1"/>
  <c r="E42" i="8" a="1"/>
  <c r="E42" i="8" s="1"/>
  <c r="J119" i="2" a="1"/>
  <c r="J119" i="2" s="1"/>
  <c r="J331" i="2" a="1"/>
  <c r="J331" i="2" s="1"/>
  <c r="E136" i="8" a="1"/>
  <c r="E136" i="8" s="1"/>
  <c r="E8" i="8" a="1"/>
  <c r="E8" i="8" s="1"/>
  <c r="J15" i="2" a="1"/>
  <c r="J15" i="2" s="1"/>
  <c r="E189" i="8" a="1"/>
  <c r="E189" i="8" s="1"/>
  <c r="J452" i="2" a="1"/>
  <c r="J452" i="2" s="1"/>
  <c r="E62" i="8" a="1"/>
  <c r="E62" i="8" s="1"/>
  <c r="J179" i="2" a="1"/>
  <c r="J179" i="2" s="1"/>
  <c r="E199" i="8" a="1"/>
  <c r="E199" i="8" s="1"/>
  <c r="J494" i="2" a="1"/>
  <c r="J494" i="2" s="1"/>
  <c r="E11" i="8" a="1"/>
  <c r="E11" i="8" s="1"/>
  <c r="J23" i="2" a="1"/>
  <c r="J23" i="2" s="1"/>
  <c r="E40" i="8" a="1"/>
  <c r="E40" i="8" s="1"/>
  <c r="J114" i="2" a="1"/>
  <c r="J114" i="2" s="1"/>
  <c r="E129" i="8" a="1"/>
  <c r="E129" i="8" s="1"/>
  <c r="J312" i="2" a="1"/>
  <c r="J312" i="2" s="1"/>
  <c r="E48" i="8" a="1"/>
  <c r="E48" i="8" s="1"/>
  <c r="J142" i="2" a="1"/>
  <c r="J142" i="2" s="1"/>
  <c r="E41" i="9" a="1"/>
  <c r="E41" i="9" s="1"/>
  <c r="J368" i="2" a="1"/>
  <c r="J368" i="2" s="1"/>
  <c r="I37" i="9" a="1"/>
  <c r="I37" i="9" s="1"/>
  <c r="I36" i="9" a="1"/>
  <c r="I36" i="9" s="1"/>
  <c r="I38" i="9" a="1"/>
  <c r="I38" i="9" s="1"/>
  <c r="I29" i="9" a="1"/>
  <c r="I29" i="9" s="1"/>
  <c r="I31" i="9" a="1"/>
  <c r="I31" i="9" s="1"/>
  <c r="I26" i="9" a="1"/>
  <c r="I26" i="9" s="1"/>
  <c r="I44" i="9" a="1"/>
  <c r="I44" i="9" s="1"/>
  <c r="E34" i="8" a="1"/>
  <c r="E34" i="8" s="1"/>
  <c r="J93" i="2" a="1"/>
  <c r="J93" i="2" s="1"/>
  <c r="E99" i="8" a="1"/>
  <c r="E99" i="8" s="1"/>
  <c r="J255" i="2" a="1"/>
  <c r="J255" i="2" s="1"/>
  <c r="E109" i="8" a="1"/>
  <c r="E109" i="8" s="1"/>
  <c r="J272" i="2" a="1"/>
  <c r="J272" i="2" s="1"/>
  <c r="E50" i="8" a="1"/>
  <c r="E50" i="8" s="1"/>
  <c r="J145" i="2" a="1"/>
  <c r="J145" i="2" s="1"/>
  <c r="E166" i="8" a="1"/>
  <c r="E166" i="8" s="1"/>
  <c r="J390" i="2" a="1"/>
  <c r="J390" i="2" s="1"/>
  <c r="J97" i="2" a="1"/>
  <c r="J97" i="2" s="1"/>
  <c r="E16" i="9" a="1"/>
  <c r="E16" i="9" s="1"/>
  <c r="E76" i="8" a="1"/>
  <c r="E76" i="8" s="1"/>
  <c r="J216" i="2" a="1"/>
  <c r="J216" i="2" s="1"/>
  <c r="E184" i="8" a="1"/>
  <c r="E184" i="8" s="1"/>
  <c r="J435" i="2" a="1"/>
  <c r="J435" i="2" s="1"/>
  <c r="I47" i="9" a="1"/>
  <c r="I47" i="9" s="1"/>
  <c r="E159" i="8" a="1"/>
  <c r="E159" i="8" s="1"/>
  <c r="J375" i="2" a="1"/>
  <c r="J375" i="2" s="1"/>
  <c r="E179" i="8" a="1"/>
  <c r="E179" i="8" s="1"/>
  <c r="J424" i="2" a="1"/>
  <c r="J424" i="2" s="1"/>
  <c r="I14" i="9" a="1"/>
  <c r="I14" i="9" s="1"/>
  <c r="H136" i="8" a="1"/>
  <c r="H136" i="8" s="1"/>
  <c r="H200" i="8" a="1"/>
  <c r="H200" i="8" s="1"/>
  <c r="I50" i="9" a="1"/>
  <c r="I50" i="9" s="1"/>
  <c r="I10" i="9" a="1"/>
  <c r="I10" i="9" s="1"/>
  <c r="I62" i="9" a="1"/>
  <c r="I62" i="9" s="1"/>
  <c r="I51" i="9" a="1"/>
  <c r="I51" i="9" s="1"/>
  <c r="E160" i="8" a="1"/>
  <c r="E160" i="8" s="1"/>
  <c r="J376" i="2" a="1"/>
  <c r="J376" i="2" s="1"/>
  <c r="E65" i="9" a="1"/>
  <c r="E65" i="9" s="1"/>
  <c r="J576" i="2" a="1"/>
  <c r="J576" i="2" s="1"/>
  <c r="E26" i="8" a="1"/>
  <c r="E26" i="8" s="1"/>
  <c r="J61" i="2" a="1"/>
  <c r="J61" i="2" s="1"/>
  <c r="E78" i="8" a="1"/>
  <c r="E78" i="8" s="1"/>
  <c r="J220" i="2" a="1"/>
  <c r="J220" i="2" s="1"/>
  <c r="E167" i="8" a="1"/>
  <c r="E167" i="8" s="1"/>
  <c r="J392" i="2" a="1"/>
  <c r="J392" i="2" s="1"/>
  <c r="E33" i="9" a="1"/>
  <c r="E33" i="9" s="1"/>
  <c r="J271" i="2" a="1"/>
  <c r="J271" i="2" s="1"/>
  <c r="E49" i="8" a="1"/>
  <c r="E49" i="8" s="1"/>
  <c r="J144" i="2" a="1"/>
  <c r="J144" i="2" s="1"/>
  <c r="E116" i="8" a="1"/>
  <c r="E116" i="8" s="1"/>
  <c r="J283" i="2" a="1"/>
  <c r="J283" i="2" s="1"/>
  <c r="E177" i="8" a="1"/>
  <c r="E177" i="8" s="1"/>
  <c r="J421" i="2" a="1"/>
  <c r="J421" i="2" s="1"/>
  <c r="E4" i="8" a="1"/>
  <c r="E4" i="8" s="1"/>
  <c r="F14" i="3" a="1"/>
  <c r="F14" i="3" s="1"/>
  <c r="F22" i="3" s="1" a="1"/>
  <c r="F22" i="3" s="1"/>
  <c r="J6" i="2" a="1"/>
  <c r="J6" i="2" s="1"/>
  <c r="I58" i="9" a="1"/>
  <c r="I58" i="9" s="1"/>
  <c r="I48" i="9" a="1"/>
  <c r="I48" i="9" s="1"/>
  <c r="H48" i="8" a="1"/>
  <c r="H48" i="8" s="1"/>
  <c r="I7" i="9" a="1"/>
  <c r="I7" i="9" s="1"/>
  <c r="I55" i="9" a="1"/>
  <c r="I55" i="9" s="1"/>
  <c r="H80" i="8" a="1"/>
  <c r="H80" i="8" s="1"/>
  <c r="H49" i="8" a="1"/>
  <c r="H49" i="8" s="1"/>
  <c r="I13" i="9" a="1"/>
  <c r="I13" i="9" s="1"/>
  <c r="I6" i="9" a="1"/>
  <c r="I6" i="9" s="1"/>
  <c r="I49" i="9" a="1"/>
  <c r="I49" i="9" s="1"/>
  <c r="I12" i="9" a="1"/>
  <c r="I12" i="9" s="1"/>
  <c r="E68" i="8" a="1"/>
  <c r="E68" i="8" s="1"/>
  <c r="J196" i="2" a="1"/>
  <c r="J196" i="2" s="1"/>
  <c r="E3" i="8" a="1"/>
  <c r="E3" i="8" s="1"/>
  <c r="J5" i="2" a="1"/>
  <c r="J5" i="2" s="1"/>
  <c r="E63" i="9" a="1"/>
  <c r="E63" i="9" s="1"/>
  <c r="J535" i="2" a="1"/>
  <c r="J535" i="2" s="1"/>
  <c r="E69" i="8" a="1"/>
  <c r="E69" i="8" s="1"/>
  <c r="J197" i="2" a="1"/>
  <c r="J197" i="2" s="1"/>
  <c r="E176" i="8" a="1"/>
  <c r="E176" i="8" s="1"/>
  <c r="J419" i="2" a="1"/>
  <c r="J419" i="2" s="1"/>
  <c r="E64" i="8" a="1"/>
  <c r="E64" i="8" s="1"/>
  <c r="J184" i="2" a="1"/>
  <c r="J184" i="2" s="1"/>
  <c r="J186" i="2" a="1"/>
  <c r="J186" i="2" s="1"/>
  <c r="E65" i="8" a="1"/>
  <c r="E65" i="8" s="1"/>
  <c r="H98" i="8" a="1"/>
  <c r="H98" i="8" s="1"/>
  <c r="H39" i="8" a="1"/>
  <c r="H39" i="8" s="1"/>
  <c r="H161" i="8" a="1"/>
  <c r="H161" i="8" s="1"/>
  <c r="H94" i="8" a="1"/>
  <c r="H94" i="8" s="1"/>
  <c r="H6" i="8" a="1"/>
  <c r="H6" i="8" s="1"/>
  <c r="H90" i="8" a="1"/>
  <c r="H90" i="8" s="1"/>
  <c r="H183" i="8" a="1"/>
  <c r="H183" i="8" s="1"/>
  <c r="H111" i="8" a="1"/>
  <c r="H111" i="8" s="1"/>
  <c r="H173" i="8" a="1"/>
  <c r="H173" i="8" s="1"/>
  <c r="H106" i="8" a="1"/>
  <c r="H106" i="8" s="1"/>
  <c r="H42" i="8" a="1"/>
  <c r="H42" i="8" s="1"/>
  <c r="H163" i="8" a="1"/>
  <c r="H163" i="8" s="1"/>
  <c r="H176" i="8" a="1"/>
  <c r="H176" i="8" s="1"/>
  <c r="H149" i="8" a="1"/>
  <c r="H149" i="8" s="1"/>
  <c r="H140" i="8" a="1"/>
  <c r="H140" i="8" s="1"/>
  <c r="H79" i="8" a="1"/>
  <c r="H79" i="8" s="1"/>
  <c r="H54" i="8" a="1"/>
  <c r="H54" i="8" s="1"/>
  <c r="H97" i="8" a="1"/>
  <c r="H97" i="8" s="1"/>
  <c r="H136" i="6" a="1"/>
  <c r="H136" i="6" s="1"/>
  <c r="H356" i="4" a="1"/>
  <c r="H356" i="4" s="1"/>
  <c r="H77" i="5" a="1"/>
  <c r="H77" i="5" s="1"/>
  <c r="H283" i="4" a="1"/>
  <c r="H283" i="4" s="1"/>
  <c r="H256" i="4" a="1"/>
  <c r="H256" i="4" s="1"/>
  <c r="H152" i="5" a="1"/>
  <c r="H152" i="5" s="1"/>
  <c r="H43" i="7" a="1"/>
  <c r="H43" i="7" s="1"/>
  <c r="H156" i="4" a="1"/>
  <c r="H156" i="4" s="1"/>
  <c r="H203" i="7" a="1"/>
  <c r="H203" i="7" s="1"/>
  <c r="H155" i="7" a="1"/>
  <c r="H155" i="7" s="1"/>
  <c r="H175" i="6" a="1"/>
  <c r="H175" i="6" s="1"/>
  <c r="H207" i="4" a="1"/>
  <c r="H207" i="4" s="1"/>
  <c r="C207" i="4" s="1" a="1"/>
  <c r="C207" i="4" s="1"/>
  <c r="H139" i="4" a="1"/>
  <c r="H139" i="4" s="1"/>
  <c r="H109" i="5" a="1"/>
  <c r="H109" i="5" s="1"/>
  <c r="H5" i="7" a="1"/>
  <c r="H5" i="7" s="1"/>
  <c r="H235" i="4" a="1"/>
  <c r="H235" i="4" s="1"/>
  <c r="H64" i="5" a="1"/>
  <c r="H64" i="5" s="1"/>
  <c r="H47" i="5" a="1"/>
  <c r="H47" i="5" s="1"/>
  <c r="H59" i="6" a="1"/>
  <c r="H59" i="6" s="1"/>
  <c r="H134" i="6" a="1"/>
  <c r="H134" i="6" s="1"/>
  <c r="H131" i="6" a="1"/>
  <c r="H131" i="6" s="1"/>
  <c r="H148" i="8" a="1"/>
  <c r="H148" i="8" s="1"/>
  <c r="H294" i="4" a="1"/>
  <c r="H294" i="4" s="1"/>
  <c r="H60" i="8" a="1"/>
  <c r="H60" i="8" s="1"/>
  <c r="H119" i="5" a="1"/>
  <c r="H119" i="5" s="1"/>
  <c r="H124" i="6" a="1"/>
  <c r="H124" i="6" s="1"/>
  <c r="H132" i="7" a="1"/>
  <c r="H132" i="7" s="1"/>
  <c r="H90" i="4" a="1"/>
  <c r="H90" i="4" s="1"/>
  <c r="H326" i="4" a="1"/>
  <c r="H326" i="4" s="1"/>
  <c r="C326" i="4" s="1" a="1"/>
  <c r="C326" i="4" s="1"/>
  <c r="H9" i="8" a="1"/>
  <c r="H9" i="8" s="1"/>
  <c r="H67" i="8" a="1"/>
  <c r="H67" i="8" s="1"/>
  <c r="H257" i="4" a="1"/>
  <c r="H257" i="4" s="1"/>
  <c r="C257" i="4" s="1" a="1"/>
  <c r="C257" i="4" s="1"/>
  <c r="H24" i="7" a="1"/>
  <c r="H24" i="7" s="1"/>
  <c r="C156" i="4" a="1"/>
  <c r="C156" i="4" s="1"/>
  <c r="H156" i="7" a="1"/>
  <c r="H156" i="7" s="1"/>
  <c r="H44" i="7" a="1"/>
  <c r="H44" i="7" s="1"/>
  <c r="H70" i="5" a="1"/>
  <c r="H70" i="5" s="1"/>
  <c r="H161" i="6" a="1"/>
  <c r="H161" i="6" s="1"/>
  <c r="H82" i="4" a="1"/>
  <c r="H82" i="4" s="1"/>
  <c r="C82" i="4" s="1" a="1"/>
  <c r="C82" i="4" s="1"/>
  <c r="H7" i="8" a="1"/>
  <c r="H7" i="8" s="1"/>
  <c r="H54" i="5" a="1"/>
  <c r="H54" i="5" s="1"/>
  <c r="C54" i="5" s="1" a="1"/>
  <c r="C54" i="5" s="1"/>
  <c r="H196" i="8" a="1"/>
  <c r="H196" i="8" s="1"/>
  <c r="H135" i="6" a="1"/>
  <c r="H135" i="6" s="1"/>
  <c r="H366" i="4" a="1"/>
  <c r="H366" i="4" s="1"/>
  <c r="H128" i="5" a="1"/>
  <c r="H128" i="5" s="1"/>
  <c r="H3" i="6" a="1"/>
  <c r="H3" i="6" s="1"/>
  <c r="H370" i="4" a="1"/>
  <c r="H370" i="4" s="1"/>
  <c r="C370" i="4" s="1" a="1"/>
  <c r="C370" i="4" s="1"/>
  <c r="H182" i="6" a="1"/>
  <c r="H182" i="6" s="1"/>
  <c r="H22" i="4" a="1"/>
  <c r="H22" i="4" s="1"/>
  <c r="C22" i="4" s="1" a="1"/>
  <c r="C22" i="4" s="1"/>
  <c r="H148" i="7" a="1"/>
  <c r="H148" i="7" s="1"/>
  <c r="H25" i="4" a="1"/>
  <c r="H25" i="4" s="1"/>
  <c r="H322" i="4" a="1"/>
  <c r="H322" i="4" s="1"/>
  <c r="H193" i="6" a="1"/>
  <c r="H193" i="6" s="1"/>
  <c r="H77" i="8" a="1"/>
  <c r="H77" i="8" s="1"/>
  <c r="H137" i="8" a="1"/>
  <c r="H137" i="8" s="1"/>
  <c r="H143" i="5" a="1"/>
  <c r="H143" i="5" s="1"/>
  <c r="H118" i="5" a="1"/>
  <c r="H118" i="5" s="1"/>
  <c r="H79" i="6" a="1"/>
  <c r="H79" i="6" s="1"/>
  <c r="H140" i="6" a="1"/>
  <c r="H140" i="6" s="1"/>
  <c r="H50" i="7" a="1"/>
  <c r="H50" i="7" s="1"/>
  <c r="H111" i="6" a="1"/>
  <c r="H111" i="6" s="1"/>
  <c r="C111" i="6" s="1" a="1"/>
  <c r="C111" i="6" s="1"/>
  <c r="E454" i="2" s="1" a="1"/>
  <c r="E454" i="2" s="1"/>
  <c r="H146" i="6" a="1"/>
  <c r="H146" i="6" s="1"/>
  <c r="H378" i="4" a="1"/>
  <c r="H378" i="4" s="1"/>
  <c r="H110" i="6" a="1"/>
  <c r="H110" i="6" s="1"/>
  <c r="H111" i="4" a="1"/>
  <c r="H111" i="4" s="1"/>
  <c r="H377" i="4" a="1"/>
  <c r="H377" i="4" s="1"/>
  <c r="H122" i="4" a="1"/>
  <c r="H122" i="4" s="1"/>
  <c r="H340" i="4" a="1"/>
  <c r="H340" i="4" s="1"/>
  <c r="H131" i="4" a="1"/>
  <c r="H131" i="4" s="1"/>
  <c r="H121" i="5" a="1"/>
  <c r="H121" i="5" s="1"/>
  <c r="H167" i="5" a="1"/>
  <c r="H167" i="5" s="1"/>
  <c r="H217" i="4" a="1"/>
  <c r="H217" i="4" s="1"/>
  <c r="H37" i="7" a="1"/>
  <c r="H37" i="7" s="1"/>
  <c r="H141" i="6" a="1"/>
  <c r="H141" i="6" s="1"/>
  <c r="H72" i="7" a="1"/>
  <c r="H72" i="7" s="1"/>
  <c r="C72" i="7" s="1" a="1"/>
  <c r="C72" i="7" s="1"/>
  <c r="E231" i="2" s="1" a="1"/>
  <c r="E231" i="2" s="1"/>
  <c r="H112" i="6" a="1"/>
  <c r="H112" i="6" s="1"/>
  <c r="C112" i="6" s="1" a="1"/>
  <c r="C112" i="6" s="1"/>
  <c r="H291" i="4" a="1"/>
  <c r="H291" i="4" s="1"/>
  <c r="H201" i="5" a="1"/>
  <c r="H201" i="5" s="1"/>
  <c r="H183" i="7" a="1"/>
  <c r="H183" i="7" s="1"/>
  <c r="C183" i="7" s="1" a="1"/>
  <c r="C183" i="7" s="1"/>
  <c r="E601" i="2" s="1" a="1"/>
  <c r="E601" i="2" s="1"/>
  <c r="H129" i="7" a="1"/>
  <c r="H129" i="7" s="1"/>
  <c r="C129" i="7" s="1" a="1"/>
  <c r="C129" i="7" s="1"/>
  <c r="E462" i="2" s="1" a="1"/>
  <c r="E462" i="2" s="1"/>
  <c r="H197" i="4" a="1"/>
  <c r="H197" i="4" s="1"/>
  <c r="H139" i="6" a="1"/>
  <c r="H139" i="6" s="1"/>
  <c r="C139" i="6" s="1" a="1"/>
  <c r="C139" i="6" s="1"/>
  <c r="E522" i="2" s="1" a="1"/>
  <c r="E522" i="2" s="1"/>
  <c r="H127" i="8" a="1"/>
  <c r="H127" i="8" s="1"/>
  <c r="H70" i="7" a="1"/>
  <c r="H70" i="7" s="1"/>
  <c r="H189" i="8" a="1"/>
  <c r="H189" i="8" s="1"/>
  <c r="H114" i="7" a="1"/>
  <c r="H114" i="7" s="1"/>
  <c r="H114" i="4" a="1"/>
  <c r="H114" i="4" s="1"/>
  <c r="H32" i="4" a="1"/>
  <c r="H32" i="4" s="1"/>
  <c r="H6" i="7" a="1"/>
  <c r="H6" i="7" s="1"/>
  <c r="H31" i="6" a="1"/>
  <c r="H31" i="6" s="1"/>
  <c r="H365" i="4" a="1"/>
  <c r="H365" i="4" s="1"/>
  <c r="H185" i="8" a="1"/>
  <c r="H185" i="8" s="1"/>
  <c r="H152" i="8" a="1"/>
  <c r="H152" i="8" s="1"/>
  <c r="H69" i="5" a="1"/>
  <c r="H69" i="5" s="1"/>
  <c r="H146" i="4" a="1"/>
  <c r="H146" i="4" s="1"/>
  <c r="H93" i="8" a="1"/>
  <c r="H93" i="8" s="1"/>
  <c r="H78" i="4" a="1"/>
  <c r="H78" i="4" s="1"/>
  <c r="C78" i="4" s="1" a="1"/>
  <c r="C78" i="4" s="1"/>
  <c r="H56" i="6" a="1"/>
  <c r="H56" i="6" s="1"/>
  <c r="H5" i="4" a="1"/>
  <c r="H5" i="4" s="1"/>
  <c r="H194" i="4" a="1"/>
  <c r="H194" i="4" s="1"/>
  <c r="H40" i="8" a="1"/>
  <c r="H40" i="8" s="1"/>
  <c r="H35" i="7" a="1"/>
  <c r="H35" i="7" s="1"/>
  <c r="C35" i="7" s="1" a="1"/>
  <c r="C35" i="7" s="1"/>
  <c r="E124" i="2" s="1" a="1"/>
  <c r="E124" i="2" s="1"/>
  <c r="H12" i="6" a="1"/>
  <c r="H12" i="6" s="1"/>
  <c r="H186" i="5" a="1"/>
  <c r="H186" i="5" s="1"/>
  <c r="H28" i="5" a="1"/>
  <c r="H28" i="5" s="1"/>
  <c r="H197" i="6" a="1"/>
  <c r="H197" i="6" s="1"/>
  <c r="H238" i="4" a="1"/>
  <c r="H238" i="4" s="1"/>
  <c r="H52" i="8" a="1"/>
  <c r="H52" i="8" s="1"/>
  <c r="H403" i="4" a="1"/>
  <c r="H403" i="4" s="1"/>
  <c r="C403" i="4" s="1" a="1"/>
  <c r="C403" i="4" s="1"/>
  <c r="H34" i="5" a="1"/>
  <c r="H34" i="5" s="1"/>
  <c r="C34" i="5" s="1" a="1"/>
  <c r="C34" i="5" s="1"/>
  <c r="H177" i="8" a="1"/>
  <c r="H177" i="8" s="1"/>
  <c r="H79" i="7" a="1"/>
  <c r="H79" i="7" s="1"/>
  <c r="H45" i="4" a="1"/>
  <c r="H45" i="4" s="1"/>
  <c r="H310" i="4" a="1"/>
  <c r="H310" i="4" s="1"/>
  <c r="C310" i="4" s="1" a="1"/>
  <c r="C310" i="4" s="1"/>
  <c r="H59" i="4" a="1"/>
  <c r="H59" i="4" s="1"/>
  <c r="H59" i="8" a="1"/>
  <c r="H59" i="8" s="1"/>
  <c r="H203" i="6" a="1"/>
  <c r="H203" i="6" s="1"/>
  <c r="H145" i="4" a="1"/>
  <c r="H145" i="4" s="1"/>
  <c r="H75" i="6" a="1"/>
  <c r="H75" i="6" s="1"/>
  <c r="C75" i="6" s="1" a="1"/>
  <c r="C75" i="6" s="1"/>
  <c r="E321" i="2" s="1" a="1"/>
  <c r="E321" i="2" s="1"/>
  <c r="H289" i="4" a="1"/>
  <c r="H289" i="4" s="1"/>
  <c r="H143" i="4" a="1"/>
  <c r="H143" i="4" s="1"/>
  <c r="H51" i="7" a="1"/>
  <c r="H51" i="7" s="1"/>
  <c r="H100" i="8" a="1"/>
  <c r="H100" i="8" s="1"/>
  <c r="H156" i="6" a="1"/>
  <c r="H156" i="6" s="1"/>
  <c r="H232" i="4" a="1"/>
  <c r="H232" i="4" s="1"/>
  <c r="H206" i="4" a="1"/>
  <c r="H206" i="4" s="1"/>
  <c r="H40" i="4" a="1"/>
  <c r="H40" i="4" s="1"/>
  <c r="H79" i="4" a="1"/>
  <c r="H79" i="4" s="1"/>
  <c r="H123" i="6" a="1"/>
  <c r="H123" i="6" s="1"/>
  <c r="H62" i="6" a="1"/>
  <c r="H62" i="6" s="1"/>
  <c r="H39" i="6" a="1"/>
  <c r="H39" i="6" s="1"/>
  <c r="H42" i="4" a="1"/>
  <c r="H42" i="4" s="1"/>
  <c r="H159" i="7" a="1"/>
  <c r="H159" i="7" s="1"/>
  <c r="H226" i="4" a="1"/>
  <c r="H226" i="4" s="1"/>
  <c r="H47" i="4" a="1"/>
  <c r="H47" i="4" s="1"/>
  <c r="C132" i="7" a="1"/>
  <c r="C132" i="7" s="1"/>
  <c r="E471" i="2" s="1" a="1"/>
  <c r="E471" i="2" s="1"/>
  <c r="H147" i="4" a="1"/>
  <c r="H147" i="4" s="1"/>
  <c r="H317" i="4" a="1"/>
  <c r="H317" i="4" s="1"/>
  <c r="H119" i="6" a="1"/>
  <c r="H119" i="6" s="1"/>
  <c r="C119" i="6" s="1" a="1"/>
  <c r="C119" i="6" s="1"/>
  <c r="H52" i="7" a="1"/>
  <c r="H52" i="7" s="1"/>
  <c r="H174" i="5" a="1"/>
  <c r="H174" i="5" s="1"/>
  <c r="C174" i="5" s="1" a="1"/>
  <c r="C174" i="5" s="1"/>
  <c r="C77" i="5" a="1"/>
  <c r="C77" i="5" s="1"/>
  <c r="E294" i="2" s="1" a="1"/>
  <c r="E294" i="2" s="1"/>
  <c r="H132" i="8" a="1"/>
  <c r="H132" i="8" s="1"/>
  <c r="H146" i="7" a="1"/>
  <c r="H146" i="7" s="1"/>
  <c r="H375" i="4" a="1"/>
  <c r="H375" i="4" s="1"/>
  <c r="H134" i="8" a="1"/>
  <c r="H134" i="8" s="1"/>
  <c r="H230" i="4" a="1"/>
  <c r="H230" i="4" s="1"/>
  <c r="H56" i="4" a="1"/>
  <c r="H56" i="4" s="1"/>
  <c r="C143" i="4" a="1"/>
  <c r="C143" i="4" s="1"/>
  <c r="H163" i="5" a="1"/>
  <c r="H163" i="5" s="1"/>
  <c r="H36" i="6" a="1"/>
  <c r="H36" i="6" s="1"/>
  <c r="C36" i="6" s="1" a="1"/>
  <c r="C36" i="6" s="1"/>
  <c r="H57" i="7" a="1"/>
  <c r="H57" i="7" s="1"/>
  <c r="H31" i="4" a="1"/>
  <c r="H31" i="4" s="1"/>
  <c r="C31" i="4" s="1" a="1"/>
  <c r="C31" i="4" s="1"/>
  <c r="H332" i="4" a="1"/>
  <c r="H332" i="4" s="1"/>
  <c r="H157" i="8" a="1"/>
  <c r="H157" i="8" s="1"/>
  <c r="H350" i="4" a="1"/>
  <c r="H350" i="4" s="1"/>
  <c r="C350" i="4" s="1" a="1"/>
  <c r="C350" i="4" s="1"/>
  <c r="H192" i="6" a="1"/>
  <c r="H192" i="6" s="1"/>
  <c r="H132" i="6" a="1"/>
  <c r="H132" i="6" s="1"/>
  <c r="C132" i="6" s="1" a="1"/>
  <c r="C132" i="6" s="1"/>
  <c r="E512" i="2" s="1" a="1"/>
  <c r="E512" i="2" s="1"/>
  <c r="H73" i="4" a="1"/>
  <c r="H73" i="4" s="1"/>
  <c r="H195" i="6" a="1"/>
  <c r="H195" i="6" s="1"/>
  <c r="H298" i="4" a="1"/>
  <c r="H298" i="4" s="1"/>
  <c r="H11" i="6" a="1"/>
  <c r="H11" i="6" s="1"/>
  <c r="H41" i="8" a="1"/>
  <c r="H41" i="8" s="1"/>
  <c r="H15" i="5" a="1"/>
  <c r="H15" i="5" s="1"/>
  <c r="H169" i="6" a="1"/>
  <c r="H169" i="6" s="1"/>
  <c r="C169" i="6" s="1" a="1"/>
  <c r="C169" i="6" s="1"/>
  <c r="H197" i="7" a="1"/>
  <c r="H197" i="7" s="1"/>
  <c r="H143" i="6" a="1"/>
  <c r="H143" i="6" s="1"/>
  <c r="C143" i="6" s="1" a="1"/>
  <c r="C143" i="6" s="1"/>
  <c r="E538" i="2" s="1" a="1"/>
  <c r="E538" i="2" s="1"/>
  <c r="H19" i="4" a="1"/>
  <c r="H19" i="4" s="1"/>
  <c r="C19" i="4" s="1" a="1"/>
  <c r="C19" i="4" s="1"/>
  <c r="H267" i="4" a="1"/>
  <c r="H267" i="4" s="1"/>
  <c r="C267" i="4" s="1" a="1"/>
  <c r="C267" i="4" s="1"/>
  <c r="H149" i="7" a="1"/>
  <c r="H149" i="7" s="1"/>
  <c r="H112" i="8" a="1"/>
  <c r="H112" i="8" s="1"/>
  <c r="H346" i="4" a="1"/>
  <c r="H346" i="4" s="1"/>
  <c r="H360" i="4" a="1"/>
  <c r="H360" i="4" s="1"/>
  <c r="H202" i="8" a="1"/>
  <c r="H202" i="8" s="1"/>
  <c r="H58" i="5" a="1"/>
  <c r="H58" i="5" s="1"/>
  <c r="C58" i="5" s="1" a="1"/>
  <c r="C58" i="5" s="1"/>
  <c r="H195" i="5" a="1"/>
  <c r="H195" i="5" s="1"/>
  <c r="C195" i="5" s="1" a="1"/>
  <c r="C195" i="5" s="1"/>
  <c r="E629" i="2" s="1" a="1"/>
  <c r="E629" i="2" s="1"/>
  <c r="H62" i="5" a="1"/>
  <c r="H62" i="5" s="1"/>
  <c r="H178" i="6" a="1"/>
  <c r="H178" i="6" s="1"/>
  <c r="C178" i="6" s="1" a="1"/>
  <c r="C178" i="6" s="1"/>
  <c r="H65" i="5" a="1"/>
  <c r="H65" i="5" s="1"/>
  <c r="C65" i="5" s="1" a="1"/>
  <c r="C65" i="5" s="1"/>
  <c r="E235" i="2" s="1" a="1"/>
  <c r="E235" i="2" s="1"/>
  <c r="H141" i="7" a="1"/>
  <c r="H141" i="7" s="1"/>
  <c r="H168" i="7" a="1"/>
  <c r="H168" i="7" s="1"/>
  <c r="H108" i="5" a="1"/>
  <c r="H108" i="5" s="1"/>
  <c r="H57" i="8" a="1"/>
  <c r="H57" i="8" s="1"/>
  <c r="H279" i="4" a="1"/>
  <c r="H279" i="4" s="1"/>
  <c r="H122" i="7" a="1"/>
  <c r="H122" i="7" s="1"/>
  <c r="H154" i="6" a="1"/>
  <c r="H154" i="6" s="1"/>
  <c r="C154" i="6" s="1" a="1"/>
  <c r="C154" i="6" s="1"/>
  <c r="H384" i="4" a="1"/>
  <c r="H384" i="4" s="1"/>
  <c r="H75" i="8" a="1"/>
  <c r="H75" i="8" s="1"/>
  <c r="H112" i="7" a="1"/>
  <c r="H112" i="7" s="1"/>
  <c r="C112" i="7" s="1" a="1"/>
  <c r="C112" i="7" s="1"/>
  <c r="E406" i="2" s="1" a="1"/>
  <c r="E406" i="2" s="1"/>
  <c r="H260" i="4" a="1"/>
  <c r="H260" i="4" s="1"/>
  <c r="H97" i="4" a="1"/>
  <c r="H97" i="4" s="1"/>
  <c r="H59" i="5" a="1"/>
  <c r="H59" i="5" s="1"/>
  <c r="H18" i="7" a="1"/>
  <c r="H18" i="7" s="1"/>
  <c r="H70" i="4" a="1"/>
  <c r="H70" i="4" s="1"/>
  <c r="H145" i="8" a="1"/>
  <c r="H145" i="8" s="1"/>
  <c r="H38" i="7" a="1"/>
  <c r="H38" i="7" s="1"/>
  <c r="H196" i="7" a="1"/>
  <c r="H196" i="7" s="1"/>
  <c r="H306" i="4" a="1"/>
  <c r="H306" i="4" s="1"/>
  <c r="H342" i="4" a="1"/>
  <c r="H342" i="4" s="1"/>
  <c r="H54" i="4" a="1"/>
  <c r="H54" i="4" s="1"/>
  <c r="C54" i="4" s="1" a="1"/>
  <c r="C54" i="4" s="1"/>
  <c r="H70" i="6" a="1"/>
  <c r="H70" i="6" s="1"/>
  <c r="C70" i="6" s="1" a="1"/>
  <c r="C70" i="6" s="1"/>
  <c r="H174" i="8" a="1"/>
  <c r="H174" i="8" s="1"/>
  <c r="H72" i="5" a="1"/>
  <c r="H72" i="5" s="1"/>
  <c r="C72" i="5" s="1" a="1"/>
  <c r="C72" i="5" s="1"/>
  <c r="H43" i="5" a="1"/>
  <c r="H43" i="5" s="1"/>
  <c r="H66" i="7" a="1"/>
  <c r="H66" i="7" s="1"/>
  <c r="H3" i="7" a="1"/>
  <c r="H3" i="7" s="1"/>
  <c r="H190" i="4" a="1"/>
  <c r="H190" i="4" s="1"/>
  <c r="H100" i="6" a="1"/>
  <c r="H100" i="6" s="1"/>
  <c r="H186" i="4" a="1"/>
  <c r="H186" i="4" s="1"/>
  <c r="H359" i="4" a="1"/>
  <c r="H359" i="4" s="1"/>
  <c r="H13" i="7" a="1"/>
  <c r="H13" i="7" s="1"/>
  <c r="H391" i="4" a="1"/>
  <c r="H391" i="4" s="1"/>
  <c r="H18" i="4" a="1"/>
  <c r="H18" i="4" s="1"/>
  <c r="H157" i="4" a="1"/>
  <c r="H157" i="4" s="1"/>
  <c r="H139" i="7" a="1"/>
  <c r="H139" i="7" s="1"/>
  <c r="H209" i="5" a="1"/>
  <c r="H209" i="5" s="1"/>
  <c r="H150" i="8" a="1"/>
  <c r="H150" i="8" s="1"/>
  <c r="H211" i="4" a="1"/>
  <c r="H211" i="4" s="1"/>
  <c r="H33" i="7" a="1"/>
  <c r="H33" i="7" s="1"/>
  <c r="H31" i="8" a="1"/>
  <c r="H31" i="8" s="1"/>
  <c r="H35" i="4" a="1"/>
  <c r="H35" i="4" s="1"/>
  <c r="H250" i="4" a="1"/>
  <c r="H250" i="4" s="1"/>
  <c r="H26" i="7" a="1"/>
  <c r="H26" i="7" s="1"/>
  <c r="H165" i="6" a="1"/>
  <c r="H165" i="6" s="1"/>
  <c r="C165" i="6" s="1" a="1"/>
  <c r="C165" i="6" s="1"/>
  <c r="H31" i="7" a="1"/>
  <c r="H31" i="7" s="1"/>
  <c r="C31" i="7" s="1" a="1"/>
  <c r="C31" i="7" s="1"/>
  <c r="E111" i="2" s="1" a="1"/>
  <c r="E111" i="2" s="1"/>
  <c r="H319" i="4" a="1"/>
  <c r="H319" i="4" s="1"/>
  <c r="H258" i="4" a="1"/>
  <c r="H258" i="4" s="1"/>
  <c r="H72" i="6" a="1"/>
  <c r="H72" i="6" s="1"/>
  <c r="H73" i="5" a="1"/>
  <c r="H73" i="5" s="1"/>
  <c r="H157" i="5" a="1"/>
  <c r="H157" i="5" s="1"/>
  <c r="H71" i="5" a="1"/>
  <c r="H71" i="5" s="1"/>
  <c r="H394" i="4" a="1"/>
  <c r="H394" i="4" s="1"/>
  <c r="C394" i="4" s="1" a="1"/>
  <c r="C394" i="4" s="1"/>
  <c r="H160" i="7" a="1"/>
  <c r="H160" i="7" s="1"/>
  <c r="H116" i="5" a="1"/>
  <c r="H116" i="5" s="1"/>
  <c r="H12" i="8" a="1"/>
  <c r="H12" i="8" s="1"/>
  <c r="H341" i="4" a="1"/>
  <c r="H341" i="4" s="1"/>
  <c r="C341" i="4" s="1" a="1"/>
  <c r="C341" i="4" s="1"/>
  <c r="C57" i="7" a="1"/>
  <c r="C57" i="7" s="1"/>
  <c r="E181" i="2" s="1" a="1"/>
  <c r="E181" i="2" s="1"/>
  <c r="C235" i="4" a="1"/>
  <c r="C235" i="4" s="1"/>
  <c r="H81" i="7" a="1"/>
  <c r="H81" i="7" s="1"/>
  <c r="C81" i="7" s="1" a="1"/>
  <c r="C81" i="7" s="1"/>
  <c r="E278" i="2" s="1" a="1"/>
  <c r="E278" i="2" s="1"/>
  <c r="H95" i="4" a="1"/>
  <c r="H95" i="4" s="1"/>
  <c r="C95" i="4" s="1" a="1"/>
  <c r="C95" i="4" s="1"/>
  <c r="H118" i="7" a="1"/>
  <c r="H118" i="7" s="1"/>
  <c r="C118" i="7" s="1" a="1"/>
  <c r="C118" i="7" s="1"/>
  <c r="E439" i="2" s="1" a="1"/>
  <c r="E439" i="2" s="1"/>
  <c r="C43" i="7" a="1"/>
  <c r="C43" i="7" s="1"/>
  <c r="E139" i="2" s="1" a="1"/>
  <c r="E139" i="2" s="1"/>
  <c r="H104" i="5" a="1"/>
  <c r="H104" i="5" s="1"/>
  <c r="C104" i="5" s="1" a="1"/>
  <c r="C104" i="5" s="1"/>
  <c r="E413" i="2" s="1" a="1"/>
  <c r="E413" i="2" s="1"/>
  <c r="H21" i="5" a="1"/>
  <c r="H21" i="5" s="1"/>
  <c r="C21" i="5" s="1" a="1"/>
  <c r="C21" i="5" s="1"/>
  <c r="E68" i="2" s="1" a="1"/>
  <c r="E68" i="2" s="1"/>
  <c r="H44" i="5" a="1"/>
  <c r="H44" i="5" s="1"/>
  <c r="H136" i="7" a="1"/>
  <c r="H136" i="7" s="1"/>
  <c r="C79" i="6" a="1"/>
  <c r="C79" i="6" s="1"/>
  <c r="H49" i="7" a="1"/>
  <c r="H49" i="7" s="1"/>
  <c r="H266" i="4" a="1"/>
  <c r="H266" i="4" s="1"/>
  <c r="C266" i="4" s="1" a="1"/>
  <c r="C266" i="4" s="1"/>
  <c r="H23" i="5" a="1"/>
  <c r="H23" i="5" s="1"/>
  <c r="C59" i="6" a="1"/>
  <c r="C59" i="6" s="1"/>
  <c r="H228" i="4" a="1"/>
  <c r="H228" i="4" s="1"/>
  <c r="C228" i="4" s="1" a="1"/>
  <c r="C228" i="4" s="1"/>
  <c r="C79" i="4" a="1"/>
  <c r="C79" i="4" s="1"/>
  <c r="H301" i="4" a="1"/>
  <c r="H301" i="4" s="1"/>
  <c r="C301" i="4" s="1" a="1"/>
  <c r="C301" i="4" s="1"/>
  <c r="H104" i="4" a="1"/>
  <c r="H104" i="4" s="1"/>
  <c r="H155" i="6" a="1"/>
  <c r="H155" i="6" s="1"/>
  <c r="H195" i="4" a="1"/>
  <c r="H195" i="4" s="1"/>
  <c r="C73" i="4" a="1"/>
  <c r="C73" i="4" s="1"/>
  <c r="H117" i="6" a="1"/>
  <c r="H117" i="6" s="1"/>
  <c r="C117" i="6" s="1" a="1"/>
  <c r="C117" i="6" s="1"/>
  <c r="E483" i="2" s="1" a="1"/>
  <c r="E483" i="2" s="1"/>
  <c r="H71" i="4" a="1"/>
  <c r="H71" i="4" s="1"/>
  <c r="H25" i="5" a="1"/>
  <c r="H25" i="5" s="1"/>
  <c r="H74" i="6" a="1"/>
  <c r="H74" i="6" s="1"/>
  <c r="H169" i="5" a="1"/>
  <c r="H169" i="5" s="1"/>
  <c r="C169" i="5" s="1" a="1"/>
  <c r="C169" i="5" s="1"/>
  <c r="H177" i="7" a="1"/>
  <c r="H177" i="7" s="1"/>
  <c r="C177" i="7" s="1" a="1"/>
  <c r="C177" i="7" s="1"/>
  <c r="E591" i="2" s="1" a="1"/>
  <c r="E591" i="2" s="1"/>
  <c r="C122" i="4" a="1"/>
  <c r="C122" i="4" s="1"/>
  <c r="H151" i="4" a="1"/>
  <c r="H151" i="4" s="1"/>
  <c r="C151" i="4" s="1" a="1"/>
  <c r="C151" i="4" s="1"/>
  <c r="H137" i="6" a="1"/>
  <c r="H137" i="6" s="1"/>
  <c r="C137" i="6" s="1" a="1"/>
  <c r="C137" i="6" s="1"/>
  <c r="H198" i="6" a="1"/>
  <c r="H198" i="6" s="1"/>
  <c r="H76" i="8" a="1"/>
  <c r="H76" i="8" s="1"/>
  <c r="H15" i="8" a="1"/>
  <c r="H15" i="8" s="1"/>
  <c r="H137" i="4" a="1"/>
  <c r="H137" i="4" s="1"/>
  <c r="H115" i="5" a="1"/>
  <c r="H115" i="5" s="1"/>
  <c r="H30" i="5" a="1"/>
  <c r="H30" i="5" s="1"/>
  <c r="C30" i="5" s="1" a="1"/>
  <c r="C30" i="5" s="1"/>
  <c r="E94" i="2" s="1" a="1"/>
  <c r="E94" i="2" s="1"/>
  <c r="C71" i="5" a="1"/>
  <c r="C71" i="5" s="1"/>
  <c r="H202" i="4" a="1"/>
  <c r="H202" i="4" s="1"/>
  <c r="H47" i="7" a="1"/>
  <c r="H47" i="7" s="1"/>
  <c r="C47" i="7" s="1" a="1"/>
  <c r="C47" i="7" s="1"/>
  <c r="E149" i="2" s="1" a="1"/>
  <c r="E149" i="2" s="1"/>
  <c r="C238" i="4" a="1"/>
  <c r="C238" i="4" s="1"/>
  <c r="H9" i="4" a="1"/>
  <c r="H9" i="4" s="1"/>
  <c r="C9" i="4" s="1" a="1"/>
  <c r="C9" i="4" s="1"/>
  <c r="H16" i="5" a="1"/>
  <c r="H16" i="5" s="1"/>
  <c r="H172" i="6" a="1"/>
  <c r="H172" i="6" s="1"/>
  <c r="C112" i="8" a="1"/>
  <c r="C112" i="8" s="1"/>
  <c r="E277" i="2" s="1" a="1"/>
  <c r="E277" i="2" s="1"/>
  <c r="H181" i="5" a="1"/>
  <c r="H181" i="5" s="1"/>
  <c r="C181" i="5" s="1" a="1"/>
  <c r="C181" i="5" s="1"/>
  <c r="H108" i="8" a="1"/>
  <c r="H108" i="8" s="1"/>
  <c r="H75" i="4" a="1"/>
  <c r="H75" i="4" s="1"/>
  <c r="H39" i="5" a="1"/>
  <c r="H39" i="5" s="1"/>
  <c r="H208" i="4" a="1"/>
  <c r="H208" i="4" s="1"/>
  <c r="H159" i="6" a="1"/>
  <c r="H159" i="6" s="1"/>
  <c r="H12" i="7" a="1"/>
  <c r="H12" i="7" s="1"/>
  <c r="C12" i="7" s="1" a="1"/>
  <c r="C12" i="7" s="1"/>
  <c r="E41" i="2" s="1" a="1"/>
  <c r="E41" i="2" s="1"/>
  <c r="H14" i="7" a="1"/>
  <c r="H14" i="7" s="1"/>
  <c r="H174" i="7" a="1"/>
  <c r="H174" i="7" s="1"/>
  <c r="H280" i="4" a="1"/>
  <c r="H280" i="4" s="1"/>
  <c r="H404" i="4" a="1"/>
  <c r="H404" i="4" s="1"/>
  <c r="H12" i="5" a="1"/>
  <c r="H12" i="5" s="1"/>
  <c r="C12" i="5" s="1" a="1"/>
  <c r="C12" i="5" s="1"/>
  <c r="H139" i="5" a="1"/>
  <c r="H139" i="5" s="1"/>
  <c r="H182" i="8" a="1"/>
  <c r="H182" i="8" s="1"/>
  <c r="H188" i="7" a="1"/>
  <c r="H188" i="7" s="1"/>
  <c r="H188" i="5" a="1"/>
  <c r="H188" i="5" s="1"/>
  <c r="C188" i="5" s="1" a="1"/>
  <c r="C188" i="5" s="1"/>
  <c r="E600" i="2" s="1" a="1"/>
  <c r="E600" i="2" s="1"/>
  <c r="H54" i="6" a="1"/>
  <c r="H54" i="6" s="1"/>
  <c r="H18" i="8" a="1"/>
  <c r="H18" i="8" s="1"/>
  <c r="H186" i="7" a="1"/>
  <c r="H186" i="7" s="1"/>
  <c r="H318" i="4" a="1"/>
  <c r="H318" i="4" s="1"/>
  <c r="H396" i="4" a="1"/>
  <c r="H396" i="4" s="1"/>
  <c r="C396" i="4" s="1" a="1"/>
  <c r="C396" i="4" s="1"/>
  <c r="H200" i="4" a="1"/>
  <c r="H200" i="4" s="1"/>
  <c r="C200" i="4" s="1" a="1"/>
  <c r="C200" i="4" s="1"/>
  <c r="H148" i="5" a="1"/>
  <c r="H148" i="5" s="1"/>
  <c r="H399" i="4" a="1"/>
  <c r="H399" i="4" s="1"/>
  <c r="H157" i="7" a="1"/>
  <c r="H157" i="7" s="1"/>
  <c r="C157" i="7" s="1" a="1"/>
  <c r="C157" i="7" s="1"/>
  <c r="E550" i="2" s="1" a="1"/>
  <c r="E550" i="2" s="1"/>
  <c r="H27" i="8" a="1"/>
  <c r="H27" i="8" s="1"/>
  <c r="H91" i="8" a="1"/>
  <c r="H91" i="8" s="1"/>
  <c r="C91" i="8" s="1" a="1"/>
  <c r="C91" i="8" s="1"/>
  <c r="E242" i="2" s="1" a="1"/>
  <c r="E242" i="2" s="1"/>
  <c r="H138" i="6" a="1"/>
  <c r="H138" i="6" s="1"/>
  <c r="H210" i="5" a="1"/>
  <c r="H210" i="5" s="1"/>
  <c r="H51" i="5" a="1"/>
  <c r="H51" i="5" s="1"/>
  <c r="C51" i="5" s="1" a="1"/>
  <c r="C51" i="5" s="1"/>
  <c r="E160" i="2" s="1" a="1"/>
  <c r="E160" i="2" s="1"/>
  <c r="H159" i="4" a="1"/>
  <c r="H159" i="4" s="1"/>
  <c r="C159" i="4" s="1" a="1"/>
  <c r="C159" i="4" s="1"/>
  <c r="H171" i="8" a="1"/>
  <c r="H171" i="8" s="1"/>
  <c r="H103" i="4" a="1"/>
  <c r="H103" i="4" s="1"/>
  <c r="H17" i="5" a="1"/>
  <c r="H17" i="5" s="1"/>
  <c r="H39" i="7" a="1"/>
  <c r="H39" i="7" s="1"/>
  <c r="H269" i="4" a="1"/>
  <c r="H269" i="4" s="1"/>
  <c r="H10" i="4" a="1"/>
  <c r="H10" i="4" s="1"/>
  <c r="C10" i="4" s="1" a="1"/>
  <c r="C10" i="4" s="1"/>
  <c r="H205" i="5" a="1"/>
  <c r="H205" i="5" s="1"/>
  <c r="C205" i="5" s="1" a="1"/>
  <c r="C205" i="5" s="1"/>
  <c r="H163" i="6" a="1"/>
  <c r="H163" i="6" s="1"/>
  <c r="H180" i="6" a="1"/>
  <c r="H180" i="6" s="1"/>
  <c r="C180" i="6" s="1" a="1"/>
  <c r="C180" i="6" s="1"/>
  <c r="E615" i="2" s="1" a="1"/>
  <c r="E615" i="2" s="1"/>
  <c r="H29" i="7" a="1"/>
  <c r="H29" i="7" s="1"/>
  <c r="C29" i="7" s="1" a="1"/>
  <c r="C29" i="7" s="1"/>
  <c r="E98" i="2" s="1" a="1"/>
  <c r="E98" i="2" s="1"/>
  <c r="H82" i="7" a="1"/>
  <c r="H82" i="7" s="1"/>
  <c r="H203" i="4" a="1"/>
  <c r="H203" i="4" s="1"/>
  <c r="C203" i="4" s="1" a="1"/>
  <c r="C203" i="4" s="1"/>
  <c r="H73" i="6" a="1"/>
  <c r="H73" i="6" s="1"/>
  <c r="C73" i="6" s="1" a="1"/>
  <c r="C73" i="6" s="1"/>
  <c r="E316" i="2" s="1" a="1"/>
  <c r="E316" i="2" s="1"/>
  <c r="H161" i="4" a="1"/>
  <c r="H161" i="4" s="1"/>
  <c r="C161" i="4" s="1" a="1"/>
  <c r="C161" i="4" s="1"/>
  <c r="H167" i="4" a="1"/>
  <c r="H167" i="4" s="1"/>
  <c r="C167" i="4" s="1" a="1"/>
  <c r="C167" i="4" s="1"/>
  <c r="H109" i="7" a="1"/>
  <c r="H109" i="7" s="1"/>
  <c r="H52" i="4" a="1"/>
  <c r="H52" i="4" s="1"/>
  <c r="H95" i="6" a="1"/>
  <c r="H95" i="6" s="1"/>
  <c r="C95" i="6" s="1" a="1"/>
  <c r="C95" i="6" s="1"/>
  <c r="H187" i="5" a="1"/>
  <c r="H187" i="5" s="1"/>
  <c r="H202" i="7" a="1"/>
  <c r="H202" i="7" s="1"/>
  <c r="H11" i="5" a="1"/>
  <c r="H11" i="5" s="1"/>
  <c r="C11" i="5" s="1" a="1"/>
  <c r="C11" i="5" s="1"/>
  <c r="H78" i="5" a="1"/>
  <c r="H78" i="5" s="1"/>
  <c r="H126" i="6" a="1"/>
  <c r="H126" i="6" s="1"/>
  <c r="C126" i="6" s="1" a="1"/>
  <c r="C126" i="6" s="1"/>
  <c r="H33" i="8" a="1"/>
  <c r="H33" i="8" s="1"/>
  <c r="H223" i="4" a="1"/>
  <c r="H223" i="4" s="1"/>
  <c r="C223" i="4" s="1" a="1"/>
  <c r="C223" i="4" s="1"/>
  <c r="H205" i="4" a="1"/>
  <c r="H205" i="4" s="1"/>
  <c r="C205" i="4" s="1" a="1"/>
  <c r="C205" i="4" s="1"/>
  <c r="H120" i="7" a="1"/>
  <c r="H120" i="7" s="1"/>
  <c r="H231" i="4" a="1"/>
  <c r="H231" i="4" s="1"/>
  <c r="H19" i="6" a="1"/>
  <c r="H19" i="6" s="1"/>
  <c r="C19" i="6" s="1" a="1"/>
  <c r="C19" i="6" s="1"/>
  <c r="H127" i="5" a="1"/>
  <c r="H127" i="5" s="1"/>
  <c r="H166" i="5" a="1"/>
  <c r="H166" i="5" s="1"/>
  <c r="C166" i="5" s="1" a="1"/>
  <c r="C166" i="5" s="1"/>
  <c r="H263" i="4" a="1"/>
  <c r="H263" i="4" s="1"/>
  <c r="C263" i="4" s="1" a="1"/>
  <c r="C263" i="4" s="1"/>
  <c r="H171" i="5" a="1"/>
  <c r="H171" i="5" s="1"/>
  <c r="H91" i="4" a="1"/>
  <c r="H91" i="4" s="1"/>
  <c r="C91" i="4" s="1" a="1"/>
  <c r="C91" i="4" s="1"/>
  <c r="H6" i="9" a="1"/>
  <c r="H6" i="9" s="1"/>
  <c r="H132" i="5" a="1"/>
  <c r="H132" i="5" s="1"/>
  <c r="H155" i="8" a="1"/>
  <c r="H155" i="8" s="1"/>
  <c r="H11" i="8" a="1"/>
  <c r="H11" i="8" s="1"/>
  <c r="H152" i="6" a="1"/>
  <c r="H152" i="6" s="1"/>
  <c r="C152" i="6" s="1" a="1"/>
  <c r="C152" i="6" s="1"/>
  <c r="E557" i="2" s="1" a="1"/>
  <c r="E557" i="2" s="1"/>
  <c r="H290" i="4" a="1"/>
  <c r="H290" i="4" s="1"/>
  <c r="H71" i="6" a="1"/>
  <c r="H71" i="6" s="1"/>
  <c r="C71" i="6" s="1" a="1"/>
  <c r="C71" i="6" s="1"/>
  <c r="H204" i="7" a="1"/>
  <c r="H204" i="7" s="1"/>
  <c r="H168" i="8" a="1"/>
  <c r="H168" i="8" s="1"/>
  <c r="C168" i="8" s="1" a="1"/>
  <c r="C168" i="8" s="1"/>
  <c r="E395" i="2" s="1" a="1"/>
  <c r="E395" i="2" s="1"/>
  <c r="H307" i="4" a="1"/>
  <c r="H307" i="4" s="1"/>
  <c r="H34" i="8" a="1"/>
  <c r="H34" i="8" s="1"/>
  <c r="H172" i="4" a="1"/>
  <c r="H172" i="4" s="1"/>
  <c r="C172" i="4" s="1" a="1"/>
  <c r="C172" i="4" s="1"/>
  <c r="H179" i="6" a="1"/>
  <c r="H179" i="6" s="1"/>
  <c r="H131" i="5" a="1"/>
  <c r="H131" i="5" s="1"/>
  <c r="C131" i="5" s="1" a="1"/>
  <c r="C131" i="5" s="1"/>
  <c r="H190" i="7" a="1"/>
  <c r="H190" i="7" s="1"/>
  <c r="H100" i="4" a="1"/>
  <c r="H100" i="4" s="1"/>
  <c r="H18" i="9" a="1"/>
  <c r="H18" i="9" s="1"/>
  <c r="H69" i="6" a="1"/>
  <c r="H69" i="6" s="1"/>
  <c r="C69" i="6" s="1" a="1"/>
  <c r="C69" i="6" s="1"/>
  <c r="H163" i="4" a="1"/>
  <c r="H163" i="4" s="1"/>
  <c r="H17" i="6" a="1"/>
  <c r="H17" i="6" s="1"/>
  <c r="C146" i="7" a="1"/>
  <c r="C146" i="7" s="1"/>
  <c r="E509" i="2" s="1" a="1"/>
  <c r="E509" i="2" s="1"/>
  <c r="C298" i="4" a="1"/>
  <c r="C298" i="4" s="1"/>
  <c r="C108" i="5" a="1"/>
  <c r="C108" i="5" s="1"/>
  <c r="E430" i="2" s="1" a="1"/>
  <c r="E430" i="2" s="1"/>
  <c r="C206" i="4" a="1"/>
  <c r="C206" i="4" s="1"/>
  <c r="H271" i="4" a="1"/>
  <c r="H271" i="4" s="1"/>
  <c r="H383" i="4" a="1"/>
  <c r="H383" i="4" s="1"/>
  <c r="C383" i="4" s="1" a="1"/>
  <c r="C383" i="4" s="1"/>
  <c r="H47" i="6" a="1"/>
  <c r="H47" i="6" s="1"/>
  <c r="H175" i="5" a="1"/>
  <c r="H175" i="5" s="1"/>
  <c r="H178" i="4" a="1"/>
  <c r="H178" i="4" s="1"/>
  <c r="H262" i="4" a="1"/>
  <c r="H262" i="4" s="1"/>
  <c r="C262" i="4" s="1" a="1"/>
  <c r="C262" i="4" s="1"/>
  <c r="H46" i="6" a="1"/>
  <c r="H46" i="6" s="1"/>
  <c r="C46" i="6" s="1" a="1"/>
  <c r="C46" i="6" s="1"/>
  <c r="H93" i="4" a="1"/>
  <c r="H93" i="4" s="1"/>
  <c r="C93" i="4" s="1" a="1"/>
  <c r="C93" i="4" s="1"/>
  <c r="H82" i="6" a="1"/>
  <c r="H82" i="6" s="1"/>
  <c r="C177" i="8" a="1"/>
  <c r="C177" i="8" s="1"/>
  <c r="E421" i="2" s="1" a="1"/>
  <c r="E421" i="2" s="1"/>
  <c r="C159" i="6" a="1"/>
  <c r="C159" i="6" s="1"/>
  <c r="E566" i="2" s="1" a="1"/>
  <c r="E566" i="2" s="1"/>
  <c r="C210" i="5" a="1"/>
  <c r="C210" i="5" s="1"/>
  <c r="E668" i="2" s="1" a="1"/>
  <c r="E668" i="2" s="1"/>
  <c r="H142" i="5" a="1"/>
  <c r="H142" i="5" s="1"/>
  <c r="H200" i="5" a="1"/>
  <c r="H200" i="5" s="1"/>
  <c r="C156" i="6" a="1"/>
  <c r="C156" i="6" s="1"/>
  <c r="C114" i="4" a="1"/>
  <c r="C114" i="4" s="1"/>
  <c r="H38" i="9" a="1"/>
  <c r="H38" i="9" s="1"/>
  <c r="C77" i="8" a="1"/>
  <c r="C77" i="8" s="1"/>
  <c r="E218" i="2" s="1" a="1"/>
  <c r="E218" i="2" s="1"/>
  <c r="C45" i="4" a="1"/>
  <c r="C45" i="4" s="1"/>
  <c r="C67" i="8" a="1"/>
  <c r="C67" i="8" s="1"/>
  <c r="E195" i="2" s="1" a="1"/>
  <c r="E195" i="2" s="1"/>
  <c r="H98" i="4" a="1"/>
  <c r="H98" i="4" s="1"/>
  <c r="C98" i="4" s="1" a="1"/>
  <c r="C98" i="4" s="1"/>
  <c r="H297" i="4" a="1"/>
  <c r="H297" i="4" s="1"/>
  <c r="C203" i="6" a="1"/>
  <c r="C203" i="6" s="1"/>
  <c r="H138" i="5" a="1"/>
  <c r="H138" i="5" s="1"/>
  <c r="C138" i="5" s="1" a="1"/>
  <c r="C138" i="5" s="1"/>
  <c r="E506" i="2" s="1" a="1"/>
  <c r="E506" i="2" s="1"/>
  <c r="H166" i="4" a="1"/>
  <c r="H166" i="4" s="1"/>
  <c r="C166" i="4" s="1" a="1"/>
  <c r="C166" i="4" s="1"/>
  <c r="H21" i="6" a="1"/>
  <c r="H21" i="6" s="1"/>
  <c r="H204" i="8" a="1"/>
  <c r="H204" i="8" s="1"/>
  <c r="H114" i="5" a="1"/>
  <c r="H114" i="5" s="1"/>
  <c r="C114" i="5" s="1" a="1"/>
  <c r="C114" i="5" s="1"/>
  <c r="C44" i="5" a="1"/>
  <c r="C44" i="5" s="1"/>
  <c r="E134" i="2" s="1" a="1"/>
  <c r="E134" i="2" s="1"/>
  <c r="C75" i="4" a="1"/>
  <c r="C75" i="4" s="1"/>
  <c r="H162" i="7" a="1"/>
  <c r="H162" i="7" s="1"/>
  <c r="C366" i="4" a="1"/>
  <c r="C366" i="4" s="1"/>
  <c r="H105" i="4" a="1"/>
  <c r="H105" i="4" s="1"/>
  <c r="C105" i="4" s="1" a="1"/>
  <c r="C105" i="4" s="1"/>
  <c r="H50" i="6" a="1"/>
  <c r="H50" i="6" s="1"/>
  <c r="H97" i="5" a="1"/>
  <c r="H97" i="5" s="1"/>
  <c r="C171" i="5" a="1"/>
  <c r="C171" i="5" s="1"/>
  <c r="C131" i="4" a="1"/>
  <c r="C131" i="4" s="1"/>
  <c r="H32" i="6" a="1"/>
  <c r="H32" i="6" s="1"/>
  <c r="C32" i="6" s="1" a="1"/>
  <c r="C32" i="6" s="1"/>
  <c r="C131" i="6" a="1"/>
  <c r="C131" i="6" s="1"/>
  <c r="E511" i="2" s="1" a="1"/>
  <c r="E511" i="2" s="1"/>
  <c r="C42" i="8" a="1"/>
  <c r="C42" i="8" s="1"/>
  <c r="E119" i="2" s="1" a="1"/>
  <c r="E119" i="2" s="1"/>
  <c r="C94" i="8" a="1"/>
  <c r="C94" i="8" s="1"/>
  <c r="E249" i="2" s="1" a="1"/>
  <c r="E249" i="2" s="1"/>
  <c r="C40" i="4" a="1"/>
  <c r="C40" i="4" s="1"/>
  <c r="H86" i="7" a="1"/>
  <c r="H86" i="7" s="1"/>
  <c r="C86" i="7" s="1" a="1"/>
  <c r="C86" i="7" s="1"/>
  <c r="E305" i="2" s="1" a="1"/>
  <c r="E305" i="2" s="1"/>
  <c r="H61" i="9" a="1"/>
  <c r="H61" i="9" s="1"/>
  <c r="H170" i="7" a="1"/>
  <c r="H170" i="7" s="1"/>
  <c r="C170" i="7" s="1" a="1"/>
  <c r="C170" i="7" s="1"/>
  <c r="E583" i="2" s="1" a="1"/>
  <c r="E583" i="2" s="1"/>
  <c r="H382" i="4" a="1"/>
  <c r="H382" i="4" s="1"/>
  <c r="C98" i="8" a="1"/>
  <c r="C98" i="8" s="1"/>
  <c r="E254" i="2" s="1" a="1"/>
  <c r="E254" i="2" s="1"/>
  <c r="C102" i="8" a="1"/>
  <c r="C102" i="8" s="1"/>
  <c r="E259" i="2" s="1" a="1"/>
  <c r="E259" i="2" s="1"/>
  <c r="H14" i="8" a="1"/>
  <c r="H14" i="8" s="1"/>
  <c r="C62" i="5" a="1"/>
  <c r="C62" i="5" s="1"/>
  <c r="E217" i="2" s="1" a="1"/>
  <c r="E217" i="2" s="1"/>
  <c r="H78" i="6" a="1"/>
  <c r="H78" i="6" s="1"/>
  <c r="C78" i="6" s="1" a="1"/>
  <c r="C78" i="6" s="1"/>
  <c r="E326" i="2" s="1" a="1"/>
  <c r="E326" i="2" s="1"/>
  <c r="H72" i="4" a="1"/>
  <c r="H72" i="4" s="1"/>
  <c r="C199" i="8" a="1"/>
  <c r="C199" i="8" s="1"/>
  <c r="E494" i="2" s="1" a="1"/>
  <c r="E494" i="2" s="1"/>
  <c r="H220" i="4" a="1"/>
  <c r="H220" i="4" s="1"/>
  <c r="C220" i="4" s="1" a="1"/>
  <c r="C220" i="4" s="1"/>
  <c r="H112" i="4" a="1"/>
  <c r="H112" i="4" s="1"/>
  <c r="C134" i="6" a="1"/>
  <c r="C134" i="6" s="1"/>
  <c r="E515" i="2" s="1" a="1"/>
  <c r="E515" i="2" s="1"/>
  <c r="C42" i="4" a="1"/>
  <c r="C42" i="4" s="1"/>
  <c r="C50" i="7" a="1"/>
  <c r="C50" i="7" s="1"/>
  <c r="E152" i="2" s="1" a="1"/>
  <c r="E152" i="2" s="1"/>
  <c r="H17" i="9" a="1"/>
  <c r="H17" i="9" s="1"/>
  <c r="H80" i="7" a="1"/>
  <c r="H80" i="7" s="1"/>
  <c r="C80" i="7" s="1" a="1"/>
  <c r="C80" i="7" s="1"/>
  <c r="E276" i="2" s="1" a="1"/>
  <c r="E276" i="2" s="1"/>
  <c r="H120" i="6" a="1"/>
  <c r="H120" i="6" s="1"/>
  <c r="H355" i="4" a="1"/>
  <c r="H355" i="4" s="1"/>
  <c r="C355" i="4" s="1" a="1"/>
  <c r="C355" i="4" s="1"/>
  <c r="C187" i="5" a="1"/>
  <c r="C187" i="5" s="1"/>
  <c r="H95" i="8" a="1"/>
  <c r="H95" i="8" s="1"/>
  <c r="H171" i="4" a="1"/>
  <c r="H171" i="4" s="1"/>
  <c r="H100" i="5" a="1"/>
  <c r="H100" i="5" s="1"/>
  <c r="C204" i="7" a="1"/>
  <c r="C204" i="7" s="1"/>
  <c r="E659" i="2" s="1" a="1"/>
  <c r="E659" i="2" s="1"/>
  <c r="C256" i="4" a="1"/>
  <c r="C256" i="4" s="1"/>
  <c r="H4" i="6" a="1"/>
  <c r="H4" i="6" s="1"/>
  <c r="C4" i="6" s="1" a="1"/>
  <c r="C4" i="6" s="1"/>
  <c r="E16" i="2" s="1" a="1"/>
  <c r="E16" i="2" s="1"/>
  <c r="H181" i="7" a="1"/>
  <c r="H181" i="7" s="1"/>
  <c r="H345" i="4" a="1"/>
  <c r="H345" i="4" s="1"/>
  <c r="H186" i="6" a="1"/>
  <c r="H186" i="6" s="1"/>
  <c r="H41" i="5" a="1"/>
  <c r="H41" i="5" s="1"/>
  <c r="H42" i="7" a="1"/>
  <c r="H42" i="7" s="1"/>
  <c r="C42" i="7" s="1" a="1"/>
  <c r="C42" i="7" s="1"/>
  <c r="E138" i="2" s="1" a="1"/>
  <c r="E138" i="2" s="1"/>
  <c r="H108" i="6" a="1"/>
  <c r="H108" i="6" s="1"/>
  <c r="H92" i="8" a="1"/>
  <c r="H92" i="8" s="1"/>
  <c r="H99" i="4" a="1"/>
  <c r="H99" i="4" s="1"/>
  <c r="C99" i="4" s="1" a="1"/>
  <c r="C99" i="4" s="1"/>
  <c r="H325" i="4" a="1"/>
  <c r="H325" i="4" s="1"/>
  <c r="C325" i="4" s="1" a="1"/>
  <c r="C325" i="4" s="1"/>
  <c r="H28" i="4" a="1"/>
  <c r="H28" i="4" s="1"/>
  <c r="H192" i="4" a="1"/>
  <c r="H192" i="4" s="1"/>
  <c r="H194" i="8" a="1"/>
  <c r="H194" i="8" s="1"/>
  <c r="H149" i="5" a="1"/>
  <c r="H149" i="5" s="1"/>
  <c r="H167" i="8" a="1"/>
  <c r="H167" i="8" s="1"/>
  <c r="H209" i="6" a="1"/>
  <c r="H209" i="6" s="1"/>
  <c r="C209" i="6" s="1" a="1"/>
  <c r="C209" i="6" s="1"/>
  <c r="H9" i="7" a="1"/>
  <c r="H9" i="7" s="1"/>
  <c r="H183" i="4" a="1"/>
  <c r="H183" i="4" s="1"/>
  <c r="H72" i="8" a="1"/>
  <c r="H72" i="8" s="1"/>
  <c r="C72" i="8" s="1" a="1"/>
  <c r="C72" i="8" s="1"/>
  <c r="E203" i="2" s="1" a="1"/>
  <c r="E203" i="2" s="1"/>
  <c r="H48" i="4" a="1"/>
  <c r="H48" i="4" s="1"/>
  <c r="H107" i="4" a="1"/>
  <c r="H107" i="4" s="1"/>
  <c r="C107" i="4" s="1" a="1"/>
  <c r="C107" i="4" s="1"/>
  <c r="H37" i="5" a="1"/>
  <c r="H37" i="5" s="1"/>
  <c r="C37" i="5" s="1" a="1"/>
  <c r="C37" i="5" s="1"/>
  <c r="H188" i="8" a="1"/>
  <c r="H188" i="8" s="1"/>
  <c r="H44" i="9" a="1"/>
  <c r="H44" i="9" s="1"/>
  <c r="H170" i="5" a="1"/>
  <c r="H170" i="5" s="1"/>
  <c r="C170" i="5" s="1" a="1"/>
  <c r="C170" i="5" s="1"/>
  <c r="E569" i="2" s="1" a="1"/>
  <c r="E569" i="2" s="1"/>
  <c r="H205" i="7" a="1"/>
  <c r="H205" i="7" s="1"/>
  <c r="H103" i="6" a="1"/>
  <c r="H103" i="6" s="1"/>
  <c r="C103" i="6" s="1" a="1"/>
  <c r="C103" i="6" s="1"/>
  <c r="H153" i="7" a="1"/>
  <c r="H153" i="7" s="1"/>
  <c r="H46" i="4" a="1"/>
  <c r="H46" i="4" s="1"/>
  <c r="H207" i="7" a="1"/>
  <c r="H207" i="7" s="1"/>
  <c r="C207" i="7" s="1" a="1"/>
  <c r="C207" i="7" s="1"/>
  <c r="E664" i="2" s="1" a="1"/>
  <c r="E664" i="2" s="1"/>
  <c r="H227" i="4" a="1"/>
  <c r="H227" i="4" s="1"/>
  <c r="C227" i="4" s="1" a="1"/>
  <c r="C227" i="4" s="1"/>
  <c r="H125" i="4" a="1"/>
  <c r="H125" i="4" s="1"/>
  <c r="C125" i="4" s="1" a="1"/>
  <c r="C125" i="4" s="1"/>
  <c r="H153" i="8" a="1"/>
  <c r="H153" i="8" s="1"/>
  <c r="H133" i="5" a="1"/>
  <c r="H133" i="5" s="1"/>
  <c r="H407" i="4" a="1"/>
  <c r="H407" i="4" s="1"/>
  <c r="C407" i="4" s="1" a="1"/>
  <c r="C407" i="4" s="1"/>
  <c r="H185" i="4" a="1"/>
  <c r="H185" i="4" s="1"/>
  <c r="H80" i="5" a="1"/>
  <c r="H80" i="5" s="1"/>
  <c r="C80" i="5" s="1" a="1"/>
  <c r="C80" i="5" s="1"/>
  <c r="H314" i="4" a="1"/>
  <c r="H314" i="4" s="1"/>
  <c r="H49" i="6" a="1"/>
  <c r="H49" i="6" s="1"/>
  <c r="H18" i="6" a="1"/>
  <c r="H18" i="6" s="1"/>
  <c r="C18" i="6" s="1" a="1"/>
  <c r="C18" i="6" s="1"/>
  <c r="H141" i="5" a="1"/>
  <c r="H141" i="5" s="1"/>
  <c r="H25" i="8" a="1"/>
  <c r="H25" i="8" s="1"/>
  <c r="C25" i="8" s="1" a="1"/>
  <c r="C25" i="8" s="1"/>
  <c r="E59" i="2" s="1" a="1"/>
  <c r="E59" i="2" s="1"/>
  <c r="H8" i="5" a="1"/>
  <c r="H8" i="5" s="1"/>
  <c r="C8" i="5" s="1" a="1"/>
  <c r="C8" i="5" s="1"/>
  <c r="E13" i="2" s="1" a="1"/>
  <c r="E13" i="2" s="1"/>
  <c r="H392" i="4" a="1"/>
  <c r="H392" i="4" s="1"/>
  <c r="H20" i="8" a="1"/>
  <c r="H20" i="8" s="1"/>
  <c r="C20" i="8" s="1" a="1"/>
  <c r="C20" i="8" s="1"/>
  <c r="E43" i="2" s="1" a="1"/>
  <c r="E43" i="2" s="1"/>
  <c r="H386" i="4" a="1"/>
  <c r="H386" i="4" s="1"/>
  <c r="C386" i="4" s="1" a="1"/>
  <c r="C386" i="4" s="1"/>
  <c r="H37" i="4" a="1"/>
  <c r="H37" i="4" s="1"/>
  <c r="C37" i="4" s="1" a="1"/>
  <c r="C37" i="4" s="1"/>
  <c r="H144" i="4" a="1"/>
  <c r="H144" i="4" s="1"/>
  <c r="C144" i="4" s="1" a="1"/>
  <c r="C144" i="4" s="1"/>
  <c r="H101" i="5" a="1"/>
  <c r="H101" i="5" s="1"/>
  <c r="H374" i="4" a="1"/>
  <c r="H374" i="4" s="1"/>
  <c r="H82" i="5" a="1"/>
  <c r="H82" i="5" s="1"/>
  <c r="C82" i="5" s="1" a="1"/>
  <c r="C82" i="5" s="1"/>
  <c r="E301" i="2" s="1" a="1"/>
  <c r="E301" i="2" s="1"/>
  <c r="H170" i="8" a="1"/>
  <c r="H170" i="8" s="1"/>
  <c r="C170" i="8" s="1" a="1"/>
  <c r="C170" i="8" s="1"/>
  <c r="E398" i="2" s="1" a="1"/>
  <c r="E398" i="2" s="1"/>
  <c r="H85" i="5" a="1"/>
  <c r="H85" i="5" s="1"/>
  <c r="C85" i="5" s="1" a="1"/>
  <c r="C85" i="5" s="1"/>
  <c r="H126" i="8" a="1"/>
  <c r="H126" i="8" s="1"/>
  <c r="H198" i="8" a="1"/>
  <c r="H198" i="8" s="1"/>
  <c r="C198" i="8" s="1" a="1"/>
  <c r="C198" i="8" s="1"/>
  <c r="E486" i="2" s="1" a="1"/>
  <c r="E486" i="2" s="1"/>
  <c r="H24" i="6" a="1"/>
  <c r="H24" i="6" s="1"/>
  <c r="C24" i="6" s="1" a="1"/>
  <c r="C24" i="6" s="1"/>
  <c r="E101" i="2" s="1" a="1"/>
  <c r="E101" i="2" s="1"/>
  <c r="H107" i="7" a="1"/>
  <c r="H107" i="7" s="1"/>
  <c r="C107" i="7" s="1" a="1"/>
  <c r="C107" i="7" s="1"/>
  <c r="E396" i="2" s="1" a="1"/>
  <c r="E396" i="2" s="1"/>
  <c r="H190" i="6" a="1"/>
  <c r="H190" i="6" s="1"/>
  <c r="C190" i="6" s="1" a="1"/>
  <c r="C190" i="6" s="1"/>
  <c r="H101" i="8" a="1"/>
  <c r="H101" i="8" s="1"/>
  <c r="H61" i="4" a="1"/>
  <c r="H61" i="4" s="1"/>
  <c r="C61" i="4" s="1" a="1"/>
  <c r="C61" i="4" s="1"/>
  <c r="H8" i="7" a="1"/>
  <c r="H8" i="7" s="1"/>
  <c r="C8" i="7" s="1" a="1"/>
  <c r="C8" i="7" s="1"/>
  <c r="E29" i="2" s="1" a="1"/>
  <c r="E29" i="2" s="1"/>
  <c r="H89" i="7" a="1"/>
  <c r="H89" i="7" s="1"/>
  <c r="H352" i="4" a="1"/>
  <c r="H352" i="4" s="1"/>
  <c r="H116" i="6" a="1"/>
  <c r="H116" i="6" s="1"/>
  <c r="C116" i="6" s="1" a="1"/>
  <c r="C116" i="6" s="1"/>
  <c r="H103" i="5" a="1"/>
  <c r="H103" i="5" s="1"/>
  <c r="C103" i="5" s="1" a="1"/>
  <c r="C103" i="5" s="1"/>
  <c r="H3" i="4" a="1"/>
  <c r="H3" i="4" s="1"/>
  <c r="H133" i="7" a="1"/>
  <c r="H133" i="7" s="1"/>
  <c r="H19" i="7" a="1"/>
  <c r="H19" i="7" s="1"/>
  <c r="H278" i="4" a="1"/>
  <c r="H278" i="4" s="1"/>
  <c r="C278" i="4" s="1" a="1"/>
  <c r="C278" i="4" s="1"/>
  <c r="H28" i="8" a="1"/>
  <c r="H28" i="8" s="1"/>
  <c r="C28" i="8" s="1" a="1"/>
  <c r="C28" i="8" s="1"/>
  <c r="E74" i="2" s="1" a="1"/>
  <c r="E74" i="2" s="1"/>
  <c r="H166" i="7" a="1"/>
  <c r="H166" i="7" s="1"/>
  <c r="C166" i="7" s="1" a="1"/>
  <c r="C166" i="7" s="1"/>
  <c r="E568" i="2" s="1" a="1"/>
  <c r="E568" i="2" s="1"/>
  <c r="H136" i="5" a="1"/>
  <c r="H136" i="5" s="1"/>
  <c r="C136" i="5" s="1" a="1"/>
  <c r="C136" i="5" s="1"/>
  <c r="E500" i="2" s="1" a="1"/>
  <c r="E500" i="2" s="1"/>
  <c r="H168" i="6" a="1"/>
  <c r="H168" i="6" s="1"/>
  <c r="H53" i="7" a="1"/>
  <c r="H53" i="7" s="1"/>
  <c r="C53" i="7" s="1" a="1"/>
  <c r="C53" i="7" s="1"/>
  <c r="E167" i="2" s="1" a="1"/>
  <c r="E167" i="2" s="1"/>
  <c r="H147" i="7" a="1"/>
  <c r="H147" i="7" s="1"/>
  <c r="C147" i="7" s="1" a="1"/>
  <c r="C147" i="7" s="1"/>
  <c r="E517" i="2" s="1" a="1"/>
  <c r="E517" i="2" s="1"/>
  <c r="H65" i="4" a="1"/>
  <c r="H65" i="4" s="1"/>
  <c r="H158" i="5" a="1"/>
  <c r="H158" i="5" s="1"/>
  <c r="H84" i="7" a="1"/>
  <c r="H84" i="7" s="1"/>
  <c r="C84" i="7" s="1" a="1"/>
  <c r="C84" i="7" s="1"/>
  <c r="E287" i="2" s="1" a="1"/>
  <c r="E287" i="2" s="1"/>
  <c r="H372" i="4" a="1"/>
  <c r="H372" i="4" s="1"/>
  <c r="H165" i="5" a="1"/>
  <c r="H165" i="5" s="1"/>
  <c r="H87" i="5" a="1"/>
  <c r="H87" i="5" s="1"/>
  <c r="C87" i="5" s="1" a="1"/>
  <c r="C87" i="5" s="1"/>
  <c r="H312" i="4" a="1"/>
  <c r="H312" i="4" s="1"/>
  <c r="H187" i="7" a="1"/>
  <c r="H187" i="7" s="1"/>
  <c r="C187" i="7" s="1" a="1"/>
  <c r="C187" i="7" s="1"/>
  <c r="E606" i="2" s="1" a="1"/>
  <c r="E606" i="2" s="1"/>
  <c r="C35" i="4" a="1"/>
  <c r="C35" i="4" s="1"/>
  <c r="C258" i="4" a="1"/>
  <c r="C258" i="4" s="1"/>
  <c r="H44" i="6" a="1"/>
  <c r="H44" i="6" s="1"/>
  <c r="C44" i="6" s="1" a="1"/>
  <c r="C44" i="6" s="1"/>
  <c r="E172" i="2" s="1" a="1"/>
  <c r="E172" i="2" s="1"/>
  <c r="H91" i="7" a="1"/>
  <c r="H91" i="7" s="1"/>
  <c r="C91" i="7" s="1" a="1"/>
  <c r="C91" i="7" s="1"/>
  <c r="E335" i="2" s="1" a="1"/>
  <c r="E335" i="2" s="1"/>
  <c r="H181" i="4" a="1"/>
  <c r="H181" i="4" s="1"/>
  <c r="C181" i="4" s="1" a="1"/>
  <c r="C181" i="4" s="1"/>
  <c r="C26" i="7" a="1"/>
  <c r="C26" i="7" s="1"/>
  <c r="E85" i="2" s="1" a="1"/>
  <c r="E85" i="2" s="1"/>
  <c r="H52" i="5" a="1"/>
  <c r="H52" i="5" s="1"/>
  <c r="C52" i="5" s="1" a="1"/>
  <c r="C52" i="5" s="1"/>
  <c r="H158" i="6" a="1"/>
  <c r="H158" i="6" s="1"/>
  <c r="C5" i="7" a="1"/>
  <c r="C5" i="7" s="1"/>
  <c r="E17" i="2" s="1" a="1"/>
  <c r="E17" i="2" s="1"/>
  <c r="H371" i="4" a="1"/>
  <c r="H371" i="4" s="1"/>
  <c r="H84" i="5" a="1"/>
  <c r="H84" i="5" s="1"/>
  <c r="C84" i="5" s="1" a="1"/>
  <c r="C84" i="5" s="1"/>
  <c r="E317" i="2" s="1" a="1"/>
  <c r="E317" i="2" s="1"/>
  <c r="H13" i="9" a="1"/>
  <c r="H13" i="9" s="1"/>
  <c r="H131" i="7" a="1"/>
  <c r="H131" i="7" s="1"/>
  <c r="H58" i="4" a="1"/>
  <c r="H58" i="4" s="1"/>
  <c r="C197" i="7" a="1"/>
  <c r="C197" i="7" s="1"/>
  <c r="E637" i="2" s="1" a="1"/>
  <c r="E637" i="2" s="1"/>
  <c r="H6" i="4" a="1"/>
  <c r="H6" i="4" s="1"/>
  <c r="H53" i="4" a="1"/>
  <c r="H53" i="4" s="1"/>
  <c r="H210" i="4" a="1"/>
  <c r="H210" i="4" s="1"/>
  <c r="H51" i="6" a="1"/>
  <c r="H51" i="6" s="1"/>
  <c r="C51" i="6" s="1" a="1"/>
  <c r="C51" i="6" s="1"/>
  <c r="C146" i="4" a="1"/>
  <c r="C146" i="4" s="1"/>
  <c r="H59" i="7" a="1"/>
  <c r="H59" i="7" s="1"/>
  <c r="C59" i="7" s="1" a="1"/>
  <c r="C59" i="7" s="1"/>
  <c r="E191" i="2" s="1" a="1"/>
  <c r="E191" i="2" s="1"/>
  <c r="H101" i="6" a="1"/>
  <c r="H101" i="6" s="1"/>
  <c r="H40" i="7" a="1"/>
  <c r="H40" i="7" s="1"/>
  <c r="H108" i="4" a="1"/>
  <c r="H108" i="4" s="1"/>
  <c r="C108" i="4" s="1" a="1"/>
  <c r="C108" i="4" s="1"/>
  <c r="C322" i="4" a="1"/>
  <c r="C322" i="4" s="1"/>
  <c r="H233" i="4" a="1"/>
  <c r="H233" i="4" s="1"/>
  <c r="H110" i="8" a="1"/>
  <c r="H110" i="8" s="1"/>
  <c r="C110" i="8" s="1" a="1"/>
  <c r="C110" i="8" s="1"/>
  <c r="E274" i="2" s="1" a="1"/>
  <c r="E274" i="2" s="1"/>
  <c r="H200" i="7" a="1"/>
  <c r="H200" i="7" s="1"/>
  <c r="C70" i="7" a="1"/>
  <c r="C70" i="7" s="1"/>
  <c r="E228" i="2" s="1" a="1"/>
  <c r="E228" i="2" s="1"/>
  <c r="C399" i="4" a="1"/>
  <c r="C399" i="4" s="1"/>
  <c r="H9" i="9" a="1"/>
  <c r="H9" i="9" s="1"/>
  <c r="H27" i="9" a="1"/>
  <c r="H27" i="9" s="1"/>
  <c r="C319" i="4" a="1"/>
  <c r="C319" i="4" s="1"/>
  <c r="C106" i="8" a="1"/>
  <c r="C106" i="8" s="1"/>
  <c r="E268" i="2" s="1" a="1"/>
  <c r="E268" i="2" s="1"/>
  <c r="H41" i="7" a="1"/>
  <c r="H41" i="7" s="1"/>
  <c r="C41" i="7" s="1" a="1"/>
  <c r="C41" i="7" s="1"/>
  <c r="E137" i="2" s="1" a="1"/>
  <c r="E137" i="2" s="1"/>
  <c r="H110" i="5" a="1"/>
  <c r="H110" i="5" s="1"/>
  <c r="C60" i="8" a="1"/>
  <c r="C60" i="8" s="1"/>
  <c r="E177" i="2" s="1" a="1"/>
  <c r="E177" i="2" s="1"/>
  <c r="C133" i="5" a="1"/>
  <c r="C133" i="5" s="1"/>
  <c r="H55" i="6" a="1"/>
  <c r="H55" i="6" s="1"/>
  <c r="H71" i="8" a="1"/>
  <c r="H71" i="8" s="1"/>
  <c r="C71" i="8" s="1" a="1"/>
  <c r="C71" i="8" s="1"/>
  <c r="E201" i="2" s="1" a="1"/>
  <c r="E201" i="2" s="1"/>
  <c r="H191" i="4" a="1"/>
  <c r="H191" i="4" s="1"/>
  <c r="C191" i="4" s="1" a="1"/>
  <c r="C191" i="4" s="1"/>
  <c r="C289" i="4" a="1"/>
  <c r="C289" i="4" s="1"/>
  <c r="C312" i="4" a="1"/>
  <c r="C312" i="4" s="1"/>
  <c r="C33" i="7" a="1"/>
  <c r="C33" i="7" s="1"/>
  <c r="E118" i="2" s="1" a="1"/>
  <c r="E118" i="2" s="1"/>
  <c r="C157" i="8" a="1"/>
  <c r="C157" i="8" s="1"/>
  <c r="E366" i="2" s="1" a="1"/>
  <c r="E366" i="2" s="1"/>
  <c r="C12" i="8" a="1"/>
  <c r="C12" i="8" s="1"/>
  <c r="E25" i="2" s="1" a="1"/>
  <c r="E25" i="2" s="1"/>
  <c r="H185" i="5" a="1"/>
  <c r="H185" i="5" s="1"/>
  <c r="C185" i="5" s="1" a="1"/>
  <c r="C185" i="5" s="1"/>
  <c r="C14" i="8" a="1"/>
  <c r="C14" i="8" s="1"/>
  <c r="E31" i="2" s="1" a="1"/>
  <c r="E31" i="2" s="1"/>
  <c r="H86" i="5" a="1"/>
  <c r="H86" i="5" s="1"/>
  <c r="C86" i="5" s="1" a="1"/>
  <c r="C86" i="5" s="1"/>
  <c r="C6" i="7" a="1"/>
  <c r="C6" i="7" s="1"/>
  <c r="E18" i="2" s="1" a="1"/>
  <c r="E18" i="2" s="1"/>
  <c r="C6" i="3" s="1" a="1"/>
  <c r="C6" i="3" s="1"/>
  <c r="H117" i="7" a="1"/>
  <c r="H117" i="7" s="1"/>
  <c r="C69" i="5" a="1"/>
  <c r="C69" i="5" s="1"/>
  <c r="C232" i="4" a="1"/>
  <c r="C232" i="4" s="1"/>
  <c r="C139" i="7" a="1"/>
  <c r="C139" i="7" s="1"/>
  <c r="E484" i="2" s="1" a="1"/>
  <c r="E484" i="2" s="1"/>
  <c r="H7" i="5" a="1"/>
  <c r="H7" i="5" s="1"/>
  <c r="C7" i="5" s="1" a="1"/>
  <c r="C7" i="5" s="1"/>
  <c r="C58" i="4" a="1"/>
  <c r="C58" i="4" s="1"/>
  <c r="C375" i="4" a="1"/>
  <c r="C375" i="4" s="1"/>
  <c r="H178" i="5" a="1"/>
  <c r="H178" i="5" s="1"/>
  <c r="C178" i="5" s="1" a="1"/>
  <c r="C178" i="5" s="1"/>
  <c r="H357" i="4" a="1"/>
  <c r="H357" i="4" s="1"/>
  <c r="C357" i="4" s="1" a="1"/>
  <c r="C357" i="4" s="1"/>
  <c r="H39" i="4" a="1"/>
  <c r="H39" i="4" s="1"/>
  <c r="H15" i="9" a="1"/>
  <c r="H15" i="9" s="1"/>
  <c r="H405" i="4" a="1"/>
  <c r="H405" i="4" s="1"/>
  <c r="H53" i="5" a="1"/>
  <c r="H53" i="5" s="1"/>
  <c r="H176" i="7" a="1"/>
  <c r="H176" i="7" s="1"/>
  <c r="C176" i="7" s="1" a="1"/>
  <c r="C176" i="7" s="1"/>
  <c r="E590" i="2" s="1" a="1"/>
  <c r="E590" i="2" s="1"/>
  <c r="H16" i="7" a="1"/>
  <c r="H16" i="7" s="1"/>
  <c r="H111" i="7" a="1"/>
  <c r="H111" i="7" s="1"/>
  <c r="H49" i="9" a="1"/>
  <c r="H49" i="9" s="1"/>
  <c r="H148" i="6" a="1"/>
  <c r="H148" i="6" s="1"/>
  <c r="H84" i="8" a="1"/>
  <c r="H84" i="8" s="1"/>
  <c r="H209" i="7" a="1"/>
  <c r="H209" i="7" s="1"/>
  <c r="H33" i="9" a="1"/>
  <c r="H33" i="9" s="1"/>
  <c r="H104" i="7" a="1"/>
  <c r="H104" i="7" s="1"/>
  <c r="C104" i="7" s="1" a="1"/>
  <c r="C104" i="7" s="1"/>
  <c r="E383" i="2" s="1" a="1"/>
  <c r="E383" i="2" s="1"/>
  <c r="H198" i="4" a="1"/>
  <c r="H198" i="4" s="1"/>
  <c r="H26" i="5" a="1"/>
  <c r="H26" i="5" s="1"/>
  <c r="H56" i="5" a="1"/>
  <c r="H56" i="5" s="1"/>
  <c r="C56" i="5" s="1" a="1"/>
  <c r="C56" i="5" s="1"/>
  <c r="E185" i="2" s="1" a="1"/>
  <c r="E185" i="2" s="1"/>
  <c r="H67" i="4" a="1"/>
  <c r="H67" i="4" s="1"/>
  <c r="H50" i="8" a="1"/>
  <c r="H50" i="8" s="1"/>
  <c r="H106" i="4" a="1"/>
  <c r="H106" i="4" s="1"/>
  <c r="H105" i="5" a="1"/>
  <c r="H105" i="5" s="1"/>
  <c r="C105" i="5" s="1" a="1"/>
  <c r="C105" i="5" s="1"/>
  <c r="E420" i="2" s="1" a="1"/>
  <c r="E420" i="2" s="1"/>
  <c r="H119" i="8" a="1"/>
  <c r="H119" i="8" s="1"/>
  <c r="H234" i="4" a="1"/>
  <c r="H234" i="4" s="1"/>
  <c r="C234" i="4" s="1" a="1"/>
  <c r="C234" i="4" s="1"/>
  <c r="H4" i="9" a="1"/>
  <c r="H4" i="9" s="1"/>
  <c r="H115" i="7" a="1"/>
  <c r="H115" i="7" s="1"/>
  <c r="C115" i="7" s="1" a="1"/>
  <c r="C115" i="7" s="1"/>
  <c r="E422" i="2" s="1" a="1"/>
  <c r="E422" i="2" s="1"/>
  <c r="H87" i="8" a="1"/>
  <c r="H87" i="8" s="1"/>
  <c r="H44" i="8" a="1"/>
  <c r="H44" i="8" s="1"/>
  <c r="H24" i="5" a="1"/>
  <c r="H24" i="5" s="1"/>
  <c r="H170" i="4" a="1"/>
  <c r="H170" i="4" s="1"/>
  <c r="C170" i="4" s="1" a="1"/>
  <c r="C170" i="4" s="1"/>
  <c r="H118" i="6" a="1"/>
  <c r="H118" i="6" s="1"/>
  <c r="C118" i="6" s="1" a="1"/>
  <c r="C118" i="6" s="1"/>
  <c r="H63" i="6" a="1"/>
  <c r="H63" i="6" s="1"/>
  <c r="C63" i="6" s="1" a="1"/>
  <c r="C63" i="6" s="1"/>
  <c r="H41" i="4" a="1"/>
  <c r="H41" i="4" s="1"/>
  <c r="C41" i="4" s="1" a="1"/>
  <c r="C41" i="4" s="1"/>
  <c r="H81" i="4" a="1"/>
  <c r="H81" i="4" s="1"/>
  <c r="C81" i="4" s="1" a="1"/>
  <c r="C81" i="4" s="1"/>
  <c r="H129" i="4" a="1"/>
  <c r="H129" i="4" s="1"/>
  <c r="C129" i="4" s="1" a="1"/>
  <c r="C129" i="4" s="1"/>
  <c r="H106" i="7" a="1"/>
  <c r="H106" i="7" s="1"/>
  <c r="C106" i="7" s="1" a="1"/>
  <c r="C106" i="7" s="1"/>
  <c r="E394" i="2" s="1" a="1"/>
  <c r="E394" i="2" s="1"/>
  <c r="H90" i="7" a="1"/>
  <c r="H90" i="7" s="1"/>
  <c r="C90" i="7" s="1" a="1"/>
  <c r="C90" i="7" s="1"/>
  <c r="E327" i="2" s="1" a="1"/>
  <c r="E327" i="2" s="1"/>
  <c r="H168" i="5" a="1"/>
  <c r="H168" i="5" s="1"/>
  <c r="C168" i="5" s="1" a="1"/>
  <c r="C168" i="5" s="1"/>
  <c r="E563" i="2" s="1" a="1"/>
  <c r="E563" i="2" s="1"/>
  <c r="H58" i="7" a="1"/>
  <c r="H58" i="7" s="1"/>
  <c r="H86" i="8" a="1"/>
  <c r="H86" i="8" s="1"/>
  <c r="H323" i="4" a="1"/>
  <c r="H323" i="4" s="1"/>
  <c r="C323" i="4" s="1" a="1"/>
  <c r="C323" i="4" s="1"/>
  <c r="H173" i="4" a="1"/>
  <c r="H173" i="4" s="1"/>
  <c r="C173" i="4" s="1" a="1"/>
  <c r="C173" i="4" s="1"/>
  <c r="H205" i="6" a="1"/>
  <c r="H205" i="6" s="1"/>
  <c r="H202" i="6" a="1"/>
  <c r="H202" i="6" s="1"/>
  <c r="C202" i="6" s="1" a="1"/>
  <c r="C202" i="6" s="1"/>
  <c r="E656" i="2" s="1" a="1"/>
  <c r="E656" i="2" s="1"/>
  <c r="H20" i="6" a="1"/>
  <c r="H20" i="6" s="1"/>
  <c r="C20" i="6" s="1" a="1"/>
  <c r="C20" i="6" s="1"/>
  <c r="H85" i="7" a="1"/>
  <c r="H85" i="7" s="1"/>
  <c r="C85" i="7" s="1" a="1"/>
  <c r="C85" i="7" s="1"/>
  <c r="E290" i="2" s="1" a="1"/>
  <c r="E290" i="2" s="1"/>
  <c r="H105" i="6" a="1"/>
  <c r="H105" i="6" s="1"/>
  <c r="H193" i="5" a="1"/>
  <c r="H193" i="5" s="1"/>
  <c r="C193" i="5" s="1" a="1"/>
  <c r="C193" i="5" s="1"/>
  <c r="E617" i="2" s="1" a="1"/>
  <c r="E617" i="2" s="1"/>
  <c r="H130" i="4" a="1"/>
  <c r="H130" i="4" s="1"/>
  <c r="H93" i="7" a="1"/>
  <c r="H93" i="7" s="1"/>
  <c r="C93" i="7" s="1" a="1"/>
  <c r="C93" i="7" s="1"/>
  <c r="E344" i="2" s="1" a="1"/>
  <c r="E344" i="2" s="1"/>
  <c r="H29" i="5" a="1"/>
  <c r="H29" i="5" s="1"/>
  <c r="C29" i="5" s="1" a="1"/>
  <c r="C29" i="5" s="1"/>
  <c r="H93" i="5" a="1"/>
  <c r="H93" i="5" s="1"/>
  <c r="C93" i="5" s="1" a="1"/>
  <c r="C93" i="5" s="1"/>
  <c r="H192" i="7" a="1"/>
  <c r="H192" i="7" s="1"/>
  <c r="C192" i="7" s="1" a="1"/>
  <c r="C192" i="7" s="1"/>
  <c r="E627" i="2" s="1" a="1"/>
  <c r="E627" i="2" s="1"/>
  <c r="H33" i="5" a="1"/>
  <c r="H33" i="5" s="1"/>
  <c r="H275" i="4" a="1"/>
  <c r="H275" i="4" s="1"/>
  <c r="H22" i="8" a="1"/>
  <c r="H22" i="8" s="1"/>
  <c r="H182" i="5" a="1"/>
  <c r="H182" i="5" s="1"/>
  <c r="C182" i="5" s="1" a="1"/>
  <c r="C182" i="5" s="1"/>
  <c r="H272" i="4" a="1"/>
  <c r="H272" i="4" s="1"/>
  <c r="H128" i="7" a="1"/>
  <c r="H128" i="7" s="1"/>
  <c r="C128" i="7" s="1" a="1"/>
  <c r="C128" i="7" s="1"/>
  <c r="E460" i="2" s="1" a="1"/>
  <c r="E460" i="2" s="1"/>
  <c r="H106" i="6" a="1"/>
  <c r="H106" i="6" s="1"/>
  <c r="C106" i="6" s="1" a="1"/>
  <c r="C106" i="6" s="1"/>
  <c r="E445" i="2" s="1" a="1"/>
  <c r="E445" i="2" s="1"/>
  <c r="H3" i="5" a="1"/>
  <c r="H3" i="5" s="1"/>
  <c r="C3" i="5" s="1" a="1"/>
  <c r="C3" i="5" s="1"/>
  <c r="H368" i="4" a="1"/>
  <c r="H368" i="4" s="1"/>
  <c r="C368" i="4" s="1" a="1"/>
  <c r="C368" i="4" s="1"/>
  <c r="H172" i="8" a="1"/>
  <c r="H172" i="8" s="1"/>
  <c r="C172" i="8" s="1" a="1"/>
  <c r="C172" i="8" s="1"/>
  <c r="E401" i="2" s="1" a="1"/>
  <c r="E401" i="2" s="1"/>
  <c r="H58" i="8" a="1"/>
  <c r="H58" i="8" s="1"/>
  <c r="C58" i="8" s="1" a="1"/>
  <c r="C58" i="8" s="1"/>
  <c r="E174" i="2" s="1" a="1"/>
  <c r="E174" i="2" s="1"/>
  <c r="H147" i="5" a="1"/>
  <c r="H147" i="5" s="1"/>
  <c r="C147" i="5" s="1" a="1"/>
  <c r="C147" i="5" s="1"/>
  <c r="H181" i="8" a="1"/>
  <c r="H181" i="8" s="1"/>
  <c r="H99" i="8" a="1"/>
  <c r="H99" i="8" s="1"/>
  <c r="C99" i="8" s="1" a="1"/>
  <c r="C99" i="8" s="1"/>
  <c r="E255" i="2" s="1" a="1"/>
  <c r="E255" i="2" s="1"/>
  <c r="H21" i="4" a="1"/>
  <c r="H21" i="4" s="1"/>
  <c r="H171" i="7" a="1"/>
  <c r="H171" i="7" s="1"/>
  <c r="C171" i="7" s="1" a="1"/>
  <c r="C171" i="7" s="1"/>
  <c r="E584" i="2" s="1" a="1"/>
  <c r="E584" i="2" s="1"/>
  <c r="H304" i="4" a="1"/>
  <c r="H304" i="4" s="1"/>
  <c r="C304" i="4" s="1" a="1"/>
  <c r="C304" i="4" s="1"/>
  <c r="H177" i="4" a="1"/>
  <c r="H177" i="4" s="1"/>
  <c r="H179" i="4" a="1"/>
  <c r="H179" i="4" s="1"/>
  <c r="H37" i="8" a="1"/>
  <c r="H37" i="8" s="1"/>
  <c r="C37" i="8" s="1" a="1"/>
  <c r="C37" i="8" s="1"/>
  <c r="E105" i="2" s="1" a="1"/>
  <c r="E105" i="2" s="1"/>
  <c r="H36" i="5" a="1"/>
  <c r="H36" i="5" s="1"/>
  <c r="C36" i="5" s="1" a="1"/>
  <c r="C36" i="5" s="1"/>
  <c r="E110" i="2" s="1" a="1"/>
  <c r="E110" i="2" s="1"/>
  <c r="H153" i="6" a="1"/>
  <c r="H153" i="6" s="1"/>
  <c r="H192" i="5" a="1"/>
  <c r="H192" i="5" s="1"/>
  <c r="C192" i="5" s="1" a="1"/>
  <c r="C192" i="5" s="1"/>
  <c r="E614" i="2" s="1" a="1"/>
  <c r="E614" i="2" s="1"/>
  <c r="H117" i="4" a="1"/>
  <c r="H117" i="4" s="1"/>
  <c r="C117" i="4" s="1" a="1"/>
  <c r="C117" i="4" s="1"/>
  <c r="H164" i="7" a="1"/>
  <c r="H164" i="7" s="1"/>
  <c r="H363" i="4" a="1"/>
  <c r="H363" i="4" s="1"/>
  <c r="H87" i="6" a="1"/>
  <c r="H87" i="6" s="1"/>
  <c r="C87" i="6" s="1" a="1"/>
  <c r="C87" i="6" s="1"/>
  <c r="E373" i="2" s="1" a="1"/>
  <c r="E373" i="2" s="1"/>
  <c r="H166" i="6" a="1"/>
  <c r="H166" i="6" s="1"/>
  <c r="H128" i="4" a="1"/>
  <c r="H128" i="4" s="1"/>
  <c r="C128" i="4" s="1" a="1"/>
  <c r="C128" i="4" s="1"/>
  <c r="C110" i="6" a="1"/>
  <c r="C110" i="6" s="1"/>
  <c r="H114" i="6" a="1"/>
  <c r="H114" i="6" s="1"/>
  <c r="C114" i="6" s="1" a="1"/>
  <c r="C114" i="6" s="1"/>
  <c r="E466" i="2" s="1" a="1"/>
  <c r="E466" i="2" s="1"/>
  <c r="C28" i="4" a="1"/>
  <c r="C28" i="4" s="1"/>
  <c r="C148" i="8" a="1"/>
  <c r="C148" i="8" s="1"/>
  <c r="E352" i="2" s="1" a="1"/>
  <c r="E352" i="2" s="1"/>
  <c r="C124" i="6" a="1"/>
  <c r="C124" i="6" s="1"/>
  <c r="C52" i="4" a="1"/>
  <c r="C52" i="4" s="1"/>
  <c r="H64" i="9" a="1"/>
  <c r="H64" i="9" s="1"/>
  <c r="C211" i="4" a="1"/>
  <c r="C211" i="4" s="1"/>
  <c r="H14" i="9" a="1"/>
  <c r="H14" i="9" s="1"/>
  <c r="C160" i="8" a="1"/>
  <c r="C160" i="8" s="1"/>
  <c r="E376" i="2" s="1" a="1"/>
  <c r="E376" i="2" s="1"/>
  <c r="H101" i="7" a="1"/>
  <c r="H101" i="7" s="1"/>
  <c r="C101" i="7" s="1" a="1"/>
  <c r="C101" i="7" s="1"/>
  <c r="E371" i="2" s="1" a="1"/>
  <c r="E371" i="2" s="1"/>
  <c r="C365" i="4" a="1"/>
  <c r="C365" i="4" s="1"/>
  <c r="H5" i="9" a="1"/>
  <c r="H5" i="9" s="1"/>
  <c r="H285" i="4" a="1"/>
  <c r="H285" i="4" s="1"/>
  <c r="C285" i="4" s="1" a="1"/>
  <c r="C285" i="4" s="1"/>
  <c r="H63" i="4" a="1"/>
  <c r="H63" i="4" s="1"/>
  <c r="C63" i="4" s="1" a="1"/>
  <c r="C63" i="4" s="1"/>
  <c r="H54" i="9" a="1"/>
  <c r="H54" i="9" s="1"/>
  <c r="C283" i="4" a="1"/>
  <c r="C283" i="4" s="1"/>
  <c r="C100" i="4" a="1"/>
  <c r="C100" i="4" s="1"/>
  <c r="C171" i="8" a="1"/>
  <c r="C171" i="8" s="1"/>
  <c r="E400" i="2" s="1" a="1"/>
  <c r="E400" i="2" s="1"/>
  <c r="H7" i="9" a="1"/>
  <c r="H7" i="9" s="1"/>
  <c r="H55" i="9" a="1"/>
  <c r="H55" i="9" s="1"/>
  <c r="H253" i="4" a="1"/>
  <c r="H253" i="4" s="1"/>
  <c r="C253" i="4" s="1" a="1"/>
  <c r="C253" i="4" s="1"/>
  <c r="C173" i="8" a="1"/>
  <c r="C173" i="8" s="1"/>
  <c r="E409" i="2" s="1" a="1"/>
  <c r="E409" i="2" s="1"/>
  <c r="C374" i="4" a="1"/>
  <c r="C374" i="4" s="1"/>
  <c r="C193" i="6" a="1"/>
  <c r="C193" i="6" s="1"/>
  <c r="C52" i="7" a="1"/>
  <c r="C52" i="7" s="1"/>
  <c r="E166" i="2" s="1" a="1"/>
  <c r="E166" i="2" s="1"/>
  <c r="C160" i="7" a="1"/>
  <c r="C160" i="7" s="1"/>
  <c r="E555" i="2" s="1" a="1"/>
  <c r="E555" i="2" s="1"/>
  <c r="H201" i="4" a="1"/>
  <c r="H201" i="4" s="1"/>
  <c r="H196" i="6" a="1"/>
  <c r="H196" i="6" s="1"/>
  <c r="C196" i="6" s="1" a="1"/>
  <c r="C196" i="6" s="1"/>
  <c r="C195" i="8" a="1"/>
  <c r="C195" i="8" s="1"/>
  <c r="E474" i="2" s="1" a="1"/>
  <c r="E474" i="2" s="1"/>
  <c r="C192" i="6" a="1"/>
  <c r="C192" i="6" s="1"/>
  <c r="E640" i="2" s="1" a="1"/>
  <c r="E640" i="2" s="1"/>
  <c r="C192" i="4" a="1"/>
  <c r="C192" i="4" s="1"/>
  <c r="C106" i="4" a="1"/>
  <c r="C106" i="4" s="1"/>
  <c r="H47" i="9" a="1"/>
  <c r="H47" i="9" s="1"/>
  <c r="C103" i="4" a="1"/>
  <c r="C103" i="4" s="1"/>
  <c r="C200" i="5" a="1"/>
  <c r="C200" i="5" s="1"/>
  <c r="H32" i="5" a="1"/>
  <c r="H32" i="5" s="1"/>
  <c r="H5" i="5" a="1"/>
  <c r="H5" i="5" s="1"/>
  <c r="C5" i="5" s="1" a="1"/>
  <c r="C5" i="5" s="1"/>
  <c r="E8" i="2" s="1" a="1"/>
  <c r="E8" i="2" s="1"/>
  <c r="H25" i="6" a="1"/>
  <c r="H25" i="6" s="1"/>
  <c r="H119" i="7" a="1"/>
  <c r="H119" i="7" s="1"/>
  <c r="H60" i="7" a="1"/>
  <c r="H60" i="7" s="1"/>
  <c r="C60" i="7" s="1" a="1"/>
  <c r="C60" i="7" s="1"/>
  <c r="E194" i="2" s="1" a="1"/>
  <c r="E194" i="2" s="1"/>
  <c r="C145" i="4" a="1"/>
  <c r="C145" i="4" s="1"/>
  <c r="C127" i="8" a="1"/>
  <c r="C127" i="8" s="1"/>
  <c r="E309" i="2" s="1" a="1"/>
  <c r="E309" i="2" s="1"/>
  <c r="C198" i="6" a="1"/>
  <c r="C198" i="6" s="1"/>
  <c r="E645" i="2" s="1" a="1"/>
  <c r="E645" i="2" s="1"/>
  <c r="C16" i="5" a="1"/>
  <c r="C16" i="5" s="1"/>
  <c r="E46" i="2" s="1" a="1"/>
  <c r="E46" i="2" s="1"/>
  <c r="C143" i="5" a="1"/>
  <c r="C143" i="5" s="1"/>
  <c r="C28" i="5" a="1"/>
  <c r="C28" i="5" s="1"/>
  <c r="E88" i="2" s="1" a="1"/>
  <c r="E88" i="2" s="1"/>
  <c r="H196" i="4" a="1"/>
  <c r="H196" i="4" s="1"/>
  <c r="C196" i="4" s="1" a="1"/>
  <c r="C196" i="4" s="1"/>
  <c r="H57" i="5" a="1"/>
  <c r="H57" i="5" s="1"/>
  <c r="C57" i="5" s="1" a="1"/>
  <c r="C57" i="5" s="1"/>
  <c r="H300" i="4" a="1"/>
  <c r="H300" i="4" s="1"/>
  <c r="C300" i="4" s="1" a="1"/>
  <c r="C300" i="4" s="1"/>
  <c r="H155" i="4" a="1"/>
  <c r="H155" i="4" s="1"/>
  <c r="C22" i="8" a="1"/>
  <c r="C22" i="8" s="1"/>
  <c r="E53" i="2" s="1" a="1"/>
  <c r="E53" i="2" s="1"/>
  <c r="C76" i="8" a="1"/>
  <c r="C76" i="8" s="1"/>
  <c r="E216" i="2" s="1" a="1"/>
  <c r="E216" i="2" s="1"/>
  <c r="H25" i="9" a="1"/>
  <c r="H25" i="9" s="1"/>
  <c r="C122" i="7" a="1"/>
  <c r="C122" i="7" s="1"/>
  <c r="E446" i="2" s="1" a="1"/>
  <c r="E446" i="2" s="1"/>
  <c r="C195" i="4" a="1"/>
  <c r="C195" i="4" s="1"/>
  <c r="H121" i="6" a="1"/>
  <c r="H121" i="6" s="1"/>
  <c r="H45" i="9" a="1"/>
  <c r="H45" i="9" s="1"/>
  <c r="C139" i="4" a="1"/>
  <c r="C139" i="4" s="1"/>
  <c r="C139" i="5" a="1"/>
  <c r="C139" i="5" s="1"/>
  <c r="E508" i="2" s="1" a="1"/>
  <c r="E508" i="2" s="1"/>
  <c r="C181" i="7" a="1"/>
  <c r="C181" i="7" s="1"/>
  <c r="E597" i="2" s="1" a="1"/>
  <c r="E597" i="2" s="1"/>
  <c r="C104" i="4" a="1"/>
  <c r="C104" i="4" s="1"/>
  <c r="H33" i="6" a="1"/>
  <c r="H33" i="6" s="1"/>
  <c r="C33" i="6" s="1" a="1"/>
  <c r="C33" i="6" s="1"/>
  <c r="C230" i="4" a="1"/>
  <c r="C230" i="4" s="1"/>
  <c r="H115" i="6" a="1"/>
  <c r="H115" i="6" s="1"/>
  <c r="H65" i="7" a="1"/>
  <c r="H65" i="7" s="1"/>
  <c r="C65" i="4" a="1"/>
  <c r="C65" i="4" s="1"/>
  <c r="H81" i="8" a="1"/>
  <c r="H81" i="8" s="1"/>
  <c r="H98" i="6" a="1"/>
  <c r="H98" i="6" s="1"/>
  <c r="C98" i="6" s="1" a="1"/>
  <c r="C98" i="6" s="1"/>
  <c r="C141" i="7" a="1"/>
  <c r="C141" i="7" s="1"/>
  <c r="E492" i="2" s="1" a="1"/>
  <c r="E492" i="2" s="1"/>
  <c r="H169" i="4" a="1"/>
  <c r="H169" i="4" s="1"/>
  <c r="C169" i="4" s="1" a="1"/>
  <c r="C169" i="4" s="1"/>
  <c r="C48" i="8" a="1"/>
  <c r="C48" i="8" s="1"/>
  <c r="E142" i="2" s="1" a="1"/>
  <c r="E142" i="2" s="1"/>
  <c r="C166" i="6" a="1"/>
  <c r="C166" i="6" s="1"/>
  <c r="E581" i="2" s="1" a="1"/>
  <c r="E581" i="2" s="1"/>
  <c r="C56" i="4" a="1"/>
  <c r="C56" i="4" s="1"/>
  <c r="H190" i="8" a="1"/>
  <c r="H190" i="8" s="1"/>
  <c r="C190" i="8" s="1" a="1"/>
  <c r="C190" i="8" s="1"/>
  <c r="E456" i="2" s="1" a="1"/>
  <c r="E456" i="2" s="1"/>
  <c r="H189" i="6" a="1"/>
  <c r="H189" i="6" s="1"/>
  <c r="C130" i="4" a="1"/>
  <c r="C130" i="4" s="1"/>
  <c r="H96" i="7" a="1"/>
  <c r="H96" i="7" s="1"/>
  <c r="C96" i="7" s="1" a="1"/>
  <c r="C96" i="7" s="1"/>
  <c r="E357" i="2" s="1" a="1"/>
  <c r="E357" i="2" s="1"/>
  <c r="C205" i="6" a="1"/>
  <c r="C205" i="6" s="1"/>
  <c r="E660" i="2" s="1" a="1"/>
  <c r="E660" i="2" s="1"/>
  <c r="H104" i="6" a="1"/>
  <c r="H104" i="6" s="1"/>
  <c r="C104" i="6" s="1" a="1"/>
  <c r="C104" i="6" s="1"/>
  <c r="C195" i="6" a="1"/>
  <c r="C195" i="6" s="1"/>
  <c r="E642" i="2" s="1" a="1"/>
  <c r="E642" i="2" s="1"/>
  <c r="C177" i="4" a="1"/>
  <c r="C177" i="4" s="1"/>
  <c r="C41" i="8" a="1"/>
  <c r="C41" i="8" s="1"/>
  <c r="E116" i="2" s="1" a="1"/>
  <c r="E116" i="2" s="1"/>
  <c r="H47" i="8" a="1"/>
  <c r="H47" i="8" s="1"/>
  <c r="C47" i="8" s="1" a="1"/>
  <c r="C47" i="8" s="1"/>
  <c r="E140" i="2" s="1" a="1"/>
  <c r="E140" i="2" s="1"/>
  <c r="C32" i="5" a="1"/>
  <c r="C32" i="5" s="1"/>
  <c r="H183" i="6" a="1"/>
  <c r="H183" i="6" s="1"/>
  <c r="C183" i="6" s="1" a="1"/>
  <c r="C183" i="6" s="1"/>
  <c r="E619" i="2" s="1" a="1"/>
  <c r="E619" i="2" s="1"/>
  <c r="H191" i="7" a="1"/>
  <c r="H191" i="7" s="1"/>
  <c r="H23" i="7" a="1"/>
  <c r="H23" i="7" s="1"/>
  <c r="C23" i="7" s="1" a="1"/>
  <c r="C23" i="7" s="1"/>
  <c r="E73" i="2" s="1" a="1"/>
  <c r="E73" i="2" s="1"/>
  <c r="H210" i="6" a="1"/>
  <c r="H210" i="6" s="1"/>
  <c r="C210" i="6" s="1" a="1"/>
  <c r="C210" i="6" s="1"/>
  <c r="E671" i="2" s="1" a="1"/>
  <c r="E671" i="2" s="1"/>
  <c r="H179" i="8" a="1"/>
  <c r="H179" i="8" s="1"/>
  <c r="C179" i="8" s="1" a="1"/>
  <c r="C179" i="8" s="1"/>
  <c r="E424" i="2" s="1" a="1"/>
  <c r="E424" i="2" s="1"/>
  <c r="H364" i="4" a="1"/>
  <c r="H364" i="4" s="1"/>
  <c r="H83" i="4" a="1"/>
  <c r="H83" i="4" s="1"/>
  <c r="H4" i="8" a="1"/>
  <c r="H4" i="8" s="1"/>
  <c r="C4" i="8" s="1" a="1"/>
  <c r="C4" i="8" s="1"/>
  <c r="E6" i="2" s="1" a="1"/>
  <c r="E6" i="2" s="1"/>
  <c r="C14" i="3" s="1" a="1"/>
  <c r="C14" i="3" s="1"/>
  <c r="H15" i="6" a="1"/>
  <c r="H15" i="6" s="1"/>
  <c r="H49" i="4" a="1"/>
  <c r="H49" i="4" s="1"/>
  <c r="H187" i="4" a="1"/>
  <c r="H187" i="4" s="1"/>
  <c r="C187" i="4" s="1" a="1"/>
  <c r="C187" i="4" s="1"/>
  <c r="H86" i="4" a="1"/>
  <c r="H86" i="4" s="1"/>
  <c r="C86" i="4" s="1" a="1"/>
  <c r="C86" i="4" s="1"/>
  <c r="H113" i="7" a="1"/>
  <c r="H113" i="7" s="1"/>
  <c r="H116" i="4" a="1"/>
  <c r="H116" i="4" s="1"/>
  <c r="C116" i="4" s="1" a="1"/>
  <c r="C116" i="4" s="1"/>
  <c r="H27" i="7" a="1"/>
  <c r="H27" i="7" s="1"/>
  <c r="C27" i="7" s="1" a="1"/>
  <c r="C27" i="7" s="1"/>
  <c r="E87" i="2" s="1" a="1"/>
  <c r="E87" i="2" s="1"/>
  <c r="H180" i="4" a="1"/>
  <c r="H180" i="4" s="1"/>
  <c r="C180" i="4" s="1" a="1"/>
  <c r="C180" i="4" s="1"/>
  <c r="H36" i="7" a="1"/>
  <c r="H36" i="7" s="1"/>
  <c r="C36" i="7" s="1" a="1"/>
  <c r="C36" i="7" s="1"/>
  <c r="E125" i="2" s="1" a="1"/>
  <c r="E125" i="2" s="1"/>
  <c r="H221" i="4" a="1"/>
  <c r="H221" i="4" s="1"/>
  <c r="C221" i="4" s="1" a="1"/>
  <c r="C221" i="4" s="1"/>
  <c r="H64" i="4" a="1"/>
  <c r="H64" i="4" s="1"/>
  <c r="C64" i="4" s="1" a="1"/>
  <c r="C64" i="4" s="1"/>
  <c r="H52" i="6" a="1"/>
  <c r="H52" i="6" s="1"/>
  <c r="C52" i="6" s="1" a="1"/>
  <c r="C52" i="6" s="1"/>
  <c r="H209" i="4" a="1"/>
  <c r="H209" i="4" s="1"/>
  <c r="H44" i="4" a="1"/>
  <c r="H44" i="4" s="1"/>
  <c r="C44" i="4" s="1" a="1"/>
  <c r="C44" i="4" s="1"/>
  <c r="H46" i="9" a="1"/>
  <c r="H46" i="9" s="1"/>
  <c r="H122" i="6" a="1"/>
  <c r="H122" i="6" s="1"/>
  <c r="H321" i="4" a="1"/>
  <c r="H321" i="4" s="1"/>
  <c r="H127" i="4" a="1"/>
  <c r="H127" i="4" s="1"/>
  <c r="H34" i="4" a="1"/>
  <c r="H34" i="4" s="1"/>
  <c r="C34" i="4" s="1" a="1"/>
  <c r="C34" i="4" s="1"/>
  <c r="H86" i="6" a="1"/>
  <c r="H86" i="6" s="1"/>
  <c r="C86" i="6" s="1" a="1"/>
  <c r="C86" i="6" s="1"/>
  <c r="E360" i="2" s="1" a="1"/>
  <c r="E360" i="2" s="1"/>
  <c r="H130" i="7" a="1"/>
  <c r="H130" i="7" s="1"/>
  <c r="C130" i="7" s="1" a="1"/>
  <c r="C130" i="7" s="1"/>
  <c r="E464" i="2" s="1" a="1"/>
  <c r="E464" i="2" s="1"/>
  <c r="H125" i="8" a="1"/>
  <c r="H125" i="8" s="1"/>
  <c r="C125" i="8" s="1" a="1"/>
  <c r="C125" i="8" s="1"/>
  <c r="E307" i="2" s="1" a="1"/>
  <c r="E307" i="2" s="1"/>
  <c r="H73" i="7" a="1"/>
  <c r="H73" i="7" s="1"/>
  <c r="C73" i="7" s="1" a="1"/>
  <c r="C73" i="7" s="1"/>
  <c r="E237" i="2" s="1" a="1"/>
  <c r="E237" i="2" s="1"/>
  <c r="H246" i="4" a="1"/>
  <c r="H246" i="4" s="1"/>
  <c r="H22" i="5" a="1"/>
  <c r="H22" i="5" s="1"/>
  <c r="C22" i="5" s="1" a="1"/>
  <c r="C22" i="5" s="1"/>
  <c r="E69" i="2" s="1" a="1"/>
  <c r="E69" i="2" s="1"/>
  <c r="H46" i="7" a="1"/>
  <c r="H46" i="7" s="1"/>
  <c r="C46" i="7" s="1" a="1"/>
  <c r="C46" i="7" s="1"/>
  <c r="E148" i="2" s="1" a="1"/>
  <c r="E148" i="2" s="1"/>
  <c r="H66" i="6" a="1"/>
  <c r="H66" i="6" s="1"/>
  <c r="C66" i="6" s="1" a="1"/>
  <c r="C66" i="6" s="1"/>
  <c r="E258" i="2" s="1" a="1"/>
  <c r="E258" i="2" s="1"/>
  <c r="H94" i="6" a="1"/>
  <c r="H94" i="6" s="1"/>
  <c r="C94" i="6" s="1" a="1"/>
  <c r="C94" i="6" s="1"/>
  <c r="H281" i="4" a="1"/>
  <c r="H281" i="4" s="1"/>
  <c r="H381" i="4" a="1"/>
  <c r="H381" i="4" s="1"/>
  <c r="H62" i="8" a="1"/>
  <c r="H62" i="8" s="1"/>
  <c r="C62" i="8" s="1" a="1"/>
  <c r="C62" i="8" s="1"/>
  <c r="E179" i="2" s="1" a="1"/>
  <c r="E179" i="2" s="1"/>
  <c r="H175" i="8" a="1"/>
  <c r="H175" i="8" s="1"/>
  <c r="C175" i="8" s="1" a="1"/>
  <c r="C175" i="8" s="1"/>
  <c r="E418" i="2" s="1" a="1"/>
  <c r="E418" i="2" s="1"/>
  <c r="H133" i="8" a="1"/>
  <c r="H133" i="8" s="1"/>
  <c r="C133" i="8" s="1" a="1"/>
  <c r="C133" i="8" s="1"/>
  <c r="E322" i="2" s="1" a="1"/>
  <c r="E322" i="2" s="1"/>
  <c r="H175" i="7" a="1"/>
  <c r="H175" i="7" s="1"/>
  <c r="C175" i="7" s="1" a="1"/>
  <c r="C175" i="7" s="1"/>
  <c r="E588" i="2" s="1" a="1"/>
  <c r="E588" i="2" s="1"/>
  <c r="H88" i="5" a="1"/>
  <c r="H88" i="5" s="1"/>
  <c r="C88" i="5" s="1" a="1"/>
  <c r="C88" i="5" s="1"/>
  <c r="H244" i="4" a="1"/>
  <c r="H244" i="4" s="1"/>
  <c r="C244" i="4" s="1" a="1"/>
  <c r="C244" i="4" s="1"/>
  <c r="H195" i="8" a="1"/>
  <c r="H195" i="8" s="1"/>
  <c r="H282" i="4" a="1"/>
  <c r="H282" i="4" s="1"/>
  <c r="H21" i="7" a="1"/>
  <c r="H21" i="7" s="1"/>
  <c r="C21" i="7" s="1" a="1"/>
  <c r="C21" i="7" s="1"/>
  <c r="E67" i="2" s="1" a="1"/>
  <c r="E67" i="2" s="1"/>
  <c r="H94" i="4" a="1"/>
  <c r="H94" i="4" s="1"/>
  <c r="H277" i="4" a="1"/>
  <c r="H277" i="4" s="1"/>
  <c r="H32" i="8" a="1"/>
  <c r="H32" i="8" s="1"/>
  <c r="C32" i="8" s="1" a="1"/>
  <c r="C32" i="8" s="1"/>
  <c r="E90" i="2" s="1" a="1"/>
  <c r="E90" i="2" s="1"/>
  <c r="H162" i="8" a="1"/>
  <c r="H162" i="8" s="1"/>
  <c r="C162" i="8" s="1" a="1"/>
  <c r="C162" i="8" s="1"/>
  <c r="E382" i="2" s="1" a="1"/>
  <c r="E382" i="2" s="1"/>
  <c r="H77" i="7" a="1"/>
  <c r="H77" i="7" s="1"/>
  <c r="C77" i="7" s="1" a="1"/>
  <c r="C77" i="7" s="1"/>
  <c r="E252" i="2" s="1" a="1"/>
  <c r="E252" i="2" s="1"/>
  <c r="H379" i="4" a="1"/>
  <c r="H379" i="4" s="1"/>
  <c r="C379" i="4" s="1" a="1"/>
  <c r="C379" i="4" s="1"/>
  <c r="H21" i="8" a="1"/>
  <c r="H21" i="8" s="1"/>
  <c r="C21" i="8" s="1" a="1"/>
  <c r="C21" i="8" s="1"/>
  <c r="E51" i="2" s="1" a="1"/>
  <c r="E51" i="2" s="1"/>
  <c r="H144" i="8" a="1"/>
  <c r="H144" i="8" s="1"/>
  <c r="C144" i="8" s="1" a="1"/>
  <c r="C144" i="8" s="1"/>
  <c r="E342" i="2" s="1" a="1"/>
  <c r="E342" i="2" s="1"/>
  <c r="H274" i="4" a="1"/>
  <c r="H274" i="4" s="1"/>
  <c r="H166" i="8" a="1"/>
  <c r="H166" i="8" s="1"/>
  <c r="C166" i="8" s="1" a="1"/>
  <c r="C166" i="8" s="1"/>
  <c r="E390" i="2" s="1" a="1"/>
  <c r="E390" i="2" s="1"/>
  <c r="H192" i="8" a="1"/>
  <c r="H192" i="8" s="1"/>
  <c r="C192" i="8" s="1" a="1"/>
  <c r="C192" i="8" s="1"/>
  <c r="E461" i="2" s="1" a="1"/>
  <c r="E461" i="2" s="1"/>
  <c r="H145" i="6" a="1"/>
  <c r="H145" i="6" s="1"/>
  <c r="C145" i="6" s="1" a="1"/>
  <c r="C145" i="6" s="1"/>
  <c r="E543" i="2" s="1" a="1"/>
  <c r="E543" i="2" s="1"/>
  <c r="H188" i="6" a="1"/>
  <c r="H188" i="6" s="1"/>
  <c r="C188" i="6" s="1" a="1"/>
  <c r="C188" i="6" s="1"/>
  <c r="E630" i="2" s="1" a="1"/>
  <c r="E630" i="2" s="1"/>
  <c r="H151" i="7" a="1"/>
  <c r="H151" i="7" s="1"/>
  <c r="C151" i="7" s="1" a="1"/>
  <c r="C151" i="7" s="1"/>
  <c r="E529" i="2" s="1" a="1"/>
  <c r="E529" i="2" s="1"/>
  <c r="H188" i="4" a="1"/>
  <c r="H188" i="4" s="1"/>
  <c r="C188" i="4" s="1" a="1"/>
  <c r="C188" i="4" s="1"/>
  <c r="H134" i="4" a="1"/>
  <c r="H134" i="4" s="1"/>
  <c r="H190" i="5" a="1"/>
  <c r="H190" i="5" s="1"/>
  <c r="C190" i="5" s="1" a="1"/>
  <c r="C190" i="5" s="1"/>
  <c r="H369" i="4" a="1"/>
  <c r="H369" i="4" s="1"/>
  <c r="H152" i="7" a="1"/>
  <c r="H152" i="7" s="1"/>
  <c r="C152" i="7" s="1" a="1"/>
  <c r="C152" i="7" s="1"/>
  <c r="E539" i="2" s="1" a="1"/>
  <c r="E539" i="2" s="1"/>
  <c r="H10" i="6" a="1"/>
  <c r="H10" i="6" s="1"/>
  <c r="C10" i="6" s="1" a="1"/>
  <c r="C10" i="6" s="1"/>
  <c r="H149" i="4" a="1"/>
  <c r="H149" i="4" s="1"/>
  <c r="C149" i="4" s="1" a="1"/>
  <c r="C149" i="4" s="1"/>
  <c r="H164" i="5" a="1"/>
  <c r="H164" i="5" s="1"/>
  <c r="C164" i="5" s="1" a="1"/>
  <c r="C164" i="5" s="1"/>
  <c r="E548" i="2" s="1" a="1"/>
  <c r="E548" i="2" s="1"/>
  <c r="H100" i="7" a="1"/>
  <c r="H100" i="7" s="1"/>
  <c r="H96" i="8" a="1"/>
  <c r="H96" i="8" s="1"/>
  <c r="H102" i="7" a="1"/>
  <c r="H102" i="7" s="1"/>
  <c r="C102" i="7" s="1" a="1"/>
  <c r="C102" i="7" s="1"/>
  <c r="E372" i="2" s="1" a="1"/>
  <c r="E372" i="2" s="1"/>
  <c r="H324" i="4" a="1"/>
  <c r="H324" i="4" s="1"/>
  <c r="C324" i="4" s="1" a="1"/>
  <c r="C324" i="4" s="1"/>
  <c r="H85" i="8" a="1"/>
  <c r="H85" i="8" s="1"/>
  <c r="C85" i="8" s="1" a="1"/>
  <c r="C85" i="8" s="1"/>
  <c r="E230" i="2" s="1" a="1"/>
  <c r="E230" i="2" s="1"/>
  <c r="H193" i="4" a="1"/>
  <c r="H193" i="4" s="1"/>
  <c r="C193" i="4" s="1" a="1"/>
  <c r="C193" i="4" s="1"/>
  <c r="H60" i="5" a="1"/>
  <c r="H60" i="5" s="1"/>
  <c r="C60" i="5" s="1" a="1"/>
  <c r="C60" i="5" s="1"/>
  <c r="E206" i="2" s="1" a="1"/>
  <c r="E206" i="2" s="1"/>
  <c r="H189" i="5" a="1"/>
  <c r="H189" i="5" s="1"/>
  <c r="H16" i="8" a="1"/>
  <c r="H16" i="8" s="1"/>
  <c r="H132" i="4" a="1"/>
  <c r="H132" i="4" s="1"/>
  <c r="C132" i="4" s="1" a="1"/>
  <c r="C132" i="4" s="1"/>
  <c r="H76" i="7" a="1"/>
  <c r="H76" i="7" s="1"/>
  <c r="C178" i="4" a="1"/>
  <c r="C178" i="4" s="1"/>
  <c r="H30" i="4" a="1"/>
  <c r="H30" i="4" s="1"/>
  <c r="H330" i="4" a="1"/>
  <c r="H330" i="4" s="1"/>
  <c r="C18" i="7" a="1"/>
  <c r="C18" i="7" s="1"/>
  <c r="E60" i="2" s="1" a="1"/>
  <c r="E60" i="2" s="1"/>
  <c r="C186" i="6" a="1"/>
  <c r="C186" i="6" s="1"/>
  <c r="E625" i="2" s="1" a="1"/>
  <c r="E625" i="2" s="1"/>
  <c r="H90" i="6" a="1"/>
  <c r="H90" i="6" s="1"/>
  <c r="C90" i="6" s="1" a="1"/>
  <c r="C90" i="6" s="1"/>
  <c r="H135" i="5" a="1"/>
  <c r="H135" i="5" s="1"/>
  <c r="C135" i="5" s="1" a="1"/>
  <c r="C135" i="5" s="1"/>
  <c r="E499" i="2" s="1" a="1"/>
  <c r="E499" i="2" s="1"/>
  <c r="C48" i="4" a="1"/>
  <c r="C48" i="4" s="1"/>
  <c r="C131" i="7" a="1"/>
  <c r="C131" i="7" s="1"/>
  <c r="E468" i="2" s="1" a="1"/>
  <c r="E468" i="2" s="1"/>
  <c r="H92" i="4" a="1"/>
  <c r="H92" i="4" s="1"/>
  <c r="C92" i="4" s="1" a="1"/>
  <c r="C92" i="4" s="1"/>
  <c r="C250" i="4" a="1"/>
  <c r="C250" i="4" s="1"/>
  <c r="H200" i="6" a="1"/>
  <c r="H200" i="6" s="1"/>
  <c r="C200" i="6" s="1" a="1"/>
  <c r="C200" i="6" s="1"/>
  <c r="E651" i="2" s="1" a="1"/>
  <c r="E651" i="2" s="1"/>
  <c r="C372" i="4" a="1"/>
  <c r="C372" i="4" s="1"/>
  <c r="C140" i="8" a="1"/>
  <c r="C140" i="8" s="1"/>
  <c r="E338" i="2" s="1" a="1"/>
  <c r="E338" i="2" s="1"/>
  <c r="H56" i="7" a="1"/>
  <c r="H56" i="7" s="1"/>
  <c r="C307" i="4" a="1"/>
  <c r="C307" i="4" s="1"/>
  <c r="C163" i="5" a="1"/>
  <c r="C163" i="5" s="1"/>
  <c r="H184" i="4" a="1"/>
  <c r="H184" i="4" s="1"/>
  <c r="H160" i="4" a="1"/>
  <c r="H160" i="4" s="1"/>
  <c r="C318" i="4" a="1"/>
  <c r="C318" i="4" s="1"/>
  <c r="C16" i="7" a="1"/>
  <c r="C16" i="7" s="1"/>
  <c r="E52" i="2" s="1" a="1"/>
  <c r="E52" i="2" s="1"/>
  <c r="C56" i="8" a="1"/>
  <c r="C56" i="8" s="1"/>
  <c r="E164" i="2" s="1" a="1"/>
  <c r="E164" i="2" s="1"/>
  <c r="C79" i="7" a="1"/>
  <c r="C79" i="7" s="1"/>
  <c r="E273" i="2" s="1" a="1"/>
  <c r="E273" i="2" s="1"/>
  <c r="H154" i="5" a="1"/>
  <c r="H154" i="5" s="1"/>
  <c r="C154" i="5" s="1" a="1"/>
  <c r="C154" i="5" s="1"/>
  <c r="E533" i="2" s="1" a="1"/>
  <c r="E533" i="2" s="1"/>
  <c r="C155" i="4" a="1"/>
  <c r="C155" i="4" s="1"/>
  <c r="C152" i="5" a="1"/>
  <c r="C152" i="5" s="1"/>
  <c r="E531" i="2" s="1" a="1"/>
  <c r="E531" i="2" s="1"/>
  <c r="H296" i="4" a="1"/>
  <c r="H296" i="4" s="1"/>
  <c r="C296" i="4" s="1" a="1"/>
  <c r="C296" i="4" s="1"/>
  <c r="C47" i="6" a="1"/>
  <c r="C47" i="6" s="1"/>
  <c r="E187" i="2" s="1" a="1"/>
  <c r="E187" i="2" s="1"/>
  <c r="C163" i="4" a="1"/>
  <c r="C163" i="4" s="1"/>
  <c r="C186" i="4" a="1"/>
  <c r="C186" i="4" s="1"/>
  <c r="H54" i="7" a="1"/>
  <c r="H54" i="7" s="1"/>
  <c r="H333" i="4" a="1"/>
  <c r="H333" i="4" s="1"/>
  <c r="C333" i="4" s="1" a="1"/>
  <c r="C333" i="4" s="1"/>
  <c r="C27" i="8" a="1"/>
  <c r="C27" i="8" s="1"/>
  <c r="E70" i="2" s="1" a="1"/>
  <c r="E70" i="2" s="1"/>
  <c r="C11" i="8" a="1"/>
  <c r="C11" i="8" s="1"/>
  <c r="E23" i="2" s="1" a="1"/>
  <c r="E23" i="2" s="1"/>
  <c r="C70" i="4" a="1"/>
  <c r="C70" i="4" s="1"/>
  <c r="C231" i="4" a="1"/>
  <c r="C231" i="4" s="1"/>
  <c r="H133" i="6" a="1"/>
  <c r="H133" i="6" s="1"/>
  <c r="H198" i="7" a="1"/>
  <c r="H198" i="7" s="1"/>
  <c r="C58" i="7" a="1"/>
  <c r="C58" i="7" s="1"/>
  <c r="E188" i="2" s="1" a="1"/>
  <c r="E188" i="2" s="1"/>
  <c r="H27" i="6" a="1"/>
  <c r="H27" i="6" s="1"/>
  <c r="C27" i="6" s="1" a="1"/>
  <c r="C27" i="6" s="1"/>
  <c r="E115" i="2" s="1" a="1"/>
  <c r="E115" i="2" s="1"/>
  <c r="C137" i="4" a="1"/>
  <c r="C137" i="4" s="1"/>
  <c r="C64" i="5" a="1"/>
  <c r="C64" i="5" s="1"/>
  <c r="H331" i="4" a="1"/>
  <c r="H331" i="4" s="1"/>
  <c r="C168" i="6" a="1"/>
  <c r="C168" i="6" s="1"/>
  <c r="H28" i="7" a="1"/>
  <c r="H28" i="7" s="1"/>
  <c r="C28" i="7" s="1" a="1"/>
  <c r="C28" i="7" s="1"/>
  <c r="E96" i="2" s="1" a="1"/>
  <c r="E96" i="2" s="1"/>
  <c r="C129" i="8" a="1"/>
  <c r="C129" i="8" s="1"/>
  <c r="E312" i="2" s="1" a="1"/>
  <c r="E312" i="2" s="1"/>
  <c r="H109" i="6" a="1"/>
  <c r="H109" i="6" s="1"/>
  <c r="C109" i="6" s="1" a="1"/>
  <c r="C109" i="6" s="1"/>
  <c r="H165" i="4" a="1"/>
  <c r="H165" i="4" s="1"/>
  <c r="H286" i="4" a="1"/>
  <c r="H286" i="4" s="1"/>
  <c r="C286" i="4" s="1" a="1"/>
  <c r="C286" i="4" s="1"/>
  <c r="C72" i="6" a="1"/>
  <c r="C72" i="6" s="1"/>
  <c r="E313" i="2" s="1" a="1"/>
  <c r="E313" i="2" s="1"/>
  <c r="C21" i="6" a="1"/>
  <c r="C21" i="6" s="1"/>
  <c r="E83" i="2" s="1" a="1"/>
  <c r="E83" i="2" s="1"/>
  <c r="C105" i="6" a="1"/>
  <c r="C105" i="6" s="1"/>
  <c r="E441" i="2" s="1" a="1"/>
  <c r="E441" i="2" s="1"/>
  <c r="C10" i="8" a="1"/>
  <c r="C10" i="8" s="1"/>
  <c r="E20" i="2" s="1" a="1"/>
  <c r="E20" i="2" s="1"/>
  <c r="C294" i="4" a="1"/>
  <c r="C294" i="4" s="1"/>
  <c r="C31" i="6" a="1"/>
  <c r="C31" i="6" s="1"/>
  <c r="H98" i="5" a="1"/>
  <c r="H98" i="5" s="1"/>
  <c r="C52" i="8" a="1"/>
  <c r="C52" i="8" s="1"/>
  <c r="E159" i="2" s="1" a="1"/>
  <c r="E159" i="2" s="1"/>
  <c r="C197" i="6" a="1"/>
  <c r="C197" i="6" s="1"/>
  <c r="E643" i="2" s="1" a="1"/>
  <c r="E643" i="2" s="1"/>
  <c r="H53" i="6" a="1"/>
  <c r="H53" i="6" s="1"/>
  <c r="C53" i="6" s="1" a="1"/>
  <c r="C53" i="6" s="1"/>
  <c r="H161" i="5" a="1"/>
  <c r="H161" i="5" s="1"/>
  <c r="C161" i="5" s="1" a="1"/>
  <c r="C161" i="5" s="1"/>
  <c r="H76" i="5" a="1"/>
  <c r="H76" i="5" s="1"/>
  <c r="C76" i="5" s="1" a="1"/>
  <c r="C76" i="5" s="1"/>
  <c r="E291" i="2" s="1" a="1"/>
  <c r="E291" i="2" s="1"/>
  <c r="H29" i="4" a="1"/>
  <c r="H29" i="4" s="1"/>
  <c r="C29" i="4" s="1" a="1"/>
  <c r="C29" i="4" s="1"/>
  <c r="C33" i="8" a="1"/>
  <c r="C33" i="8" s="1"/>
  <c r="E92" i="2" s="1" a="1"/>
  <c r="E92" i="2" s="1"/>
  <c r="H204" i="4" a="1"/>
  <c r="H204" i="4" s="1"/>
  <c r="H68" i="8" a="1"/>
  <c r="H68" i="8" s="1"/>
  <c r="C68" i="8" s="1" a="1"/>
  <c r="C68" i="8" s="1"/>
  <c r="E196" i="2" s="1" a="1"/>
  <c r="E196" i="2" s="1"/>
  <c r="C97" i="5" a="1"/>
  <c r="C97" i="5" s="1"/>
  <c r="H134" i="7" a="1"/>
  <c r="H134" i="7" s="1"/>
  <c r="C110" i="7" a="1"/>
  <c r="C110" i="7" s="1"/>
  <c r="E403" i="2" s="1" a="1"/>
  <c r="E403" i="2" s="1"/>
  <c r="H241" i="4" a="1"/>
  <c r="H241" i="4" s="1"/>
  <c r="C241" i="4" s="1" a="1"/>
  <c r="C241" i="4" s="1"/>
  <c r="C39" i="4" a="1"/>
  <c r="C39" i="4" s="1"/>
  <c r="C188" i="8" a="1"/>
  <c r="C188" i="8" s="1"/>
  <c r="E447" i="2" s="1" a="1"/>
  <c r="E447" i="2" s="1"/>
  <c r="C100" i="6" a="1"/>
  <c r="C100" i="6" s="1"/>
  <c r="E415" i="2" s="1" a="1"/>
  <c r="E415" i="2" s="1"/>
  <c r="C152" i="8" a="1"/>
  <c r="C152" i="8" s="1"/>
  <c r="E358" i="2" s="1" a="1"/>
  <c r="E358" i="2" s="1"/>
  <c r="C269" i="4" a="1"/>
  <c r="C269" i="4" s="1"/>
  <c r="H123" i="8" a="1"/>
  <c r="H123" i="8" s="1"/>
  <c r="C123" i="8" s="1" a="1"/>
  <c r="C123" i="8" s="1"/>
  <c r="E302" i="2" s="1" a="1"/>
  <c r="E302" i="2" s="1"/>
  <c r="H126" i="7" a="1"/>
  <c r="H126" i="7" s="1"/>
  <c r="C126" i="7" s="1" a="1"/>
  <c r="C126" i="7" s="1"/>
  <c r="E457" i="2" s="1" a="1"/>
  <c r="E457" i="2" s="1"/>
  <c r="C127" i="5" a="1"/>
  <c r="C127" i="5" s="1"/>
  <c r="E488" i="2" s="1" a="1"/>
  <c r="E488" i="2" s="1"/>
  <c r="C272" i="4" a="1"/>
  <c r="C272" i="4" s="1"/>
  <c r="C18" i="4" a="1"/>
  <c r="C18" i="4" s="1"/>
  <c r="C280" i="4" a="1"/>
  <c r="C280" i="4" s="1"/>
  <c r="H292" i="4" a="1"/>
  <c r="H292" i="4" s="1"/>
  <c r="C292" i="4" s="1" a="1"/>
  <c r="C292" i="4" s="1"/>
  <c r="C82" i="7" a="1"/>
  <c r="C82" i="7" s="1"/>
  <c r="E280" i="2" s="1" a="1"/>
  <c r="E280" i="2" s="1"/>
  <c r="H110" i="7" a="1"/>
  <c r="H110" i="7" s="1"/>
  <c r="H85" i="6" a="1"/>
  <c r="H85" i="6" s="1"/>
  <c r="C85" i="6" s="1" a="1"/>
  <c r="C85" i="6" s="1"/>
  <c r="C210" i="4" a="1"/>
  <c r="C210" i="4" s="1"/>
  <c r="C24" i="7" a="1"/>
  <c r="C24" i="7" s="1"/>
  <c r="E79" i="2" s="1" a="1"/>
  <c r="E79" i="2" s="1"/>
  <c r="C18" i="8" a="1"/>
  <c r="C18" i="8" s="1"/>
  <c r="E36" i="2" s="1" a="1"/>
  <c r="E36" i="2" s="1"/>
  <c r="H26" i="4" a="1"/>
  <c r="H26" i="4" s="1"/>
  <c r="C26" i="4" s="1" a="1"/>
  <c r="C26" i="4" s="1"/>
  <c r="C157" i="4" a="1"/>
  <c r="C157" i="4" s="1"/>
  <c r="C112" i="4" a="1"/>
  <c r="C112" i="4" s="1"/>
  <c r="C198" i="4" a="1"/>
  <c r="C198" i="4" s="1"/>
  <c r="C15" i="8" a="1"/>
  <c r="C15" i="8" s="1"/>
  <c r="E33" i="2" s="1" a="1"/>
  <c r="E33" i="2" s="1"/>
  <c r="H126" i="4" a="1"/>
  <c r="H126" i="4" s="1"/>
  <c r="C126" i="4" s="1" a="1"/>
  <c r="C126" i="4" s="1"/>
  <c r="C70" i="5" a="1"/>
  <c r="C70" i="5" s="1"/>
  <c r="E267" i="2" s="1" a="1"/>
  <c r="E267" i="2" s="1"/>
  <c r="C101" i="8" a="1"/>
  <c r="C101" i="8" s="1"/>
  <c r="E257" i="2" s="1" a="1"/>
  <c r="E257" i="2" s="1"/>
  <c r="H376" i="4" a="1"/>
  <c r="H376" i="4" s="1"/>
  <c r="C376" i="4" s="1" a="1"/>
  <c r="C376" i="4" s="1"/>
  <c r="H293" i="4" a="1"/>
  <c r="H293" i="4" s="1"/>
  <c r="C293" i="4" s="1" a="1"/>
  <c r="C293" i="4" s="1"/>
  <c r="H17" i="4" a="1"/>
  <c r="H17" i="4" s="1"/>
  <c r="H270" i="4" a="1"/>
  <c r="H270" i="4" s="1"/>
  <c r="C270" i="4" s="1" a="1"/>
  <c r="C270" i="4" s="1"/>
  <c r="H191" i="6" a="1"/>
  <c r="H191" i="6" s="1"/>
  <c r="H45" i="5" a="1"/>
  <c r="H45" i="5" s="1"/>
  <c r="H249" i="4" a="1"/>
  <c r="H249" i="4" s="1"/>
  <c r="H27" i="5" a="1"/>
  <c r="H27" i="5" s="1"/>
  <c r="C27" i="5" s="1" a="1"/>
  <c r="C27" i="5" s="1"/>
  <c r="E84" i="2" s="1" a="1"/>
  <c r="E84" i="2" s="1"/>
  <c r="H193" i="8" a="1"/>
  <c r="H193" i="8" s="1"/>
  <c r="C193" i="8" s="1" a="1"/>
  <c r="C193" i="8" s="1"/>
  <c r="E465" i="2" s="1" a="1"/>
  <c r="E465" i="2" s="1"/>
  <c r="H94" i="5" a="1"/>
  <c r="H94" i="5" s="1"/>
  <c r="C94" i="5" s="1" a="1"/>
  <c r="C94" i="5" s="1"/>
  <c r="E378" i="2" s="1" a="1"/>
  <c r="E378" i="2" s="1"/>
  <c r="H247" i="4" a="1"/>
  <c r="H247" i="4" s="1"/>
  <c r="C247" i="4" s="1" a="1"/>
  <c r="C247" i="4" s="1"/>
  <c r="H30" i="8" a="1"/>
  <c r="H30" i="8" s="1"/>
  <c r="C30" i="8" s="1" a="1"/>
  <c r="C30" i="8" s="1"/>
  <c r="E86" i="2" s="1" a="1"/>
  <c r="E86" i="2" s="1"/>
  <c r="H389" i="4" a="1"/>
  <c r="H389" i="4" s="1"/>
  <c r="C389" i="4" s="1" a="1"/>
  <c r="C389" i="4" s="1"/>
  <c r="H48" i="5" a="1"/>
  <c r="H48" i="5" s="1"/>
  <c r="C48" i="5" s="1" a="1"/>
  <c r="C48" i="5" s="1"/>
  <c r="E141" i="2" s="1" a="1"/>
  <c r="E141" i="2" s="1"/>
  <c r="H152" i="4" a="1"/>
  <c r="H152" i="4" s="1"/>
  <c r="C152" i="4" s="1" a="1"/>
  <c r="C152" i="4" s="1"/>
  <c r="H68" i="7" a="1"/>
  <c r="H68" i="7" s="1"/>
  <c r="C68" i="7" s="1" a="1"/>
  <c r="C68" i="7" s="1"/>
  <c r="E219" i="2" s="1" a="1"/>
  <c r="E219" i="2" s="1"/>
  <c r="H115" i="8" a="1"/>
  <c r="H115" i="8" s="1"/>
  <c r="H90" i="5" a="1"/>
  <c r="H90" i="5" s="1"/>
  <c r="C90" i="5" s="1" a="1"/>
  <c r="C90" i="5" s="1"/>
  <c r="E348" i="2" s="1" a="1"/>
  <c r="E348" i="2" s="1"/>
  <c r="H131" i="8" a="1"/>
  <c r="H131" i="8" s="1"/>
  <c r="C131" i="8" s="1" a="1"/>
  <c r="C131" i="8" s="1"/>
  <c r="E319" i="2" s="1" a="1"/>
  <c r="E319" i="2" s="1"/>
  <c r="H111" i="5" a="1"/>
  <c r="H111" i="5" s="1"/>
  <c r="H29" i="6" a="1"/>
  <c r="H29" i="6" s="1"/>
  <c r="C29" i="6" s="1" a="1"/>
  <c r="C29" i="6" s="1"/>
  <c r="H61" i="7" a="1"/>
  <c r="H61" i="7" s="1"/>
  <c r="H147" i="8" a="1"/>
  <c r="H147" i="8" s="1"/>
  <c r="C147" i="8" s="1" a="1"/>
  <c r="C147" i="8" s="1"/>
  <c r="E351" i="2" s="1" a="1"/>
  <c r="E351" i="2" s="1"/>
  <c r="H25" i="7" a="1"/>
  <c r="H25" i="7" s="1"/>
  <c r="H348" i="4" a="1"/>
  <c r="H348" i="4" s="1"/>
  <c r="C348" i="4" s="1" a="1"/>
  <c r="C348" i="4" s="1"/>
  <c r="H135" i="7" a="1"/>
  <c r="H135" i="7" s="1"/>
  <c r="H173" i="7" a="1"/>
  <c r="H173" i="7" s="1"/>
  <c r="H65" i="6" a="1"/>
  <c r="H65" i="6" s="1"/>
  <c r="C65" i="6" s="1" a="1"/>
  <c r="C65" i="6" s="1"/>
  <c r="H351" i="4" a="1"/>
  <c r="H351" i="4" s="1"/>
  <c r="C351" i="4" s="1" a="1"/>
  <c r="C351" i="4" s="1"/>
  <c r="H19" i="5" a="1"/>
  <c r="H19" i="5" s="1"/>
  <c r="C19" i="5" s="1" a="1"/>
  <c r="C19" i="5" s="1"/>
  <c r="E54" i="2" s="1" a="1"/>
  <c r="E54" i="2" s="1"/>
  <c r="H151" i="8" a="1"/>
  <c r="H151" i="8" s="1"/>
  <c r="C151" i="8" s="1" a="1"/>
  <c r="C151" i="8" s="1"/>
  <c r="E356" i="2" s="1" a="1"/>
  <c r="E356" i="2" s="1"/>
  <c r="H109" i="4" a="1"/>
  <c r="H109" i="4" s="1"/>
  <c r="C109" i="4" s="1" a="1"/>
  <c r="C109" i="4" s="1"/>
  <c r="H222" i="4" a="1"/>
  <c r="H222" i="4" s="1"/>
  <c r="C222" i="4" s="1" a="1"/>
  <c r="C222" i="4" s="1"/>
  <c r="H124" i="5" a="1"/>
  <c r="H124" i="5" s="1"/>
  <c r="C124" i="5" s="1" a="1"/>
  <c r="C124" i="5" s="1"/>
  <c r="E477" i="2" s="1" a="1"/>
  <c r="E477" i="2" s="1"/>
  <c r="H361" i="4" a="1"/>
  <c r="H361" i="4" s="1"/>
  <c r="H7" i="4" a="1"/>
  <c r="H7" i="4" s="1"/>
  <c r="C7" i="4" s="1" a="1"/>
  <c r="C7" i="4" s="1"/>
  <c r="H88" i="4" a="1"/>
  <c r="H88" i="4" s="1"/>
  <c r="C88" i="4" s="1" a="1"/>
  <c r="C88" i="4" s="1"/>
  <c r="H150" i="5" a="1"/>
  <c r="H150" i="5" s="1"/>
  <c r="C150" i="5" s="1" a="1"/>
  <c r="C150" i="5" s="1"/>
  <c r="H199" i="5" a="1"/>
  <c r="H199" i="5" s="1"/>
  <c r="C199" i="5" s="1" a="1"/>
  <c r="C199" i="5" s="1"/>
  <c r="H82" i="8" a="1"/>
  <c r="H82" i="8" s="1"/>
  <c r="H11" i="9" a="1"/>
  <c r="H11" i="9" s="1"/>
  <c r="H237" i="4" a="1"/>
  <c r="H237" i="4" s="1"/>
  <c r="C237" i="4" s="1" a="1"/>
  <c r="C237" i="4" s="1"/>
  <c r="H97" i="7" a="1"/>
  <c r="H97" i="7" s="1"/>
  <c r="C97" i="7" s="1" a="1"/>
  <c r="C97" i="7" s="1"/>
  <c r="E364" i="2" s="1" a="1"/>
  <c r="E364" i="2" s="1"/>
  <c r="H122" i="5" a="1"/>
  <c r="H122" i="5" s="1"/>
  <c r="C122" i="5" s="1" a="1"/>
  <c r="C122" i="5" s="1"/>
  <c r="E469" i="2" s="1" a="1"/>
  <c r="E469" i="2" s="1"/>
  <c r="H151" i="5" a="1"/>
  <c r="H151" i="5" s="1"/>
  <c r="H218" i="4" a="1"/>
  <c r="H218" i="4" s="1"/>
  <c r="C218" i="4" s="1" a="1"/>
  <c r="C218" i="4" s="1"/>
  <c r="H49" i="5" a="1"/>
  <c r="H49" i="5" s="1"/>
  <c r="C49" i="5" s="1" a="1"/>
  <c r="C49" i="5" s="1"/>
  <c r="H146" i="5" a="1"/>
  <c r="H146" i="5" s="1"/>
  <c r="C146" i="5" s="1" a="1"/>
  <c r="C146" i="5" s="1"/>
  <c r="H23" i="9" a="1"/>
  <c r="H23" i="9" s="1"/>
  <c r="H67" i="6" a="1"/>
  <c r="H67" i="6" s="1"/>
  <c r="C67" i="6" s="1" a="1"/>
  <c r="C67" i="6" s="1"/>
  <c r="H197" i="5" a="1"/>
  <c r="H197" i="5" s="1"/>
  <c r="H123" i="4" a="1"/>
  <c r="H123" i="4" s="1"/>
  <c r="H74" i="8" a="1"/>
  <c r="H74" i="8" s="1"/>
  <c r="C74" i="8" s="1" a="1"/>
  <c r="C74" i="8" s="1"/>
  <c r="E211" i="2" s="1" a="1"/>
  <c r="E211" i="2" s="1"/>
  <c r="H144" i="5" a="1"/>
  <c r="H144" i="5" s="1"/>
  <c r="C144" i="5" s="1" a="1"/>
  <c r="C144" i="5" s="1"/>
  <c r="H385" i="4" a="1"/>
  <c r="H385" i="4" s="1"/>
  <c r="C385" i="4" s="1" a="1"/>
  <c r="C385" i="4" s="1"/>
  <c r="H89" i="8" a="1"/>
  <c r="H89" i="8" s="1"/>
  <c r="C89" i="8" s="1" a="1"/>
  <c r="C89" i="8" s="1"/>
  <c r="E236" i="2" s="1" a="1"/>
  <c r="E236" i="2" s="1"/>
  <c r="H328" i="4" a="1"/>
  <c r="H328" i="4" s="1"/>
  <c r="C328" i="4" s="1" a="1"/>
  <c r="C328" i="4" s="1"/>
  <c r="H70" i="8" a="1"/>
  <c r="H70" i="8" s="1"/>
  <c r="C70" i="8" s="1" a="1"/>
  <c r="C70" i="8" s="1"/>
  <c r="E198" i="2" s="1" a="1"/>
  <c r="E198" i="2" s="1"/>
  <c r="H329" i="4" a="1"/>
  <c r="H329" i="4" s="1"/>
  <c r="C329" i="4" s="1" a="1"/>
  <c r="C329" i="4" s="1"/>
  <c r="H96" i="6" a="1"/>
  <c r="H96" i="6" s="1"/>
  <c r="C96" i="6" s="1" a="1"/>
  <c r="C96" i="6" s="1"/>
  <c r="H248" i="4" a="1"/>
  <c r="H248" i="4" s="1"/>
  <c r="H67" i="5" a="1"/>
  <c r="H67" i="5" s="1"/>
  <c r="C67" i="5" s="1" a="1"/>
  <c r="C67" i="5" s="1"/>
  <c r="E246" i="2" s="1" a="1"/>
  <c r="E246" i="2" s="1"/>
  <c r="H194" i="6" a="1"/>
  <c r="H194" i="6" s="1"/>
  <c r="H191" i="5" a="1"/>
  <c r="H191" i="5" s="1"/>
  <c r="C191" i="5" s="1" a="1"/>
  <c r="C191" i="5" s="1"/>
  <c r="E612" i="2" s="1" a="1"/>
  <c r="E612" i="2" s="1"/>
  <c r="H164" i="4" a="1"/>
  <c r="H164" i="4" s="1"/>
  <c r="C164" i="4" s="1" a="1"/>
  <c r="C164" i="4" s="1"/>
  <c r="H36" i="8" a="1"/>
  <c r="H36" i="8" s="1"/>
  <c r="C36" i="8" s="1" a="1"/>
  <c r="C36" i="8" s="1"/>
  <c r="E104" i="2" s="1" a="1"/>
  <c r="E104" i="2" s="1"/>
  <c r="H14" i="4" a="1"/>
  <c r="H14" i="4" s="1"/>
  <c r="H31" i="9" a="1"/>
  <c r="H31" i="9" s="1"/>
  <c r="H11" i="7" a="1"/>
  <c r="H11" i="7" s="1"/>
  <c r="H76" i="6" a="1"/>
  <c r="H76" i="6" s="1"/>
  <c r="C76" i="6" s="1" a="1"/>
  <c r="C76" i="6" s="1"/>
  <c r="H20" i="4" a="1"/>
  <c r="H20" i="4" s="1"/>
  <c r="C20" i="4" s="1" a="1"/>
  <c r="C20" i="4" s="1"/>
  <c r="H31" i="5" a="1"/>
  <c r="H31" i="5" s="1"/>
  <c r="C31" i="5" s="1" a="1"/>
  <c r="C31" i="5" s="1"/>
  <c r="E100" i="2" s="1" a="1"/>
  <c r="E100" i="2" s="1"/>
  <c r="H154" i="4" a="1"/>
  <c r="H154" i="4" s="1"/>
  <c r="C154" i="4" s="1" a="1"/>
  <c r="C154" i="4" s="1"/>
  <c r="H91" i="6" a="1"/>
  <c r="H91" i="6" s="1"/>
  <c r="C91" i="6" s="1" a="1"/>
  <c r="C91" i="6" s="1"/>
  <c r="H243" i="4" a="1"/>
  <c r="H243" i="4" s="1"/>
  <c r="C243" i="4" s="1" a="1"/>
  <c r="C243" i="4" s="1"/>
  <c r="H138" i="8" a="1"/>
  <c r="H138" i="8" s="1"/>
  <c r="C138" i="8" s="1" a="1"/>
  <c r="C138" i="8" s="1"/>
  <c r="E334" i="2" s="1" a="1"/>
  <c r="E334" i="2" s="1"/>
  <c r="H173" i="5" a="1"/>
  <c r="H173" i="5" s="1"/>
  <c r="C173" i="5" s="1" a="1"/>
  <c r="C173" i="5" s="1"/>
  <c r="E574" i="2" s="1" a="1"/>
  <c r="E574" i="2" s="1"/>
  <c r="H164" i="8" a="1"/>
  <c r="H164" i="8" s="1"/>
  <c r="H96" i="5" a="1"/>
  <c r="H96" i="5" s="1"/>
  <c r="C96" i="5" s="1" a="1"/>
  <c r="C96" i="5" s="1"/>
  <c r="H380" i="4" a="1"/>
  <c r="H380" i="4" s="1"/>
  <c r="C380" i="4" s="1" a="1"/>
  <c r="C380" i="4" s="1"/>
  <c r="H66" i="5" a="1"/>
  <c r="H66" i="5" s="1"/>
  <c r="C66" i="5" s="1" a="1"/>
  <c r="C66" i="5" s="1"/>
  <c r="E239" i="2" s="1" a="1"/>
  <c r="E239" i="2" s="1"/>
  <c r="H338" i="4" a="1"/>
  <c r="H338" i="4" s="1"/>
  <c r="C338" i="4" s="1" a="1"/>
  <c r="C338" i="4" s="1"/>
  <c r="H107" i="6" a="1"/>
  <c r="H107" i="6" s="1"/>
  <c r="C107" i="6" s="1" a="1"/>
  <c r="C107" i="6" s="1"/>
  <c r="C179" i="6" a="1"/>
  <c r="C179" i="6" s="1"/>
  <c r="C359" i="4" a="1"/>
  <c r="C359" i="4" s="1"/>
  <c r="C161" i="8" a="1"/>
  <c r="C161" i="8" s="1"/>
  <c r="E380" i="2" s="1" a="1"/>
  <c r="E380" i="2" s="1"/>
  <c r="C7" i="8" a="1"/>
  <c r="C7" i="8" s="1"/>
  <c r="E11" i="2" s="1" a="1"/>
  <c r="E11" i="2" s="1"/>
  <c r="C201" i="5" a="1"/>
  <c r="C201" i="5" s="1"/>
  <c r="E639" i="2" s="1" a="1"/>
  <c r="E639" i="2" s="1"/>
  <c r="C171" i="4" a="1"/>
  <c r="C171" i="4" s="1"/>
  <c r="C82" i="6" a="1"/>
  <c r="C82" i="6" s="1"/>
  <c r="H55" i="7" a="1"/>
  <c r="H55" i="7" s="1"/>
  <c r="C168" i="7" a="1"/>
  <c r="C168" i="7" s="1"/>
  <c r="E578" i="2" s="1" a="1"/>
  <c r="E578" i="2" s="1"/>
  <c r="C369" i="4" a="1"/>
  <c r="C369" i="4" s="1"/>
  <c r="C132" i="5" a="1"/>
  <c r="C132" i="5" s="1"/>
  <c r="C15" i="6" a="1"/>
  <c r="C15" i="6" s="1"/>
  <c r="C331" i="4" a="1"/>
  <c r="C331" i="4" s="1"/>
  <c r="H43" i="6" a="1"/>
  <c r="H43" i="6" s="1"/>
  <c r="C43" i="6" s="1" a="1"/>
  <c r="C43" i="6" s="1"/>
  <c r="C172" i="6" a="1"/>
  <c r="C172" i="6" s="1"/>
  <c r="C23" i="5" a="1"/>
  <c r="C23" i="5" s="1"/>
  <c r="C134" i="7" a="1"/>
  <c r="C134" i="7" s="1"/>
  <c r="E473" i="2" s="1" a="1"/>
  <c r="E473" i="2" s="1"/>
  <c r="C17" i="5" a="1"/>
  <c r="C17" i="5" s="1"/>
  <c r="C175" i="6" a="1"/>
  <c r="C175" i="6" s="1"/>
  <c r="E610" i="2" s="1" a="1"/>
  <c r="E610" i="2" s="1"/>
  <c r="H91" i="5" a="1"/>
  <c r="H91" i="5" s="1"/>
  <c r="C91" i="5" s="1" a="1"/>
  <c r="C91" i="5" s="1"/>
  <c r="E350" i="2" s="1" a="1"/>
  <c r="E350" i="2" s="1"/>
  <c r="C136" i="7" a="1"/>
  <c r="C136" i="7" s="1"/>
  <c r="E476" i="2" s="1" a="1"/>
  <c r="E476" i="2" s="1"/>
  <c r="C202" i="4" a="1"/>
  <c r="C202" i="4" s="1"/>
  <c r="C378" i="4" a="1"/>
  <c r="C378" i="4" s="1"/>
  <c r="C120" i="7" a="1"/>
  <c r="C120" i="7" s="1"/>
  <c r="E443" i="2" s="1" a="1"/>
  <c r="E443" i="2" s="1"/>
  <c r="H35" i="5" a="1"/>
  <c r="H35" i="5" s="1"/>
  <c r="C35" i="5" s="1" a="1"/>
  <c r="C35" i="5" s="1"/>
  <c r="E107" i="2" s="1" a="1"/>
  <c r="E107" i="2" s="1"/>
  <c r="C148" i="7" a="1"/>
  <c r="C148" i="7" s="1"/>
  <c r="E518" i="2" s="1" a="1"/>
  <c r="E518" i="2" s="1"/>
  <c r="C32" i="4" a="1"/>
  <c r="C32" i="4" s="1"/>
  <c r="C184" i="4" a="1"/>
  <c r="C184" i="4" s="1"/>
  <c r="C3" i="4" a="1"/>
  <c r="C3" i="4" s="1"/>
  <c r="H99" i="5" a="1"/>
  <c r="H99" i="5" s="1"/>
  <c r="C99" i="5" s="1" a="1"/>
  <c r="C99" i="5" s="1"/>
  <c r="C127" i="4" a="1"/>
  <c r="C127" i="4" s="1"/>
  <c r="C111" i="7" a="1"/>
  <c r="C111" i="7" s="1"/>
  <c r="E404" i="2" s="1" a="1"/>
  <c r="E404" i="2" s="1"/>
  <c r="C182" i="8" a="1"/>
  <c r="C182" i="8" s="1"/>
  <c r="E431" i="2" s="1" a="1"/>
  <c r="E431" i="2" s="1"/>
  <c r="H175" i="4" a="1"/>
  <c r="H175" i="4" s="1"/>
  <c r="C175" i="4" s="1" a="1"/>
  <c r="C175" i="4" s="1"/>
  <c r="C165" i="5" a="1"/>
  <c r="C165" i="5" s="1"/>
  <c r="C100" i="5" a="1"/>
  <c r="C100" i="5" s="1"/>
  <c r="C161" i="6" a="1"/>
  <c r="C161" i="6" s="1"/>
  <c r="E572" i="2" s="1" a="1"/>
  <c r="E572" i="2" s="1"/>
  <c r="C346" i="4" a="1"/>
  <c r="C346" i="4" s="1"/>
  <c r="C194" i="8" a="1"/>
  <c r="C194" i="8" s="1"/>
  <c r="E467" i="2" s="1" a="1"/>
  <c r="E467" i="2" s="1"/>
  <c r="H42" i="9" a="1"/>
  <c r="H42" i="9" s="1"/>
  <c r="H74" i="4" a="1"/>
  <c r="H74" i="4" s="1"/>
  <c r="H92" i="5" a="1"/>
  <c r="H92" i="5" s="1"/>
  <c r="C92" i="5" s="1" a="1"/>
  <c r="C92" i="5" s="1"/>
  <c r="H81" i="5" a="1"/>
  <c r="H81" i="5" s="1"/>
  <c r="C81" i="5" s="1" a="1"/>
  <c r="C81" i="5" s="1"/>
  <c r="E300" i="2" s="1" a="1"/>
  <c r="E300" i="2" s="1"/>
  <c r="H8" i="9" a="1"/>
  <c r="H8" i="9" s="1"/>
  <c r="C35" i="8" a="1"/>
  <c r="C35" i="8" s="1"/>
  <c r="E99" i="2" s="1" a="1"/>
  <c r="E99" i="2" s="1"/>
  <c r="C233" i="4" a="1"/>
  <c r="C233" i="4" s="1"/>
  <c r="C149" i="7" a="1"/>
  <c r="C149" i="7" s="1"/>
  <c r="E520" i="2" s="1" a="1"/>
  <c r="E520" i="2" s="1"/>
  <c r="H55" i="4" a="1"/>
  <c r="H55" i="4" s="1"/>
  <c r="C83" i="4" a="1"/>
  <c r="C83" i="4" s="1"/>
  <c r="C136" i="8" a="1"/>
  <c r="C136" i="8" s="1"/>
  <c r="E331" i="2" s="1" a="1"/>
  <c r="E331" i="2" s="1"/>
  <c r="H17" i="8" a="1"/>
  <c r="H17" i="8" s="1"/>
  <c r="C17" i="8" s="1" a="1"/>
  <c r="C17" i="8" s="1"/>
  <c r="C25" i="7" a="1"/>
  <c r="C25" i="7" s="1"/>
  <c r="E82" i="2" s="1" a="1"/>
  <c r="E82" i="2" s="1"/>
  <c r="C95" i="8" a="1"/>
  <c r="C95" i="8" s="1"/>
  <c r="E250" i="2" s="1" a="1"/>
  <c r="E250" i="2" s="1"/>
  <c r="H157" i="6" a="1"/>
  <c r="H157" i="6" s="1"/>
  <c r="C157" i="6" s="1" a="1"/>
  <c r="C157" i="6" s="1"/>
  <c r="E560" i="2" s="1" a="1"/>
  <c r="E560" i="2" s="1"/>
  <c r="H189" i="4" a="1"/>
  <c r="H189" i="4" s="1"/>
  <c r="C189" i="4" s="1" a="1"/>
  <c r="C189" i="4" s="1"/>
  <c r="C160" i="5" a="1"/>
  <c r="C160" i="5" s="1"/>
  <c r="C330" i="4" a="1"/>
  <c r="C330" i="4" s="1"/>
  <c r="H19" i="8" a="1"/>
  <c r="H19" i="8" s="1"/>
  <c r="C19" i="8" s="1" a="1"/>
  <c r="C19" i="8" s="1"/>
  <c r="E40" i="2" s="1" a="1"/>
  <c r="E40" i="2" s="1"/>
  <c r="H343" i="4" a="1"/>
  <c r="H343" i="4" s="1"/>
  <c r="C343" i="4" s="1" a="1"/>
  <c r="C343" i="4" s="1"/>
  <c r="H69" i="8" a="1"/>
  <c r="H69" i="8" s="1"/>
  <c r="C69" i="8" s="1" a="1"/>
  <c r="C69" i="8" s="1"/>
  <c r="E197" i="2" s="1" a="1"/>
  <c r="E197" i="2" s="1"/>
  <c r="C49" i="8" a="1"/>
  <c r="C49" i="8" s="1"/>
  <c r="E144" i="2" s="1" a="1"/>
  <c r="E144" i="2" s="1"/>
  <c r="C40" i="8" a="1"/>
  <c r="C40" i="8" s="1"/>
  <c r="E114" i="2" s="1" a="1"/>
  <c r="E114" i="2" s="1"/>
  <c r="C121" i="8" a="1"/>
  <c r="C121" i="8" s="1"/>
  <c r="E297" i="2" s="1" a="1"/>
  <c r="E297" i="2" s="1"/>
  <c r="C345" i="4" a="1"/>
  <c r="C345" i="4" s="1"/>
  <c r="H173" i="6" a="1"/>
  <c r="H173" i="6" s="1"/>
  <c r="C173" i="6" s="1" a="1"/>
  <c r="C173" i="6" s="1"/>
  <c r="E609" i="2" s="1" a="1"/>
  <c r="E609" i="2" s="1"/>
  <c r="C167" i="5" a="1"/>
  <c r="C167" i="5" s="1"/>
  <c r="C24" i="5" a="1"/>
  <c r="C24" i="5" s="1"/>
  <c r="E75" i="2" s="1" a="1"/>
  <c r="E75" i="2" s="1"/>
  <c r="C321" i="4" a="1"/>
  <c r="C321" i="4" s="1"/>
  <c r="C39" i="7" a="1"/>
  <c r="C39" i="7" s="1"/>
  <c r="E132" i="2" s="1" a="1"/>
  <c r="E132" i="2" s="1"/>
  <c r="C111" i="8" a="1"/>
  <c r="C111" i="8" s="1"/>
  <c r="E275" i="2" s="1" a="1"/>
  <c r="E275" i="2" s="1"/>
  <c r="C133" i="7" a="1"/>
  <c r="C133" i="7" s="1"/>
  <c r="E472" i="2" s="1" a="1"/>
  <c r="E472" i="2" s="1"/>
  <c r="H145" i="7" a="1"/>
  <c r="H145" i="7" s="1"/>
  <c r="C145" i="7" s="1" a="1"/>
  <c r="C145" i="7" s="1"/>
  <c r="E502" i="2" s="1" a="1"/>
  <c r="E502" i="2" s="1"/>
  <c r="H349" i="4" a="1"/>
  <c r="H349" i="4" s="1"/>
  <c r="C349" i="4" s="1" a="1"/>
  <c r="C349" i="4" s="1"/>
  <c r="H224" i="4" a="1"/>
  <c r="H224" i="4" s="1"/>
  <c r="C217" i="4" a="1"/>
  <c r="C217" i="4" s="1"/>
  <c r="C15" i="5" a="1"/>
  <c r="C15" i="5" s="1"/>
  <c r="C185" i="8" a="1"/>
  <c r="C185" i="8" s="1"/>
  <c r="E436" i="2" s="1" a="1"/>
  <c r="E436" i="2" s="1"/>
  <c r="H102" i="4" a="1"/>
  <c r="H102" i="4" s="1"/>
  <c r="C102" i="4" s="1" a="1"/>
  <c r="C102" i="4" s="1"/>
  <c r="C271" i="4" a="1"/>
  <c r="C271" i="4" s="1"/>
  <c r="H406" i="4" a="1"/>
  <c r="H406" i="4" s="1"/>
  <c r="C406" i="4" s="1" a="1"/>
  <c r="C406" i="4" s="1"/>
  <c r="H400" i="4" a="1"/>
  <c r="H400" i="4" s="1"/>
  <c r="C71" i="4" a="1"/>
  <c r="C71" i="4" s="1"/>
  <c r="H116" i="7" a="1"/>
  <c r="H116" i="7" s="1"/>
  <c r="C116" i="7" s="1" a="1"/>
  <c r="C116" i="7" s="1"/>
  <c r="E426" i="2" s="1" a="1"/>
  <c r="E426" i="2" s="1"/>
  <c r="H316" i="4" a="1"/>
  <c r="H316" i="4" s="1"/>
  <c r="C316" i="4" s="1" a="1"/>
  <c r="C316" i="4" s="1"/>
  <c r="C46" i="4" a="1"/>
  <c r="C46" i="4" s="1"/>
  <c r="H60" i="4" a="1"/>
  <c r="H60" i="4" s="1"/>
  <c r="C60" i="4" s="1" a="1"/>
  <c r="C60" i="4" s="1"/>
  <c r="C49" i="6" a="1"/>
  <c r="C49" i="6" s="1"/>
  <c r="C62" i="6" a="1"/>
  <c r="C62" i="6" s="1"/>
  <c r="E247" i="2" s="1" a="1"/>
  <c r="E247" i="2" s="1"/>
  <c r="H176" i="5" a="1"/>
  <c r="H176" i="5" s="1"/>
  <c r="C176" i="5" s="1" a="1"/>
  <c r="C176" i="5" s="1"/>
  <c r="C11" i="6" a="1"/>
  <c r="C11" i="6" s="1"/>
  <c r="C47" i="5" a="1"/>
  <c r="C47" i="5" s="1"/>
  <c r="H83" i="5" a="1"/>
  <c r="H83" i="5" s="1"/>
  <c r="C83" i="5" s="1" a="1"/>
  <c r="C83" i="5" s="1"/>
  <c r="E315" i="2" s="1" a="1"/>
  <c r="E315" i="2" s="1"/>
  <c r="C13" i="6" a="1"/>
  <c r="C13" i="6" s="1"/>
  <c r="H154" i="7" a="1"/>
  <c r="H154" i="7" s="1"/>
  <c r="C154" i="7" s="1" a="1"/>
  <c r="C154" i="7" s="1"/>
  <c r="E546" i="2" s="1" a="1"/>
  <c r="E546" i="2" s="1"/>
  <c r="C382" i="4" a="1"/>
  <c r="C382" i="4" s="1"/>
  <c r="C155" i="6" a="1"/>
  <c r="C155" i="6" s="1"/>
  <c r="C38" i="7" a="1"/>
  <c r="C38" i="7" s="1"/>
  <c r="E130" i="2" s="1" a="1"/>
  <c r="E130" i="2" s="1"/>
  <c r="H137" i="5" a="1"/>
  <c r="H137" i="5" s="1"/>
  <c r="C137" i="5" s="1" a="1"/>
  <c r="C137" i="5" s="1"/>
  <c r="E503" i="2" s="1" a="1"/>
  <c r="E503" i="2" s="1"/>
  <c r="C156" i="7" a="1"/>
  <c r="C156" i="7" s="1"/>
  <c r="E549" i="2" s="1" a="1"/>
  <c r="E549" i="2" s="1"/>
  <c r="C83" i="8" a="1"/>
  <c r="C83" i="8" s="1"/>
  <c r="E226" i="2" s="1" a="1"/>
  <c r="E226" i="2" s="1"/>
  <c r="H215" i="4" a="1"/>
  <c r="H215" i="4" s="1"/>
  <c r="C215" i="4" s="1" a="1"/>
  <c r="C215" i="4" s="1"/>
  <c r="H62" i="7" a="1"/>
  <c r="H62" i="7" s="1"/>
  <c r="C62" i="7" s="1" a="1"/>
  <c r="C62" i="7" s="1"/>
  <c r="E202" i="2" s="1" a="1"/>
  <c r="E202" i="2" s="1"/>
  <c r="H84" i="4" a="1"/>
  <c r="H84" i="4" s="1"/>
  <c r="C84" i="4" s="1" a="1"/>
  <c r="C84" i="4" s="1"/>
  <c r="H160" i="6" a="1"/>
  <c r="H160" i="6" s="1"/>
  <c r="C160" i="6" s="1" a="1"/>
  <c r="C160" i="6" s="1"/>
  <c r="E570" i="2" s="1" a="1"/>
  <c r="E570" i="2" s="1"/>
  <c r="C12" i="6" a="1"/>
  <c r="C12" i="6" s="1"/>
  <c r="H43" i="9" a="1"/>
  <c r="H43" i="9" s="1"/>
  <c r="H16" i="6" a="1"/>
  <c r="H16" i="6" s="1"/>
  <c r="C16" i="6" s="1" a="1"/>
  <c r="C16" i="6" s="1"/>
  <c r="C183" i="4" a="1"/>
  <c r="C183" i="4" s="1"/>
  <c r="C101" i="5" a="1"/>
  <c r="C101" i="5" s="1"/>
  <c r="H102" i="5" a="1"/>
  <c r="H102" i="5" s="1"/>
  <c r="C102" i="5" s="1" a="1"/>
  <c r="C102" i="5" s="1"/>
  <c r="E407" i="2" s="1" a="1"/>
  <c r="E407" i="2" s="1"/>
  <c r="C279" i="4" a="1"/>
  <c r="C279" i="4" s="1"/>
  <c r="C101" i="6" a="1"/>
  <c r="C101" i="6" s="1"/>
  <c r="E416" i="2" s="1" a="1"/>
  <c r="E416" i="2" s="1"/>
  <c r="H390" i="4" a="1"/>
  <c r="H390" i="4" s="1"/>
  <c r="C390" i="4" s="1" a="1"/>
  <c r="C390" i="4" s="1"/>
  <c r="H162" i="4" a="1"/>
  <c r="H162" i="4" s="1"/>
  <c r="C162" i="4" s="1" a="1"/>
  <c r="C162" i="4" s="1"/>
  <c r="C54" i="7" a="1"/>
  <c r="C54" i="7" s="1"/>
  <c r="E168" i="2" s="1" a="1"/>
  <c r="E168" i="2" s="1"/>
  <c r="H120" i="5" a="1"/>
  <c r="H120" i="5" s="1"/>
  <c r="C120" i="5" s="1" a="1"/>
  <c r="C120" i="5" s="1"/>
  <c r="C43" i="5" a="1"/>
  <c r="C43" i="5" s="1"/>
  <c r="E126" i="2" s="1" a="1"/>
  <c r="E126" i="2" s="1"/>
  <c r="C148" i="6" a="1"/>
  <c r="C148" i="6" s="1"/>
  <c r="E551" i="2" s="1" a="1"/>
  <c r="E551" i="2" s="1"/>
  <c r="H203" i="8" a="1"/>
  <c r="H203" i="8" s="1"/>
  <c r="C203" i="8" s="1" a="1"/>
  <c r="C203" i="8" s="1"/>
  <c r="E505" i="2" s="1" a="1"/>
  <c r="E505" i="2" s="1"/>
  <c r="C119" i="5" a="1"/>
  <c r="C119" i="5" s="1"/>
  <c r="E463" i="2" s="1" a="1"/>
  <c r="E463" i="2" s="1"/>
  <c r="C141" i="5" a="1"/>
  <c r="C141" i="5" s="1"/>
  <c r="E513" i="2" s="1" a="1"/>
  <c r="E513" i="2" s="1"/>
  <c r="C33" i="5" a="1"/>
  <c r="C33" i="5" s="1"/>
  <c r="E102" i="2" s="1" a="1"/>
  <c r="E102" i="2" s="1"/>
  <c r="C208" i="4" a="1"/>
  <c r="C208" i="4" s="1"/>
  <c r="H302" i="4" a="1"/>
  <c r="H302" i="4" s="1"/>
  <c r="C302" i="4" s="1" a="1"/>
  <c r="C302" i="4" s="1"/>
  <c r="C290" i="4" a="1"/>
  <c r="C290" i="4" s="1"/>
  <c r="C9" i="7" a="1"/>
  <c r="C9" i="7" s="1"/>
  <c r="E32" i="2" s="1" a="1"/>
  <c r="E32" i="2" s="1"/>
  <c r="H159" i="5" a="1"/>
  <c r="H159" i="5" s="1"/>
  <c r="C159" i="5" s="1" a="1"/>
  <c r="C159" i="5" s="1"/>
  <c r="E536" i="2" s="1" a="1"/>
  <c r="E536" i="2" s="1"/>
  <c r="H95" i="7" a="1"/>
  <c r="H95" i="7" s="1"/>
  <c r="C95" i="7" s="1" a="1"/>
  <c r="C95" i="7" s="1"/>
  <c r="E347" i="2" s="1" a="1"/>
  <c r="E347" i="2" s="1"/>
  <c r="C87" i="8" a="1"/>
  <c r="C87" i="8" s="1"/>
  <c r="E233" i="2" s="1" a="1"/>
  <c r="E233" i="2" s="1"/>
  <c r="C160" i="4" a="1"/>
  <c r="C160" i="4" s="1"/>
  <c r="C155" i="7" a="1"/>
  <c r="C155" i="7" s="1"/>
  <c r="E547" i="2" s="1" a="1"/>
  <c r="E547" i="2" s="1"/>
  <c r="H13" i="6" a="1"/>
  <c r="H13" i="6" s="1"/>
  <c r="C78" i="5" a="1"/>
  <c r="C78" i="5" s="1"/>
  <c r="C55" i="6" a="1"/>
  <c r="C55" i="6" s="1"/>
  <c r="C113" i="7" a="1"/>
  <c r="C113" i="7" s="1"/>
  <c r="E408" i="2" s="1" a="1"/>
  <c r="E408" i="2" s="1"/>
  <c r="C123" i="6" a="1"/>
  <c r="C123" i="6" s="1"/>
  <c r="H46" i="8" a="1"/>
  <c r="H46" i="8" s="1"/>
  <c r="C46" i="8" s="1" a="1"/>
  <c r="C46" i="8" s="1"/>
  <c r="E131" i="2" s="1" a="1"/>
  <c r="E131" i="2" s="1"/>
  <c r="H74" i="7" a="1"/>
  <c r="H74" i="7" s="1"/>
  <c r="C74" i="7" s="1" a="1"/>
  <c r="C74" i="7" s="1"/>
  <c r="E238" i="2" s="1" a="1"/>
  <c r="E238" i="2" s="1"/>
  <c r="C147" i="4" a="1"/>
  <c r="C147" i="4" s="1"/>
  <c r="C121" i="5" a="1"/>
  <c r="C121" i="5" s="1"/>
  <c r="H347" i="4" a="1"/>
  <c r="H347" i="4" s="1"/>
  <c r="C347" i="4" s="1" a="1"/>
  <c r="C347" i="4" s="1"/>
  <c r="C384" i="4" a="1"/>
  <c r="C384" i="4" s="1"/>
  <c r="H245" i="4" a="1"/>
  <c r="H245" i="4" s="1"/>
  <c r="C245" i="4" s="1" a="1"/>
  <c r="C245" i="4" s="1"/>
  <c r="C110" i="5" a="1"/>
  <c r="C110" i="5" s="1"/>
  <c r="H197" i="8" a="1"/>
  <c r="H197" i="8" s="1"/>
  <c r="H60" i="9" a="1"/>
  <c r="H60" i="9" s="1"/>
  <c r="H194" i="5" a="1"/>
  <c r="H194" i="5" s="1"/>
  <c r="C194" i="5" s="1" a="1"/>
  <c r="C194" i="5" s="1"/>
  <c r="E622" i="2" s="1" a="1"/>
  <c r="E622" i="2" s="1"/>
  <c r="H160" i="5" a="1"/>
  <c r="H160" i="5" s="1"/>
  <c r="H7" i="7" a="1"/>
  <c r="H7" i="7" s="1"/>
  <c r="C7" i="7" s="1" a="1"/>
  <c r="C7" i="7" s="1"/>
  <c r="E27" i="2" s="1" a="1"/>
  <c r="E27" i="2" s="1"/>
  <c r="H187" i="8" a="1"/>
  <c r="H187" i="8" s="1"/>
  <c r="C187" i="8" s="1" a="1"/>
  <c r="C187" i="8" s="1"/>
  <c r="E440" i="2" s="1" a="1"/>
  <c r="E440" i="2" s="1"/>
  <c r="H150" i="7" a="1"/>
  <c r="H150" i="7" s="1"/>
  <c r="C150" i="7" s="1" a="1"/>
  <c r="C150" i="7" s="1"/>
  <c r="E524" i="2" s="1" a="1"/>
  <c r="E524" i="2" s="1"/>
  <c r="H195" i="7" a="1"/>
  <c r="H195" i="7" s="1"/>
  <c r="H48" i="7" a="1"/>
  <c r="H48" i="7" s="1"/>
  <c r="C48" i="7" s="1" a="1"/>
  <c r="C48" i="7" s="1"/>
  <c r="E150" i="2" s="1" a="1"/>
  <c r="E150" i="2" s="1"/>
  <c r="H38" i="4" a="1"/>
  <c r="H38" i="4" s="1"/>
  <c r="C38" i="4" s="1" a="1"/>
  <c r="C38" i="4" s="1"/>
  <c r="H126" i="5" a="1"/>
  <c r="H126" i="5" s="1"/>
  <c r="H15" i="4" a="1"/>
  <c r="H15" i="4" s="1"/>
  <c r="H320" i="4" a="1"/>
  <c r="H320" i="4" s="1"/>
  <c r="C320" i="4" s="1" a="1"/>
  <c r="C320" i="4" s="1"/>
  <c r="H125" i="5" a="1"/>
  <c r="H125" i="5" s="1"/>
  <c r="C125" i="5" s="1" a="1"/>
  <c r="C125" i="5" s="1"/>
  <c r="H204" i="6" a="1"/>
  <c r="H204" i="6" s="1"/>
  <c r="H4" i="4" a="1"/>
  <c r="H4" i="4" s="1"/>
  <c r="C4" i="4" s="1" a="1"/>
  <c r="C4" i="4" s="1"/>
  <c r="H75" i="5" a="1"/>
  <c r="H75" i="5" s="1"/>
  <c r="C75" i="5" s="1" a="1"/>
  <c r="C75" i="5" s="1"/>
  <c r="E285" i="2" s="1" a="1"/>
  <c r="E285" i="2" s="1"/>
  <c r="H57" i="6" a="1"/>
  <c r="H57" i="6" s="1"/>
  <c r="C57" i="6" s="1" a="1"/>
  <c r="C57" i="6" s="1"/>
  <c r="H208" i="5" a="1"/>
  <c r="H208" i="5" s="1"/>
  <c r="C208" i="5" s="1" a="1"/>
  <c r="C208" i="5" s="1"/>
  <c r="E663" i="2" s="1" a="1"/>
  <c r="E663" i="2" s="1"/>
  <c r="H168" i="4" a="1"/>
  <c r="H168" i="4" s="1"/>
  <c r="C168" i="4" s="1" a="1"/>
  <c r="C168" i="4" s="1"/>
  <c r="H34" i="7" a="1"/>
  <c r="H34" i="7" s="1"/>
  <c r="H182" i="4" a="1"/>
  <c r="H182" i="4" s="1"/>
  <c r="C182" i="4" s="1" a="1"/>
  <c r="C182" i="4" s="1"/>
  <c r="H22" i="6" a="1"/>
  <c r="H22" i="6" s="1"/>
  <c r="C22" i="6" s="1" a="1"/>
  <c r="C22" i="6" s="1"/>
  <c r="H179" i="5" a="1"/>
  <c r="H179" i="5" s="1"/>
  <c r="H337" i="4" a="1"/>
  <c r="H337" i="4" s="1"/>
  <c r="C337" i="4" s="1" a="1"/>
  <c r="C337" i="4" s="1"/>
  <c r="H55" i="8" a="1"/>
  <c r="H55" i="8" s="1"/>
  <c r="C55" i="8" s="1" a="1"/>
  <c r="C55" i="8" s="1"/>
  <c r="E163" i="2" s="1" a="1"/>
  <c r="E163" i="2" s="1"/>
  <c r="H75" i="7" a="1"/>
  <c r="H75" i="7" s="1"/>
  <c r="C75" i="7" s="1" a="1"/>
  <c r="C75" i="7" s="1"/>
  <c r="E244" i="2" s="1" a="1"/>
  <c r="E244" i="2" s="1"/>
  <c r="H187" i="6" a="1"/>
  <c r="H187" i="6" s="1"/>
  <c r="C187" i="6" s="1" a="1"/>
  <c r="C187" i="6" s="1"/>
  <c r="E626" i="2" s="1" a="1"/>
  <c r="E626" i="2" s="1"/>
  <c r="H63" i="7" a="1"/>
  <c r="H63" i="7" s="1"/>
  <c r="C63" i="7" s="1" a="1"/>
  <c r="C63" i="7" s="1"/>
  <c r="E204" i="2" s="1" a="1"/>
  <c r="E204" i="2" s="1"/>
  <c r="H73" i="8" a="1"/>
  <c r="H73" i="8" s="1"/>
  <c r="C73" i="8" s="1" a="1"/>
  <c r="C73" i="8" s="1"/>
  <c r="E209" i="2" s="1" a="1"/>
  <c r="E209" i="2" s="1"/>
  <c r="H127" i="7" a="1"/>
  <c r="H127" i="7" s="1"/>
  <c r="C127" i="7" s="1" a="1"/>
  <c r="C127" i="7" s="1"/>
  <c r="E459" i="2" s="1" a="1"/>
  <c r="E459" i="2" s="1"/>
  <c r="H334" i="4" a="1"/>
  <c r="H334" i="4" s="1"/>
  <c r="C334" i="4" s="1" a="1"/>
  <c r="C334" i="4" s="1"/>
  <c r="H8" i="8" a="1"/>
  <c r="H8" i="8" s="1"/>
  <c r="H193" i="7" a="1"/>
  <c r="H193" i="7" s="1"/>
  <c r="C193" i="7" s="1" a="1"/>
  <c r="C193" i="7" s="1"/>
  <c r="E628" i="2" s="1" a="1"/>
  <c r="E628" i="2" s="1"/>
  <c r="H4" i="7" a="1"/>
  <c r="H4" i="7" s="1"/>
  <c r="C4" i="7" s="1" a="1"/>
  <c r="C4" i="7" s="1"/>
  <c r="E10" i="2" s="1" a="1"/>
  <c r="E10" i="2" s="1"/>
  <c r="H41" i="6" a="1"/>
  <c r="H41" i="6" s="1"/>
  <c r="C41" i="6" s="1" a="1"/>
  <c r="C41" i="6" s="1"/>
  <c r="E156" i="2" s="1" a="1"/>
  <c r="E156" i="2" s="1"/>
  <c r="H149" i="6" a="1"/>
  <c r="H149" i="6" s="1"/>
  <c r="C149" i="6" s="1" a="1"/>
  <c r="C149" i="6" s="1"/>
  <c r="E552" i="2" s="1" a="1"/>
  <c r="E552" i="2" s="1"/>
  <c r="H199" i="6" a="1"/>
  <c r="H199" i="6" s="1"/>
  <c r="C199" i="6" s="1" a="1"/>
  <c r="C199" i="6" s="1"/>
  <c r="E649" i="2" s="1" a="1"/>
  <c r="E649" i="2" s="1"/>
  <c r="H284" i="4" a="1"/>
  <c r="H284" i="4" s="1"/>
  <c r="C284" i="4" s="1" a="1"/>
  <c r="C284" i="4" s="1"/>
  <c r="H118" i="4" a="1"/>
  <c r="H118" i="4" s="1"/>
  <c r="C118" i="4" s="1" a="1"/>
  <c r="C118" i="4" s="1"/>
  <c r="H117" i="5" a="1"/>
  <c r="H117" i="5" s="1"/>
  <c r="C117" i="5" s="1" a="1"/>
  <c r="C117" i="5" s="1"/>
  <c r="H150" i="4" a="1"/>
  <c r="H150" i="4" s="1"/>
  <c r="C150" i="4" s="1" a="1"/>
  <c r="C150" i="4" s="1"/>
  <c r="H141" i="4" a="1"/>
  <c r="H141" i="4" s="1"/>
  <c r="C141" i="4" s="1" a="1"/>
  <c r="C141" i="4" s="1"/>
  <c r="H51" i="8" a="1"/>
  <c r="H51" i="8" s="1"/>
  <c r="C51" i="8" s="1" a="1"/>
  <c r="C51" i="8" s="1"/>
  <c r="E157" i="2" s="1" a="1"/>
  <c r="E157" i="2" s="1"/>
  <c r="H125" i="7" a="1"/>
  <c r="H125" i="7" s="1"/>
  <c r="C125" i="7" s="1" a="1"/>
  <c r="C125" i="7" s="1"/>
  <c r="E453" i="2" s="1" a="1"/>
  <c r="E453" i="2" s="1"/>
  <c r="H45" i="6" a="1"/>
  <c r="H45" i="6" s="1"/>
  <c r="C45" i="6" s="1" a="1"/>
  <c r="C45" i="6" s="1"/>
  <c r="E173" i="2" s="1" a="1"/>
  <c r="E173" i="2" s="1"/>
  <c r="H147" i="6" a="1"/>
  <c r="H147" i="6" s="1"/>
  <c r="C147" i="6" s="1" a="1"/>
  <c r="C147" i="6" s="1"/>
  <c r="E545" i="2" s="1" a="1"/>
  <c r="E545" i="2" s="1"/>
  <c r="H397" i="4" a="1"/>
  <c r="H397" i="4" s="1"/>
  <c r="H138" i="4" a="1"/>
  <c r="H138" i="4" s="1"/>
  <c r="C138" i="4" s="1" a="1"/>
  <c r="C138" i="4" s="1"/>
  <c r="H199" i="7" a="1"/>
  <c r="H199" i="7" s="1"/>
  <c r="C199" i="7" s="1" a="1"/>
  <c r="C199" i="7" s="1"/>
  <c r="E644" i="2" s="1" a="1"/>
  <c r="E644" i="2" s="1"/>
  <c r="H63" i="5" a="1"/>
  <c r="H63" i="5" s="1"/>
  <c r="C63" i="5" s="1" a="1"/>
  <c r="C63" i="5" s="1"/>
  <c r="H203" i="5" a="1"/>
  <c r="H203" i="5" s="1"/>
  <c r="C203" i="5" s="1" a="1"/>
  <c r="C203" i="5" s="1"/>
  <c r="E646" i="2" s="1" a="1"/>
  <c r="E646" i="2" s="1"/>
  <c r="H144" i="6" a="1"/>
  <c r="H144" i="6" s="1"/>
  <c r="H146" i="8" a="1"/>
  <c r="H146" i="8" s="1"/>
  <c r="C146" i="8" s="1" a="1"/>
  <c r="C146" i="8" s="1"/>
  <c r="E349" i="2" s="1" a="1"/>
  <c r="E349" i="2" s="1"/>
  <c r="H202" i="5" a="1"/>
  <c r="H202" i="5" s="1"/>
  <c r="C202" i="5" s="1" a="1"/>
  <c r="C202" i="5" s="1"/>
  <c r="H170" i="6" a="1"/>
  <c r="H170" i="6" s="1"/>
  <c r="C170" i="6" s="1" a="1"/>
  <c r="C170" i="6" s="1"/>
  <c r="H171" i="6" a="1"/>
  <c r="H171" i="6" s="1"/>
  <c r="C171" i="6" s="1" a="1"/>
  <c r="C171" i="6" s="1"/>
  <c r="E603" i="2" s="1" a="1"/>
  <c r="E603" i="2" s="1"/>
  <c r="H12" i="9" a="1"/>
  <c r="H12" i="9" s="1"/>
  <c r="H108" i="7" a="1"/>
  <c r="H108" i="7" s="1"/>
  <c r="C108" i="7" s="1" a="1"/>
  <c r="C108" i="7" s="1"/>
  <c r="E399" i="2" s="1" a="1"/>
  <c r="E399" i="2" s="1"/>
  <c r="H129" i="6" a="1"/>
  <c r="H129" i="6" s="1"/>
  <c r="C129" i="6" s="1" a="1"/>
  <c r="C129" i="6" s="1"/>
  <c r="H184" i="8" a="1"/>
  <c r="H184" i="8" s="1"/>
  <c r="C184" i="8" s="1" a="1"/>
  <c r="C184" i="8" s="1"/>
  <c r="E435" i="2" s="1" a="1"/>
  <c r="E435" i="2" s="1"/>
  <c r="H36" i="4" a="1"/>
  <c r="H36" i="4" s="1"/>
  <c r="C36" i="4" s="1" a="1"/>
  <c r="C36" i="4" s="1"/>
  <c r="H83" i="6" a="1"/>
  <c r="H83" i="6" s="1"/>
  <c r="C83" i="6" s="1" a="1"/>
  <c r="C83" i="6" s="1"/>
  <c r="H7" i="6" a="1"/>
  <c r="H7" i="6" s="1"/>
  <c r="C7" i="6" s="1" a="1"/>
  <c r="C7" i="6" s="1"/>
  <c r="E21" i="2" s="1" a="1"/>
  <c r="E21" i="2" s="1"/>
  <c r="H176" i="4" a="1"/>
  <c r="H176" i="4" s="1"/>
  <c r="C176" i="4" s="1" a="1"/>
  <c r="C176" i="4" s="1"/>
  <c r="H87" i="7" a="1"/>
  <c r="H87" i="7" s="1"/>
  <c r="C87" i="7" s="1" a="1"/>
  <c r="C87" i="7" s="1"/>
  <c r="E310" i="2" s="1" a="1"/>
  <c r="E310" i="2" s="1"/>
  <c r="H13" i="5" a="1"/>
  <c r="H13" i="5" s="1"/>
  <c r="C13" i="5" s="1" a="1"/>
  <c r="C13" i="5" s="1"/>
  <c r="H57" i="4" a="1"/>
  <c r="H57" i="4" s="1"/>
  <c r="H80" i="6" a="1"/>
  <c r="H80" i="6" s="1"/>
  <c r="C80" i="6" s="1" a="1"/>
  <c r="C80" i="6" s="1"/>
  <c r="E330" i="2" s="1" a="1"/>
  <c r="E330" i="2" s="1"/>
  <c r="H398" i="4" a="1"/>
  <c r="H398" i="4" s="1"/>
  <c r="C398" i="4" s="1" a="1"/>
  <c r="C398" i="4" s="1"/>
  <c r="H142" i="7" a="1"/>
  <c r="H142" i="7" s="1"/>
  <c r="C142" i="7" s="1" a="1"/>
  <c r="C142" i="7" s="1"/>
  <c r="E493" i="2" s="1" a="1"/>
  <c r="E493" i="2" s="1"/>
  <c r="H174" i="4" a="1"/>
  <c r="H174" i="4" s="1"/>
  <c r="C174" i="4" s="1" a="1"/>
  <c r="C174" i="4" s="1"/>
  <c r="H339" i="4" a="1"/>
  <c r="H339" i="4" s="1"/>
  <c r="H99" i="6" a="1"/>
  <c r="H99" i="6" s="1"/>
  <c r="C99" i="6" s="1" a="1"/>
  <c r="C99" i="6" s="1"/>
  <c r="E414" i="2" s="1" a="1"/>
  <c r="E414" i="2" s="1"/>
  <c r="H198" i="5" a="1"/>
  <c r="H198" i="5" s="1"/>
  <c r="C198" i="5" s="1" a="1"/>
  <c r="C198" i="5" s="1"/>
  <c r="E635" i="2" s="1" a="1"/>
  <c r="E635" i="2" s="1"/>
  <c r="H139" i="8" a="1"/>
  <c r="H139" i="8" s="1"/>
  <c r="C139" i="8" s="1" a="1"/>
  <c r="C139" i="8" s="1"/>
  <c r="E336" i="2" s="1" a="1"/>
  <c r="E336" i="2" s="1"/>
  <c r="H156" i="8" a="1"/>
  <c r="H156" i="8" s="1"/>
  <c r="C156" i="8" s="1" a="1"/>
  <c r="C156" i="8" s="1"/>
  <c r="E363" i="2" s="1" a="1"/>
  <c r="E363" i="2" s="1"/>
  <c r="H130" i="8" a="1"/>
  <c r="H130" i="8" s="1"/>
  <c r="C130" i="8" s="1" a="1"/>
  <c r="C130" i="8" s="1"/>
  <c r="E314" i="2" s="1" a="1"/>
  <c r="E314" i="2" s="1"/>
  <c r="H11" i="4" a="1"/>
  <c r="H11" i="4" s="1"/>
  <c r="C11" i="4" s="1" a="1"/>
  <c r="C11" i="4" s="1"/>
  <c r="H185" i="7" a="1"/>
  <c r="H185" i="7" s="1"/>
  <c r="C185" i="7" s="1" a="1"/>
  <c r="C185" i="7" s="1"/>
  <c r="E604" i="2" s="1" a="1"/>
  <c r="E604" i="2" s="1"/>
  <c r="C59" i="4" a="1"/>
  <c r="C59" i="4" s="1"/>
  <c r="C164" i="7" a="1"/>
  <c r="C164" i="7" s="1"/>
  <c r="E565" i="2" s="1" a="1"/>
  <c r="E565" i="2" s="1"/>
  <c r="C117" i="7" a="1"/>
  <c r="C117" i="7" s="1"/>
  <c r="E428" i="2" s="1" a="1"/>
  <c r="E428" i="2" s="1"/>
  <c r="C201" i="4" a="1"/>
  <c r="C201" i="4" s="1"/>
  <c r="C188" i="7" a="1"/>
  <c r="C188" i="7" s="1"/>
  <c r="E608" i="2" s="1" a="1"/>
  <c r="E608" i="2" s="1"/>
  <c r="H16" i="4" a="1"/>
  <c r="H16" i="4" s="1"/>
  <c r="C16" i="4" s="1" a="1"/>
  <c r="C16" i="4" s="1"/>
  <c r="H40" i="5" a="1"/>
  <c r="H40" i="5" s="1"/>
  <c r="C40" i="5" s="1" a="1"/>
  <c r="C40" i="5" s="1"/>
  <c r="H93" i="6" a="1"/>
  <c r="H93" i="6" s="1"/>
  <c r="C363" i="4" a="1"/>
  <c r="C363" i="4" s="1"/>
  <c r="C44" i="8" a="1"/>
  <c r="C44" i="8" s="1"/>
  <c r="E127" i="2" s="1" a="1"/>
  <c r="E127" i="2" s="1"/>
  <c r="C47" i="4" a="1"/>
  <c r="C47" i="4" s="1"/>
  <c r="C140" i="6" a="1"/>
  <c r="C140" i="6" s="1"/>
  <c r="H393" i="4" a="1"/>
  <c r="H393" i="4" s="1"/>
  <c r="H26" i="6" a="1"/>
  <c r="H26" i="6" s="1"/>
  <c r="C26" i="6" s="1" a="1"/>
  <c r="C26" i="6" s="1"/>
  <c r="H353" i="4" a="1"/>
  <c r="H353" i="4" s="1"/>
  <c r="C353" i="4" s="1" a="1"/>
  <c r="C353" i="4" s="1"/>
  <c r="H287" i="4" a="1"/>
  <c r="H287" i="4" s="1"/>
  <c r="C287" i="4" s="1" a="1"/>
  <c r="C287" i="4" s="1"/>
  <c r="C123" i="4" a="1"/>
  <c r="C123" i="4" s="1"/>
  <c r="H37" i="9" a="1"/>
  <c r="H37" i="9" s="1"/>
  <c r="C189" i="6" a="1"/>
  <c r="C189" i="6" s="1"/>
  <c r="E633" i="2" s="1" a="1"/>
  <c r="E633" i="2" s="1"/>
  <c r="C14" i="4" a="1"/>
  <c r="C14" i="4" s="1"/>
  <c r="H97" i="6" a="1"/>
  <c r="H97" i="6" s="1"/>
  <c r="C97" i="6" s="1" a="1"/>
  <c r="C97" i="6" s="1"/>
  <c r="E412" i="2" s="1" a="1"/>
  <c r="E412" i="2" s="1"/>
  <c r="H158" i="4" a="1"/>
  <c r="H158" i="4" s="1"/>
  <c r="C158" i="4" s="1" a="1"/>
  <c r="C158" i="4" s="1"/>
  <c r="C209" i="5" a="1"/>
  <c r="C209" i="5" s="1"/>
  <c r="E666" i="2" s="1" a="1"/>
  <c r="E666" i="2" s="1"/>
  <c r="C59" i="5" a="1"/>
  <c r="C59" i="5" s="1"/>
  <c r="E192" i="2" s="1" a="1"/>
  <c r="E192" i="2" s="1"/>
  <c r="C175" i="5" a="1"/>
  <c r="C175" i="5" s="1"/>
  <c r="E579" i="2" s="1" a="1"/>
  <c r="E579" i="2" s="1"/>
  <c r="C56" i="7" a="1"/>
  <c r="C56" i="7" s="1"/>
  <c r="E176" i="2" s="1" a="1"/>
  <c r="E176" i="2" s="1"/>
  <c r="H181" i="6" a="1"/>
  <c r="H181" i="6" s="1"/>
  <c r="C181" i="6" s="1" a="1"/>
  <c r="C181" i="6" s="1"/>
  <c r="E616" i="2" s="1" a="1"/>
  <c r="E616" i="2" s="1"/>
  <c r="C190" i="4" a="1"/>
  <c r="C190" i="4" s="1"/>
  <c r="C26" i="5" a="1"/>
  <c r="C26" i="5" s="1"/>
  <c r="H80" i="4" a="1"/>
  <c r="H80" i="4" s="1"/>
  <c r="C80" i="4" s="1" a="1"/>
  <c r="C80" i="4" s="1"/>
  <c r="C67" i="4" a="1"/>
  <c r="C67" i="4" s="1"/>
  <c r="C30" i="4" a="1"/>
  <c r="C30" i="4" s="1"/>
  <c r="C173" i="7" a="1"/>
  <c r="C173" i="7" s="1"/>
  <c r="E586" i="2" s="1" a="1"/>
  <c r="E586" i="2" s="1"/>
  <c r="H12" i="4" a="1"/>
  <c r="H12" i="4" s="1"/>
  <c r="C12" i="4" s="1" a="1"/>
  <c r="C12" i="4" s="1"/>
  <c r="C37" i="7" a="1"/>
  <c r="C37" i="7" s="1"/>
  <c r="E129" i="2" s="1" a="1"/>
  <c r="E129" i="2" s="1"/>
  <c r="C57" i="4" a="1"/>
  <c r="C57" i="4" s="1"/>
  <c r="H180" i="5" a="1"/>
  <c r="H180" i="5" s="1"/>
  <c r="C180" i="5" s="1" a="1"/>
  <c r="C180" i="5" s="1"/>
  <c r="H112" i="5" a="1"/>
  <c r="H112" i="5" s="1"/>
  <c r="C112" i="5" s="1" a="1"/>
  <c r="C112" i="5" s="1"/>
  <c r="E438" i="2" s="1" a="1"/>
  <c r="E438" i="2" s="1"/>
  <c r="C41" i="5" a="1"/>
  <c r="C41" i="5" s="1"/>
  <c r="E120" i="2" s="1" a="1"/>
  <c r="E120" i="2" s="1"/>
  <c r="C134" i="4" a="1"/>
  <c r="C134" i="4" s="1"/>
  <c r="H55" i="5" a="1"/>
  <c r="H55" i="5" s="1"/>
  <c r="C142" i="5" a="1"/>
  <c r="C142" i="5" s="1"/>
  <c r="E514" i="2" s="1" a="1"/>
  <c r="E514" i="2" s="1"/>
  <c r="H210" i="7" a="1"/>
  <c r="H210" i="7" s="1"/>
  <c r="C210" i="7" s="1" a="1"/>
  <c r="C210" i="7" s="1"/>
  <c r="E670" i="2" s="1" a="1"/>
  <c r="E670" i="2" s="1"/>
  <c r="H208" i="7" a="1"/>
  <c r="H208" i="7" s="1"/>
  <c r="H169" i="7" a="1"/>
  <c r="H169" i="7" s="1"/>
  <c r="C169" i="7" s="1" a="1"/>
  <c r="C169" i="7" s="1"/>
  <c r="E582" i="2" s="1" a="1"/>
  <c r="E582" i="2" s="1"/>
  <c r="H28" i="6" a="1"/>
  <c r="H28" i="6" s="1"/>
  <c r="C28" i="6" s="1" a="1"/>
  <c r="C28" i="6" s="1"/>
  <c r="C135" i="6" a="1"/>
  <c r="C135" i="6" s="1"/>
  <c r="E516" i="2" s="1" a="1"/>
  <c r="E516" i="2" s="1"/>
  <c r="H39" i="9" a="1"/>
  <c r="H39" i="9" s="1"/>
  <c r="C274" i="4" a="1"/>
  <c r="C274" i="4" s="1"/>
  <c r="H56" i="9" a="1"/>
  <c r="H56" i="9" s="1"/>
  <c r="C25" i="4" a="1"/>
  <c r="C25" i="4" s="1"/>
  <c r="H120" i="4" a="1"/>
  <c r="H120" i="4" s="1"/>
  <c r="C120" i="4" s="1" a="1"/>
  <c r="C120" i="4" s="1"/>
  <c r="H180" i="7" a="1"/>
  <c r="H180" i="7" s="1"/>
  <c r="C180" i="7" s="1" a="1"/>
  <c r="C180" i="7" s="1"/>
  <c r="E594" i="2" s="1" a="1"/>
  <c r="E594" i="2" s="1"/>
  <c r="H133" i="4" a="1"/>
  <c r="H133" i="4" s="1"/>
  <c r="C133" i="4" s="1" a="1"/>
  <c r="C133" i="4" s="1"/>
  <c r="H254" i="4" a="1"/>
  <c r="H254" i="4" s="1"/>
  <c r="C254" i="4" s="1" a="1"/>
  <c r="C254" i="4" s="1"/>
  <c r="C49" i="7" a="1"/>
  <c r="C49" i="7" s="1"/>
  <c r="E151" i="2" s="1" a="1"/>
  <c r="E151" i="2" s="1"/>
  <c r="H116" i="8" a="1"/>
  <c r="H116" i="8" s="1"/>
  <c r="C116" i="8" s="1" a="1"/>
  <c r="C116" i="8" s="1"/>
  <c r="E283" i="2" s="1" a="1"/>
  <c r="E283" i="2" s="1"/>
  <c r="H26" i="8" a="1"/>
  <c r="H26" i="8" s="1"/>
  <c r="C26" i="8" s="1" a="1"/>
  <c r="C26" i="8" s="1"/>
  <c r="E61" i="2" s="1" a="1"/>
  <c r="E61" i="2" s="1"/>
  <c r="H151" i="6" a="1"/>
  <c r="H151" i="6" s="1"/>
  <c r="C151" i="6" s="1" a="1"/>
  <c r="C151" i="6" s="1"/>
  <c r="C111" i="5" a="1"/>
  <c r="C111" i="5" s="1"/>
  <c r="E434" i="2" s="1" a="1"/>
  <c r="E434" i="2" s="1"/>
  <c r="C80" i="8" a="1"/>
  <c r="C80" i="8" s="1"/>
  <c r="E223" i="2" s="1" a="1"/>
  <c r="E223" i="2" s="1"/>
  <c r="C158" i="8" a="1"/>
  <c r="C158" i="8" s="1"/>
  <c r="E367" i="2" s="1" a="1"/>
  <c r="E367" i="2" s="1"/>
  <c r="C111" i="4" a="1"/>
  <c r="C111" i="4" s="1"/>
  <c r="H24" i="4" a="1"/>
  <c r="H24" i="4" s="1"/>
  <c r="C24" i="4" s="1" a="1"/>
  <c r="C24" i="4" s="1"/>
  <c r="C55" i="7" a="1"/>
  <c r="C55" i="7" s="1"/>
  <c r="E171" i="2" s="1" a="1"/>
  <c r="E171" i="2" s="1"/>
  <c r="C148" i="5" a="1"/>
  <c r="C148" i="5" s="1"/>
  <c r="C159" i="7" a="1"/>
  <c r="C159" i="7" s="1"/>
  <c r="E554" i="2" s="1" a="1"/>
  <c r="E554" i="2" s="1"/>
  <c r="H264" i="4" a="1"/>
  <c r="H264" i="4" s="1"/>
  <c r="C264" i="4" s="1" a="1"/>
  <c r="C264" i="4" s="1"/>
  <c r="C72" i="4" a="1"/>
  <c r="C72" i="4" s="1"/>
  <c r="C119" i="8" a="1"/>
  <c r="C119" i="8" s="1"/>
  <c r="E292" i="2" s="1" a="1"/>
  <c r="E292" i="2" s="1"/>
  <c r="C53" i="4" a="1"/>
  <c r="C53" i="4" s="1"/>
  <c r="C120" i="6" a="1"/>
  <c r="C120" i="6" s="1"/>
  <c r="E487" i="2" s="1" a="1"/>
  <c r="E487" i="2" s="1"/>
  <c r="H107" i="5" a="1"/>
  <c r="H107" i="5" s="1"/>
  <c r="C107" i="5" s="1" a="1"/>
  <c r="C107" i="5" s="1"/>
  <c r="H46" i="5" a="1"/>
  <c r="H46" i="5" s="1"/>
  <c r="C13" i="7" a="1"/>
  <c r="C13" i="7" s="1"/>
  <c r="E42" i="2" s="1" a="1"/>
  <c r="E42" i="2" s="1"/>
  <c r="H17" i="7" a="1"/>
  <c r="H17" i="7" s="1"/>
  <c r="C17" i="7" s="1" a="1"/>
  <c r="C17" i="7" s="1"/>
  <c r="E57" i="2" s="1" a="1"/>
  <c r="E57" i="2" s="1"/>
  <c r="C181" i="8" a="1"/>
  <c r="C181" i="8" s="1"/>
  <c r="E429" i="2" s="1" a="1"/>
  <c r="E429" i="2" s="1"/>
  <c r="C50" i="6" a="1"/>
  <c r="C50" i="6" s="1"/>
  <c r="C94" i="4" a="1"/>
  <c r="C94" i="4" s="1"/>
  <c r="H236" i="4" a="1"/>
  <c r="H236" i="4" s="1"/>
  <c r="C236" i="4" s="1" a="1"/>
  <c r="C236" i="4" s="1"/>
  <c r="C162" i="7" a="1"/>
  <c r="C162" i="7" s="1"/>
  <c r="E561" i="2" s="1" a="1"/>
  <c r="E561" i="2" s="1"/>
  <c r="C115" i="8" a="1"/>
  <c r="C115" i="8" s="1"/>
  <c r="E282" i="2" s="1" a="1"/>
  <c r="E282" i="2" s="1"/>
  <c r="H204" i="5" a="1"/>
  <c r="H204" i="5" s="1"/>
  <c r="C204" i="5" s="1" a="1"/>
  <c r="C204" i="5" s="1"/>
  <c r="E648" i="2" s="1" a="1"/>
  <c r="E648" i="2" s="1"/>
  <c r="H81" i="6" a="1"/>
  <c r="H81" i="6" s="1"/>
  <c r="C81" i="6" s="1" a="1"/>
  <c r="C81" i="6" s="1"/>
  <c r="E343" i="2" s="1" a="1"/>
  <c r="E343" i="2" s="1"/>
  <c r="C119" i="7" a="1"/>
  <c r="C119" i="7" s="1"/>
  <c r="E442" i="2" s="1" a="1"/>
  <c r="E442" i="2" s="1"/>
  <c r="H65" i="8" a="1"/>
  <c r="H65" i="8" s="1"/>
  <c r="C65" i="8" s="1" a="1"/>
  <c r="C65" i="8" s="1"/>
  <c r="E186" i="2" s="1" a="1"/>
  <c r="E186" i="2" s="1"/>
  <c r="C51" i="7" a="1"/>
  <c r="C51" i="7" s="1"/>
  <c r="E154" i="2" s="1" a="1"/>
  <c r="E154" i="2" s="1"/>
  <c r="C174" i="8" a="1"/>
  <c r="C174" i="8" s="1"/>
  <c r="E411" i="2" s="1" a="1"/>
  <c r="E411" i="2" s="1"/>
  <c r="C282" i="4" a="1"/>
  <c r="C282" i="4" s="1"/>
  <c r="C138" i="6" a="1"/>
  <c r="C138" i="6" s="1"/>
  <c r="E521" i="2" s="1" a="1"/>
  <c r="E521" i="2" s="1"/>
  <c r="C56" i="6" a="1"/>
  <c r="C56" i="6" s="1"/>
  <c r="H127" i="6" a="1"/>
  <c r="H127" i="6" s="1"/>
  <c r="C127" i="6" s="1" a="1"/>
  <c r="C127" i="6" s="1"/>
  <c r="C249" i="4" a="1"/>
  <c r="C249" i="4" s="1"/>
  <c r="C31" i="8" a="1"/>
  <c r="C31" i="8" s="1"/>
  <c r="E89" i="2" s="1" a="1"/>
  <c r="E89" i="2" s="1"/>
  <c r="H117" i="8" a="1"/>
  <c r="H117" i="8" s="1"/>
  <c r="C117" i="8" s="1" a="1"/>
  <c r="C117" i="8" s="1"/>
  <c r="E286" i="2" s="1" a="1"/>
  <c r="E286" i="2" s="1"/>
  <c r="C5" i="4" a="1"/>
  <c r="C5" i="4" s="1"/>
  <c r="C400" i="4" a="1"/>
  <c r="C400" i="4" s="1"/>
  <c r="C392" i="4" a="1"/>
  <c r="C392" i="4" s="1"/>
  <c r="C397" i="4" a="1"/>
  <c r="C397" i="4" s="1"/>
  <c r="C391" i="4" a="1"/>
  <c r="C391" i="4" s="1"/>
  <c r="C381" i="4" a="1"/>
  <c r="C381" i="4" s="1"/>
  <c r="C404" i="4" a="1"/>
  <c r="C404" i="4" s="1"/>
  <c r="C364" i="4" a="1"/>
  <c r="C364" i="4" s="1"/>
  <c r="C340" i="4" a="1"/>
  <c r="C340" i="4" s="1"/>
  <c r="C356" i="4" a="1"/>
  <c r="C356" i="4" s="1"/>
  <c r="C393" i="4" a="1"/>
  <c r="C393" i="4" s="1"/>
  <c r="C21" i="4" a="1"/>
  <c r="C21" i="4" s="1"/>
  <c r="C377" i="4" a="1"/>
  <c r="C377" i="4" s="1"/>
  <c r="C405" i="4" a="1"/>
  <c r="C405" i="4" s="1"/>
  <c r="C306" i="4" a="1"/>
  <c r="C306" i="4" s="1"/>
  <c r="C50" i="8" a="1"/>
  <c r="C50" i="8" s="1"/>
  <c r="E145" i="2" s="1" a="1"/>
  <c r="E145" i="2" s="1"/>
  <c r="C136" i="6" a="1"/>
  <c r="C136" i="6" s="1"/>
  <c r="E519" i="2" s="1" a="1"/>
  <c r="E519" i="2" s="1"/>
  <c r="C114" i="7" a="1"/>
  <c r="C114" i="7" s="1"/>
  <c r="E417" i="2" s="1" a="1"/>
  <c r="E417" i="2" s="1"/>
  <c r="C96" i="8" a="1"/>
  <c r="C96" i="8" s="1"/>
  <c r="E251" i="2" s="1" a="1"/>
  <c r="E251" i="2" s="1"/>
  <c r="C297" i="4" a="1"/>
  <c r="C297" i="4" s="1"/>
  <c r="C108" i="6" a="1"/>
  <c r="C108" i="6" s="1"/>
  <c r="E451" i="2" s="1" a="1"/>
  <c r="E451" i="2" s="1"/>
  <c r="C332" i="4" a="1"/>
  <c r="C332" i="4" s="1"/>
  <c r="C86" i="8" a="1"/>
  <c r="C86" i="8" s="1"/>
  <c r="E232" i="2" s="1" a="1"/>
  <c r="E232" i="2" s="1"/>
  <c r="H162" i="5" a="1"/>
  <c r="H162" i="5" s="1"/>
  <c r="C162" i="5" s="1" a="1"/>
  <c r="C162" i="5" s="1"/>
  <c r="C153" i="6" a="1"/>
  <c r="C153" i="6" s="1"/>
  <c r="E558" i="2" s="1" a="1"/>
  <c r="E558" i="2" s="1"/>
  <c r="C135" i="7" a="1"/>
  <c r="C135" i="7" s="1"/>
  <c r="E475" i="2" s="1" a="1"/>
  <c r="E475" i="2" s="1"/>
  <c r="H288" i="4" a="1"/>
  <c r="H288" i="4" s="1"/>
  <c r="C288" i="4" s="1" a="1"/>
  <c r="C288" i="4" s="1"/>
  <c r="C132" i="8" a="1"/>
  <c r="C132" i="8" s="1"/>
  <c r="E320" i="2" s="1" a="1"/>
  <c r="E320" i="2" s="1"/>
  <c r="C116" i="5" a="1"/>
  <c r="C116" i="5" s="1"/>
  <c r="E449" i="2" s="1" a="1"/>
  <c r="E449" i="2" s="1"/>
  <c r="H76" i="4" a="1"/>
  <c r="H76" i="4" s="1"/>
  <c r="C76" i="4" s="1" a="1"/>
  <c r="C76" i="4" s="1"/>
  <c r="C19" i="7" a="1"/>
  <c r="C19" i="7" s="1"/>
  <c r="E64" i="2" s="1" a="1"/>
  <c r="E64" i="2" s="1"/>
  <c r="H15" i="7" a="1"/>
  <c r="H15" i="7" s="1"/>
  <c r="C15" i="7" s="1" a="1"/>
  <c r="C15" i="7" s="1"/>
  <c r="E49" i="2" s="1" a="1"/>
  <c r="E49" i="2" s="1"/>
  <c r="C89" i="7" a="1"/>
  <c r="C89" i="7" s="1"/>
  <c r="E323" i="2" s="1" a="1"/>
  <c r="E323" i="2" s="1"/>
  <c r="C65" i="7" a="1"/>
  <c r="C65" i="7" s="1"/>
  <c r="E207" i="2" s="1" a="1"/>
  <c r="E207" i="2" s="1"/>
  <c r="C109" i="5" a="1"/>
  <c r="C109" i="5" s="1"/>
  <c r="C281" i="4" a="1"/>
  <c r="C281" i="4" s="1"/>
  <c r="H64" i="6" a="1"/>
  <c r="H64" i="6" s="1"/>
  <c r="C64" i="6" s="1" a="1"/>
  <c r="C64" i="6" s="1"/>
  <c r="C186" i="5" a="1"/>
  <c r="C186" i="5" s="1"/>
  <c r="E599" i="2" s="1" a="1"/>
  <c r="E599" i="2" s="1"/>
  <c r="H115" i="4" a="1"/>
  <c r="H115" i="4" s="1"/>
  <c r="C115" i="4" s="1" a="1"/>
  <c r="C115" i="4" s="1"/>
  <c r="H184" i="6" a="1"/>
  <c r="H184" i="6" s="1"/>
  <c r="C184" i="6" s="1" a="1"/>
  <c r="C184" i="6" s="1"/>
  <c r="E623" i="2" s="1" a="1"/>
  <c r="E623" i="2" s="1"/>
  <c r="C248" i="4" a="1"/>
  <c r="C248" i="4" s="1"/>
  <c r="C44" i="7" a="1"/>
  <c r="C44" i="7" s="1"/>
  <c r="E143" i="2" s="1" a="1"/>
  <c r="E143" i="2" s="1"/>
  <c r="H52" i="9" a="1"/>
  <c r="H52" i="9" s="1"/>
  <c r="H178" i="8" a="1"/>
  <c r="H178" i="8" s="1"/>
  <c r="C178" i="8" s="1" a="1"/>
  <c r="C178" i="8" s="1"/>
  <c r="E423" i="2" s="1" a="1"/>
  <c r="E423" i="2" s="1"/>
  <c r="H123" i="5" a="1"/>
  <c r="H123" i="5" s="1"/>
  <c r="C123" i="5" s="1" a="1"/>
  <c r="C123" i="5" s="1"/>
  <c r="E470" i="2" s="1" a="1"/>
  <c r="E470" i="2" s="1"/>
  <c r="C118" i="5" a="1"/>
  <c r="C118" i="5" s="1"/>
  <c r="E455" i="2" s="1" a="1"/>
  <c r="E455" i="2" s="1"/>
  <c r="C92" i="8" a="1"/>
  <c r="C92" i="8" s="1"/>
  <c r="E243" i="2" s="1" a="1"/>
  <c r="E243" i="2" s="1"/>
  <c r="C121" i="6" a="1"/>
  <c r="C121" i="6" s="1"/>
  <c r="H255" i="4" a="1"/>
  <c r="H255" i="4" s="1"/>
  <c r="C255" i="4" s="1" a="1"/>
  <c r="C255" i="4" s="1"/>
  <c r="H395" i="4" a="1"/>
  <c r="H395" i="4" s="1"/>
  <c r="C395" i="4" s="1" a="1"/>
  <c r="C395" i="4" s="1"/>
  <c r="H158" i="7" a="1"/>
  <c r="H158" i="7" s="1"/>
  <c r="C158" i="7" s="1" a="1"/>
  <c r="C158" i="7" s="1"/>
  <c r="E553" i="2" s="1" a="1"/>
  <c r="E553" i="2" s="1"/>
  <c r="H8" i="4" a="1"/>
  <c r="H8" i="4" s="1"/>
  <c r="C8" i="4" s="1" a="1"/>
  <c r="C8" i="4" s="1"/>
  <c r="H327" i="4" a="1"/>
  <c r="H327" i="4" s="1"/>
  <c r="C327" i="4" s="1" a="1"/>
  <c r="C327" i="4" s="1"/>
  <c r="H142" i="6" a="1"/>
  <c r="H142" i="6" s="1"/>
  <c r="C142" i="6" s="1" a="1"/>
  <c r="C142" i="6" s="1"/>
  <c r="H362" i="4" a="1"/>
  <c r="H362" i="4" s="1"/>
  <c r="C362" i="4" s="1" a="1"/>
  <c r="C362" i="4" s="1"/>
  <c r="H37" i="6" a="1"/>
  <c r="H37" i="6" s="1"/>
  <c r="C37" i="6" s="1" a="1"/>
  <c r="C37" i="6" s="1"/>
  <c r="H20" i="5" a="1"/>
  <c r="H20" i="5" s="1"/>
  <c r="C20" i="5" s="1" a="1"/>
  <c r="C20" i="5" s="1"/>
  <c r="H144" i="7" a="1"/>
  <c r="H144" i="7" s="1"/>
  <c r="C144" i="7" s="1" a="1"/>
  <c r="C144" i="7" s="1"/>
  <c r="E497" i="2" s="1" a="1"/>
  <c r="E497" i="2" s="1"/>
  <c r="H8" i="6" a="1"/>
  <c r="H8" i="6" s="1"/>
  <c r="C8" i="6" s="1" a="1"/>
  <c r="C8" i="6" s="1"/>
  <c r="E28" i="2" s="1" a="1"/>
  <c r="E28" i="2" s="1"/>
  <c r="H172" i="5" a="1"/>
  <c r="H172" i="5" s="1"/>
  <c r="C172" i="5" s="1" a="1"/>
  <c r="C172" i="5" s="1"/>
  <c r="H128" i="6" a="1"/>
  <c r="H128" i="6" s="1"/>
  <c r="C128" i="6" s="1" a="1"/>
  <c r="C128" i="6" s="1"/>
  <c r="E501" i="2" s="1" a="1"/>
  <c r="E501" i="2" s="1"/>
  <c r="H169" i="8" a="1"/>
  <c r="H169" i="8" s="1"/>
  <c r="C169" i="8" s="1" a="1"/>
  <c r="C169" i="8" s="1"/>
  <c r="E397" i="2" s="1" a="1"/>
  <c r="E397" i="2" s="1"/>
  <c r="H153" i="4" a="1"/>
  <c r="H153" i="4" s="1"/>
  <c r="C153" i="4" s="1" a="1"/>
  <c r="C153" i="4" s="1"/>
  <c r="H4" i="5" a="1"/>
  <c r="H4" i="5" s="1"/>
  <c r="C4" i="5" s="1" a="1"/>
  <c r="C4" i="5" s="1"/>
  <c r="E3" i="2" s="1" a="1"/>
  <c r="E3" i="2" s="1"/>
  <c r="C2" i="3" s="1" a="1"/>
  <c r="C2" i="3" s="1"/>
  <c r="H87" i="4" a="1"/>
  <c r="H87" i="4" s="1"/>
  <c r="C87" i="4" s="1" a="1"/>
  <c r="C87" i="4" s="1"/>
  <c r="H213" i="4" a="1"/>
  <c r="H213" i="4" s="1"/>
  <c r="H276" i="4" a="1"/>
  <c r="H276" i="4" s="1"/>
  <c r="C276" i="4" s="1" a="1"/>
  <c r="C276" i="4" s="1"/>
  <c r="H401" i="4" a="1"/>
  <c r="H401" i="4" s="1"/>
  <c r="C401" i="4" s="1" a="1"/>
  <c r="C401" i="4" s="1"/>
  <c r="H212" i="4" a="1"/>
  <c r="H212" i="4" s="1"/>
  <c r="C212" i="4" s="1" a="1"/>
  <c r="C212" i="4" s="1"/>
  <c r="H94" i="7" a="1"/>
  <c r="H94" i="7" s="1"/>
  <c r="C94" i="7" s="1" a="1"/>
  <c r="C94" i="7" s="1"/>
  <c r="E345" i="2" s="1" a="1"/>
  <c r="E345" i="2" s="1"/>
  <c r="H63" i="9" a="1"/>
  <c r="H63" i="9" s="1"/>
  <c r="H92" i="6" a="1"/>
  <c r="H92" i="6" s="1"/>
  <c r="C92" i="6" s="1" a="1"/>
  <c r="C92" i="6" s="1"/>
  <c r="H110" i="4" a="1"/>
  <c r="H110" i="4" s="1"/>
  <c r="C110" i="4" s="1" a="1"/>
  <c r="C110" i="4" s="1"/>
  <c r="H185" i="6" a="1"/>
  <c r="H185" i="6" s="1"/>
  <c r="C185" i="6" s="1" a="1"/>
  <c r="C185" i="6" s="1"/>
  <c r="E624" i="2" s="1" a="1"/>
  <c r="E624" i="2" s="1"/>
  <c r="H184" i="7" a="1"/>
  <c r="H184" i="7" s="1"/>
  <c r="C184" i="7" s="1" a="1"/>
  <c r="C184" i="7" s="1"/>
  <c r="E602" i="2" s="1" a="1"/>
  <c r="E602" i="2" s="1"/>
  <c r="H96" i="4" a="1"/>
  <c r="H96" i="4" s="1"/>
  <c r="C96" i="4" s="1" a="1"/>
  <c r="C96" i="4" s="1"/>
  <c r="H23" i="8" a="1"/>
  <c r="H23" i="8" s="1"/>
  <c r="C23" i="8" s="1" a="1"/>
  <c r="C23" i="8" s="1"/>
  <c r="E56" i="2" s="1" a="1"/>
  <c r="E56" i="2" s="1"/>
  <c r="H268" i="4" a="1"/>
  <c r="H268" i="4" s="1"/>
  <c r="C268" i="4" s="1" a="1"/>
  <c r="C268" i="4" s="1"/>
  <c r="H121" i="4" a="1"/>
  <c r="H121" i="4" s="1"/>
  <c r="C121" i="4" s="1" a="1"/>
  <c r="C121" i="4" s="1"/>
  <c r="H19" i="9" a="1"/>
  <c r="H19" i="9" s="1"/>
  <c r="H309" i="4" a="1"/>
  <c r="H309" i="4" s="1"/>
  <c r="C309" i="4" s="1" a="1"/>
  <c r="C309" i="4" s="1"/>
  <c r="H311" i="4" a="1"/>
  <c r="H311" i="4" s="1"/>
  <c r="C311" i="4" s="1" a="1"/>
  <c r="C311" i="4" s="1"/>
  <c r="H336" i="4" a="1"/>
  <c r="H336" i="4" s="1"/>
  <c r="C336" i="4" s="1" a="1"/>
  <c r="C336" i="4" s="1"/>
  <c r="H113" i="5" a="1"/>
  <c r="H113" i="5" s="1"/>
  <c r="C113" i="5" s="1" a="1"/>
  <c r="C113" i="5" s="1"/>
  <c r="H174" i="6" a="1"/>
  <c r="H174" i="6" s="1"/>
  <c r="C174" i="6" s="1" a="1"/>
  <c r="C174" i="6" s="1"/>
  <c r="H261" i="4" a="1"/>
  <c r="H261" i="4" s="1"/>
  <c r="H119" i="4" a="1"/>
  <c r="H119" i="4" s="1"/>
  <c r="C119" i="4" s="1" a="1"/>
  <c r="C119" i="4" s="1"/>
  <c r="H315" i="4" a="1"/>
  <c r="H315" i="4" s="1"/>
  <c r="C315" i="4" s="1" a="1"/>
  <c r="C315" i="4" s="1"/>
  <c r="H199" i="4" a="1"/>
  <c r="H199" i="4" s="1"/>
  <c r="C199" i="4" s="1" a="1"/>
  <c r="C199" i="4" s="1"/>
  <c r="H77" i="4" a="1"/>
  <c r="H77" i="4" s="1"/>
  <c r="C77" i="4" s="1" a="1"/>
  <c r="C77" i="4" s="1"/>
  <c r="H153" i="5" a="1"/>
  <c r="H153" i="5" s="1"/>
  <c r="C153" i="5" s="1" a="1"/>
  <c r="C153" i="5" s="1"/>
  <c r="H13" i="4" a="1"/>
  <c r="H13" i="4" s="1"/>
  <c r="C13" i="4" s="1" a="1"/>
  <c r="C13" i="4" s="1"/>
  <c r="H58" i="6" a="1"/>
  <c r="H58" i="6" s="1"/>
  <c r="C58" i="6" s="1" a="1"/>
  <c r="C58" i="6" s="1"/>
  <c r="H69" i="4" a="1"/>
  <c r="H69" i="4" s="1"/>
  <c r="C69" i="4" s="1" a="1"/>
  <c r="C69" i="4" s="1"/>
  <c r="H125" i="6" a="1"/>
  <c r="H125" i="6" s="1"/>
  <c r="C125" i="6" s="1" a="1"/>
  <c r="C125" i="6" s="1"/>
  <c r="H74" i="5" a="1"/>
  <c r="H74" i="5" s="1"/>
  <c r="C74" i="5" s="1" a="1"/>
  <c r="C74" i="5" s="1"/>
  <c r="H83" i="7" a="1"/>
  <c r="H83" i="7" s="1"/>
  <c r="C83" i="7" s="1" a="1"/>
  <c r="C83" i="7" s="1"/>
  <c r="E284" i="2" s="1" a="1"/>
  <c r="E284" i="2" s="1"/>
  <c r="H154" i="8" a="1"/>
  <c r="H154" i="8" s="1"/>
  <c r="C154" i="8" s="1" a="1"/>
  <c r="C154" i="8" s="1"/>
  <c r="E361" i="2" s="1" a="1"/>
  <c r="E361" i="2" s="1"/>
  <c r="H53" i="8" a="1"/>
  <c r="H53" i="8" s="1"/>
  <c r="C53" i="8" s="1" a="1"/>
  <c r="C53" i="8" s="1"/>
  <c r="E161" i="2" s="1" a="1"/>
  <c r="E161" i="2" s="1"/>
  <c r="H113" i="6" a="1"/>
  <c r="H113" i="6" s="1"/>
  <c r="C113" i="6" s="1" a="1"/>
  <c r="C113" i="6" s="1"/>
  <c r="H299" i="4" a="1"/>
  <c r="H299" i="4" s="1"/>
  <c r="C299" i="4" s="1" a="1"/>
  <c r="C299" i="4" s="1"/>
  <c r="H354" i="4" a="1"/>
  <c r="H354" i="4" s="1"/>
  <c r="C354" i="4" s="1" a="1"/>
  <c r="C354" i="4" s="1"/>
  <c r="H207" i="6" a="1"/>
  <c r="H207" i="6" s="1"/>
  <c r="C207" i="6" s="1" a="1"/>
  <c r="C207" i="6" s="1"/>
  <c r="H141" i="8" a="1"/>
  <c r="H141" i="8" s="1"/>
  <c r="C141" i="8" s="1" a="1"/>
  <c r="C141" i="8" s="1"/>
  <c r="E339" i="2" s="1" a="1"/>
  <c r="E339" i="2" s="1"/>
  <c r="H68" i="6" a="1"/>
  <c r="H68" i="6" s="1"/>
  <c r="C68" i="6" s="1" a="1"/>
  <c r="C68" i="6" s="1"/>
  <c r="E293" i="2" s="1" a="1"/>
  <c r="E293" i="2" s="1"/>
  <c r="H136" i="4" a="1"/>
  <c r="H136" i="4" s="1"/>
  <c r="C136" i="4" s="1" a="1"/>
  <c r="C136" i="4" s="1"/>
  <c r="H61" i="6" a="1"/>
  <c r="H61" i="6" s="1"/>
  <c r="C61" i="6" s="1" a="1"/>
  <c r="C61" i="6" s="1"/>
  <c r="E241" i="2" s="1" a="1"/>
  <c r="E241" i="2" s="1"/>
  <c r="H143" i="8" a="1"/>
  <c r="H143" i="8" s="1"/>
  <c r="C143" i="8" s="1" a="1"/>
  <c r="C143" i="8" s="1"/>
  <c r="E341" i="2" s="1" a="1"/>
  <c r="E341" i="2" s="1"/>
  <c r="H388" i="4" a="1"/>
  <c r="H388" i="4" s="1"/>
  <c r="C388" i="4" s="1" a="1"/>
  <c r="C388" i="4" s="1"/>
  <c r="H66" i="4" a="1"/>
  <c r="H66" i="4" s="1"/>
  <c r="C66" i="4" s="1" a="1"/>
  <c r="C66" i="4" s="1"/>
  <c r="H201" i="6" a="1"/>
  <c r="H201" i="6" s="1"/>
  <c r="C201" i="6" s="1" a="1"/>
  <c r="C201" i="6" s="1"/>
  <c r="E654" i="2" s="1" a="1"/>
  <c r="E654" i="2" s="1"/>
  <c r="H26" i="9" a="1"/>
  <c r="H26" i="9" s="1"/>
  <c r="H179" i="7" a="1"/>
  <c r="H179" i="7" s="1"/>
  <c r="C179" i="7" s="1" a="1"/>
  <c r="C179" i="7" s="1"/>
  <c r="E593" i="2" s="1" a="1"/>
  <c r="E593" i="2" s="1"/>
  <c r="H216" i="4" a="1"/>
  <c r="H216" i="4" s="1"/>
  <c r="C216" i="4" s="1" a="1"/>
  <c r="C216" i="4" s="1"/>
  <c r="H38" i="8" a="1"/>
  <c r="H38" i="8" s="1"/>
  <c r="C38" i="8" s="1" a="1"/>
  <c r="C38" i="8" s="1"/>
  <c r="E106" i="2" s="1" a="1"/>
  <c r="E106" i="2" s="1"/>
  <c r="H50" i="4" a="1"/>
  <c r="H50" i="4" s="1"/>
  <c r="C50" i="4" s="1" a="1"/>
  <c r="C50" i="4" s="1"/>
  <c r="H128" i="8" a="1"/>
  <c r="H128" i="8" s="1"/>
  <c r="C128" i="8" s="1" a="1"/>
  <c r="C128" i="8" s="1"/>
  <c r="E311" i="2" s="1" a="1"/>
  <c r="E311" i="2" s="1"/>
  <c r="H143" i="7" a="1"/>
  <c r="H143" i="7" s="1"/>
  <c r="C143" i="7" s="1" a="1"/>
  <c r="C143" i="7" s="1"/>
  <c r="E496" i="2" s="1" a="1"/>
  <c r="E496" i="2" s="1"/>
  <c r="H165" i="8" a="1"/>
  <c r="H165" i="8" s="1"/>
  <c r="C165" i="8" s="1" a="1"/>
  <c r="C165" i="8" s="1"/>
  <c r="E388" i="2" s="1" a="1"/>
  <c r="E388" i="2" s="1"/>
  <c r="H20" i="7" a="1"/>
  <c r="H20" i="7" s="1"/>
  <c r="C20" i="7" s="1" a="1"/>
  <c r="C20" i="7" s="1"/>
  <c r="E65" i="2" s="1" a="1"/>
  <c r="E65" i="2" s="1"/>
  <c r="H92" i="7" a="1"/>
  <c r="H92" i="7" s="1"/>
  <c r="C92" i="7" s="1" a="1"/>
  <c r="C92" i="7" s="1"/>
  <c r="E337" i="2" s="1" a="1"/>
  <c r="E337" i="2" s="1"/>
  <c r="H27" i="4" a="1"/>
  <c r="H27" i="4" s="1"/>
  <c r="C27" i="4" s="1" a="1"/>
  <c r="C27" i="4" s="1"/>
  <c r="H122" i="8" a="1"/>
  <c r="H122" i="8" s="1"/>
  <c r="C122" i="8" s="1" a="1"/>
  <c r="C122" i="8" s="1"/>
  <c r="E298" i="2" s="1" a="1"/>
  <c r="E298" i="2" s="1"/>
  <c r="H103" i="8" a="1"/>
  <c r="H103" i="8" s="1"/>
  <c r="C103" i="8" s="1" a="1"/>
  <c r="C103" i="8" s="1"/>
  <c r="E262" i="2" s="1" a="1"/>
  <c r="E262" i="2" s="1"/>
  <c r="H89" i="6" a="1"/>
  <c r="H89" i="6" s="1"/>
  <c r="C89" i="6" s="1" a="1"/>
  <c r="C89" i="6" s="1"/>
  <c r="E386" i="2" s="1" a="1"/>
  <c r="E386" i="2" s="1"/>
  <c r="H29" i="8" a="1"/>
  <c r="H29" i="8" s="1"/>
  <c r="C29" i="8" s="1" a="1"/>
  <c r="C29" i="8" s="1"/>
  <c r="E78" i="2" s="1" a="1"/>
  <c r="E78" i="2" s="1"/>
  <c r="H9" i="6" a="1"/>
  <c r="H9" i="6" s="1"/>
  <c r="C9" i="6" s="1" a="1"/>
  <c r="C9" i="6" s="1"/>
  <c r="H387" i="4" a="1"/>
  <c r="H387" i="4" s="1"/>
  <c r="C387" i="4" s="1" a="1"/>
  <c r="C387" i="4" s="1"/>
  <c r="H402" i="4" a="1"/>
  <c r="H402" i="4" s="1"/>
  <c r="C402" i="4" s="1" a="1"/>
  <c r="C402" i="4" s="1"/>
  <c r="H207" i="5" a="1"/>
  <c r="H207" i="5" s="1"/>
  <c r="C207" i="5" s="1" a="1"/>
  <c r="C207" i="5" s="1"/>
  <c r="E653" i="2" s="1" a="1"/>
  <c r="E653" i="2" s="1"/>
  <c r="H305" i="4" a="1"/>
  <c r="H305" i="4" s="1"/>
  <c r="C305" i="4" s="1" a="1"/>
  <c r="C305" i="4" s="1"/>
  <c r="H89" i="5" a="1"/>
  <c r="H89" i="5" s="1"/>
  <c r="C89" i="5" s="1" a="1"/>
  <c r="C89" i="5" s="1"/>
  <c r="H177" i="5" a="1"/>
  <c r="H177" i="5" s="1"/>
  <c r="C177" i="5" s="1" a="1"/>
  <c r="C177" i="5" s="1"/>
  <c r="H89" i="4" a="1"/>
  <c r="H89" i="4" s="1"/>
  <c r="C89" i="4" s="1" a="1"/>
  <c r="C89" i="4" s="1"/>
  <c r="H33" i="4" a="1"/>
  <c r="H33" i="4" s="1"/>
  <c r="C33" i="4" s="1" a="1"/>
  <c r="C33" i="4" s="1"/>
  <c r="H308" i="4" a="1"/>
  <c r="H308" i="4" s="1"/>
  <c r="C308" i="4" s="1" a="1"/>
  <c r="C308" i="4" s="1"/>
  <c r="H9" i="5" a="1"/>
  <c r="H9" i="5" s="1"/>
  <c r="C9" i="5" s="1" a="1"/>
  <c r="C9" i="5" s="1"/>
  <c r="E14" i="2" s="1" a="1"/>
  <c r="E14" i="2" s="1"/>
  <c r="H22" i="9" a="1"/>
  <c r="H22" i="9" s="1"/>
  <c r="C93" i="6" a="1"/>
  <c r="C93" i="6" s="1"/>
  <c r="C16" i="8" a="1"/>
  <c r="C16" i="8" s="1"/>
  <c r="E34" i="2" s="1" a="1"/>
  <c r="E34" i="2" s="1"/>
  <c r="H24" i="9" a="1"/>
  <c r="H24" i="9" s="1"/>
  <c r="H88" i="6" a="1"/>
  <c r="H88" i="6" s="1"/>
  <c r="C88" i="6" s="1" a="1"/>
  <c r="C88" i="6" s="1"/>
  <c r="C45" i="5" a="1"/>
  <c r="C45" i="5" s="1"/>
  <c r="H99" i="7" a="1"/>
  <c r="H99" i="7" s="1"/>
  <c r="C99" i="7" s="1" a="1"/>
  <c r="C99" i="7" s="1"/>
  <c r="E369" i="2" s="1" a="1"/>
  <c r="E369" i="2" s="1"/>
  <c r="C179" i="5" a="1"/>
  <c r="C179" i="5" s="1"/>
  <c r="H10" i="5" a="1"/>
  <c r="H10" i="5" s="1"/>
  <c r="C10" i="5" s="1" a="1"/>
  <c r="C10" i="5" s="1"/>
  <c r="E22" i="2" s="1" a="1"/>
  <c r="E22" i="2" s="1"/>
  <c r="C46" i="5" a="1"/>
  <c r="C46" i="5" s="1"/>
  <c r="H34" i="6" a="1"/>
  <c r="H34" i="6" s="1"/>
  <c r="C34" i="6" s="1" a="1"/>
  <c r="C34" i="6" s="1"/>
  <c r="H105" i="7" a="1"/>
  <c r="H105" i="7" s="1"/>
  <c r="C105" i="7" s="1" a="1"/>
  <c r="C105" i="7" s="1"/>
  <c r="E393" i="2" s="1" a="1"/>
  <c r="E393" i="2" s="1"/>
  <c r="C189" i="5" a="1"/>
  <c r="C189" i="5" s="1"/>
  <c r="E607" i="2" s="1" a="1"/>
  <c r="E607" i="2" s="1"/>
  <c r="C164" i="8" a="1"/>
  <c r="C164" i="8" s="1"/>
  <c r="E387" i="2" s="1" a="1"/>
  <c r="E387" i="2" s="1"/>
  <c r="C204" i="6" a="1"/>
  <c r="C204" i="6" s="1"/>
  <c r="E658" i="2" s="1" a="1"/>
  <c r="E658" i="2" s="1"/>
  <c r="C204" i="4" a="1"/>
  <c r="C204" i="4" s="1"/>
  <c r="C185" i="4" a="1"/>
  <c r="C185" i="4" s="1"/>
  <c r="C205" i="7" a="1"/>
  <c r="C205" i="7" s="1"/>
  <c r="E661" i="2" s="1" a="1"/>
  <c r="E661" i="2" s="1"/>
  <c r="H206" i="6" a="1"/>
  <c r="H206" i="6" s="1"/>
  <c r="C206" i="6" s="1" a="1"/>
  <c r="C206" i="6" s="1"/>
  <c r="H30" i="7" a="1"/>
  <c r="H30" i="7" s="1"/>
  <c r="C30" i="7" s="1" a="1"/>
  <c r="C30" i="7" s="1"/>
  <c r="E103" i="2" s="1" a="1"/>
  <c r="E103" i="2" s="1"/>
  <c r="H183" i="5" a="1"/>
  <c r="H183" i="5" s="1"/>
  <c r="C183" i="5" s="1" a="1"/>
  <c r="C183" i="5" s="1"/>
  <c r="E595" i="2" s="1" a="1"/>
  <c r="E595" i="2" s="1"/>
  <c r="H155" i="5" a="1"/>
  <c r="H155" i="5" s="1"/>
  <c r="C155" i="5" s="1" a="1"/>
  <c r="C155" i="5" s="1"/>
  <c r="C109" i="7" a="1"/>
  <c r="C109" i="7" s="1"/>
  <c r="E402" i="2" s="1" a="1"/>
  <c r="E402" i="2" s="1"/>
  <c r="C277" i="4" a="1"/>
  <c r="C277" i="4" s="1"/>
  <c r="H335" i="4" a="1"/>
  <c r="H335" i="4" s="1"/>
  <c r="C335" i="4" s="1" a="1"/>
  <c r="C335" i="4" s="1"/>
  <c r="C165" i="4" a="1"/>
  <c r="C165" i="4" s="1"/>
  <c r="C109" i="8" a="1"/>
  <c r="C109" i="8" s="1"/>
  <c r="E272" i="2" s="1" a="1"/>
  <c r="E272" i="2" s="1"/>
  <c r="C197" i="5" a="1"/>
  <c r="C197" i="5" s="1"/>
  <c r="H36" i="9" a="1"/>
  <c r="H36" i="9" s="1"/>
  <c r="H95" i="5" a="1"/>
  <c r="H95" i="5" s="1"/>
  <c r="C95" i="5" s="1" a="1"/>
  <c r="C95" i="5" s="1"/>
  <c r="C74" i="4" a="1"/>
  <c r="C74" i="4" s="1"/>
  <c r="H79" i="5" a="1"/>
  <c r="H79" i="5" s="1"/>
  <c r="C79" i="5" s="1" a="1"/>
  <c r="C79" i="5" s="1"/>
  <c r="E295" i="2" s="1" a="1"/>
  <c r="E295" i="2" s="1"/>
  <c r="C167" i="8" a="1"/>
  <c r="C167" i="8" s="1"/>
  <c r="E392" i="2" s="1" a="1"/>
  <c r="E392" i="2" s="1"/>
  <c r="C61" i="7" a="1"/>
  <c r="C61" i="7" s="1"/>
  <c r="E200" i="2" s="1" a="1"/>
  <c r="E200" i="2" s="1"/>
  <c r="H219" i="4" a="1"/>
  <c r="H219" i="4" s="1"/>
  <c r="C219" i="4" s="1" a="1"/>
  <c r="C219" i="4" s="1"/>
  <c r="C14" i="7" a="1"/>
  <c r="C14" i="7" s="1"/>
  <c r="E44" i="2" s="1" a="1"/>
  <c r="E44" i="2" s="1"/>
  <c r="C53" i="5" a="1"/>
  <c r="C53" i="5" s="1"/>
  <c r="E165" i="2" s="1" a="1"/>
  <c r="E165" i="2" s="1"/>
  <c r="C55" i="4" a="1"/>
  <c r="C55" i="4" s="1"/>
  <c r="C194" i="6" a="1"/>
  <c r="C194" i="6" s="1"/>
  <c r="E641" i="2" s="1" a="1"/>
  <c r="E641" i="2" s="1"/>
  <c r="H45" i="7" a="1"/>
  <c r="H45" i="7" s="1"/>
  <c r="C45" i="7" s="1" a="1"/>
  <c r="C45" i="7" s="1"/>
  <c r="E147" i="2" s="1" a="1"/>
  <c r="E147" i="2" s="1"/>
  <c r="C55" i="5" a="1"/>
  <c r="C55" i="5" s="1"/>
  <c r="C40" i="7" a="1"/>
  <c r="C40" i="7" s="1"/>
  <c r="E133" i="2" s="1" a="1"/>
  <c r="E133" i="2" s="1"/>
  <c r="C226" i="4" a="1"/>
  <c r="C226" i="4" s="1"/>
  <c r="C17" i="6" a="1"/>
  <c r="C17" i="6" s="1"/>
  <c r="E62" i="2" s="1" a="1"/>
  <c r="E62" i="2" s="1"/>
  <c r="C84" i="8" a="1"/>
  <c r="C84" i="8" s="1"/>
  <c r="E227" i="2" s="1" a="1"/>
  <c r="E227" i="2" s="1"/>
  <c r="H5" i="6" a="1"/>
  <c r="H5" i="6" s="1"/>
  <c r="C5" i="6" s="1" a="1"/>
  <c r="C5" i="6" s="1"/>
  <c r="C141" i="6" a="1"/>
  <c r="C141" i="6" s="1"/>
  <c r="E532" i="2" s="1" a="1"/>
  <c r="E532" i="2" s="1"/>
  <c r="H189" i="7" a="1"/>
  <c r="H189" i="7" s="1"/>
  <c r="C189" i="7" s="1" a="1"/>
  <c r="C189" i="7" s="1"/>
  <c r="E611" i="2" s="1" a="1"/>
  <c r="E611" i="2" s="1"/>
  <c r="C115" i="6" a="1"/>
  <c r="C115" i="6" s="1"/>
  <c r="C246" i="4" a="1"/>
  <c r="C246" i="4" s="1"/>
  <c r="C224" i="4" a="1"/>
  <c r="C224" i="4" s="1"/>
  <c r="H124" i="4" a="1"/>
  <c r="H124" i="4" s="1"/>
  <c r="C124" i="4" s="1" a="1"/>
  <c r="C124" i="4" s="1"/>
  <c r="H48" i="6" a="1"/>
  <c r="H48" i="6" s="1"/>
  <c r="C48" i="6" s="1" a="1"/>
  <c r="C48" i="6" s="1"/>
  <c r="E193" i="2" s="1" a="1"/>
  <c r="E193" i="2" s="1"/>
  <c r="C191" i="6" a="1"/>
  <c r="C191" i="6" s="1"/>
  <c r="C209" i="4" a="1"/>
  <c r="C209" i="4" s="1"/>
  <c r="C15" i="4" a="1"/>
  <c r="C15" i="4" s="1"/>
  <c r="H85" i="4" a="1"/>
  <c r="H85" i="4" s="1"/>
  <c r="C85" i="4" s="1" a="1"/>
  <c r="C85" i="4" s="1"/>
  <c r="C342" i="4" a="1"/>
  <c r="C342" i="4" s="1"/>
  <c r="C128" i="5" a="1"/>
  <c r="C128" i="5" s="1"/>
  <c r="H32" i="7" a="1"/>
  <c r="H32" i="7" s="1"/>
  <c r="C32" i="7" s="1" a="1"/>
  <c r="C32" i="7" s="1"/>
  <c r="E112" i="2" s="1" a="1"/>
  <c r="E112" i="2" s="1"/>
  <c r="C34" i="7" a="1"/>
  <c r="C34" i="7" s="1"/>
  <c r="E121" i="2" s="1" a="1"/>
  <c r="E121" i="2" s="1"/>
  <c r="C144" i="6" a="1"/>
  <c r="C144" i="6" s="1"/>
  <c r="E540" i="2" s="1" a="1"/>
  <c r="E540" i="2" s="1"/>
  <c r="C182" i="6" a="1"/>
  <c r="C182" i="6" s="1"/>
  <c r="E618" i="2" s="1" a="1"/>
  <c r="E618" i="2" s="1"/>
  <c r="H71" i="7" a="1"/>
  <c r="H71" i="7" s="1"/>
  <c r="C71" i="7" s="1" a="1"/>
  <c r="C71" i="7" s="1"/>
  <c r="E229" i="2" s="1" a="1"/>
  <c r="E229" i="2" s="1"/>
  <c r="C90" i="4" a="1"/>
  <c r="C90" i="4" s="1"/>
  <c r="C153" i="7" a="1"/>
  <c r="C153" i="7" s="1"/>
  <c r="E541" i="2" s="1" a="1"/>
  <c r="E541" i="2" s="1"/>
  <c r="H78" i="7" a="1"/>
  <c r="H78" i="7" s="1"/>
  <c r="C78" i="7" s="1" a="1"/>
  <c r="C78" i="7" s="1"/>
  <c r="E263" i="2" s="1" a="1"/>
  <c r="E263" i="2" s="1"/>
  <c r="C39" i="5" a="1"/>
  <c r="C39" i="5" s="1"/>
  <c r="C146" i="6" a="1"/>
  <c r="C146" i="6" s="1"/>
  <c r="E544" i="2" s="1" a="1"/>
  <c r="E544" i="2" s="1"/>
  <c r="H129" i="5" a="1"/>
  <c r="H129" i="5" s="1"/>
  <c r="C129" i="5" s="1" a="1"/>
  <c r="C129" i="5" s="1"/>
  <c r="C39" i="6" a="1"/>
  <c r="C39" i="6" s="1"/>
  <c r="C360" i="4" a="1"/>
  <c r="C360" i="4" s="1"/>
  <c r="H251" i="4" a="1"/>
  <c r="H251" i="4" s="1"/>
  <c r="C251" i="4" s="1" a="1"/>
  <c r="C251" i="4" s="1"/>
  <c r="C76" i="7" a="1"/>
  <c r="C76" i="7" s="1"/>
  <c r="E245" i="2" s="1" a="1"/>
  <c r="E245" i="2" s="1"/>
  <c r="H88" i="8" a="1"/>
  <c r="H88" i="8" s="1"/>
  <c r="C88" i="8" s="1" a="1"/>
  <c r="C88" i="8" s="1"/>
  <c r="E234" i="2" s="1" a="1"/>
  <c r="E234" i="2" s="1"/>
  <c r="C361" i="4" a="1"/>
  <c r="C361" i="4" s="1"/>
  <c r="H66" i="9" a="1"/>
  <c r="H66" i="9" s="1"/>
  <c r="H113" i="8" a="1"/>
  <c r="H113" i="8" s="1"/>
  <c r="H191" i="8" a="1"/>
  <c r="H191" i="8" s="1"/>
  <c r="C191" i="8" s="1" a="1"/>
  <c r="C191" i="8" s="1"/>
  <c r="E458" i="2" s="1" a="1"/>
  <c r="E458" i="2" s="1"/>
  <c r="C54" i="6" a="1"/>
  <c r="C54" i="6" s="1"/>
  <c r="E213" i="2" s="1" a="1"/>
  <c r="E213" i="2" s="1"/>
  <c r="H14" i="5" a="1"/>
  <c r="H14" i="5" s="1"/>
  <c r="C14" i="5" s="1" a="1"/>
  <c r="C14" i="5" s="1"/>
  <c r="E38" i="2" s="1" a="1"/>
  <c r="E38" i="2" s="1"/>
  <c r="C17" i="4" a="1"/>
  <c r="C17" i="4" s="1"/>
  <c r="C126" i="5" a="1"/>
  <c r="C126" i="5" s="1"/>
  <c r="C197" i="8" a="1"/>
  <c r="C197" i="8" s="1"/>
  <c r="E482" i="2" s="1" a="1"/>
  <c r="E482" i="2" s="1"/>
  <c r="H104" i="8" a="1"/>
  <c r="H104" i="8" s="1"/>
  <c r="C104" i="8" s="1" a="1"/>
  <c r="C104" i="8" s="1"/>
  <c r="E264" i="2" s="1" a="1"/>
  <c r="E264" i="2" s="1"/>
  <c r="C6" i="4" a="1"/>
  <c r="C6" i="4" s="1"/>
  <c r="C153" i="8" a="1"/>
  <c r="C153" i="8" s="1"/>
  <c r="E359" i="2" s="1" a="1"/>
  <c r="E359" i="2" s="1"/>
  <c r="C198" i="7" a="1"/>
  <c r="C198" i="7" s="1"/>
  <c r="E638" i="2" s="1" a="1"/>
  <c r="E638" i="2" s="1"/>
  <c r="C25" i="6" a="1"/>
  <c r="C25" i="6" s="1"/>
  <c r="H240" i="4" a="1"/>
  <c r="H240" i="4" s="1"/>
  <c r="C240" i="4" s="1" a="1"/>
  <c r="C240" i="4" s="1"/>
  <c r="H123" i="7" a="1"/>
  <c r="H123" i="7" s="1"/>
  <c r="C123" i="7" s="1" a="1"/>
  <c r="C123" i="7" s="1"/>
  <c r="E448" i="2" s="1" a="1"/>
  <c r="E448" i="2" s="1"/>
  <c r="H38" i="6" a="1"/>
  <c r="H38" i="6" s="1"/>
  <c r="C38" i="6" s="1" a="1"/>
  <c r="C38" i="6" s="1"/>
  <c r="E155" i="2" s="1" a="1"/>
  <c r="E155" i="2" s="1"/>
  <c r="C314" i="4" a="1"/>
  <c r="C314" i="4" s="1"/>
  <c r="C49" i="4" a="1"/>
  <c r="C49" i="4" s="1"/>
  <c r="C352" i="4" a="1"/>
  <c r="C352" i="4" s="1"/>
  <c r="H186" i="8" a="1"/>
  <c r="H186" i="8" s="1"/>
  <c r="C186" i="8" s="1" a="1"/>
  <c r="C186" i="8" s="1"/>
  <c r="E437" i="2" s="1" a="1"/>
  <c r="E437" i="2" s="1"/>
  <c r="C105" i="8" a="1"/>
  <c r="C105" i="8" s="1"/>
  <c r="E266" i="2" s="1" a="1"/>
  <c r="E266" i="2" s="1"/>
  <c r="C149" i="5" a="1"/>
  <c r="C149" i="5" s="1"/>
  <c r="C126" i="8" a="1"/>
  <c r="C126" i="8" s="1"/>
  <c r="E308" i="2" s="1" a="1"/>
  <c r="E308" i="2" s="1"/>
  <c r="H137" i="7" a="1"/>
  <c r="H137" i="7" s="1"/>
  <c r="C137" i="7" s="1" a="1"/>
  <c r="C137" i="7" s="1"/>
  <c r="E478" i="2" s="1" a="1"/>
  <c r="E478" i="2" s="1"/>
  <c r="C97" i="4" a="1"/>
  <c r="C97" i="4" s="1"/>
  <c r="H229" i="4" a="1"/>
  <c r="H229" i="4" s="1"/>
  <c r="C229" i="4" s="1" a="1"/>
  <c r="C229" i="4" s="1"/>
  <c r="C115" i="5" a="1"/>
  <c r="C115" i="5" s="1"/>
  <c r="H32" i="9" a="1"/>
  <c r="H32" i="9" s="1"/>
  <c r="C151" i="5" a="1"/>
  <c r="C151" i="5" s="1"/>
  <c r="E528" i="2" s="1" a="1"/>
  <c r="E528" i="2" s="1"/>
  <c r="C261" i="4" a="1"/>
  <c r="C261" i="4" s="1"/>
  <c r="C34" i="8" a="1"/>
  <c r="C34" i="8" s="1"/>
  <c r="E93" i="2" s="1" a="1"/>
  <c r="E93" i="2" s="1"/>
  <c r="C66" i="7" a="1"/>
  <c r="C66" i="7" s="1"/>
  <c r="E208" i="2" s="1" a="1"/>
  <c r="E208" i="2" s="1"/>
  <c r="H140" i="7" a="1"/>
  <c r="H140" i="7" s="1"/>
  <c r="C140" i="7" s="1" a="1"/>
  <c r="C140" i="7" s="1"/>
  <c r="E491" i="2" s="1" a="1"/>
  <c r="E491" i="2" s="1"/>
  <c r="C8" i="8" a="1"/>
  <c r="C8" i="8" s="1"/>
  <c r="E15" i="2" s="1" a="1"/>
  <c r="E15" i="2" s="1"/>
  <c r="C3" i="7" a="1"/>
  <c r="C3" i="7" s="1"/>
  <c r="C11" i="7" a="1"/>
  <c r="C11" i="7" s="1"/>
  <c r="E37" i="2" s="1" a="1"/>
  <c r="E37" i="2" s="1"/>
  <c r="C195" i="7" a="1"/>
  <c r="C195" i="7" s="1"/>
  <c r="E634" i="2" s="1" a="1"/>
  <c r="E634" i="2" s="1"/>
  <c r="C200" i="7" a="1"/>
  <c r="C200" i="7" s="1"/>
  <c r="E647" i="2" s="1" a="1"/>
  <c r="E647" i="2" s="1"/>
  <c r="C208" i="7" a="1"/>
  <c r="C208" i="7" s="1"/>
  <c r="E665" i="2" s="1" a="1"/>
  <c r="E665" i="2" s="1"/>
  <c r="C191" i="7" a="1"/>
  <c r="C191" i="7" s="1"/>
  <c r="E621" i="2" s="1" a="1"/>
  <c r="E621" i="2" s="1"/>
  <c r="C190" i="7" a="1"/>
  <c r="C190" i="7" s="1"/>
  <c r="E620" i="2" s="1" a="1"/>
  <c r="E620" i="2" s="1"/>
  <c r="C202" i="7" a="1"/>
  <c r="C202" i="7" s="1"/>
  <c r="E655" i="2" s="1" a="1"/>
  <c r="E655" i="2" s="1"/>
  <c r="C186" i="7" a="1"/>
  <c r="C186" i="7" s="1"/>
  <c r="E605" i="2" s="1" a="1"/>
  <c r="E605" i="2" s="1"/>
  <c r="C203" i="7" a="1"/>
  <c r="C203" i="7" s="1"/>
  <c r="E657" i="2" s="1" a="1"/>
  <c r="E657" i="2" s="1"/>
  <c r="C209" i="7" a="1"/>
  <c r="C209" i="7" s="1"/>
  <c r="E669" i="2" s="1" a="1"/>
  <c r="E669" i="2" s="1"/>
  <c r="C174" i="7" a="1"/>
  <c r="C174" i="7" s="1"/>
  <c r="E587" i="2" s="1" a="1"/>
  <c r="E587" i="2" s="1"/>
  <c r="C157" i="5" a="1"/>
  <c r="C157" i="5" s="1"/>
  <c r="C317" i="4" a="1"/>
  <c r="C317" i="4" s="1"/>
  <c r="C3" i="6" a="1"/>
  <c r="C3" i="6" s="1"/>
  <c r="C163" i="6" a="1"/>
  <c r="C163" i="6" s="1"/>
  <c r="E575" i="2" s="1" a="1"/>
  <c r="E575" i="2" s="1"/>
  <c r="C371" i="4" a="1"/>
  <c r="C371" i="4" s="1"/>
  <c r="C179" i="4" a="1"/>
  <c r="C179" i="4" s="1"/>
  <c r="C275" i="4" a="1"/>
  <c r="C275" i="4" s="1"/>
  <c r="H43" i="4" a="1"/>
  <c r="H43" i="4" s="1"/>
  <c r="C43" i="4" s="1" a="1"/>
  <c r="C43" i="4" s="1"/>
  <c r="C158" i="6" a="1"/>
  <c r="C158" i="6" s="1"/>
  <c r="E564" i="2" s="1" a="1"/>
  <c r="E564" i="2" s="1"/>
  <c r="H180" i="8" a="1"/>
  <c r="H180" i="8" s="1"/>
  <c r="C180" i="8" s="1" a="1"/>
  <c r="C180" i="8" s="1"/>
  <c r="E425" i="2" s="1" a="1"/>
  <c r="E425" i="2" s="1"/>
  <c r="C291" i="4" a="1"/>
  <c r="C291" i="4" s="1"/>
  <c r="H163" i="7" a="1"/>
  <c r="H163" i="7" s="1"/>
  <c r="C163" i="7" s="1" a="1"/>
  <c r="C163" i="7" s="1"/>
  <c r="E562" i="2" s="1" a="1"/>
  <c r="E562" i="2" s="1"/>
  <c r="C158" i="5" a="1"/>
  <c r="C158" i="5" s="1"/>
  <c r="C98" i="5" a="1"/>
  <c r="C98" i="5" s="1"/>
  <c r="E391" i="2" s="1" a="1"/>
  <c r="E391" i="2" s="1"/>
  <c r="C213" i="4" a="1"/>
  <c r="C213" i="4" s="1"/>
  <c r="H156" i="5" a="1"/>
  <c r="H156" i="5" s="1"/>
  <c r="C156" i="5" s="1" a="1"/>
  <c r="C156" i="5" s="1"/>
  <c r="C74" i="6" a="1"/>
  <c r="C74" i="6" s="1"/>
  <c r="C194" i="4" a="1"/>
  <c r="C194" i="4" s="1"/>
  <c r="C204" i="8" a="1"/>
  <c r="C204" i="8" s="1"/>
  <c r="E542" i="2" s="1" a="1"/>
  <c r="E542" i="2" s="1"/>
  <c r="H35" i="6" a="1"/>
  <c r="H35" i="6" s="1"/>
  <c r="C35" i="6" s="1" a="1"/>
  <c r="C35" i="6" s="1"/>
  <c r="C100" i="7" a="1"/>
  <c r="C100" i="7" s="1"/>
  <c r="E370" i="2" s="1" a="1"/>
  <c r="E370" i="2" s="1"/>
  <c r="C82" i="8" a="1"/>
  <c r="C82" i="8" s="1"/>
  <c r="E225" i="2" s="1" a="1"/>
  <c r="E225" i="2" s="1"/>
  <c r="H142" i="4" a="1"/>
  <c r="H142" i="4" s="1"/>
  <c r="C142" i="4" s="1" a="1"/>
  <c r="C142" i="4" s="1"/>
  <c r="C197" i="4" a="1"/>
  <c r="C197" i="4" s="1"/>
  <c r="C260" i="4" a="1"/>
  <c r="C260" i="4" s="1"/>
  <c r="C113" i="8" a="1"/>
  <c r="C113" i="8" s="1"/>
  <c r="E279" i="2" s="1" a="1"/>
  <c r="E279" i="2" s="1"/>
  <c r="C122" i="6" a="1"/>
  <c r="C122" i="6" s="1"/>
  <c r="H124" i="8" a="1"/>
  <c r="H124" i="8" s="1"/>
  <c r="C124" i="8" s="1" a="1"/>
  <c r="C124" i="8" s="1"/>
  <c r="E304" i="2" s="1" a="1"/>
  <c r="E304" i="2" s="1"/>
  <c r="C81" i="8" a="1"/>
  <c r="C81" i="8" s="1"/>
  <c r="E224" i="2" s="1" a="1"/>
  <c r="E224" i="2" s="1"/>
  <c r="H303" i="4" a="1"/>
  <c r="H303" i="4" s="1"/>
  <c r="C303" i="4" s="1" a="1"/>
  <c r="C303" i="4" s="1"/>
  <c r="H67" i="7" a="1"/>
  <c r="H67" i="7" s="1"/>
  <c r="C67" i="7" s="1" a="1"/>
  <c r="C67" i="7" s="1"/>
  <c r="E210" i="2" s="1" a="1"/>
  <c r="E210" i="2" s="1"/>
  <c r="H24" i="8" a="1"/>
  <c r="H24" i="8" s="1"/>
  <c r="C24" i="8" s="1" a="1"/>
  <c r="C24" i="8" s="1"/>
  <c r="E58" i="2" s="1" a="1"/>
  <c r="E58" i="2" s="1"/>
  <c r="H101" i="4" a="1"/>
  <c r="H101" i="4" s="1"/>
  <c r="C101" i="4" s="1" a="1"/>
  <c r="C101" i="4" s="1"/>
  <c r="C73" i="5" a="1"/>
  <c r="C73" i="5" s="1"/>
  <c r="C196" i="7" a="1"/>
  <c r="C196" i="7" s="1"/>
  <c r="E636" i="2" s="1" a="1"/>
  <c r="E636" i="2" s="1"/>
  <c r="C25" i="5" a="1"/>
  <c r="C25" i="5" s="1"/>
  <c r="E76" i="2" s="1" a="1"/>
  <c r="E76" i="2" s="1"/>
  <c r="H20" i="9" a="1"/>
  <c r="H20" i="9" s="1"/>
  <c r="C339" i="4" a="1"/>
  <c r="C339" i="4" s="1"/>
  <c r="C133" i="6" a="1"/>
  <c r="C133" i="6" s="1"/>
  <c r="H130" i="5" a="1"/>
  <c r="H130" i="5" s="1"/>
  <c r="C130" i="5" s="1" a="1"/>
  <c r="C130" i="5" s="1"/>
  <c r="H206" i="5" a="1"/>
  <c r="H206" i="5" s="1"/>
  <c r="C206" i="5" s="1" a="1"/>
  <c r="C206" i="5" s="1"/>
  <c r="E650" i="2" s="1" a="1"/>
  <c r="E650" i="2" s="1"/>
  <c r="H252" i="4" a="1"/>
  <c r="H252" i="4" s="1"/>
  <c r="C252" i="4" s="1" a="1"/>
  <c r="C252" i="4" s="1"/>
  <c r="H6" i="5" a="1"/>
  <c r="H6" i="5" s="1"/>
  <c r="C6" i="5" s="1" a="1"/>
  <c r="C6" i="5" s="1"/>
  <c r="H178" i="7" a="1"/>
  <c r="H178" i="7" s="1"/>
  <c r="C178" i="7" s="1" a="1"/>
  <c r="C178" i="7" s="1"/>
  <c r="E592" i="2" s="1" a="1"/>
  <c r="E592" i="2" s="1"/>
  <c r="H344" i="4" a="1"/>
  <c r="H344" i="4" s="1"/>
  <c r="C344" i="4" s="1" a="1"/>
  <c r="C344" i="4" s="1"/>
  <c r="H194" i="7" a="1"/>
  <c r="H194" i="7" s="1"/>
  <c r="C194" i="7" s="1" a="1"/>
  <c r="C194" i="7" s="1"/>
  <c r="E631" i="2" s="1" a="1"/>
  <c r="E631" i="2" s="1"/>
  <c r="H259" i="4" a="1"/>
  <c r="H259" i="4" s="1"/>
  <c r="C259" i="4" s="1" a="1"/>
  <c r="C259" i="4" s="1"/>
  <c r="H22" i="7" a="1"/>
  <c r="H22" i="7" s="1"/>
  <c r="C22" i="7" s="1" a="1"/>
  <c r="C22" i="7" s="1"/>
  <c r="E71" i="2" s="1" a="1"/>
  <c r="E71" i="2" s="1"/>
  <c r="H130" i="6" a="1"/>
  <c r="H130" i="6" s="1"/>
  <c r="C130" i="6" s="1" a="1"/>
  <c r="C130" i="6" s="1"/>
  <c r="H367" i="4" a="1"/>
  <c r="H367" i="4" s="1"/>
  <c r="C367" i="4" s="1" a="1"/>
  <c r="C367" i="4" s="1"/>
  <c r="H64" i="8" a="1"/>
  <c r="H64" i="8" s="1"/>
  <c r="C64" i="8" s="1" a="1"/>
  <c r="C64" i="8" s="1"/>
  <c r="E184" i="2" s="1" a="1"/>
  <c r="E184" i="2" s="1"/>
  <c r="H172" i="7" a="1"/>
  <c r="H172" i="7" s="1"/>
  <c r="C172" i="7" s="1" a="1"/>
  <c r="C172" i="7" s="1"/>
  <c r="E585" i="2" s="1" a="1"/>
  <c r="E585" i="2" s="1"/>
  <c r="H273" i="4" a="1"/>
  <c r="H273" i="4" s="1"/>
  <c r="C273" i="4" s="1" a="1"/>
  <c r="C273" i="4" s="1"/>
  <c r="H239" i="4" a="1"/>
  <c r="H239" i="4" s="1"/>
  <c r="C239" i="4" s="1" a="1"/>
  <c r="C239" i="4" s="1"/>
  <c r="H88" i="7" a="1"/>
  <c r="H88" i="7" s="1"/>
  <c r="C88" i="7" s="1" a="1"/>
  <c r="C88" i="7" s="1"/>
  <c r="E318" i="2" s="1" a="1"/>
  <c r="E318" i="2" s="1"/>
  <c r="H265" i="4" a="1"/>
  <c r="H265" i="4" s="1"/>
  <c r="C265" i="4" s="1" a="1"/>
  <c r="C265" i="4" s="1"/>
  <c r="H40" i="6" a="1"/>
  <c r="H40" i="6" s="1"/>
  <c r="C40" i="6" s="1" a="1"/>
  <c r="C40" i="6" s="1"/>
  <c r="H106" i="5" a="1"/>
  <c r="H106" i="5" s="1"/>
  <c r="C106" i="5" s="1" a="1"/>
  <c r="C106" i="5" s="1"/>
  <c r="H145" i="5" a="1"/>
  <c r="H145" i="5" s="1"/>
  <c r="C145" i="5" s="1" a="1"/>
  <c r="C145" i="5" s="1"/>
  <c r="H196" i="5" a="1"/>
  <c r="H196" i="5" s="1"/>
  <c r="C196" i="5" s="1" a="1"/>
  <c r="C196" i="5" s="1"/>
  <c r="E632" i="2" s="1" a="1"/>
  <c r="E632" i="2" s="1"/>
  <c r="H121" i="7" a="1"/>
  <c r="H121" i="7" s="1"/>
  <c r="C121" i="7" s="1" a="1"/>
  <c r="C121" i="7" s="1"/>
  <c r="E444" i="2" s="1" a="1"/>
  <c r="E444" i="2" s="1"/>
  <c r="H84" i="6" a="1"/>
  <c r="H84" i="6" s="1"/>
  <c r="C84" i="6" s="1" a="1"/>
  <c r="C84" i="6" s="1"/>
  <c r="H103" i="7" a="1"/>
  <c r="H103" i="7" s="1"/>
  <c r="C103" i="7" s="1" a="1"/>
  <c r="C103" i="7" s="1"/>
  <c r="E374" i="2" s="1" a="1"/>
  <c r="E374" i="2" s="1"/>
  <c r="H201" i="8" a="1"/>
  <c r="H201" i="8" s="1"/>
  <c r="C201" i="8" s="1" a="1"/>
  <c r="C201" i="8" s="1"/>
  <c r="E498" i="2" s="1" a="1"/>
  <c r="E498" i="2" s="1"/>
  <c r="H64" i="7" a="1"/>
  <c r="H64" i="7" s="1"/>
  <c r="C64" i="7" s="1" a="1"/>
  <c r="C64" i="7" s="1"/>
  <c r="E205" i="2" s="1" a="1"/>
  <c r="E205" i="2" s="1"/>
  <c r="H242" i="4" a="1"/>
  <c r="H242" i="4" s="1"/>
  <c r="C242" i="4" s="1" a="1"/>
  <c r="C242" i="4" s="1"/>
  <c r="H313" i="4" a="1"/>
  <c r="H313" i="4" s="1"/>
  <c r="C313" i="4" s="1" a="1"/>
  <c r="C313" i="4" s="1"/>
  <c r="H50" i="5" a="1"/>
  <c r="H50" i="5" s="1"/>
  <c r="C50" i="5" s="1" a="1"/>
  <c r="C50" i="5" s="1"/>
  <c r="E158" i="2" s="1" a="1"/>
  <c r="E158" i="2" s="1"/>
  <c r="H68" i="4" a="1"/>
  <c r="H68" i="4" s="1"/>
  <c r="C68" i="4" s="1" a="1"/>
  <c r="C68" i="4" s="1"/>
  <c r="H140" i="5" a="1"/>
  <c r="H140" i="5" s="1"/>
  <c r="C140" i="5" s="1" a="1"/>
  <c r="C140" i="5" s="1"/>
  <c r="H60" i="6" a="1"/>
  <c r="H60" i="6" s="1"/>
  <c r="C60" i="6" s="1" a="1"/>
  <c r="C60" i="6" s="1"/>
  <c r="H214" i="4" a="1"/>
  <c r="H214" i="4" s="1"/>
  <c r="C214" i="4" s="1" a="1"/>
  <c r="C214" i="4" s="1"/>
  <c r="H164" i="6" a="1"/>
  <c r="H164" i="6" s="1"/>
  <c r="C164" i="6" s="1" a="1"/>
  <c r="C164" i="6" s="1"/>
  <c r="E577" i="2" s="1" a="1"/>
  <c r="E577" i="2" s="1"/>
  <c r="H167" i="7" a="1"/>
  <c r="H167" i="7" s="1"/>
  <c r="C167" i="7" s="1" a="1"/>
  <c r="C167" i="7" s="1"/>
  <c r="E571" i="2" s="1" a="1"/>
  <c r="E571" i="2" s="1"/>
  <c r="H176" i="6" a="1"/>
  <c r="H176" i="6" s="1"/>
  <c r="C176" i="6" s="1" a="1"/>
  <c r="C176" i="6" s="1"/>
  <c r="H225" i="4" a="1"/>
  <c r="H225" i="4" s="1"/>
  <c r="C225" i="4" s="1" a="1"/>
  <c r="C225" i="4" s="1"/>
  <c r="H182" i="7" a="1"/>
  <c r="H182" i="7" s="1"/>
  <c r="C182" i="7" s="1" a="1"/>
  <c r="C182" i="7" s="1"/>
  <c r="E598" i="2" s="1" a="1"/>
  <c r="E598" i="2" s="1"/>
  <c r="H134" i="5" a="1"/>
  <c r="H134" i="5" s="1"/>
  <c r="C134" i="5" s="1" a="1"/>
  <c r="C134" i="5" s="1"/>
  <c r="H78" i="8" a="1"/>
  <c r="H78" i="8" s="1"/>
  <c r="C78" i="8" s="1" a="1"/>
  <c r="C78" i="8" s="1"/>
  <c r="E220" i="2" s="1" a="1"/>
  <c r="E220" i="2" s="1"/>
  <c r="H61" i="5" a="1"/>
  <c r="H61" i="5" s="1"/>
  <c r="C61" i="5" s="1" a="1"/>
  <c r="C61" i="5" s="1"/>
  <c r="H167" i="6" a="1"/>
  <c r="H167" i="6" s="1"/>
  <c r="C167" i="6" s="1" a="1"/>
  <c r="C167" i="6" s="1"/>
  <c r="E589" i="2" s="1" a="1"/>
  <c r="E589" i="2" s="1"/>
  <c r="H102" i="6" a="1"/>
  <c r="H102" i="6" s="1"/>
  <c r="C102" i="6" s="1" a="1"/>
  <c r="C102" i="6" s="1"/>
  <c r="H42" i="5" a="1"/>
  <c r="H42" i="5" s="1"/>
  <c r="C42" i="5" s="1" a="1"/>
  <c r="C42" i="5" s="1"/>
  <c r="E123" i="2" s="1" a="1"/>
  <c r="E123" i="2" s="1"/>
  <c r="H150" i="6" a="1"/>
  <c r="H150" i="6" s="1"/>
  <c r="C150" i="6" s="1" a="1"/>
  <c r="C150" i="6" s="1"/>
  <c r="E556" i="2" s="1" a="1"/>
  <c r="E556" i="2" s="1"/>
  <c r="H6" i="6" a="1"/>
  <c r="H6" i="6" s="1"/>
  <c r="H69" i="7" a="1"/>
  <c r="H69" i="7" s="1"/>
  <c r="C69" i="7" s="1" a="1"/>
  <c r="C69" i="7" s="1"/>
  <c r="E222" i="2" s="1" a="1"/>
  <c r="E222" i="2" s="1"/>
  <c r="H38" i="5" a="1"/>
  <c r="H38" i="5" s="1"/>
  <c r="C38" i="5" s="1" a="1"/>
  <c r="C38" i="5" s="1"/>
  <c r="H138" i="7" a="1"/>
  <c r="H138" i="7" s="1"/>
  <c r="C138" i="7" s="1" a="1"/>
  <c r="C138" i="7" s="1"/>
  <c r="E481" i="2" s="1" a="1"/>
  <c r="E481" i="2" s="1"/>
  <c r="H77" i="6" a="1"/>
  <c r="H77" i="6" s="1"/>
  <c r="C77" i="6" s="1" a="1"/>
  <c r="C77" i="6" s="1"/>
  <c r="E325" i="2" s="1" a="1"/>
  <c r="E325" i="2" s="1"/>
  <c r="H3" i="8" a="1"/>
  <c r="H3" i="8" s="1"/>
  <c r="C3" i="8" s="1" a="1"/>
  <c r="C3" i="8" s="1"/>
  <c r="H5" i="8" a="1"/>
  <c r="H5" i="8" s="1"/>
  <c r="C5" i="8" s="1" a="1"/>
  <c r="C5" i="8" s="1"/>
  <c r="E7" i="2" s="1" a="1"/>
  <c r="E7" i="2" s="1"/>
  <c r="H140" i="4" a="1"/>
  <c r="H140" i="4" s="1"/>
  <c r="C140" i="4" s="1" a="1"/>
  <c r="C140" i="4" s="1"/>
  <c r="H161" i="7" a="1"/>
  <c r="H161" i="7" s="1"/>
  <c r="C161" i="7" s="1" a="1"/>
  <c r="C161" i="7" s="1"/>
  <c r="E559" i="2" s="1" a="1"/>
  <c r="E559" i="2" s="1"/>
  <c r="H184" i="5" a="1"/>
  <c r="H184" i="5" s="1"/>
  <c r="C184" i="5" s="1" a="1"/>
  <c r="C184" i="5" s="1"/>
  <c r="E596" i="2" s="1" a="1"/>
  <c r="E596" i="2" s="1"/>
  <c r="H206" i="7" a="1"/>
  <c r="H206" i="7" s="1"/>
  <c r="C206" i="7" s="1" a="1"/>
  <c r="C206" i="7" s="1"/>
  <c r="E662" i="2" s="1" a="1"/>
  <c r="E662" i="2" s="1"/>
  <c r="H113" i="4" a="1"/>
  <c r="H113" i="4" s="1"/>
  <c r="C113" i="4" s="1" a="1"/>
  <c r="C113" i="4" s="1"/>
  <c r="H68" i="5" a="1"/>
  <c r="H68" i="5" s="1"/>
  <c r="C68" i="5" s="1" a="1"/>
  <c r="C68" i="5" s="1"/>
  <c r="E261" i="2" s="1" a="1"/>
  <c r="E261" i="2" s="1"/>
  <c r="H118" i="8" a="1"/>
  <c r="H118" i="8" s="1"/>
  <c r="C118" i="8" s="1" a="1"/>
  <c r="C118" i="8" s="1"/>
  <c r="E288" i="2" s="1" a="1"/>
  <c r="E288" i="2" s="1"/>
  <c r="H30" i="6" a="1"/>
  <c r="H30" i="6" s="1"/>
  <c r="C30" i="6" s="1" a="1"/>
  <c r="C30" i="6" s="1"/>
  <c r="H23" i="4" a="1"/>
  <c r="H23" i="4" s="1"/>
  <c r="C23" i="4" s="1" a="1"/>
  <c r="C23" i="4" s="1"/>
  <c r="H358" i="4" a="1"/>
  <c r="H358" i="4" s="1"/>
  <c r="C358" i="4" s="1" a="1"/>
  <c r="C358" i="4" s="1"/>
  <c r="H51" i="4" a="1"/>
  <c r="H51" i="4" s="1"/>
  <c r="C51" i="4" s="1" a="1"/>
  <c r="C51" i="4" s="1"/>
  <c r="H373" i="4" a="1"/>
  <c r="H373" i="4" s="1"/>
  <c r="C373" i="4" s="1" a="1"/>
  <c r="C373" i="4" s="1"/>
  <c r="H124" i="7" a="1"/>
  <c r="H124" i="7" s="1"/>
  <c r="C124" i="7" s="1" a="1"/>
  <c r="C124" i="7" s="1"/>
  <c r="E450" i="2" s="1" a="1"/>
  <c r="E450" i="2" s="1"/>
  <c r="H23" i="6" a="1"/>
  <c r="H23" i="6" s="1"/>
  <c r="C23" i="6" s="1" a="1"/>
  <c r="C23" i="6" s="1"/>
  <c r="E95" i="2" s="1" a="1"/>
  <c r="E95" i="2" s="1"/>
  <c r="H61" i="8" a="1"/>
  <c r="H61" i="8" s="1"/>
  <c r="C61" i="8" s="1" a="1"/>
  <c r="C61" i="8" s="1"/>
  <c r="E178" i="2" s="1" a="1"/>
  <c r="E178" i="2" s="1"/>
  <c r="H62" i="4" a="1"/>
  <c r="H62" i="4" s="1"/>
  <c r="C62" i="4" s="1" a="1"/>
  <c r="C62" i="4" s="1"/>
  <c r="H135" i="4" a="1"/>
  <c r="H135" i="4" s="1"/>
  <c r="C135" i="4" s="1" a="1"/>
  <c r="C135" i="4" s="1"/>
  <c r="H14" i="6" a="1"/>
  <c r="H14" i="6" s="1"/>
  <c r="C14" i="6" s="1" a="1"/>
  <c r="C14" i="6" s="1"/>
  <c r="E55" i="2" s="1" a="1"/>
  <c r="E55" i="2" s="1"/>
  <c r="H66" i="8" a="1"/>
  <c r="H66" i="8" s="1"/>
  <c r="C66" i="8" s="1" a="1"/>
  <c r="C66" i="8" s="1"/>
  <c r="E189" i="2" s="1" a="1"/>
  <c r="E189" i="2" s="1"/>
  <c r="H10" i="7" a="1"/>
  <c r="H10" i="7" s="1"/>
  <c r="J7" i="7" s="1" a="1"/>
  <c r="J7" i="7" s="1"/>
  <c r="H201" i="7" a="1"/>
  <c r="H201" i="7" s="1"/>
  <c r="C201" i="7" s="1" a="1"/>
  <c r="C201" i="7" s="1"/>
  <c r="E652" i="2" s="1" a="1"/>
  <c r="E652" i="2" s="1"/>
  <c r="H208" i="6" a="1"/>
  <c r="H208" i="6" s="1"/>
  <c r="C208" i="6" s="1" a="1"/>
  <c r="C208" i="6" s="1"/>
  <c r="E667" i="2" s="1" a="1"/>
  <c r="E667" i="2" s="1"/>
  <c r="H148" i="4" a="1"/>
  <c r="H148" i="4" s="1"/>
  <c r="C148" i="4" s="1" a="1"/>
  <c r="C148" i="4" s="1"/>
  <c r="H162" i="6" a="1"/>
  <c r="H162" i="6" s="1"/>
  <c r="C162" i="6" s="1" a="1"/>
  <c r="C162" i="6" s="1"/>
  <c r="E573" i="2" s="1" a="1"/>
  <c r="E573" i="2" s="1"/>
  <c r="H98" i="7" a="1"/>
  <c r="H98" i="7" s="1"/>
  <c r="C98" i="7" s="1" a="1"/>
  <c r="C98" i="7" s="1"/>
  <c r="E365" i="2" s="1" a="1"/>
  <c r="E365" i="2" s="1"/>
  <c r="H177" i="6" a="1"/>
  <c r="H177" i="6" s="1"/>
  <c r="C177" i="6" s="1" a="1"/>
  <c r="C177" i="6" s="1"/>
  <c r="E613" i="2" s="1" a="1"/>
  <c r="E613" i="2" s="1"/>
  <c r="H42" i="6" a="1"/>
  <c r="H42" i="6" s="1"/>
  <c r="C42" i="6" s="1" a="1"/>
  <c r="C42" i="6" s="1"/>
  <c r="H159" i="8" a="1"/>
  <c r="H159" i="8" s="1"/>
  <c r="C159" i="8" s="1" a="1"/>
  <c r="C159" i="8" s="1"/>
  <c r="E375" i="2" s="1" a="1"/>
  <c r="E375" i="2" s="1"/>
  <c r="H18" i="5" a="1"/>
  <c r="H18" i="5" s="1"/>
  <c r="C18" i="5" s="1" a="1"/>
  <c r="C18" i="5" s="1"/>
  <c r="E48" i="2" s="1" a="1"/>
  <c r="E48" i="2" s="1"/>
  <c r="H295" i="4" a="1"/>
  <c r="H295" i="4" s="1"/>
  <c r="C295" i="4" s="1" a="1"/>
  <c r="C295" i="4" s="1"/>
  <c r="H165" i="7" a="1"/>
  <c r="H165" i="7" s="1"/>
  <c r="C165" i="7" s="1" a="1"/>
  <c r="C165" i="7" s="1"/>
  <c r="E567" i="2" s="1" a="1"/>
  <c r="E567" i="2" s="1"/>
  <c r="H107" i="8" a="1"/>
  <c r="H107" i="8" s="1"/>
  <c r="C107" i="8" s="1" a="1"/>
  <c r="C107" i="8" s="1"/>
  <c r="E269" i="2" s="1" a="1"/>
  <c r="E269" i="2" s="1"/>
  <c r="H43" i="8" a="1"/>
  <c r="H43" i="8" s="1"/>
  <c r="C43" i="8" s="1" a="1"/>
  <c r="C43" i="8" s="1"/>
  <c r="E122" i="2" s="1" a="1"/>
  <c r="E122" i="2" s="1"/>
  <c r="H53" i="9" l="1" a="1"/>
  <c r="H53" i="9" s="1"/>
  <c r="H62" i="9" a="1"/>
  <c r="H62" i="9" s="1"/>
  <c r="H51" i="9" a="1"/>
  <c r="H51" i="9" s="1"/>
  <c r="E56" i="9" a="1"/>
  <c r="E56" i="9" s="1"/>
  <c r="J510" i="2" a="1"/>
  <c r="J510" i="2" s="1"/>
  <c r="C10" i="7" a="1"/>
  <c r="C10" i="7" s="1"/>
  <c r="E35" i="2" s="1" a="1"/>
  <c r="E35" i="2" s="1"/>
  <c r="F25" i="3" a="1"/>
  <c r="F25" i="3" s="1"/>
  <c r="F28" i="3" s="1" a="1"/>
  <c r="F28" i="3" s="1"/>
  <c r="U25" i="3" s="1" a="1"/>
  <c r="U25" i="3" s="1"/>
  <c r="AE2" i="3" s="1" a="1"/>
  <c r="AE2" i="3" s="1"/>
  <c r="J24" i="2" a="1"/>
  <c r="J24" i="2" s="1"/>
  <c r="E3" i="9" a="1"/>
  <c r="E3" i="9" s="1"/>
  <c r="C145" i="8" a="1"/>
  <c r="C145" i="8" s="1"/>
  <c r="E346" i="2" s="1" a="1"/>
  <c r="E346" i="2" s="1"/>
  <c r="C142" i="8" a="1"/>
  <c r="C142" i="8" s="1"/>
  <c r="E340" i="2" s="1" a="1"/>
  <c r="E340" i="2" s="1"/>
  <c r="C189" i="8" a="1"/>
  <c r="C189" i="8" s="1"/>
  <c r="E452" i="2" s="1" a="1"/>
  <c r="E452" i="2" s="1"/>
  <c r="H41" i="9" a="1"/>
  <c r="H41" i="9" s="1"/>
  <c r="C137" i="8" a="1"/>
  <c r="C137" i="8" s="1"/>
  <c r="E332" i="2" s="1" a="1"/>
  <c r="E332" i="2" s="1"/>
  <c r="C9" i="8" a="1"/>
  <c r="C9" i="8" s="1"/>
  <c r="E19" i="2" s="1" a="1"/>
  <c r="E19" i="2" s="1"/>
  <c r="C149" i="8" a="1"/>
  <c r="C149" i="8" s="1"/>
  <c r="E353" i="2" s="1" a="1"/>
  <c r="E353" i="2" s="1"/>
  <c r="C45" i="8" a="1"/>
  <c r="C45" i="8" s="1"/>
  <c r="E128" i="2" s="1" a="1"/>
  <c r="E128" i="2" s="1"/>
  <c r="C155" i="8" a="1"/>
  <c r="C155" i="8" s="1"/>
  <c r="E362" i="2" s="1" a="1"/>
  <c r="E362" i="2" s="1"/>
  <c r="H10" i="9" a="1"/>
  <c r="H10" i="9" s="1"/>
  <c r="C57" i="8" a="1"/>
  <c r="C57" i="8" s="1"/>
  <c r="E169" i="2" s="1" a="1"/>
  <c r="E169" i="2" s="1"/>
  <c r="C150" i="8" a="1"/>
  <c r="C150" i="8" s="1"/>
  <c r="E354" i="2" s="1" a="1"/>
  <c r="E354" i="2" s="1"/>
  <c r="H59" i="9" a="1"/>
  <c r="H59" i="9" s="1"/>
  <c r="C63" i="8" a="1"/>
  <c r="C63" i="8" s="1"/>
  <c r="E182" i="2" s="1" a="1"/>
  <c r="E182" i="2" s="1"/>
  <c r="C39" i="8" a="1"/>
  <c r="C39" i="8" s="1"/>
  <c r="E113" i="2" s="1" a="1"/>
  <c r="E113" i="2" s="1"/>
  <c r="C100" i="8" a="1"/>
  <c r="C100" i="8" s="1"/>
  <c r="E256" i="2" s="1" a="1"/>
  <c r="E256" i="2" s="1"/>
  <c r="H40" i="9" a="1"/>
  <c r="H40" i="9" s="1"/>
  <c r="H3" i="9" a="1"/>
  <c r="H3" i="9" s="1"/>
  <c r="C6" i="8" a="1"/>
  <c r="C6" i="8" s="1"/>
  <c r="E9" i="2" s="1" a="1"/>
  <c r="E9" i="2" s="1"/>
  <c r="H35" i="9" a="1"/>
  <c r="H35" i="9" s="1"/>
  <c r="C200" i="8" a="1"/>
  <c r="C200" i="8" s="1"/>
  <c r="E495" i="2" s="1" a="1"/>
  <c r="E495" i="2" s="1"/>
  <c r="H28" i="9" a="1"/>
  <c r="H28" i="9" s="1"/>
  <c r="C108" i="8" a="1"/>
  <c r="C108" i="8" s="1"/>
  <c r="E270" i="2" s="1" a="1"/>
  <c r="E270" i="2" s="1"/>
  <c r="C75" i="8" a="1"/>
  <c r="C75" i="8" s="1"/>
  <c r="E215" i="2" s="1" a="1"/>
  <c r="E215" i="2" s="1"/>
  <c r="C114" i="8" a="1"/>
  <c r="C114" i="8" s="1"/>
  <c r="E281" i="2" s="1" a="1"/>
  <c r="E281" i="2" s="1"/>
  <c r="H58" i="9" a="1"/>
  <c r="H58" i="9" s="1"/>
  <c r="C90" i="8" a="1"/>
  <c r="C90" i="8" s="1"/>
  <c r="E240" i="2" s="1" a="1"/>
  <c r="E240" i="2" s="1"/>
  <c r="H21" i="9" a="1"/>
  <c r="H21" i="9" s="1"/>
  <c r="H48" i="9" a="1"/>
  <c r="H48" i="9" s="1"/>
  <c r="H16" i="9" a="1"/>
  <c r="H16" i="9" s="1"/>
  <c r="C59" i="8" a="1"/>
  <c r="C59" i="8" s="1"/>
  <c r="E175" i="2" s="1" a="1"/>
  <c r="E175" i="2" s="1"/>
  <c r="H50" i="9" a="1"/>
  <c r="H50" i="9" s="1"/>
  <c r="C202" i="8" a="1"/>
  <c r="C202" i="8" s="1"/>
  <c r="E504" i="2" s="1" a="1"/>
  <c r="E504" i="2" s="1"/>
  <c r="C134" i="8" a="1"/>
  <c r="C134" i="8" s="1"/>
  <c r="E328" i="2" s="1" a="1"/>
  <c r="E328" i="2" s="1"/>
  <c r="C93" i="8" a="1"/>
  <c r="C93" i="8" s="1"/>
  <c r="E248" i="2" s="1" a="1"/>
  <c r="E248" i="2" s="1"/>
  <c r="J124" i="7" a="1"/>
  <c r="J124" i="7" s="1"/>
  <c r="C196" i="8" a="1"/>
  <c r="C196" i="8" s="1"/>
  <c r="E480" i="2" s="1" a="1"/>
  <c r="E480" i="2" s="1"/>
  <c r="C13" i="8" a="1"/>
  <c r="C13" i="8" s="1"/>
  <c r="E30" i="2" s="1" a="1"/>
  <c r="E30" i="2" s="1"/>
  <c r="C135" i="8" a="1"/>
  <c r="C135" i="8" s="1"/>
  <c r="E329" i="2" s="1" a="1"/>
  <c r="E329" i="2" s="1"/>
  <c r="C176" i="8" a="1"/>
  <c r="C176" i="8" s="1"/>
  <c r="E419" i="2" s="1" a="1"/>
  <c r="E419" i="2" s="1"/>
  <c r="H29" i="9" a="1"/>
  <c r="H29" i="9" s="1"/>
  <c r="H34" i="9" a="1"/>
  <c r="H34" i="9" s="1"/>
  <c r="C163" i="8" a="1"/>
  <c r="C163" i="8" s="1"/>
  <c r="E384" i="2" s="1" a="1"/>
  <c r="E384" i="2" s="1"/>
  <c r="C120" i="8" a="1"/>
  <c r="C120" i="8" s="1"/>
  <c r="E296" i="2" s="1" a="1"/>
  <c r="E296" i="2" s="1"/>
  <c r="C97" i="8" a="1"/>
  <c r="C97" i="8" s="1"/>
  <c r="E253" i="2" s="1" a="1"/>
  <c r="E253" i="2" s="1"/>
  <c r="C183" i="8" a="1"/>
  <c r="C183" i="8" s="1"/>
  <c r="E432" i="2" s="1" a="1"/>
  <c r="E432" i="2" s="1"/>
  <c r="C54" i="8" a="1"/>
  <c r="C54" i="8" s="1"/>
  <c r="E162" i="2" s="1" a="1"/>
  <c r="E162" i="2" s="1"/>
  <c r="C79" i="8" a="1"/>
  <c r="C79" i="8" s="1"/>
  <c r="E221" i="2" s="1" a="1"/>
  <c r="E221" i="2" s="1"/>
  <c r="H65" i="9" a="1"/>
  <c r="H65" i="9" s="1"/>
  <c r="H30" i="9" a="1"/>
  <c r="H30" i="9" s="1"/>
  <c r="H57" i="9" a="1"/>
  <c r="H57" i="9" s="1"/>
  <c r="J489" i="2" a="1"/>
  <c r="J489" i="2" s="1"/>
  <c r="E53" i="9" a="1"/>
  <c r="E53" i="9" s="1"/>
  <c r="J113" i="6" a="1"/>
  <c r="J113" i="6" s="1"/>
  <c r="C6" i="6" a="1"/>
  <c r="C6" i="6" s="1"/>
  <c r="E64" i="9" a="1"/>
  <c r="E64" i="9" s="1"/>
  <c r="J537" i="2" a="1"/>
  <c r="J537" i="2" s="1"/>
  <c r="E54" i="9" a="1"/>
  <c r="E54" i="9" s="1"/>
  <c r="J490" i="2" a="1"/>
  <c r="J490" i="2" s="1"/>
  <c r="E12" i="9" a="1"/>
  <c r="E12" i="9" s="1"/>
  <c r="J77" i="2" a="1"/>
  <c r="J77" i="2" s="1"/>
  <c r="E55" i="9" a="1"/>
  <c r="E55" i="9" s="1"/>
  <c r="J507" i="2" a="1"/>
  <c r="J507" i="2" s="1"/>
  <c r="E51" i="9" a="1"/>
  <c r="E51" i="9" s="1"/>
  <c r="J479" i="2" a="1"/>
  <c r="J479" i="2" s="1"/>
  <c r="E14" i="9" a="1"/>
  <c r="E14" i="9" s="1"/>
  <c r="J81" i="2" a="1"/>
  <c r="J81" i="2" s="1"/>
  <c r="E29" i="9" a="1"/>
  <c r="E29" i="9" s="1"/>
  <c r="J212" i="2" a="1"/>
  <c r="J212" i="2" s="1"/>
  <c r="E30" i="9" a="1"/>
  <c r="E30" i="9" s="1"/>
  <c r="J214" i="2" a="1"/>
  <c r="J214" i="2" s="1"/>
  <c r="E23" i="9" a="1"/>
  <c r="E23" i="9" s="1"/>
  <c r="J153" i="2" a="1"/>
  <c r="J153" i="2" s="1"/>
  <c r="E45" i="9" a="1"/>
  <c r="E45" i="9" s="1"/>
  <c r="J385" i="2" a="1"/>
  <c r="J385" i="2" s="1"/>
  <c r="E46" i="9" a="1"/>
  <c r="E46" i="9" s="1"/>
  <c r="J389" i="2" a="1"/>
  <c r="J389" i="2" s="1"/>
  <c r="J427" i="2" a="1"/>
  <c r="J427" i="2" s="1"/>
  <c r="E49" i="9" a="1"/>
  <c r="E49" i="9" s="1"/>
  <c r="E7" i="9" a="1"/>
  <c r="E7" i="9" s="1"/>
  <c r="J47" i="2" a="1"/>
  <c r="J47" i="2" s="1"/>
  <c r="E62" i="9" a="1"/>
  <c r="E62" i="9" s="1"/>
  <c r="J534" i="2" a="1"/>
  <c r="J534" i="2" s="1"/>
  <c r="E38" i="9" a="1"/>
  <c r="E38" i="9" s="1"/>
  <c r="J324" i="2" a="1"/>
  <c r="J324" i="2" s="1"/>
  <c r="E28" i="9" a="1"/>
  <c r="E28" i="9" s="1"/>
  <c r="J199" i="2" a="1"/>
  <c r="J199" i="2" s="1"/>
  <c r="E4" i="9" a="1"/>
  <c r="E4" i="9" s="1"/>
  <c r="J26" i="2" a="1"/>
  <c r="J26" i="2" s="1"/>
  <c r="E61" i="9" a="1"/>
  <c r="E61" i="9" s="1"/>
  <c r="J530" i="2" a="1"/>
  <c r="J530" i="2" s="1"/>
  <c r="E42" i="9" a="1"/>
  <c r="E42" i="9" s="1"/>
  <c r="J377" i="2" a="1"/>
  <c r="J377" i="2" s="1"/>
  <c r="J355" i="2" a="1"/>
  <c r="J355" i="2" s="1"/>
  <c r="E40" i="9" a="1"/>
  <c r="E40" i="9" s="1"/>
  <c r="E60" i="9" a="1"/>
  <c r="E60" i="9" s="1"/>
  <c r="J527" i="2" a="1"/>
  <c r="J527" i="2" s="1"/>
  <c r="J299" i="2" a="1"/>
  <c r="J299" i="2" s="1"/>
  <c r="E35" i="9" a="1"/>
  <c r="E35" i="9" s="1"/>
  <c r="E6" i="9" a="1"/>
  <c r="E6" i="9" s="1"/>
  <c r="J45" i="2" a="1"/>
  <c r="J45" i="2" s="1"/>
  <c r="E10" i="9" a="1"/>
  <c r="E10" i="9" s="1"/>
  <c r="J66" i="2" a="1"/>
  <c r="J66" i="2" s="1"/>
  <c r="E44" i="9" a="1"/>
  <c r="E44" i="9" s="1"/>
  <c r="J381" i="2" a="1"/>
  <c r="J381" i="2" s="1"/>
  <c r="J303" i="2" a="1"/>
  <c r="J303" i="2" s="1"/>
  <c r="E36" i="9" a="1"/>
  <c r="E36" i="9" s="1"/>
  <c r="E25" i="9" a="1"/>
  <c r="E25" i="9" s="1"/>
  <c r="J180" i="2" a="1"/>
  <c r="J180" i="2" s="1"/>
  <c r="J485" i="2" a="1"/>
  <c r="J485" i="2" s="1"/>
  <c r="E52" i="9" a="1"/>
  <c r="E52" i="9" s="1"/>
  <c r="J333" i="2" a="1"/>
  <c r="J333" i="2" s="1"/>
  <c r="E39" i="9" a="1"/>
  <c r="E39" i="9" s="1"/>
  <c r="E48" i="9" a="1"/>
  <c r="E48" i="9" s="1"/>
  <c r="J410" i="2" a="1"/>
  <c r="J410" i="2" s="1"/>
  <c r="E5" i="9" a="1"/>
  <c r="E5" i="9" s="1"/>
  <c r="J39" i="2" a="1"/>
  <c r="J39" i="2" s="1"/>
  <c r="E24" i="9" a="1"/>
  <c r="E24" i="9" s="1"/>
  <c r="J170" i="2" a="1"/>
  <c r="J170" i="2" s="1"/>
  <c r="E17" i="9" a="1"/>
  <c r="E17" i="9" s="1"/>
  <c r="J108" i="2" a="1"/>
  <c r="J108" i="2" s="1"/>
  <c r="E19" i="9" a="1"/>
  <c r="E19" i="9" s="1"/>
  <c r="J117" i="2" a="1"/>
  <c r="J117" i="2" s="1"/>
  <c r="J80" i="2" a="1"/>
  <c r="J80" i="2" s="1"/>
  <c r="E13" i="9" a="1"/>
  <c r="E13" i="9" s="1"/>
  <c r="E50" i="9" a="1"/>
  <c r="E50" i="9" s="1"/>
  <c r="J433" i="2" a="1"/>
  <c r="J433" i="2" s="1"/>
  <c r="E47" i="9" a="1"/>
  <c r="E47" i="9" s="1"/>
  <c r="J405" i="2" a="1"/>
  <c r="J405" i="2" s="1"/>
  <c r="E26" i="9" a="1"/>
  <c r="E26" i="9" s="1"/>
  <c r="J183" i="2" a="1"/>
  <c r="J183" i="2" s="1"/>
  <c r="J306" i="2" a="1"/>
  <c r="J306" i="2" s="1"/>
  <c r="E37" i="9" a="1"/>
  <c r="E37" i="9" s="1"/>
  <c r="J523" i="2" a="1"/>
  <c r="J523" i="2" s="1"/>
  <c r="E57" i="9" a="1"/>
  <c r="E57" i="9" s="1"/>
  <c r="E27" i="9" a="1"/>
  <c r="E27" i="9" s="1"/>
  <c r="J190" i="2" a="1"/>
  <c r="J190" i="2" s="1"/>
  <c r="E58" i="9" a="1"/>
  <c r="E58" i="9" s="1"/>
  <c r="J525" i="2" a="1"/>
  <c r="J525" i="2" s="1"/>
  <c r="E9" i="9" a="1"/>
  <c r="E9" i="9" s="1"/>
  <c r="J63" i="2" a="1"/>
  <c r="J63" i="2" s="1"/>
  <c r="E32" i="9" a="1"/>
  <c r="E32" i="9" s="1"/>
  <c r="J265" i="2" a="1"/>
  <c r="J265" i="2" s="1"/>
  <c r="E59" i="9" a="1"/>
  <c r="E59" i="9" s="1"/>
  <c r="J526" i="2" a="1"/>
  <c r="J526" i="2" s="1"/>
  <c r="E31" i="9" a="1"/>
  <c r="E31" i="9" s="1"/>
  <c r="J260" i="2" a="1"/>
  <c r="J260" i="2" s="1"/>
  <c r="E15" i="9" a="1"/>
  <c r="E15" i="9" s="1"/>
  <c r="J91" i="2" a="1"/>
  <c r="J91" i="2" s="1"/>
  <c r="E34" i="9" a="1"/>
  <c r="E34" i="9" s="1"/>
  <c r="J289" i="2" a="1"/>
  <c r="J289" i="2" s="1"/>
  <c r="E21" i="9" a="1"/>
  <c r="E21" i="9" s="1"/>
  <c r="J136" i="2" a="1"/>
  <c r="J136" i="2" s="1"/>
  <c r="J162" i="6" a="1"/>
  <c r="J162" i="6" s="1"/>
  <c r="J69" i="7" a="1"/>
  <c r="J69" i="7" s="1"/>
  <c r="J182" i="7" a="1"/>
  <c r="J182" i="7" s="1"/>
  <c r="J30" i="6" a="1"/>
  <c r="J30" i="6" s="1"/>
  <c r="J37" i="9" a="1"/>
  <c r="J37" i="9" s="1"/>
  <c r="J24" i="9" a="1"/>
  <c r="J24" i="9" s="1"/>
  <c r="J145" i="5" a="1"/>
  <c r="J145" i="5" s="1"/>
  <c r="J51" i="4" a="1"/>
  <c r="J51" i="4" s="1"/>
  <c r="J161" i="7" a="1"/>
  <c r="J161" i="7" s="1"/>
  <c r="J67" i="7" a="1"/>
  <c r="J67" i="7" s="1"/>
  <c r="J20" i="5" a="1"/>
  <c r="J20" i="5" s="1"/>
  <c r="J123" i="7" a="1"/>
  <c r="J123" i="7" s="1"/>
  <c r="J20" i="6" a="1"/>
  <c r="J20" i="6" s="1"/>
  <c r="J184" i="7" a="1"/>
  <c r="J184" i="7" s="1"/>
  <c r="F184" i="7" s="1" a="1"/>
  <c r="F184" i="7" s="1"/>
  <c r="K602" i="2" s="1" a="1"/>
  <c r="K602" i="2" s="1"/>
  <c r="J163" i="7" a="1"/>
  <c r="J163" i="7" s="1"/>
  <c r="F163" i="7" s="1" a="1"/>
  <c r="F163" i="7" s="1"/>
  <c r="K562" i="2" s="1" a="1"/>
  <c r="K562" i="2" s="1"/>
  <c r="J27" i="5" a="1"/>
  <c r="J27" i="5" s="1"/>
  <c r="J170" i="4" a="1"/>
  <c r="J170" i="4" s="1"/>
  <c r="J176" i="6" a="1"/>
  <c r="J176" i="6" s="1"/>
  <c r="J8" i="4" a="1"/>
  <c r="J8" i="4" s="1"/>
  <c r="J47" i="7" a="1"/>
  <c r="J47" i="7" s="1"/>
  <c r="F47" i="7" s="1" a="1"/>
  <c r="F47" i="7" s="1"/>
  <c r="K149" i="2" s="1" a="1"/>
  <c r="K149" i="2" s="1"/>
  <c r="J74" i="7" a="1"/>
  <c r="J74" i="7" s="1"/>
  <c r="F74" i="7" s="1" a="1"/>
  <c r="F74" i="7" s="1"/>
  <c r="K238" i="2" s="1" a="1"/>
  <c r="K238" i="2" s="1"/>
  <c r="J136" i="6" a="1"/>
  <c r="J136" i="6" s="1"/>
  <c r="J35" i="6" a="1"/>
  <c r="J35" i="6" s="1"/>
  <c r="J34" i="6" a="1"/>
  <c r="J34" i="6" s="1"/>
  <c r="J162" i="4" a="1"/>
  <c r="J162" i="4" s="1"/>
  <c r="J109" i="5" a="1"/>
  <c r="J109" i="5" s="1"/>
  <c r="J313" i="4" a="1"/>
  <c r="J313" i="4" s="1"/>
  <c r="J32" i="9" a="1"/>
  <c r="J32" i="9" s="1"/>
  <c r="J39" i="9" a="1"/>
  <c r="J39" i="9" s="1"/>
  <c r="J64" i="7" a="1"/>
  <c r="J64" i="7" s="1"/>
  <c r="F64" i="7" s="1" a="1"/>
  <c r="F64" i="7" s="1"/>
  <c r="K205" i="2" s="1" a="1"/>
  <c r="K205" i="2" s="1"/>
  <c r="J194" i="7" a="1"/>
  <c r="J194" i="7" s="1"/>
  <c r="J43" i="7" a="1"/>
  <c r="J43" i="7" s="1"/>
  <c r="J178" i="7" a="1"/>
  <c r="J178" i="7" s="1"/>
  <c r="J189" i="7" a="1"/>
  <c r="J189" i="7" s="1"/>
  <c r="F189" i="7" s="1" a="1"/>
  <c r="F189" i="7" s="1"/>
  <c r="K611" i="2" s="1" a="1"/>
  <c r="K611" i="2" s="1"/>
  <c r="J161" i="6" a="1"/>
  <c r="J161" i="6" s="1"/>
  <c r="J208" i="6" a="1"/>
  <c r="J208" i="6" s="1"/>
  <c r="J377" i="4" a="1"/>
  <c r="J377" i="4" s="1"/>
  <c r="J68" i="5" a="1"/>
  <c r="J68" i="5" s="1"/>
  <c r="J239" i="4" a="1"/>
  <c r="J239" i="4" s="1"/>
  <c r="J134" i="5" a="1"/>
  <c r="J134" i="5" s="1"/>
  <c r="J98" i="7" a="1"/>
  <c r="J98" i="7" s="1"/>
  <c r="F98" i="7" s="1" a="1"/>
  <c r="F98" i="7" s="1"/>
  <c r="K365" i="2" s="1" a="1"/>
  <c r="K365" i="2" s="1"/>
  <c r="J10" i="7" a="1"/>
  <c r="J10" i="7" s="1"/>
  <c r="F10" i="7" s="1" a="1"/>
  <c r="F10" i="7" s="1"/>
  <c r="K35" i="2" s="1" a="1"/>
  <c r="K35" i="2" s="1"/>
  <c r="J23" i="6" a="1"/>
  <c r="J23" i="6" s="1"/>
  <c r="J23" i="4" a="1"/>
  <c r="J23" i="4" s="1"/>
  <c r="J184" i="5" a="1"/>
  <c r="J184" i="5" s="1"/>
  <c r="E4" i="2" a="1"/>
  <c r="E4" i="2" s="1"/>
  <c r="C10" i="3" s="1" a="1"/>
  <c r="C10" i="3" s="1"/>
  <c r="F124" i="7" a="1"/>
  <c r="F124" i="7" s="1"/>
  <c r="K450" i="2" s="1" a="1"/>
  <c r="K450" i="2" s="1"/>
  <c r="F161" i="7" a="1"/>
  <c r="F161" i="7" s="1"/>
  <c r="K559" i="2" s="1" a="1"/>
  <c r="K559" i="2" s="1"/>
  <c r="F7" i="7" a="1"/>
  <c r="F7" i="7" s="1"/>
  <c r="K27" i="2" s="1" a="1"/>
  <c r="K27" i="2" s="1"/>
  <c r="J251" i="4" a="1"/>
  <c r="J251" i="4" s="1"/>
  <c r="J78" i="7" a="1"/>
  <c r="J78" i="7" s="1"/>
  <c r="F78" i="7" s="1" a="1"/>
  <c r="F78" i="7" s="1"/>
  <c r="K263" i="2" s="1" a="1"/>
  <c r="K263" i="2" s="1"/>
  <c r="J124" i="4" a="1"/>
  <c r="J124" i="4" s="1"/>
  <c r="J219" i="4" a="1"/>
  <c r="J219" i="4" s="1"/>
  <c r="J95" i="5" a="1"/>
  <c r="J95" i="5" s="1"/>
  <c r="J335" i="4" a="1"/>
  <c r="J335" i="4" s="1"/>
  <c r="J206" i="6" a="1"/>
  <c r="J206" i="6" s="1"/>
  <c r="J10" i="5" a="1"/>
  <c r="J10" i="5" s="1"/>
  <c r="J68" i="6" a="1"/>
  <c r="J68" i="6" s="1"/>
  <c r="J58" i="6" a="1"/>
  <c r="J58" i="6" s="1"/>
  <c r="J268" i="4" a="1"/>
  <c r="J268" i="4" s="1"/>
  <c r="J276" i="4" a="1"/>
  <c r="J276" i="4" s="1"/>
  <c r="J288" i="4" a="1"/>
  <c r="J288" i="4" s="1"/>
  <c r="J81" i="6" a="1"/>
  <c r="J81" i="6" s="1"/>
  <c r="J264" i="4" a="1"/>
  <c r="J264" i="4" s="1"/>
  <c r="J80" i="4" a="1"/>
  <c r="J80" i="4" s="1"/>
  <c r="J97" i="6" a="1"/>
  <c r="J97" i="6" s="1"/>
  <c r="J16" i="4" a="1"/>
  <c r="J16" i="4" s="1"/>
  <c r="J185" i="7" a="1"/>
  <c r="J185" i="7" s="1"/>
  <c r="F185" i="7" s="1" a="1"/>
  <c r="F185" i="7" s="1"/>
  <c r="K604" i="2" s="1" a="1"/>
  <c r="K604" i="2" s="1"/>
  <c r="J83" i="6" a="1"/>
  <c r="J83" i="6" s="1"/>
  <c r="J203" i="5" a="1"/>
  <c r="J203" i="5" s="1"/>
  <c r="J41" i="6" a="1"/>
  <c r="J41" i="6" s="1"/>
  <c r="J337" i="4" a="1"/>
  <c r="J337" i="4" s="1"/>
  <c r="J168" i="4" a="1"/>
  <c r="J168" i="4" s="1"/>
  <c r="J204" i="6" a="1"/>
  <c r="J204" i="6" s="1"/>
  <c r="J38" i="4" a="1"/>
  <c r="J38" i="4" s="1"/>
  <c r="F239" i="4" a="1"/>
  <c r="F239" i="4" s="1"/>
  <c r="J81" i="5" a="1"/>
  <c r="J81" i="5" s="1"/>
  <c r="J35" i="5" a="1"/>
  <c r="J35" i="5" s="1"/>
  <c r="F35" i="5" s="1" a="1"/>
  <c r="F35" i="5" s="1"/>
  <c r="K107" i="2" s="1" a="1"/>
  <c r="K107" i="2" s="1"/>
  <c r="J380" i="4" a="1"/>
  <c r="J380" i="4" s="1"/>
  <c r="J91" i="6" a="1"/>
  <c r="J91" i="6" s="1"/>
  <c r="J11" i="7" a="1"/>
  <c r="J11" i="7" s="1"/>
  <c r="F11" i="7" s="1" a="1"/>
  <c r="F11" i="7" s="1"/>
  <c r="K37" i="2" s="1" a="1"/>
  <c r="K37" i="2" s="1"/>
  <c r="J361" i="4" a="1"/>
  <c r="J361" i="4" s="1"/>
  <c r="J19" i="5" a="1"/>
  <c r="J19" i="5" s="1"/>
  <c r="J389" i="4" a="1"/>
  <c r="J389" i="4" s="1"/>
  <c r="J165" i="4" a="1"/>
  <c r="J165" i="4" s="1"/>
  <c r="J133" i="6" a="1"/>
  <c r="J133" i="6" s="1"/>
  <c r="J184" i="4" a="1"/>
  <c r="J184" i="4" s="1"/>
  <c r="J92" i="4" a="1"/>
  <c r="J92" i="4" s="1"/>
  <c r="J60" i="5" a="1"/>
  <c r="J60" i="5" s="1"/>
  <c r="J369" i="4" a="1"/>
  <c r="J369" i="4" s="1"/>
  <c r="J188" i="6" a="1"/>
  <c r="J188" i="6" s="1"/>
  <c r="J94" i="6" a="1"/>
  <c r="J94" i="6" s="1"/>
  <c r="J73" i="7" a="1"/>
  <c r="J73" i="7" s="1"/>
  <c r="J52" i="6" a="1"/>
  <c r="J52" i="6" s="1"/>
  <c r="J169" i="4" a="1"/>
  <c r="J169" i="4" s="1"/>
  <c r="J155" i="4" a="1"/>
  <c r="J155" i="4" s="1"/>
  <c r="J164" i="7" a="1"/>
  <c r="J164" i="7" s="1"/>
  <c r="J106" i="6" a="1"/>
  <c r="J106" i="6" s="1"/>
  <c r="J275" i="4" a="1"/>
  <c r="J275" i="4" s="1"/>
  <c r="F275" i="4" s="1" a="1"/>
  <c r="F275" i="4" s="1"/>
  <c r="J24" i="5" a="1"/>
  <c r="J24" i="5" s="1"/>
  <c r="J105" i="5" a="1"/>
  <c r="J105" i="5" s="1"/>
  <c r="J26" i="5" a="1"/>
  <c r="J26" i="5" s="1"/>
  <c r="J148" i="6" a="1"/>
  <c r="J148" i="6" s="1"/>
  <c r="J200" i="7" a="1"/>
  <c r="J200" i="7" s="1"/>
  <c r="F200" i="7" s="1" a="1"/>
  <c r="F200" i="7" s="1"/>
  <c r="K647" i="2" s="1" a="1"/>
  <c r="K647" i="2" s="1"/>
  <c r="J40" i="7" a="1"/>
  <c r="J40" i="7" s="1"/>
  <c r="F40" i="7" s="1" a="1"/>
  <c r="F40" i="7" s="1"/>
  <c r="K133" i="2" s="1" a="1"/>
  <c r="K133" i="2" s="1"/>
  <c r="J13" i="9" a="1"/>
  <c r="J13" i="9" s="1"/>
  <c r="J181" i="4" a="1"/>
  <c r="J181" i="4" s="1"/>
  <c r="J312" i="4" a="1"/>
  <c r="J312" i="4" s="1"/>
  <c r="J158" i="5" a="1"/>
  <c r="J158" i="5" s="1"/>
  <c r="J136" i="5" a="1"/>
  <c r="J136" i="5" s="1"/>
  <c r="J325" i="4" a="1"/>
  <c r="J325" i="4" s="1"/>
  <c r="J41" i="5" a="1"/>
  <c r="J41" i="5" s="1"/>
  <c r="J114" i="5" a="1"/>
  <c r="J114" i="5" s="1"/>
  <c r="J82" i="6" a="1"/>
  <c r="J82" i="6" s="1"/>
  <c r="J91" i="4" a="1"/>
  <c r="J91" i="4" s="1"/>
  <c r="J19" i="6" a="1"/>
  <c r="J19" i="6" s="1"/>
  <c r="J126" i="6" a="1"/>
  <c r="J126" i="6" s="1"/>
  <c r="J163" i="6" a="1"/>
  <c r="J163" i="6" s="1"/>
  <c r="J17" i="5" a="1"/>
  <c r="J17" i="5" s="1"/>
  <c r="J210" i="5" a="1"/>
  <c r="J210" i="5" s="1"/>
  <c r="J174" i="7" a="1"/>
  <c r="J174" i="7" s="1"/>
  <c r="F174" i="7" s="1" a="1"/>
  <c r="F174" i="7" s="1"/>
  <c r="K587" i="2" s="1" a="1"/>
  <c r="K587" i="2" s="1"/>
  <c r="J137" i="4" a="1"/>
  <c r="J137" i="4" s="1"/>
  <c r="J177" i="7" a="1"/>
  <c r="J177" i="7" s="1"/>
  <c r="J195" i="4" a="1"/>
  <c r="J195" i="4" s="1"/>
  <c r="J116" i="5" a="1"/>
  <c r="J116" i="5" s="1"/>
  <c r="F116" i="5" s="1" a="1"/>
  <c r="F116" i="5" s="1"/>
  <c r="K449" i="2" s="1" a="1"/>
  <c r="K449" i="2" s="1"/>
  <c r="J73" i="5" a="1"/>
  <c r="J73" i="5" s="1"/>
  <c r="F73" i="5" s="1" a="1"/>
  <c r="F73" i="5" s="1"/>
  <c r="J31" i="7" a="1"/>
  <c r="J31" i="7" s="1"/>
  <c r="F31" i="7" s="1" a="1"/>
  <c r="F31" i="7" s="1"/>
  <c r="K111" i="2" s="1" a="1"/>
  <c r="K111" i="2" s="1"/>
  <c r="J186" i="4" a="1"/>
  <c r="J186" i="4" s="1"/>
  <c r="J108" i="5" a="1"/>
  <c r="J108" i="5" s="1"/>
  <c r="J62" i="5" a="1"/>
  <c r="J62" i="5" s="1"/>
  <c r="J156" i="6" a="1"/>
  <c r="J156" i="6" s="1"/>
  <c r="J289" i="4" a="1"/>
  <c r="J289" i="4" s="1"/>
  <c r="J403" i="4" a="1"/>
  <c r="J403" i="4" s="1"/>
  <c r="J186" i="5" a="1"/>
  <c r="J186" i="5" s="1"/>
  <c r="J56" i="6" a="1"/>
  <c r="J56" i="6" s="1"/>
  <c r="J197" i="4" a="1"/>
  <c r="J197" i="4" s="1"/>
  <c r="J112" i="6" a="1"/>
  <c r="J112" i="6" s="1"/>
  <c r="J167" i="5" a="1"/>
  <c r="J167" i="5" s="1"/>
  <c r="J148" i="7" a="1"/>
  <c r="J148" i="7" s="1"/>
  <c r="J128" i="5" a="1"/>
  <c r="J128" i="5" s="1"/>
  <c r="J294" i="4" a="1"/>
  <c r="J294" i="4" s="1"/>
  <c r="J64" i="5" a="1"/>
  <c r="J64" i="5" s="1"/>
  <c r="J5" i="7" a="1"/>
  <c r="J5" i="7" s="1"/>
  <c r="J101" i="4" a="1"/>
  <c r="J101" i="4" s="1"/>
  <c r="F101" i="4" s="1" a="1"/>
  <c r="F101" i="4" s="1"/>
  <c r="J354" i="4" a="1"/>
  <c r="J354" i="4" s="1"/>
  <c r="J153" i="5" a="1"/>
  <c r="J153" i="5" s="1"/>
  <c r="F153" i="5" s="1" a="1"/>
  <c r="F153" i="5" s="1"/>
  <c r="J261" i="4" a="1"/>
  <c r="J261" i="4" s="1"/>
  <c r="J212" i="4" a="1"/>
  <c r="J212" i="4" s="1"/>
  <c r="F212" i="4" s="1" a="1"/>
  <c r="F212" i="4" s="1"/>
  <c r="J62" i="4" a="1"/>
  <c r="J62" i="4" s="1"/>
  <c r="J113" i="4" a="1"/>
  <c r="J113" i="4" s="1"/>
  <c r="F113" i="4" s="1" a="1"/>
  <c r="F113" i="4" s="1"/>
  <c r="J154" i="8" a="1"/>
  <c r="J154" i="8" s="1"/>
  <c r="J51" i="8" a="1"/>
  <c r="J51" i="8" s="1"/>
  <c r="J29" i="8" a="1"/>
  <c r="J29" i="8" s="1"/>
  <c r="J103" i="8" a="1"/>
  <c r="J103" i="8" s="1"/>
  <c r="J122" i="8" a="1"/>
  <c r="J122" i="8" s="1"/>
  <c r="J177" i="8" a="1"/>
  <c r="J177" i="8" s="1"/>
  <c r="J128" i="8" a="1"/>
  <c r="J128" i="8" s="1"/>
  <c r="J38" i="8" a="1"/>
  <c r="J38" i="8" s="1"/>
  <c r="J40" i="8" a="1"/>
  <c r="J40" i="8" s="1"/>
  <c r="J143" i="8" a="1"/>
  <c r="J143" i="8" s="1"/>
  <c r="J141" i="8" a="1"/>
  <c r="J141" i="8" s="1"/>
  <c r="J152" i="8" a="1"/>
  <c r="J152" i="8" s="1"/>
  <c r="J196" i="8" a="1"/>
  <c r="J196" i="8" s="1"/>
  <c r="J60" i="8" a="1"/>
  <c r="J60" i="8" s="1"/>
  <c r="J116" i="8" a="1"/>
  <c r="J116" i="8" s="1"/>
  <c r="J42" i="8" a="1"/>
  <c r="J42" i="8" s="1"/>
  <c r="J56" i="8" a="1"/>
  <c r="J56" i="8" s="1"/>
  <c r="J10" i="8" a="1"/>
  <c r="J10" i="8" s="1"/>
  <c r="J130" i="8" a="1"/>
  <c r="J130" i="8" s="1"/>
  <c r="J139" i="8" a="1"/>
  <c r="J139" i="8" s="1"/>
  <c r="J159" i="8" a="1"/>
  <c r="J159" i="8" s="1"/>
  <c r="J184" i="8" a="1"/>
  <c r="J184" i="8" s="1"/>
  <c r="J146" i="8" a="1"/>
  <c r="J146" i="8" s="1"/>
  <c r="J78" i="8" a="1"/>
  <c r="J78" i="8" s="1"/>
  <c r="J201" i="8" a="1"/>
  <c r="J201" i="8" s="1"/>
  <c r="J64" i="8" a="1"/>
  <c r="J64" i="8" s="1"/>
  <c r="J197" i="8" a="1"/>
  <c r="J197" i="8" s="1"/>
  <c r="J24" i="8" a="1"/>
  <c r="J24" i="8" s="1"/>
  <c r="J104" i="8" a="1"/>
  <c r="J104" i="8" s="1"/>
  <c r="J191" i="8" a="1"/>
  <c r="J191" i="8" s="1"/>
  <c r="J69" i="8" a="1"/>
  <c r="J69" i="8" s="1"/>
  <c r="J19" i="8" a="1"/>
  <c r="J19" i="8" s="1"/>
  <c r="J48" i="8" a="1"/>
  <c r="J48" i="8" s="1"/>
  <c r="J45" i="8" a="1"/>
  <c r="J45" i="8" s="1"/>
  <c r="J135" i="8" a="1"/>
  <c r="J135" i="8" s="1"/>
  <c r="J164" i="8" a="1"/>
  <c r="J164" i="8" s="1"/>
  <c r="J36" i="8" a="1"/>
  <c r="J36" i="8" s="1"/>
  <c r="J165" i="8" a="1"/>
  <c r="J165" i="8" s="1"/>
  <c r="J70" i="8" a="1"/>
  <c r="J70" i="8" s="1"/>
  <c r="J74" i="8" a="1"/>
  <c r="J74" i="8" s="1"/>
  <c r="J53" i="8" a="1"/>
  <c r="J53" i="8" s="1"/>
  <c r="J82" i="8" a="1"/>
  <c r="J82" i="8" s="1"/>
  <c r="F82" i="8" s="1" a="1"/>
  <c r="F82" i="8" s="1"/>
  <c r="K225" i="2" s="1" a="1"/>
  <c r="K225" i="2" s="1"/>
  <c r="J151" i="8" a="1"/>
  <c r="J151" i="8" s="1"/>
  <c r="J23" i="8" a="1"/>
  <c r="J23" i="8" s="1"/>
  <c r="J147" i="8" a="1"/>
  <c r="J147" i="8" s="1"/>
  <c r="J131" i="8" a="1"/>
  <c r="J131" i="8" s="1"/>
  <c r="J115" i="8" a="1"/>
  <c r="J115" i="8" s="1"/>
  <c r="F115" i="8" s="1" a="1"/>
  <c r="F115" i="8" s="1"/>
  <c r="K282" i="2" s="1" a="1"/>
  <c r="K282" i="2" s="1"/>
  <c r="J169" i="8" a="1"/>
  <c r="J169" i="8" s="1"/>
  <c r="J193" i="8" a="1"/>
  <c r="J193" i="8" s="1"/>
  <c r="J178" i="8" a="1"/>
  <c r="J178" i="8" s="1"/>
  <c r="J123" i="8" a="1"/>
  <c r="J123" i="8" s="1"/>
  <c r="J117" i="8" a="1"/>
  <c r="J117" i="8" s="1"/>
  <c r="J65" i="8" a="1"/>
  <c r="J65" i="8" s="1"/>
  <c r="J68" i="8" a="1"/>
  <c r="J68" i="8" s="1"/>
  <c r="J26" i="8" a="1"/>
  <c r="J26" i="8" s="1"/>
  <c r="J54" i="8" a="1"/>
  <c r="J54" i="8" s="1"/>
  <c r="J98" i="8" a="1"/>
  <c r="J98" i="8" s="1"/>
  <c r="J140" i="8" a="1"/>
  <c r="J140" i="8" s="1"/>
  <c r="J160" i="8" a="1"/>
  <c r="J160" i="8" s="1"/>
  <c r="J114" i="8" a="1"/>
  <c r="J114" i="8" s="1"/>
  <c r="J120" i="8" a="1"/>
  <c r="J120" i="8" s="1"/>
  <c r="J102" i="8" a="1"/>
  <c r="J102" i="8" s="1"/>
  <c r="J129" i="8" a="1"/>
  <c r="J129" i="8" s="1"/>
  <c r="J16" i="8" a="1"/>
  <c r="J16" i="8" s="1"/>
  <c r="J156" i="8" a="1"/>
  <c r="J156" i="8" s="1"/>
  <c r="J166" i="8" a="1"/>
  <c r="J166" i="8" s="1"/>
  <c r="J144" i="8" a="1"/>
  <c r="J144" i="8" s="1"/>
  <c r="J32" i="8" a="1"/>
  <c r="J32" i="8" s="1"/>
  <c r="J195" i="8" a="1"/>
  <c r="J195" i="8" s="1"/>
  <c r="J175" i="8" a="1"/>
  <c r="J175" i="8" s="1"/>
  <c r="J62" i="8" a="1"/>
  <c r="J62" i="8" s="1"/>
  <c r="J8" i="8" a="1"/>
  <c r="J8" i="8" s="1"/>
  <c r="J73" i="8" a="1"/>
  <c r="J73" i="8" s="1"/>
  <c r="J55" i="8" a="1"/>
  <c r="J55" i="8" s="1"/>
  <c r="F55" i="8" s="1" a="1"/>
  <c r="F55" i="8" s="1"/>
  <c r="K163" i="2" s="1" a="1"/>
  <c r="K163" i="2" s="1"/>
  <c r="J4" i="8" a="1"/>
  <c r="J4" i="8" s="1"/>
  <c r="J187" i="8" a="1"/>
  <c r="J187" i="8" s="1"/>
  <c r="J47" i="8" a="1"/>
  <c r="J47" i="8" s="1"/>
  <c r="J46" i="8" a="1"/>
  <c r="J46" i="8" s="1"/>
  <c r="J81" i="8" a="1"/>
  <c r="J81" i="8" s="1"/>
  <c r="J203" i="8" a="1"/>
  <c r="J203" i="8" s="1"/>
  <c r="J106" i="8" a="1"/>
  <c r="J106" i="8" s="1"/>
  <c r="J35" i="8" a="1"/>
  <c r="J35" i="8" s="1"/>
  <c r="J63" i="8" a="1"/>
  <c r="J63" i="8" s="1"/>
  <c r="J105" i="8" a="1"/>
  <c r="J105" i="8" s="1"/>
  <c r="J138" i="8" a="1"/>
  <c r="J138" i="8" s="1"/>
  <c r="J37" i="8" a="1"/>
  <c r="J37" i="8" s="1"/>
  <c r="J99" i="8" a="1"/>
  <c r="J99" i="8" s="1"/>
  <c r="J181" i="8" a="1"/>
  <c r="J181" i="8" s="1"/>
  <c r="J58" i="8" a="1"/>
  <c r="J58" i="8" s="1"/>
  <c r="J22" i="8" a="1"/>
  <c r="J22" i="8" s="1"/>
  <c r="J89" i="8" a="1"/>
  <c r="J89" i="8" s="1"/>
  <c r="J86" i="8" a="1"/>
  <c r="J86" i="8" s="1"/>
  <c r="J44" i="8" a="1"/>
  <c r="J44" i="8" s="1"/>
  <c r="J30" i="8" a="1"/>
  <c r="J30" i="8" s="1"/>
  <c r="F30" i="8" s="1" a="1"/>
  <c r="F30" i="8" s="1"/>
  <c r="K86" i="2" s="1" a="1"/>
  <c r="K86" i="2" s="1"/>
  <c r="J84" i="8" a="1"/>
  <c r="J84" i="8" s="1"/>
  <c r="F84" i="8" s="1" a="1"/>
  <c r="F84" i="8" s="1"/>
  <c r="K227" i="2" s="1" a="1"/>
  <c r="K227" i="2" s="1"/>
  <c r="J149" i="8" a="1"/>
  <c r="J149" i="8" s="1"/>
  <c r="J97" i="8" a="1"/>
  <c r="J97" i="8" s="1"/>
  <c r="J13" i="8" a="1"/>
  <c r="J13" i="8" s="1"/>
  <c r="J199" i="8" a="1"/>
  <c r="J199" i="8" s="1"/>
  <c r="J142" i="8" a="1"/>
  <c r="J142" i="8" s="1"/>
  <c r="J109" i="8" a="1"/>
  <c r="J109" i="8" s="1"/>
  <c r="J85" i="8" a="1"/>
  <c r="J85" i="8" s="1"/>
  <c r="J96" i="8" a="1"/>
  <c r="J96" i="8" s="1"/>
  <c r="F96" i="8" s="1" a="1"/>
  <c r="F96" i="8" s="1"/>
  <c r="K251" i="2" s="1" a="1"/>
  <c r="K251" i="2" s="1"/>
  <c r="J192" i="8" a="1"/>
  <c r="J192" i="8" s="1"/>
  <c r="J198" i="8" a="1"/>
  <c r="J198" i="8" s="1"/>
  <c r="J21" i="8" a="1"/>
  <c r="J21" i="8" s="1"/>
  <c r="J162" i="8" a="1"/>
  <c r="J162" i="8" s="1"/>
  <c r="J20" i="8" a="1"/>
  <c r="J20" i="8" s="1"/>
  <c r="J133" i="8" a="1"/>
  <c r="J133" i="8" s="1"/>
  <c r="J153" i="8" a="1"/>
  <c r="J153" i="8" s="1"/>
  <c r="J125" i="8" a="1"/>
  <c r="J125" i="8" s="1"/>
  <c r="J188" i="8" a="1"/>
  <c r="J188" i="8" s="1"/>
  <c r="J72" i="8" a="1"/>
  <c r="J72" i="8" s="1"/>
  <c r="J92" i="8" a="1"/>
  <c r="J92" i="8" s="1"/>
  <c r="J179" i="8" a="1"/>
  <c r="J179" i="8" s="1"/>
  <c r="J95" i="8" a="1"/>
  <c r="J95" i="8" s="1"/>
  <c r="J190" i="8" a="1"/>
  <c r="J190" i="8" s="1"/>
  <c r="J204" i="8" a="1"/>
  <c r="J204" i="8" s="1"/>
  <c r="J200" i="8" a="1"/>
  <c r="J200" i="8" s="1"/>
  <c r="J34" i="8" a="1"/>
  <c r="J34" i="8" s="1"/>
  <c r="J168" i="8" a="1"/>
  <c r="J168" i="8" s="1"/>
  <c r="J11" i="8" a="1"/>
  <c r="J11" i="8" s="1"/>
  <c r="J155" i="8" a="1"/>
  <c r="J155" i="8" s="1"/>
  <c r="J172" i="8" a="1"/>
  <c r="J172" i="8" s="1"/>
  <c r="J33" i="8" a="1"/>
  <c r="J33" i="8" s="1"/>
  <c r="J91" i="8" a="1"/>
  <c r="J91" i="8" s="1"/>
  <c r="J27" i="8" a="1"/>
  <c r="J27" i="8" s="1"/>
  <c r="J87" i="8" a="1"/>
  <c r="J87" i="8" s="1"/>
  <c r="J119" i="8" a="1"/>
  <c r="J119" i="8" s="1"/>
  <c r="J18" i="8" a="1"/>
  <c r="J18" i="8" s="1"/>
  <c r="J50" i="8" a="1"/>
  <c r="J50" i="8" s="1"/>
  <c r="J182" i="8" a="1"/>
  <c r="J182" i="8" s="1"/>
  <c r="J108" i="8" a="1"/>
  <c r="J108" i="8" s="1"/>
  <c r="J71" i="8" a="1"/>
  <c r="J71" i="8" s="1"/>
  <c r="F71" i="8" s="1" a="1"/>
  <c r="F71" i="8" s="1"/>
  <c r="K201" i="2" s="1" a="1"/>
  <c r="K201" i="2" s="1"/>
  <c r="J6" i="8" a="1"/>
  <c r="J6" i="8" s="1"/>
  <c r="F6" i="8" s="1" a="1"/>
  <c r="F6" i="8" s="1"/>
  <c r="K9" i="2" s="1" a="1"/>
  <c r="K9" i="2" s="1"/>
  <c r="J110" i="8" a="1"/>
  <c r="J110" i="8" s="1"/>
  <c r="J111" i="8" a="1"/>
  <c r="J111" i="8" s="1"/>
  <c r="J94" i="8" a="1"/>
  <c r="J94" i="8" s="1"/>
  <c r="F94" i="8" s="1" a="1"/>
  <c r="F94" i="8" s="1"/>
  <c r="K249" i="2" s="1" a="1"/>
  <c r="K249" i="2" s="1"/>
  <c r="J173" i="8" a="1"/>
  <c r="J173" i="8" s="1"/>
  <c r="J39" i="8" a="1"/>
  <c r="J39" i="8" s="1"/>
  <c r="J12" i="8" a="1"/>
  <c r="J12" i="8" s="1"/>
  <c r="J28" i="8" a="1"/>
  <c r="J28" i="8" s="1"/>
  <c r="J31" i="8" a="1"/>
  <c r="J31" i="8" s="1"/>
  <c r="J101" i="8" a="1"/>
  <c r="J101" i="8" s="1"/>
  <c r="F101" i="8" s="1" a="1"/>
  <c r="F101" i="8" s="1"/>
  <c r="K257" i="2" s="1" a="1"/>
  <c r="K257" i="2" s="1"/>
  <c r="J126" i="8" a="1"/>
  <c r="J126" i="8" s="1"/>
  <c r="J170" i="8" a="1"/>
  <c r="J170" i="8" s="1"/>
  <c r="J25" i="8" a="1"/>
  <c r="J25" i="8" s="1"/>
  <c r="J75" i="8" a="1"/>
  <c r="J75" i="8" s="1"/>
  <c r="J57" i="8" a="1"/>
  <c r="J57" i="8" s="1"/>
  <c r="J202" i="8" a="1"/>
  <c r="J202" i="8" s="1"/>
  <c r="J112" i="8" a="1"/>
  <c r="J112" i="8" s="1"/>
  <c r="J167" i="8" a="1"/>
  <c r="J167" i="8" s="1"/>
  <c r="J194" i="8" a="1"/>
  <c r="J194" i="8" s="1"/>
  <c r="J41" i="8" a="1"/>
  <c r="J41" i="8" s="1"/>
  <c r="J157" i="8" a="1"/>
  <c r="J157" i="8" s="1"/>
  <c r="J134" i="8" a="1"/>
  <c r="J134" i="8" s="1"/>
  <c r="J14" i="8" a="1"/>
  <c r="J14" i="8" s="1"/>
  <c r="J161" i="8" a="1"/>
  <c r="J161" i="8" s="1"/>
  <c r="J100" i="8" a="1"/>
  <c r="J100" i="8" s="1"/>
  <c r="J59" i="8" a="1"/>
  <c r="J59" i="8" s="1"/>
  <c r="J52" i="8" a="1"/>
  <c r="J52" i="8" s="1"/>
  <c r="J93" i="8" a="1"/>
  <c r="J93" i="8" s="1"/>
  <c r="J185" i="8" a="1"/>
  <c r="J185" i="8" s="1"/>
  <c r="J171" i="8" a="1"/>
  <c r="J171" i="8" s="1"/>
  <c r="J189" i="8" a="1"/>
  <c r="J189" i="8" s="1"/>
  <c r="J127" i="8" a="1"/>
  <c r="J127" i="8" s="1"/>
  <c r="J137" i="8" a="1"/>
  <c r="J137" i="8" s="1"/>
  <c r="J77" i="8" a="1"/>
  <c r="J77" i="8" s="1"/>
  <c r="J7" i="8" a="1"/>
  <c r="J7" i="8" s="1"/>
  <c r="J15" i="8" a="1"/>
  <c r="J15" i="8" s="1"/>
  <c r="J76" i="8" a="1"/>
  <c r="J76" i="8" s="1"/>
  <c r="J67" i="8" a="1"/>
  <c r="J67" i="8" s="1"/>
  <c r="J9" i="8" a="1"/>
  <c r="J9" i="8" s="1"/>
  <c r="J148" i="8" a="1"/>
  <c r="J148" i="8" s="1"/>
  <c r="J49" i="8" a="1"/>
  <c r="J49" i="8" s="1"/>
  <c r="J90" i="8" a="1"/>
  <c r="J90" i="8" s="1"/>
  <c r="F90" i="8" s="1" a="1"/>
  <c r="F90" i="8" s="1"/>
  <c r="K240" i="2" s="1" a="1"/>
  <c r="K240" i="2" s="1"/>
  <c r="J43" i="8" a="1"/>
  <c r="J43" i="8" s="1"/>
  <c r="J107" i="8" a="1"/>
  <c r="J107" i="8" s="1"/>
  <c r="J66" i="8" a="1"/>
  <c r="J66" i="8" s="1"/>
  <c r="J61" i="8" a="1"/>
  <c r="J61" i="8" s="1"/>
  <c r="J150" i="8" a="1"/>
  <c r="J150" i="8" s="1"/>
  <c r="J118" i="8" a="1"/>
  <c r="J118" i="8" s="1"/>
  <c r="J174" i="8" a="1"/>
  <c r="J174" i="8" s="1"/>
  <c r="J5" i="8" a="1"/>
  <c r="J5" i="8" s="1"/>
  <c r="J3" i="8" a="1"/>
  <c r="J3" i="8" s="1"/>
  <c r="J145" i="8" a="1"/>
  <c r="J145" i="8" s="1"/>
  <c r="J124" i="8" a="1"/>
  <c r="J124" i="8" s="1"/>
  <c r="J180" i="8" a="1"/>
  <c r="J180" i="8" s="1"/>
  <c r="J132" i="8" a="1"/>
  <c r="J132" i="8" s="1"/>
  <c r="J186" i="8" a="1"/>
  <c r="J186" i="8" s="1"/>
  <c r="J113" i="8" a="1"/>
  <c r="J113" i="8" s="1"/>
  <c r="F113" i="8" s="1" a="1"/>
  <c r="F113" i="8" s="1"/>
  <c r="K279" i="2" s="1" a="1"/>
  <c r="K279" i="2" s="1"/>
  <c r="L279" i="2" s="1" a="1"/>
  <c r="L279" i="2" s="1"/>
  <c r="J88" i="8" a="1"/>
  <c r="J88" i="8" s="1"/>
  <c r="J183" i="8" a="1"/>
  <c r="J183" i="8" s="1"/>
  <c r="J176" i="8" a="1"/>
  <c r="J176" i="8" s="1"/>
  <c r="J163" i="8" a="1"/>
  <c r="J163" i="8" s="1"/>
  <c r="J80" i="8" a="1"/>
  <c r="J80" i="8" s="1"/>
  <c r="J79" i="8" a="1"/>
  <c r="J79" i="8" s="1"/>
  <c r="J83" i="8" a="1"/>
  <c r="J83" i="8" s="1"/>
  <c r="J158" i="8" a="1"/>
  <c r="J158" i="8" s="1"/>
  <c r="J136" i="8" a="1"/>
  <c r="J136" i="8" s="1"/>
  <c r="J121" i="8" a="1"/>
  <c r="J121" i="8" s="1"/>
  <c r="J6" i="6" a="1"/>
  <c r="J6" i="6" s="1"/>
  <c r="J77" i="6" a="1"/>
  <c r="J77" i="6" s="1"/>
  <c r="J150" i="6" a="1"/>
  <c r="J150" i="6" s="1"/>
  <c r="J50" i="5" a="1"/>
  <c r="J50" i="5" s="1"/>
  <c r="J106" i="5" a="1"/>
  <c r="J106" i="5" s="1"/>
  <c r="J295" i="4" a="1"/>
  <c r="J295" i="4" s="1"/>
  <c r="J138" i="7" a="1"/>
  <c r="J138" i="7" s="1"/>
  <c r="F138" i="7" s="1" a="1"/>
  <c r="F138" i="7" s="1"/>
  <c r="K481" i="2" s="1" a="1"/>
  <c r="K481" i="2" s="1"/>
  <c r="J164" i="6" a="1"/>
  <c r="J164" i="6" s="1"/>
  <c r="J84" i="6" a="1"/>
  <c r="J84" i="6" s="1"/>
  <c r="J40" i="6" a="1"/>
  <c r="J40" i="6" s="1"/>
  <c r="J259" i="4" a="1"/>
  <c r="J259" i="4" s="1"/>
  <c r="F259" i="4" s="1" a="1"/>
  <c r="F259" i="4" s="1"/>
  <c r="J252" i="4" a="1"/>
  <c r="J252" i="4" s="1"/>
  <c r="F158" i="5" a="1"/>
  <c r="F158" i="5" s="1"/>
  <c r="E12" i="2" a="1"/>
  <c r="E12" i="2" s="1"/>
  <c r="F91" i="6" a="1"/>
  <c r="F91" i="6" s="1"/>
  <c r="F204" i="6" a="1"/>
  <c r="F204" i="6" s="1"/>
  <c r="K658" i="2" s="1" a="1"/>
  <c r="K658" i="2" s="1"/>
  <c r="J42" i="5" a="1"/>
  <c r="J42" i="5" s="1"/>
  <c r="J214" i="4" a="1"/>
  <c r="J214" i="4" s="1"/>
  <c r="J172" i="7" a="1"/>
  <c r="J172" i="7" s="1"/>
  <c r="F172" i="7" s="1" a="1"/>
  <c r="F172" i="7" s="1"/>
  <c r="K585" i="2" s="1" a="1"/>
  <c r="K585" i="2" s="1"/>
  <c r="J43" i="4" a="1"/>
  <c r="J43" i="4" s="1"/>
  <c r="F182" i="7" a="1"/>
  <c r="F182" i="7" s="1"/>
  <c r="K598" i="2" s="1" a="1"/>
  <c r="K598" i="2" s="1"/>
  <c r="J137" i="7" a="1"/>
  <c r="J137" i="7" s="1"/>
  <c r="F137" i="7" s="1" a="1"/>
  <c r="F137" i="7" s="1"/>
  <c r="K478" i="2" s="1" a="1"/>
  <c r="K478" i="2" s="1"/>
  <c r="F122" i="8" a="1"/>
  <c r="F122" i="8" s="1"/>
  <c r="K298" i="2" s="1" a="1"/>
  <c r="K298" i="2" s="1"/>
  <c r="J387" i="4" a="1"/>
  <c r="J387" i="4" s="1"/>
  <c r="J27" i="4" a="1"/>
  <c r="J27" i="4" s="1"/>
  <c r="F27" i="4" s="1" a="1"/>
  <c r="F27" i="4" s="1"/>
  <c r="J50" i="4" a="1"/>
  <c r="J50" i="4" s="1"/>
  <c r="F50" i="4" s="1" a="1"/>
  <c r="F50" i="4" s="1"/>
  <c r="J66" i="4" a="1"/>
  <c r="J66" i="4" s="1"/>
  <c r="J315" i="4" a="1"/>
  <c r="J315" i="4" s="1"/>
  <c r="J336" i="4" a="1"/>
  <c r="J336" i="4" s="1"/>
  <c r="J92" i="6" a="1"/>
  <c r="J92" i="6" s="1"/>
  <c r="J128" i="6" a="1"/>
  <c r="J128" i="6" s="1"/>
  <c r="J37" i="6" a="1"/>
  <c r="J37" i="6" s="1"/>
  <c r="J158" i="7" a="1"/>
  <c r="J158" i="7" s="1"/>
  <c r="J64" i="6" a="1"/>
  <c r="J64" i="6" s="1"/>
  <c r="J15" i="7" a="1"/>
  <c r="J15" i="7" s="1"/>
  <c r="F15" i="7" s="1" a="1"/>
  <c r="F15" i="7" s="1"/>
  <c r="K49" i="2" s="1" a="1"/>
  <c r="K49" i="2" s="1"/>
  <c r="J28" i="6" a="1"/>
  <c r="J28" i="6" s="1"/>
  <c r="F28" i="6" s="1" a="1"/>
  <c r="F28" i="6" s="1"/>
  <c r="J112" i="5" a="1"/>
  <c r="J112" i="5" s="1"/>
  <c r="J353" i="4" a="1"/>
  <c r="J353" i="4" s="1"/>
  <c r="F353" i="4" s="1" a="1"/>
  <c r="F353" i="4" s="1"/>
  <c r="J339" i="4" a="1"/>
  <c r="J339" i="4" s="1"/>
  <c r="J57" i="4" a="1"/>
  <c r="J57" i="4" s="1"/>
  <c r="J171" i="6" a="1"/>
  <c r="J171" i="6" s="1"/>
  <c r="J117" i="5" a="1"/>
  <c r="J117" i="5" s="1"/>
  <c r="J125" i="5" a="1"/>
  <c r="J125" i="5" s="1"/>
  <c r="J160" i="5" a="1"/>
  <c r="J160" i="5" s="1"/>
  <c r="F160" i="5" s="1" a="1"/>
  <c r="F160" i="5" s="1"/>
  <c r="J347" i="4" a="1"/>
  <c r="J347" i="4" s="1"/>
  <c r="J390" i="4" a="1"/>
  <c r="J390" i="4" s="1"/>
  <c r="J102" i="5" a="1"/>
  <c r="J102" i="5" s="1"/>
  <c r="J160" i="6" a="1"/>
  <c r="J160" i="6" s="1"/>
  <c r="J137" i="5" a="1"/>
  <c r="J137" i="5" s="1"/>
  <c r="F137" i="5" s="1" a="1"/>
  <c r="F137" i="5" s="1"/>
  <c r="K503" i="2" s="1" a="1"/>
  <c r="K503" i="2" s="1"/>
  <c r="J316" i="4" a="1"/>
  <c r="J316" i="4" s="1"/>
  <c r="J92" i="5" a="1"/>
  <c r="J92" i="5" s="1"/>
  <c r="F148" i="7" a="1"/>
  <c r="F148" i="7" s="1"/>
  <c r="K518" i="2" s="1" a="1"/>
  <c r="K518" i="2" s="1"/>
  <c r="F369" i="4" a="1"/>
  <c r="F369" i="4" s="1"/>
  <c r="J194" i="6" a="1"/>
  <c r="J194" i="6" s="1"/>
  <c r="J218" i="4" a="1"/>
  <c r="J218" i="4" s="1"/>
  <c r="J25" i="7" a="1"/>
  <c r="J25" i="7" s="1"/>
  <c r="F25" i="7" s="1" a="1"/>
  <c r="F25" i="7" s="1"/>
  <c r="K82" i="2" s="1" a="1"/>
  <c r="K82" i="2" s="1"/>
  <c r="J249" i="4" a="1"/>
  <c r="J249" i="4" s="1"/>
  <c r="J293" i="4" a="1"/>
  <c r="J293" i="4" s="1"/>
  <c r="J126" i="4" a="1"/>
  <c r="J126" i="4" s="1"/>
  <c r="J85" i="6" a="1"/>
  <c r="J85" i="6" s="1"/>
  <c r="J56" i="7" a="1"/>
  <c r="J56" i="7" s="1"/>
  <c r="F56" i="7" s="1" a="1"/>
  <c r="F56" i="7" s="1"/>
  <c r="K176" i="2" s="1" a="1"/>
  <c r="K176" i="2" s="1"/>
  <c r="J164" i="5" a="1"/>
  <c r="J164" i="5" s="1"/>
  <c r="J175" i="7" a="1"/>
  <c r="J175" i="7" s="1"/>
  <c r="F175" i="7" s="1" a="1"/>
  <c r="F175" i="7" s="1"/>
  <c r="K588" i="2" s="1" a="1"/>
  <c r="K588" i="2" s="1"/>
  <c r="J66" i="6" a="1"/>
  <c r="J66" i="6" s="1"/>
  <c r="J321" i="4" a="1"/>
  <c r="J321" i="4" s="1"/>
  <c r="J64" i="4" a="1"/>
  <c r="J64" i="4" s="1"/>
  <c r="J189" i="6" a="1"/>
  <c r="J189" i="6" s="1"/>
  <c r="F195" i="4" a="1"/>
  <c r="F195" i="4" s="1"/>
  <c r="J196" i="4" a="1"/>
  <c r="J196" i="4" s="1"/>
  <c r="J55" i="9" a="1"/>
  <c r="J55" i="9" s="1"/>
  <c r="F151" i="8" a="1"/>
  <c r="F151" i="8" s="1"/>
  <c r="K356" i="2" s="1" a="1"/>
  <c r="K356" i="2" s="1"/>
  <c r="F139" i="8" a="1"/>
  <c r="F139" i="8" s="1"/>
  <c r="K336" i="2" s="1" a="1"/>
  <c r="K336" i="2" s="1"/>
  <c r="J128" i="4" a="1"/>
  <c r="J128" i="4" s="1"/>
  <c r="J179" i="4" a="1"/>
  <c r="J179" i="4" s="1"/>
  <c r="J130" i="4" a="1"/>
  <c r="J130" i="4" s="1"/>
  <c r="J58" i="7" a="1"/>
  <c r="J58" i="7" s="1"/>
  <c r="F58" i="7" s="1" a="1"/>
  <c r="F58" i="7" s="1"/>
  <c r="K188" i="2" s="1" a="1"/>
  <c r="K188" i="2" s="1"/>
  <c r="J81" i="4" a="1"/>
  <c r="J81" i="4" s="1"/>
  <c r="J198" i="4" a="1"/>
  <c r="J198" i="4" s="1"/>
  <c r="J405" i="4" a="1"/>
  <c r="J405" i="4" s="1"/>
  <c r="J86" i="5" a="1"/>
  <c r="J86" i="5" s="1"/>
  <c r="F86" i="5" s="1" a="1"/>
  <c r="F86" i="5" s="1"/>
  <c r="F136" i="5" a="1"/>
  <c r="F136" i="5" s="1"/>
  <c r="K500" i="2" s="1" a="1"/>
  <c r="K500" i="2" s="1"/>
  <c r="J59" i="7" a="1"/>
  <c r="J59" i="7" s="1"/>
  <c r="F59" i="7" s="1" a="1"/>
  <c r="F59" i="7" s="1"/>
  <c r="K191" i="2" s="1" a="1"/>
  <c r="K191" i="2" s="1"/>
  <c r="J51" i="6" a="1"/>
  <c r="J51" i="6" s="1"/>
  <c r="F51" i="6" s="1" a="1"/>
  <c r="F51" i="6" s="1"/>
  <c r="J3" i="4" a="1"/>
  <c r="J3" i="4" s="1"/>
  <c r="J8" i="7" a="1"/>
  <c r="J8" i="7" s="1"/>
  <c r="F8" i="7" s="1" a="1"/>
  <c r="F8" i="7" s="1"/>
  <c r="K29" i="2" s="1" a="1"/>
  <c r="K29" i="2" s="1"/>
  <c r="J101" i="5" a="1"/>
  <c r="J101" i="5" s="1"/>
  <c r="J314" i="4" a="1"/>
  <c r="J314" i="4" s="1"/>
  <c r="F314" i="4" s="1" a="1"/>
  <c r="F314" i="4" s="1"/>
  <c r="J103" i="6" a="1"/>
  <c r="J103" i="6" s="1"/>
  <c r="J107" i="4" a="1"/>
  <c r="J107" i="4" s="1"/>
  <c r="J209" i="6" a="1"/>
  <c r="J209" i="6" s="1"/>
  <c r="F209" i="6" s="1" a="1"/>
  <c r="F209" i="6" s="1"/>
  <c r="J181" i="7" a="1"/>
  <c r="J181" i="7" s="1"/>
  <c r="F181" i="7" s="1" a="1"/>
  <c r="F181" i="7" s="1"/>
  <c r="K597" i="2" s="1" a="1"/>
  <c r="K597" i="2" s="1"/>
  <c r="J120" i="6" a="1"/>
  <c r="J120" i="6" s="1"/>
  <c r="F62" i="5" a="1"/>
  <c r="F62" i="5" s="1"/>
  <c r="K217" i="2" s="1" a="1"/>
  <c r="K217" i="2" s="1"/>
  <c r="J170" i="7" a="1"/>
  <c r="J170" i="7" s="1"/>
  <c r="J162" i="7" a="1"/>
  <c r="J162" i="7" s="1"/>
  <c r="F162" i="7" s="1" a="1"/>
  <c r="F162" i="7" s="1"/>
  <c r="K561" i="2" s="1" a="1"/>
  <c r="K561" i="2" s="1"/>
  <c r="F61" i="8" a="1"/>
  <c r="F61" i="8" s="1"/>
  <c r="K178" i="2" s="1" a="1"/>
  <c r="K178" i="2" s="1"/>
  <c r="J172" i="4" a="1"/>
  <c r="J172" i="4" s="1"/>
  <c r="J290" i="4" a="1"/>
  <c r="J290" i="4" s="1"/>
  <c r="F290" i="4" s="1" a="1"/>
  <c r="F290" i="4" s="1"/>
  <c r="J171" i="5" a="1"/>
  <c r="J171" i="5" s="1"/>
  <c r="F171" i="5" s="1" a="1"/>
  <c r="F171" i="5" s="1"/>
  <c r="J95" i="6" a="1"/>
  <c r="J95" i="6" s="1"/>
  <c r="J73" i="6" a="1"/>
  <c r="J73" i="6" s="1"/>
  <c r="F73" i="6" s="1" a="1"/>
  <c r="F73" i="6" s="1"/>
  <c r="K316" i="2" s="1" a="1"/>
  <c r="K316" i="2" s="1"/>
  <c r="J138" i="6" a="1"/>
  <c r="J138" i="6" s="1"/>
  <c r="J148" i="5" a="1"/>
  <c r="J148" i="5" s="1"/>
  <c r="F148" i="5" s="1" a="1"/>
  <c r="F148" i="5" s="1"/>
  <c r="J186" i="7" a="1"/>
  <c r="J186" i="7" s="1"/>
  <c r="F186" i="7" s="1" a="1"/>
  <c r="F186" i="7" s="1"/>
  <c r="K605" i="2" s="1" a="1"/>
  <c r="K605" i="2" s="1"/>
  <c r="J139" i="5" a="1"/>
  <c r="J139" i="5" s="1"/>
  <c r="J115" i="5" a="1"/>
  <c r="J115" i="5" s="1"/>
  <c r="F115" i="5" s="1" a="1"/>
  <c r="F115" i="5" s="1"/>
  <c r="J151" i="4" a="1"/>
  <c r="J151" i="4" s="1"/>
  <c r="F151" i="4" s="1" a="1"/>
  <c r="F151" i="4" s="1"/>
  <c r="J49" i="7" a="1"/>
  <c r="J49" i="7" s="1"/>
  <c r="F49" i="7" s="1" a="1"/>
  <c r="F49" i="7" s="1"/>
  <c r="K151" i="2" s="1" a="1"/>
  <c r="K151" i="2" s="1"/>
  <c r="E2" i="2" a="1"/>
  <c r="E2" i="2" s="1"/>
  <c r="F19" i="5" a="1"/>
  <c r="F19" i="5" s="1"/>
  <c r="K54" i="2" s="1" a="1"/>
  <c r="K54" i="2" s="1"/>
  <c r="F106" i="5" a="1"/>
  <c r="F106" i="5" s="1"/>
  <c r="F27" i="5" a="1"/>
  <c r="F27" i="5" s="1"/>
  <c r="K84" i="2" s="1" a="1"/>
  <c r="K84" i="2" s="1"/>
  <c r="F145" i="5" a="1"/>
  <c r="F145" i="5" s="1"/>
  <c r="F101" i="5" a="1"/>
  <c r="F101" i="5" s="1"/>
  <c r="F24" i="5" a="1"/>
  <c r="F24" i="5" s="1"/>
  <c r="K75" i="2" s="1" a="1"/>
  <c r="K75" i="2" s="1"/>
  <c r="F109" i="5" a="1"/>
  <c r="F109" i="5" s="1"/>
  <c r="F41" i="5" a="1"/>
  <c r="F41" i="5" s="1"/>
  <c r="K120" i="2" s="1" a="1"/>
  <c r="K120" i="2" s="1"/>
  <c r="F26" i="5" a="1"/>
  <c r="F26" i="5" s="1"/>
  <c r="F17" i="5" a="1"/>
  <c r="F17" i="5" s="1"/>
  <c r="F52" i="5" a="1"/>
  <c r="F52" i="5" s="1"/>
  <c r="F108" i="5" a="1"/>
  <c r="F108" i="5" s="1"/>
  <c r="K430" i="2" s="1" a="1"/>
  <c r="K430" i="2" s="1"/>
  <c r="F167" i="5" a="1"/>
  <c r="F167" i="5" s="1"/>
  <c r="F92" i="5" a="1"/>
  <c r="F92" i="5" s="1"/>
  <c r="F81" i="5" a="1"/>
  <c r="F81" i="5" s="1"/>
  <c r="K300" i="2" s="1" a="1"/>
  <c r="K300" i="2" s="1"/>
  <c r="F95" i="5" a="1"/>
  <c r="F95" i="5" s="1"/>
  <c r="F50" i="5" a="1"/>
  <c r="F50" i="5" s="1"/>
  <c r="K158" i="2" s="1" a="1"/>
  <c r="K158" i="2" s="1"/>
  <c r="F112" i="5" a="1"/>
  <c r="F112" i="5" s="1"/>
  <c r="K438" i="2" s="1" a="1"/>
  <c r="K438" i="2" s="1"/>
  <c r="F203" i="5" a="1"/>
  <c r="F203" i="5" s="1"/>
  <c r="K646" i="2" s="1" a="1"/>
  <c r="K646" i="2" s="1"/>
  <c r="F114" i="5" a="1"/>
  <c r="F114" i="5" s="1"/>
  <c r="F96" i="5" a="1"/>
  <c r="F96" i="5" s="1"/>
  <c r="F42" i="5" a="1"/>
  <c r="F42" i="5" s="1"/>
  <c r="K123" i="2" s="1" a="1"/>
  <c r="K123" i="2" s="1"/>
  <c r="F10" i="5" a="1"/>
  <c r="F10" i="5" s="1"/>
  <c r="K22" i="2" s="1" a="1"/>
  <c r="K22" i="2" s="1"/>
  <c r="F20" i="5" a="1"/>
  <c r="F20" i="5" s="1"/>
  <c r="J95" i="4" a="1"/>
  <c r="J95" i="4" s="1"/>
  <c r="J165" i="6" a="1"/>
  <c r="J165" i="6" s="1"/>
  <c r="F165" i="6" s="1" a="1"/>
  <c r="F165" i="6" s="1"/>
  <c r="J33" i="7" a="1"/>
  <c r="J33" i="7" s="1"/>
  <c r="F33" i="7" s="1" a="1"/>
  <c r="F33" i="7" s="1"/>
  <c r="K118" i="2" s="1" a="1"/>
  <c r="K118" i="2" s="1"/>
  <c r="J306" i="4" a="1"/>
  <c r="J306" i="4" s="1"/>
  <c r="F306" i="4" s="1" a="1"/>
  <c r="F306" i="4" s="1"/>
  <c r="J59" i="5" a="1"/>
  <c r="J59" i="5" s="1"/>
  <c r="F59" i="5" s="1" a="1"/>
  <c r="F59" i="5" s="1"/>
  <c r="K192" i="2" s="1" a="1"/>
  <c r="K192" i="2" s="1"/>
  <c r="J384" i="4" a="1"/>
  <c r="J384" i="4" s="1"/>
  <c r="J168" i="7" a="1"/>
  <c r="J168" i="7" s="1"/>
  <c r="F168" i="7" s="1" a="1"/>
  <c r="F168" i="7" s="1"/>
  <c r="K578" i="2" s="1" a="1"/>
  <c r="K578" i="2" s="1"/>
  <c r="J195" i="6" a="1"/>
  <c r="J195" i="6" s="1"/>
  <c r="F195" i="6" s="1" a="1"/>
  <c r="F195" i="6" s="1"/>
  <c r="K642" i="2" s="1" a="1"/>
  <c r="K642" i="2" s="1"/>
  <c r="J56" i="4" a="1"/>
  <c r="J56" i="4" s="1"/>
  <c r="J22" i="9" a="1"/>
  <c r="J22" i="9" s="1"/>
  <c r="J35" i="9" a="1"/>
  <c r="J35" i="9" s="1"/>
  <c r="J63" i="9" a="1"/>
  <c r="J63" i="9" s="1"/>
  <c r="J56" i="9" a="1"/>
  <c r="J56" i="9" s="1"/>
  <c r="J43" i="9" a="1"/>
  <c r="J43" i="9" s="1"/>
  <c r="J31" i="9" a="1"/>
  <c r="J31" i="9" s="1"/>
  <c r="J26" i="9" a="1"/>
  <c r="J26" i="9" s="1"/>
  <c r="J23" i="9" a="1"/>
  <c r="J23" i="9" s="1"/>
  <c r="J11" i="9" a="1"/>
  <c r="J11" i="9" s="1"/>
  <c r="J19" i="9" a="1"/>
  <c r="J19" i="9" s="1"/>
  <c r="J47" i="9" a="1"/>
  <c r="J47" i="9" s="1"/>
  <c r="J12" i="9" a="1"/>
  <c r="J12" i="9" s="1"/>
  <c r="J60" i="9" a="1"/>
  <c r="J60" i="9" s="1"/>
  <c r="J8" i="9" a="1"/>
  <c r="J8" i="9" s="1"/>
  <c r="J65" i="9" a="1"/>
  <c r="J65" i="9" s="1"/>
  <c r="J4" i="9" a="1"/>
  <c r="J4" i="9" s="1"/>
  <c r="J33" i="9" a="1"/>
  <c r="J33" i="9" s="1"/>
  <c r="J49" i="9" a="1"/>
  <c r="J49" i="9" s="1"/>
  <c r="J15" i="9" a="1"/>
  <c r="J15" i="9" s="1"/>
  <c r="J9" i="9" a="1"/>
  <c r="J9" i="9" s="1"/>
  <c r="J46" i="9" a="1"/>
  <c r="J46" i="9" s="1"/>
  <c r="J6" i="9" a="1"/>
  <c r="J6" i="9" s="1"/>
  <c r="J30" i="9" a="1"/>
  <c r="J30" i="9" s="1"/>
  <c r="J41" i="9" a="1"/>
  <c r="J41" i="9" s="1"/>
  <c r="J18" i="9" a="1"/>
  <c r="J18" i="9" s="1"/>
  <c r="J44" i="9" a="1"/>
  <c r="J44" i="9" s="1"/>
  <c r="J53" i="9" a="1"/>
  <c r="J53" i="9" s="1"/>
  <c r="J59" i="9" a="1"/>
  <c r="J59" i="9" s="1"/>
  <c r="J16" i="9" a="1"/>
  <c r="J16" i="9" s="1"/>
  <c r="J21" i="9" a="1"/>
  <c r="J21" i="9" s="1"/>
  <c r="J51" i="9" a="1"/>
  <c r="J51" i="9" s="1"/>
  <c r="J62" i="9" a="1"/>
  <c r="J62" i="9" s="1"/>
  <c r="J10" i="9" a="1"/>
  <c r="J10" i="9" s="1"/>
  <c r="J20" i="9" a="1"/>
  <c r="J20" i="9" s="1"/>
  <c r="J3" i="9" a="1"/>
  <c r="J3" i="9" s="1"/>
  <c r="J66" i="9" a="1"/>
  <c r="J66" i="9" s="1"/>
  <c r="F146" i="8" a="1"/>
  <c r="F146" i="8" s="1"/>
  <c r="K349" i="2" s="1" a="1"/>
  <c r="K349" i="2" s="1"/>
  <c r="J119" i="6" a="1"/>
  <c r="J119" i="6" s="1"/>
  <c r="F119" i="6" s="1" a="1"/>
  <c r="F119" i="6" s="1"/>
  <c r="J159" i="7" a="1"/>
  <c r="J159" i="7" s="1"/>
  <c r="F159" i="7" s="1" a="1"/>
  <c r="F159" i="7" s="1"/>
  <c r="K554" i="2" s="1" a="1"/>
  <c r="K554" i="2" s="1"/>
  <c r="J42" i="4" a="1"/>
  <c r="J42" i="4" s="1"/>
  <c r="F32" i="8" a="1"/>
  <c r="F32" i="8" s="1"/>
  <c r="K90" i="2" s="1" a="1"/>
  <c r="K90" i="2" s="1"/>
  <c r="J310" i="4" a="1"/>
  <c r="J310" i="4" s="1"/>
  <c r="F310" i="4" s="1" a="1"/>
  <c r="F310" i="4" s="1"/>
  <c r="J129" i="7" a="1"/>
  <c r="J129" i="7" s="1"/>
  <c r="J121" i="5" a="1"/>
  <c r="J121" i="5" s="1"/>
  <c r="F121" i="5" s="1" a="1"/>
  <c r="F121" i="5" s="1"/>
  <c r="J50" i="7" a="1"/>
  <c r="J50" i="7" s="1"/>
  <c r="F50" i="7" s="1" a="1"/>
  <c r="F50" i="7" s="1"/>
  <c r="K152" i="2" s="1" a="1"/>
  <c r="K152" i="2" s="1"/>
  <c r="J366" i="4" a="1"/>
  <c r="J366" i="4" s="1"/>
  <c r="J70" i="5" a="1"/>
  <c r="J70" i="5" s="1"/>
  <c r="F70" i="5" s="1" a="1"/>
  <c r="F70" i="5" s="1"/>
  <c r="K267" i="2" s="1" a="1"/>
  <c r="K267" i="2" s="1"/>
  <c r="J257" i="4" a="1"/>
  <c r="J257" i="4" s="1"/>
  <c r="F134" i="5" a="1"/>
  <c r="F134" i="5" s="1"/>
  <c r="F73" i="8" a="1"/>
  <c r="F73" i="8" s="1"/>
  <c r="K209" i="2" s="1" a="1"/>
  <c r="K209" i="2" s="1"/>
  <c r="J139" i="4" a="1"/>
  <c r="J139" i="4" s="1"/>
  <c r="J175" i="6" a="1"/>
  <c r="J175" i="6" s="1"/>
  <c r="F175" i="6" s="1" a="1"/>
  <c r="F175" i="6" s="1"/>
  <c r="K610" i="2" s="1" a="1"/>
  <c r="K610" i="2" s="1"/>
  <c r="J256" i="4" a="1"/>
  <c r="J256" i="4" s="1"/>
  <c r="J119" i="4" a="1"/>
  <c r="J119" i="4" s="1"/>
  <c r="J362" i="4" a="1"/>
  <c r="J362" i="4" s="1"/>
  <c r="F354" i="4" a="1"/>
  <c r="F354" i="4" s="1"/>
  <c r="J11" i="4" a="1"/>
  <c r="J11" i="4" s="1"/>
  <c r="J63" i="5" a="1"/>
  <c r="J63" i="5" s="1"/>
  <c r="F63" i="5" s="1" a="1"/>
  <c r="F63" i="5" s="1"/>
  <c r="J45" i="6" a="1"/>
  <c r="J45" i="6" s="1"/>
  <c r="F45" i="6" s="1" a="1"/>
  <c r="F45" i="6" s="1"/>
  <c r="K173" i="2" s="1" a="1"/>
  <c r="K173" i="2" s="1"/>
  <c r="J4" i="7" a="1"/>
  <c r="J4" i="7" s="1"/>
  <c r="F4" i="7" s="1" a="1"/>
  <c r="F4" i="7" s="1"/>
  <c r="K10" i="2" s="1" a="1"/>
  <c r="K10" i="2" s="1"/>
  <c r="J63" i="7" a="1"/>
  <c r="J63" i="7" s="1"/>
  <c r="F63" i="7" s="1" a="1"/>
  <c r="F63" i="7" s="1"/>
  <c r="K204" i="2" s="1" a="1"/>
  <c r="K204" i="2" s="1"/>
  <c r="J179" i="5" a="1"/>
  <c r="J179" i="5" s="1"/>
  <c r="F179" i="5" s="1" a="1"/>
  <c r="F179" i="5" s="1"/>
  <c r="J208" i="5" a="1"/>
  <c r="J208" i="5" s="1"/>
  <c r="F208" i="5" s="1" a="1"/>
  <c r="F208" i="5" s="1"/>
  <c r="K663" i="2" s="1" a="1"/>
  <c r="K663" i="2" s="1"/>
  <c r="J48" i="7" a="1"/>
  <c r="J48" i="7" s="1"/>
  <c r="F48" i="7" s="1" a="1"/>
  <c r="F48" i="7" s="1"/>
  <c r="K150" i="2" s="1" a="1"/>
  <c r="K150" i="2" s="1"/>
  <c r="J102" i="4" a="1"/>
  <c r="J102" i="4" s="1"/>
  <c r="J349" i="4" a="1"/>
  <c r="J349" i="4" s="1"/>
  <c r="F111" i="8" a="1"/>
  <c r="F111" i="8" s="1"/>
  <c r="K275" i="2" s="1" a="1"/>
  <c r="K275" i="2" s="1"/>
  <c r="J189" i="4" a="1"/>
  <c r="J189" i="4" s="1"/>
  <c r="J17" i="8" a="1"/>
  <c r="J17" i="8" s="1"/>
  <c r="J175" i="4" a="1"/>
  <c r="J175" i="4" s="1"/>
  <c r="J107" i="6" a="1"/>
  <c r="J107" i="6" s="1"/>
  <c r="F107" i="6" s="1" a="1"/>
  <c r="F107" i="6" s="1"/>
  <c r="J96" i="5" a="1"/>
  <c r="J96" i="5" s="1"/>
  <c r="J328" i="4" a="1"/>
  <c r="J328" i="4" s="1"/>
  <c r="F328" i="4" s="1" a="1"/>
  <c r="F328" i="4" s="1"/>
  <c r="J197" i="5" a="1"/>
  <c r="J197" i="5" s="1"/>
  <c r="F197" i="5" s="1" a="1"/>
  <c r="F197" i="5" s="1"/>
  <c r="J351" i="4" a="1"/>
  <c r="J351" i="4" s="1"/>
  <c r="F351" i="4" s="1" a="1"/>
  <c r="F351" i="4" s="1"/>
  <c r="J90" i="5" a="1"/>
  <c r="J90" i="5" s="1"/>
  <c r="J76" i="5" a="1"/>
  <c r="J76" i="5" s="1"/>
  <c r="F76" i="5" s="1" a="1"/>
  <c r="F76" i="5" s="1"/>
  <c r="K291" i="2" s="1" a="1"/>
  <c r="K291" i="2" s="1"/>
  <c r="J109" i="6" a="1"/>
  <c r="J109" i="6" s="1"/>
  <c r="F109" i="6" s="1" a="1"/>
  <c r="F109" i="6" s="1"/>
  <c r="F27" i="8" a="1"/>
  <c r="F27" i="8" s="1"/>
  <c r="K70" i="2" s="1" a="1"/>
  <c r="K70" i="2" s="1"/>
  <c r="F293" i="4" a="1"/>
  <c r="F293" i="4" s="1"/>
  <c r="J193" i="4" a="1"/>
  <c r="J193" i="4" s="1"/>
  <c r="J190" i="5" a="1"/>
  <c r="J190" i="5" s="1"/>
  <c r="F190" i="5" s="1" a="1"/>
  <c r="F190" i="5" s="1"/>
  <c r="J379" i="4" a="1"/>
  <c r="J379" i="4" s="1"/>
  <c r="J21" i="7" a="1"/>
  <c r="J21" i="7" s="1"/>
  <c r="F21" i="7" s="1" a="1"/>
  <c r="F21" i="7" s="1"/>
  <c r="K67" i="2" s="1" a="1"/>
  <c r="K67" i="2" s="1"/>
  <c r="J116" i="4" a="1"/>
  <c r="J116" i="4" s="1"/>
  <c r="J15" i="6" a="1"/>
  <c r="J15" i="6" s="1"/>
  <c r="J23" i="7" a="1"/>
  <c r="J23" i="7" s="1"/>
  <c r="F23" i="7" s="1" a="1"/>
  <c r="F23" i="7" s="1"/>
  <c r="K73" i="2" s="1" a="1"/>
  <c r="K73" i="2" s="1"/>
  <c r="J104" i="6" a="1"/>
  <c r="J104" i="6" s="1"/>
  <c r="F43" i="4" a="1"/>
  <c r="F43" i="4" s="1"/>
  <c r="J60" i="7" a="1"/>
  <c r="J60" i="7" s="1"/>
  <c r="F60" i="7" s="1" a="1"/>
  <c r="F60" i="7" s="1"/>
  <c r="K194" i="2" s="1" a="1"/>
  <c r="K194" i="2" s="1"/>
  <c r="J101" i="7" a="1"/>
  <c r="J101" i="7" s="1"/>
  <c r="F101" i="7" s="1" a="1"/>
  <c r="F101" i="7" s="1"/>
  <c r="K371" i="2" s="1" a="1"/>
  <c r="K371" i="2" s="1"/>
  <c r="J117" i="4" a="1"/>
  <c r="J117" i="4" s="1"/>
  <c r="J33" i="5" a="1"/>
  <c r="J33" i="5" s="1"/>
  <c r="F33" i="5" s="1" a="1"/>
  <c r="F33" i="5" s="1"/>
  <c r="K102" i="2" s="1" a="1"/>
  <c r="K102" i="2" s="1"/>
  <c r="J202" i="6" a="1"/>
  <c r="J202" i="6" s="1"/>
  <c r="F202" i="6" s="1" a="1"/>
  <c r="F202" i="6" s="1"/>
  <c r="K656" i="2" s="1" a="1"/>
  <c r="K656" i="2" s="1"/>
  <c r="J168" i="5" a="1"/>
  <c r="J168" i="5" s="1"/>
  <c r="J111" i="7" a="1"/>
  <c r="J111" i="7" s="1"/>
  <c r="J185" i="5" a="1"/>
  <c r="J185" i="5" s="1"/>
  <c r="F185" i="5" s="1" a="1"/>
  <c r="F185" i="5" s="1"/>
  <c r="J233" i="4" a="1"/>
  <c r="J233" i="4" s="1"/>
  <c r="F178" i="7" a="1"/>
  <c r="F178" i="7" s="1"/>
  <c r="K592" i="2" s="1" a="1"/>
  <c r="K592" i="2" s="1"/>
  <c r="J6" i="4" a="1"/>
  <c r="J6" i="4" s="1"/>
  <c r="F6" i="4" s="1" a="1"/>
  <c r="F6" i="4" s="1"/>
  <c r="J52" i="5" a="1"/>
  <c r="J52" i="5" s="1"/>
  <c r="J87" i="5" a="1"/>
  <c r="J87" i="5" s="1"/>
  <c r="J65" i="4" a="1"/>
  <c r="J65" i="4" s="1"/>
  <c r="F65" i="4" s="1" a="1"/>
  <c r="F65" i="4" s="1"/>
  <c r="J166" i="7" a="1"/>
  <c r="J166" i="7" s="1"/>
  <c r="J144" i="4" a="1"/>
  <c r="J144" i="4" s="1"/>
  <c r="J8" i="5" a="1"/>
  <c r="J8" i="5" s="1"/>
  <c r="F8" i="5" s="1" a="1"/>
  <c r="F8" i="5" s="1"/>
  <c r="K13" i="2" s="1" a="1"/>
  <c r="K13" i="2" s="1"/>
  <c r="J80" i="5" a="1"/>
  <c r="J80" i="5" s="1"/>
  <c r="F80" i="5" s="1" a="1"/>
  <c r="F80" i="5" s="1"/>
  <c r="J125" i="4" a="1"/>
  <c r="J125" i="4" s="1"/>
  <c r="F125" i="4" s="1" a="1"/>
  <c r="F125" i="4" s="1"/>
  <c r="J99" i="4" a="1"/>
  <c r="J99" i="4" s="1"/>
  <c r="J186" i="6" a="1"/>
  <c r="J186" i="6" s="1"/>
  <c r="J50" i="6" a="1"/>
  <c r="J50" i="6" s="1"/>
  <c r="F50" i="6" s="1" a="1"/>
  <c r="F50" i="6" s="1"/>
  <c r="F73" i="7" a="1"/>
  <c r="F73" i="7" s="1"/>
  <c r="K237" i="2" s="1" a="1"/>
  <c r="K237" i="2" s="1"/>
  <c r="J98" i="4" a="1"/>
  <c r="J98" i="4" s="1"/>
  <c r="F210" i="5" a="1"/>
  <c r="F210" i="5" s="1"/>
  <c r="K668" i="2" s="1" a="1"/>
  <c r="K668" i="2" s="1"/>
  <c r="J93" i="4" a="1"/>
  <c r="J93" i="4" s="1"/>
  <c r="F69" i="7" a="1"/>
  <c r="F69" i="7" s="1"/>
  <c r="K222" i="2" s="1" a="1"/>
  <c r="K222" i="2" s="1"/>
  <c r="J175" i="5" a="1"/>
  <c r="J175" i="5" s="1"/>
  <c r="F175" i="5" s="1" a="1"/>
  <c r="F175" i="5" s="1"/>
  <c r="K579" i="2" s="1" a="1"/>
  <c r="K579" i="2" s="1"/>
  <c r="J383" i="4" a="1"/>
  <c r="J383" i="4" s="1"/>
  <c r="J163" i="4" a="1"/>
  <c r="J163" i="4" s="1"/>
  <c r="J100" i="4" a="1"/>
  <c r="J100" i="4" s="1"/>
  <c r="J231" i="4" a="1"/>
  <c r="J231" i="4" s="1"/>
  <c r="F231" i="4" s="1" a="1"/>
  <c r="F231" i="4" s="1"/>
  <c r="J203" i="4" a="1"/>
  <c r="J203" i="4" s="1"/>
  <c r="F203" i="4" s="1" a="1"/>
  <c r="F203" i="4" s="1"/>
  <c r="J205" i="5" a="1"/>
  <c r="J205" i="5" s="1"/>
  <c r="F205" i="5" s="1" a="1"/>
  <c r="F205" i="5" s="1"/>
  <c r="J14" i="7" a="1"/>
  <c r="J14" i="7" s="1"/>
  <c r="F14" i="7" s="1" a="1"/>
  <c r="F14" i="7" s="1"/>
  <c r="K44" i="2" s="1" a="1"/>
  <c r="K44" i="2" s="1"/>
  <c r="J75" i="4" a="1"/>
  <c r="J75" i="4" s="1"/>
  <c r="F91" i="8" a="1"/>
  <c r="F91" i="8" s="1"/>
  <c r="K242" i="2" s="1" a="1"/>
  <c r="K242" i="2" s="1"/>
  <c r="F150" i="8" a="1"/>
  <c r="F150" i="8" s="1"/>
  <c r="K354" i="2" s="1" a="1"/>
  <c r="K354" i="2" s="1"/>
  <c r="J169" i="5" a="1"/>
  <c r="J169" i="5" s="1"/>
  <c r="F142" i="8" a="1"/>
  <c r="F142" i="8" s="1"/>
  <c r="K340" i="2" s="1" a="1"/>
  <c r="K340" i="2" s="1"/>
  <c r="F123" i="7" a="1"/>
  <c r="F123" i="7" s="1"/>
  <c r="K448" i="2" s="1" a="1"/>
  <c r="K448" i="2" s="1"/>
  <c r="J18" i="4" a="1"/>
  <c r="J18" i="4" s="1"/>
  <c r="J100" i="6" a="1"/>
  <c r="J100" i="6" s="1"/>
  <c r="F100" i="6" s="1" a="1"/>
  <c r="F100" i="6" s="1"/>
  <c r="K415" i="2" s="1" a="1"/>
  <c r="K415" i="2" s="1"/>
  <c r="J72" i="5" a="1"/>
  <c r="J72" i="5" s="1"/>
  <c r="F72" i="5" s="1" a="1"/>
  <c r="F72" i="5" s="1"/>
  <c r="J196" i="7" a="1"/>
  <c r="J196" i="7" s="1"/>
  <c r="F196" i="7" s="1" a="1"/>
  <c r="F196" i="7" s="1"/>
  <c r="K636" i="2" s="1" a="1"/>
  <c r="K636" i="2" s="1"/>
  <c r="J195" i="5" a="1"/>
  <c r="J195" i="5" s="1"/>
  <c r="F195" i="5" s="1" a="1"/>
  <c r="F195" i="5" s="1"/>
  <c r="K629" i="2" s="1" a="1"/>
  <c r="K629" i="2" s="1"/>
  <c r="J149" i="7" a="1"/>
  <c r="J149" i="7" s="1"/>
  <c r="F149" i="7" s="1" a="1"/>
  <c r="F149" i="7" s="1"/>
  <c r="K520" i="2" s="1" a="1"/>
  <c r="K520" i="2" s="1"/>
  <c r="J169" i="6" a="1"/>
  <c r="J169" i="6" s="1"/>
  <c r="F169" i="6" s="1" a="1"/>
  <c r="F169" i="6" s="1"/>
  <c r="J57" i="7" a="1"/>
  <c r="J57" i="7" s="1"/>
  <c r="F106" i="6" a="1"/>
  <c r="F106" i="6" s="1"/>
  <c r="K445" i="2" s="1" a="1"/>
  <c r="K445" i="2" s="1"/>
  <c r="F129" i="7" a="1"/>
  <c r="F129" i="7" s="1"/>
  <c r="K462" i="2" s="1" a="1"/>
  <c r="K462" i="2" s="1"/>
  <c r="J75" i="6" a="1"/>
  <c r="J75" i="6" s="1"/>
  <c r="F75" i="6" s="1" a="1"/>
  <c r="F75" i="6" s="1"/>
  <c r="K321" i="2" s="1" a="1"/>
  <c r="K321" i="2" s="1"/>
  <c r="J12" i="6" a="1"/>
  <c r="J12" i="6" s="1"/>
  <c r="J365" i="4" a="1"/>
  <c r="J365" i="4" s="1"/>
  <c r="F365" i="4" s="1" a="1"/>
  <c r="F365" i="4" s="1"/>
  <c r="J114" i="7" a="1"/>
  <c r="J114" i="7" s="1"/>
  <c r="J72" i="7" a="1"/>
  <c r="J72" i="7" s="1"/>
  <c r="J111" i="4" a="1"/>
  <c r="J111" i="4" s="1"/>
  <c r="F111" i="4" s="1" a="1"/>
  <c r="F111" i="4" s="1"/>
  <c r="J22" i="4" a="1"/>
  <c r="J22" i="4" s="1"/>
  <c r="F175" i="8" a="1"/>
  <c r="F175" i="8" s="1"/>
  <c r="K418" i="2" s="1" a="1"/>
  <c r="K418" i="2" s="1"/>
  <c r="J131" i="6" a="1"/>
  <c r="J131" i="6" s="1"/>
  <c r="F131" i="6" s="1" a="1"/>
  <c r="F131" i="6" s="1"/>
  <c r="K511" i="2" s="1" a="1"/>
  <c r="K511" i="2" s="1"/>
  <c r="J156" i="4" a="1"/>
  <c r="J156" i="4" s="1"/>
  <c r="J177" i="5" a="1"/>
  <c r="J177" i="5" s="1"/>
  <c r="J107" i="5" a="1"/>
  <c r="J107" i="5" s="1"/>
  <c r="J180" i="5" a="1"/>
  <c r="J180" i="5" s="1"/>
  <c r="F180" i="5" s="1" a="1"/>
  <c r="F180" i="5" s="1"/>
  <c r="J18" i="5" a="1"/>
  <c r="J18" i="5" s="1"/>
  <c r="F18" i="5" s="1" a="1"/>
  <c r="F18" i="5" s="1"/>
  <c r="K48" i="2" s="1" a="1"/>
  <c r="K48" i="2" s="1"/>
  <c r="J148" i="4" a="1"/>
  <c r="J148" i="4" s="1"/>
  <c r="F148" i="4" s="1" a="1"/>
  <c r="F148" i="4" s="1"/>
  <c r="J14" i="6" a="1"/>
  <c r="J14" i="6" s="1"/>
  <c r="F14" i="6" s="1" a="1"/>
  <c r="F14" i="6" s="1"/>
  <c r="K55" i="2" s="1" a="1"/>
  <c r="K55" i="2" s="1"/>
  <c r="J38" i="5" a="1"/>
  <c r="J38" i="5" s="1"/>
  <c r="J102" i="6" a="1"/>
  <c r="J102" i="6" s="1"/>
  <c r="F102" i="6" s="1" a="1"/>
  <c r="F102" i="6" s="1"/>
  <c r="J60" i="6" a="1"/>
  <c r="J60" i="6" s="1"/>
  <c r="J121" i="7" a="1"/>
  <c r="J121" i="7" s="1"/>
  <c r="F121" i="7" s="1" a="1"/>
  <c r="F121" i="7" s="1"/>
  <c r="K444" i="2" s="1" a="1"/>
  <c r="K444" i="2" s="1"/>
  <c r="J265" i="4" a="1"/>
  <c r="J265" i="4" s="1"/>
  <c r="J367" i="4" a="1"/>
  <c r="J367" i="4" s="1"/>
  <c r="J130" i="5" a="1"/>
  <c r="J130" i="5" s="1"/>
  <c r="F197" i="4" a="1"/>
  <c r="F197" i="4" s="1"/>
  <c r="J140" i="7" a="1"/>
  <c r="J140" i="7" s="1"/>
  <c r="F140" i="7" s="1" a="1"/>
  <c r="F140" i="7" s="1"/>
  <c r="K491" i="2" s="1" a="1"/>
  <c r="K491" i="2" s="1"/>
  <c r="F126" i="8" a="1"/>
  <c r="F126" i="8" s="1"/>
  <c r="K308" i="2" s="1" a="1"/>
  <c r="K308" i="2" s="1"/>
  <c r="J38" i="6" a="1"/>
  <c r="J38" i="6" s="1"/>
  <c r="F38" i="6" s="1" a="1"/>
  <c r="F38" i="6" s="1"/>
  <c r="K155" i="2" s="1" a="1"/>
  <c r="K155" i="2" s="1"/>
  <c r="J32" i="7" a="1"/>
  <c r="J32" i="7" s="1"/>
  <c r="F32" i="7" s="1" a="1"/>
  <c r="F32" i="7" s="1"/>
  <c r="K112" i="2" s="1" a="1"/>
  <c r="K112" i="2" s="1"/>
  <c r="J89" i="5" a="1"/>
  <c r="J89" i="5" s="1"/>
  <c r="F89" i="5" s="1" a="1"/>
  <c r="F89" i="5" s="1"/>
  <c r="J92" i="7" a="1"/>
  <c r="J92" i="7" s="1"/>
  <c r="J388" i="4" a="1"/>
  <c r="J388" i="4" s="1"/>
  <c r="J207" i="6" a="1"/>
  <c r="J207" i="6" s="1"/>
  <c r="F207" i="6" s="1" a="1"/>
  <c r="F207" i="6" s="1"/>
  <c r="J83" i="7" a="1"/>
  <c r="J83" i="7" s="1"/>
  <c r="F83" i="7" s="1" a="1"/>
  <c r="F83" i="7" s="1"/>
  <c r="K284" i="2" s="1" a="1"/>
  <c r="K284" i="2" s="1"/>
  <c r="J13" i="4" a="1"/>
  <c r="J13" i="4" s="1"/>
  <c r="J311" i="4" a="1"/>
  <c r="J311" i="4" s="1"/>
  <c r="J96" i="4" a="1"/>
  <c r="J96" i="4" s="1"/>
  <c r="J87" i="4" a="1"/>
  <c r="J87" i="4" s="1"/>
  <c r="J172" i="5" a="1"/>
  <c r="J172" i="5" s="1"/>
  <c r="F172" i="5" s="1" a="1"/>
  <c r="F172" i="5" s="1"/>
  <c r="J395" i="4" a="1"/>
  <c r="J395" i="4" s="1"/>
  <c r="J123" i="5" a="1"/>
  <c r="J123" i="5" s="1"/>
  <c r="F123" i="5" s="1" a="1"/>
  <c r="F123" i="5" s="1"/>
  <c r="K470" i="2" s="1" a="1"/>
  <c r="K470" i="2" s="1"/>
  <c r="J204" i="5" a="1"/>
  <c r="J204" i="5" s="1"/>
  <c r="F204" i="5" s="1" a="1"/>
  <c r="F204" i="5" s="1"/>
  <c r="K648" i="2" s="1" a="1"/>
  <c r="K648" i="2" s="1"/>
  <c r="F181" i="8" a="1"/>
  <c r="F181" i="8" s="1"/>
  <c r="K429" i="2" s="1" a="1"/>
  <c r="K429" i="2" s="1"/>
  <c r="F80" i="8" a="1"/>
  <c r="F80" i="8" s="1"/>
  <c r="K223" i="2" s="1" a="1"/>
  <c r="K223" i="2" s="1"/>
  <c r="J254" i="4" a="1"/>
  <c r="J254" i="4" s="1"/>
  <c r="J210" i="7" a="1"/>
  <c r="J210" i="7" s="1"/>
  <c r="F210" i="7" s="1" a="1"/>
  <c r="F210" i="7" s="1"/>
  <c r="K670" i="2" s="1" a="1"/>
  <c r="K670" i="2" s="1"/>
  <c r="J174" i="4" a="1"/>
  <c r="J174" i="4" s="1"/>
  <c r="F174" i="4" s="1" a="1"/>
  <c r="F174" i="4" s="1"/>
  <c r="J13" i="5" a="1"/>
  <c r="J13" i="5" s="1"/>
  <c r="J36" i="4" a="1"/>
  <c r="J36" i="4" s="1"/>
  <c r="J170" i="6" a="1"/>
  <c r="J170" i="6" s="1"/>
  <c r="J199" i="7" a="1"/>
  <c r="J199" i="7" s="1"/>
  <c r="F199" i="7" s="1" a="1"/>
  <c r="F199" i="7" s="1"/>
  <c r="K644" i="2" s="1" a="1"/>
  <c r="K644" i="2" s="1"/>
  <c r="J125" i="7" a="1"/>
  <c r="J125" i="7" s="1"/>
  <c r="F125" i="7" s="1" a="1"/>
  <c r="F125" i="7" s="1"/>
  <c r="K453" i="2" s="1" a="1"/>
  <c r="K453" i="2" s="1"/>
  <c r="J118" i="4" a="1"/>
  <c r="J118" i="4" s="1"/>
  <c r="F118" i="4" s="1" a="1"/>
  <c r="F118" i="4" s="1"/>
  <c r="J57" i="6" a="1"/>
  <c r="J57" i="6" s="1"/>
  <c r="F57" i="6" s="1" a="1"/>
  <c r="F57" i="6" s="1"/>
  <c r="J194" i="5" a="1"/>
  <c r="J194" i="5" s="1"/>
  <c r="F194" i="5" s="1" a="1"/>
  <c r="F194" i="5" s="1"/>
  <c r="K622" i="2" s="1" a="1"/>
  <c r="K622" i="2" s="1"/>
  <c r="J245" i="4" a="1"/>
  <c r="J245" i="4" s="1"/>
  <c r="F245" i="4" s="1" a="1"/>
  <c r="F245" i="4" s="1"/>
  <c r="J302" i="4" a="1"/>
  <c r="J302" i="4" s="1"/>
  <c r="J84" i="4" a="1"/>
  <c r="J84" i="4" s="1"/>
  <c r="F84" i="4" s="1" a="1"/>
  <c r="F84" i="4" s="1"/>
  <c r="J116" i="7" a="1"/>
  <c r="J116" i="7" s="1"/>
  <c r="F116" i="7" s="1" a="1"/>
  <c r="F116" i="7" s="1"/>
  <c r="K426" i="2" s="1" a="1"/>
  <c r="K426" i="2" s="1"/>
  <c r="F268" i="4" a="1"/>
  <c r="F268" i="4" s="1"/>
  <c r="J173" i="6" a="1"/>
  <c r="J173" i="6" s="1"/>
  <c r="J74" i="4" a="1"/>
  <c r="J74" i="4" s="1"/>
  <c r="F67" i="7" a="1"/>
  <c r="F67" i="7" s="1"/>
  <c r="K210" i="2" s="1" a="1"/>
  <c r="K210" i="2" s="1"/>
  <c r="J99" i="5" a="1"/>
  <c r="J99" i="5" s="1"/>
  <c r="F99" i="5" s="1" a="1"/>
  <c r="F99" i="5" s="1"/>
  <c r="F51" i="8" a="1"/>
  <c r="F51" i="8" s="1"/>
  <c r="K157" i="2" s="1" a="1"/>
  <c r="K157" i="2" s="1"/>
  <c r="J91" i="5" a="1"/>
  <c r="J91" i="5" s="1"/>
  <c r="F7" i="8" a="1"/>
  <c r="F7" i="8" s="1"/>
  <c r="K11" i="2" s="1" a="1"/>
  <c r="K11" i="2" s="1"/>
  <c r="J154" i="4" a="1"/>
  <c r="J154" i="4" s="1"/>
  <c r="F154" i="4" s="1" a="1"/>
  <c r="F154" i="4" s="1"/>
  <c r="J14" i="4" a="1"/>
  <c r="J14" i="4" s="1"/>
  <c r="J67" i="5" a="1"/>
  <c r="J67" i="5" s="1"/>
  <c r="F67" i="5" s="1" a="1"/>
  <c r="F67" i="5" s="1"/>
  <c r="K246" i="2" s="1" a="1"/>
  <c r="K246" i="2" s="1"/>
  <c r="J151" i="5" a="1"/>
  <c r="J151" i="5" s="1"/>
  <c r="J199" i="5" a="1"/>
  <c r="J199" i="5" s="1"/>
  <c r="F199" i="5" s="1" a="1"/>
  <c r="F199" i="5" s="1"/>
  <c r="J124" i="5" a="1"/>
  <c r="J124" i="5" s="1"/>
  <c r="F124" i="5" s="1" a="1"/>
  <c r="F124" i="5" s="1"/>
  <c r="K477" i="2" s="1" a="1"/>
  <c r="K477" i="2" s="1"/>
  <c r="J45" i="5" a="1"/>
  <c r="J45" i="5" s="1"/>
  <c r="F45" i="5" s="1" a="1"/>
  <c r="F45" i="5" s="1"/>
  <c r="J376" i="4" a="1"/>
  <c r="J376" i="4" s="1"/>
  <c r="F376" i="4" s="1" a="1"/>
  <c r="F376" i="4" s="1"/>
  <c r="F23" i="4" a="1"/>
  <c r="F23" i="4" s="1"/>
  <c r="F201" i="8" a="1"/>
  <c r="F201" i="8" s="1"/>
  <c r="K498" i="2" s="1" a="1"/>
  <c r="K498" i="2" s="1"/>
  <c r="J198" i="7" a="1"/>
  <c r="J198" i="7" s="1"/>
  <c r="F198" i="7" s="1" a="1"/>
  <c r="F198" i="7" s="1"/>
  <c r="K638" i="2" s="1" a="1"/>
  <c r="K638" i="2" s="1"/>
  <c r="F46" i="8" a="1"/>
  <c r="F46" i="8" s="1"/>
  <c r="K131" i="2" s="1" a="1"/>
  <c r="K131" i="2" s="1"/>
  <c r="J330" i="4" a="1"/>
  <c r="J330" i="4" s="1"/>
  <c r="J76" i="7" a="1"/>
  <c r="J76" i="7" s="1"/>
  <c r="F76" i="7" s="1" a="1"/>
  <c r="F76" i="7" s="1"/>
  <c r="K245" i="2" s="1" a="1"/>
  <c r="K245" i="2" s="1"/>
  <c r="J145" i="6" a="1"/>
  <c r="J145" i="6" s="1"/>
  <c r="J77" i="7" a="1"/>
  <c r="J77" i="7" s="1"/>
  <c r="F77" i="7" s="1" a="1"/>
  <c r="F77" i="7" s="1"/>
  <c r="K252" i="2" s="1" a="1"/>
  <c r="K252" i="2" s="1"/>
  <c r="J130" i="7" a="1"/>
  <c r="J130" i="7" s="1"/>
  <c r="F130" i="7" s="1" a="1"/>
  <c r="F130" i="7" s="1"/>
  <c r="K464" i="2" s="1" a="1"/>
  <c r="K464" i="2" s="1"/>
  <c r="J122" i="6" a="1"/>
  <c r="J122" i="6" s="1"/>
  <c r="F122" i="6" s="1" a="1"/>
  <c r="F122" i="6" s="1"/>
  <c r="J221" i="4" a="1"/>
  <c r="J221" i="4" s="1"/>
  <c r="F221" i="4" s="1" a="1"/>
  <c r="F221" i="4" s="1"/>
  <c r="J113" i="7" a="1"/>
  <c r="J113" i="7" s="1"/>
  <c r="F113" i="7" s="1" a="1"/>
  <c r="F113" i="7" s="1"/>
  <c r="K408" i="2" s="1" a="1"/>
  <c r="K408" i="2" s="1"/>
  <c r="J300" i="4" a="1"/>
  <c r="J300" i="4" s="1"/>
  <c r="F127" i="8" a="1"/>
  <c r="F127" i="8" s="1"/>
  <c r="K309" i="2" s="1" a="1"/>
  <c r="K309" i="2" s="1"/>
  <c r="J54" i="9" a="1"/>
  <c r="J54" i="9" s="1"/>
  <c r="F143" i="8" a="1"/>
  <c r="F143" i="8" s="1"/>
  <c r="K341" i="2" s="1" a="1"/>
  <c r="K341" i="2" s="1"/>
  <c r="J177" i="4" a="1"/>
  <c r="J177" i="4" s="1"/>
  <c r="J147" i="5" a="1"/>
  <c r="J147" i="5" s="1"/>
  <c r="F147" i="5" s="1" a="1"/>
  <c r="F147" i="5" s="1"/>
  <c r="J128" i="7" a="1"/>
  <c r="J128" i="7" s="1"/>
  <c r="F128" i="7" s="1" a="1"/>
  <c r="F128" i="7" s="1"/>
  <c r="K460" i="2" s="1" a="1"/>
  <c r="K460" i="2" s="1"/>
  <c r="J193" i="5" a="1"/>
  <c r="J193" i="5" s="1"/>
  <c r="J41" i="4" a="1"/>
  <c r="J41" i="4" s="1"/>
  <c r="F41" i="4" s="1" a="1"/>
  <c r="F41" i="4" s="1"/>
  <c r="J106" i="4" a="1"/>
  <c r="J106" i="4" s="1"/>
  <c r="F106" i="4" s="1" a="1"/>
  <c r="F106" i="4" s="1"/>
  <c r="J104" i="7" a="1"/>
  <c r="J104" i="7" s="1"/>
  <c r="F104" i="7" s="1" a="1"/>
  <c r="F104" i="7" s="1"/>
  <c r="K383" i="2" s="1" a="1"/>
  <c r="K383" i="2" s="1"/>
  <c r="J39" i="4" a="1"/>
  <c r="J39" i="4" s="1"/>
  <c r="J191" i="4" a="1"/>
  <c r="J191" i="4" s="1"/>
  <c r="J55" i="6" a="1"/>
  <c r="J55" i="6" s="1"/>
  <c r="J84" i="5" a="1"/>
  <c r="J84" i="5" s="1"/>
  <c r="F84" i="5" s="1" a="1"/>
  <c r="F84" i="5" s="1"/>
  <c r="K317" i="2" s="1" a="1"/>
  <c r="K317" i="2" s="1"/>
  <c r="J91" i="7" a="1"/>
  <c r="J91" i="7" s="1"/>
  <c r="F91" i="7" s="1" a="1"/>
  <c r="F91" i="7" s="1"/>
  <c r="K335" i="2" s="1" a="1"/>
  <c r="K335" i="2" s="1"/>
  <c r="J103" i="5" a="1"/>
  <c r="J103" i="5" s="1"/>
  <c r="F103" i="5" s="1" a="1"/>
  <c r="F103" i="5" s="1"/>
  <c r="J61" i="4" a="1"/>
  <c r="J61" i="4" s="1"/>
  <c r="J85" i="5" a="1"/>
  <c r="J85" i="5" s="1"/>
  <c r="J205" i="7" a="1"/>
  <c r="J205" i="7" s="1"/>
  <c r="F205" i="7" s="1" a="1"/>
  <c r="F205" i="7" s="1"/>
  <c r="K661" i="2" s="1" a="1"/>
  <c r="K661" i="2" s="1"/>
  <c r="F166" i="7" a="1"/>
  <c r="F166" i="7" s="1"/>
  <c r="K568" i="2" s="1" a="1"/>
  <c r="K568" i="2" s="1"/>
  <c r="J382" i="4" a="1"/>
  <c r="J382" i="4" s="1"/>
  <c r="F66" i="6" a="1"/>
  <c r="F66" i="6" s="1"/>
  <c r="K258" i="2" s="1" a="1"/>
  <c r="K258" i="2" s="1"/>
  <c r="J21" i="6" a="1"/>
  <c r="J21" i="6" s="1"/>
  <c r="F21" i="6" s="1" a="1"/>
  <c r="F21" i="6" s="1"/>
  <c r="K83" i="2" s="1" a="1"/>
  <c r="K83" i="2" s="1"/>
  <c r="J38" i="9" a="1"/>
  <c r="J38" i="9" s="1"/>
  <c r="J200" i="5" a="1"/>
  <c r="J200" i="5" s="1"/>
  <c r="F200" i="5" s="1" a="1"/>
  <c r="F200" i="5" s="1"/>
  <c r="J152" i="6" a="1"/>
  <c r="J152" i="6" s="1"/>
  <c r="F152" i="6" s="1" a="1"/>
  <c r="F152" i="6" s="1"/>
  <c r="K557" i="2" s="1" a="1"/>
  <c r="K557" i="2" s="1"/>
  <c r="J120" i="7" a="1"/>
  <c r="J120" i="7" s="1"/>
  <c r="J78" i="5" a="1"/>
  <c r="J78" i="5" s="1"/>
  <c r="J52" i="4" a="1"/>
  <c r="J52" i="4" s="1"/>
  <c r="F52" i="4" s="1" a="1"/>
  <c r="F52" i="4" s="1"/>
  <c r="J103" i="4" a="1"/>
  <c r="J103" i="4" s="1"/>
  <c r="F103" i="4" s="1" a="1"/>
  <c r="F103" i="4" s="1"/>
  <c r="J172" i="6" a="1"/>
  <c r="J172" i="6" s="1"/>
  <c r="F172" i="6" s="1" a="1"/>
  <c r="F172" i="6" s="1"/>
  <c r="J202" i="4" a="1"/>
  <c r="J202" i="4" s="1"/>
  <c r="F9" i="8" a="1"/>
  <c r="F9" i="8" s="1"/>
  <c r="K19" i="2" s="1" a="1"/>
  <c r="K19" i="2" s="1"/>
  <c r="F119" i="4" a="1"/>
  <c r="F119" i="4" s="1"/>
  <c r="F251" i="4" a="1"/>
  <c r="F251" i="4" s="1"/>
  <c r="J228" i="4" a="1"/>
  <c r="J228" i="4" s="1"/>
  <c r="F228" i="4" s="1" a="1"/>
  <c r="F228" i="4" s="1"/>
  <c r="J21" i="5" a="1"/>
  <c r="J21" i="5" s="1"/>
  <c r="F21" i="5" s="1" a="1"/>
  <c r="F21" i="5" s="1"/>
  <c r="K68" i="2" s="1" a="1"/>
  <c r="K68" i="2" s="1"/>
  <c r="F43" i="7" a="1"/>
  <c r="F43" i="7" s="1"/>
  <c r="K139" i="2" s="1" a="1"/>
  <c r="K139" i="2" s="1"/>
  <c r="J160" i="7" a="1"/>
  <c r="J160" i="7" s="1"/>
  <c r="F160" i="7" s="1" a="1"/>
  <c r="F160" i="7" s="1"/>
  <c r="K555" i="2" s="1" a="1"/>
  <c r="K555" i="2" s="1"/>
  <c r="J72" i="6" a="1"/>
  <c r="J72" i="6" s="1"/>
  <c r="F72" i="6" s="1" a="1"/>
  <c r="F72" i="6" s="1"/>
  <c r="K313" i="2" s="1" a="1"/>
  <c r="K313" i="2" s="1"/>
  <c r="J211" i="4" a="1"/>
  <c r="J211" i="4" s="1"/>
  <c r="F211" i="4" s="1" a="1"/>
  <c r="F211" i="4" s="1"/>
  <c r="J97" i="4" a="1"/>
  <c r="J97" i="4" s="1"/>
  <c r="F97" i="4" s="1" a="1"/>
  <c r="F97" i="4" s="1"/>
  <c r="J154" i="6" a="1"/>
  <c r="J154" i="6" s="1"/>
  <c r="J141" i="7" a="1"/>
  <c r="J141" i="7" s="1"/>
  <c r="F141" i="7" s="1" a="1"/>
  <c r="F141" i="7" s="1"/>
  <c r="K492" i="2" s="1" a="1"/>
  <c r="K492" i="2" s="1"/>
  <c r="J73" i="4" a="1"/>
  <c r="J73" i="4" s="1"/>
  <c r="F73" i="4" s="1" a="1"/>
  <c r="F73" i="4" s="1"/>
  <c r="J317" i="4" a="1"/>
  <c r="J317" i="4" s="1"/>
  <c r="F317" i="4" s="1" a="1"/>
  <c r="F317" i="4" s="1"/>
  <c r="J28" i="9" a="1"/>
  <c r="J28" i="9" s="1"/>
  <c r="J57" i="9" a="1"/>
  <c r="J57" i="9" s="1"/>
  <c r="F100" i="8" a="1"/>
  <c r="F100" i="8" s="1"/>
  <c r="K256" i="2" s="1" a="1"/>
  <c r="K256" i="2" s="1"/>
  <c r="J206" i="4" a="1"/>
  <c r="J206" i="4" s="1"/>
  <c r="F206" i="4" s="1" a="1"/>
  <c r="F206" i="4" s="1"/>
  <c r="J45" i="4" a="1"/>
  <c r="J45" i="4" s="1"/>
  <c r="J78" i="4" a="1"/>
  <c r="J78" i="4" s="1"/>
  <c r="F78" i="4" s="1" a="1"/>
  <c r="F78" i="4" s="1"/>
  <c r="J31" i="6" a="1"/>
  <c r="J31" i="6" s="1"/>
  <c r="F31" i="6" s="1" a="1"/>
  <c r="F31" i="6" s="1"/>
  <c r="J183" i="7" a="1"/>
  <c r="J183" i="7" s="1"/>
  <c r="J110" i="6" a="1"/>
  <c r="J110" i="6" s="1"/>
  <c r="J140" i="6" a="1"/>
  <c r="J140" i="6" s="1"/>
  <c r="J135" i="6" a="1"/>
  <c r="J135" i="6" s="1"/>
  <c r="J24" i="7" a="1"/>
  <c r="J24" i="7" s="1"/>
  <c r="F168" i="5" a="1"/>
  <c r="F168" i="5" s="1"/>
  <c r="K563" i="2" s="1" a="1"/>
  <c r="K563" i="2" s="1"/>
  <c r="F120" i="8" a="1"/>
  <c r="F120" i="8" s="1"/>
  <c r="K296" i="2" s="1" a="1"/>
  <c r="K296" i="2" s="1"/>
  <c r="J206" i="5" a="1"/>
  <c r="J206" i="5" s="1"/>
  <c r="F206" i="5" s="1" a="1"/>
  <c r="F206" i="5" s="1"/>
  <c r="K650" i="2" s="1" a="1"/>
  <c r="K650" i="2" s="1"/>
  <c r="J85" i="4" a="1"/>
  <c r="J85" i="4" s="1"/>
  <c r="J213" i="4" a="1"/>
  <c r="J213" i="4" s="1"/>
  <c r="F213" i="4" s="1" a="1"/>
  <c r="F213" i="4" s="1"/>
  <c r="J135" i="4" a="1"/>
  <c r="J135" i="4" s="1"/>
  <c r="F135" i="4" s="1" a="1"/>
  <c r="F135" i="4" s="1"/>
  <c r="J373" i="4" a="1"/>
  <c r="J373" i="4" s="1"/>
  <c r="F373" i="4" s="1" a="1"/>
  <c r="F373" i="4" s="1"/>
  <c r="J167" i="6" a="1"/>
  <c r="J167" i="6" s="1"/>
  <c r="F167" i="6" s="1" a="1"/>
  <c r="F167" i="6" s="1"/>
  <c r="K589" i="2" s="1" a="1"/>
  <c r="K589" i="2" s="1"/>
  <c r="J225" i="4" a="1"/>
  <c r="J225" i="4" s="1"/>
  <c r="F225" i="4" s="1" a="1"/>
  <c r="F225" i="4" s="1"/>
  <c r="J242" i="4" a="1"/>
  <c r="J242" i="4" s="1"/>
  <c r="F242" i="4" s="1" a="1"/>
  <c r="F242" i="4" s="1"/>
  <c r="J196" i="5" a="1"/>
  <c r="J196" i="5" s="1"/>
  <c r="F196" i="5" s="1" a="1"/>
  <c r="F196" i="5" s="1"/>
  <c r="K632" i="2" s="1" a="1"/>
  <c r="K632" i="2" s="1"/>
  <c r="J88" i="7" a="1"/>
  <c r="J88" i="7" s="1"/>
  <c r="F88" i="7" s="1" a="1"/>
  <c r="F88" i="7" s="1"/>
  <c r="K318" i="2" s="1" a="1"/>
  <c r="K318" i="2" s="1"/>
  <c r="J344" i="4" a="1"/>
  <c r="J344" i="4" s="1"/>
  <c r="F344" i="4" s="1" a="1"/>
  <c r="F344" i="4" s="1"/>
  <c r="J303" i="4" a="1"/>
  <c r="J303" i="4" s="1"/>
  <c r="F303" i="4" s="1" a="1"/>
  <c r="F303" i="4" s="1"/>
  <c r="F103" i="8" a="1"/>
  <c r="F103" i="8" s="1"/>
  <c r="K262" i="2" s="1" a="1"/>
  <c r="K262" i="2" s="1"/>
  <c r="J71" i="7" a="1"/>
  <c r="J71" i="7" s="1"/>
  <c r="F71" i="7" s="1" a="1"/>
  <c r="F71" i="7" s="1"/>
  <c r="K229" i="2" s="1" a="1"/>
  <c r="K229" i="2" s="1"/>
  <c r="F184" i="5" a="1"/>
  <c r="F184" i="5" s="1"/>
  <c r="K596" i="2" s="1" a="1"/>
  <c r="K596" i="2" s="1"/>
  <c r="J45" i="7" a="1"/>
  <c r="J45" i="7" s="1"/>
  <c r="F45" i="7" s="1" a="1"/>
  <c r="F45" i="7" s="1"/>
  <c r="K147" i="2" s="1" a="1"/>
  <c r="K147" i="2" s="1"/>
  <c r="J155" i="5" a="1"/>
  <c r="J155" i="5" s="1"/>
  <c r="F155" i="5" s="1" a="1"/>
  <c r="F155" i="5" s="1"/>
  <c r="J105" i="7" a="1"/>
  <c r="J105" i="7" s="1"/>
  <c r="F105" i="7" s="1" a="1"/>
  <c r="F105" i="7" s="1"/>
  <c r="K393" i="2" s="1" a="1"/>
  <c r="K393" i="2" s="1"/>
  <c r="J99" i="7" a="1"/>
  <c r="J99" i="7" s="1"/>
  <c r="F99" i="7" s="1" a="1"/>
  <c r="F99" i="7" s="1"/>
  <c r="K369" i="2" s="1" a="1"/>
  <c r="K369" i="2" s="1"/>
  <c r="J9" i="5" a="1"/>
  <c r="J9" i="5" s="1"/>
  <c r="F9" i="5" s="1" a="1"/>
  <c r="F9" i="5" s="1"/>
  <c r="K14" i="2" s="1" a="1"/>
  <c r="K14" i="2" s="1"/>
  <c r="J9" i="6" a="1"/>
  <c r="J9" i="6" s="1"/>
  <c r="J20" i="7" a="1"/>
  <c r="J20" i="7" s="1"/>
  <c r="F20" i="7" s="1" a="1"/>
  <c r="F20" i="7" s="1"/>
  <c r="K65" i="2" s="1" a="1"/>
  <c r="K65" i="2" s="1"/>
  <c r="J216" i="4" a="1"/>
  <c r="J216" i="4" s="1"/>
  <c r="J309" i="4" a="1"/>
  <c r="J309" i="4" s="1"/>
  <c r="F309" i="4" s="1" a="1"/>
  <c r="F309" i="4" s="1"/>
  <c r="J94" i="7" a="1"/>
  <c r="J94" i="7" s="1"/>
  <c r="F94" i="7" s="1" a="1"/>
  <c r="F94" i="7" s="1"/>
  <c r="K345" i="2" s="1" a="1"/>
  <c r="K345" i="2" s="1"/>
  <c r="J8" i="6" a="1"/>
  <c r="J8" i="6" s="1"/>
  <c r="F8" i="6" s="1" a="1"/>
  <c r="F8" i="6" s="1"/>
  <c r="K28" i="2" s="1" a="1"/>
  <c r="K28" i="2" s="1"/>
  <c r="J142" i="6" a="1"/>
  <c r="J142" i="6" s="1"/>
  <c r="F142" i="6" s="1" a="1"/>
  <c r="F142" i="6" s="1"/>
  <c r="J255" i="4" a="1"/>
  <c r="J255" i="4" s="1"/>
  <c r="F252" i="4" a="1"/>
  <c r="F252" i="4" s="1"/>
  <c r="J26" i="6" a="1"/>
  <c r="J26" i="6" s="1"/>
  <c r="F26" i="6" s="1" a="1"/>
  <c r="F26" i="6" s="1"/>
  <c r="J284" i="4" a="1"/>
  <c r="J284" i="4" s="1"/>
  <c r="J193" i="7" a="1"/>
  <c r="J193" i="7" s="1"/>
  <c r="F193" i="7" s="1" a="1"/>
  <c r="F193" i="7" s="1"/>
  <c r="K628" i="2" s="1" a="1"/>
  <c r="K628" i="2" s="1"/>
  <c r="J22" i="6" a="1"/>
  <c r="J22" i="6" s="1"/>
  <c r="F22" i="6" s="1" a="1"/>
  <c r="F22" i="6" s="1"/>
  <c r="J320" i="4" a="1"/>
  <c r="J320" i="4" s="1"/>
  <c r="J195" i="7" a="1"/>
  <c r="J195" i="7" s="1"/>
  <c r="F195" i="7" s="1" a="1"/>
  <c r="F195" i="7" s="1"/>
  <c r="K634" i="2" s="1" a="1"/>
  <c r="K634" i="2" s="1"/>
  <c r="J95" i="7" a="1"/>
  <c r="J95" i="7" s="1"/>
  <c r="F95" i="7" s="1" a="1"/>
  <c r="F95" i="7" s="1"/>
  <c r="K347" i="2" s="1" a="1"/>
  <c r="K347" i="2" s="1"/>
  <c r="J16" i="6" a="1"/>
  <c r="J16" i="6" s="1"/>
  <c r="J31" i="5" a="1"/>
  <c r="J31" i="5" s="1"/>
  <c r="F31" i="5" s="1" a="1"/>
  <c r="F31" i="5" s="1"/>
  <c r="K100" i="2" s="1" a="1"/>
  <c r="K100" i="2" s="1"/>
  <c r="J248" i="4" a="1"/>
  <c r="J248" i="4" s="1"/>
  <c r="F248" i="4" s="1" a="1"/>
  <c r="F248" i="4" s="1"/>
  <c r="J385" i="4" a="1"/>
  <c r="J385" i="4" s="1"/>
  <c r="J67" i="6" a="1"/>
  <c r="J67" i="6" s="1"/>
  <c r="F67" i="6" s="1" a="1"/>
  <c r="F67" i="6" s="1"/>
  <c r="J150" i="5" a="1"/>
  <c r="J150" i="5" s="1"/>
  <c r="F150" i="5" s="1" a="1"/>
  <c r="F150" i="5" s="1"/>
  <c r="J65" i="6" a="1"/>
  <c r="J65" i="6" s="1"/>
  <c r="F65" i="6" s="1" a="1"/>
  <c r="F65" i="6" s="1"/>
  <c r="J61" i="7" a="1"/>
  <c r="J61" i="7" s="1"/>
  <c r="F61" i="7" s="1" a="1"/>
  <c r="F61" i="7" s="1"/>
  <c r="K200" i="2" s="1" a="1"/>
  <c r="K200" i="2" s="1"/>
  <c r="J68" i="7" a="1"/>
  <c r="J68" i="7" s="1"/>
  <c r="F68" i="7" s="1" a="1"/>
  <c r="F68" i="7" s="1"/>
  <c r="K219" i="2" s="1" a="1"/>
  <c r="K219" i="2" s="1"/>
  <c r="J247" i="4" a="1"/>
  <c r="J247" i="4" s="1"/>
  <c r="F247" i="4" s="1" a="1"/>
  <c r="F247" i="4" s="1"/>
  <c r="F15" i="8" a="1"/>
  <c r="F15" i="8" s="1"/>
  <c r="K33" i="2" s="1" a="1"/>
  <c r="K33" i="2" s="1"/>
  <c r="J26" i="4" a="1"/>
  <c r="J26" i="4" s="1"/>
  <c r="J110" i="7" a="1"/>
  <c r="J110" i="7" s="1"/>
  <c r="F110" i="7" s="1" a="1"/>
  <c r="F110" i="7" s="1"/>
  <c r="K403" i="2" s="1" a="1"/>
  <c r="K403" i="2" s="1"/>
  <c r="F52" i="8" a="1"/>
  <c r="F52" i="8" s="1"/>
  <c r="K159" i="2" s="1" a="1"/>
  <c r="K159" i="2" s="1"/>
  <c r="J333" i="4" a="1"/>
  <c r="J333" i="4" s="1"/>
  <c r="F333" i="4" s="1" a="1"/>
  <c r="F333" i="4" s="1"/>
  <c r="J154" i="5" a="1"/>
  <c r="J154" i="5" s="1"/>
  <c r="F154" i="5" s="1" a="1"/>
  <c r="F154" i="5" s="1"/>
  <c r="K533" i="2" s="1" a="1"/>
  <c r="K533" i="2" s="1"/>
  <c r="F140" i="8" a="1"/>
  <c r="F140" i="8" s="1"/>
  <c r="K338" i="2" s="1" a="1"/>
  <c r="K338" i="2" s="1"/>
  <c r="J132" i="4" a="1"/>
  <c r="J132" i="4" s="1"/>
  <c r="F132" i="4" s="1" a="1"/>
  <c r="F132" i="4" s="1"/>
  <c r="J324" i="4" a="1"/>
  <c r="J324" i="4" s="1"/>
  <c r="F324" i="4" s="1" a="1"/>
  <c r="F324" i="4" s="1"/>
  <c r="J149" i="4" a="1"/>
  <c r="J149" i="4" s="1"/>
  <c r="F149" i="4" s="1" a="1"/>
  <c r="F149" i="4" s="1"/>
  <c r="J134" i="4" a="1"/>
  <c r="J134" i="4" s="1"/>
  <c r="J282" i="4" a="1"/>
  <c r="J282" i="4" s="1"/>
  <c r="F282" i="4" s="1" a="1"/>
  <c r="F282" i="4" s="1"/>
  <c r="J46" i="7" a="1"/>
  <c r="J46" i="7" s="1"/>
  <c r="F46" i="7" s="1" a="1"/>
  <c r="F46" i="7" s="1"/>
  <c r="K148" i="2" s="1" a="1"/>
  <c r="K148" i="2" s="1"/>
  <c r="J86" i="6" a="1"/>
  <c r="J86" i="6" s="1"/>
  <c r="F86" i="6" s="1" a="1"/>
  <c r="F86" i="6" s="1"/>
  <c r="K360" i="2" s="1" a="1"/>
  <c r="K360" i="2" s="1"/>
  <c r="J191" i="7" a="1"/>
  <c r="J191" i="7" s="1"/>
  <c r="F191" i="7" s="1" a="1"/>
  <c r="F191" i="7" s="1"/>
  <c r="K621" i="2" s="1" a="1"/>
  <c r="K621" i="2" s="1"/>
  <c r="J98" i="6" a="1"/>
  <c r="J98" i="6" s="1"/>
  <c r="J57" i="5" a="1"/>
  <c r="J57" i="5" s="1"/>
  <c r="F57" i="5" s="1" a="1"/>
  <c r="F57" i="5" s="1"/>
  <c r="F170" i="6" a="1"/>
  <c r="F170" i="6" s="1"/>
  <c r="J196" i="6" a="1"/>
  <c r="J196" i="6" s="1"/>
  <c r="F196" i="6" s="1" a="1"/>
  <c r="F196" i="6" s="1"/>
  <c r="J7" i="9" a="1"/>
  <c r="J7" i="9" s="1"/>
  <c r="F58" i="8" a="1"/>
  <c r="F58" i="8" s="1"/>
  <c r="K174" i="2" s="1" a="1"/>
  <c r="K174" i="2" s="1"/>
  <c r="F335" i="4" a="1"/>
  <c r="F335" i="4" s="1"/>
  <c r="J166" i="6" a="1"/>
  <c r="J166" i="6" s="1"/>
  <c r="J192" i="5" a="1"/>
  <c r="J192" i="5" s="1"/>
  <c r="F192" i="5" s="1" a="1"/>
  <c r="F192" i="5" s="1"/>
  <c r="K614" i="2" s="1" a="1"/>
  <c r="K614" i="2" s="1"/>
  <c r="J192" i="7" a="1"/>
  <c r="J192" i="7" s="1"/>
  <c r="F192" i="7" s="1" a="1"/>
  <c r="F192" i="7" s="1"/>
  <c r="K627" i="2" s="1" a="1"/>
  <c r="K627" i="2" s="1"/>
  <c r="J205" i="6" a="1"/>
  <c r="J205" i="6" s="1"/>
  <c r="F205" i="6" s="1" a="1"/>
  <c r="F205" i="6" s="1"/>
  <c r="K660" i="2" s="1" a="1"/>
  <c r="K660" i="2" s="1"/>
  <c r="J16" i="7" a="1"/>
  <c r="J16" i="7" s="1"/>
  <c r="F16" i="7" s="1" a="1"/>
  <c r="F16" i="7" s="1"/>
  <c r="K52" i="2" s="1" a="1"/>
  <c r="K52" i="2" s="1"/>
  <c r="F12" i="8" a="1"/>
  <c r="F12" i="8" s="1"/>
  <c r="K25" i="2" s="1" a="1"/>
  <c r="K25" i="2" s="1"/>
  <c r="F128" i="8" a="1"/>
  <c r="F128" i="8" s="1"/>
  <c r="K311" i="2" s="1" a="1"/>
  <c r="K311" i="2" s="1"/>
  <c r="F191" i="4" a="1"/>
  <c r="F191" i="4" s="1"/>
  <c r="J210" i="4" a="1"/>
  <c r="J210" i="4" s="1"/>
  <c r="F210" i="4" s="1" a="1"/>
  <c r="F210" i="4" s="1"/>
  <c r="J165" i="5" a="1"/>
  <c r="J165" i="5" s="1"/>
  <c r="J147" i="7" a="1"/>
  <c r="J147" i="7" s="1"/>
  <c r="F147" i="7" s="1" a="1"/>
  <c r="F147" i="7" s="1"/>
  <c r="K517" i="2" s="1" a="1"/>
  <c r="K517" i="2" s="1"/>
  <c r="J116" i="6" a="1"/>
  <c r="J116" i="6" s="1"/>
  <c r="J141" i="5" a="1"/>
  <c r="J141" i="5" s="1"/>
  <c r="J185" i="4" a="1"/>
  <c r="J185" i="4" s="1"/>
  <c r="F185" i="4" s="1" a="1"/>
  <c r="F185" i="4" s="1"/>
  <c r="J227" i="4" a="1"/>
  <c r="J227" i="4" s="1"/>
  <c r="J48" i="4" a="1"/>
  <c r="J48" i="4" s="1"/>
  <c r="F48" i="4" s="1" a="1"/>
  <c r="F48" i="4" s="1"/>
  <c r="J149" i="5" a="1"/>
  <c r="J149" i="5" s="1"/>
  <c r="F149" i="5" s="1" a="1"/>
  <c r="F149" i="5" s="1"/>
  <c r="J345" i="4" a="1"/>
  <c r="J345" i="4" s="1"/>
  <c r="F345" i="4" s="1" a="1"/>
  <c r="F345" i="4" s="1"/>
  <c r="J4" i="6" a="1"/>
  <c r="J4" i="6" s="1"/>
  <c r="F4" i="6" s="1" a="1"/>
  <c r="F4" i="6" s="1"/>
  <c r="K16" i="2" s="1" a="1"/>
  <c r="K16" i="2" s="1"/>
  <c r="J80" i="7" a="1"/>
  <c r="J80" i="7" s="1"/>
  <c r="F80" i="7" s="1" a="1"/>
  <c r="F80" i="7" s="1"/>
  <c r="K276" i="2" s="1" a="1"/>
  <c r="K276" i="2" s="1"/>
  <c r="J72" i="4" a="1"/>
  <c r="J72" i="4" s="1"/>
  <c r="F72" i="4" s="1" a="1"/>
  <c r="F72" i="4" s="1"/>
  <c r="J61" i="9" a="1"/>
  <c r="J61" i="9" s="1"/>
  <c r="J32" i="6" a="1"/>
  <c r="J32" i="6" s="1"/>
  <c r="F32" i="6" s="1" a="1"/>
  <c r="F32" i="6" s="1"/>
  <c r="F60" i="5" a="1"/>
  <c r="F60" i="5" s="1"/>
  <c r="K206" i="2" s="1" a="1"/>
  <c r="K206" i="2" s="1"/>
  <c r="F164" i="5" a="1"/>
  <c r="F164" i="5" s="1"/>
  <c r="K548" i="2" s="1" a="1"/>
  <c r="K548" i="2" s="1"/>
  <c r="J262" i="4" a="1"/>
  <c r="J262" i="4" s="1"/>
  <c r="F262" i="4" s="1" a="1"/>
  <c r="F262" i="4" s="1"/>
  <c r="J271" i="4" a="1"/>
  <c r="J271" i="4" s="1"/>
  <c r="F271" i="4" s="1" a="1"/>
  <c r="F271" i="4" s="1"/>
  <c r="J190" i="7" a="1"/>
  <c r="J190" i="7" s="1"/>
  <c r="F190" i="7" s="1" a="1"/>
  <c r="F190" i="7" s="1"/>
  <c r="K620" i="2" s="1" a="1"/>
  <c r="K620" i="2" s="1"/>
  <c r="J307" i="4" a="1"/>
  <c r="J307" i="4" s="1"/>
  <c r="J263" i="4" a="1"/>
  <c r="J263" i="4" s="1"/>
  <c r="J109" i="7" a="1"/>
  <c r="J109" i="7" s="1"/>
  <c r="F109" i="7" s="1" a="1"/>
  <c r="F109" i="7" s="1"/>
  <c r="K402" i="2" s="1" a="1"/>
  <c r="K402" i="2" s="1"/>
  <c r="J200" i="4" a="1"/>
  <c r="J200" i="4" s="1"/>
  <c r="F200" i="4" s="1" a="1"/>
  <c r="F200" i="4" s="1"/>
  <c r="J54" i="6" a="1"/>
  <c r="J54" i="6" s="1"/>
  <c r="F54" i="6" s="1" a="1"/>
  <c r="F54" i="6" s="1"/>
  <c r="K213" i="2" s="1" a="1"/>
  <c r="K213" i="2" s="1"/>
  <c r="J12" i="5" a="1"/>
  <c r="J12" i="5" s="1"/>
  <c r="F12" i="5" s="1" a="1"/>
  <c r="F12" i="5" s="1"/>
  <c r="J12" i="7" a="1"/>
  <c r="J12" i="7" s="1"/>
  <c r="F12" i="7" s="1" a="1"/>
  <c r="F12" i="7" s="1"/>
  <c r="K41" i="2" s="1" a="1"/>
  <c r="K41" i="2" s="1"/>
  <c r="F108" i="8" a="1"/>
  <c r="F108" i="8" s="1"/>
  <c r="K270" i="2" s="1" a="1"/>
  <c r="K270" i="2" s="1"/>
  <c r="F13" i="4" a="1"/>
  <c r="F13" i="4" s="1"/>
  <c r="F29" i="8" a="1"/>
  <c r="F29" i="8" s="1"/>
  <c r="K78" i="2" s="1" a="1"/>
  <c r="K78" i="2" s="1"/>
  <c r="F107" i="8" a="1"/>
  <c r="F107" i="8" s="1"/>
  <c r="K269" i="2" s="1" a="1"/>
  <c r="K269" i="2" s="1"/>
  <c r="F172" i="4" a="1"/>
  <c r="F172" i="4" s="1"/>
  <c r="J155" i="6" a="1"/>
  <c r="J155" i="6" s="1"/>
  <c r="F155" i="6" s="1" a="1"/>
  <c r="F155" i="6" s="1"/>
  <c r="F202" i="8" a="1"/>
  <c r="F202" i="8" s="1"/>
  <c r="K504" i="2" s="1" a="1"/>
  <c r="K504" i="2" s="1"/>
  <c r="J136" i="7" a="1"/>
  <c r="J136" i="7" s="1"/>
  <c r="F136" i="7" s="1" a="1"/>
  <c r="F136" i="7" s="1"/>
  <c r="K476" i="2" s="1" a="1"/>
  <c r="K476" i="2" s="1"/>
  <c r="F57" i="7" a="1"/>
  <c r="F57" i="7" s="1"/>
  <c r="K181" i="2" s="1" a="1"/>
  <c r="K181" i="2" s="1"/>
  <c r="J26" i="7" a="1"/>
  <c r="J26" i="7" s="1"/>
  <c r="F26" i="7" s="1" a="1"/>
  <c r="F26" i="7" s="1"/>
  <c r="K85" i="2" s="1" a="1"/>
  <c r="K85" i="2" s="1"/>
  <c r="J391" i="4" a="1"/>
  <c r="J391" i="4" s="1"/>
  <c r="J190" i="4" a="1"/>
  <c r="J190" i="4" s="1"/>
  <c r="F190" i="4" s="1" a="1"/>
  <c r="F190" i="4" s="1"/>
  <c r="J38" i="7" a="1"/>
  <c r="J38" i="7" s="1"/>
  <c r="F38" i="7" s="1" a="1"/>
  <c r="F38" i="7" s="1"/>
  <c r="K130" i="2" s="1" a="1"/>
  <c r="K130" i="2" s="1"/>
  <c r="J58" i="5" a="1"/>
  <c r="J58" i="5" s="1"/>
  <c r="J267" i="4" a="1"/>
  <c r="J267" i="4" s="1"/>
  <c r="F267" i="4" s="1" a="1"/>
  <c r="F267" i="4" s="1"/>
  <c r="J15" i="5" a="1"/>
  <c r="J15" i="5" s="1"/>
  <c r="F15" i="5" s="1" a="1"/>
  <c r="F15" i="5" s="1"/>
  <c r="J230" i="4" a="1"/>
  <c r="J230" i="4" s="1"/>
  <c r="F230" i="4" s="1" a="1"/>
  <c r="F230" i="4" s="1"/>
  <c r="F170" i="4" a="1"/>
  <c r="F170" i="4" s="1"/>
  <c r="F91" i="4" a="1"/>
  <c r="F91" i="4" s="1"/>
  <c r="J174" i="5" a="1"/>
  <c r="J174" i="5" s="1"/>
  <c r="F174" i="5" s="1" a="1"/>
  <c r="F174" i="5" s="1"/>
  <c r="J47" i="4" a="1"/>
  <c r="J47" i="4" s="1"/>
  <c r="F47" i="4" s="1" a="1"/>
  <c r="F47" i="4" s="1"/>
  <c r="F39" i="8" a="1"/>
  <c r="F39" i="8" s="1"/>
  <c r="K113" i="2" s="1" a="1"/>
  <c r="K113" i="2" s="1"/>
  <c r="J145" i="4" a="1"/>
  <c r="J145" i="4" s="1"/>
  <c r="J79" i="7" a="1"/>
  <c r="J79" i="7" s="1"/>
  <c r="F79" i="7" s="1" a="1"/>
  <c r="F79" i="7" s="1"/>
  <c r="K273" i="2" s="1" a="1"/>
  <c r="K273" i="2" s="1"/>
  <c r="J238" i="4" a="1"/>
  <c r="J238" i="4" s="1"/>
  <c r="F238" i="4" s="1" a="1"/>
  <c r="F238" i="4" s="1"/>
  <c r="J35" i="7" a="1"/>
  <c r="J35" i="7" s="1"/>
  <c r="F35" i="7" s="1" a="1"/>
  <c r="F35" i="7" s="1"/>
  <c r="K124" i="2" s="1" a="1"/>
  <c r="K124" i="2" s="1"/>
  <c r="J70" i="7" a="1"/>
  <c r="J70" i="7" s="1"/>
  <c r="J141" i="6" a="1"/>
  <c r="J141" i="6" s="1"/>
  <c r="F141" i="6" s="1" a="1"/>
  <c r="F141" i="6" s="1"/>
  <c r="K532" i="2" s="1" a="1"/>
  <c r="K532" i="2" s="1"/>
  <c r="J131" i="4" a="1"/>
  <c r="J131" i="4" s="1"/>
  <c r="F131" i="4" s="1" a="1"/>
  <c r="F131" i="4" s="1"/>
  <c r="J193" i="6" a="1"/>
  <c r="J193" i="6" s="1"/>
  <c r="F193" i="6" s="1" a="1"/>
  <c r="F193" i="6" s="1"/>
  <c r="J182" i="6" a="1"/>
  <c r="J182" i="6" s="1"/>
  <c r="J44" i="7" a="1"/>
  <c r="J44" i="7" s="1"/>
  <c r="F44" i="7" s="1" a="1"/>
  <c r="F44" i="7" s="1"/>
  <c r="K143" i="2" s="1" a="1"/>
  <c r="K143" i="2" s="1"/>
  <c r="F169" i="5" a="1"/>
  <c r="F169" i="5" s="1"/>
  <c r="J326" i="4" a="1"/>
  <c r="J326" i="4" s="1"/>
  <c r="F326" i="4" s="1" a="1"/>
  <c r="F326" i="4" s="1"/>
  <c r="J132" i="7" a="1"/>
  <c r="J132" i="7" s="1"/>
  <c r="F132" i="7" s="1" a="1"/>
  <c r="F132" i="7" s="1"/>
  <c r="K471" i="2" s="1" a="1"/>
  <c r="K471" i="2" s="1"/>
  <c r="J29" i="9" a="1"/>
  <c r="J29" i="9" s="1"/>
  <c r="J155" i="7" a="1"/>
  <c r="J155" i="7" s="1"/>
  <c r="F155" i="7" s="1" a="1"/>
  <c r="F155" i="7" s="1"/>
  <c r="K547" i="2" s="1" a="1"/>
  <c r="K547" i="2" s="1"/>
  <c r="J77" i="5" a="1"/>
  <c r="J77" i="5" s="1"/>
  <c r="F77" i="5" s="1" a="1"/>
  <c r="F77" i="5" s="1"/>
  <c r="K294" i="2" s="1" a="1"/>
  <c r="K294" i="2" s="1"/>
  <c r="J184" i="6" a="1"/>
  <c r="J184" i="6" s="1"/>
  <c r="F184" i="6" s="1" a="1"/>
  <c r="F184" i="6" s="1"/>
  <c r="K623" i="2" s="1" a="1"/>
  <c r="K623" i="2" s="1"/>
  <c r="J76" i="4" a="1"/>
  <c r="J76" i="4" s="1"/>
  <c r="F76" i="4" s="1" a="1"/>
  <c r="F76" i="4" s="1"/>
  <c r="L251" i="2" a="1"/>
  <c r="L251" i="2" s="1"/>
  <c r="L282" i="2" a="1"/>
  <c r="L282" i="2" s="1"/>
  <c r="J133" i="4" a="1"/>
  <c r="J133" i="4" s="1"/>
  <c r="J393" i="4" a="1"/>
  <c r="J393" i="4" s="1"/>
  <c r="F393" i="4" s="1" a="1"/>
  <c r="F393" i="4" s="1"/>
  <c r="J93" i="6" a="1"/>
  <c r="J93" i="6" s="1"/>
  <c r="F93" i="6" s="1" a="1"/>
  <c r="F93" i="6" s="1"/>
  <c r="J142" i="7" a="1"/>
  <c r="J142" i="7" s="1"/>
  <c r="F142" i="7" s="1" a="1"/>
  <c r="F142" i="7" s="1"/>
  <c r="K493" i="2" s="1" a="1"/>
  <c r="K493" i="2" s="1"/>
  <c r="J87" i="7" a="1"/>
  <c r="J87" i="7" s="1"/>
  <c r="F87" i="7" s="1" a="1"/>
  <c r="F87" i="7" s="1"/>
  <c r="K310" i="2" s="1" a="1"/>
  <c r="K310" i="2" s="1"/>
  <c r="J202" i="5" a="1"/>
  <c r="J202" i="5" s="1"/>
  <c r="F202" i="5" s="1" a="1"/>
  <c r="F202" i="5" s="1"/>
  <c r="J187" i="6" a="1"/>
  <c r="J187" i="6" s="1"/>
  <c r="F187" i="6" s="1" a="1"/>
  <c r="F187" i="6" s="1"/>
  <c r="K626" i="2" s="1" a="1"/>
  <c r="K626" i="2" s="1"/>
  <c r="J182" i="4" a="1"/>
  <c r="J182" i="4" s="1"/>
  <c r="F182" i="4" s="1" a="1"/>
  <c r="F182" i="4" s="1"/>
  <c r="J75" i="5" a="1"/>
  <c r="J75" i="5" s="1"/>
  <c r="F75" i="5" s="1" a="1"/>
  <c r="F75" i="5" s="1"/>
  <c r="K285" i="2" s="1" a="1"/>
  <c r="K285" i="2" s="1"/>
  <c r="F55" i="6" a="1"/>
  <c r="F55" i="6" s="1"/>
  <c r="J154" i="7" a="1"/>
  <c r="J154" i="7" s="1"/>
  <c r="F154" i="7" s="1" a="1"/>
  <c r="F154" i="7" s="1"/>
  <c r="K546" i="2" s="1" a="1"/>
  <c r="K546" i="2" s="1"/>
  <c r="F321" i="4" a="1"/>
  <c r="F321" i="4" s="1"/>
  <c r="J157" i="6" a="1"/>
  <c r="J157" i="6" s="1"/>
  <c r="F157" i="6" s="1" a="1"/>
  <c r="F157" i="6" s="1"/>
  <c r="K560" i="2" s="1" a="1"/>
  <c r="K560" i="2" s="1"/>
  <c r="F20" i="8" a="1"/>
  <c r="F20" i="8" s="1"/>
  <c r="K43" i="2" s="1" a="1"/>
  <c r="K43" i="2" s="1"/>
  <c r="F387" i="4" a="1"/>
  <c r="F387" i="4" s="1"/>
  <c r="F385" i="4" a="1"/>
  <c r="F385" i="4" s="1"/>
  <c r="F391" i="4" a="1"/>
  <c r="F391" i="4" s="1"/>
  <c r="F382" i="4" a="1"/>
  <c r="F382" i="4" s="1"/>
  <c r="F377" i="4" a="1"/>
  <c r="F377" i="4" s="1"/>
  <c r="F405" i="4" a="1"/>
  <c r="F405" i="4" s="1"/>
  <c r="F92" i="4" a="1"/>
  <c r="F92" i="4" s="1"/>
  <c r="F8" i="4" a="1"/>
  <c r="F8" i="4" s="1"/>
  <c r="F156" i="4" a="1"/>
  <c r="F156" i="4" s="1"/>
  <c r="F249" i="4" a="1"/>
  <c r="F249" i="4" s="1"/>
  <c r="F22" i="4" a="1"/>
  <c r="F22" i="4" s="1"/>
  <c r="F383" i="4" a="1"/>
  <c r="F383" i="4" s="1"/>
  <c r="F403" i="4" a="1"/>
  <c r="F403" i="4" s="1"/>
  <c r="F257" i="4" a="1"/>
  <c r="F257" i="4" s="1"/>
  <c r="F14" i="4" a="1"/>
  <c r="F14" i="4" s="1"/>
  <c r="F179" i="4" a="1"/>
  <c r="F179" i="4" s="1"/>
  <c r="F361" i="4" a="1"/>
  <c r="F361" i="4" s="1"/>
  <c r="F36" i="4" a="1"/>
  <c r="F36" i="4" s="1"/>
  <c r="F313" i="4" a="1"/>
  <c r="F313" i="4" s="1"/>
  <c r="F165" i="4" a="1"/>
  <c r="F165" i="4" s="1"/>
  <c r="F169" i="4" a="1"/>
  <c r="F169" i="4" s="1"/>
  <c r="F233" i="4" a="1"/>
  <c r="F233" i="4" s="1"/>
  <c r="F264" i="4" a="1"/>
  <c r="F264" i="4" s="1"/>
  <c r="F347" i="4" a="1"/>
  <c r="F347" i="4" s="1"/>
  <c r="F379" i="4" a="1"/>
  <c r="F379" i="4" s="1"/>
  <c r="F189" i="4" a="1"/>
  <c r="F189" i="4" s="1"/>
  <c r="F39" i="4" a="1"/>
  <c r="F39" i="4" s="1"/>
  <c r="F367" i="4" a="1"/>
  <c r="F367" i="4" s="1"/>
  <c r="F137" i="4" a="1"/>
  <c r="F137" i="4" s="1"/>
  <c r="F134" i="4" a="1"/>
  <c r="F134" i="4" s="1"/>
  <c r="F57" i="4" a="1"/>
  <c r="F57" i="4" s="1"/>
  <c r="F133" i="4" a="1"/>
  <c r="F133" i="4" s="1"/>
  <c r="F155" i="4" a="1"/>
  <c r="F155" i="4" s="1"/>
  <c r="F388" i="4" a="1"/>
  <c r="F388" i="4" s="1"/>
  <c r="F62" i="4" a="1"/>
  <c r="F62" i="4" s="1"/>
  <c r="F219" i="4" a="1"/>
  <c r="F219" i="4" s="1"/>
  <c r="F186" i="4" a="1"/>
  <c r="F186" i="4" s="1"/>
  <c r="F163" i="4" a="1"/>
  <c r="F163" i="4" s="1"/>
  <c r="F384" i="4" a="1"/>
  <c r="F384" i="4" s="1"/>
  <c r="F130" i="4" a="1"/>
  <c r="F130" i="4" s="1"/>
  <c r="F216" i="4" a="1"/>
  <c r="F216" i="4" s="1"/>
  <c r="F56" i="4" a="1"/>
  <c r="F56" i="4" s="1"/>
  <c r="F316" i="4" a="1"/>
  <c r="F316" i="4" s="1"/>
  <c r="F139" i="4" a="1"/>
  <c r="F139" i="4" s="1"/>
  <c r="F389" i="4" a="1"/>
  <c r="F389" i="4" s="1"/>
  <c r="F18" i="4" a="1"/>
  <c r="F18" i="4" s="1"/>
  <c r="F272" i="4" a="1"/>
  <c r="F272" i="4" s="1"/>
  <c r="F295" i="4" a="1"/>
  <c r="F295" i="4" s="1"/>
  <c r="F102" i="4" a="1"/>
  <c r="F102" i="4" s="1"/>
  <c r="F3" i="4" a="1"/>
  <c r="F3" i="4" s="1"/>
  <c r="F184" i="4" a="1"/>
  <c r="F184" i="4" s="1"/>
  <c r="F395" i="4" a="1"/>
  <c r="F395" i="4" s="1"/>
  <c r="F16" i="4" a="1"/>
  <c r="F16" i="4" s="1"/>
  <c r="F218" i="4" a="1"/>
  <c r="F218" i="4" s="1"/>
  <c r="F177" i="4" a="1"/>
  <c r="F177" i="4" s="1"/>
  <c r="F26" i="4" a="1"/>
  <c r="F26" i="4" s="1"/>
  <c r="F96" i="4" a="1"/>
  <c r="F96" i="4" s="1"/>
  <c r="F175" i="4" a="1"/>
  <c r="F175" i="4" s="1"/>
  <c r="F99" i="4" a="1"/>
  <c r="F99" i="4" s="1"/>
  <c r="F38" i="4" a="1"/>
  <c r="F38" i="4" s="1"/>
  <c r="F80" i="4" a="1"/>
  <c r="F80" i="4" s="1"/>
  <c r="F254" i="4" a="1"/>
  <c r="F254" i="4" s="1"/>
  <c r="F289" i="4" a="1"/>
  <c r="F289" i="4" s="1"/>
  <c r="F214" i="4" a="1"/>
  <c r="F214" i="4" s="1"/>
  <c r="F193" i="4" a="1"/>
  <c r="F193" i="4" s="1"/>
  <c r="F288" i="4" a="1"/>
  <c r="F288" i="4" s="1"/>
  <c r="F126" i="4" a="1"/>
  <c r="F126" i="4" s="1"/>
  <c r="F98" i="4" a="1"/>
  <c r="F98" i="4" s="1"/>
  <c r="F11" i="4" a="1"/>
  <c r="F11" i="4" s="1"/>
  <c r="F256" i="4" a="1"/>
  <c r="F256" i="4" s="1"/>
  <c r="F196" i="4" a="1"/>
  <c r="F196" i="4" s="1"/>
  <c r="F42" i="4" a="1"/>
  <c r="F42" i="4" s="1"/>
  <c r="F390" i="4" a="1"/>
  <c r="F390" i="4" s="1"/>
  <c r="F284" i="4" a="1"/>
  <c r="F284" i="4" s="1"/>
  <c r="F66" i="4" a="1"/>
  <c r="F66" i="4" s="1"/>
  <c r="F64" i="4" a="1"/>
  <c r="F64" i="4" s="1"/>
  <c r="F128" i="4" a="1"/>
  <c r="F128" i="4" s="1"/>
  <c r="F162" i="4" a="1"/>
  <c r="F162" i="4" s="1"/>
  <c r="F276" i="4" a="1"/>
  <c r="F276" i="4" s="1"/>
  <c r="F349" i="4" a="1"/>
  <c r="F349" i="4" s="1"/>
  <c r="F366" i="4" a="1"/>
  <c r="F366" i="4" s="1"/>
  <c r="F75" i="4" a="1"/>
  <c r="F75" i="4" s="1"/>
  <c r="F302" i="4" a="1"/>
  <c r="F302" i="4" s="1"/>
  <c r="F95" i="4" a="1"/>
  <c r="F95" i="4" s="1"/>
  <c r="F320" i="4" a="1"/>
  <c r="F320" i="4" s="1"/>
  <c r="F81" i="4" a="1"/>
  <c r="F81" i="4" s="1"/>
  <c r="F165" i="8" a="1"/>
  <c r="F165" i="8" s="1"/>
  <c r="K388" i="2" s="1" a="1"/>
  <c r="K388" i="2" s="1"/>
  <c r="F168" i="4" a="1"/>
  <c r="F168" i="4" s="1"/>
  <c r="J55" i="7" a="1"/>
  <c r="J55" i="7" s="1"/>
  <c r="F55" i="7" s="1" a="1"/>
  <c r="F55" i="7" s="1"/>
  <c r="K171" i="2" s="1" a="1"/>
  <c r="K171" i="2" s="1"/>
  <c r="J173" i="5" a="1"/>
  <c r="J173" i="5" s="1"/>
  <c r="F173" i="5" s="1" a="1"/>
  <c r="F173" i="5" s="1"/>
  <c r="K574" i="2" s="1" a="1"/>
  <c r="K574" i="2" s="1"/>
  <c r="J122" i="5" a="1"/>
  <c r="J122" i="5" s="1"/>
  <c r="J222" i="4" a="1"/>
  <c r="J222" i="4" s="1"/>
  <c r="F222" i="4" s="1" a="1"/>
  <c r="F222" i="4" s="1"/>
  <c r="J173" i="7" a="1"/>
  <c r="J173" i="7" s="1"/>
  <c r="F173" i="7" s="1" a="1"/>
  <c r="F173" i="7" s="1"/>
  <c r="K586" i="2" s="1" a="1"/>
  <c r="K586" i="2" s="1"/>
  <c r="J94" i="5" a="1"/>
  <c r="J94" i="5" s="1"/>
  <c r="F94" i="5" s="1" a="1"/>
  <c r="F94" i="5" s="1"/>
  <c r="K378" i="2" s="1" a="1"/>
  <c r="K378" i="2" s="1"/>
  <c r="J191" i="6" a="1"/>
  <c r="J191" i="6" s="1"/>
  <c r="F191" i="6" s="1" a="1"/>
  <c r="F191" i="6" s="1"/>
  <c r="J126" i="7" a="1"/>
  <c r="J126" i="7" s="1"/>
  <c r="F126" i="7" s="1" a="1"/>
  <c r="F126" i="7" s="1"/>
  <c r="K457" i="2" s="1" a="1"/>
  <c r="K457" i="2" s="1"/>
  <c r="F152" i="8" a="1"/>
  <c r="F152" i="8" s="1"/>
  <c r="K358" i="2" s="1" a="1"/>
  <c r="K358" i="2" s="1"/>
  <c r="J241" i="4" a="1"/>
  <c r="J241" i="4" s="1"/>
  <c r="F241" i="4" s="1" a="1"/>
  <c r="F241" i="4" s="1"/>
  <c r="J28" i="7" a="1"/>
  <c r="J28" i="7" s="1"/>
  <c r="F28" i="7" s="1" a="1"/>
  <c r="F28" i="7" s="1"/>
  <c r="K96" i="2" s="1" a="1"/>
  <c r="K96" i="2" s="1"/>
  <c r="J331" i="4" a="1"/>
  <c r="J331" i="4" s="1"/>
  <c r="F331" i="4" s="1" a="1"/>
  <c r="F331" i="4" s="1"/>
  <c r="J135" i="5" a="1"/>
  <c r="J135" i="5" s="1"/>
  <c r="F135" i="5" s="1" a="1"/>
  <c r="F135" i="5" s="1"/>
  <c r="K499" i="2" s="1" a="1"/>
  <c r="K499" i="2" s="1"/>
  <c r="F24" i="8" a="1"/>
  <c r="F24" i="8" s="1"/>
  <c r="K58" i="2" s="1" a="1"/>
  <c r="K58" i="2" s="1"/>
  <c r="J10" i="6" a="1"/>
  <c r="J10" i="6" s="1"/>
  <c r="F10" i="6" s="1" a="1"/>
  <c r="F10" i="6" s="1"/>
  <c r="J44" i="4" a="1"/>
  <c r="J44" i="4" s="1"/>
  <c r="F44" i="4" s="1" a="1"/>
  <c r="F44" i="4" s="1"/>
  <c r="J36" i="7" a="1"/>
  <c r="J36" i="7" s="1"/>
  <c r="F36" i="7" s="1" a="1"/>
  <c r="F36" i="7" s="1"/>
  <c r="K125" i="2" s="1" a="1"/>
  <c r="K125" i="2" s="1"/>
  <c r="J83" i="4" a="1"/>
  <c r="J83" i="4" s="1"/>
  <c r="F83" i="4" s="1" a="1"/>
  <c r="F83" i="4" s="1"/>
  <c r="J183" i="6" a="1"/>
  <c r="J183" i="6" s="1"/>
  <c r="F183" i="6" s="1" a="1"/>
  <c r="F183" i="6" s="1"/>
  <c r="K619" i="2" s="1" a="1"/>
  <c r="K619" i="2" s="1"/>
  <c r="J96" i="7" a="1"/>
  <c r="J96" i="7" s="1"/>
  <c r="F96" i="7" s="1" a="1"/>
  <c r="F96" i="7" s="1"/>
  <c r="K357" i="2" s="1" a="1"/>
  <c r="K357" i="2" s="1"/>
  <c r="J65" i="7" a="1"/>
  <c r="J65" i="7" s="1"/>
  <c r="F65" i="7" s="1" a="1"/>
  <c r="F65" i="7" s="1"/>
  <c r="K207" i="2" s="1" a="1"/>
  <c r="K207" i="2" s="1"/>
  <c r="J45" i="9" a="1"/>
  <c r="J45" i="9" s="1"/>
  <c r="J25" i="9" a="1"/>
  <c r="J25" i="9" s="1"/>
  <c r="J119" i="7" a="1"/>
  <c r="J119" i="7" s="1"/>
  <c r="F119" i="7" s="1" a="1"/>
  <c r="F119" i="7" s="1"/>
  <c r="K442" i="2" s="1" a="1"/>
  <c r="K442" i="2" s="1"/>
  <c r="F173" i="8" a="1"/>
  <c r="F173" i="8" s="1"/>
  <c r="K409" i="2" s="1" a="1"/>
  <c r="K409" i="2" s="1"/>
  <c r="J63" i="4" a="1"/>
  <c r="J63" i="4" s="1"/>
  <c r="F63" i="4" s="1" a="1"/>
  <c r="F63" i="4" s="1"/>
  <c r="J114" i="6" a="1"/>
  <c r="J114" i="6" s="1"/>
  <c r="F114" i="6" s="1" a="1"/>
  <c r="F114" i="6" s="1"/>
  <c r="K466" i="2" s="1" a="1"/>
  <c r="K466" i="2" s="1"/>
  <c r="J304" i="4" a="1"/>
  <c r="J304" i="4" s="1"/>
  <c r="F304" i="4" s="1" a="1"/>
  <c r="F304" i="4" s="1"/>
  <c r="J272" i="4" a="1"/>
  <c r="J272" i="4" s="1"/>
  <c r="J105" i="6" a="1"/>
  <c r="J105" i="6" s="1"/>
  <c r="F105" i="6" s="1" a="1"/>
  <c r="F105" i="6" s="1"/>
  <c r="K441" i="2" s="1" a="1"/>
  <c r="K441" i="2" s="1"/>
  <c r="J173" i="4" a="1"/>
  <c r="J173" i="4" s="1"/>
  <c r="F173" i="4" s="1" a="1"/>
  <c r="F173" i="4" s="1"/>
  <c r="J90" i="7" a="1"/>
  <c r="J90" i="7" s="1"/>
  <c r="F90" i="7" s="1" a="1"/>
  <c r="F90" i="7" s="1"/>
  <c r="K327" i="2" s="1" a="1"/>
  <c r="K327" i="2" s="1"/>
  <c r="J63" i="6" a="1"/>
  <c r="J63" i="6" s="1"/>
  <c r="F63" i="6" s="1" a="1"/>
  <c r="F63" i="6" s="1"/>
  <c r="J115" i="7" a="1"/>
  <c r="J115" i="7" s="1"/>
  <c r="F115" i="7" s="1" a="1"/>
  <c r="F115" i="7" s="1"/>
  <c r="K422" i="2" s="1" a="1"/>
  <c r="K422" i="2" s="1"/>
  <c r="J67" i="4" a="1"/>
  <c r="J67" i="4" s="1"/>
  <c r="F67" i="4" s="1" a="1"/>
  <c r="F67" i="4" s="1"/>
  <c r="F157" i="8" a="1"/>
  <c r="F157" i="8" s="1"/>
  <c r="K366" i="2" s="1" a="1"/>
  <c r="K366" i="2" s="1"/>
  <c r="F300" i="4" a="1"/>
  <c r="F300" i="4" s="1"/>
  <c r="J58" i="4" a="1"/>
  <c r="J58" i="4" s="1"/>
  <c r="F58" i="4" s="1" a="1"/>
  <c r="F58" i="4" s="1"/>
  <c r="J371" i="4" a="1"/>
  <c r="J371" i="4" s="1"/>
  <c r="F371" i="4" s="1" a="1"/>
  <c r="F371" i="4" s="1"/>
  <c r="J372" i="4" a="1"/>
  <c r="J372" i="4" s="1"/>
  <c r="F372" i="4" s="1" a="1"/>
  <c r="F372" i="4" s="1"/>
  <c r="J278" i="4" a="1"/>
  <c r="J278" i="4" s="1"/>
  <c r="F278" i="4" s="1" a="1"/>
  <c r="F278" i="4" s="1"/>
  <c r="J190" i="6" a="1"/>
  <c r="J190" i="6" s="1"/>
  <c r="F190" i="6" s="1" a="1"/>
  <c r="F190" i="6" s="1"/>
  <c r="J37" i="4" a="1"/>
  <c r="J37" i="4" s="1"/>
  <c r="J207" i="7" a="1"/>
  <c r="J207" i="7" s="1"/>
  <c r="F207" i="7" s="1" a="1"/>
  <c r="F207" i="7" s="1"/>
  <c r="K664" i="2" s="1" a="1"/>
  <c r="K664" i="2" s="1"/>
  <c r="J100" i="5" a="1"/>
  <c r="J100" i="5" s="1"/>
  <c r="J112" i="4" a="1"/>
  <c r="J112" i="4" s="1"/>
  <c r="F36" i="8" a="1"/>
  <c r="F36" i="8" s="1"/>
  <c r="K104" i="2" s="1" a="1"/>
  <c r="K104" i="2" s="1"/>
  <c r="F87" i="5" a="1"/>
  <c r="F87" i="5" s="1"/>
  <c r="J86" i="7" a="1"/>
  <c r="J86" i="7" s="1"/>
  <c r="F86" i="7" s="1" a="1"/>
  <c r="F86" i="7" s="1"/>
  <c r="K305" i="2" s="1" a="1"/>
  <c r="K305" i="2" s="1"/>
  <c r="J105" i="4" a="1"/>
  <c r="J105" i="4" s="1"/>
  <c r="F105" i="4" s="1" a="1"/>
  <c r="F105" i="4" s="1"/>
  <c r="J166" i="4" a="1"/>
  <c r="J166" i="4" s="1"/>
  <c r="F166" i="4" s="1" a="1"/>
  <c r="F166" i="4" s="1"/>
  <c r="F45" i="4" a="1"/>
  <c r="F45" i="4" s="1"/>
  <c r="F178" i="8" a="1"/>
  <c r="F178" i="8" s="1"/>
  <c r="K423" i="2" s="1" a="1"/>
  <c r="K423" i="2" s="1"/>
  <c r="J166" i="5" a="1"/>
  <c r="J166" i="5" s="1"/>
  <c r="F166" i="5" s="1" a="1"/>
  <c r="F166" i="5" s="1"/>
  <c r="J205" i="4" a="1"/>
  <c r="J205" i="4" s="1"/>
  <c r="J11" i="5" a="1"/>
  <c r="J11" i="5" s="1"/>
  <c r="F11" i="5" s="1" a="1"/>
  <c r="F11" i="5" s="1"/>
  <c r="J82" i="7" a="1"/>
  <c r="J82" i="7" s="1"/>
  <c r="F82" i="7" s="1" a="1"/>
  <c r="F82" i="7" s="1"/>
  <c r="K280" i="2" s="1" a="1"/>
  <c r="K280" i="2" s="1"/>
  <c r="J10" i="4" a="1"/>
  <c r="J10" i="4" s="1"/>
  <c r="F10" i="4" s="1" a="1"/>
  <c r="F10" i="4" s="1"/>
  <c r="J181" i="5" a="1"/>
  <c r="J181" i="5" s="1"/>
  <c r="J198" i="6" a="1"/>
  <c r="J198" i="6" s="1"/>
  <c r="F198" i="6" s="1" a="1"/>
  <c r="F198" i="6" s="1"/>
  <c r="K645" i="2" s="1" a="1"/>
  <c r="K645" i="2" s="1"/>
  <c r="J71" i="4" a="1"/>
  <c r="J71" i="4" s="1"/>
  <c r="F71" i="4" s="1" a="1"/>
  <c r="F71" i="4" s="1"/>
  <c r="J104" i="4" a="1"/>
  <c r="J104" i="4" s="1"/>
  <c r="F104" i="4" s="1" a="1"/>
  <c r="F104" i="4" s="1"/>
  <c r="J394" i="4" a="1"/>
  <c r="J394" i="4" s="1"/>
  <c r="F394" i="4" s="1" a="1"/>
  <c r="F394" i="4" s="1"/>
  <c r="J258" i="4" a="1"/>
  <c r="J258" i="4" s="1"/>
  <c r="F258" i="4" s="1" a="1"/>
  <c r="F258" i="4" s="1"/>
  <c r="J209" i="5" a="1"/>
  <c r="J209" i="5" s="1"/>
  <c r="F209" i="5" s="1" a="1"/>
  <c r="F209" i="5" s="1"/>
  <c r="K666" i="2" s="1" a="1"/>
  <c r="K666" i="2" s="1"/>
  <c r="J13" i="7" a="1"/>
  <c r="J13" i="7" s="1"/>
  <c r="J70" i="6" a="1"/>
  <c r="J70" i="6" s="1"/>
  <c r="F70" i="6" s="1" a="1"/>
  <c r="F70" i="6" s="1"/>
  <c r="J260" i="4" a="1"/>
  <c r="J260" i="4" s="1"/>
  <c r="F260" i="4" s="1" a="1"/>
  <c r="F260" i="4" s="1"/>
  <c r="J122" i="7" a="1"/>
  <c r="J122" i="7" s="1"/>
  <c r="F122" i="7" s="1" a="1"/>
  <c r="F122" i="7" s="1"/>
  <c r="K446" i="2" s="1" a="1"/>
  <c r="K446" i="2" s="1"/>
  <c r="J19" i="4" a="1"/>
  <c r="J19" i="4" s="1"/>
  <c r="F19" i="4" s="1" a="1"/>
  <c r="F19" i="4" s="1"/>
  <c r="J132" i="6" a="1"/>
  <c r="J132" i="6" s="1"/>
  <c r="J332" i="4" a="1"/>
  <c r="J332" i="4" s="1"/>
  <c r="F332" i="4" s="1" a="1"/>
  <c r="F332" i="4" s="1"/>
  <c r="F87" i="4" a="1"/>
  <c r="F87" i="4" s="1"/>
  <c r="J52" i="7" a="1"/>
  <c r="J52" i="7" s="1"/>
  <c r="F52" i="7" s="1" a="1"/>
  <c r="F52" i="7" s="1"/>
  <c r="K166" i="2" s="1" a="1"/>
  <c r="K166" i="2" s="1"/>
  <c r="F107" i="5" a="1"/>
  <c r="F107" i="5" s="1"/>
  <c r="J58" i="9" a="1"/>
  <c r="J58" i="9" s="1"/>
  <c r="J51" i="7" a="1"/>
  <c r="J51" i="7" s="1"/>
  <c r="F51" i="7" s="1" a="1"/>
  <c r="F51" i="7" s="1"/>
  <c r="K154" i="2" s="1" a="1"/>
  <c r="K154" i="2" s="1"/>
  <c r="J197" i="6" a="1"/>
  <c r="J197" i="6" s="1"/>
  <c r="F197" i="6" s="1" a="1"/>
  <c r="F197" i="6" s="1"/>
  <c r="K643" i="2" s="1" a="1"/>
  <c r="K643" i="2" s="1"/>
  <c r="J146" i="4" a="1"/>
  <c r="J146" i="4" s="1"/>
  <c r="F146" i="4" s="1" a="1"/>
  <c r="F146" i="4" s="1"/>
  <c r="F203" i="8" a="1"/>
  <c r="F203" i="8" s="1"/>
  <c r="K505" i="2" s="1" a="1"/>
  <c r="K505" i="2" s="1"/>
  <c r="F145" i="6" a="1"/>
  <c r="F145" i="6" s="1"/>
  <c r="K543" i="2" s="1" a="1"/>
  <c r="K543" i="2" s="1"/>
  <c r="J47" i="5" a="1"/>
  <c r="J47" i="5" s="1"/>
  <c r="F47" i="5" s="1" a="1"/>
  <c r="F47" i="5" s="1"/>
  <c r="J140" i="4" a="1"/>
  <c r="J140" i="4" s="1"/>
  <c r="F140" i="4" s="1" a="1"/>
  <c r="F140" i="4" s="1"/>
  <c r="J140" i="5" a="1"/>
  <c r="J140" i="5" s="1"/>
  <c r="F140" i="5" s="1" a="1"/>
  <c r="F140" i="5" s="1"/>
  <c r="J130" i="6" a="1"/>
  <c r="J130" i="6" s="1"/>
  <c r="F130" i="6" s="1" a="1"/>
  <c r="F130" i="6" s="1"/>
  <c r="J142" i="4" a="1"/>
  <c r="J142" i="4" s="1"/>
  <c r="F142" i="4" s="1" a="1"/>
  <c r="F142" i="4" s="1"/>
  <c r="E5" i="2" a="1"/>
  <c r="E5" i="2" s="1"/>
  <c r="F95" i="8" a="1"/>
  <c r="F95" i="8" s="1"/>
  <c r="K250" i="2" s="1" a="1"/>
  <c r="K250" i="2" s="1"/>
  <c r="F187" i="8" a="1"/>
  <c r="F187" i="8" s="1"/>
  <c r="K440" i="2" s="1" a="1"/>
  <c r="K440" i="2" s="1"/>
  <c r="F153" i="8" a="1"/>
  <c r="F153" i="8" s="1"/>
  <c r="K359" i="2" s="1" a="1"/>
  <c r="K359" i="2" s="1"/>
  <c r="F124" i="8" a="1"/>
  <c r="F124" i="8" s="1"/>
  <c r="K304" i="2" s="1" a="1"/>
  <c r="K304" i="2" s="1"/>
  <c r="F125" i="8" a="1"/>
  <c r="F125" i="8" s="1"/>
  <c r="K307" i="2" s="1" a="1"/>
  <c r="K307" i="2" s="1"/>
  <c r="F50" i="8" a="1"/>
  <c r="F50" i="8" s="1"/>
  <c r="K145" i="2" s="1" a="1"/>
  <c r="K145" i="2" s="1"/>
  <c r="F116" i="8" a="1"/>
  <c r="F116" i="8" s="1"/>
  <c r="K283" i="2" s="1" a="1"/>
  <c r="K283" i="2" s="1"/>
  <c r="F31" i="8" a="1"/>
  <c r="F31" i="8" s="1"/>
  <c r="K89" i="2" s="1" a="1"/>
  <c r="K89" i="2" s="1"/>
  <c r="F59" i="8" a="1"/>
  <c r="F59" i="8" s="1"/>
  <c r="K175" i="2" s="1" a="1"/>
  <c r="K175" i="2" s="1"/>
  <c r="F78" i="8" a="1"/>
  <c r="F78" i="8" s="1"/>
  <c r="K220" i="2" s="1" a="1"/>
  <c r="K220" i="2" s="1"/>
  <c r="F184" i="8" a="1"/>
  <c r="F184" i="8" s="1"/>
  <c r="K435" i="2" s="1" a="1"/>
  <c r="K435" i="2" s="1"/>
  <c r="F43" i="8" a="1"/>
  <c r="F43" i="8" s="1"/>
  <c r="K122" i="2" s="1" a="1"/>
  <c r="K122" i="2" s="1"/>
  <c r="F70" i="8" a="1"/>
  <c r="F70" i="8" s="1"/>
  <c r="K198" i="2" s="1" a="1"/>
  <c r="K198" i="2" s="1"/>
  <c r="F44" i="8" a="1"/>
  <c r="F44" i="8" s="1"/>
  <c r="K127" i="2" s="1" a="1"/>
  <c r="K127" i="2" s="1"/>
  <c r="F176" i="8" a="1"/>
  <c r="F176" i="8" s="1"/>
  <c r="K419" i="2" s="1" a="1"/>
  <c r="K419" i="2" s="1"/>
  <c r="F87" i="8" a="1"/>
  <c r="F87" i="8" s="1"/>
  <c r="K233" i="2" s="1" a="1"/>
  <c r="K233" i="2" s="1"/>
  <c r="F204" i="8" a="1"/>
  <c r="F204" i="8" s="1"/>
  <c r="K542" i="2" s="1" a="1"/>
  <c r="K542" i="2" s="1"/>
  <c r="F34" i="8" a="1"/>
  <c r="F34" i="8" s="1"/>
  <c r="K93" i="2" s="1" a="1"/>
  <c r="K93" i="2" s="1"/>
  <c r="F83" i="8" a="1"/>
  <c r="F83" i="8" s="1"/>
  <c r="K226" i="2" s="1" a="1"/>
  <c r="K226" i="2" s="1"/>
  <c r="F185" i="8" a="1"/>
  <c r="F185" i="8" s="1"/>
  <c r="K436" i="2" s="1" a="1"/>
  <c r="K436" i="2" s="1"/>
  <c r="F40" i="8" a="1"/>
  <c r="F40" i="8" s="1"/>
  <c r="K114" i="2" s="1" a="1"/>
  <c r="K114" i="2" s="1"/>
  <c r="F49" i="8" a="1"/>
  <c r="F49" i="8" s="1"/>
  <c r="K144" i="2" s="1" a="1"/>
  <c r="K144" i="2" s="1"/>
  <c r="F104" i="8" a="1"/>
  <c r="F104" i="8" s="1"/>
  <c r="K264" i="2" s="1" a="1"/>
  <c r="K264" i="2" s="1"/>
  <c r="F109" i="8" a="1"/>
  <c r="F109" i="8" s="1"/>
  <c r="K272" i="2" s="1" a="1"/>
  <c r="K272" i="2" s="1"/>
  <c r="F136" i="8" a="1"/>
  <c r="F136" i="8" s="1"/>
  <c r="K331" i="2" s="1" a="1"/>
  <c r="K331" i="2" s="1"/>
  <c r="F194" i="8" a="1"/>
  <c r="F194" i="8" s="1"/>
  <c r="K467" i="2" s="1" a="1"/>
  <c r="K467" i="2" s="1"/>
  <c r="F86" i="8" a="1"/>
  <c r="F86" i="8" s="1"/>
  <c r="K232" i="2" s="1" a="1"/>
  <c r="K232" i="2" s="1"/>
  <c r="F188" i="8" a="1"/>
  <c r="F188" i="8" s="1"/>
  <c r="K447" i="2" s="1" a="1"/>
  <c r="K447" i="2" s="1"/>
  <c r="F174" i="8" a="1"/>
  <c r="F174" i="8" s="1"/>
  <c r="K411" i="2" s="1" a="1"/>
  <c r="K411" i="2" s="1"/>
  <c r="F10" i="8" a="1"/>
  <c r="F10" i="8" s="1"/>
  <c r="K20" i="2" s="1" a="1"/>
  <c r="K20" i="2" s="1"/>
  <c r="F158" i="8" a="1"/>
  <c r="F158" i="8" s="1"/>
  <c r="K367" i="2" s="1" a="1"/>
  <c r="K367" i="2" s="1"/>
  <c r="F129" i="8" a="1"/>
  <c r="F129" i="8" s="1"/>
  <c r="K312" i="2" s="1" a="1"/>
  <c r="K312" i="2" s="1"/>
  <c r="F66" i="8" a="1"/>
  <c r="F66" i="8" s="1"/>
  <c r="K189" i="2" s="1" a="1"/>
  <c r="K189" i="2" s="1"/>
  <c r="F110" i="8" a="1"/>
  <c r="F110" i="8" s="1"/>
  <c r="K274" i="2" s="1" a="1"/>
  <c r="K274" i="2" s="1"/>
  <c r="F182" i="8" a="1"/>
  <c r="F182" i="8" s="1"/>
  <c r="K431" i="2" s="1" a="1"/>
  <c r="K431" i="2" s="1"/>
  <c r="F186" i="8" a="1"/>
  <c r="F186" i="8" s="1"/>
  <c r="K437" i="2" s="1" a="1"/>
  <c r="K437" i="2" s="1"/>
  <c r="F189" i="8" a="1"/>
  <c r="F189" i="8" s="1"/>
  <c r="K452" i="2" s="1" a="1"/>
  <c r="K452" i="2" s="1"/>
  <c r="F89" i="8" a="1"/>
  <c r="F89" i="8" s="1"/>
  <c r="K236" i="2" s="1" a="1"/>
  <c r="K236" i="2" s="1"/>
  <c r="F21" i="8" a="1"/>
  <c r="F21" i="8" s="1"/>
  <c r="K51" i="2" s="1" a="1"/>
  <c r="K51" i="2" s="1"/>
  <c r="F69" i="8" a="1"/>
  <c r="F69" i="8" s="1"/>
  <c r="K197" i="2" s="1" a="1"/>
  <c r="K197" i="2" s="1"/>
  <c r="F62" i="8" a="1"/>
  <c r="F62" i="8" s="1"/>
  <c r="K179" i="2" s="1" a="1"/>
  <c r="K179" i="2" s="1"/>
  <c r="F138" i="8" a="1"/>
  <c r="F138" i="8" s="1"/>
  <c r="K334" i="2" s="1" a="1"/>
  <c r="K334" i="2" s="1"/>
  <c r="F76" i="8" a="1"/>
  <c r="F76" i="8" s="1"/>
  <c r="K216" i="2" s="1" a="1"/>
  <c r="K216" i="2" s="1"/>
  <c r="F22" i="8" a="1"/>
  <c r="F22" i="8" s="1"/>
  <c r="K53" i="2" s="1" a="1"/>
  <c r="K53" i="2" s="1"/>
  <c r="F26" i="8" a="1"/>
  <c r="F26" i="8" s="1"/>
  <c r="K61" i="2" s="1" a="1"/>
  <c r="K61" i="2" s="1"/>
  <c r="F65" i="8" a="1"/>
  <c r="F65" i="8" s="1"/>
  <c r="K186" i="2" s="1" a="1"/>
  <c r="K186" i="2" s="1"/>
  <c r="F160" i="8" a="1"/>
  <c r="F160" i="8" s="1"/>
  <c r="K376" i="2" s="1" a="1"/>
  <c r="K376" i="2" s="1"/>
  <c r="F11" i="8" a="1"/>
  <c r="F11" i="8" s="1"/>
  <c r="K23" i="2" s="1" a="1"/>
  <c r="K23" i="2" s="1"/>
  <c r="F16" i="8" a="1"/>
  <c r="F16" i="8" s="1"/>
  <c r="K34" i="2" s="1" a="1"/>
  <c r="K34" i="2" s="1"/>
  <c r="F47" i="8" a="1"/>
  <c r="F47" i="8" s="1"/>
  <c r="K140" i="2" s="1" a="1"/>
  <c r="K140" i="2" s="1"/>
  <c r="F123" i="8" a="1"/>
  <c r="F123" i="8" s="1"/>
  <c r="K302" i="2" s="1" a="1"/>
  <c r="K302" i="2" s="1"/>
  <c r="F60" i="8" a="1"/>
  <c r="F60" i="8" s="1"/>
  <c r="K177" i="2" s="1" a="1"/>
  <c r="K177" i="2" s="1"/>
  <c r="F85" i="8" a="1"/>
  <c r="F85" i="8" s="1"/>
  <c r="K230" i="2" s="1" a="1"/>
  <c r="K230" i="2" s="1"/>
  <c r="F99" i="8" a="1"/>
  <c r="F99" i="8" s="1"/>
  <c r="K255" i="2" s="1" a="1"/>
  <c r="K255" i="2" s="1"/>
  <c r="F75" i="8" a="1"/>
  <c r="F75" i="8" s="1"/>
  <c r="K215" i="2" s="1" a="1"/>
  <c r="K215" i="2" s="1"/>
  <c r="F28" i="8" a="1"/>
  <c r="F28" i="8" s="1"/>
  <c r="K74" i="2" s="1" a="1"/>
  <c r="K74" i="2" s="1"/>
  <c r="F118" i="8" a="1"/>
  <c r="F118" i="8" s="1"/>
  <c r="K288" i="2" s="1" a="1"/>
  <c r="K288" i="2" s="1"/>
  <c r="F193" i="8" a="1"/>
  <c r="F193" i="8" s="1"/>
  <c r="K465" i="2" s="1" a="1"/>
  <c r="K465" i="2" s="1"/>
  <c r="F5" i="8" a="1"/>
  <c r="F5" i="8" s="1"/>
  <c r="K7" i="2" s="1" a="1"/>
  <c r="K7" i="2" s="1"/>
  <c r="F41" i="8" a="1"/>
  <c r="F41" i="8" s="1"/>
  <c r="K116" i="2" s="1" a="1"/>
  <c r="K116" i="2" s="1"/>
  <c r="F154" i="8" a="1"/>
  <c r="F154" i="8" s="1"/>
  <c r="K361" i="2" s="1" a="1"/>
  <c r="K361" i="2" s="1"/>
  <c r="F48" i="8" a="1"/>
  <c r="F48" i="8" s="1"/>
  <c r="K142" i="2" s="1" a="1"/>
  <c r="K142" i="2" s="1"/>
  <c r="F199" i="8" a="1"/>
  <c r="F199" i="8" s="1"/>
  <c r="K494" i="2" s="1" a="1"/>
  <c r="K494" i="2" s="1"/>
  <c r="F149" i="8" a="1"/>
  <c r="F149" i="8" s="1"/>
  <c r="K353" i="2" s="1" a="1"/>
  <c r="K353" i="2" s="1"/>
  <c r="F42" i="8" a="1"/>
  <c r="F42" i="8" s="1"/>
  <c r="K119" i="2" s="1" a="1"/>
  <c r="K119" i="2" s="1"/>
  <c r="F23" i="8" a="1"/>
  <c r="F23" i="8" s="1"/>
  <c r="K56" i="2" s="1" a="1"/>
  <c r="K56" i="2" s="1"/>
  <c r="F172" i="8" a="1"/>
  <c r="F172" i="8" s="1"/>
  <c r="K401" i="2" s="1" a="1"/>
  <c r="K401" i="2" s="1"/>
  <c r="F166" i="8" a="1"/>
  <c r="F166" i="8" s="1"/>
  <c r="K390" i="2" s="1" a="1"/>
  <c r="K390" i="2" s="1"/>
  <c r="F192" i="8" a="1"/>
  <c r="F192" i="8" s="1"/>
  <c r="K461" i="2" s="1" a="1"/>
  <c r="K461" i="2" s="1"/>
  <c r="F177" i="8" a="1"/>
  <c r="F177" i="8" s="1"/>
  <c r="K421" i="2" s="1" a="1"/>
  <c r="K421" i="2" s="1"/>
  <c r="F171" i="8" a="1"/>
  <c r="F171" i="8" s="1"/>
  <c r="K400" i="2" s="1" a="1"/>
  <c r="K400" i="2" s="1"/>
  <c r="F191" i="8" a="1"/>
  <c r="F191" i="8" s="1"/>
  <c r="K458" i="2" s="1" a="1"/>
  <c r="K458" i="2" s="1"/>
  <c r="F88" i="8" a="1"/>
  <c r="F88" i="8" s="1"/>
  <c r="K234" i="2" s="1" a="1"/>
  <c r="K234" i="2" s="1"/>
  <c r="F117" i="8" a="1"/>
  <c r="F117" i="8" s="1"/>
  <c r="K286" i="2" s="1" a="1"/>
  <c r="K286" i="2" s="1"/>
  <c r="F144" i="8" a="1"/>
  <c r="F144" i="8" s="1"/>
  <c r="K342" i="2" s="1" a="1"/>
  <c r="K342" i="2" s="1"/>
  <c r="F156" i="8" a="1"/>
  <c r="F156" i="8" s="1"/>
  <c r="K363" i="2" s="1" a="1"/>
  <c r="K363" i="2" s="1"/>
  <c r="F131" i="8" a="1"/>
  <c r="F131" i="8" s="1"/>
  <c r="K319" i="2" s="1" a="1"/>
  <c r="K319" i="2" s="1"/>
  <c r="F161" i="8" a="1"/>
  <c r="F161" i="8" s="1"/>
  <c r="K380" i="2" s="1" a="1"/>
  <c r="K380" i="2" s="1"/>
  <c r="F183" i="8" a="1"/>
  <c r="F183" i="8" s="1"/>
  <c r="K432" i="2" s="1" a="1"/>
  <c r="K432" i="2" s="1"/>
  <c r="F170" i="8" a="1"/>
  <c r="F170" i="8" s="1"/>
  <c r="K398" i="2" s="1" a="1"/>
  <c r="K398" i="2" s="1"/>
  <c r="F159" i="8" a="1"/>
  <c r="F159" i="8" s="1"/>
  <c r="K375" i="2" s="1" a="1"/>
  <c r="K375" i="2" s="1"/>
  <c r="F179" i="8" a="1"/>
  <c r="F179" i="8" s="1"/>
  <c r="K424" i="2" s="1" a="1"/>
  <c r="K424" i="2" s="1"/>
  <c r="F98" i="8" a="1"/>
  <c r="F98" i="8" s="1"/>
  <c r="K254" i="2" s="1" a="1"/>
  <c r="K254" i="2" s="1"/>
  <c r="F45" i="8" a="1"/>
  <c r="F45" i="8" s="1"/>
  <c r="K128" i="2" s="1" a="1"/>
  <c r="K128" i="2" s="1"/>
  <c r="F67" i="8" a="1"/>
  <c r="F67" i="8" s="1"/>
  <c r="K195" i="2" s="1" a="1"/>
  <c r="K195" i="2" s="1"/>
  <c r="F130" i="8" a="1"/>
  <c r="F130" i="8" s="1"/>
  <c r="K314" i="2" s="1" a="1"/>
  <c r="K314" i="2" s="1"/>
  <c r="F135" i="8" a="1"/>
  <c r="F135" i="8" s="1"/>
  <c r="K329" i="2" s="1" a="1"/>
  <c r="K329" i="2" s="1"/>
  <c r="F64" i="8" a="1"/>
  <c r="F64" i="8" s="1"/>
  <c r="K184" i="2" s="1" a="1"/>
  <c r="K184" i="2" s="1"/>
  <c r="F4" i="8" a="1"/>
  <c r="F4" i="8" s="1"/>
  <c r="K6" i="2" s="1" a="1"/>
  <c r="K6" i="2" s="1"/>
  <c r="F180" i="8" a="1"/>
  <c r="F180" i="8" s="1"/>
  <c r="K425" i="2" s="1" a="1"/>
  <c r="K425" i="2" s="1"/>
  <c r="F114" i="8" a="1"/>
  <c r="F114" i="8" s="1"/>
  <c r="K281" i="2" s="1" a="1"/>
  <c r="K281" i="2" s="1"/>
  <c r="F3" i="8" a="1"/>
  <c r="F3" i="8" s="1"/>
  <c r="F8" i="8" a="1"/>
  <c r="F8" i="8" s="1"/>
  <c r="K15" i="2" s="1" a="1"/>
  <c r="K15" i="2" s="1"/>
  <c r="F63" i="8" a="1"/>
  <c r="F63" i="8" s="1"/>
  <c r="K182" i="2" s="1" a="1"/>
  <c r="K182" i="2" s="1"/>
  <c r="F54" i="8" a="1"/>
  <c r="F54" i="8" s="1"/>
  <c r="K162" i="2" s="1" a="1"/>
  <c r="K162" i="2" s="1"/>
  <c r="F105" i="8" a="1"/>
  <c r="F105" i="8" s="1"/>
  <c r="K266" i="2" s="1" a="1"/>
  <c r="K266" i="2" s="1"/>
  <c r="F133" i="8" a="1"/>
  <c r="F133" i="8" s="1"/>
  <c r="K322" i="2" s="1" a="1"/>
  <c r="K322" i="2" s="1"/>
  <c r="F68" i="8" a="1"/>
  <c r="F68" i="8" s="1"/>
  <c r="K196" i="2" s="1" a="1"/>
  <c r="K196" i="2" s="1"/>
  <c r="F167" i="8" a="1"/>
  <c r="F167" i="8" s="1"/>
  <c r="K392" i="2" s="1" a="1"/>
  <c r="K392" i="2" s="1"/>
  <c r="F134" i="8" a="1"/>
  <c r="F134" i="8" s="1"/>
  <c r="K328" i="2" s="1" a="1"/>
  <c r="K328" i="2" s="1"/>
  <c r="F137" i="8" a="1"/>
  <c r="F137" i="8" s="1"/>
  <c r="K332" i="2" s="1" a="1"/>
  <c r="K332" i="2" s="1"/>
  <c r="F163" i="8" a="1"/>
  <c r="F163" i="8" s="1"/>
  <c r="K384" i="2" s="1" a="1"/>
  <c r="K384" i="2" s="1"/>
  <c r="F197" i="8" a="1"/>
  <c r="F197" i="8" s="1"/>
  <c r="K482" i="2" s="1" a="1"/>
  <c r="K482" i="2" s="1"/>
  <c r="J129" i="5" a="1"/>
  <c r="J129" i="5" s="1"/>
  <c r="F129" i="5" s="1" a="1"/>
  <c r="F129" i="5" s="1"/>
  <c r="F182" i="6" a="1"/>
  <c r="F182" i="6" s="1"/>
  <c r="K618" i="2" s="1" a="1"/>
  <c r="K618" i="2" s="1"/>
  <c r="J79" i="5" a="1"/>
  <c r="J79" i="5" s="1"/>
  <c r="F79" i="5" s="1" a="1"/>
  <c r="F79" i="5" s="1"/>
  <c r="K295" i="2" s="1" a="1"/>
  <c r="K295" i="2" s="1"/>
  <c r="J308" i="4" a="1"/>
  <c r="J308" i="4" s="1"/>
  <c r="F308" i="4" s="1" a="1"/>
  <c r="F308" i="4" s="1"/>
  <c r="J179" i="7" a="1"/>
  <c r="J179" i="7" s="1"/>
  <c r="J77" i="4" a="1"/>
  <c r="J77" i="4" s="1"/>
  <c r="F77" i="4" s="1" a="1"/>
  <c r="F77" i="4" s="1"/>
  <c r="J174" i="6" a="1"/>
  <c r="J174" i="6" s="1"/>
  <c r="F174" i="6" s="1" a="1"/>
  <c r="F174" i="6" s="1"/>
  <c r="J185" i="6" a="1"/>
  <c r="J185" i="6" s="1"/>
  <c r="F185" i="6" s="1" a="1"/>
  <c r="F185" i="6" s="1"/>
  <c r="K624" i="2" s="1" a="1"/>
  <c r="K624" i="2" s="1"/>
  <c r="J17" i="7" a="1"/>
  <c r="J17" i="7" s="1"/>
  <c r="F17" i="7" s="1" a="1"/>
  <c r="F17" i="7" s="1"/>
  <c r="K57" i="2" s="1" a="1"/>
  <c r="K57" i="2" s="1"/>
  <c r="J151" i="6" a="1"/>
  <c r="J151" i="6" s="1"/>
  <c r="F151" i="6" s="1" a="1"/>
  <c r="F151" i="6" s="1"/>
  <c r="J55" i="5" a="1"/>
  <c r="J55" i="5" s="1"/>
  <c r="F55" i="5" s="1" a="1"/>
  <c r="F55" i="5" s="1"/>
  <c r="F336" i="4" a="1"/>
  <c r="F336" i="4" s="1"/>
  <c r="J158" i="4" a="1"/>
  <c r="J158" i="4" s="1"/>
  <c r="F164" i="7" a="1"/>
  <c r="F164" i="7" s="1"/>
  <c r="K565" i="2" s="1" a="1"/>
  <c r="K565" i="2" s="1"/>
  <c r="J198" i="5" a="1"/>
  <c r="J198" i="5" s="1"/>
  <c r="F198" i="5" s="1" a="1"/>
  <c r="F198" i="5" s="1"/>
  <c r="K635" i="2" s="1" a="1"/>
  <c r="K635" i="2" s="1"/>
  <c r="J129" i="6" a="1"/>
  <c r="J129" i="6" s="1"/>
  <c r="F129" i="6" s="1" a="1"/>
  <c r="F129" i="6" s="1"/>
  <c r="J138" i="4" a="1"/>
  <c r="J138" i="4" s="1"/>
  <c r="J199" i="6" a="1"/>
  <c r="J199" i="6" s="1"/>
  <c r="F199" i="6" s="1" a="1"/>
  <c r="F199" i="6" s="1"/>
  <c r="K649" i="2" s="1" a="1"/>
  <c r="K649" i="2" s="1"/>
  <c r="J75" i="7" a="1"/>
  <c r="J75" i="7" s="1"/>
  <c r="F75" i="7" s="1" a="1"/>
  <c r="F75" i="7" s="1"/>
  <c r="K244" i="2" s="1" a="1"/>
  <c r="K244" i="2" s="1"/>
  <c r="J15" i="4" a="1"/>
  <c r="J15" i="4" s="1"/>
  <c r="F15" i="4" s="1" a="1"/>
  <c r="F15" i="4" s="1"/>
  <c r="J150" i="7" a="1"/>
  <c r="J150" i="7" s="1"/>
  <c r="J62" i="7" a="1"/>
  <c r="J62" i="7" s="1"/>
  <c r="F62" i="7" s="1" a="1"/>
  <c r="F62" i="7" s="1"/>
  <c r="K202" i="2" s="1" a="1"/>
  <c r="K202" i="2" s="1"/>
  <c r="F130" i="5" a="1"/>
  <c r="F130" i="5" s="1"/>
  <c r="F121" i="8" a="1"/>
  <c r="F121" i="8" s="1"/>
  <c r="K297" i="2" s="1" a="1"/>
  <c r="K297" i="2" s="1"/>
  <c r="J343" i="4" a="1"/>
  <c r="J343" i="4" s="1"/>
  <c r="F343" i="4" s="1" a="1"/>
  <c r="F343" i="4" s="1"/>
  <c r="F35" i="8" a="1"/>
  <c r="F35" i="8" s="1"/>
  <c r="K99" i="2" s="1" a="1"/>
  <c r="K99" i="2" s="1"/>
  <c r="F161" i="6" a="1"/>
  <c r="F161" i="6" s="1"/>
  <c r="K572" i="2" s="1" a="1"/>
  <c r="K572" i="2" s="1"/>
  <c r="F255" i="4" a="1"/>
  <c r="F255" i="4" s="1"/>
  <c r="F15" i="6" a="1"/>
  <c r="F15" i="6" s="1"/>
  <c r="J164" i="4" a="1"/>
  <c r="J164" i="4" s="1"/>
  <c r="F164" i="4" s="1" a="1"/>
  <c r="F164" i="4" s="1"/>
  <c r="J96" i="6" a="1"/>
  <c r="J96" i="6" s="1"/>
  <c r="F96" i="6" s="1" a="1"/>
  <c r="F96" i="6" s="1"/>
  <c r="J146" i="5" a="1"/>
  <c r="J146" i="5" s="1"/>
  <c r="F146" i="5" s="1" a="1"/>
  <c r="F146" i="5" s="1"/>
  <c r="J109" i="4" a="1"/>
  <c r="J109" i="4" s="1"/>
  <c r="F109" i="4" s="1" a="1"/>
  <c r="F109" i="4" s="1"/>
  <c r="J270" i="4" a="1"/>
  <c r="J270" i="4" s="1"/>
  <c r="F270" i="4" s="1" a="1"/>
  <c r="F270" i="4" s="1"/>
  <c r="F362" i="4" a="1"/>
  <c r="F362" i="4" s="1"/>
  <c r="F18" i="8" a="1"/>
  <c r="F18" i="8" s="1"/>
  <c r="K36" i="2" s="1" a="1"/>
  <c r="K36" i="2" s="1"/>
  <c r="F117" i="5" a="1"/>
  <c r="F117" i="5" s="1"/>
  <c r="J204" i="4" a="1"/>
  <c r="J204" i="4" s="1"/>
  <c r="F204" i="4" s="1" a="1"/>
  <c r="F204" i="4" s="1"/>
  <c r="J161" i="5" a="1"/>
  <c r="J161" i="5" s="1"/>
  <c r="F161" i="5" s="1" a="1"/>
  <c r="F161" i="5" s="1"/>
  <c r="J54" i="7" a="1"/>
  <c r="J54" i="7" s="1"/>
  <c r="F54" i="7" s="1" a="1"/>
  <c r="F54" i="7" s="1"/>
  <c r="K168" i="2" s="1" a="1"/>
  <c r="K168" i="2" s="1"/>
  <c r="J160" i="4" a="1"/>
  <c r="J160" i="4" s="1"/>
  <c r="F160" i="4" s="1" a="1"/>
  <c r="F160" i="4" s="1"/>
  <c r="F162" i="6" a="1"/>
  <c r="F162" i="6" s="1"/>
  <c r="K573" i="2" s="1" a="1"/>
  <c r="K573" i="2" s="1"/>
  <c r="J102" i="7" a="1"/>
  <c r="J102" i="7" s="1"/>
  <c r="F102" i="7" s="1" a="1"/>
  <c r="F102" i="7" s="1"/>
  <c r="K372" i="2" s="1" a="1"/>
  <c r="K372" i="2" s="1"/>
  <c r="J244" i="4" a="1"/>
  <c r="J244" i="4" s="1"/>
  <c r="F244" i="4" s="1" a="1"/>
  <c r="F244" i="4" s="1"/>
  <c r="J381" i="4" a="1"/>
  <c r="J381" i="4" s="1"/>
  <c r="F381" i="4" s="1" a="1"/>
  <c r="F381" i="4" s="1"/>
  <c r="J22" i="5" a="1"/>
  <c r="J22" i="5" s="1"/>
  <c r="F22" i="5" s="1" a="1"/>
  <c r="F22" i="5" s="1"/>
  <c r="K69" i="2" s="1" a="1"/>
  <c r="K69" i="2" s="1"/>
  <c r="J34" i="4" a="1"/>
  <c r="J34" i="4" s="1"/>
  <c r="F34" i="4" s="1" a="1"/>
  <c r="F34" i="4" s="1"/>
  <c r="J86" i="4" a="1"/>
  <c r="J86" i="4" s="1"/>
  <c r="F86" i="4" s="1" a="1"/>
  <c r="F86" i="4" s="1"/>
  <c r="J33" i="6" a="1"/>
  <c r="J33" i="6" s="1"/>
  <c r="F33" i="6" s="1" a="1"/>
  <c r="F33" i="6" s="1"/>
  <c r="F139" i="5" a="1"/>
  <c r="F139" i="5" s="1"/>
  <c r="K508" i="2" s="1" a="1"/>
  <c r="K508" i="2" s="1"/>
  <c r="F91" i="5" a="1"/>
  <c r="F91" i="5" s="1"/>
  <c r="K350" i="2" s="1" a="1"/>
  <c r="K350" i="2" s="1"/>
  <c r="F124" i="4" a="1"/>
  <c r="F124" i="4" s="1"/>
  <c r="J201" i="4" a="1"/>
  <c r="J201" i="4" s="1"/>
  <c r="F201" i="4" s="1" a="1"/>
  <c r="F201" i="4" s="1"/>
  <c r="F100" i="4" a="1"/>
  <c r="F100" i="4" s="1"/>
  <c r="F148" i="8" a="1"/>
  <c r="F148" i="8" s="1"/>
  <c r="K352" i="2" s="1" a="1"/>
  <c r="K352" i="2" s="1"/>
  <c r="J87" i="6" a="1"/>
  <c r="J87" i="6" s="1"/>
  <c r="F87" i="6" s="1" a="1"/>
  <c r="F87" i="6" s="1"/>
  <c r="K373" i="2" s="1" a="1"/>
  <c r="K373" i="2" s="1"/>
  <c r="J153" i="6" a="1"/>
  <c r="J153" i="6" s="1"/>
  <c r="F153" i="6" s="1" a="1"/>
  <c r="F153" i="6" s="1"/>
  <c r="K558" i="2" s="1" a="1"/>
  <c r="K558" i="2" s="1"/>
  <c r="J182" i="5" a="1"/>
  <c r="J182" i="5" s="1"/>
  <c r="F182" i="5" s="1" a="1"/>
  <c r="F182" i="5" s="1"/>
  <c r="J93" i="5" a="1"/>
  <c r="J93" i="5" s="1"/>
  <c r="F93" i="5" s="1" a="1"/>
  <c r="F93" i="5" s="1"/>
  <c r="J209" i="7" a="1"/>
  <c r="J209" i="7" s="1"/>
  <c r="F209" i="7" s="1" a="1"/>
  <c r="F209" i="7" s="1"/>
  <c r="K669" i="2" s="1" a="1"/>
  <c r="K669" i="2" s="1"/>
  <c r="J176" i="7" a="1"/>
  <c r="J176" i="7" s="1"/>
  <c r="F176" i="7" s="1" a="1"/>
  <c r="F176" i="7" s="1"/>
  <c r="K590" i="2" s="1" a="1"/>
  <c r="K590" i="2" s="1"/>
  <c r="J357" i="4" a="1"/>
  <c r="J357" i="4" s="1"/>
  <c r="F357" i="4" s="1" a="1"/>
  <c r="F357" i="4" s="1"/>
  <c r="F141" i="8" a="1"/>
  <c r="F141" i="8" s="1"/>
  <c r="K339" i="2" s="1" a="1"/>
  <c r="K339" i="2" s="1"/>
  <c r="J41" i="7" a="1"/>
  <c r="J41" i="7" s="1"/>
  <c r="F41" i="7" s="1" a="1"/>
  <c r="F41" i="7" s="1"/>
  <c r="K137" i="2" s="1" a="1"/>
  <c r="K137" i="2" s="1"/>
  <c r="J108" i="4" a="1"/>
  <c r="J108" i="4" s="1"/>
  <c r="F108" i="4" s="1" a="1"/>
  <c r="F108" i="4" s="1"/>
  <c r="F51" i="4" a="1"/>
  <c r="F51" i="4" s="1"/>
  <c r="F181" i="4" a="1"/>
  <c r="F181" i="4" s="1"/>
  <c r="J44" i="6" a="1"/>
  <c r="J44" i="6" s="1"/>
  <c r="F44" i="6" s="1" a="1"/>
  <c r="F44" i="6" s="1"/>
  <c r="K172" i="2" s="1" a="1"/>
  <c r="K172" i="2" s="1"/>
  <c r="J53" i="7" a="1"/>
  <c r="J53" i="7" s="1"/>
  <c r="F53" i="7" s="1" a="1"/>
  <c r="F53" i="7" s="1"/>
  <c r="K167" i="2" s="1" a="1"/>
  <c r="K167" i="2" s="1"/>
  <c r="J82" i="5" a="1"/>
  <c r="J82" i="5" s="1"/>
  <c r="F82" i="5" s="1" a="1"/>
  <c r="F82" i="5" s="1"/>
  <c r="K301" i="2" s="1" a="1"/>
  <c r="K301" i="2" s="1"/>
  <c r="J170" i="5" a="1"/>
  <c r="J170" i="5" s="1"/>
  <c r="F170" i="5" s="1" a="1"/>
  <c r="F170" i="5" s="1"/>
  <c r="K569" i="2" s="1" a="1"/>
  <c r="K569" i="2" s="1"/>
  <c r="J108" i="6" a="1"/>
  <c r="J108" i="6" s="1"/>
  <c r="F108" i="6" s="1" a="1"/>
  <c r="F108" i="6" s="1"/>
  <c r="K451" i="2" s="1" a="1"/>
  <c r="K451" i="2" s="1"/>
  <c r="J17" i="9" a="1"/>
  <c r="J17" i="9" s="1"/>
  <c r="F263" i="4" a="1"/>
  <c r="F263" i="4" s="1"/>
  <c r="F311" i="4" a="1"/>
  <c r="F311" i="4" s="1"/>
  <c r="F128" i="6" a="1"/>
  <c r="F128" i="6" s="1"/>
  <c r="K501" i="2" s="1" a="1"/>
  <c r="K501" i="2" s="1"/>
  <c r="J142" i="5" a="1"/>
  <c r="J142" i="5" s="1"/>
  <c r="F142" i="5" s="1" a="1"/>
  <c r="F142" i="5" s="1"/>
  <c r="K514" i="2" s="1" a="1"/>
  <c r="K514" i="2" s="1"/>
  <c r="J69" i="6" a="1"/>
  <c r="J69" i="6" s="1"/>
  <c r="F69" i="6" s="1" a="1"/>
  <c r="F69" i="6" s="1"/>
  <c r="J132" i="5" a="1"/>
  <c r="J132" i="5" s="1"/>
  <c r="J202" i="7" a="1"/>
  <c r="J202" i="7" s="1"/>
  <c r="F202" i="7" s="1" a="1"/>
  <c r="F202" i="7" s="1"/>
  <c r="K655" i="2" s="1" a="1"/>
  <c r="K655" i="2" s="1"/>
  <c r="J29" i="7" a="1"/>
  <c r="J29" i="7" s="1"/>
  <c r="F29" i="7" s="1" a="1"/>
  <c r="F29" i="7" s="1"/>
  <c r="K98" i="2" s="1" a="1"/>
  <c r="K98" i="2" s="1"/>
  <c r="J269" i="4" a="1"/>
  <c r="J269" i="4" s="1"/>
  <c r="F269" i="4" s="1" a="1"/>
  <c r="F269" i="4" s="1"/>
  <c r="J159" i="4" a="1"/>
  <c r="J159" i="4" s="1"/>
  <c r="F159" i="4" s="1" a="1"/>
  <c r="F159" i="4" s="1"/>
  <c r="J157" i="7" a="1"/>
  <c r="J157" i="7" s="1"/>
  <c r="J396" i="4" a="1"/>
  <c r="J396" i="4" s="1"/>
  <c r="F396" i="4" s="1" a="1"/>
  <c r="F396" i="4" s="1"/>
  <c r="J188" i="5" a="1"/>
  <c r="J188" i="5" s="1"/>
  <c r="F188" i="5" s="1" a="1"/>
  <c r="F188" i="5" s="1"/>
  <c r="K600" i="2" s="1" a="1"/>
  <c r="K600" i="2" s="1"/>
  <c r="J404" i="4" a="1"/>
  <c r="J404" i="4" s="1"/>
  <c r="F404" i="4" s="1" a="1"/>
  <c r="F404" i="4" s="1"/>
  <c r="J159" i="6" a="1"/>
  <c r="J159" i="6" s="1"/>
  <c r="F159" i="6" s="1" a="1"/>
  <c r="F159" i="6" s="1"/>
  <c r="K566" i="2" s="1" a="1"/>
  <c r="K566" i="2" s="1"/>
  <c r="J16" i="5" a="1"/>
  <c r="J16" i="5" s="1"/>
  <c r="F16" i="5" s="1" a="1"/>
  <c r="F16" i="5" s="1"/>
  <c r="K46" i="2" s="1" a="1"/>
  <c r="K46" i="2" s="1"/>
  <c r="J30" i="5" a="1"/>
  <c r="J30" i="5" s="1"/>
  <c r="F30" i="5" s="1" a="1"/>
  <c r="F30" i="5" s="1"/>
  <c r="K94" i="2" s="1" a="1"/>
  <c r="K94" i="2" s="1"/>
  <c r="F177" i="7" a="1"/>
  <c r="F177" i="7" s="1"/>
  <c r="K591" i="2" s="1" a="1"/>
  <c r="K591" i="2" s="1"/>
  <c r="J74" i="6" a="1"/>
  <c r="J74" i="6" s="1"/>
  <c r="F74" i="6" s="1" a="1"/>
  <c r="F74" i="6" s="1"/>
  <c r="F147" i="8" a="1"/>
  <c r="F147" i="8" s="1"/>
  <c r="K351" i="2" s="1" a="1"/>
  <c r="K351" i="2" s="1"/>
  <c r="J44" i="5" a="1"/>
  <c r="J44" i="5" s="1"/>
  <c r="F53" i="8" a="1"/>
  <c r="F53" i="8" s="1"/>
  <c r="K161" i="2" s="1" a="1"/>
  <c r="K161" i="2" s="1"/>
  <c r="F85" i="5" a="1"/>
  <c r="F85" i="5" s="1"/>
  <c r="J71" i="5" a="1"/>
  <c r="J71" i="5" s="1"/>
  <c r="F71" i="5" s="1" a="1"/>
  <c r="F71" i="5" s="1"/>
  <c r="J250" i="4" a="1"/>
  <c r="J250" i="4" s="1"/>
  <c r="F250" i="4" s="1" a="1"/>
  <c r="F250" i="4" s="1"/>
  <c r="J3" i="7" a="1"/>
  <c r="J3" i="7" s="1"/>
  <c r="J54" i="4" a="1"/>
  <c r="J54" i="4" s="1"/>
  <c r="F54" i="4" s="1" a="1"/>
  <c r="F54" i="4" s="1"/>
  <c r="J65" i="5" a="1"/>
  <c r="J65" i="5" s="1"/>
  <c r="F65" i="5" s="1" a="1"/>
  <c r="F65" i="5" s="1"/>
  <c r="K235" i="2" s="1" a="1"/>
  <c r="K235" i="2" s="1"/>
  <c r="J192" i="6" a="1"/>
  <c r="J192" i="6" s="1"/>
  <c r="F192" i="6" s="1" a="1"/>
  <c r="F192" i="6" s="1"/>
  <c r="K640" i="2" s="1" a="1"/>
  <c r="K640" i="2" s="1"/>
  <c r="J146" i="7" a="1"/>
  <c r="J146" i="7" s="1"/>
  <c r="F146" i="7" s="1" a="1"/>
  <c r="F146" i="7" s="1"/>
  <c r="K509" i="2" s="1" a="1"/>
  <c r="K509" i="2" s="1"/>
  <c r="F188" i="6" a="1"/>
  <c r="F188" i="6" s="1"/>
  <c r="K630" i="2" s="1" a="1"/>
  <c r="K630" i="2" s="1"/>
  <c r="F79" i="8" a="1"/>
  <c r="F79" i="8" s="1"/>
  <c r="K221" i="2" s="1" a="1"/>
  <c r="K221" i="2" s="1"/>
  <c r="J39" i="6" a="1"/>
  <c r="J39" i="6" s="1"/>
  <c r="F39" i="6" s="1" a="1"/>
  <c r="F39" i="6" s="1"/>
  <c r="J123" i="6" a="1"/>
  <c r="J123" i="6" s="1"/>
  <c r="F123" i="6" s="1" a="1"/>
  <c r="F123" i="6" s="1"/>
  <c r="F200" i="8" a="1"/>
  <c r="F200" i="8" s="1"/>
  <c r="K495" i="2" s="1" a="1"/>
  <c r="K495" i="2" s="1"/>
  <c r="F13" i="8" a="1"/>
  <c r="F13" i="8" s="1"/>
  <c r="K30" i="2" s="1" a="1"/>
  <c r="K30" i="2" s="1"/>
  <c r="J203" i="6" a="1"/>
  <c r="J203" i="6" s="1"/>
  <c r="F203" i="6" s="1" a="1"/>
  <c r="F203" i="6" s="1"/>
  <c r="J194" i="4" a="1"/>
  <c r="J194" i="4" s="1"/>
  <c r="F194" i="4" s="1" a="1"/>
  <c r="F194" i="4" s="1"/>
  <c r="J6" i="7" a="1"/>
  <c r="J6" i="7" s="1"/>
  <c r="J201" i="5" a="1"/>
  <c r="J201" i="5" s="1"/>
  <c r="F201" i="5" s="1" a="1"/>
  <c r="F201" i="5" s="1"/>
  <c r="K639" i="2" s="1" a="1"/>
  <c r="K639" i="2" s="1"/>
  <c r="J37" i="7" a="1"/>
  <c r="J37" i="7" s="1"/>
  <c r="F37" i="7" s="1" a="1"/>
  <c r="F37" i="7" s="1"/>
  <c r="K129" i="2" s="1" a="1"/>
  <c r="K129" i="2" s="1"/>
  <c r="J340" i="4" a="1"/>
  <c r="J340" i="4" s="1"/>
  <c r="F340" i="4" s="1" a="1"/>
  <c r="F340" i="4" s="1"/>
  <c r="J378" i="4" a="1"/>
  <c r="J378" i="4" s="1"/>
  <c r="F378" i="4" s="1" a="1"/>
  <c r="F378" i="4" s="1"/>
  <c r="J79" i="6" a="1"/>
  <c r="J79" i="6" s="1"/>
  <c r="F79" i="6" s="1" a="1"/>
  <c r="F79" i="6" s="1"/>
  <c r="J322" i="4" a="1"/>
  <c r="J322" i="4" s="1"/>
  <c r="F322" i="4" s="1" a="1"/>
  <c r="F322" i="4" s="1"/>
  <c r="J370" i="4" a="1"/>
  <c r="J370" i="4" s="1"/>
  <c r="F370" i="4" s="1" a="1"/>
  <c r="F370" i="4" s="1"/>
  <c r="F177" i="5" a="1"/>
  <c r="F177" i="5" s="1"/>
  <c r="J82" i="4" a="1"/>
  <c r="J82" i="4" s="1"/>
  <c r="F82" i="4" s="1" a="1"/>
  <c r="F82" i="4" s="1"/>
  <c r="F72" i="7" a="1"/>
  <c r="F72" i="7" s="1"/>
  <c r="K231" i="2" s="1" a="1"/>
  <c r="K231" i="2" s="1"/>
  <c r="J90" i="4" a="1"/>
  <c r="J90" i="4" s="1"/>
  <c r="F90" i="4" s="1" a="1"/>
  <c r="F90" i="4" s="1"/>
  <c r="J34" i="9" a="1"/>
  <c r="J34" i="9" s="1"/>
  <c r="F58" i="5" a="1"/>
  <c r="F58" i="5" s="1"/>
  <c r="J235" i="4" a="1"/>
  <c r="J235" i="4" s="1"/>
  <c r="F235" i="4" s="1" a="1"/>
  <c r="F235" i="4" s="1"/>
  <c r="F93" i="4" a="1"/>
  <c r="F93" i="4" s="1"/>
  <c r="J207" i="4" a="1"/>
  <c r="J207" i="4" s="1"/>
  <c r="F207" i="4" s="1" a="1"/>
  <c r="F207" i="4" s="1"/>
  <c r="J203" i="7" a="1"/>
  <c r="J203" i="7" s="1"/>
  <c r="F203" i="7" s="1" a="1"/>
  <c r="F203" i="7" s="1"/>
  <c r="K657" i="2" s="1" a="1"/>
  <c r="K657" i="2" s="1"/>
  <c r="J152" i="5" a="1"/>
  <c r="J152" i="5" s="1"/>
  <c r="F152" i="5" s="1" a="1"/>
  <c r="F152" i="5" s="1"/>
  <c r="K531" i="2" s="1" a="1"/>
  <c r="K531" i="2" s="1"/>
  <c r="J283" i="4" a="1"/>
  <c r="J283" i="4" s="1"/>
  <c r="J356" i="4" a="1"/>
  <c r="J356" i="4" s="1"/>
  <c r="F356" i="4" s="1" a="1"/>
  <c r="F356" i="4" s="1"/>
  <c r="J156" i="5" a="1"/>
  <c r="J156" i="5" s="1"/>
  <c r="F156" i="5" s="1" a="1"/>
  <c r="F156" i="5" s="1"/>
  <c r="F176" i="6" a="1"/>
  <c r="F176" i="6" s="1"/>
  <c r="J183" i="5" a="1"/>
  <c r="J183" i="5" s="1"/>
  <c r="F183" i="5" s="1" a="1"/>
  <c r="F183" i="5" s="1"/>
  <c r="K595" i="2" s="1" a="1"/>
  <c r="K595" i="2" s="1"/>
  <c r="J89" i="6" a="1"/>
  <c r="J89" i="6" s="1"/>
  <c r="F89" i="6" s="1" a="1"/>
  <c r="F89" i="6" s="1"/>
  <c r="K386" i="2" s="1" a="1"/>
  <c r="K386" i="2" s="1"/>
  <c r="J144" i="7" a="1"/>
  <c r="J144" i="7" s="1"/>
  <c r="F144" i="7" s="1" a="1"/>
  <c r="F144" i="7" s="1"/>
  <c r="K497" i="2" s="1" a="1"/>
  <c r="K497" i="2" s="1"/>
  <c r="J327" i="4" a="1"/>
  <c r="J327" i="4" s="1"/>
  <c r="F327" i="4" s="1" a="1"/>
  <c r="F327" i="4" s="1"/>
  <c r="J115" i="4" a="1"/>
  <c r="J115" i="4" s="1"/>
  <c r="F115" i="4" s="1" a="1"/>
  <c r="F115" i="4" s="1"/>
  <c r="J162" i="5" a="1"/>
  <c r="J162" i="5" s="1"/>
  <c r="F162" i="5" s="1" a="1"/>
  <c r="F162" i="5" s="1"/>
  <c r="F114" i="7" a="1"/>
  <c r="F114" i="7" s="1"/>
  <c r="K417" i="2" s="1" a="1"/>
  <c r="K417" i="2" s="1"/>
  <c r="F13" i="7" a="1"/>
  <c r="F13" i="7" s="1"/>
  <c r="K42" i="2" s="1" a="1"/>
  <c r="K42" i="2" s="1"/>
  <c r="J24" i="4" a="1"/>
  <c r="J24" i="4" s="1"/>
  <c r="F24" i="4" s="1" a="1"/>
  <c r="F24" i="4" s="1"/>
  <c r="J180" i="7" a="1"/>
  <c r="J180" i="7" s="1"/>
  <c r="F180" i="7" s="1" a="1"/>
  <c r="F180" i="7" s="1"/>
  <c r="K594" i="2" s="1" a="1"/>
  <c r="K594" i="2" s="1"/>
  <c r="J40" i="5" a="1"/>
  <c r="J40" i="5" s="1"/>
  <c r="F40" i="5" s="1" a="1"/>
  <c r="F40" i="5" s="1"/>
  <c r="J398" i="4" a="1"/>
  <c r="J398" i="4" s="1"/>
  <c r="F398" i="4" s="1" a="1"/>
  <c r="F398" i="4" s="1"/>
  <c r="J176" i="4" a="1"/>
  <c r="J176" i="4" s="1"/>
  <c r="F176" i="4" s="1" a="1"/>
  <c r="F176" i="4" s="1"/>
  <c r="J141" i="4" a="1"/>
  <c r="J141" i="4" s="1"/>
  <c r="F141" i="4" s="1" a="1"/>
  <c r="F141" i="4" s="1"/>
  <c r="J334" i="4" a="1"/>
  <c r="J334" i="4" s="1"/>
  <c r="J34" i="7" a="1"/>
  <c r="J34" i="7" s="1"/>
  <c r="F34" i="7" s="1" a="1"/>
  <c r="F34" i="7" s="1"/>
  <c r="K121" i="2" s="1" a="1"/>
  <c r="K121" i="2" s="1"/>
  <c r="J4" i="4" a="1"/>
  <c r="J4" i="4" s="1"/>
  <c r="F4" i="4" s="1" a="1"/>
  <c r="F4" i="4" s="1"/>
  <c r="F9" i="6" a="1"/>
  <c r="F9" i="6" s="1"/>
  <c r="F78" i="5" a="1"/>
  <c r="F78" i="5" s="1"/>
  <c r="J159" i="5" a="1"/>
  <c r="J159" i="5" s="1"/>
  <c r="F159" i="5" s="1" a="1"/>
  <c r="F159" i="5" s="1"/>
  <c r="K536" i="2" s="1" a="1"/>
  <c r="K536" i="2" s="1"/>
  <c r="F141" i="5" a="1"/>
  <c r="F141" i="5" s="1"/>
  <c r="K513" i="2" s="1" a="1"/>
  <c r="K513" i="2" s="1"/>
  <c r="F68" i="5" a="1"/>
  <c r="F68" i="5" s="1"/>
  <c r="K261" i="2" s="1" a="1"/>
  <c r="K261" i="2" s="1"/>
  <c r="J400" i="4" a="1"/>
  <c r="J400" i="4" s="1"/>
  <c r="F400" i="4" s="1" a="1"/>
  <c r="F400" i="4" s="1"/>
  <c r="J145" i="7" a="1"/>
  <c r="J145" i="7" s="1"/>
  <c r="F145" i="7" s="1" a="1"/>
  <c r="F145" i="7" s="1"/>
  <c r="K502" i="2" s="1" a="1"/>
  <c r="K502" i="2" s="1"/>
  <c r="J42" i="9" a="1"/>
  <c r="J42" i="9" s="1"/>
  <c r="F120" i="7" a="1"/>
  <c r="F120" i="7" s="1"/>
  <c r="K443" i="2" s="1" a="1"/>
  <c r="K443" i="2" s="1"/>
  <c r="F164" i="6" a="1"/>
  <c r="F164" i="6" s="1"/>
  <c r="K577" i="2" s="1" a="1"/>
  <c r="K577" i="2" s="1"/>
  <c r="J338" i="4" a="1"/>
  <c r="J338" i="4" s="1"/>
  <c r="F338" i="4" s="1" a="1"/>
  <c r="F338" i="4" s="1"/>
  <c r="J20" i="4" a="1"/>
  <c r="J20" i="4" s="1"/>
  <c r="F20" i="4" s="1" a="1"/>
  <c r="F20" i="4" s="1"/>
  <c r="J144" i="5" a="1"/>
  <c r="J144" i="5" s="1"/>
  <c r="F144" i="5" s="1" a="1"/>
  <c r="F144" i="5" s="1"/>
  <c r="J97" i="7" a="1"/>
  <c r="J97" i="7" s="1"/>
  <c r="F97" i="7" s="1" a="1"/>
  <c r="F97" i="7" s="1"/>
  <c r="K364" i="2" s="1" a="1"/>
  <c r="K364" i="2" s="1"/>
  <c r="J88" i="4" a="1"/>
  <c r="J88" i="4" s="1"/>
  <c r="F88" i="4" s="1" a="1"/>
  <c r="F88" i="4" s="1"/>
  <c r="J29" i="6" a="1"/>
  <c r="J29" i="6" s="1"/>
  <c r="F29" i="6" s="1" a="1"/>
  <c r="F29" i="6" s="1"/>
  <c r="J152" i="4" a="1"/>
  <c r="J152" i="4" s="1"/>
  <c r="F152" i="4" s="1" a="1"/>
  <c r="F152" i="4" s="1"/>
  <c r="F198" i="4" a="1"/>
  <c r="F198" i="4" s="1"/>
  <c r="F24" i="7" a="1"/>
  <c r="F24" i="7" s="1"/>
  <c r="K79" i="2" s="1" a="1"/>
  <c r="K79" i="2" s="1"/>
  <c r="J292" i="4" a="1"/>
  <c r="J292" i="4" s="1"/>
  <c r="F292" i="4" s="1" a="1"/>
  <c r="F292" i="4" s="1"/>
  <c r="F16" i="6" a="1"/>
  <c r="F16" i="6" s="1"/>
  <c r="J134" i="7" a="1"/>
  <c r="J134" i="7" s="1"/>
  <c r="F134" i="7" s="1" a="1"/>
  <c r="F134" i="7" s="1"/>
  <c r="K473" i="2" s="1" a="1"/>
  <c r="K473" i="2" s="1"/>
  <c r="J98" i="5" a="1"/>
  <c r="J98" i="5" s="1"/>
  <c r="F98" i="5" s="1" a="1"/>
  <c r="F98" i="5" s="1"/>
  <c r="K391" i="2" s="1" a="1"/>
  <c r="K391" i="2" s="1"/>
  <c r="F294" i="4" a="1"/>
  <c r="F294" i="4" s="1"/>
  <c r="J286" i="4" a="1"/>
  <c r="J286" i="4" s="1"/>
  <c r="F286" i="4" s="1" a="1"/>
  <c r="F286" i="4" s="1"/>
  <c r="F64" i="5" a="1"/>
  <c r="F64" i="5" s="1"/>
  <c r="J296" i="4" a="1"/>
  <c r="J296" i="4" s="1"/>
  <c r="F296" i="4" s="1" a="1"/>
  <c r="F296" i="4" s="1"/>
  <c r="F307" i="4" a="1"/>
  <c r="F307" i="4" s="1"/>
  <c r="J90" i="6" a="1"/>
  <c r="J90" i="6" s="1"/>
  <c r="F90" i="6" s="1" a="1"/>
  <c r="F90" i="6" s="1"/>
  <c r="J189" i="5" a="1"/>
  <c r="J189" i="5" s="1"/>
  <c r="F189" i="5" s="1" a="1"/>
  <c r="F189" i="5" s="1"/>
  <c r="K607" i="2" s="1" a="1"/>
  <c r="K607" i="2" s="1"/>
  <c r="J188" i="4" a="1"/>
  <c r="J188" i="4" s="1"/>
  <c r="F188" i="4" s="1" a="1"/>
  <c r="F188" i="4" s="1"/>
  <c r="J274" i="4" a="1"/>
  <c r="J274" i="4" s="1"/>
  <c r="F274" i="4" s="1" a="1"/>
  <c r="F274" i="4" s="1"/>
  <c r="J277" i="4" a="1"/>
  <c r="J277" i="4" s="1"/>
  <c r="F277" i="4" s="1" a="1"/>
  <c r="F277" i="4" s="1"/>
  <c r="J246" i="4" a="1"/>
  <c r="J246" i="4" s="1"/>
  <c r="F246" i="4" s="1" a="1"/>
  <c r="F246" i="4" s="1"/>
  <c r="J180" i="4" a="1"/>
  <c r="J180" i="4" s="1"/>
  <c r="F180" i="4" s="1" a="1"/>
  <c r="F180" i="4" s="1"/>
  <c r="J187" i="4" a="1"/>
  <c r="J187" i="4" s="1"/>
  <c r="F187" i="4" s="1" a="1"/>
  <c r="F187" i="4" s="1"/>
  <c r="J364" i="4" a="1"/>
  <c r="J364" i="4" s="1"/>
  <c r="F364" i="4" s="1" a="1"/>
  <c r="F364" i="4" s="1"/>
  <c r="F166" i="6" a="1"/>
  <c r="F166" i="6" s="1"/>
  <c r="K581" i="2" s="1" a="1"/>
  <c r="K581" i="2" s="1"/>
  <c r="J115" i="6" a="1"/>
  <c r="J115" i="6" s="1"/>
  <c r="F115" i="6" s="1" a="1"/>
  <c r="F115" i="6" s="1"/>
  <c r="F98" i="6" a="1"/>
  <c r="F98" i="6" s="1"/>
  <c r="F20" i="6" a="1"/>
  <c r="F20" i="6" s="1"/>
  <c r="F145" i="4" a="1"/>
  <c r="F145" i="4" s="1"/>
  <c r="J253" i="4" a="1"/>
  <c r="J253" i="4" s="1"/>
  <c r="F253" i="4" s="1" a="1"/>
  <c r="F253" i="4" s="1"/>
  <c r="J285" i="4" a="1"/>
  <c r="J285" i="4" s="1"/>
  <c r="F285" i="4" s="1" a="1"/>
  <c r="F285" i="4" s="1"/>
  <c r="J14" i="9" a="1"/>
  <c r="J14" i="9" s="1"/>
  <c r="J171" i="7" a="1"/>
  <c r="J171" i="7" s="1"/>
  <c r="F171" i="7" s="1" a="1"/>
  <c r="F171" i="7" s="1"/>
  <c r="K584" i="2" s="1" a="1"/>
  <c r="K584" i="2" s="1"/>
  <c r="J368" i="4" a="1"/>
  <c r="J368" i="4" s="1"/>
  <c r="F368" i="4" s="1" a="1"/>
  <c r="F368" i="4" s="1"/>
  <c r="J106" i="7" a="1"/>
  <c r="J106" i="7" s="1"/>
  <c r="F106" i="7" s="1" a="1"/>
  <c r="F106" i="7" s="1"/>
  <c r="K394" i="2" s="1" a="1"/>
  <c r="K394" i="2" s="1"/>
  <c r="J118" i="6" a="1"/>
  <c r="J118" i="6" s="1"/>
  <c r="F118" i="6" s="1" a="1"/>
  <c r="F118" i="6" s="1"/>
  <c r="F37" i="8" a="1"/>
  <c r="F37" i="8" s="1"/>
  <c r="K105" i="2" s="1" a="1"/>
  <c r="K105" i="2" s="1"/>
  <c r="J117" i="7" a="1"/>
  <c r="J117" i="7" s="1"/>
  <c r="F117" i="7" s="1" a="1"/>
  <c r="F117" i="7" s="1"/>
  <c r="K428" i="2" s="1" a="1"/>
  <c r="K428" i="2" s="1"/>
  <c r="F14" i="8" a="1"/>
  <c r="F14" i="8" s="1"/>
  <c r="K31" i="2" s="1" a="1"/>
  <c r="K31" i="2" s="1"/>
  <c r="J110" i="5" a="1"/>
  <c r="J110" i="5" s="1"/>
  <c r="F110" i="5" s="1" a="1"/>
  <c r="F110" i="5" s="1"/>
  <c r="F37" i="4" a="1"/>
  <c r="F37" i="4" s="1"/>
  <c r="J101" i="6" a="1"/>
  <c r="J101" i="6" s="1"/>
  <c r="F101" i="6" s="1" a="1"/>
  <c r="F101" i="6" s="1"/>
  <c r="K416" i="2" s="1" a="1"/>
  <c r="K416" i="2" s="1"/>
  <c r="J53" i="4" a="1"/>
  <c r="J53" i="4" s="1"/>
  <c r="F53" i="4" s="1" a="1"/>
  <c r="F53" i="4" s="1"/>
  <c r="J84" i="7" a="1"/>
  <c r="J84" i="7" s="1"/>
  <c r="F84" i="7" s="1" a="1"/>
  <c r="F84" i="7" s="1"/>
  <c r="K287" i="2" s="1" a="1"/>
  <c r="K287" i="2" s="1"/>
  <c r="J19" i="7" a="1"/>
  <c r="J19" i="7" s="1"/>
  <c r="F19" i="7" s="1" a="1"/>
  <c r="F19" i="7" s="1"/>
  <c r="K64" i="2" s="1" a="1"/>
  <c r="K64" i="2" s="1"/>
  <c r="J352" i="4" a="1"/>
  <c r="J352" i="4" s="1"/>
  <c r="J386" i="4" a="1"/>
  <c r="J386" i="4" s="1"/>
  <c r="F386" i="4" s="1" a="1"/>
  <c r="F386" i="4" s="1"/>
  <c r="J18" i="6" a="1"/>
  <c r="J18" i="6" s="1"/>
  <c r="F18" i="6" s="1" a="1"/>
  <c r="F18" i="6" s="1"/>
  <c r="J407" i="4" a="1"/>
  <c r="J407" i="4" s="1"/>
  <c r="F407" i="4" s="1" a="1"/>
  <c r="F407" i="4" s="1"/>
  <c r="J183" i="4" a="1"/>
  <c r="J183" i="4" s="1"/>
  <c r="F183" i="4" s="1" a="1"/>
  <c r="F183" i="4" s="1"/>
  <c r="J192" i="4" a="1"/>
  <c r="J192" i="4" s="1"/>
  <c r="F192" i="4" s="1" a="1"/>
  <c r="F192" i="4" s="1"/>
  <c r="F102" i="8" a="1"/>
  <c r="F102" i="8" s="1"/>
  <c r="K259" i="2" s="1" a="1"/>
  <c r="K259" i="2" s="1"/>
  <c r="F325" i="4" a="1"/>
  <c r="F325" i="4" s="1"/>
  <c r="J138" i="5" a="1"/>
  <c r="J138" i="5" s="1"/>
  <c r="F138" i="5" s="1" a="1"/>
  <c r="F138" i="5" s="1"/>
  <c r="K506" i="2" s="1" a="1"/>
  <c r="K506" i="2" s="1"/>
  <c r="F77" i="8" a="1"/>
  <c r="F77" i="8" s="1"/>
  <c r="K218" i="2" s="1" a="1"/>
  <c r="K218" i="2" s="1"/>
  <c r="J46" i="6" a="1"/>
  <c r="J46" i="6" s="1"/>
  <c r="F46" i="6" s="1" a="1"/>
  <c r="F46" i="6" s="1"/>
  <c r="J131" i="5" a="1"/>
  <c r="J131" i="5" s="1"/>
  <c r="F131" i="5" s="1" a="1"/>
  <c r="F131" i="5" s="1"/>
  <c r="J204" i="7" a="1"/>
  <c r="J204" i="7" s="1"/>
  <c r="F204" i="7" s="1" a="1"/>
  <c r="F204" i="7" s="1"/>
  <c r="K659" i="2" s="1" a="1"/>
  <c r="K659" i="2" s="1"/>
  <c r="J223" i="4" a="1"/>
  <c r="J223" i="4" s="1"/>
  <c r="J167" i="4" a="1"/>
  <c r="J167" i="4" s="1"/>
  <c r="F167" i="4" s="1" a="1"/>
  <c r="F167" i="4" s="1"/>
  <c r="J188" i="7" a="1"/>
  <c r="J188" i="7" s="1"/>
  <c r="F188" i="7" s="1" a="1"/>
  <c r="F188" i="7" s="1"/>
  <c r="K608" i="2" s="1" a="1"/>
  <c r="K608" i="2" s="1"/>
  <c r="J280" i="4" a="1"/>
  <c r="J280" i="4" s="1"/>
  <c r="F280" i="4" s="1" a="1"/>
  <c r="F280" i="4" s="1"/>
  <c r="F112" i="8" a="1"/>
  <c r="F112" i="8" s="1"/>
  <c r="K277" i="2" s="1" a="1"/>
  <c r="K277" i="2" s="1"/>
  <c r="F145" i="8" a="1"/>
  <c r="F145" i="8" s="1"/>
  <c r="K346" i="2" s="1" a="1"/>
  <c r="K346" i="2" s="1"/>
  <c r="F68" i="6" a="1"/>
  <c r="F68" i="6" s="1"/>
  <c r="K293" i="2" s="1" a="1"/>
  <c r="K293" i="2" s="1"/>
  <c r="F17" i="8" a="1"/>
  <c r="F17" i="8" s="1"/>
  <c r="J117" i="6" a="1"/>
  <c r="J117" i="6" s="1"/>
  <c r="F117" i="6" s="1" a="1"/>
  <c r="F117" i="6" s="1"/>
  <c r="K483" i="2" s="1" a="1"/>
  <c r="K483" i="2" s="1"/>
  <c r="J301" i="4" a="1"/>
  <c r="J301" i="4" s="1"/>
  <c r="F301" i="4" s="1" a="1"/>
  <c r="F301" i="4" s="1"/>
  <c r="J23" i="5" a="1"/>
  <c r="J23" i="5" s="1"/>
  <c r="F23" i="5" s="1" a="1"/>
  <c r="F23" i="5" s="1"/>
  <c r="J341" i="4" a="1"/>
  <c r="J341" i="4" s="1"/>
  <c r="J66" i="7" a="1"/>
  <c r="J66" i="7" s="1"/>
  <c r="F66" i="7" s="1" a="1"/>
  <c r="F66" i="7" s="1"/>
  <c r="K208" i="2" s="1" a="1"/>
  <c r="K208" i="2" s="1"/>
  <c r="L208" i="2" s="1" a="1"/>
  <c r="L208" i="2" s="1"/>
  <c r="J279" i="4" a="1"/>
  <c r="J279" i="4" s="1"/>
  <c r="F279" i="4" s="1" a="1"/>
  <c r="F279" i="4" s="1"/>
  <c r="J360" i="4" a="1"/>
  <c r="J360" i="4" s="1"/>
  <c r="F360" i="4" s="1" a="1"/>
  <c r="F360" i="4" s="1"/>
  <c r="J11" i="6" a="1"/>
  <c r="J11" i="6" s="1"/>
  <c r="F11" i="6" s="1" a="1"/>
  <c r="F11" i="6" s="1"/>
  <c r="J36" i="6" a="1"/>
  <c r="J36" i="6" s="1"/>
  <c r="F36" i="6" s="1" a="1"/>
  <c r="F36" i="6" s="1"/>
  <c r="F143" i="4" a="1"/>
  <c r="F143" i="4" s="1"/>
  <c r="F380" i="4" a="1"/>
  <c r="F380" i="4" s="1"/>
  <c r="F60" i="6" a="1"/>
  <c r="F60" i="6" s="1"/>
  <c r="J226" i="4" a="1"/>
  <c r="J226" i="4" s="1"/>
  <c r="F226" i="4" s="1" a="1"/>
  <c r="F226" i="4" s="1"/>
  <c r="J143" i="4" a="1"/>
  <c r="J143" i="4" s="1"/>
  <c r="J28" i="5" a="1"/>
  <c r="J28" i="5" s="1"/>
  <c r="F28" i="5" s="1" a="1"/>
  <c r="F28" i="5" s="1"/>
  <c r="K88" i="2" s="1" a="1"/>
  <c r="K88" i="2" s="1"/>
  <c r="J291" i="4" a="1"/>
  <c r="J291" i="4" s="1"/>
  <c r="F291" i="4" s="1" a="1"/>
  <c r="F291" i="4" s="1"/>
  <c r="J3" i="6" a="1"/>
  <c r="J3" i="6" s="1"/>
  <c r="F3" i="6" s="1" a="1"/>
  <c r="F3" i="6" s="1"/>
  <c r="J54" i="5" a="1"/>
  <c r="J54" i="5" s="1"/>
  <c r="F54" i="5" s="1" a="1"/>
  <c r="F54" i="5" s="1"/>
  <c r="F157" i="7" a="1"/>
  <c r="F157" i="7" s="1"/>
  <c r="K550" i="2" s="1" a="1"/>
  <c r="K550" i="2" s="1"/>
  <c r="F162" i="8" a="1"/>
  <c r="F162" i="8" s="1"/>
  <c r="K382" i="2" s="1" a="1"/>
  <c r="K382" i="2" s="1"/>
  <c r="F93" i="8" a="1"/>
  <c r="F93" i="8" s="1"/>
  <c r="K248" i="2" s="1" a="1"/>
  <c r="K248" i="2" s="1"/>
  <c r="F97" i="8" a="1"/>
  <c r="F97" i="8" s="1"/>
  <c r="K253" i="2" s="1" a="1"/>
  <c r="K253" i="2" s="1"/>
  <c r="J134" i="6" a="1"/>
  <c r="J134" i="6" s="1"/>
  <c r="F134" i="6" s="1" a="1"/>
  <c r="F134" i="6" s="1"/>
  <c r="K515" i="2" s="1" a="1"/>
  <c r="K515" i="2" s="1"/>
  <c r="F104" i="6" a="1"/>
  <c r="F104" i="6" s="1"/>
  <c r="J305" i="4" a="1"/>
  <c r="J305" i="4" s="1"/>
  <c r="F305" i="4" s="1" a="1"/>
  <c r="F305" i="4" s="1"/>
  <c r="J61" i="6" a="1"/>
  <c r="J61" i="6" s="1"/>
  <c r="F61" i="6" s="1" a="1"/>
  <c r="F61" i="6" s="1"/>
  <c r="K241" i="2" s="1" a="1"/>
  <c r="K241" i="2" s="1"/>
  <c r="J74" i="5" a="1"/>
  <c r="J74" i="5" s="1"/>
  <c r="F74" i="5" s="1" a="1"/>
  <c r="F74" i="5" s="1"/>
  <c r="J4" i="5" a="1"/>
  <c r="J4" i="5" s="1"/>
  <c r="F4" i="5" s="1" a="1"/>
  <c r="F4" i="5" s="1"/>
  <c r="K3" i="2" s="1" a="1"/>
  <c r="K3" i="2" s="1"/>
  <c r="J42" i="6" a="1"/>
  <c r="J42" i="6" s="1"/>
  <c r="F42" i="6" s="1" a="1"/>
  <c r="F42" i="6" s="1"/>
  <c r="J167" i="7" a="1"/>
  <c r="J167" i="7" s="1"/>
  <c r="F167" i="7" s="1" a="1"/>
  <c r="F167" i="7" s="1"/>
  <c r="K571" i="2" s="1" a="1"/>
  <c r="K571" i="2" s="1"/>
  <c r="L35" i="2" a="1"/>
  <c r="L35" i="2" s="1"/>
  <c r="L225" i="2" a="1"/>
  <c r="L225" i="2" s="1"/>
  <c r="F261" i="4" a="1"/>
  <c r="F261" i="4" s="1"/>
  <c r="J240" i="4" a="1"/>
  <c r="J240" i="4" s="1"/>
  <c r="F240" i="4" s="1" a="1"/>
  <c r="F240" i="4" s="1"/>
  <c r="F128" i="5" a="1"/>
  <c r="F128" i="5" s="1"/>
  <c r="J48" i="6" a="1"/>
  <c r="J48" i="6" s="1"/>
  <c r="F48" i="6" s="1" a="1"/>
  <c r="F48" i="6" s="1"/>
  <c r="K193" i="2" s="1" a="1"/>
  <c r="K193" i="2" s="1"/>
  <c r="J88" i="6" a="1"/>
  <c r="J88" i="6" s="1"/>
  <c r="F88" i="6" s="1" a="1"/>
  <c r="F88" i="6" s="1"/>
  <c r="J207" i="5" a="1"/>
  <c r="J207" i="5" s="1"/>
  <c r="F207" i="5" s="1" a="1"/>
  <c r="F207" i="5" s="1"/>
  <c r="K653" i="2" s="1" a="1"/>
  <c r="K653" i="2" s="1"/>
  <c r="J143" i="7" a="1"/>
  <c r="J143" i="7" s="1"/>
  <c r="F143" i="7" s="1" a="1"/>
  <c r="F143" i="7" s="1"/>
  <c r="K496" i="2" s="1" a="1"/>
  <c r="K496" i="2" s="1"/>
  <c r="J299" i="4" a="1"/>
  <c r="J299" i="4" s="1"/>
  <c r="F299" i="4" s="1" a="1"/>
  <c r="F299" i="4" s="1"/>
  <c r="J125" i="6" a="1"/>
  <c r="J125" i="6" s="1"/>
  <c r="F125" i="6" s="1" a="1"/>
  <c r="F125" i="6" s="1"/>
  <c r="J121" i="4" a="1"/>
  <c r="J121" i="4" s="1"/>
  <c r="F121" i="4" s="1" a="1"/>
  <c r="F121" i="4" s="1"/>
  <c r="J153" i="4" a="1"/>
  <c r="J153" i="4" s="1"/>
  <c r="F153" i="4" s="1" a="1"/>
  <c r="F153" i="4" s="1"/>
  <c r="J177" i="6" a="1"/>
  <c r="J177" i="6" s="1"/>
  <c r="F177" i="6" s="1" a="1"/>
  <c r="F177" i="6" s="1"/>
  <c r="K613" i="2" s="1" a="1"/>
  <c r="K613" i="2" s="1"/>
  <c r="J201" i="7" a="1"/>
  <c r="J201" i="7" s="1"/>
  <c r="F201" i="7" s="1" a="1"/>
  <c r="F201" i="7" s="1"/>
  <c r="K652" i="2" s="1" a="1"/>
  <c r="K652" i="2" s="1"/>
  <c r="J358" i="4" a="1"/>
  <c r="J358" i="4" s="1"/>
  <c r="F358" i="4" s="1" a="1"/>
  <c r="F358" i="4" s="1"/>
  <c r="J206" i="7" a="1"/>
  <c r="J206" i="7" s="1"/>
  <c r="F206" i="7" s="1" a="1"/>
  <c r="F206" i="7" s="1"/>
  <c r="K662" i="2" s="1" a="1"/>
  <c r="K662" i="2" s="1"/>
  <c r="J68" i="4" a="1"/>
  <c r="J68" i="4" s="1"/>
  <c r="F68" i="4" s="1" a="1"/>
  <c r="F68" i="4" s="1"/>
  <c r="J273" i="4" a="1"/>
  <c r="J273" i="4" s="1"/>
  <c r="F273" i="4" s="1" a="1"/>
  <c r="F273" i="4" s="1"/>
  <c r="J22" i="7" a="1"/>
  <c r="J22" i="7" s="1"/>
  <c r="F22" i="7" s="1" a="1"/>
  <c r="F22" i="7" s="1"/>
  <c r="K71" i="2" s="1" a="1"/>
  <c r="K71" i="2" s="1"/>
  <c r="J6" i="5" a="1"/>
  <c r="J6" i="5" s="1"/>
  <c r="F6" i="5" s="1" a="1"/>
  <c r="F6" i="5" s="1"/>
  <c r="J229" i="4" a="1"/>
  <c r="J229" i="4" s="1"/>
  <c r="F229" i="4" s="1" a="1"/>
  <c r="F229" i="4" s="1"/>
  <c r="F352" i="4" a="1"/>
  <c r="F352" i="4" s="1"/>
  <c r="F74" i="4" a="1"/>
  <c r="F74" i="4" s="1"/>
  <c r="F164" i="8" a="1"/>
  <c r="F164" i="8" s="1"/>
  <c r="K387" i="2" s="1" a="1"/>
  <c r="K387" i="2" s="1"/>
  <c r="J33" i="4" a="1"/>
  <c r="J33" i="4" s="1"/>
  <c r="F33" i="4" s="1" a="1"/>
  <c r="F33" i="4" s="1"/>
  <c r="J201" i="6" a="1"/>
  <c r="J201" i="6" s="1"/>
  <c r="F201" i="6" s="1" a="1"/>
  <c r="F201" i="6" s="1"/>
  <c r="K654" i="2" s="1" a="1"/>
  <c r="K654" i="2" s="1"/>
  <c r="J136" i="4" a="1"/>
  <c r="J136" i="4" s="1"/>
  <c r="F136" i="4" s="1" a="1"/>
  <c r="F136" i="4" s="1"/>
  <c r="J69" i="4" a="1"/>
  <c r="J69" i="4" s="1"/>
  <c r="F69" i="4" s="1" a="1"/>
  <c r="F69" i="4" s="1"/>
  <c r="J401" i="4" a="1"/>
  <c r="J401" i="4" s="1"/>
  <c r="F401" i="4" s="1" a="1"/>
  <c r="F401" i="4" s="1"/>
  <c r="F92" i="8" a="1"/>
  <c r="F92" i="8" s="1"/>
  <c r="K243" i="2" s="1" a="1"/>
  <c r="K243" i="2" s="1"/>
  <c r="F13" i="5" a="1"/>
  <c r="F13" i="5" s="1"/>
  <c r="F186" i="5" a="1"/>
  <c r="F186" i="5" s="1"/>
  <c r="K599" i="2" s="1" a="1"/>
  <c r="K599" i="2" s="1"/>
  <c r="F132" i="8" a="1"/>
  <c r="F132" i="8" s="1"/>
  <c r="K320" i="2" s="1" a="1"/>
  <c r="K320" i="2" s="1"/>
  <c r="J127" i="6" a="1"/>
  <c r="J127" i="6" s="1"/>
  <c r="F127" i="6" s="1" a="1"/>
  <c r="F127" i="6" s="1"/>
  <c r="F119" i="8" a="1"/>
  <c r="F119" i="8" s="1"/>
  <c r="K292" i="2" s="1" a="1"/>
  <c r="K292" i="2" s="1"/>
  <c r="F135" i="6" a="1"/>
  <c r="F135" i="6" s="1"/>
  <c r="K516" i="2" s="1" a="1"/>
  <c r="K516" i="2" s="1"/>
  <c r="J169" i="7" a="1"/>
  <c r="J169" i="7" s="1"/>
  <c r="F169" i="7" s="1" a="1"/>
  <c r="F169" i="7" s="1"/>
  <c r="K582" i="2" s="1" a="1"/>
  <c r="K582" i="2" s="1"/>
  <c r="J181" i="6" a="1"/>
  <c r="J181" i="6" s="1"/>
  <c r="F181" i="6" s="1" a="1"/>
  <c r="F181" i="6" s="1"/>
  <c r="K616" i="2" s="1" a="1"/>
  <c r="K616" i="2" s="1"/>
  <c r="F158" i="7" a="1"/>
  <c r="F158" i="7" s="1"/>
  <c r="K553" i="2" s="1" a="1"/>
  <c r="K553" i="2" s="1"/>
  <c r="F140" i="6" a="1"/>
  <c r="F140" i="6" s="1"/>
  <c r="J108" i="7" a="1"/>
  <c r="J108" i="7" s="1"/>
  <c r="F108" i="7" s="1" a="1"/>
  <c r="F108" i="7" s="1"/>
  <c r="K399" i="2" s="1" a="1"/>
  <c r="K399" i="2" s="1"/>
  <c r="J144" i="6" a="1"/>
  <c r="J144" i="6" s="1"/>
  <c r="F144" i="6" s="1" a="1"/>
  <c r="F144" i="6" s="1"/>
  <c r="K540" i="2" s="1" a="1"/>
  <c r="K540" i="2" s="1"/>
  <c r="J397" i="4" a="1"/>
  <c r="J397" i="4" s="1"/>
  <c r="F397" i="4" s="1" a="1"/>
  <c r="F397" i="4" s="1"/>
  <c r="J149" i="6" a="1"/>
  <c r="J149" i="6" s="1"/>
  <c r="F149" i="6" s="1" a="1"/>
  <c r="F149" i="6" s="1"/>
  <c r="K552" i="2" s="1" a="1"/>
  <c r="K552" i="2" s="1"/>
  <c r="J126" i="5" a="1"/>
  <c r="J126" i="5" s="1"/>
  <c r="F126" i="5" s="1" a="1"/>
  <c r="F126" i="5" s="1"/>
  <c r="F194" i="7" a="1"/>
  <c r="F194" i="7" s="1"/>
  <c r="K631" i="2" s="1" a="1"/>
  <c r="K631" i="2" s="1"/>
  <c r="J13" i="6" a="1"/>
  <c r="J13" i="6" s="1"/>
  <c r="F13" i="6" s="1" a="1"/>
  <c r="F13" i="6" s="1"/>
  <c r="F334" i="4" a="1"/>
  <c r="F334" i="4" s="1"/>
  <c r="J215" i="4" a="1"/>
  <c r="J215" i="4" s="1"/>
  <c r="F215" i="4" s="1" a="1"/>
  <c r="F215" i="4" s="1"/>
  <c r="J83" i="5" a="1"/>
  <c r="J83" i="5" s="1"/>
  <c r="F83" i="5" s="1" a="1"/>
  <c r="F83" i="5" s="1"/>
  <c r="K315" i="2" s="1" a="1"/>
  <c r="K315" i="2" s="1"/>
  <c r="J406" i="4" a="1"/>
  <c r="J406" i="4" s="1"/>
  <c r="F406" i="4" s="1" a="1"/>
  <c r="F406" i="4" s="1"/>
  <c r="J224" i="4" a="1"/>
  <c r="J224" i="4" s="1"/>
  <c r="F224" i="4" s="1" a="1"/>
  <c r="F224" i="4" s="1"/>
  <c r="F158" i="4" a="1"/>
  <c r="F158" i="4" s="1"/>
  <c r="F330" i="4" a="1"/>
  <c r="F330" i="4" s="1"/>
  <c r="F100" i="5" a="1"/>
  <c r="F100" i="5" s="1"/>
  <c r="F111" i="7" a="1"/>
  <c r="F111" i="7" s="1"/>
  <c r="K404" i="2" s="1" a="1"/>
  <c r="K404" i="2" s="1"/>
  <c r="F193" i="5" a="1"/>
  <c r="F193" i="5" s="1"/>
  <c r="K617" i="2" s="1" a="1"/>
  <c r="K617" i="2" s="1"/>
  <c r="F23" i="6" a="1"/>
  <c r="F23" i="6" s="1"/>
  <c r="K95" i="2" s="1" a="1"/>
  <c r="K95" i="2" s="1"/>
  <c r="J66" i="5" a="1"/>
  <c r="J66" i="5" s="1"/>
  <c r="F66" i="5" s="1" a="1"/>
  <c r="F66" i="5" s="1"/>
  <c r="K239" i="2" s="1" a="1"/>
  <c r="K239" i="2" s="1"/>
  <c r="J76" i="6" a="1"/>
  <c r="J76" i="6" s="1"/>
  <c r="F76" i="6" s="1" a="1"/>
  <c r="F76" i="6" s="1"/>
  <c r="J191" i="5" a="1"/>
  <c r="J191" i="5" s="1"/>
  <c r="F191" i="5" s="1" a="1"/>
  <c r="F191" i="5" s="1"/>
  <c r="K612" i="2" s="1" a="1"/>
  <c r="K612" i="2" s="1"/>
  <c r="J237" i="4" a="1"/>
  <c r="J237" i="4" s="1"/>
  <c r="F237" i="4" s="1" a="1"/>
  <c r="F237" i="4" s="1"/>
  <c r="J135" i="7" a="1"/>
  <c r="J135" i="7" s="1"/>
  <c r="F135" i="7" s="1" a="1"/>
  <c r="F135" i="7" s="1"/>
  <c r="K475" i="2" s="1" a="1"/>
  <c r="K475" i="2" s="1"/>
  <c r="J48" i="5" a="1"/>
  <c r="J48" i="5" s="1"/>
  <c r="F48" i="5" s="1" a="1"/>
  <c r="F48" i="5" s="1"/>
  <c r="K141" i="2" s="1" a="1"/>
  <c r="K141" i="2" s="1"/>
  <c r="F122" i="5" a="1"/>
  <c r="F122" i="5" s="1"/>
  <c r="K469" i="2" s="1" a="1"/>
  <c r="K469" i="2" s="1"/>
  <c r="F160" i="6" a="1"/>
  <c r="F160" i="6" s="1"/>
  <c r="K570" i="2" s="1" a="1"/>
  <c r="K570" i="2" s="1"/>
  <c r="F33" i="8" a="1"/>
  <c r="F33" i="8" s="1"/>
  <c r="K92" i="2" s="1" a="1"/>
  <c r="K92" i="2" s="1"/>
  <c r="F85" i="4" a="1"/>
  <c r="F85" i="4" s="1"/>
  <c r="F84" i="6" a="1"/>
  <c r="F84" i="6" s="1"/>
  <c r="F56" i="8" a="1"/>
  <c r="F56" i="8" s="1"/>
  <c r="K164" i="2" s="1" a="1"/>
  <c r="K164" i="2" s="1"/>
  <c r="J200" i="6" a="1"/>
  <c r="J200" i="6" s="1"/>
  <c r="F200" i="6" s="1" a="1"/>
  <c r="F200" i="6" s="1"/>
  <c r="K651" i="2" s="1" a="1"/>
  <c r="K651" i="2" s="1"/>
  <c r="J152" i="7" a="1"/>
  <c r="J152" i="7" s="1"/>
  <c r="F152" i="7" s="1" a="1"/>
  <c r="F152" i="7" s="1"/>
  <c r="K539" i="2" s="1" a="1"/>
  <c r="K539" i="2" s="1"/>
  <c r="J281" i="4" a="1"/>
  <c r="J281" i="4" s="1"/>
  <c r="F281" i="4" s="1" a="1"/>
  <c r="F281" i="4" s="1"/>
  <c r="J209" i="4" a="1"/>
  <c r="J209" i="4" s="1"/>
  <c r="F209" i="4" s="1" a="1"/>
  <c r="F209" i="4" s="1"/>
  <c r="F38" i="5" a="1"/>
  <c r="F38" i="5" s="1"/>
  <c r="J25" i="6" a="1"/>
  <c r="J25" i="6" s="1"/>
  <c r="F25" i="6" s="1" a="1"/>
  <c r="F25" i="6" s="1"/>
  <c r="J32" i="5" a="1"/>
  <c r="J32" i="5" s="1"/>
  <c r="F32" i="5" s="1" a="1"/>
  <c r="F32" i="5" s="1"/>
  <c r="F283" i="4" a="1"/>
  <c r="F283" i="4" s="1"/>
  <c r="J5" i="9" a="1"/>
  <c r="J5" i="9" s="1"/>
  <c r="F110" i="6" a="1"/>
  <c r="F110" i="6" s="1"/>
  <c r="J363" i="4" a="1"/>
  <c r="J363" i="4" s="1"/>
  <c r="F363" i="4" s="1" a="1"/>
  <c r="F363" i="4" s="1"/>
  <c r="J36" i="5" a="1"/>
  <c r="J36" i="5" s="1"/>
  <c r="F36" i="5" s="1" a="1"/>
  <c r="F36" i="5" s="1"/>
  <c r="K110" i="2" s="1" a="1"/>
  <c r="K110" i="2" s="1"/>
  <c r="J29" i="5" a="1"/>
  <c r="J29" i="5" s="1"/>
  <c r="F29" i="5" s="1" a="1"/>
  <c r="F29" i="5" s="1"/>
  <c r="J85" i="7" a="1"/>
  <c r="J85" i="7" s="1"/>
  <c r="F85" i="7" s="1" a="1"/>
  <c r="F85" i="7" s="1"/>
  <c r="K290" i="2" s="1" a="1"/>
  <c r="K290" i="2" s="1"/>
  <c r="J323" i="4" a="1"/>
  <c r="J323" i="4" s="1"/>
  <c r="F323" i="4" s="1" a="1"/>
  <c r="F323" i="4" s="1"/>
  <c r="J234" i="4" a="1"/>
  <c r="J234" i="4" s="1"/>
  <c r="F234" i="4" s="1" a="1"/>
  <c r="F234" i="4" s="1"/>
  <c r="J56" i="5" a="1"/>
  <c r="J56" i="5" s="1"/>
  <c r="F56" i="5" s="1" a="1"/>
  <c r="F56" i="5" s="1"/>
  <c r="K185" i="2" s="1" a="1"/>
  <c r="K185" i="2" s="1"/>
  <c r="J178" i="5" a="1"/>
  <c r="J178" i="5" s="1"/>
  <c r="F178" i="5" s="1" a="1"/>
  <c r="F178" i="5" s="1"/>
  <c r="J7" i="5" a="1"/>
  <c r="J7" i="5" s="1"/>
  <c r="F7" i="5" s="1" a="1"/>
  <c r="F7" i="5" s="1"/>
  <c r="F6" i="7" a="1"/>
  <c r="F6" i="7" s="1"/>
  <c r="K18" i="2" s="1" a="1"/>
  <c r="K18" i="2" s="1"/>
  <c r="F312" i="4" a="1"/>
  <c r="F312" i="4" s="1"/>
  <c r="F169" i="8" a="1"/>
  <c r="F169" i="8" s="1"/>
  <c r="K397" i="2" s="1" a="1"/>
  <c r="K397" i="2" s="1"/>
  <c r="J27" i="9" a="1"/>
  <c r="J27" i="9" s="1"/>
  <c r="J131" i="7" a="1"/>
  <c r="J131" i="7" s="1"/>
  <c r="F131" i="7" s="1" a="1"/>
  <c r="F131" i="7" s="1"/>
  <c r="K468" i="2" s="1" a="1"/>
  <c r="K468" i="2" s="1"/>
  <c r="F5" i="7" a="1"/>
  <c r="F5" i="7" s="1"/>
  <c r="K17" i="2" s="1" a="1"/>
  <c r="K17" i="2" s="1"/>
  <c r="J187" i="7" a="1"/>
  <c r="J187" i="7" s="1"/>
  <c r="J168" i="6" a="1"/>
  <c r="J168" i="6" s="1"/>
  <c r="F168" i="6" s="1" a="1"/>
  <c r="F168" i="6" s="1"/>
  <c r="J107" i="7" a="1"/>
  <c r="J107" i="7" s="1"/>
  <c r="F107" i="7" s="1" a="1"/>
  <c r="F107" i="7" s="1"/>
  <c r="K396" i="2" s="1" a="1"/>
  <c r="K396" i="2" s="1"/>
  <c r="J49" i="6" a="1"/>
  <c r="J49" i="6" s="1"/>
  <c r="F49" i="6" s="1" a="1"/>
  <c r="F49" i="6" s="1"/>
  <c r="J46" i="4" a="1"/>
  <c r="J46" i="4" s="1"/>
  <c r="F46" i="4" s="1" a="1"/>
  <c r="F46" i="4" s="1"/>
  <c r="J9" i="7" a="1"/>
  <c r="J9" i="7" s="1"/>
  <c r="F9" i="7" s="1" a="1"/>
  <c r="F9" i="7" s="1"/>
  <c r="K32" i="2" s="1" a="1"/>
  <c r="K32" i="2" s="1"/>
  <c r="J42" i="7" a="1"/>
  <c r="J42" i="7" s="1"/>
  <c r="F42" i="7" s="1" a="1"/>
  <c r="F42" i="7" s="1"/>
  <c r="K138" i="2" s="1" a="1"/>
  <c r="K138" i="2" s="1"/>
  <c r="F116" i="6" a="1"/>
  <c r="F116" i="6" s="1"/>
  <c r="F6" i="6" a="1"/>
  <c r="F6" i="6" s="1"/>
  <c r="J355" i="4" a="1"/>
  <c r="J355" i="4" s="1"/>
  <c r="F355" i="4" s="1" a="1"/>
  <c r="F355" i="4" s="1"/>
  <c r="F144" i="4" a="1"/>
  <c r="F144" i="4" s="1"/>
  <c r="F107" i="4" a="1"/>
  <c r="F107" i="4" s="1"/>
  <c r="F198" i="8" a="1"/>
  <c r="F198" i="8" s="1"/>
  <c r="K486" i="2" s="1" a="1"/>
  <c r="K486" i="2" s="1"/>
  <c r="F103" i="6" a="1"/>
  <c r="F103" i="6" s="1"/>
  <c r="J178" i="4" a="1"/>
  <c r="J178" i="4" s="1"/>
  <c r="F178" i="4" s="1" a="1"/>
  <c r="F178" i="4" s="1"/>
  <c r="J47" i="6" a="1"/>
  <c r="J47" i="6" s="1"/>
  <c r="F47" i="6" s="1" a="1"/>
  <c r="F47" i="6" s="1"/>
  <c r="K187" i="2" s="1" a="1"/>
  <c r="K187" i="2" s="1"/>
  <c r="J17" i="6" a="1"/>
  <c r="J17" i="6" s="1"/>
  <c r="F17" i="6" s="1" a="1"/>
  <c r="F17" i="6" s="1"/>
  <c r="K62" i="2" s="1" a="1"/>
  <c r="K62" i="2" s="1"/>
  <c r="J71" i="6" a="1"/>
  <c r="J71" i="6" s="1"/>
  <c r="F71" i="6" s="1" a="1"/>
  <c r="F71" i="6" s="1"/>
  <c r="J127" i="5" a="1"/>
  <c r="J127" i="5" s="1"/>
  <c r="F127" i="5" s="1" a="1"/>
  <c r="F127" i="5" s="1"/>
  <c r="K488" i="2" s="1" a="1"/>
  <c r="K488" i="2" s="1"/>
  <c r="J51" i="5" a="1"/>
  <c r="J51" i="5" s="1"/>
  <c r="F51" i="5" s="1" a="1"/>
  <c r="F51" i="5" s="1"/>
  <c r="K160" i="2" s="1" a="1"/>
  <c r="K160" i="2" s="1"/>
  <c r="J399" i="4" a="1"/>
  <c r="J399" i="4" s="1"/>
  <c r="F399" i="4" s="1" a="1"/>
  <c r="F399" i="4" s="1"/>
  <c r="J318" i="4" a="1"/>
  <c r="J318" i="4" s="1"/>
  <c r="F318" i="4" s="1" a="1"/>
  <c r="F318" i="4" s="1"/>
  <c r="J208" i="4" a="1"/>
  <c r="J208" i="4" s="1"/>
  <c r="F208" i="4" s="1" a="1"/>
  <c r="F208" i="4" s="1"/>
  <c r="F223" i="4" a="1"/>
  <c r="F223" i="4" s="1"/>
  <c r="F150" i="7" a="1"/>
  <c r="F150" i="7" s="1"/>
  <c r="K524" i="2" s="1" a="1"/>
  <c r="K524" i="2" s="1"/>
  <c r="F74" i="8" a="1"/>
  <c r="F74" i="8" s="1"/>
  <c r="K211" i="2" s="1" a="1"/>
  <c r="K211" i="2" s="1"/>
  <c r="J137" i="6" a="1"/>
  <c r="J137" i="6" s="1"/>
  <c r="F137" i="6" s="1" a="1"/>
  <c r="F137" i="6" s="1"/>
  <c r="J104" i="5" a="1"/>
  <c r="J104" i="5" s="1"/>
  <c r="F104" i="5" s="1" a="1"/>
  <c r="F104" i="5" s="1"/>
  <c r="K413" i="2" s="1" a="1"/>
  <c r="K413" i="2" s="1"/>
  <c r="J118" i="7" a="1"/>
  <c r="J118" i="7" s="1"/>
  <c r="F118" i="7" s="1" a="1"/>
  <c r="F118" i="7" s="1"/>
  <c r="K439" i="2" s="1" a="1"/>
  <c r="K439" i="2" s="1"/>
  <c r="J81" i="7" a="1"/>
  <c r="J81" i="7" s="1"/>
  <c r="F81" i="7" s="1" a="1"/>
  <c r="F81" i="7" s="1"/>
  <c r="K278" i="2" s="1" a="1"/>
  <c r="K278" i="2" s="1"/>
  <c r="J157" i="5" a="1"/>
  <c r="J157" i="5" s="1"/>
  <c r="F157" i="5" s="1" a="1"/>
  <c r="F157" i="5" s="1"/>
  <c r="J319" i="4" a="1"/>
  <c r="J319" i="4" s="1"/>
  <c r="F319" i="4" s="1" a="1"/>
  <c r="F319" i="4" s="1"/>
  <c r="J35" i="4" a="1"/>
  <c r="J35" i="4" s="1"/>
  <c r="F35" i="4" s="1" a="1"/>
  <c r="F35" i="4" s="1"/>
  <c r="J139" i="7" a="1"/>
  <c r="J139" i="7" s="1"/>
  <c r="F139" i="7" s="1" a="1"/>
  <c r="F139" i="7" s="1"/>
  <c r="K484" i="2" s="1" a="1"/>
  <c r="K484" i="2" s="1"/>
  <c r="J359" i="4" a="1"/>
  <c r="J359" i="4" s="1"/>
  <c r="F359" i="4" s="1" a="1"/>
  <c r="F359" i="4" s="1"/>
  <c r="J342" i="4" a="1"/>
  <c r="J342" i="4" s="1"/>
  <c r="F342" i="4" s="1" a="1"/>
  <c r="F342" i="4" s="1"/>
  <c r="J70" i="4" a="1"/>
  <c r="J70" i="4" s="1"/>
  <c r="F70" i="4" s="1" a="1"/>
  <c r="F70" i="4" s="1"/>
  <c r="J112" i="7" a="1"/>
  <c r="J112" i="7" s="1"/>
  <c r="F112" i="7" s="1" a="1"/>
  <c r="F112" i="7" s="1"/>
  <c r="K406" i="2" s="1" a="1"/>
  <c r="K406" i="2" s="1"/>
  <c r="J178" i="6" a="1"/>
  <c r="J178" i="6" s="1"/>
  <c r="F178" i="6" s="1" a="1"/>
  <c r="F178" i="6" s="1"/>
  <c r="J143" i="6" a="1"/>
  <c r="J143" i="6" s="1"/>
  <c r="F143" i="6" s="1" a="1"/>
  <c r="F143" i="6" s="1"/>
  <c r="K538" i="2" s="1" a="1"/>
  <c r="K538" i="2" s="1"/>
  <c r="J298" i="4" a="1"/>
  <c r="J298" i="4" s="1"/>
  <c r="F298" i="4" s="1" a="1"/>
  <c r="F298" i="4" s="1"/>
  <c r="J31" i="4" a="1"/>
  <c r="J31" i="4" s="1"/>
  <c r="F31" i="4" s="1" a="1"/>
  <c r="F31" i="4" s="1"/>
  <c r="F154" i="6" a="1"/>
  <c r="F154" i="6" s="1"/>
  <c r="F168" i="8" a="1"/>
  <c r="F168" i="8" s="1"/>
  <c r="K395" i="2" s="1" a="1"/>
  <c r="K395" i="2" s="1"/>
  <c r="J79" i="4" a="1"/>
  <c r="J79" i="4" s="1"/>
  <c r="F79" i="4" s="1" a="1"/>
  <c r="F79" i="4" s="1"/>
  <c r="J232" i="4" a="1"/>
  <c r="J232" i="4" s="1"/>
  <c r="F232" i="4" s="1" a="1"/>
  <c r="F232" i="4" s="1"/>
  <c r="J59" i="4" a="1"/>
  <c r="J59" i="4" s="1"/>
  <c r="F59" i="4" s="1" a="1"/>
  <c r="F59" i="4" s="1"/>
  <c r="J69" i="5" a="1"/>
  <c r="J69" i="5" s="1"/>
  <c r="F69" i="5" s="1" a="1"/>
  <c r="F69" i="5" s="1"/>
  <c r="J32" i="4" a="1"/>
  <c r="J32" i="4" s="1"/>
  <c r="F32" i="4" s="1" a="1"/>
  <c r="F32" i="4" s="1"/>
  <c r="J139" i="6" a="1"/>
  <c r="J139" i="6" s="1"/>
  <c r="F139" i="6" s="1" a="1"/>
  <c r="F139" i="6" s="1"/>
  <c r="K522" i="2" s="1" a="1"/>
  <c r="K522" i="2" s="1"/>
  <c r="J217" i="4" a="1"/>
  <c r="J217" i="4" s="1"/>
  <c r="F217" i="4" s="1" a="1"/>
  <c r="F217" i="4" s="1"/>
  <c r="J122" i="4" a="1"/>
  <c r="J122" i="4" s="1"/>
  <c r="F122" i="4" s="1" a="1"/>
  <c r="F122" i="4" s="1"/>
  <c r="J146" i="6" a="1"/>
  <c r="J146" i="6" s="1"/>
  <c r="F146" i="6" s="1" a="1"/>
  <c r="F146" i="6" s="1"/>
  <c r="K544" i="2" s="1" a="1"/>
  <c r="K544" i="2" s="1"/>
  <c r="J118" i="5" a="1"/>
  <c r="J118" i="5" s="1"/>
  <c r="F118" i="5" s="1" a="1"/>
  <c r="F118" i="5" s="1"/>
  <c r="K455" i="2" s="1" a="1"/>
  <c r="K455" i="2" s="1"/>
  <c r="J25" i="4" a="1"/>
  <c r="J25" i="4" s="1"/>
  <c r="F25" i="4" s="1" a="1"/>
  <c r="F25" i="4" s="1"/>
  <c r="F116" i="4" a="1"/>
  <c r="F116" i="4" s="1"/>
  <c r="J59" i="6" a="1"/>
  <c r="J59" i="6" s="1"/>
  <c r="F59" i="6" s="1" a="1"/>
  <c r="F59" i="6" s="1"/>
  <c r="F132" i="6" a="1"/>
  <c r="F132" i="6" s="1"/>
  <c r="K512" i="2" s="1" a="1"/>
  <c r="K512" i="2" s="1"/>
  <c r="F341" i="4" a="1"/>
  <c r="F341" i="4" s="1"/>
  <c r="F72" i="8" a="1"/>
  <c r="F72" i="8" s="1"/>
  <c r="K203" i="2" s="1" a="1"/>
  <c r="K203" i="2" s="1"/>
  <c r="F196" i="8" a="1"/>
  <c r="F196" i="8" s="1"/>
  <c r="K480" i="2" s="1" a="1"/>
  <c r="K480" i="2" s="1"/>
  <c r="J40" i="9" a="1"/>
  <c r="J40" i="9" s="1"/>
  <c r="J61" i="5" a="1"/>
  <c r="J61" i="5" s="1"/>
  <c r="F61" i="5" s="1" a="1"/>
  <c r="F61" i="5" s="1"/>
  <c r="F339" i="4" a="1"/>
  <c r="F339" i="4" s="1"/>
  <c r="J165" i="7" a="1"/>
  <c r="J165" i="7" s="1"/>
  <c r="F165" i="7" s="1" a="1"/>
  <c r="F165" i="7" s="1"/>
  <c r="K567" i="2" s="1" a="1"/>
  <c r="K567" i="2" s="1"/>
  <c r="J103" i="7" a="1"/>
  <c r="J103" i="7" s="1"/>
  <c r="F103" i="7" s="1" a="1"/>
  <c r="F103" i="7" s="1"/>
  <c r="K374" i="2" s="1" a="1"/>
  <c r="K374" i="2" s="1"/>
  <c r="F163" i="6" a="1"/>
  <c r="F163" i="6" s="1"/>
  <c r="K575" i="2" s="1" a="1"/>
  <c r="K575" i="2" s="1"/>
  <c r="F3" i="7" a="1"/>
  <c r="F3" i="7" s="1"/>
  <c r="F151" i="5" a="1"/>
  <c r="F151" i="5" s="1"/>
  <c r="K528" i="2" s="1" a="1"/>
  <c r="K528" i="2" s="1"/>
  <c r="J14" i="5" a="1"/>
  <c r="J14" i="5" s="1"/>
  <c r="F14" i="5" s="1" a="1"/>
  <c r="F14" i="5" s="1"/>
  <c r="K38" i="2" s="1" a="1"/>
  <c r="K38" i="2" s="1"/>
  <c r="J5" i="6" a="1"/>
  <c r="J5" i="6" s="1"/>
  <c r="F5" i="6" s="1" a="1"/>
  <c r="F5" i="6" s="1"/>
  <c r="J30" i="7" a="1"/>
  <c r="J30" i="7" s="1"/>
  <c r="F30" i="7" s="1" a="1"/>
  <c r="F30" i="7" s="1"/>
  <c r="K103" i="2" s="1" a="1"/>
  <c r="K103" i="2" s="1"/>
  <c r="J89" i="4" a="1"/>
  <c r="J89" i="4" s="1"/>
  <c r="F89" i="4" s="1" a="1"/>
  <c r="F89" i="4" s="1"/>
  <c r="J402" i="4" a="1"/>
  <c r="J402" i="4" s="1"/>
  <c r="F402" i="4" s="1" a="1"/>
  <c r="F402" i="4" s="1"/>
  <c r="J199" i="4" a="1"/>
  <c r="J199" i="4" s="1"/>
  <c r="F199" i="4" s="1" a="1"/>
  <c r="F199" i="4" s="1"/>
  <c r="J113" i="5" a="1"/>
  <c r="J113" i="5" s="1"/>
  <c r="F113" i="5" s="1" a="1"/>
  <c r="F113" i="5" s="1"/>
  <c r="J110" i="4" a="1"/>
  <c r="J110" i="4" s="1"/>
  <c r="F110" i="4" s="1" a="1"/>
  <c r="F110" i="4" s="1"/>
  <c r="J236" i="4" a="1"/>
  <c r="J236" i="4" s="1"/>
  <c r="F236" i="4" s="1" a="1"/>
  <c r="F236" i="4" s="1"/>
  <c r="J46" i="5" a="1"/>
  <c r="J46" i="5" s="1"/>
  <c r="F46" i="5" s="1" a="1"/>
  <c r="F46" i="5" s="1"/>
  <c r="J120" i="4" a="1"/>
  <c r="J120" i="4" s="1"/>
  <c r="F120" i="4" s="1" a="1"/>
  <c r="F120" i="4" s="1"/>
  <c r="J208" i="7" a="1"/>
  <c r="J208" i="7" s="1"/>
  <c r="F208" i="7" s="1" a="1"/>
  <c r="F208" i="7" s="1"/>
  <c r="K665" i="2" s="1" a="1"/>
  <c r="K665" i="2" s="1"/>
  <c r="J12" i="4" a="1"/>
  <c r="J12" i="4" s="1"/>
  <c r="F12" i="4" s="1" a="1"/>
  <c r="F12" i="4" s="1"/>
  <c r="J287" i="4" a="1"/>
  <c r="J287" i="4" s="1"/>
  <c r="F287" i="4" s="1" a="1"/>
  <c r="F287" i="4" s="1"/>
  <c r="J99" i="6" a="1"/>
  <c r="J99" i="6" s="1"/>
  <c r="F99" i="6" s="1" a="1"/>
  <c r="F99" i="6" s="1"/>
  <c r="K414" i="2" s="1" a="1"/>
  <c r="K414" i="2" s="1"/>
  <c r="J80" i="6" a="1"/>
  <c r="J80" i="6" s="1"/>
  <c r="F80" i="6" s="1" a="1"/>
  <c r="F80" i="6" s="1"/>
  <c r="K330" i="2" s="1" a="1"/>
  <c r="K330" i="2" s="1"/>
  <c r="J7" i="6" a="1"/>
  <c r="J7" i="6" s="1"/>
  <c r="F7" i="6" s="1" a="1"/>
  <c r="F7" i="6" s="1"/>
  <c r="K21" i="2" s="1" a="1"/>
  <c r="K21" i="2" s="1"/>
  <c r="J147" i="6" a="1"/>
  <c r="J147" i="6" s="1"/>
  <c r="F147" i="6" s="1" a="1"/>
  <c r="F147" i="6" s="1"/>
  <c r="K545" i="2" s="1" a="1"/>
  <c r="K545" i="2" s="1"/>
  <c r="J150" i="4" a="1"/>
  <c r="J150" i="4" s="1"/>
  <c r="F150" i="4" s="1" a="1"/>
  <c r="F150" i="4" s="1"/>
  <c r="J127" i="7" a="1"/>
  <c r="J127" i="7" s="1"/>
  <c r="F127" i="7" s="1" a="1"/>
  <c r="F127" i="7" s="1"/>
  <c r="K459" i="2" s="1" a="1"/>
  <c r="K459" i="2" s="1"/>
  <c r="J120" i="5" a="1"/>
  <c r="J120" i="5" s="1"/>
  <c r="F120" i="5" s="1" a="1"/>
  <c r="F120" i="5" s="1"/>
  <c r="F12" i="6" a="1"/>
  <c r="F12" i="6" s="1"/>
  <c r="J176" i="5" a="1"/>
  <c r="J176" i="5" s="1"/>
  <c r="F176" i="5" s="1" a="1"/>
  <c r="F176" i="5" s="1"/>
  <c r="J60" i="4" a="1"/>
  <c r="J60" i="4" s="1"/>
  <c r="F60" i="4" s="1" a="1"/>
  <c r="F60" i="4" s="1"/>
  <c r="F38" i="8" a="1"/>
  <c r="F38" i="8" s="1"/>
  <c r="K106" i="2" s="1" a="1"/>
  <c r="K106" i="2" s="1"/>
  <c r="J55" i="4" a="1"/>
  <c r="J55" i="4" s="1"/>
  <c r="F55" i="4" s="1" a="1"/>
  <c r="F55" i="4" s="1"/>
  <c r="F165" i="5" a="1"/>
  <c r="F165" i="5" s="1"/>
  <c r="F202" i="4" a="1"/>
  <c r="F202" i="4" s="1"/>
  <c r="J43" i="6" a="1"/>
  <c r="J43" i="6" s="1"/>
  <c r="F43" i="6" s="1" a="1"/>
  <c r="F43" i="6" s="1"/>
  <c r="F132" i="5" a="1"/>
  <c r="F132" i="5" s="1"/>
  <c r="J243" i="4" a="1"/>
  <c r="J243" i="4" s="1"/>
  <c r="F243" i="4" s="1" a="1"/>
  <c r="F243" i="4" s="1"/>
  <c r="J329" i="4" a="1"/>
  <c r="J329" i="4" s="1"/>
  <c r="F329" i="4" s="1" a="1"/>
  <c r="F329" i="4" s="1"/>
  <c r="J123" i="4" a="1"/>
  <c r="J123" i="4" s="1"/>
  <c r="F123" i="4" s="1" a="1"/>
  <c r="F123" i="4" s="1"/>
  <c r="J49" i="5" a="1"/>
  <c r="J49" i="5" s="1"/>
  <c r="F49" i="5" s="1" a="1"/>
  <c r="F49" i="5" s="1"/>
  <c r="J7" i="4" a="1"/>
  <c r="J7" i="4" s="1"/>
  <c r="F7" i="4" s="1" a="1"/>
  <c r="F7" i="4" s="1"/>
  <c r="J348" i="4" a="1"/>
  <c r="J348" i="4" s="1"/>
  <c r="F348" i="4" s="1" a="1"/>
  <c r="F348" i="4" s="1"/>
  <c r="J111" i="5" a="1"/>
  <c r="J111" i="5" s="1"/>
  <c r="F111" i="5" s="1" a="1"/>
  <c r="F111" i="5" s="1"/>
  <c r="K434" i="2" s="1" a="1"/>
  <c r="K434" i="2" s="1"/>
  <c r="J17" i="4" a="1"/>
  <c r="J17" i="4" s="1"/>
  <c r="F17" i="4" s="1" a="1"/>
  <c r="F17" i="4" s="1"/>
  <c r="F112" i="4" a="1"/>
  <c r="F112" i="4" s="1"/>
  <c r="F61" i="4" a="1"/>
  <c r="F61" i="4" s="1"/>
  <c r="J29" i="4" a="1"/>
  <c r="J29" i="4" s="1"/>
  <c r="F29" i="4" s="1" a="1"/>
  <c r="F29" i="4" s="1"/>
  <c r="J53" i="6" a="1"/>
  <c r="J53" i="6" s="1"/>
  <c r="F53" i="6" s="1" a="1"/>
  <c r="F53" i="6" s="1"/>
  <c r="F179" i="7" a="1"/>
  <c r="F179" i="7" s="1"/>
  <c r="K593" i="2" s="1" a="1"/>
  <c r="K593" i="2" s="1"/>
  <c r="J27" i="6" a="1"/>
  <c r="J27" i="6" s="1"/>
  <c r="F27" i="6" s="1" a="1"/>
  <c r="F27" i="6" s="1"/>
  <c r="K115" i="2" s="1" a="1"/>
  <c r="K115" i="2" s="1"/>
  <c r="F265" i="4" a="1"/>
  <c r="F265" i="4" s="1"/>
  <c r="F186" i="6" a="1"/>
  <c r="F186" i="6" s="1"/>
  <c r="K625" i="2" s="1" a="1"/>
  <c r="K625" i="2" s="1"/>
  <c r="J30" i="4" a="1"/>
  <c r="J30" i="4" s="1"/>
  <c r="F30" i="4" s="1" a="1"/>
  <c r="F30" i="4" s="1"/>
  <c r="J100" i="7" a="1"/>
  <c r="J100" i="7" s="1"/>
  <c r="F100" i="7" s="1" a="1"/>
  <c r="F100" i="7" s="1"/>
  <c r="K370" i="2" s="1" a="1"/>
  <c r="K370" i="2" s="1"/>
  <c r="J151" i="7" a="1"/>
  <c r="J151" i="7" s="1"/>
  <c r="F151" i="7" s="1" a="1"/>
  <c r="F151" i="7" s="1"/>
  <c r="K529" i="2" s="1" a="1"/>
  <c r="K529" i="2" s="1"/>
  <c r="J94" i="4" a="1"/>
  <c r="J94" i="4" s="1"/>
  <c r="F94" i="4" s="1" a="1"/>
  <c r="F94" i="4" s="1"/>
  <c r="J88" i="5" a="1"/>
  <c r="J88" i="5" s="1"/>
  <c r="F88" i="5" s="1" a="1"/>
  <c r="F88" i="5" s="1"/>
  <c r="J127" i="4" a="1"/>
  <c r="J127" i="4" s="1"/>
  <c r="F127" i="4" s="1" a="1"/>
  <c r="F127" i="4" s="1"/>
  <c r="J27" i="7" a="1"/>
  <c r="J27" i="7" s="1"/>
  <c r="F27" i="7" s="1" a="1"/>
  <c r="F27" i="7" s="1"/>
  <c r="K87" i="2" s="1" a="1"/>
  <c r="K87" i="2" s="1"/>
  <c r="J49" i="4" a="1"/>
  <c r="J49" i="4" s="1"/>
  <c r="F49" i="4" s="1" a="1"/>
  <c r="F49" i="4" s="1"/>
  <c r="J210" i="6" a="1"/>
  <c r="J210" i="6" s="1"/>
  <c r="F210" i="6" s="1" a="1"/>
  <c r="F210" i="6" s="1"/>
  <c r="K671" i="2" s="1" a="1"/>
  <c r="K671" i="2" s="1"/>
  <c r="J121" i="6" a="1"/>
  <c r="J121" i="6" s="1"/>
  <c r="F121" i="6" s="1" a="1"/>
  <c r="F121" i="6" s="1"/>
  <c r="J5" i="5" a="1"/>
  <c r="J5" i="5" s="1"/>
  <c r="F5" i="5" s="1" a="1"/>
  <c r="F5" i="5" s="1"/>
  <c r="K8" i="2" s="1" a="1"/>
  <c r="K8" i="2" s="1"/>
  <c r="F337" i="4" a="1"/>
  <c r="F337" i="4" s="1"/>
  <c r="F19" i="8" a="1"/>
  <c r="F19" i="8" s="1"/>
  <c r="K40" i="2" s="1" a="1"/>
  <c r="K40" i="2" s="1"/>
  <c r="F173" i="6" a="1"/>
  <c r="F173" i="6" s="1"/>
  <c r="K609" i="2" s="1" a="1"/>
  <c r="K609" i="2" s="1"/>
  <c r="F171" i="6" a="1"/>
  <c r="F171" i="6" s="1"/>
  <c r="K603" i="2" s="1" a="1"/>
  <c r="K603" i="2" s="1"/>
  <c r="J21" i="4" a="1"/>
  <c r="J21" i="4" s="1"/>
  <c r="F21" i="4" s="1" a="1"/>
  <c r="F21" i="4" s="1"/>
  <c r="J3" i="5" a="1"/>
  <c r="J3" i="5" s="1"/>
  <c r="F3" i="5" s="1" a="1"/>
  <c r="F3" i="5" s="1"/>
  <c r="J93" i="7" a="1"/>
  <c r="J93" i="7" s="1"/>
  <c r="F93" i="7" s="1" a="1"/>
  <c r="F93" i="7" s="1"/>
  <c r="K344" i="2" s="1" a="1"/>
  <c r="K344" i="2" s="1"/>
  <c r="J129" i="4" a="1"/>
  <c r="J129" i="4" s="1"/>
  <c r="F129" i="4" s="1" a="1"/>
  <c r="F129" i="4" s="1"/>
  <c r="J53" i="5" a="1"/>
  <c r="J53" i="5" s="1"/>
  <c r="F53" i="5" s="1" a="1"/>
  <c r="F53" i="5" s="1"/>
  <c r="K165" i="2" s="1" a="1"/>
  <c r="K165" i="2" s="1"/>
  <c r="F106" i="8" a="1"/>
  <c r="F106" i="8" s="1"/>
  <c r="K268" i="2" s="1" a="1"/>
  <c r="K268" i="2" s="1"/>
  <c r="F70" i="7" a="1"/>
  <c r="F70" i="7" s="1"/>
  <c r="K228" i="2" s="1" a="1"/>
  <c r="K228" i="2" s="1"/>
  <c r="F155" i="8" a="1"/>
  <c r="F155" i="8" s="1"/>
  <c r="K362" i="2" s="1" a="1"/>
  <c r="K362" i="2" s="1"/>
  <c r="F315" i="4" a="1"/>
  <c r="F315" i="4" s="1"/>
  <c r="F90" i="5" a="1"/>
  <c r="F90" i="5" s="1"/>
  <c r="K348" i="2" s="1" a="1"/>
  <c r="K348" i="2" s="1"/>
  <c r="J158" i="6" a="1"/>
  <c r="J158" i="6" s="1"/>
  <c r="F158" i="6" s="1" a="1"/>
  <c r="F158" i="6" s="1"/>
  <c r="K564" i="2" s="1" a="1"/>
  <c r="K564" i="2" s="1"/>
  <c r="J133" i="7" a="1"/>
  <c r="J133" i="7" s="1"/>
  <c r="F133" i="7" s="1" a="1"/>
  <c r="F133" i="7" s="1"/>
  <c r="K472" i="2" s="1" a="1"/>
  <c r="K472" i="2" s="1"/>
  <c r="J89" i="7" a="1"/>
  <c r="J89" i="7" s="1"/>
  <c r="F89" i="7" s="1" a="1"/>
  <c r="F89" i="7" s="1"/>
  <c r="K323" i="2" s="1" a="1"/>
  <c r="K323" i="2" s="1"/>
  <c r="J24" i="6" a="1"/>
  <c r="J24" i="6" s="1"/>
  <c r="F24" i="6" s="1" a="1"/>
  <c r="F24" i="6" s="1"/>
  <c r="K101" i="2" s="1" a="1"/>
  <c r="K101" i="2" s="1"/>
  <c r="J374" i="4" a="1"/>
  <c r="J374" i="4" s="1"/>
  <c r="F374" i="4" s="1" a="1"/>
  <c r="F374" i="4" s="1"/>
  <c r="J392" i="4" a="1"/>
  <c r="J392" i="4" s="1"/>
  <c r="F392" i="4" s="1" a="1"/>
  <c r="F392" i="4" s="1"/>
  <c r="J133" i="5" a="1"/>
  <c r="J133" i="5" s="1"/>
  <c r="F133" i="5" s="1" a="1"/>
  <c r="F133" i="5" s="1"/>
  <c r="J153" i="7" a="1"/>
  <c r="J153" i="7" s="1"/>
  <c r="F153" i="7" s="1" a="1"/>
  <c r="F153" i="7" s="1"/>
  <c r="K541" i="2" s="1" a="1"/>
  <c r="K541" i="2" s="1"/>
  <c r="J37" i="5" a="1"/>
  <c r="J37" i="5" s="1"/>
  <c r="F37" i="5" s="1" a="1"/>
  <c r="F37" i="5" s="1"/>
  <c r="J28" i="4" a="1"/>
  <c r="J28" i="4" s="1"/>
  <c r="F28" i="4" s="1" a="1"/>
  <c r="F28" i="4" s="1"/>
  <c r="F126" i="6" a="1"/>
  <c r="F126" i="6" s="1"/>
  <c r="J171" i="4" a="1"/>
  <c r="J171" i="4" s="1"/>
  <c r="F171" i="4" s="1" a="1"/>
  <c r="F171" i="4" s="1"/>
  <c r="F92" i="7" a="1"/>
  <c r="F92" i="7" s="1"/>
  <c r="K337" i="2" s="1" a="1"/>
  <c r="K337" i="2" s="1"/>
  <c r="J220" i="4" a="1"/>
  <c r="J220" i="4" s="1"/>
  <c r="F220" i="4" s="1" a="1"/>
  <c r="F220" i="4" s="1"/>
  <c r="J78" i="6" a="1"/>
  <c r="J78" i="6" s="1"/>
  <c r="F78" i="6" s="1" a="1"/>
  <c r="F78" i="6" s="1"/>
  <c r="K326" i="2" s="1" a="1"/>
  <c r="K326" i="2" s="1"/>
  <c r="J97" i="5" a="1"/>
  <c r="J97" i="5" s="1"/>
  <c r="F97" i="5" s="1" a="1"/>
  <c r="F97" i="5" s="1"/>
  <c r="F44" i="5" a="1"/>
  <c r="F44" i="5" s="1"/>
  <c r="K134" i="2" s="1" a="1"/>
  <c r="K134" i="2" s="1"/>
  <c r="J297" i="4" a="1"/>
  <c r="J297" i="4" s="1"/>
  <c r="F297" i="4" s="1" a="1"/>
  <c r="F297" i="4" s="1"/>
  <c r="F181" i="5" a="1"/>
  <c r="F181" i="5" s="1"/>
  <c r="F187" i="7" a="1"/>
  <c r="F187" i="7" s="1"/>
  <c r="K606" i="2" s="1" a="1"/>
  <c r="K606" i="2" s="1"/>
  <c r="J179" i="6" a="1"/>
  <c r="J179" i="6" s="1"/>
  <c r="F179" i="6" s="1" a="1"/>
  <c r="F179" i="6" s="1"/>
  <c r="J187" i="5" a="1"/>
  <c r="J187" i="5" s="1"/>
  <c r="F187" i="5" s="1" a="1"/>
  <c r="F187" i="5" s="1"/>
  <c r="J161" i="4" a="1"/>
  <c r="J161" i="4" s="1"/>
  <c r="F161" i="4" s="1" a="1"/>
  <c r="F161" i="4" s="1"/>
  <c r="J180" i="6" a="1"/>
  <c r="J180" i="6" s="1"/>
  <c r="F180" i="6" s="1" a="1"/>
  <c r="F180" i="6" s="1"/>
  <c r="K615" i="2" s="1" a="1"/>
  <c r="K615" i="2" s="1"/>
  <c r="J39" i="7" a="1"/>
  <c r="J39" i="7" s="1"/>
  <c r="F39" i="7" s="1" a="1"/>
  <c r="F39" i="7" s="1"/>
  <c r="K132" i="2" s="1" a="1"/>
  <c r="K132" i="2" s="1"/>
  <c r="J39" i="5" a="1"/>
  <c r="J39" i="5" s="1"/>
  <c r="F39" i="5" s="1" a="1"/>
  <c r="F39" i="5" s="1"/>
  <c r="J9" i="4" a="1"/>
  <c r="J9" i="4" s="1"/>
  <c r="F9" i="4" s="1" a="1"/>
  <c r="F9" i="4" s="1"/>
  <c r="F83" i="6" a="1"/>
  <c r="F83" i="6" s="1"/>
  <c r="F227" i="4" a="1"/>
  <c r="F227" i="4" s="1"/>
  <c r="J25" i="5" a="1"/>
  <c r="J25" i="5" s="1"/>
  <c r="F25" i="5" s="1" a="1"/>
  <c r="F25" i="5" s="1"/>
  <c r="K76" i="2" s="1" a="1"/>
  <c r="K76" i="2" s="1"/>
  <c r="F125" i="5" a="1"/>
  <c r="F125" i="5" s="1"/>
  <c r="F117" i="4" a="1"/>
  <c r="F117" i="4" s="1"/>
  <c r="J266" i="4" a="1"/>
  <c r="J266" i="4" s="1"/>
  <c r="F266" i="4" s="1" a="1"/>
  <c r="F266" i="4" s="1"/>
  <c r="J157" i="4" a="1"/>
  <c r="J157" i="4" s="1"/>
  <c r="F157" i="4" s="1" a="1"/>
  <c r="F157" i="4" s="1"/>
  <c r="J43" i="5" a="1"/>
  <c r="J43" i="5" s="1"/>
  <c r="F43" i="5" s="1" a="1"/>
  <c r="F43" i="5" s="1"/>
  <c r="K126" i="2" s="1" a="1"/>
  <c r="K126" i="2" s="1"/>
  <c r="J18" i="7" a="1"/>
  <c r="J18" i="7" s="1"/>
  <c r="F18" i="7" s="1" a="1"/>
  <c r="F18" i="7" s="1"/>
  <c r="K60" i="2" s="1" a="1"/>
  <c r="K60" i="2" s="1"/>
  <c r="J346" i="4" a="1"/>
  <c r="J346" i="4" s="1"/>
  <c r="F346" i="4" s="1" a="1"/>
  <c r="F346" i="4" s="1"/>
  <c r="J197" i="7" a="1"/>
  <c r="J197" i="7" s="1"/>
  <c r="F197" i="7" s="1" a="1"/>
  <c r="F197" i="7" s="1"/>
  <c r="K637" i="2" s="1" a="1"/>
  <c r="K637" i="2" s="1"/>
  <c r="J350" i="4" a="1"/>
  <c r="J350" i="4" s="1"/>
  <c r="F350" i="4" s="1" a="1"/>
  <c r="F350" i="4" s="1"/>
  <c r="J163" i="5" a="1"/>
  <c r="J163" i="5" s="1"/>
  <c r="F163" i="5" s="1" a="1"/>
  <c r="F163" i="5" s="1"/>
  <c r="J375" i="4" a="1"/>
  <c r="J375" i="4" s="1"/>
  <c r="F375" i="4" s="1" a="1"/>
  <c r="F375" i="4" s="1"/>
  <c r="F170" i="7" a="1"/>
  <c r="F170" i="7" s="1"/>
  <c r="K583" i="2" s="1" a="1"/>
  <c r="K583" i="2" s="1"/>
  <c r="F138" i="4" a="1"/>
  <c r="F138" i="4" s="1"/>
  <c r="J147" i="4" a="1"/>
  <c r="J147" i="4" s="1"/>
  <c r="F147" i="4" s="1" a="1"/>
  <c r="F147" i="4" s="1"/>
  <c r="J62" i="6" a="1"/>
  <c r="J62" i="6" s="1"/>
  <c r="F62" i="6" s="1" a="1"/>
  <c r="F62" i="6" s="1"/>
  <c r="K247" i="2" s="1" a="1"/>
  <c r="K247" i="2" s="1"/>
  <c r="J40" i="4" a="1"/>
  <c r="J40" i="4" s="1"/>
  <c r="F40" i="4" s="1" a="1"/>
  <c r="F40" i="4" s="1"/>
  <c r="J34" i="5" a="1"/>
  <c r="J34" i="5" s="1"/>
  <c r="F34" i="5" s="1" a="1"/>
  <c r="F34" i="5" s="1"/>
  <c r="J5" i="4" a="1"/>
  <c r="J5" i="4" s="1"/>
  <c r="F5" i="4" s="1" a="1"/>
  <c r="F5" i="4" s="1"/>
  <c r="J114" i="4" a="1"/>
  <c r="J114" i="4" s="1"/>
  <c r="F114" i="4" s="1" a="1"/>
  <c r="F114" i="4" s="1"/>
  <c r="J111" i="6" a="1"/>
  <c r="J111" i="6" s="1"/>
  <c r="F111" i="6" s="1" a="1"/>
  <c r="F111" i="6" s="1"/>
  <c r="K454" i="2" s="1" a="1"/>
  <c r="K454" i="2" s="1"/>
  <c r="J143" i="5" a="1"/>
  <c r="J143" i="5" s="1"/>
  <c r="F143" i="5" s="1" a="1"/>
  <c r="F143" i="5" s="1"/>
  <c r="F190" i="8" a="1"/>
  <c r="F190" i="8" s="1"/>
  <c r="K456" i="2" s="1" a="1"/>
  <c r="K456" i="2" s="1"/>
  <c r="J156" i="7" a="1"/>
  <c r="J156" i="7" s="1"/>
  <c r="F156" i="7" s="1" a="1"/>
  <c r="F156" i="7" s="1"/>
  <c r="K549" i="2" s="1" a="1"/>
  <c r="K549" i="2" s="1"/>
  <c r="F205" i="4" a="1"/>
  <c r="F205" i="4" s="1"/>
  <c r="J124" i="6" a="1"/>
  <c r="J124" i="6" s="1"/>
  <c r="F124" i="6" s="1" a="1"/>
  <c r="F124" i="6" s="1"/>
  <c r="J119" i="5" a="1"/>
  <c r="J119" i="5" s="1"/>
  <c r="F119" i="5" s="1" a="1"/>
  <c r="F119" i="5" s="1"/>
  <c r="K463" i="2" s="1" a="1"/>
  <c r="K463" i="2" s="1"/>
  <c r="F105" i="5" a="1"/>
  <c r="F105" i="5" s="1"/>
  <c r="K420" i="2" s="1" a="1"/>
  <c r="K420" i="2" s="1"/>
  <c r="F183" i="7" a="1"/>
  <c r="F183" i="7" s="1"/>
  <c r="K601" i="2" s="1" a="1"/>
  <c r="K601" i="2" s="1"/>
  <c r="F102" i="5" a="1"/>
  <c r="F102" i="5" s="1"/>
  <c r="K407" i="2" s="1" a="1"/>
  <c r="K407" i="2" s="1"/>
  <c r="F94" i="6" l="1" a="1"/>
  <c r="F94" i="6" s="1"/>
  <c r="F57" i="8" a="1"/>
  <c r="F57" i="8" s="1"/>
  <c r="K169" i="2" s="1" a="1"/>
  <c r="K169" i="2" s="1"/>
  <c r="L169" i="2" s="1" a="1"/>
  <c r="L169" i="2" s="1"/>
  <c r="F81" i="8" a="1"/>
  <c r="F81" i="8" s="1"/>
  <c r="K224" i="2" s="1" a="1"/>
  <c r="K224" i="2" s="1"/>
  <c r="L224" i="2" s="1" a="1"/>
  <c r="L224" i="2" s="1"/>
  <c r="F195" i="8" a="1"/>
  <c r="F195" i="8" s="1"/>
  <c r="K474" i="2" s="1" a="1"/>
  <c r="K474" i="2" s="1"/>
  <c r="F25" i="8" a="1"/>
  <c r="F25" i="8" s="1"/>
  <c r="K59" i="2" s="1" a="1"/>
  <c r="K59" i="2" s="1"/>
  <c r="J64" i="9" a="1"/>
  <c r="J64" i="9" s="1"/>
  <c r="J48" i="9" a="1"/>
  <c r="J48" i="9" s="1"/>
  <c r="J50" i="9" a="1"/>
  <c r="J50" i="9" s="1"/>
  <c r="F92" i="6" a="1"/>
  <c r="F92" i="6" s="1"/>
  <c r="F19" i="6" a="1"/>
  <c r="F19" i="6" s="1"/>
  <c r="F81" i="6" a="1"/>
  <c r="F81" i="6" s="1"/>
  <c r="K343" i="2" s="1" a="1"/>
  <c r="K343" i="2" s="1"/>
  <c r="F35" i="6" a="1"/>
  <c r="F35" i="6" s="1"/>
  <c r="F34" i="6" a="1"/>
  <c r="F34" i="6" s="1"/>
  <c r="F189" i="6" a="1"/>
  <c r="F189" i="6" s="1"/>
  <c r="K633" i="2" s="1" a="1"/>
  <c r="K633" i="2" s="1"/>
  <c r="F82" i="6" a="1"/>
  <c r="F82" i="6" s="1"/>
  <c r="F40" i="6" a="1"/>
  <c r="F40" i="6" s="1"/>
  <c r="F156" i="6" a="1"/>
  <c r="F156" i="6" s="1"/>
  <c r="F52" i="6" a="1"/>
  <c r="F52" i="6" s="1"/>
  <c r="F138" i="6" a="1"/>
  <c r="F138" i="6" s="1"/>
  <c r="K521" i="2" s="1" a="1"/>
  <c r="K521" i="2" s="1"/>
  <c r="L521" i="2" s="1" a="1"/>
  <c r="L521" i="2" s="1"/>
  <c r="F97" i="6" a="1"/>
  <c r="F97" i="6" s="1"/>
  <c r="K412" i="2" s="1" a="1"/>
  <c r="K412" i="2" s="1"/>
  <c r="L412" i="2" s="1" a="1"/>
  <c r="L412" i="2" s="1"/>
  <c r="F148" i="6" a="1"/>
  <c r="F148" i="6" s="1"/>
  <c r="K551" i="2" s="1" a="1"/>
  <c r="K551" i="2" s="1"/>
  <c r="F95" i="6" a="1"/>
  <c r="F95" i="6" s="1"/>
  <c r="F120" i="6" a="1"/>
  <c r="F120" i="6" s="1"/>
  <c r="K487" i="2" s="1" a="1"/>
  <c r="K487" i="2" s="1"/>
  <c r="F77" i="6" a="1"/>
  <c r="F77" i="6" s="1"/>
  <c r="K325" i="2" s="1" a="1"/>
  <c r="K325" i="2" s="1"/>
  <c r="F208" i="6" a="1"/>
  <c r="F208" i="6" s="1"/>
  <c r="K667" i="2" s="1" a="1"/>
  <c r="K667" i="2" s="1"/>
  <c r="F194" i="6" a="1"/>
  <c r="F194" i="6" s="1"/>
  <c r="K641" i="2" s="1" a="1"/>
  <c r="K641" i="2" s="1"/>
  <c r="F64" i="6" a="1"/>
  <c r="F64" i="6" s="1"/>
  <c r="F113" i="6" a="1"/>
  <c r="F113" i="6" s="1"/>
  <c r="F136" i="6" a="1"/>
  <c r="F136" i="6" s="1"/>
  <c r="K519" i="2" s="1" a="1"/>
  <c r="K519" i="2" s="1"/>
  <c r="F133" i="6" a="1"/>
  <c r="F133" i="6" s="1"/>
  <c r="F206" i="6" a="1"/>
  <c r="F206" i="6" s="1"/>
  <c r="F41" i="6" a="1"/>
  <c r="F41" i="6" s="1"/>
  <c r="K156" i="2" s="1" a="1"/>
  <c r="K156" i="2" s="1"/>
  <c r="F37" i="6" a="1"/>
  <c r="F37" i="6" s="1"/>
  <c r="F112" i="6" a="1"/>
  <c r="F112" i="6" s="1"/>
  <c r="F56" i="6" a="1"/>
  <c r="F56" i="6" s="1"/>
  <c r="F58" i="6" a="1"/>
  <c r="F58" i="6" s="1"/>
  <c r="F85" i="6" a="1"/>
  <c r="F85" i="6" s="1"/>
  <c r="F150" i="6" a="1"/>
  <c r="F150" i="6" s="1"/>
  <c r="K556" i="2" s="1" a="1"/>
  <c r="K556" i="2" s="1"/>
  <c r="F30" i="6" a="1"/>
  <c r="F30" i="6" s="1"/>
  <c r="J36" i="9" a="1"/>
  <c r="J36" i="9" s="1"/>
  <c r="J52" i="9" a="1"/>
  <c r="J52" i="9" s="1"/>
  <c r="C57" i="9" a="1"/>
  <c r="C57" i="9" s="1"/>
  <c r="E523" i="2" s="1" a="1"/>
  <c r="E523" i="2" s="1"/>
  <c r="C52" i="9" a="1"/>
  <c r="C52" i="9" s="1"/>
  <c r="E485" i="2" s="1" a="1"/>
  <c r="E485" i="2" s="1"/>
  <c r="C37" i="9" a="1"/>
  <c r="C37" i="9" s="1"/>
  <c r="E306" i="2" s="1" a="1"/>
  <c r="E306" i="2" s="1"/>
  <c r="C39" i="9" a="1"/>
  <c r="C39" i="9" s="1"/>
  <c r="E333" i="2" s="1" a="1"/>
  <c r="E333" i="2" s="1"/>
  <c r="C21" i="9" a="1"/>
  <c r="C21" i="9" s="1"/>
  <c r="E136" i="2" s="1" a="1"/>
  <c r="E136" i="2" s="1"/>
  <c r="C32" i="9" a="1"/>
  <c r="C32" i="9" s="1"/>
  <c r="E265" i="2" s="1" a="1"/>
  <c r="E265" i="2" s="1"/>
  <c r="C19" i="9" a="1"/>
  <c r="C19" i="9" s="1"/>
  <c r="E117" i="2" s="1" a="1"/>
  <c r="E117" i="2" s="1"/>
  <c r="C10" i="9" a="1"/>
  <c r="C10" i="9" s="1"/>
  <c r="E66" i="2" s="1" a="1"/>
  <c r="E66" i="2" s="1"/>
  <c r="C42" i="9" a="1"/>
  <c r="C42" i="9" s="1"/>
  <c r="E377" i="2" s="1" a="1"/>
  <c r="E377" i="2" s="1"/>
  <c r="C62" i="9" a="1"/>
  <c r="C62" i="9" s="1"/>
  <c r="E534" i="2" s="1" a="1"/>
  <c r="E534" i="2" s="1"/>
  <c r="C23" i="9" a="1"/>
  <c r="C23" i="9" s="1"/>
  <c r="E153" i="2" s="1" a="1"/>
  <c r="E153" i="2" s="1"/>
  <c r="C55" i="9" a="1"/>
  <c r="C55" i="9" s="1"/>
  <c r="E507" i="2" s="1" a="1"/>
  <c r="E507" i="2" s="1"/>
  <c r="C34" i="9" a="1"/>
  <c r="C34" i="9" s="1"/>
  <c r="E289" i="2" s="1" a="1"/>
  <c r="E289" i="2" s="1"/>
  <c r="C9" i="9" a="1"/>
  <c r="C9" i="9" s="1"/>
  <c r="E63" i="2" s="1" a="1"/>
  <c r="E63" i="2" s="1"/>
  <c r="C26" i="9" a="1"/>
  <c r="C26" i="9" s="1"/>
  <c r="E183" i="2" s="1" a="1"/>
  <c r="E183" i="2" s="1"/>
  <c r="C17" i="9" a="1"/>
  <c r="C17" i="9" s="1"/>
  <c r="E108" i="2" s="1" a="1"/>
  <c r="E108" i="2" s="1"/>
  <c r="C6" i="9" a="1"/>
  <c r="C6" i="9" s="1"/>
  <c r="E45" i="2" s="1" a="1"/>
  <c r="E45" i="2" s="1"/>
  <c r="C61" i="9" a="1"/>
  <c r="C61" i="9" s="1"/>
  <c r="E530" i="2" s="1" a="1"/>
  <c r="E530" i="2" s="1"/>
  <c r="C7" i="9" a="1"/>
  <c r="C7" i="9" s="1"/>
  <c r="E47" i="2" s="1" a="1"/>
  <c r="E47" i="2" s="1"/>
  <c r="C30" i="9" a="1"/>
  <c r="C30" i="9" s="1"/>
  <c r="E214" i="2" s="1" a="1"/>
  <c r="E214" i="2" s="1"/>
  <c r="C12" i="9" a="1"/>
  <c r="C12" i="9" s="1"/>
  <c r="E77" i="2" s="1" a="1"/>
  <c r="E77" i="2" s="1"/>
  <c r="C35" i="9" a="1"/>
  <c r="C35" i="9" s="1"/>
  <c r="E299" i="2" s="1" a="1"/>
  <c r="E299" i="2" s="1"/>
  <c r="C49" i="9" a="1"/>
  <c r="C49" i="9" s="1"/>
  <c r="E427" i="2" s="1" a="1"/>
  <c r="E427" i="2" s="1"/>
  <c r="C15" i="9" a="1"/>
  <c r="C15" i="9" s="1"/>
  <c r="E91" i="2" s="1" a="1"/>
  <c r="E91" i="2" s="1"/>
  <c r="C58" i="9" a="1"/>
  <c r="C58" i="9" s="1"/>
  <c r="E525" i="2" s="1" a="1"/>
  <c r="E525" i="2" s="1"/>
  <c r="C47" i="9" a="1"/>
  <c r="C47" i="9" s="1"/>
  <c r="E405" i="2" s="1" a="1"/>
  <c r="E405" i="2" s="1"/>
  <c r="C24" i="9" a="1"/>
  <c r="C24" i="9" s="1"/>
  <c r="E170" i="2" s="1" a="1"/>
  <c r="E170" i="2" s="1"/>
  <c r="C25" i="9" a="1"/>
  <c r="C25" i="9" s="1"/>
  <c r="E180" i="2" s="1" a="1"/>
  <c r="E180" i="2" s="1"/>
  <c r="C22" i="9" a="1"/>
  <c r="C22" i="9" s="1"/>
  <c r="E146" i="2" s="1" a="1"/>
  <c r="E146" i="2" s="1"/>
  <c r="C8" i="9" a="1"/>
  <c r="C8" i="9" s="1"/>
  <c r="E50" i="2" s="1" a="1"/>
  <c r="E50" i="2" s="1"/>
  <c r="C4" i="9" a="1"/>
  <c r="C4" i="9" s="1"/>
  <c r="E26" i="2" s="1" a="1"/>
  <c r="E26" i="2" s="1"/>
  <c r="C20" i="9" a="1"/>
  <c r="C20" i="9" s="1"/>
  <c r="E135" i="2" s="1" a="1"/>
  <c r="E135" i="2" s="1"/>
  <c r="C11" i="9" a="1"/>
  <c r="C11" i="9" s="1"/>
  <c r="E72" i="2" s="1" a="1"/>
  <c r="E72" i="2" s="1"/>
  <c r="C16" i="9" a="1"/>
  <c r="C16" i="9" s="1"/>
  <c r="E97" i="2" s="1" a="1"/>
  <c r="E97" i="2" s="1"/>
  <c r="C53" i="9" a="1"/>
  <c r="C53" i="9" s="1"/>
  <c r="E489" i="2" s="1" a="1"/>
  <c r="E489" i="2" s="1"/>
  <c r="C33" i="9" a="1"/>
  <c r="C33" i="9" s="1"/>
  <c r="E271" i="2" s="1" a="1"/>
  <c r="E271" i="2" s="1"/>
  <c r="C43" i="9" a="1"/>
  <c r="C43" i="9" s="1"/>
  <c r="E379" i="2" s="1" a="1"/>
  <c r="E379" i="2" s="1"/>
  <c r="C66" i="9" a="1"/>
  <c r="C66" i="9" s="1"/>
  <c r="E580" i="2" s="1" a="1"/>
  <c r="E580" i="2" s="1"/>
  <c r="C3" i="9" a="1"/>
  <c r="C3" i="9" s="1"/>
  <c r="C65" i="9" a="1"/>
  <c r="C65" i="9" s="1"/>
  <c r="E576" i="2" s="1" a="1"/>
  <c r="E576" i="2" s="1"/>
  <c r="C18" i="9" a="1"/>
  <c r="C18" i="9" s="1"/>
  <c r="E109" i="2" s="1" a="1"/>
  <c r="E109" i="2" s="1"/>
  <c r="C41" i="9" a="1"/>
  <c r="C41" i="9" s="1"/>
  <c r="E368" i="2" s="1" a="1"/>
  <c r="E368" i="2" s="1"/>
  <c r="C56" i="9" a="1"/>
  <c r="C56" i="9" s="1"/>
  <c r="E510" i="2" s="1" a="1"/>
  <c r="E510" i="2" s="1"/>
  <c r="C63" i="9" a="1"/>
  <c r="C63" i="9" s="1"/>
  <c r="E535" i="2" s="1" a="1"/>
  <c r="E535" i="2" s="1"/>
  <c r="C29" i="9" a="1"/>
  <c r="C29" i="9" s="1"/>
  <c r="E212" i="2" s="1" a="1"/>
  <c r="E212" i="2" s="1"/>
  <c r="C54" i="9" a="1"/>
  <c r="C54" i="9" s="1"/>
  <c r="E490" i="2" s="1" a="1"/>
  <c r="E490" i="2" s="1"/>
  <c r="C36" i="9" a="1"/>
  <c r="C36" i="9" s="1"/>
  <c r="E303" i="2" s="1" a="1"/>
  <c r="E303" i="2" s="1"/>
  <c r="C31" i="9" a="1"/>
  <c r="C31" i="9" s="1"/>
  <c r="E260" i="2" s="1" a="1"/>
  <c r="E260" i="2" s="1"/>
  <c r="C27" i="9" a="1"/>
  <c r="C27" i="9" s="1"/>
  <c r="E190" i="2" s="1" a="1"/>
  <c r="E190" i="2" s="1"/>
  <c r="C50" i="9" a="1"/>
  <c r="C50" i="9" s="1"/>
  <c r="E433" i="2" s="1" a="1"/>
  <c r="E433" i="2" s="1"/>
  <c r="C5" i="9" a="1"/>
  <c r="C5" i="9" s="1"/>
  <c r="E39" i="2" s="1" a="1"/>
  <c r="E39" i="2" s="1"/>
  <c r="C60" i="9" a="1"/>
  <c r="C60" i="9" s="1"/>
  <c r="E527" i="2" s="1" a="1"/>
  <c r="E527" i="2" s="1"/>
  <c r="C28" i="9" a="1"/>
  <c r="C28" i="9" s="1"/>
  <c r="E199" i="2" s="1" a="1"/>
  <c r="E199" i="2" s="1"/>
  <c r="C46" i="9" a="1"/>
  <c r="C46" i="9" s="1"/>
  <c r="E389" i="2" s="1" a="1"/>
  <c r="E389" i="2" s="1"/>
  <c r="C14" i="9" a="1"/>
  <c r="C14" i="9" s="1"/>
  <c r="E81" i="2" s="1" a="1"/>
  <c r="E81" i="2" s="1"/>
  <c r="C64" i="9" a="1"/>
  <c r="C64" i="9" s="1"/>
  <c r="E537" i="2" s="1" a="1"/>
  <c r="E537" i="2" s="1"/>
  <c r="C13" i="9" a="1"/>
  <c r="C13" i="9" s="1"/>
  <c r="E80" i="2" s="1" a="1"/>
  <c r="E80" i="2" s="1"/>
  <c r="C40" i="9" a="1"/>
  <c r="C40" i="9" s="1"/>
  <c r="E355" i="2" s="1" a="1"/>
  <c r="E355" i="2" s="1"/>
  <c r="C59" i="9" a="1"/>
  <c r="C59" i="9" s="1"/>
  <c r="E526" i="2" s="1" a="1"/>
  <c r="E526" i="2" s="1"/>
  <c r="C48" i="9" a="1"/>
  <c r="C48" i="9" s="1"/>
  <c r="E410" i="2" s="1" a="1"/>
  <c r="E410" i="2" s="1"/>
  <c r="C44" i="9" a="1"/>
  <c r="C44" i="9" s="1"/>
  <c r="E381" i="2" s="1" a="1"/>
  <c r="E381" i="2" s="1"/>
  <c r="C38" i="9" a="1"/>
  <c r="C38" i="9" s="1"/>
  <c r="E324" i="2" s="1" a="1"/>
  <c r="E324" i="2" s="1"/>
  <c r="C45" i="9" a="1"/>
  <c r="C45" i="9" s="1"/>
  <c r="E385" i="2" s="1" a="1"/>
  <c r="E385" i="2" s="1"/>
  <c r="C51" i="9" a="1"/>
  <c r="C51" i="9" s="1"/>
  <c r="E479" i="2" s="1" a="1"/>
  <c r="E479" i="2" s="1"/>
  <c r="L420" i="2" a="1"/>
  <c r="L420" i="2" s="1"/>
  <c r="L362" i="2" a="1"/>
  <c r="L362" i="2" s="1"/>
  <c r="L583" i="2" a="1"/>
  <c r="L583" i="2" s="1"/>
  <c r="L323" i="2" a="1"/>
  <c r="L323" i="2" s="1"/>
  <c r="L524" i="2" a="1"/>
  <c r="L524" i="2" s="1"/>
  <c r="K4" i="1" a="1"/>
  <c r="K4" i="1" s="1"/>
  <c r="K4" i="2" a="1"/>
  <c r="K4" i="2" s="1"/>
  <c r="L407" i="2" a="1"/>
  <c r="L407" i="2" s="1"/>
  <c r="L606" i="2" a="1"/>
  <c r="L606" i="2" s="1"/>
  <c r="L106" i="2" a="1"/>
  <c r="L106" i="2" s="1"/>
  <c r="L575" i="2" a="1"/>
  <c r="L575" i="2" s="1"/>
  <c r="L512" i="2" a="1"/>
  <c r="L512" i="2" s="1"/>
  <c r="L486" i="2" a="1"/>
  <c r="L486" i="2" s="1"/>
  <c r="L387" i="2" a="1"/>
  <c r="L387" i="2" s="1"/>
  <c r="L382" i="2" a="1"/>
  <c r="L382" i="2" s="1"/>
  <c r="L259" i="2" a="1"/>
  <c r="L259" i="2" s="1"/>
  <c r="L42" i="2" a="1"/>
  <c r="L42" i="2" s="1"/>
  <c r="L339" i="2" a="1"/>
  <c r="L339" i="2" s="1"/>
  <c r="L196" i="2" a="1"/>
  <c r="L196" i="2" s="1"/>
  <c r="L184" i="2" a="1"/>
  <c r="L184" i="2" s="1"/>
  <c r="L380" i="2" a="1"/>
  <c r="L380" i="2" s="1"/>
  <c r="L390" i="2" a="1"/>
  <c r="L390" i="2" s="1"/>
  <c r="L465" i="2" a="1"/>
  <c r="L465" i="2" s="1"/>
  <c r="L23" i="2" a="1"/>
  <c r="L23" i="2" s="1"/>
  <c r="L236" i="2" a="1"/>
  <c r="L236" i="2" s="1"/>
  <c r="L447" i="2" a="1"/>
  <c r="L447" i="2" s="1"/>
  <c r="L93" i="2" a="1"/>
  <c r="L93" i="2" s="1"/>
  <c r="L89" i="2" a="1"/>
  <c r="L89" i="2" s="1"/>
  <c r="L229" i="2" a="1"/>
  <c r="L229" i="2" s="1"/>
  <c r="L626" i="2" a="1"/>
  <c r="L626" i="2" s="1"/>
  <c r="L311" i="2" a="1"/>
  <c r="L311" i="2" s="1"/>
  <c r="L558" i="2" a="1"/>
  <c r="L558" i="2" s="1"/>
  <c r="L296" i="2" a="1"/>
  <c r="L296" i="2" s="1"/>
  <c r="L139" i="2" a="1"/>
  <c r="L139" i="2" s="1"/>
  <c r="L258" i="2" a="1"/>
  <c r="L258" i="2" s="1"/>
  <c r="L643" i="2" a="1"/>
  <c r="L643" i="2" s="1"/>
  <c r="L429" i="2" a="1"/>
  <c r="L429" i="2" s="1"/>
  <c r="L418" i="2" a="1"/>
  <c r="L418" i="2" s="1"/>
  <c r="L445" i="2" a="1"/>
  <c r="L445" i="2" s="1"/>
  <c r="L354" i="2" a="1"/>
  <c r="L354" i="2" s="1"/>
  <c r="L152" i="2" a="1"/>
  <c r="L152" i="2" s="1"/>
  <c r="L275" i="2" a="1"/>
  <c r="L275" i="2" s="1"/>
  <c r="L607" i="2" a="1"/>
  <c r="L607" i="2" s="1"/>
  <c r="L294" i="2" a="1"/>
  <c r="L294" i="2" s="1"/>
  <c r="L639" i="2" a="1"/>
  <c r="L639" i="2" s="1"/>
  <c r="L13" i="2" a="1"/>
  <c r="L13" i="2" s="1"/>
  <c r="L463" i="2" a="1"/>
  <c r="L463" i="2" s="1"/>
  <c r="L500" i="2" a="1"/>
  <c r="L500" i="2" s="1"/>
  <c r="L336" i="2" a="1"/>
  <c r="L336" i="2" s="1"/>
  <c r="L378" i="2" a="1"/>
  <c r="L378" i="2" s="1"/>
  <c r="L518" i="2" a="1"/>
  <c r="L518" i="2" s="1"/>
  <c r="L616" i="2" a="1"/>
  <c r="L616" i="2" s="1"/>
  <c r="L107" i="2" a="1"/>
  <c r="L107" i="2" s="1"/>
  <c r="L589" i="2" a="1"/>
  <c r="L589" i="2" s="1"/>
  <c r="L402" i="2" a="1"/>
  <c r="L402" i="2" s="1"/>
  <c r="L491" i="2" a="1"/>
  <c r="L491" i="2" s="1"/>
  <c r="L29" i="2" a="1"/>
  <c r="L29" i="2" s="1"/>
  <c r="L137" i="2" a="1"/>
  <c r="L137" i="2" s="1"/>
  <c r="L468" i="2" a="1"/>
  <c r="L468" i="2" s="1"/>
  <c r="L278" i="2" a="1"/>
  <c r="L278" i="2" s="1"/>
  <c r="L637" i="2" a="1"/>
  <c r="L637" i="2" s="1"/>
  <c r="L168" i="2" a="1"/>
  <c r="L168" i="2" s="1"/>
  <c r="L555" i="2" a="1"/>
  <c r="L555" i="2" s="1"/>
  <c r="L112" i="2" a="1"/>
  <c r="L112" i="2" s="1"/>
  <c r="L628" i="2" a="1"/>
  <c r="L628" i="2" s="1"/>
  <c r="L670" i="2" a="1"/>
  <c r="L670" i="2" s="1"/>
  <c r="L657" i="2" a="1"/>
  <c r="L657" i="2" s="1"/>
  <c r="L593" i="2" a="1"/>
  <c r="L593" i="2" s="1"/>
  <c r="L564" i="2" a="1"/>
  <c r="L564" i="2" s="1"/>
  <c r="L320" i="2" a="1"/>
  <c r="L320" i="2" s="1"/>
  <c r="L550" i="2" a="1"/>
  <c r="L550" i="2" s="1"/>
  <c r="L443" i="2" a="1"/>
  <c r="L443" i="2" s="1"/>
  <c r="L417" i="2" a="1"/>
  <c r="L417" i="2" s="1"/>
  <c r="L8" i="2" a="1"/>
  <c r="L8" i="2" s="1"/>
  <c r="L572" i="2" a="1"/>
  <c r="L572" i="2" s="1"/>
  <c r="L62" i="2" a="1"/>
  <c r="L62" i="2" s="1"/>
  <c r="L322" i="2" a="1"/>
  <c r="L322" i="2" s="1"/>
  <c r="L329" i="2" a="1"/>
  <c r="L329" i="2" s="1"/>
  <c r="L319" i="2" a="1"/>
  <c r="L319" i="2" s="1"/>
  <c r="L401" i="2" a="1"/>
  <c r="L401" i="2" s="1"/>
  <c r="L288" i="2" a="1"/>
  <c r="L288" i="2" s="1"/>
  <c r="L376" i="2" a="1"/>
  <c r="L376" i="2" s="1"/>
  <c r="L452" i="2" a="1"/>
  <c r="L452" i="2" s="1"/>
  <c r="L232" i="2" a="1"/>
  <c r="L232" i="2" s="1"/>
  <c r="L542" i="2" a="1"/>
  <c r="L542" i="2" s="1"/>
  <c r="L283" i="2" a="1"/>
  <c r="L283" i="2" s="1"/>
  <c r="L409" i="2" a="1"/>
  <c r="L409" i="2" s="1"/>
  <c r="L358" i="2" a="1"/>
  <c r="L358" i="2" s="1"/>
  <c r="L113" i="2" a="1"/>
  <c r="L113" i="2" s="1"/>
  <c r="L25" i="2" a="1"/>
  <c r="L25" i="2" s="1"/>
  <c r="L33" i="2" a="1"/>
  <c r="L33" i="2" s="1"/>
  <c r="L132" i="2" a="1"/>
  <c r="L132" i="2" s="1"/>
  <c r="L317" i="2" a="1"/>
  <c r="L317" i="2" s="1"/>
  <c r="L309" i="2" a="1"/>
  <c r="L309" i="2" s="1"/>
  <c r="L130" i="2" a="1"/>
  <c r="L130" i="2" s="1"/>
  <c r="L448" i="2" a="1"/>
  <c r="L448" i="2" s="1"/>
  <c r="L242" i="2" a="1"/>
  <c r="L242" i="2" s="1"/>
  <c r="L70" i="2" a="1"/>
  <c r="L70" i="2" s="1"/>
  <c r="L349" i="2" a="1"/>
  <c r="L349" i="2" s="1"/>
  <c r="L14" i="2" a="1"/>
  <c r="L14" i="2" s="1"/>
  <c r="L653" i="2" a="1"/>
  <c r="L653" i="2" s="1"/>
  <c r="L413" i="2" a="1"/>
  <c r="L413" i="2" s="1"/>
  <c r="L315" i="2" a="1"/>
  <c r="L315" i="2" s="1"/>
  <c r="L574" i="2" a="1"/>
  <c r="L574" i="2" s="1"/>
  <c r="L300" i="2" a="1"/>
  <c r="L300" i="2" s="1"/>
  <c r="L163" i="2" a="1"/>
  <c r="L163" i="2" s="1"/>
  <c r="L356" i="2" a="1"/>
  <c r="L356" i="2" s="1"/>
  <c r="L386" i="2" a="1"/>
  <c r="L386" i="2" s="1"/>
  <c r="L298" i="2" a="1"/>
  <c r="L298" i="2" s="1"/>
  <c r="L466" i="2" a="1"/>
  <c r="L466" i="2" s="1"/>
  <c r="L415" i="2" a="1"/>
  <c r="L415" i="2" s="1"/>
  <c r="L28" i="2" a="1"/>
  <c r="L28" i="2" s="1"/>
  <c r="L330" i="2" a="1"/>
  <c r="L330" i="2" s="1"/>
  <c r="L414" i="2" a="1"/>
  <c r="L414" i="2" s="1"/>
  <c r="L654" i="2" a="1"/>
  <c r="L654" i="2" s="1"/>
  <c r="L615" i="2" a="1"/>
  <c r="L615" i="2" s="1"/>
  <c r="L9" i="2" a="1"/>
  <c r="L9" i="2" s="1"/>
  <c r="L201" i="2" a="1"/>
  <c r="L201" i="2" s="1"/>
  <c r="L200" i="2" a="1"/>
  <c r="L200" i="2" s="1"/>
  <c r="L370" i="2" a="1"/>
  <c r="L370" i="2" s="1"/>
  <c r="L327" i="2" a="1"/>
  <c r="L327" i="2" s="1"/>
  <c r="L471" i="2" a="1"/>
  <c r="L471" i="2" s="1"/>
  <c r="L10" i="2" a="1"/>
  <c r="L10" i="2" s="1"/>
  <c r="L446" i="2" a="1"/>
  <c r="L446" i="2" s="1"/>
  <c r="L588" i="2" a="1"/>
  <c r="L588" i="2" s="1"/>
  <c r="L604" i="2" a="1"/>
  <c r="L604" i="2" s="1"/>
  <c r="L476" i="2" a="1"/>
  <c r="L476" i="2" s="1"/>
  <c r="L475" i="2" a="1"/>
  <c r="L475" i="2" s="1"/>
  <c r="L245" i="2" a="1"/>
  <c r="L245" i="2" s="1"/>
  <c r="L584" i="2" a="1"/>
  <c r="L584" i="2" s="1"/>
  <c r="L655" i="2" a="1"/>
  <c r="L655" i="2" s="1"/>
  <c r="L348" i="2" a="1"/>
  <c r="L348" i="2" s="1"/>
  <c r="L603" i="2" a="1"/>
  <c r="L603" i="2" s="1"/>
  <c r="L164" i="2" a="1"/>
  <c r="L164" i="2" s="1"/>
  <c r="L599" i="2" a="1"/>
  <c r="L599" i="2" s="1"/>
  <c r="L540" i="2" a="1"/>
  <c r="L540" i="2" s="1"/>
  <c r="L406" i="2" a="1"/>
  <c r="L406" i="2" s="1"/>
  <c r="L571" i="2" a="1"/>
  <c r="L571" i="2" s="1"/>
  <c r="L221" i="2" a="1"/>
  <c r="L221" i="2" s="1"/>
  <c r="L36" i="2" a="1"/>
  <c r="L36" i="2" s="1"/>
  <c r="L99" i="2" a="1"/>
  <c r="L99" i="2" s="1"/>
  <c r="L532" i="2" a="1"/>
  <c r="L532" i="2" s="1"/>
  <c r="L266" i="2" a="1"/>
  <c r="L266" i="2" s="1"/>
  <c r="L314" i="2" a="1"/>
  <c r="L314" i="2" s="1"/>
  <c r="L363" i="2" a="1"/>
  <c r="L363" i="2" s="1"/>
  <c r="L56" i="2" a="1"/>
  <c r="L56" i="2" s="1"/>
  <c r="L74" i="2" a="1"/>
  <c r="L74" i="2" s="1"/>
  <c r="L186" i="2" a="1"/>
  <c r="L186" i="2" s="1"/>
  <c r="L437" i="2" a="1"/>
  <c r="L437" i="2" s="1"/>
  <c r="L467" i="2" a="1"/>
  <c r="L467" i="2" s="1"/>
  <c r="L233" i="2" a="1"/>
  <c r="L233" i="2" s="1"/>
  <c r="L145" i="2" a="1"/>
  <c r="L145" i="2" s="1"/>
  <c r="L269" i="2" a="1"/>
  <c r="L269" i="2" s="1"/>
  <c r="L499" i="2" a="1"/>
  <c r="L499" i="2" s="1"/>
  <c r="L403" i="2" a="1"/>
  <c r="L403" i="2" s="1"/>
  <c r="L11" i="2" a="1"/>
  <c r="L11" i="2" s="1"/>
  <c r="L579" i="2" a="1"/>
  <c r="L579" i="2" s="1"/>
  <c r="L444" i="2" a="1"/>
  <c r="L444" i="2" s="1"/>
  <c r="L22" i="2" a="1"/>
  <c r="L22" i="2" s="1"/>
  <c r="L391" i="2" a="1"/>
  <c r="L391" i="2" s="1"/>
  <c r="L470" i="2" a="1"/>
  <c r="L470" i="2" s="1"/>
  <c r="L488" i="2" a="1"/>
  <c r="L488" i="2" s="1"/>
  <c r="L126" i="2" a="1"/>
  <c r="L126" i="2" s="1"/>
  <c r="L666" i="2" a="1"/>
  <c r="L666" i="2" s="1"/>
  <c r="L503" i="2" a="1"/>
  <c r="L503" i="2" s="1"/>
  <c r="L656" i="2" a="1"/>
  <c r="L656" i="2" s="1"/>
  <c r="L156" i="2" a="1"/>
  <c r="L156" i="2" s="1"/>
  <c r="K3" i="1" a="1"/>
  <c r="K3" i="1" s="1"/>
  <c r="K12" i="2" a="1"/>
  <c r="K12" i="2" s="1"/>
  <c r="L556" i="2" a="1"/>
  <c r="L556" i="2" s="1"/>
  <c r="L316" i="2" a="1"/>
  <c r="L316" i="2" s="1"/>
  <c r="L552" i="2" a="1"/>
  <c r="L552" i="2" s="1"/>
  <c r="L640" i="2" a="1"/>
  <c r="L640" i="2" s="1"/>
  <c r="L624" i="2" a="1"/>
  <c r="L624" i="2" s="1"/>
  <c r="L44" i="2" a="1"/>
  <c r="L44" i="2" s="1"/>
  <c r="L636" i="2" a="1"/>
  <c r="L636" i="2" s="1"/>
  <c r="L252" i="2" a="1"/>
  <c r="L252" i="2" s="1"/>
  <c r="L627" i="2" a="1"/>
  <c r="L627" i="2" s="1"/>
  <c r="L582" i="2" a="1"/>
  <c r="L582" i="2" s="1"/>
  <c r="L597" i="2" a="1"/>
  <c r="L597" i="2" s="1"/>
  <c r="L529" i="2" a="1"/>
  <c r="L529" i="2" s="1"/>
  <c r="L457" i="2" a="1"/>
  <c r="L457" i="2" s="1"/>
  <c r="L459" i="2" a="1"/>
  <c r="L459" i="2" s="1"/>
  <c r="L280" i="2" a="1"/>
  <c r="L280" i="2" s="1"/>
  <c r="L549" i="2" a="1"/>
  <c r="L549" i="2" s="1"/>
  <c r="L204" i="2" a="1"/>
  <c r="L204" i="2" s="1"/>
  <c r="L621" i="2" a="1"/>
  <c r="L621" i="2" s="1"/>
  <c r="L601" i="2" a="1"/>
  <c r="L601" i="2" s="1"/>
  <c r="L134" i="2" a="1"/>
  <c r="L134" i="2" s="1"/>
  <c r="L609" i="2" a="1"/>
  <c r="L609" i="2" s="1"/>
  <c r="L185" i="2" a="1"/>
  <c r="L185" i="2" s="1"/>
  <c r="L17" i="2" a="1"/>
  <c r="L17" i="2" s="1"/>
  <c r="L531" i="2" a="1"/>
  <c r="L531" i="2" s="1"/>
  <c r="L293" i="2" a="1"/>
  <c r="L293" i="2" s="1"/>
  <c r="L344" i="2" a="1"/>
  <c r="L344" i="2" s="1"/>
  <c r="L630" i="2" a="1"/>
  <c r="L630" i="2" s="1"/>
  <c r="L161" i="2" a="1"/>
  <c r="L161" i="2" s="1"/>
  <c r="L618" i="2" a="1"/>
  <c r="L618" i="2" s="1"/>
  <c r="L162" i="2" a="1"/>
  <c r="L162" i="2" s="1"/>
  <c r="L195" i="2" a="1"/>
  <c r="L195" i="2" s="1"/>
  <c r="L342" i="2" a="1"/>
  <c r="L342" i="2" s="1"/>
  <c r="L119" i="2" a="1"/>
  <c r="L119" i="2" s="1"/>
  <c r="L215" i="2" a="1"/>
  <c r="L215" i="2" s="1"/>
  <c r="L61" i="2" a="1"/>
  <c r="L61" i="2" s="1"/>
  <c r="L431" i="2" a="1"/>
  <c r="L431" i="2" s="1"/>
  <c r="L331" i="2" a="1"/>
  <c r="L331" i="2" s="1"/>
  <c r="L419" i="2" a="1"/>
  <c r="L419" i="2" s="1"/>
  <c r="L307" i="2" a="1"/>
  <c r="L307" i="2" s="1"/>
  <c r="L58" i="2" a="1"/>
  <c r="L58" i="2" s="1"/>
  <c r="L388" i="2" a="1"/>
  <c r="L388" i="2" s="1"/>
  <c r="L43" i="2" a="1"/>
  <c r="L43" i="2" s="1"/>
  <c r="L78" i="2" a="1"/>
  <c r="L78" i="2" s="1"/>
  <c r="L428" i="2" a="1"/>
  <c r="L428" i="2" s="1"/>
  <c r="L240" i="2" a="1"/>
  <c r="L240" i="2" s="1"/>
  <c r="L622" i="2" a="1"/>
  <c r="L622" i="2" s="1"/>
  <c r="L613" i="2" a="1"/>
  <c r="L613" i="2" s="1"/>
  <c r="L222" i="2" a="1"/>
  <c r="L222" i="2" s="1"/>
  <c r="L590" i="2" a="1"/>
  <c r="L590" i="2" s="1"/>
  <c r="L663" i="2" a="1"/>
  <c r="L663" i="2" s="1"/>
  <c r="L165" i="2" a="1"/>
  <c r="L165" i="2" s="1"/>
  <c r="L239" i="2" a="1"/>
  <c r="L239" i="2" s="1"/>
  <c r="L192" i="2" a="1"/>
  <c r="L192" i="2" s="1"/>
  <c r="L100" i="2" a="1"/>
  <c r="L100" i="2" s="1"/>
  <c r="L227" i="2" a="1"/>
  <c r="L227" i="2" s="1"/>
  <c r="L21" i="2" a="1"/>
  <c r="L21" i="2" s="1"/>
  <c r="L16" i="2" a="1"/>
  <c r="L16" i="2" s="1"/>
  <c r="L645" i="2" a="1"/>
  <c r="L645" i="2" s="1"/>
  <c r="L551" i="2" a="1"/>
  <c r="L551" i="2" s="1"/>
  <c r="L633" i="2" a="1"/>
  <c r="L633" i="2" s="1"/>
  <c r="L641" i="2" a="1"/>
  <c r="L641" i="2" s="1"/>
  <c r="L173" i="2" a="1"/>
  <c r="L173" i="2" s="1"/>
  <c r="L660" i="2" a="1"/>
  <c r="L660" i="2" s="1"/>
  <c r="L96" i="2" a="1"/>
  <c r="L96" i="2" s="1"/>
  <c r="L481" i="2" a="1"/>
  <c r="L481" i="2" s="1"/>
  <c r="L41" i="2" a="1"/>
  <c r="L41" i="2" s="1"/>
  <c r="L87" i="2" a="1"/>
  <c r="L87" i="2" s="1"/>
  <c r="L502" i="2" a="1"/>
  <c r="L502" i="2" s="1"/>
  <c r="L149" i="2" a="1"/>
  <c r="L149" i="2" s="1"/>
  <c r="L559" i="2" a="1"/>
  <c r="L559" i="2" s="1"/>
  <c r="L284" i="2" a="1"/>
  <c r="L284" i="2" s="1"/>
  <c r="L644" i="2" a="1"/>
  <c r="L644" i="2" s="1"/>
  <c r="L150" i="2" a="1"/>
  <c r="L150" i="2" s="1"/>
  <c r="L176" i="2" a="1"/>
  <c r="L176" i="2" s="1"/>
  <c r="L64" i="2" a="1"/>
  <c r="L64" i="2" s="1"/>
  <c r="L453" i="2" a="1"/>
  <c r="L453" i="2" s="1"/>
  <c r="L357" i="2" a="1"/>
  <c r="L357" i="2" s="1"/>
  <c r="L652" i="2" a="1"/>
  <c r="L652" i="2" s="1"/>
  <c r="L326" i="2" a="1"/>
  <c r="L326" i="2" s="1"/>
  <c r="L573" i="2" a="1"/>
  <c r="L573" i="2" s="1"/>
  <c r="L297" i="2" a="1"/>
  <c r="L297" i="2" s="1"/>
  <c r="L207" i="2" a="1"/>
  <c r="L207" i="2" s="1"/>
  <c r="L182" i="2" a="1"/>
  <c r="L182" i="2" s="1"/>
  <c r="L274" i="2" a="1"/>
  <c r="L274" i="2" s="1"/>
  <c r="L272" i="2" a="1"/>
  <c r="L272" i="2" s="1"/>
  <c r="L304" i="2" a="1"/>
  <c r="L304" i="2" s="1"/>
  <c r="L600" i="2" a="1"/>
  <c r="L600" i="2" s="1"/>
  <c r="L399" i="2" a="1"/>
  <c r="L399" i="2" s="1"/>
  <c r="L85" i="2" a="1"/>
  <c r="L85" i="2" s="1"/>
  <c r="L338" i="2" a="1"/>
  <c r="L338" i="2" s="1"/>
  <c r="L290" i="2" a="1"/>
  <c r="L290" i="2" s="1"/>
  <c r="L310" i="2" a="1"/>
  <c r="L310" i="2" s="1"/>
  <c r="L517" i="2" a="1"/>
  <c r="L517" i="2" s="1"/>
  <c r="L157" i="2" a="1"/>
  <c r="L157" i="2" s="1"/>
  <c r="L554" i="2" a="1"/>
  <c r="L554" i="2" s="1"/>
  <c r="L235" i="2" a="1"/>
  <c r="L235" i="2" s="1"/>
  <c r="L610" i="2" a="1"/>
  <c r="L610" i="2" s="1"/>
  <c r="L76" i="2" a="1"/>
  <c r="L76" i="2" s="1"/>
  <c r="L477" i="2" a="1"/>
  <c r="L477" i="2" s="1"/>
  <c r="L158" i="2" a="1"/>
  <c r="L158" i="2" s="1"/>
  <c r="L75" i="2" a="1"/>
  <c r="L75" i="2" s="1"/>
  <c r="L629" i="2" a="1"/>
  <c r="L629" i="2" s="1"/>
  <c r="L474" i="2" a="1"/>
  <c r="L474" i="2" s="1"/>
  <c r="L658" i="2" a="1"/>
  <c r="L658" i="2" s="1"/>
  <c r="L193" i="2" a="1"/>
  <c r="L193" i="2" s="1"/>
  <c r="L623" i="2" a="1"/>
  <c r="L623" i="2" s="1"/>
  <c r="L538" i="2" a="1"/>
  <c r="L538" i="2" s="1"/>
  <c r="L667" i="2" a="1"/>
  <c r="L667" i="2" s="1"/>
  <c r="L121" i="2" a="1"/>
  <c r="L121" i="2" s="1"/>
  <c r="L539" i="2" a="1"/>
  <c r="L539" i="2" s="1"/>
  <c r="L439" i="2" a="1"/>
  <c r="L439" i="2" s="1"/>
  <c r="L305" i="2" a="1"/>
  <c r="L305" i="2" s="1"/>
  <c r="L450" i="2" a="1"/>
  <c r="L450" i="2" s="1"/>
  <c r="L659" i="2" a="1"/>
  <c r="L659" i="2" s="1"/>
  <c r="L148" i="2" a="1"/>
  <c r="L148" i="2" s="1"/>
  <c r="L492" i="2" a="1"/>
  <c r="L492" i="2" s="1"/>
  <c r="L129" i="2" a="1"/>
  <c r="L129" i="2" s="1"/>
  <c r="L111" i="2" a="1"/>
  <c r="L111" i="2" s="1"/>
  <c r="L32" i="2" a="1"/>
  <c r="L32" i="2" s="1"/>
  <c r="L37" i="2" a="1"/>
  <c r="L37" i="2" s="1"/>
  <c r="L665" i="2" a="1"/>
  <c r="L665" i="2" s="1"/>
  <c r="L506" i="2" a="1"/>
  <c r="L506" i="2" s="1"/>
  <c r="L567" i="2" a="1"/>
  <c r="L567" i="2" s="1"/>
  <c r="L31" i="2" a="1"/>
  <c r="L31" i="2" s="1"/>
  <c r="L128" i="2" a="1"/>
  <c r="L128" i="2" s="1"/>
  <c r="L286" i="2" a="1"/>
  <c r="L286" i="2" s="1"/>
  <c r="L353" i="2" a="1"/>
  <c r="L353" i="2" s="1"/>
  <c r="L255" i="2" a="1"/>
  <c r="L255" i="2" s="1"/>
  <c r="L53" i="2" a="1"/>
  <c r="L53" i="2" s="1"/>
  <c r="L127" i="2" a="1"/>
  <c r="L127" i="2" s="1"/>
  <c r="L228" i="2" a="1"/>
  <c r="L228" i="2" s="1"/>
  <c r="L346" i="2" a="1"/>
  <c r="L346" i="2" s="1"/>
  <c r="L88" i="2" a="1"/>
  <c r="L88" i="2" s="1"/>
  <c r="L15" i="2" a="1"/>
  <c r="L15" i="2" s="1"/>
  <c r="L234" i="2" a="1"/>
  <c r="L234" i="2" s="1"/>
  <c r="L230" i="2" a="1"/>
  <c r="L230" i="2" s="1"/>
  <c r="L216" i="2" a="1"/>
  <c r="L216" i="2" s="1"/>
  <c r="L189" i="2" a="1"/>
  <c r="L189" i="2" s="1"/>
  <c r="L264" i="2" a="1"/>
  <c r="L264" i="2" s="1"/>
  <c r="L198" i="2" a="1"/>
  <c r="L198" i="2" s="1"/>
  <c r="L359" i="2" a="1"/>
  <c r="L359" i="2" s="1"/>
  <c r="L181" i="2" a="1"/>
  <c r="L181" i="2" s="1"/>
  <c r="L270" i="2" a="1"/>
  <c r="L270" i="2" s="1"/>
  <c r="L295" i="2" a="1"/>
  <c r="L295" i="2" s="1"/>
  <c r="L563" i="2" a="1"/>
  <c r="L563" i="2" s="1"/>
  <c r="L373" i="2" a="1"/>
  <c r="L373" i="2" s="1"/>
  <c r="L131" i="2" a="1"/>
  <c r="L131" i="2" s="1"/>
  <c r="L668" i="2" a="1"/>
  <c r="L668" i="2" s="1"/>
  <c r="L592" i="2" a="1"/>
  <c r="L592" i="2" s="1"/>
  <c r="L594" i="2" a="1"/>
  <c r="L594" i="2" s="1"/>
  <c r="L57" i="2" a="1"/>
  <c r="L57" i="2" s="1"/>
  <c r="L483" i="2" a="1"/>
  <c r="L483" i="2" s="1"/>
  <c r="L123" i="2" a="1"/>
  <c r="L123" i="2" s="1"/>
  <c r="L285" i="2" a="1"/>
  <c r="L285" i="2" s="1"/>
  <c r="L438" i="2" a="1"/>
  <c r="L438" i="2" s="1"/>
  <c r="L46" i="2" a="1"/>
  <c r="L46" i="2" s="1"/>
  <c r="L120" i="2" a="1"/>
  <c r="L120" i="2" s="1"/>
  <c r="L54" i="2" a="1"/>
  <c r="L54" i="2" s="1"/>
  <c r="L360" i="2" a="1"/>
  <c r="L360" i="2" s="1"/>
  <c r="L249" i="2" a="1"/>
  <c r="L249" i="2" s="1"/>
  <c r="L213" i="2" a="1"/>
  <c r="L213" i="2" s="1"/>
  <c r="L515" i="2" a="1"/>
  <c r="L515" i="2" s="1"/>
  <c r="L155" i="2" a="1"/>
  <c r="L155" i="2" s="1"/>
  <c r="L544" i="2" a="1"/>
  <c r="L544" i="2" s="1"/>
  <c r="L649" i="2" a="1"/>
  <c r="L649" i="2" s="1"/>
  <c r="L67" i="2" a="1"/>
  <c r="L67" i="2" s="1"/>
  <c r="L143" i="2" a="1"/>
  <c r="L143" i="2" s="1"/>
  <c r="L541" i="2" a="1"/>
  <c r="L541" i="2" s="1"/>
  <c r="L138" i="2" a="1"/>
  <c r="L138" i="2" s="1"/>
  <c r="L71" i="2" a="1"/>
  <c r="L71" i="2" s="1"/>
  <c r="L347" i="2" a="1"/>
  <c r="L347" i="2" s="1"/>
  <c r="L147" i="2" a="1"/>
  <c r="L147" i="2" s="1"/>
  <c r="L396" i="2" a="1"/>
  <c r="L396" i="2" s="1"/>
  <c r="L509" i="2" a="1"/>
  <c r="L509" i="2" s="1"/>
  <c r="L547" i="2" a="1"/>
  <c r="L547" i="2" s="1"/>
  <c r="L238" i="2" a="1"/>
  <c r="L238" i="2" s="1"/>
  <c r="L371" i="2" a="1"/>
  <c r="L371" i="2" s="1"/>
  <c r="L426" i="2" a="1"/>
  <c r="L426" i="2" s="1"/>
  <c r="L662" i="2" a="1"/>
  <c r="L662" i="2" s="1"/>
  <c r="L620" i="2" a="1"/>
  <c r="L620" i="2" s="1"/>
  <c r="L40" i="2" a="1"/>
  <c r="L40" i="2" s="1"/>
  <c r="L243" i="2" a="1"/>
  <c r="L243" i="2" s="1"/>
  <c r="L231" i="2" a="1"/>
  <c r="L231" i="2" s="1"/>
  <c r="L350" i="2" a="1"/>
  <c r="L350" i="2" s="1"/>
  <c r="L553" i="2" a="1"/>
  <c r="L553" i="2" s="1"/>
  <c r="L351" i="2" a="1"/>
  <c r="L351" i="2" s="1"/>
  <c r="L482" i="2" a="1"/>
  <c r="L482" i="2" s="1"/>
  <c r="L254" i="2" a="1"/>
  <c r="L254" i="2" s="1"/>
  <c r="L494" i="2" a="1"/>
  <c r="L494" i="2" s="1"/>
  <c r="L268" i="2" a="1"/>
  <c r="L268" i="2" s="1"/>
  <c r="L395" i="2" a="1"/>
  <c r="L395" i="2" s="1"/>
  <c r="L211" i="2" a="1"/>
  <c r="L211" i="2" s="1"/>
  <c r="L397" i="2" a="1"/>
  <c r="L397" i="2" s="1"/>
  <c r="L69" i="2" a="1"/>
  <c r="L69" i="2" s="1"/>
  <c r="L92" i="2" a="1"/>
  <c r="L92" i="2" s="1"/>
  <c r="L95" i="2" a="1"/>
  <c r="L95" i="2" s="1"/>
  <c r="L277" i="2" a="1"/>
  <c r="L277" i="2" s="1"/>
  <c r="L105" i="2" a="1"/>
  <c r="L105" i="2" s="1"/>
  <c r="L261" i="2" a="1"/>
  <c r="L261" i="2" s="1"/>
  <c r="L508" i="2" a="1"/>
  <c r="L508" i="2" s="1"/>
  <c r="L384" i="2" a="1"/>
  <c r="L384" i="2" s="1"/>
  <c r="K5" i="1" a="1"/>
  <c r="K5" i="1" s="1"/>
  <c r="K5" i="2" a="1"/>
  <c r="K5" i="2" s="1"/>
  <c r="L424" i="2" a="1"/>
  <c r="L424" i="2" s="1"/>
  <c r="L458" i="2" a="1"/>
  <c r="L458" i="2" s="1"/>
  <c r="L142" i="2" a="1"/>
  <c r="L142" i="2" s="1"/>
  <c r="L177" i="2" a="1"/>
  <c r="L177" i="2" s="1"/>
  <c r="L334" i="2" a="1"/>
  <c r="L334" i="2" s="1"/>
  <c r="L312" i="2" a="1"/>
  <c r="L312" i="2" s="1"/>
  <c r="L144" i="2" a="1"/>
  <c r="L144" i="2" s="1"/>
  <c r="L122" i="2" a="1"/>
  <c r="L122" i="2" s="1"/>
  <c r="L440" i="2" a="1"/>
  <c r="L440" i="2" s="1"/>
  <c r="L543" i="2" a="1"/>
  <c r="L543" i="2" s="1"/>
  <c r="L104" i="2" a="1"/>
  <c r="L104" i="2" s="1"/>
  <c r="L187" i="2" a="1"/>
  <c r="L187" i="2" s="1"/>
  <c r="L345" i="2" a="1"/>
  <c r="L345" i="2" s="1"/>
  <c r="L595" i="2" a="1"/>
  <c r="L595" i="2" s="1"/>
  <c r="L596" i="2" a="1"/>
  <c r="L596" i="2" s="1"/>
  <c r="L256" i="2" a="1"/>
  <c r="L256" i="2" s="1"/>
  <c r="L19" i="2" a="1"/>
  <c r="L19" i="2" s="1"/>
  <c r="L566" i="2" a="1"/>
  <c r="L566" i="2" s="1"/>
  <c r="L568" i="2" a="1"/>
  <c r="L568" i="2" s="1"/>
  <c r="L210" i="2" a="1"/>
  <c r="L210" i="2" s="1"/>
  <c r="L110" i="2" a="1"/>
  <c r="L110" i="2" s="1"/>
  <c r="L102" i="2" a="1"/>
  <c r="L102" i="2" s="1"/>
  <c r="L650" i="2" a="1"/>
  <c r="L650" i="2" s="1"/>
  <c r="L94" i="2" a="1"/>
  <c r="L94" i="2" s="1"/>
  <c r="L68" i="2" a="1"/>
  <c r="L68" i="2" s="1"/>
  <c r="L430" i="2" a="1"/>
  <c r="L430" i="2" s="1"/>
  <c r="G2" i="3" a="1"/>
  <c r="G2" i="3" s="1"/>
  <c r="L3" i="2" a="1"/>
  <c r="L3" i="2" s="1"/>
  <c r="L247" i="2" a="1"/>
  <c r="L247" i="2" s="1"/>
  <c r="L101" i="2" a="1"/>
  <c r="L101" i="2" s="1"/>
  <c r="L545" i="2" a="1"/>
  <c r="L545" i="2" s="1"/>
  <c r="L83" i="2" a="1"/>
  <c r="L83" i="2" s="1"/>
  <c r="L671" i="2" a="1"/>
  <c r="L671" i="2" s="1"/>
  <c r="L321" i="2" a="1"/>
  <c r="L321" i="2" s="1"/>
  <c r="L602" i="2" a="1"/>
  <c r="L602" i="2" s="1"/>
  <c r="L585" i="2" a="1"/>
  <c r="L585" i="2" s="1"/>
  <c r="L49" i="2" a="1"/>
  <c r="L49" i="2" s="1"/>
  <c r="L335" i="2" a="1"/>
  <c r="L335" i="2" s="1"/>
  <c r="L365" i="2" a="1"/>
  <c r="L365" i="2" s="1"/>
  <c r="L118" i="2" a="1"/>
  <c r="L118" i="2" s="1"/>
  <c r="L60" i="2" a="1"/>
  <c r="L60" i="2" s="1"/>
  <c r="L473" i="2" a="1"/>
  <c r="L473" i="2" s="1"/>
  <c r="L273" i="2" a="1"/>
  <c r="L273" i="2" s="1"/>
  <c r="L65" i="2" a="1"/>
  <c r="L65" i="2" s="1"/>
  <c r="L369" i="2" a="1"/>
  <c r="L369" i="2" s="1"/>
  <c r="L205" i="2" a="1"/>
  <c r="L205" i="2" s="1"/>
  <c r="L587" i="2" a="1"/>
  <c r="L587" i="2" s="1"/>
  <c r="L647" i="2" a="1"/>
  <c r="L647" i="2" s="1"/>
  <c r="L456" i="2" a="1"/>
  <c r="L456" i="2" s="1"/>
  <c r="L570" i="2" a="1"/>
  <c r="L570" i="2" s="1"/>
  <c r="L513" i="2" a="1"/>
  <c r="L513" i="2" s="1"/>
  <c r="L501" i="2" a="1"/>
  <c r="L501" i="2" s="1"/>
  <c r="L565" i="2" a="1"/>
  <c r="L565" i="2" s="1"/>
  <c r="L332" i="2" a="1"/>
  <c r="L332" i="2" s="1"/>
  <c r="L281" i="2" a="1"/>
  <c r="L281" i="2" s="1"/>
  <c r="L375" i="2" a="1"/>
  <c r="L375" i="2" s="1"/>
  <c r="L400" i="2" a="1"/>
  <c r="L400" i="2" s="1"/>
  <c r="L361" i="2" a="1"/>
  <c r="L361" i="2" s="1"/>
  <c r="L302" i="2" a="1"/>
  <c r="L302" i="2" s="1"/>
  <c r="L179" i="2" a="1"/>
  <c r="L179" i="2" s="1"/>
  <c r="L367" i="2" a="1"/>
  <c r="L367" i="2" s="1"/>
  <c r="L114" i="2" a="1"/>
  <c r="L114" i="2" s="1"/>
  <c r="L435" i="2" a="1"/>
  <c r="L435" i="2" s="1"/>
  <c r="L250" i="2" a="1"/>
  <c r="L250" i="2" s="1"/>
  <c r="L505" i="2" a="1"/>
  <c r="L505" i="2" s="1"/>
  <c r="L423" i="2" a="1"/>
  <c r="L423" i="2" s="1"/>
  <c r="L514" i="2" a="1"/>
  <c r="L514" i="2" s="1"/>
  <c r="L635" i="2" a="1"/>
  <c r="L635" i="2" s="1"/>
  <c r="L55" i="2" a="1"/>
  <c r="L55" i="2" s="1"/>
  <c r="L340" i="2" a="1"/>
  <c r="L340" i="2" s="1"/>
  <c r="L237" i="2" a="1"/>
  <c r="L237" i="2" s="1"/>
  <c r="L267" i="2" a="1"/>
  <c r="L267" i="2" s="1"/>
  <c r="L520" i="2" a="1"/>
  <c r="L520" i="2" s="1"/>
  <c r="L408" i="2" a="1"/>
  <c r="L408" i="2" s="1"/>
  <c r="L209" i="2" a="1"/>
  <c r="L209" i="2" s="1"/>
  <c r="L90" i="2" a="1"/>
  <c r="L90" i="2" s="1"/>
  <c r="L160" i="2" a="1"/>
  <c r="L160" i="2" s="1"/>
  <c r="L632" i="2" a="1"/>
  <c r="L632" i="2" s="1"/>
  <c r="L301" i="2" a="1"/>
  <c r="L301" i="2" s="1"/>
  <c r="L48" i="2" a="1"/>
  <c r="L48" i="2" s="1"/>
  <c r="L246" i="2" a="1"/>
  <c r="L246" i="2" s="1"/>
  <c r="L449" i="2" a="1"/>
  <c r="L449" i="2" s="1"/>
  <c r="L84" i="2" a="1"/>
  <c r="L84" i="2" s="1"/>
  <c r="L217" i="2" a="1"/>
  <c r="L217" i="2" s="1"/>
  <c r="L422" i="2" a="1"/>
  <c r="L422" i="2" s="1"/>
  <c r="L451" i="2" a="1"/>
  <c r="L451" i="2" s="1"/>
  <c r="L560" i="2" a="1"/>
  <c r="L560" i="2" s="1"/>
  <c r="L651" i="2" a="1"/>
  <c r="L651" i="2" s="1"/>
  <c r="L619" i="2" a="1"/>
  <c r="L619" i="2" s="1"/>
  <c r="L642" i="2" a="1"/>
  <c r="L642" i="2" s="1"/>
  <c r="L441" i="2" a="1"/>
  <c r="L441" i="2" s="1"/>
  <c r="L172" i="2" a="1"/>
  <c r="L172" i="2" s="1"/>
  <c r="L318" i="2" a="1"/>
  <c r="L318" i="2" s="1"/>
  <c r="L257" i="2" a="1"/>
  <c r="L257" i="2" s="1"/>
  <c r="L98" i="2" a="1"/>
  <c r="L98" i="2" s="1"/>
  <c r="L27" i="2" a="1"/>
  <c r="L27" i="2" s="1"/>
  <c r="L394" i="2" a="1"/>
  <c r="L394" i="2" s="1"/>
  <c r="L546" i="2" a="1"/>
  <c r="L546" i="2" s="1"/>
  <c r="L125" i="2" a="1"/>
  <c r="L125" i="2" s="1"/>
  <c r="L103" i="2" a="1"/>
  <c r="L103" i="2" s="1"/>
  <c r="L497" i="2" a="1"/>
  <c r="L497" i="2" s="1"/>
  <c r="L493" i="2" a="1"/>
  <c r="L493" i="2" s="1"/>
  <c r="L561" i="2" a="1"/>
  <c r="L561" i="2" s="1"/>
  <c r="L133" i="2" a="1"/>
  <c r="L133" i="2" s="1"/>
  <c r="L393" i="2" a="1"/>
  <c r="L393" i="2" s="1"/>
  <c r="L669" i="2" a="1"/>
  <c r="L669" i="2" s="1"/>
  <c r="L480" i="2" a="1"/>
  <c r="L480" i="2" s="1"/>
  <c r="L617" i="2" a="1"/>
  <c r="L617" i="2" s="1"/>
  <c r="L218" i="2" a="1"/>
  <c r="L218" i="2" s="1"/>
  <c r="L591" i="2" a="1"/>
  <c r="L591" i="2" s="1"/>
  <c r="L625" i="2" a="1"/>
  <c r="L625" i="2" s="1"/>
  <c r="L455" i="2" a="1"/>
  <c r="L455" i="2" s="1"/>
  <c r="L528" i="2" a="1"/>
  <c r="L528" i="2" s="1"/>
  <c r="L203" i="2" a="1"/>
  <c r="L203" i="2" s="1"/>
  <c r="G6" i="3" a="1"/>
  <c r="G6" i="3" s="1"/>
  <c r="L18" i="2" a="1"/>
  <c r="L18" i="2" s="1"/>
  <c r="L469" i="2" a="1"/>
  <c r="L469" i="2" s="1"/>
  <c r="L404" i="2" a="1"/>
  <c r="L404" i="2" s="1"/>
  <c r="L631" i="2" a="1"/>
  <c r="L631" i="2" s="1"/>
  <c r="L516" i="2" a="1"/>
  <c r="L516" i="2" s="1"/>
  <c r="L253" i="2" a="1"/>
  <c r="L253" i="2" s="1"/>
  <c r="L30" i="2" a="1"/>
  <c r="L30" i="2" s="1"/>
  <c r="L328" i="2" a="1"/>
  <c r="L328" i="2" s="1"/>
  <c r="L425" i="2" a="1"/>
  <c r="L425" i="2" s="1"/>
  <c r="L398" i="2" a="1"/>
  <c r="L398" i="2" s="1"/>
  <c r="L421" i="2" a="1"/>
  <c r="L421" i="2" s="1"/>
  <c r="L116" i="2" a="1"/>
  <c r="L116" i="2" s="1"/>
  <c r="L140" i="2" a="1"/>
  <c r="L140" i="2" s="1"/>
  <c r="L197" i="2" a="1"/>
  <c r="L197" i="2" s="1"/>
  <c r="L20" i="2" a="1"/>
  <c r="L20" i="2" s="1"/>
  <c r="L436" i="2" a="1"/>
  <c r="L436" i="2" s="1"/>
  <c r="L220" i="2" a="1"/>
  <c r="L220" i="2" s="1"/>
  <c r="L504" i="2" a="1"/>
  <c r="L504" i="2" s="1"/>
  <c r="L548" i="2" a="1"/>
  <c r="L548" i="2" s="1"/>
  <c r="L159" i="2" a="1"/>
  <c r="L159" i="2" s="1"/>
  <c r="L287" i="2" a="1"/>
  <c r="L287" i="2" s="1"/>
  <c r="L341" i="2" a="1"/>
  <c r="L341" i="2" s="1"/>
  <c r="L313" i="2" a="1"/>
  <c r="L313" i="2" s="1"/>
  <c r="L308" i="2" a="1"/>
  <c r="L308" i="2" s="1"/>
  <c r="L460" i="2" a="1"/>
  <c r="L460" i="2" s="1"/>
  <c r="L612" i="2" a="1"/>
  <c r="L612" i="2" s="1"/>
  <c r="L533" i="2" a="1"/>
  <c r="L533" i="2" s="1"/>
  <c r="L614" i="2" a="1"/>
  <c r="L614" i="2" s="1"/>
  <c r="L219" i="2" a="1"/>
  <c r="L219" i="2" s="1"/>
  <c r="L598" i="2" a="1"/>
  <c r="L598" i="2" s="1"/>
  <c r="L325" i="2" a="1"/>
  <c r="L325" i="2" s="1"/>
  <c r="L454" i="2" a="1"/>
  <c r="L454" i="2" s="1"/>
  <c r="L241" i="2" a="1"/>
  <c r="L241" i="2" s="1"/>
  <c r="L343" i="2" a="1"/>
  <c r="L343" i="2" s="1"/>
  <c r="L487" i="2" a="1"/>
  <c r="L487" i="2" s="1"/>
  <c r="L519" i="2" a="1"/>
  <c r="L519" i="2" s="1"/>
  <c r="L496" i="2" a="1"/>
  <c r="L496" i="2" s="1"/>
  <c r="L586" i="2" a="1"/>
  <c r="L586" i="2" s="1"/>
  <c r="L383" i="2" a="1"/>
  <c r="L383" i="2" s="1"/>
  <c r="L191" i="2" a="1"/>
  <c r="L191" i="2" s="1"/>
  <c r="L478" i="2" a="1"/>
  <c r="L478" i="2" s="1"/>
  <c r="L374" i="2" a="1"/>
  <c r="L374" i="2" s="1"/>
  <c r="L364" i="2" a="1"/>
  <c r="L364" i="2" s="1"/>
  <c r="L263" i="2" a="1"/>
  <c r="L263" i="2" s="1"/>
  <c r="L372" i="2" a="1"/>
  <c r="L372" i="2" s="1"/>
  <c r="L202" i="2" a="1"/>
  <c r="L202" i="2" s="1"/>
  <c r="L442" i="2" a="1"/>
  <c r="L442" i="2" s="1"/>
  <c r="L244" i="2" a="1"/>
  <c r="L244" i="2" s="1"/>
  <c r="L124" i="2" a="1"/>
  <c r="L124" i="2" s="1"/>
  <c r="L634" i="2" a="1"/>
  <c r="L634" i="2" s="1"/>
  <c r="L337" i="2" a="1"/>
  <c r="L337" i="2" s="1"/>
  <c r="L472" i="2" a="1"/>
  <c r="L472" i="2" s="1"/>
  <c r="L115" i="2" a="1"/>
  <c r="L115" i="2" s="1"/>
  <c r="L292" i="2" a="1"/>
  <c r="L292" i="2" s="1"/>
  <c r="L248" i="2" a="1"/>
  <c r="L248" i="2" s="1"/>
  <c r="L522" i="2" a="1"/>
  <c r="L522" i="2" s="1"/>
  <c r="L581" i="2" a="1"/>
  <c r="L581" i="2" s="1"/>
  <c r="L79" i="2" a="1"/>
  <c r="L79" i="2" s="1"/>
  <c r="L577" i="2" a="1"/>
  <c r="L577" i="2" s="1"/>
  <c r="L495" i="2" a="1"/>
  <c r="L495" i="2" s="1"/>
  <c r="L352" i="2" a="1"/>
  <c r="L352" i="2" s="1"/>
  <c r="L38" i="2" a="1"/>
  <c r="L38" i="2" s="1"/>
  <c r="L392" i="2" a="1"/>
  <c r="L392" i="2" s="1"/>
  <c r="G14" i="3" a="1"/>
  <c r="G14" i="3" s="1"/>
  <c r="L6" i="2" a="1"/>
  <c r="L6" i="2" s="1"/>
  <c r="L432" i="2" a="1"/>
  <c r="L432" i="2" s="1"/>
  <c r="L461" i="2" a="1"/>
  <c r="L461" i="2" s="1"/>
  <c r="L7" i="2" a="1"/>
  <c r="L7" i="2" s="1"/>
  <c r="L34" i="2" a="1"/>
  <c r="L34" i="2" s="1"/>
  <c r="L51" i="2" a="1"/>
  <c r="L51" i="2" s="1"/>
  <c r="L411" i="2" a="1"/>
  <c r="L411" i="2" s="1"/>
  <c r="L226" i="2" a="1"/>
  <c r="L226" i="2" s="1"/>
  <c r="L175" i="2" a="1"/>
  <c r="L175" i="2" s="1"/>
  <c r="L167" i="2" a="1"/>
  <c r="L167" i="2" s="1"/>
  <c r="L366" i="2" a="1"/>
  <c r="L366" i="2" s="1"/>
  <c r="L416" i="2" a="1"/>
  <c r="L416" i="2" s="1"/>
  <c r="L206" i="2" a="1"/>
  <c r="L206" i="2" s="1"/>
  <c r="L174" i="2" a="1"/>
  <c r="L174" i="2" s="1"/>
  <c r="L434" i="2" a="1"/>
  <c r="L434" i="2" s="1"/>
  <c r="L262" i="2" a="1"/>
  <c r="L262" i="2" s="1"/>
  <c r="L484" i="2" a="1"/>
  <c r="L484" i="2" s="1"/>
  <c r="L498" i="2" a="1"/>
  <c r="L498" i="2" s="1"/>
  <c r="L223" i="2" a="1"/>
  <c r="L223" i="2" s="1"/>
  <c r="L462" i="2" a="1"/>
  <c r="L462" i="2" s="1"/>
  <c r="L511" i="2" a="1"/>
  <c r="L511" i="2" s="1"/>
  <c r="L52" i="2" a="1"/>
  <c r="L52" i="2" s="1"/>
  <c r="L291" i="2" a="1"/>
  <c r="L291" i="2" s="1"/>
  <c r="L569" i="2" a="1"/>
  <c r="L569" i="2" s="1"/>
  <c r="L646" i="2" a="1"/>
  <c r="L646" i="2" s="1"/>
  <c r="L648" i="2" a="1"/>
  <c r="L648" i="2" s="1"/>
  <c r="L536" i="2" a="1"/>
  <c r="L536" i="2" s="1"/>
  <c r="L141" i="2" a="1"/>
  <c r="L141" i="2" s="1"/>
  <c r="K2" i="1" a="1"/>
  <c r="K2" i="1" s="1"/>
  <c r="K2" i="2" a="1"/>
  <c r="K2" i="2" s="1"/>
  <c r="L178" i="2" a="1"/>
  <c r="L178" i="2" s="1"/>
  <c r="L86" i="2" a="1"/>
  <c r="L86" i="2" s="1"/>
  <c r="L188" i="2" a="1"/>
  <c r="L188" i="2" s="1"/>
  <c r="L608" i="2" a="1"/>
  <c r="L608" i="2" s="1"/>
  <c r="L557" i="2" a="1"/>
  <c r="L557" i="2" s="1"/>
  <c r="L59" i="2" a="1"/>
  <c r="L59" i="2" s="1"/>
  <c r="L464" i="2" a="1"/>
  <c r="L464" i="2" s="1"/>
  <c r="L82" i="2" a="1"/>
  <c r="L82" i="2" s="1"/>
  <c r="L151" i="2" a="1"/>
  <c r="L151" i="2" s="1"/>
  <c r="L661" i="2" a="1"/>
  <c r="L661" i="2" s="1"/>
  <c r="L638" i="2" a="1"/>
  <c r="L638" i="2" s="1"/>
  <c r="L664" i="2" a="1"/>
  <c r="L664" i="2" s="1"/>
  <c r="L562" i="2" a="1"/>
  <c r="L562" i="2" s="1"/>
  <c r="L194" i="2" a="1"/>
  <c r="L194" i="2" s="1"/>
  <c r="L276" i="2" a="1"/>
  <c r="L276" i="2" s="1"/>
  <c r="L578" i="2" a="1"/>
  <c r="L578" i="2" s="1"/>
  <c r="L73" i="2" a="1"/>
  <c r="L73" i="2" s="1"/>
  <c r="L166" i="2" a="1"/>
  <c r="L166" i="2" s="1"/>
  <c r="L154" i="2" a="1"/>
  <c r="L154" i="2" s="1"/>
  <c r="L611" i="2" a="1"/>
  <c r="L611" i="2" s="1"/>
  <c r="L171" i="2" a="1"/>
  <c r="L171" i="2" s="1"/>
  <c r="L605" i="2" a="1"/>
  <c r="L605" i="2" s="1"/>
  <c r="F58" i="9" l="1" a="1"/>
  <c r="F58" i="9" s="1"/>
  <c r="K525" i="2" s="1" a="1"/>
  <c r="K525" i="2" s="1"/>
  <c r="L525" i="2" s="1" a="1"/>
  <c r="L525" i="2" s="1"/>
  <c r="F12" i="9" a="1"/>
  <c r="F12" i="9" s="1"/>
  <c r="K77" i="2" s="1" a="1"/>
  <c r="K77" i="2" s="1"/>
  <c r="L77" i="2" s="1" a="1"/>
  <c r="L77" i="2" s="1"/>
  <c r="F5" i="9" a="1"/>
  <c r="F5" i="9" s="1"/>
  <c r="K39" i="2" s="1" a="1"/>
  <c r="K39" i="2" s="1"/>
  <c r="L39" i="2" s="1" a="1"/>
  <c r="L39" i="2" s="1"/>
  <c r="F57" i="9" a="1"/>
  <c r="F57" i="9" s="1"/>
  <c r="K523" i="2" s="1" a="1"/>
  <c r="K523" i="2" s="1"/>
  <c r="L523" i="2" s="1" a="1"/>
  <c r="L523" i="2" s="1"/>
  <c r="F26" i="9" a="1"/>
  <c r="F26" i="9" s="1"/>
  <c r="K183" i="2" s="1" a="1"/>
  <c r="K183" i="2" s="1"/>
  <c r="L183" i="2" s="1" a="1"/>
  <c r="L183" i="2" s="1"/>
  <c r="F45" i="9" a="1"/>
  <c r="F45" i="9" s="1"/>
  <c r="K385" i="2" s="1" a="1"/>
  <c r="K385" i="2" s="1"/>
  <c r="L385" i="2" s="1" a="1"/>
  <c r="L385" i="2" s="1"/>
  <c r="F14" i="9" a="1"/>
  <c r="F14" i="9" s="1"/>
  <c r="K81" i="2" s="1" a="1"/>
  <c r="K81" i="2" s="1"/>
  <c r="L81" i="2" s="1" a="1"/>
  <c r="L81" i="2" s="1"/>
  <c r="F30" i="9" a="1"/>
  <c r="F30" i="9" s="1"/>
  <c r="K214" i="2" s="1" a="1"/>
  <c r="K214" i="2" s="1"/>
  <c r="L214" i="2" s="1" a="1"/>
  <c r="L214" i="2" s="1"/>
  <c r="F59" i="9" a="1"/>
  <c r="F59" i="9" s="1"/>
  <c r="K526" i="2" s="1" a="1"/>
  <c r="K526" i="2" s="1"/>
  <c r="L526" i="2" s="1" a="1"/>
  <c r="L526" i="2" s="1"/>
  <c r="F25" i="9" a="1"/>
  <c r="F25" i="9" s="1"/>
  <c r="K180" i="2" s="1" a="1"/>
  <c r="K180" i="2" s="1"/>
  <c r="L180" i="2" s="1" a="1"/>
  <c r="L180" i="2" s="1"/>
  <c r="F38" i="9" a="1"/>
  <c r="F38" i="9" s="1"/>
  <c r="K324" i="2" s="1" a="1"/>
  <c r="K324" i="2" s="1"/>
  <c r="L324" i="2" s="1" a="1"/>
  <c r="L324" i="2" s="1"/>
  <c r="F46" i="9" a="1"/>
  <c r="F46" i="9" s="1"/>
  <c r="K389" i="2" s="1" a="1"/>
  <c r="K389" i="2" s="1"/>
  <c r="L389" i="2" s="1" a="1"/>
  <c r="L389" i="2" s="1"/>
  <c r="F34" i="9" a="1"/>
  <c r="F34" i="9" s="1"/>
  <c r="K289" i="2" s="1" a="1"/>
  <c r="K289" i="2" s="1"/>
  <c r="L289" i="2" s="1" a="1"/>
  <c r="L289" i="2" s="1"/>
  <c r="E24" i="2" a="1"/>
  <c r="E24" i="2" s="1"/>
  <c r="C25" i="3" s="1" a="1"/>
  <c r="C25" i="3" s="1"/>
  <c r="F55" i="9" a="1"/>
  <c r="F55" i="9" s="1"/>
  <c r="K507" i="2" s="1" a="1"/>
  <c r="K507" i="2" s="1"/>
  <c r="L507" i="2" s="1" a="1"/>
  <c r="L507" i="2" s="1"/>
  <c r="F20" i="9" a="1"/>
  <c r="F20" i="9" s="1"/>
  <c r="K135" i="2" s="1" a="1"/>
  <c r="K135" i="2" s="1"/>
  <c r="L135" i="2" s="1" a="1"/>
  <c r="L135" i="2" s="1"/>
  <c r="F49" i="9" a="1"/>
  <c r="F49" i="9" s="1"/>
  <c r="K427" i="2" s="1" a="1"/>
  <c r="K427" i="2" s="1"/>
  <c r="L427" i="2" s="1" a="1"/>
  <c r="L427" i="2" s="1"/>
  <c r="F7" i="9" a="1"/>
  <c r="F7" i="9" s="1"/>
  <c r="K47" i="2" s="1" a="1"/>
  <c r="K47" i="2" s="1"/>
  <c r="L47" i="2" s="1" a="1"/>
  <c r="L47" i="2" s="1"/>
  <c r="F22" i="9" a="1"/>
  <c r="F22" i="9" s="1"/>
  <c r="K146" i="2" s="1" a="1"/>
  <c r="K146" i="2" s="1"/>
  <c r="F33" i="9" a="1"/>
  <c r="F33" i="9" s="1"/>
  <c r="K271" i="2" s="1" a="1"/>
  <c r="K271" i="2" s="1"/>
  <c r="L271" i="2" s="1" a="1"/>
  <c r="L271" i="2" s="1"/>
  <c r="F11" i="9" a="1"/>
  <c r="F11" i="9" s="1"/>
  <c r="K72" i="2" s="1" a="1"/>
  <c r="K72" i="2" s="1"/>
  <c r="L72" i="2" s="1" a="1"/>
  <c r="L72" i="2" s="1"/>
  <c r="F6" i="9" a="1"/>
  <c r="F6" i="9" s="1"/>
  <c r="K45" i="2" s="1" a="1"/>
  <c r="K45" i="2" s="1"/>
  <c r="L45" i="2" s="1" a="1"/>
  <c r="L45" i="2" s="1"/>
  <c r="F48" i="9" a="1"/>
  <c r="F48" i="9" s="1"/>
  <c r="K410" i="2" s="1" a="1"/>
  <c r="K410" i="2" s="1"/>
  <c r="F4" i="9" a="1"/>
  <c r="F4" i="9" s="1"/>
  <c r="K26" i="2" s="1" a="1"/>
  <c r="K26" i="2" s="1"/>
  <c r="F21" i="9" a="1"/>
  <c r="F21" i="9" s="1"/>
  <c r="K136" i="2" s="1" a="1"/>
  <c r="K136" i="2" s="1"/>
  <c r="L136" i="2" s="1" a="1"/>
  <c r="L136" i="2" s="1"/>
  <c r="F52" i="9" a="1"/>
  <c r="F52" i="9" s="1"/>
  <c r="K485" i="2" s="1" a="1"/>
  <c r="K485" i="2" s="1"/>
  <c r="L485" i="2" s="1" a="1"/>
  <c r="L485" i="2" s="1"/>
  <c r="F37" i="9" a="1"/>
  <c r="F37" i="9" s="1"/>
  <c r="K306" i="2" s="1" a="1"/>
  <c r="K306" i="2" s="1"/>
  <c r="F47" i="9" a="1"/>
  <c r="F47" i="9" s="1"/>
  <c r="K405" i="2" s="1" a="1"/>
  <c r="K405" i="2" s="1"/>
  <c r="L405" i="2" s="1" a="1"/>
  <c r="L405" i="2" s="1"/>
  <c r="F16" i="9" a="1"/>
  <c r="F16" i="9" s="1"/>
  <c r="K97" i="2" s="1" a="1"/>
  <c r="K97" i="2" s="1"/>
  <c r="L97" i="2" s="1" a="1"/>
  <c r="L97" i="2" s="1"/>
  <c r="F10" i="9" a="1"/>
  <c r="F10" i="9" s="1"/>
  <c r="K66" i="2" s="1" a="1"/>
  <c r="K66" i="2" s="1"/>
  <c r="L66" i="2" s="1" a="1"/>
  <c r="L66" i="2" s="1"/>
  <c r="F24" i="9" a="1"/>
  <c r="F24" i="9" s="1"/>
  <c r="K170" i="2" s="1" a="1"/>
  <c r="K170" i="2" s="1"/>
  <c r="L170" i="2" s="1" a="1"/>
  <c r="L170" i="2" s="1"/>
  <c r="F32" i="9" a="1"/>
  <c r="F32" i="9" s="1"/>
  <c r="K265" i="2" s="1" a="1"/>
  <c r="K265" i="2" s="1"/>
  <c r="L265" i="2" s="1" a="1"/>
  <c r="L265" i="2" s="1"/>
  <c r="F41" i="9" a="1"/>
  <c r="F41" i="9" s="1"/>
  <c r="K368" i="2" s="1" a="1"/>
  <c r="K368" i="2" s="1"/>
  <c r="L368" i="2" s="1" a="1"/>
  <c r="L368" i="2" s="1"/>
  <c r="F63" i="9" a="1"/>
  <c r="F63" i="9" s="1"/>
  <c r="K535" i="2" s="1" a="1"/>
  <c r="K535" i="2" s="1"/>
  <c r="L535" i="2" s="1" a="1"/>
  <c r="L535" i="2" s="1"/>
  <c r="F23" i="9" a="1"/>
  <c r="F23" i="9" s="1"/>
  <c r="K153" i="2" s="1" a="1"/>
  <c r="K153" i="2" s="1"/>
  <c r="L153" i="2" s="1" a="1"/>
  <c r="L153" i="2" s="1"/>
  <c r="F18" i="9" a="1"/>
  <c r="F18" i="9" s="1"/>
  <c r="K109" i="2" s="1" a="1"/>
  <c r="K109" i="2" s="1"/>
  <c r="L109" i="2" s="1" a="1"/>
  <c r="L109" i="2" s="1"/>
  <c r="F3" i="9" a="1"/>
  <c r="F3" i="9" s="1"/>
  <c r="F65" i="9" a="1"/>
  <c r="F65" i="9" s="1"/>
  <c r="K576" i="2" s="1" a="1"/>
  <c r="K576" i="2" s="1"/>
  <c r="L576" i="2" s="1" a="1"/>
  <c r="L576" i="2" s="1"/>
  <c r="F54" i="9" a="1"/>
  <c r="F54" i="9" s="1"/>
  <c r="K490" i="2" s="1" a="1"/>
  <c r="K490" i="2" s="1"/>
  <c r="F50" i="9" a="1"/>
  <c r="F50" i="9" s="1"/>
  <c r="K433" i="2" s="1" a="1"/>
  <c r="K433" i="2" s="1"/>
  <c r="L433" i="2" s="1" a="1"/>
  <c r="L433" i="2" s="1"/>
  <c r="F60" i="9" a="1"/>
  <c r="F60" i="9" s="1"/>
  <c r="K527" i="2" s="1" a="1"/>
  <c r="K527" i="2" s="1"/>
  <c r="F53" i="9" a="1"/>
  <c r="F53" i="9" s="1"/>
  <c r="K489" i="2" s="1" a="1"/>
  <c r="K489" i="2" s="1"/>
  <c r="L489" i="2" s="1" a="1"/>
  <c r="L489" i="2" s="1"/>
  <c r="F13" i="9" a="1"/>
  <c r="F13" i="9" s="1"/>
  <c r="K80" i="2" s="1" a="1"/>
  <c r="K80" i="2" s="1"/>
  <c r="L80" i="2" s="1" a="1"/>
  <c r="L80" i="2" s="1"/>
  <c r="F44" i="9" a="1"/>
  <c r="F44" i="9" s="1"/>
  <c r="K381" i="2" s="1" a="1"/>
  <c r="K381" i="2" s="1"/>
  <c r="L381" i="2" s="1" a="1"/>
  <c r="L381" i="2" s="1"/>
  <c r="F62" i="9" a="1"/>
  <c r="F62" i="9" s="1"/>
  <c r="K534" i="2" s="1" a="1"/>
  <c r="K534" i="2" s="1"/>
  <c r="L534" i="2" s="1" a="1"/>
  <c r="L534" i="2" s="1"/>
  <c r="F66" i="9" a="1"/>
  <c r="F66" i="9" s="1"/>
  <c r="K580" i="2" s="1" a="1"/>
  <c r="K580" i="2" s="1"/>
  <c r="L580" i="2" s="1" a="1"/>
  <c r="L580" i="2" s="1"/>
  <c r="F43" i="9" a="1"/>
  <c r="F43" i="9" s="1"/>
  <c r="K379" i="2" s="1" a="1"/>
  <c r="K379" i="2" s="1"/>
  <c r="L379" i="2" s="1" a="1"/>
  <c r="L379" i="2" s="1"/>
  <c r="F35" i="9" a="1"/>
  <c r="F35" i="9" s="1"/>
  <c r="K299" i="2" s="1" a="1"/>
  <c r="K299" i="2" s="1"/>
  <c r="L299" i="2" s="1" a="1"/>
  <c r="L299" i="2" s="1"/>
  <c r="F39" i="9" a="1"/>
  <c r="F39" i="9" s="1"/>
  <c r="K333" i="2" s="1" a="1"/>
  <c r="K333" i="2" s="1"/>
  <c r="F8" i="9" a="1"/>
  <c r="F8" i="9" s="1"/>
  <c r="K50" i="2" s="1" a="1"/>
  <c r="K50" i="2" s="1"/>
  <c r="L50" i="2" s="1" a="1"/>
  <c r="L50" i="2" s="1"/>
  <c r="F64" i="9" a="1"/>
  <c r="F64" i="9" s="1"/>
  <c r="K537" i="2" s="1" a="1"/>
  <c r="K537" i="2" s="1"/>
  <c r="L537" i="2" s="1" a="1"/>
  <c r="L537" i="2" s="1"/>
  <c r="F15" i="9" a="1"/>
  <c r="F15" i="9" s="1"/>
  <c r="K91" i="2" s="1" a="1"/>
  <c r="K91" i="2" s="1"/>
  <c r="L91" i="2" s="1" a="1"/>
  <c r="L91" i="2" s="1"/>
  <c r="F36" i="9" a="1"/>
  <c r="F36" i="9" s="1"/>
  <c r="K303" i="2" s="1" a="1"/>
  <c r="K303" i="2" s="1"/>
  <c r="F51" i="9" a="1"/>
  <c r="F51" i="9" s="1"/>
  <c r="K479" i="2" s="1" a="1"/>
  <c r="K479" i="2" s="1"/>
  <c r="L479" i="2" s="1" a="1"/>
  <c r="L479" i="2" s="1"/>
  <c r="F56" i="9" a="1"/>
  <c r="F56" i="9" s="1"/>
  <c r="K510" i="2" s="1" a="1"/>
  <c r="K510" i="2" s="1"/>
  <c r="L510" i="2" s="1" a="1"/>
  <c r="L510" i="2" s="1"/>
  <c r="F17" i="9" a="1"/>
  <c r="F17" i="9" s="1"/>
  <c r="K108" i="2" s="1" a="1"/>
  <c r="K108" i="2" s="1"/>
  <c r="L108" i="2" s="1" a="1"/>
  <c r="L108" i="2" s="1"/>
  <c r="F28" i="9" a="1"/>
  <c r="F28" i="9" s="1"/>
  <c r="K199" i="2" s="1" a="1"/>
  <c r="K199" i="2" s="1"/>
  <c r="L199" i="2" s="1" a="1"/>
  <c r="L199" i="2" s="1"/>
  <c r="F40" i="9" a="1"/>
  <c r="F40" i="9" s="1"/>
  <c r="K355" i="2" s="1" a="1"/>
  <c r="K355" i="2" s="1"/>
  <c r="L355" i="2" s="1" a="1"/>
  <c r="L355" i="2" s="1"/>
  <c r="F42" i="9" a="1"/>
  <c r="F42" i="9" s="1"/>
  <c r="K377" i="2" s="1" a="1"/>
  <c r="K377" i="2" s="1"/>
  <c r="F61" i="9" a="1"/>
  <c r="F61" i="9" s="1"/>
  <c r="K530" i="2" s="1" a="1"/>
  <c r="K530" i="2" s="1"/>
  <c r="L530" i="2" s="1" a="1"/>
  <c r="L530" i="2" s="1"/>
  <c r="F27" i="9" a="1"/>
  <c r="F27" i="9" s="1"/>
  <c r="K190" i="2" s="1" a="1"/>
  <c r="K190" i="2" s="1"/>
  <c r="F19" i="9" a="1"/>
  <c r="F19" i="9" s="1"/>
  <c r="K117" i="2" s="1" a="1"/>
  <c r="K117" i="2" s="1"/>
  <c r="L117" i="2" s="1" a="1"/>
  <c r="L117" i="2" s="1"/>
  <c r="F29" i="9" a="1"/>
  <c r="F29" i="9" s="1"/>
  <c r="K212" i="2" s="1" a="1"/>
  <c r="K212" i="2" s="1"/>
  <c r="F31" i="9" a="1"/>
  <c r="F31" i="9" s="1"/>
  <c r="K260" i="2" s="1" a="1"/>
  <c r="K260" i="2" s="1"/>
  <c r="L260" i="2" s="1" a="1"/>
  <c r="L260" i="2" s="1"/>
  <c r="F9" i="9" a="1"/>
  <c r="F9" i="9" s="1"/>
  <c r="K63" i="2" s="1" a="1"/>
  <c r="K63" i="2" s="1"/>
  <c r="L63" i="2" s="1" a="1"/>
  <c r="L63" i="2" s="1"/>
  <c r="L5" i="2" a="1"/>
  <c r="L5" i="2" s="1"/>
  <c r="L12" i="2" a="1"/>
  <c r="L12" i="2" s="1"/>
  <c r="G10" i="3" a="1"/>
  <c r="G10" i="3" s="1"/>
  <c r="G22" i="3" s="1" a="1"/>
  <c r="G22" i="3" s="1"/>
  <c r="L4" i="2" a="1"/>
  <c r="L4" i="2" s="1"/>
  <c r="L2" i="2" a="1"/>
  <c r="L2" i="2" s="1"/>
  <c r="L377" i="2" l="1" a="1"/>
  <c r="L377" i="2" s="1"/>
  <c r="L333" i="2" a="1"/>
  <c r="L333" i="2" s="1"/>
  <c r="L190" i="2" a="1"/>
  <c r="L190" i="2" s="1"/>
  <c r="L212" i="2" a="1"/>
  <c r="L212" i="2" s="1"/>
  <c r="L303" i="2" a="1"/>
  <c r="L303" i="2" s="1"/>
  <c r="L527" i="2" a="1"/>
  <c r="L527" i="2" s="1"/>
  <c r="L490" i="2" a="1"/>
  <c r="L490" i="2" s="1"/>
  <c r="L146" i="2" a="1"/>
  <c r="L146" i="2" s="1"/>
  <c r="K6" i="1" a="1"/>
  <c r="K6" i="1" s="1"/>
  <c r="K24" i="2" a="1"/>
  <c r="K24" i="2" s="1"/>
  <c r="A11" i="2" s="1"/>
  <c r="N11" i="2" s="1" a="1"/>
  <c r="N11" i="2" s="1"/>
  <c r="L306" i="2" a="1"/>
  <c r="L306" i="2" s="1"/>
  <c r="L26" i="2" a="1"/>
  <c r="L26" i="2" s="1"/>
  <c r="L410" i="2" a="1"/>
  <c r="L410" i="2" s="1"/>
  <c r="A398" i="2" l="1"/>
  <c r="N398" i="2" s="1" a="1"/>
  <c r="N398" i="2" s="1"/>
  <c r="A94" i="2"/>
  <c r="N94" i="2" s="1" a="1"/>
  <c r="N94" i="2" s="1"/>
  <c r="A505" i="2"/>
  <c r="N505" i="2" s="1" a="1"/>
  <c r="N505" i="2" s="1"/>
  <c r="A203" i="2"/>
  <c r="N203" i="2" s="1" a="1"/>
  <c r="N203" i="2" s="1"/>
  <c r="A326" i="2"/>
  <c r="N326" i="2" s="1" a="1"/>
  <c r="N326" i="2" s="1"/>
  <c r="A82" i="2"/>
  <c r="N82" i="2" s="1" a="1"/>
  <c r="N82" i="2" s="1"/>
  <c r="A267" i="2"/>
  <c r="N267" i="2" s="1" a="1"/>
  <c r="N267" i="2" s="1"/>
  <c r="A157" i="2"/>
  <c r="N157" i="2" s="1" a="1"/>
  <c r="N157" i="2" s="1"/>
  <c r="A396" i="2"/>
  <c r="N396" i="2" s="1" a="1"/>
  <c r="N396" i="2" s="1"/>
  <c r="A188" i="2"/>
  <c r="N188" i="2" s="1" a="1"/>
  <c r="N188" i="2" s="1"/>
  <c r="A258" i="2"/>
  <c r="N258" i="2" s="1" a="1"/>
  <c r="N258" i="2" s="1"/>
  <c r="A224" i="2"/>
  <c r="N224" i="2" s="1" a="1"/>
  <c r="N224" i="2" s="1"/>
  <c r="A530" i="2"/>
  <c r="N530" i="2" s="1" a="1"/>
  <c r="N530" i="2" s="1"/>
  <c r="A670" i="2"/>
  <c r="N670" i="2" s="1" a="1"/>
  <c r="N670" i="2" s="1"/>
  <c r="A138" i="2"/>
  <c r="N138" i="2" s="1" a="1"/>
  <c r="N138" i="2" s="1"/>
  <c r="A574" i="2"/>
  <c r="N574" i="2" s="1" a="1"/>
  <c r="N574" i="2" s="1"/>
  <c r="A515" i="2"/>
  <c r="N515" i="2" s="1" a="1"/>
  <c r="N515" i="2" s="1"/>
  <c r="A186" i="2"/>
  <c r="N186" i="2" s="1" a="1"/>
  <c r="N186" i="2" s="1"/>
  <c r="A652" i="2"/>
  <c r="N652" i="2" s="1" a="1"/>
  <c r="N652" i="2" s="1"/>
  <c r="A46" i="2"/>
  <c r="N46" i="2" s="1" a="1"/>
  <c r="N46" i="2" s="1"/>
  <c r="A36" i="2"/>
  <c r="N36" i="2" s="1" a="1"/>
  <c r="N36" i="2" s="1"/>
  <c r="A109" i="2"/>
  <c r="N109" i="2" s="1" a="1"/>
  <c r="N109" i="2" s="1"/>
  <c r="A536" i="2"/>
  <c r="N536" i="2" s="1" a="1"/>
  <c r="N536" i="2" s="1"/>
  <c r="A100" i="2"/>
  <c r="N100" i="2" s="1" a="1"/>
  <c r="N100" i="2" s="1"/>
  <c r="A407" i="2"/>
  <c r="N407" i="2" s="1" a="1"/>
  <c r="N407" i="2" s="1"/>
  <c r="A135" i="2"/>
  <c r="N135" i="2" s="1" a="1"/>
  <c r="N135" i="2" s="1"/>
  <c r="A420" i="2"/>
  <c r="N420" i="2" s="1" a="1"/>
  <c r="N420" i="2" s="1"/>
  <c r="A409" i="2"/>
  <c r="N409" i="2" s="1" a="1"/>
  <c r="N409" i="2" s="1"/>
  <c r="A68" i="2"/>
  <c r="N68" i="2" s="1" a="1"/>
  <c r="N68" i="2" s="1"/>
  <c r="A62" i="2"/>
  <c r="N62" i="2" s="1" a="1"/>
  <c r="N62" i="2" s="1"/>
  <c r="A459" i="2"/>
  <c r="N459" i="2" s="1" a="1"/>
  <c r="N459" i="2" s="1"/>
  <c r="A571" i="2"/>
  <c r="N571" i="2" s="1" a="1"/>
  <c r="N571" i="2" s="1"/>
  <c r="A261" i="2"/>
  <c r="N261" i="2" s="1" a="1"/>
  <c r="N261" i="2" s="1"/>
  <c r="A173" i="2"/>
  <c r="N173" i="2" s="1" a="1"/>
  <c r="N173" i="2" s="1"/>
  <c r="A317" i="2"/>
  <c r="N317" i="2" s="1" a="1"/>
  <c r="N317" i="2" s="1"/>
  <c r="A264" i="2"/>
  <c r="N264" i="2" s="1" a="1"/>
  <c r="N264" i="2" s="1"/>
  <c r="A133" i="2"/>
  <c r="N133" i="2" s="1" a="1"/>
  <c r="N133" i="2" s="1"/>
  <c r="A445" i="2"/>
  <c r="N445" i="2" s="1" a="1"/>
  <c r="N445" i="2" s="1"/>
  <c r="A526" i="2"/>
  <c r="N526" i="2" s="1" a="1"/>
  <c r="N526" i="2" s="1"/>
  <c r="A161" i="2"/>
  <c r="N161" i="2" s="1" a="1"/>
  <c r="N161" i="2" s="1"/>
  <c r="A70" i="2"/>
  <c r="N70" i="2" s="1" a="1"/>
  <c r="N70" i="2" s="1"/>
  <c r="A54" i="2"/>
  <c r="N54" i="2" s="1" a="1"/>
  <c r="N54" i="2" s="1"/>
  <c r="A200" i="2"/>
  <c r="N200" i="2" s="1" a="1"/>
  <c r="N200" i="2" s="1"/>
  <c r="A608" i="2"/>
  <c r="N608" i="2" s="1" a="1"/>
  <c r="N608" i="2" s="1"/>
  <c r="A45" i="2"/>
  <c r="N45" i="2" s="1" a="1"/>
  <c r="N45" i="2" s="1"/>
  <c r="A455" i="2"/>
  <c r="N455" i="2" s="1" a="1"/>
  <c r="N455" i="2" s="1"/>
  <c r="A307" i="2"/>
  <c r="N307" i="2" s="1" a="1"/>
  <c r="N307" i="2" s="1"/>
  <c r="A492" i="2"/>
  <c r="N492" i="2" s="1" a="1"/>
  <c r="N492" i="2" s="1"/>
  <c r="A636" i="2"/>
  <c r="N636" i="2" s="1" a="1"/>
  <c r="N636" i="2" s="1"/>
  <c r="A647" i="2"/>
  <c r="N647" i="2" s="1" a="1"/>
  <c r="N647" i="2" s="1"/>
  <c r="A417" i="2"/>
  <c r="N417" i="2" s="1" a="1"/>
  <c r="N417" i="2" s="1"/>
  <c r="A435" i="2"/>
  <c r="N435" i="2" s="1" a="1"/>
  <c r="N435" i="2" s="1"/>
  <c r="A37" i="2"/>
  <c r="N37" i="2" s="1" a="1"/>
  <c r="N37" i="2" s="1"/>
  <c r="A331" i="2"/>
  <c r="N331" i="2" s="1" a="1"/>
  <c r="N331" i="2" s="1"/>
  <c r="A665" i="2"/>
  <c r="N665" i="2" s="1" a="1"/>
  <c r="N665" i="2" s="1"/>
  <c r="A9" i="2"/>
  <c r="N9" i="2" s="1" a="1"/>
  <c r="N9" i="2" s="1"/>
  <c r="A653" i="2"/>
  <c r="N653" i="2" s="1" a="1"/>
  <c r="N653" i="2" s="1"/>
  <c r="A67" i="2"/>
  <c r="N67" i="2" s="1" a="1"/>
  <c r="N67" i="2" s="1"/>
  <c r="A508" i="2"/>
  <c r="N508" i="2" s="1" a="1"/>
  <c r="N508" i="2" s="1"/>
  <c r="A179" i="2"/>
  <c r="N179" i="2" s="1" a="1"/>
  <c r="N179" i="2" s="1"/>
  <c r="A290" i="2"/>
  <c r="N290" i="2" s="1" a="1"/>
  <c r="N290" i="2" s="1"/>
  <c r="A165" i="2"/>
  <c r="N165" i="2" s="1" a="1"/>
  <c r="N165" i="2" s="1"/>
  <c r="A533" i="2"/>
  <c r="N533" i="2" s="1" a="1"/>
  <c r="N533" i="2" s="1"/>
  <c r="A471" i="2"/>
  <c r="N471" i="2" s="1" a="1"/>
  <c r="N471" i="2" s="1"/>
  <c r="A255" i="2"/>
  <c r="N255" i="2" s="1" a="1"/>
  <c r="N255" i="2" s="1"/>
  <c r="A10" i="2"/>
  <c r="N10" i="2" s="1" a="1"/>
  <c r="N10" i="2" s="1"/>
  <c r="A422" i="2"/>
  <c r="N422" i="2" s="1" a="1"/>
  <c r="N422" i="2" s="1"/>
  <c r="A528" i="2"/>
  <c r="N528" i="2" s="1" a="1"/>
  <c r="N528" i="2" s="1"/>
  <c r="A447" i="2"/>
  <c r="N447" i="2" s="1" a="1"/>
  <c r="N447" i="2" s="1"/>
  <c r="A478" i="2"/>
  <c r="N478" i="2" s="1" a="1"/>
  <c r="N478" i="2" s="1"/>
  <c r="A308" i="2"/>
  <c r="N308" i="2" s="1" a="1"/>
  <c r="N308" i="2" s="1"/>
  <c r="A456" i="2"/>
  <c r="N456" i="2" s="1" a="1"/>
  <c r="N456" i="2" s="1"/>
  <c r="A13" i="2"/>
  <c r="N13" i="2" s="1" a="1"/>
  <c r="N13" i="2" s="1"/>
  <c r="A433" i="2"/>
  <c r="N433" i="2" s="1" a="1"/>
  <c r="N433" i="2" s="1"/>
  <c r="A654" i="2"/>
  <c r="N654" i="2" s="1" a="1"/>
  <c r="N654" i="2" s="1"/>
  <c r="A602" i="2"/>
  <c r="N602" i="2" s="1" a="1"/>
  <c r="N602" i="2" s="1"/>
  <c r="A313" i="2"/>
  <c r="N313" i="2" s="1" a="1"/>
  <c r="N313" i="2" s="1"/>
  <c r="A61" i="2"/>
  <c r="N61" i="2" s="1" a="1"/>
  <c r="N61" i="2" s="1"/>
  <c r="A266" i="2"/>
  <c r="N266" i="2" s="1" a="1"/>
  <c r="N266" i="2" s="1"/>
  <c r="A136" i="2"/>
  <c r="N136" i="2" s="1" a="1"/>
  <c r="N136" i="2" s="1"/>
  <c r="A623" i="2"/>
  <c r="N623" i="2" s="1" a="1"/>
  <c r="N623" i="2" s="1"/>
  <c r="A464" i="2"/>
  <c r="N464" i="2" s="1" a="1"/>
  <c r="N464" i="2" s="1"/>
  <c r="A428" i="2"/>
  <c r="N428" i="2" s="1" a="1"/>
  <c r="N428" i="2" s="1"/>
  <c r="A29" i="2"/>
  <c r="N29" i="2" s="1" a="1"/>
  <c r="N29" i="2" s="1"/>
  <c r="A77" i="2"/>
  <c r="N77" i="2" s="1" a="1"/>
  <c r="N77" i="2" s="1"/>
  <c r="A341" i="2"/>
  <c r="N341" i="2" s="1" a="1"/>
  <c r="N341" i="2" s="1"/>
  <c r="A646" i="2"/>
  <c r="N646" i="2" s="1" a="1"/>
  <c r="N646" i="2" s="1"/>
  <c r="A322" i="2"/>
  <c r="N322" i="2" s="1" a="1"/>
  <c r="N322" i="2" s="1"/>
  <c r="A565" i="2"/>
  <c r="N565" i="2" s="1" a="1"/>
  <c r="N565" i="2" s="1"/>
  <c r="A297" i="2"/>
  <c r="N297" i="2" s="1" a="1"/>
  <c r="N297" i="2" s="1"/>
  <c r="A598" i="2"/>
  <c r="N598" i="2" s="1" a="1"/>
  <c r="N598" i="2" s="1"/>
  <c r="A140" i="2"/>
  <c r="N140" i="2" s="1" a="1"/>
  <c r="N140" i="2" s="1"/>
  <c r="A275" i="2"/>
  <c r="N275" i="2" s="1" a="1"/>
  <c r="N275" i="2" s="1"/>
  <c r="A413" i="2"/>
  <c r="N413" i="2" s="1" a="1"/>
  <c r="N413" i="2" s="1"/>
  <c r="A542" i="2"/>
  <c r="N542" i="2" s="1" a="1"/>
  <c r="N542" i="2" s="1"/>
  <c r="A268" i="2"/>
  <c r="N268" i="2" s="1" a="1"/>
  <c r="N268" i="2" s="1"/>
  <c r="A174" i="2"/>
  <c r="N174" i="2" s="1" a="1"/>
  <c r="N174" i="2" s="1"/>
  <c r="A104" i="2"/>
  <c r="N104" i="2" s="1" a="1"/>
  <c r="N104" i="2" s="1"/>
  <c r="A415" i="2"/>
  <c r="N415" i="2" s="1" a="1"/>
  <c r="N415" i="2" s="1"/>
  <c r="A562" i="2"/>
  <c r="N562" i="2" s="1" a="1"/>
  <c r="N562" i="2" s="1"/>
  <c r="A573" i="2"/>
  <c r="N573" i="2" s="1" a="1"/>
  <c r="N573" i="2" s="1"/>
  <c r="A30" i="2"/>
  <c r="N30" i="2" s="1" a="1"/>
  <c r="N30" i="2" s="1"/>
  <c r="A316" i="2"/>
  <c r="N316" i="2" s="1" a="1"/>
  <c r="N316" i="2" s="1"/>
  <c r="A112" i="2"/>
  <c r="N112" i="2" s="1" a="1"/>
  <c r="N112" i="2" s="1"/>
  <c r="A16" i="2"/>
  <c r="N16" i="2" s="1" a="1"/>
  <c r="N16" i="2" s="1"/>
  <c r="A134" i="2"/>
  <c r="N134" i="2" s="1" a="1"/>
  <c r="N134" i="2" s="1"/>
  <c r="A625" i="2"/>
  <c r="N625" i="2" s="1" a="1"/>
  <c r="N625" i="2" s="1"/>
  <c r="A352" i="2"/>
  <c r="N352" i="2" s="1" a="1"/>
  <c r="N352" i="2" s="1"/>
  <c r="A116" i="2"/>
  <c r="N116" i="2" s="1" a="1"/>
  <c r="N116" i="2" s="1"/>
  <c r="A212" i="2"/>
  <c r="N212" i="2" s="1" a="1"/>
  <c r="N212" i="2" s="1"/>
  <c r="A355" i="2"/>
  <c r="N355" i="2" s="1" a="1"/>
  <c r="N355" i="2" s="1"/>
  <c r="A495" i="2"/>
  <c r="N495" i="2" s="1" a="1"/>
  <c r="N495" i="2" s="1"/>
  <c r="A595" i="2"/>
  <c r="N595" i="2" s="1" a="1"/>
  <c r="N595" i="2" s="1"/>
  <c r="A560" i="2"/>
  <c r="N560" i="2" s="1" a="1"/>
  <c r="N560" i="2" s="1"/>
  <c r="A607" i="2"/>
  <c r="N607" i="2" s="1" a="1"/>
  <c r="N607" i="2" s="1"/>
  <c r="A632" i="2"/>
  <c r="N632" i="2" s="1" a="1"/>
  <c r="N632" i="2" s="1"/>
  <c r="A648" i="2"/>
  <c r="N648" i="2" s="1" a="1"/>
  <c r="N648" i="2" s="1"/>
  <c r="A550" i="2"/>
  <c r="N550" i="2" s="1" a="1"/>
  <c r="N550" i="2" s="1"/>
  <c r="A619" i="2"/>
  <c r="N619" i="2" s="1" a="1"/>
  <c r="N619" i="2" s="1"/>
  <c r="A15" i="2"/>
  <c r="N15" i="2" s="1" a="1"/>
  <c r="N15" i="2" s="1"/>
  <c r="A501" i="2"/>
  <c r="N501" i="2" s="1" a="1"/>
  <c r="N501" i="2" s="1"/>
  <c r="A247" i="2"/>
  <c r="N247" i="2" s="1" a="1"/>
  <c r="N247" i="2" s="1"/>
  <c r="A592" i="2"/>
  <c r="N592" i="2" s="1" a="1"/>
  <c r="N592" i="2" s="1"/>
  <c r="A248" i="2"/>
  <c r="N248" i="2" s="1" a="1"/>
  <c r="N248" i="2" s="1"/>
  <c r="A96" i="2"/>
  <c r="N96" i="2" s="1" a="1"/>
  <c r="N96" i="2" s="1"/>
  <c r="A230" i="2"/>
  <c r="N230" i="2" s="1" a="1"/>
  <c r="N230" i="2" s="1"/>
  <c r="A249" i="2"/>
  <c r="N249" i="2" s="1" a="1"/>
  <c r="N249" i="2" s="1"/>
  <c r="A453" i="2"/>
  <c r="N453" i="2" s="1" a="1"/>
  <c r="N453" i="2" s="1"/>
  <c r="A507" i="2"/>
  <c r="N507" i="2" s="1" a="1"/>
  <c r="N507" i="2" s="1"/>
  <c r="A581" i="2"/>
  <c r="N581" i="2" s="1" a="1"/>
  <c r="N581" i="2" s="1"/>
  <c r="A229" i="2"/>
  <c r="N229" i="2" s="1" a="1"/>
  <c r="N229" i="2" s="1"/>
  <c r="A452" i="2"/>
  <c r="N452" i="2" s="1" a="1"/>
  <c r="N452" i="2" s="1"/>
  <c r="A450" i="2"/>
  <c r="N450" i="2" s="1" a="1"/>
  <c r="N450" i="2" s="1"/>
  <c r="A169" i="2"/>
  <c r="N169" i="2" s="1" a="1"/>
  <c r="N169" i="2" s="1"/>
  <c r="A213" i="2"/>
  <c r="N213" i="2" s="1" a="1"/>
  <c r="N213" i="2" s="1"/>
  <c r="A477" i="2"/>
  <c r="N477" i="2" s="1" a="1"/>
  <c r="N477" i="2" s="1"/>
  <c r="A243" i="2"/>
  <c r="N243" i="2" s="1" a="1"/>
  <c r="N243" i="2" s="1"/>
  <c r="A466" i="2"/>
  <c r="N466" i="2" s="1" a="1"/>
  <c r="N466" i="2" s="1"/>
  <c r="A147" i="2"/>
  <c r="N147" i="2" s="1" a="1"/>
  <c r="N147" i="2" s="1"/>
  <c r="A50" i="2"/>
  <c r="N50" i="2" s="1" a="1"/>
  <c r="N50" i="2" s="1"/>
  <c r="A576" i="2"/>
  <c r="N576" i="2" s="1" a="1"/>
  <c r="N576" i="2" s="1"/>
  <c r="A558" i="2"/>
  <c r="N558" i="2" s="1" a="1"/>
  <c r="N558" i="2" s="1"/>
  <c r="A270" i="2"/>
  <c r="N270" i="2" s="1" a="1"/>
  <c r="N270" i="2" s="1"/>
  <c r="A59" i="2"/>
  <c r="N59" i="2" s="1" a="1"/>
  <c r="N59" i="2" s="1"/>
  <c r="A207" i="2"/>
  <c r="N207" i="2" s="1" a="1"/>
  <c r="N207" i="2" s="1"/>
  <c r="A92" i="2"/>
  <c r="N92" i="2" s="1" a="1"/>
  <c r="N92" i="2" s="1"/>
  <c r="A512" i="2"/>
  <c r="N512" i="2" s="1" a="1"/>
  <c r="N512" i="2" s="1"/>
  <c r="A392" i="2"/>
  <c r="N392" i="2" s="1" a="1"/>
  <c r="N392" i="2" s="1"/>
  <c r="A293" i="2"/>
  <c r="N293" i="2" s="1" a="1"/>
  <c r="N293" i="2" s="1"/>
  <c r="A436" i="2"/>
  <c r="N436" i="2" s="1" a="1"/>
  <c r="N436" i="2" s="1"/>
  <c r="A337" i="2"/>
  <c r="N337" i="2" s="1" a="1"/>
  <c r="N337" i="2" s="1"/>
  <c r="A642" i="2"/>
  <c r="N642" i="2" s="1" a="1"/>
  <c r="N642" i="2" s="1"/>
  <c r="A149" i="2"/>
  <c r="N149" i="2" s="1" a="1"/>
  <c r="N149" i="2" s="1"/>
  <c r="A538" i="2"/>
  <c r="N538" i="2" s="1" a="1"/>
  <c r="N538" i="2" s="1"/>
  <c r="A493" i="2"/>
  <c r="N493" i="2" s="1" a="1"/>
  <c r="N493" i="2" s="1"/>
  <c r="A194" i="2"/>
  <c r="N194" i="2" s="1" a="1"/>
  <c r="N194" i="2" s="1"/>
  <c r="A609" i="2"/>
  <c r="N609" i="2" s="1" a="1"/>
  <c r="N609" i="2" s="1"/>
  <c r="A3" i="2"/>
  <c r="N3" i="2" s="1" a="1"/>
  <c r="N3" i="2" s="1"/>
  <c r="A8" i="2"/>
  <c r="N8" i="2" s="1" a="1"/>
  <c r="N8" i="2" s="1"/>
  <c r="A390" i="2"/>
  <c r="N390" i="2" s="1" a="1"/>
  <c r="N390" i="2" s="1"/>
  <c r="A190" i="2"/>
  <c r="N190" i="2" s="1" a="1"/>
  <c r="N190" i="2" s="1"/>
  <c r="A416" i="2"/>
  <c r="N416" i="2" s="1" a="1"/>
  <c r="N416" i="2" s="1"/>
  <c r="A529" i="2"/>
  <c r="N529" i="2" s="1" a="1"/>
  <c r="N529" i="2" s="1"/>
  <c r="A43" i="2"/>
  <c r="N43" i="2" s="1" a="1"/>
  <c r="N43" i="2" s="1"/>
  <c r="A520" i="2"/>
  <c r="N520" i="2" s="1" a="1"/>
  <c r="N520" i="2" s="1"/>
  <c r="A441" i="2"/>
  <c r="N441" i="2" s="1" a="1"/>
  <c r="N441" i="2" s="1"/>
  <c r="A192" i="2"/>
  <c r="N192" i="2" s="1" a="1"/>
  <c r="N192" i="2" s="1"/>
  <c r="A87" i="2"/>
  <c r="N87" i="2" s="1" a="1"/>
  <c r="N87" i="2" s="1"/>
  <c r="A146" i="2"/>
  <c r="N146" i="2" s="1" a="1"/>
  <c r="N146" i="2" s="1"/>
  <c r="A410" i="2"/>
  <c r="N410" i="2" s="1" a="1"/>
  <c r="N410" i="2" s="1"/>
  <c r="A579" i="2"/>
  <c r="N579" i="2" s="1" a="1"/>
  <c r="N579" i="2" s="1"/>
  <c r="A329" i="2"/>
  <c r="N329" i="2" s="1" a="1"/>
  <c r="N329" i="2" s="1"/>
  <c r="A73" i="2"/>
  <c r="N73" i="2" s="1" a="1"/>
  <c r="N73" i="2" s="1"/>
  <c r="A606" i="2"/>
  <c r="N606" i="2" s="1" a="1"/>
  <c r="N606" i="2" s="1"/>
  <c r="A599" i="2"/>
  <c r="N599" i="2" s="1" a="1"/>
  <c r="N599" i="2" s="1"/>
  <c r="A500" i="2"/>
  <c r="N500" i="2" s="1" a="1"/>
  <c r="N500" i="2" s="1"/>
  <c r="A650" i="2"/>
  <c r="N650" i="2" s="1" a="1"/>
  <c r="N650" i="2" s="1"/>
  <c r="A274" i="2"/>
  <c r="N274" i="2" s="1" a="1"/>
  <c r="N274" i="2" s="1"/>
  <c r="A65" i="2"/>
  <c r="N65" i="2" s="1" a="1"/>
  <c r="N65" i="2" s="1"/>
  <c r="A661" i="2"/>
  <c r="N661" i="2" s="1" a="1"/>
  <c r="N661" i="2" s="1"/>
  <c r="A18" i="2"/>
  <c r="N18" i="2" s="1" a="1"/>
  <c r="N18" i="2" s="1"/>
  <c r="A14" i="2"/>
  <c r="N14" i="2" s="1" a="1"/>
  <c r="N14" i="2" s="1"/>
  <c r="A480" i="2"/>
  <c r="N480" i="2" s="1" a="1"/>
  <c r="N480" i="2" s="1"/>
  <c r="A143" i="2"/>
  <c r="N143" i="2" s="1" a="1"/>
  <c r="N143" i="2" s="1"/>
  <c r="A626" i="2"/>
  <c r="N626" i="2" s="1" a="1"/>
  <c r="N626" i="2" s="1"/>
  <c r="A659" i="2"/>
  <c r="N659" i="2" s="1" a="1"/>
  <c r="N659" i="2" s="1"/>
  <c r="A115" i="2"/>
  <c r="N115" i="2" s="1" a="1"/>
  <c r="N115" i="2" s="1"/>
  <c r="A89" i="2"/>
  <c r="N89" i="2" s="1" a="1"/>
  <c r="N89" i="2" s="1"/>
  <c r="A366" i="2"/>
  <c r="N366" i="2" s="1" a="1"/>
  <c r="N366" i="2" s="1"/>
  <c r="A412" i="2"/>
  <c r="N412" i="2" s="1" a="1"/>
  <c r="N412" i="2" s="1"/>
  <c r="A578" i="2"/>
  <c r="N578" i="2" s="1" a="1"/>
  <c r="N578" i="2" s="1"/>
  <c r="A49" i="2"/>
  <c r="N49" i="2" s="1" a="1"/>
  <c r="N49" i="2" s="1"/>
  <c r="A475" i="2"/>
  <c r="N475" i="2" s="1" a="1"/>
  <c r="N475" i="2" s="1"/>
  <c r="A26" i="2"/>
  <c r="N26" i="2" s="1" a="1"/>
  <c r="N26" i="2" s="1"/>
  <c r="A552" i="2"/>
  <c r="N552" i="2" s="1" a="1"/>
  <c r="N552" i="2" s="1"/>
  <c r="A55" i="2"/>
  <c r="N55" i="2" s="1" a="1"/>
  <c r="N55" i="2" s="1"/>
  <c r="A39" i="2"/>
  <c r="N39" i="2" s="1" a="1"/>
  <c r="N39" i="2" s="1"/>
  <c r="A90" i="2"/>
  <c r="N90" i="2" s="1" a="1"/>
  <c r="N90" i="2" s="1"/>
  <c r="A615" i="2"/>
  <c r="N615" i="2" s="1" a="1"/>
  <c r="N615" i="2" s="1"/>
  <c r="A83" i="2"/>
  <c r="N83" i="2" s="1" a="1"/>
  <c r="N83" i="2" s="1"/>
  <c r="A242" i="2"/>
  <c r="N242" i="2" s="1" a="1"/>
  <c r="N242" i="2" s="1"/>
  <c r="A93" i="2"/>
  <c r="N93" i="2" s="1" a="1"/>
  <c r="N93" i="2" s="1"/>
  <c r="A98" i="2"/>
  <c r="N98" i="2" s="1" a="1"/>
  <c r="N98" i="2" s="1"/>
  <c r="A219" i="2"/>
  <c r="N219" i="2" s="1" a="1"/>
  <c r="N219" i="2" s="1"/>
  <c r="A5" i="2"/>
  <c r="N5" i="2" s="1" a="1"/>
  <c r="N5" i="2" s="1"/>
  <c r="A554" i="2"/>
  <c r="N554" i="2" s="1" a="1"/>
  <c r="N554" i="2" s="1"/>
  <c r="A44" i="2"/>
  <c r="N44" i="2" s="1" a="1"/>
  <c r="N44" i="2" s="1"/>
  <c r="A154" i="2"/>
  <c r="N154" i="2" s="1" a="1"/>
  <c r="N154" i="2" s="1"/>
  <c r="A580" i="2"/>
  <c r="N580" i="2" s="1" a="1"/>
  <c r="N580" i="2" s="1"/>
  <c r="A344" i="2"/>
  <c r="N344" i="2" s="1" a="1"/>
  <c r="N344" i="2" s="1"/>
  <c r="A490" i="2"/>
  <c r="N490" i="2" s="1" a="1"/>
  <c r="N490" i="2" s="1"/>
  <c r="A388" i="2"/>
  <c r="N388" i="2" s="1" a="1"/>
  <c r="N388" i="2" s="1"/>
  <c r="A524" i="2"/>
  <c r="N524" i="2" s="1" a="1"/>
  <c r="N524" i="2" s="1"/>
  <c r="A541" i="2"/>
  <c r="N541" i="2" s="1" a="1"/>
  <c r="N541" i="2" s="1"/>
  <c r="A206" i="2"/>
  <c r="N206" i="2" s="1" a="1"/>
  <c r="N206" i="2" s="1"/>
  <c r="A330" i="2"/>
  <c r="N330" i="2" s="1" a="1"/>
  <c r="N330" i="2" s="1"/>
  <c r="A318" i="2"/>
  <c r="N318" i="2" s="1" a="1"/>
  <c r="N318" i="2" s="1"/>
  <c r="A209" i="2"/>
  <c r="N209" i="2" s="1" a="1"/>
  <c r="N209" i="2" s="1"/>
  <c r="A379" i="2"/>
  <c r="N379" i="2" s="1" a="1"/>
  <c r="N379" i="2" s="1"/>
  <c r="A333" i="2"/>
  <c r="N333" i="2" s="1" a="1"/>
  <c r="N333" i="2" s="1"/>
  <c r="A56" i="2"/>
  <c r="N56" i="2" s="1" a="1"/>
  <c r="N56" i="2" s="1"/>
  <c r="A353" i="2"/>
  <c r="N353" i="2" s="1" a="1"/>
  <c r="N353" i="2" s="1"/>
  <c r="A368" i="2"/>
  <c r="N368" i="2" s="1" a="1"/>
  <c r="N368" i="2" s="1"/>
  <c r="A80" i="2"/>
  <c r="N80" i="2" s="1" a="1"/>
  <c r="N80" i="2" s="1"/>
  <c r="A324" i="2"/>
  <c r="N324" i="2" s="1" a="1"/>
  <c r="N324" i="2" s="1"/>
  <c r="A633" i="2"/>
  <c r="N633" i="2" s="1" a="1"/>
  <c r="N633" i="2" s="1"/>
  <c r="A405" i="2"/>
  <c r="N405" i="2" s="1" a="1"/>
  <c r="N405" i="2" s="1"/>
  <c r="A306" i="2"/>
  <c r="N306" i="2" s="1" a="1"/>
  <c r="N306" i="2" s="1"/>
  <c r="A527" i="2"/>
  <c r="N527" i="2" s="1" a="1"/>
  <c r="N527" i="2" s="1"/>
  <c r="A377" i="2"/>
  <c r="N377" i="2" s="1" a="1"/>
  <c r="N377" i="2" s="1"/>
  <c r="A498" i="2"/>
  <c r="N498" i="2" s="1" a="1"/>
  <c r="N498" i="2" s="1"/>
  <c r="A23" i="2"/>
  <c r="N23" i="2" s="1" a="1"/>
  <c r="N23" i="2" s="1"/>
  <c r="A88" i="2"/>
  <c r="N88" i="2" s="1" a="1"/>
  <c r="N88" i="2" s="1"/>
  <c r="A124" i="2"/>
  <c r="N124" i="2" s="1" a="1"/>
  <c r="N124" i="2" s="1"/>
  <c r="A216" i="2"/>
  <c r="N216" i="2" s="1" a="1"/>
  <c r="N216" i="2" s="1"/>
  <c r="A302" i="2"/>
  <c r="N302" i="2" s="1" a="1"/>
  <c r="N302" i="2" s="1"/>
  <c r="A432" i="2"/>
  <c r="N432" i="2" s="1" a="1"/>
  <c r="N432" i="2" s="1"/>
  <c r="A231" i="2"/>
  <c r="N231" i="2" s="1" a="1"/>
  <c r="N231" i="2" s="1"/>
  <c r="A175" i="2"/>
  <c r="N175" i="2" s="1" a="1"/>
  <c r="N175" i="2" s="1"/>
  <c r="A24" i="2"/>
  <c r="N24" i="2" s="1" a="1"/>
  <c r="N24" i="2" s="1"/>
  <c r="A315" i="2"/>
  <c r="N315" i="2" s="1" a="1"/>
  <c r="N315" i="2" s="1"/>
  <c r="A129" i="2"/>
  <c r="N129" i="2" s="1" a="1"/>
  <c r="N129" i="2" s="1"/>
  <c r="A256" i="2"/>
  <c r="N256" i="2" s="1" a="1"/>
  <c r="N256" i="2" s="1"/>
  <c r="A151" i="2"/>
  <c r="N151" i="2" s="1" a="1"/>
  <c r="N151" i="2" s="1"/>
  <c r="A309" i="2"/>
  <c r="N309" i="2" s="1" a="1"/>
  <c r="N309" i="2" s="1"/>
  <c r="A111" i="2"/>
  <c r="N111" i="2" s="1" a="1"/>
  <c r="N111" i="2" s="1"/>
  <c r="A19" i="2"/>
  <c r="N19" i="2" s="1" a="1"/>
  <c r="N19" i="2" s="1"/>
  <c r="A325" i="2"/>
  <c r="N325" i="2" s="1" a="1"/>
  <c r="N325" i="2" s="1"/>
  <c r="A113" i="2"/>
  <c r="N113" i="2" s="1" a="1"/>
  <c r="N113" i="2" s="1"/>
  <c r="A63" i="2"/>
  <c r="N63" i="2" s="1" a="1"/>
  <c r="N63" i="2" s="1"/>
  <c r="A57" i="2"/>
  <c r="N57" i="2" s="1" a="1"/>
  <c r="N57" i="2" s="1"/>
  <c r="A48" i="2"/>
  <c r="N48" i="2" s="1" a="1"/>
  <c r="N48" i="2" s="1"/>
  <c r="A86" i="2"/>
  <c r="N86" i="2" s="1" a="1"/>
  <c r="N86" i="2" s="1"/>
  <c r="A95" i="2"/>
  <c r="N95" i="2" s="1" a="1"/>
  <c r="N95" i="2" s="1"/>
  <c r="A399" i="2"/>
  <c r="N399" i="2" s="1" a="1"/>
  <c r="N399" i="2" s="1"/>
  <c r="A568" i="2"/>
  <c r="N568" i="2" s="1" a="1"/>
  <c r="N568" i="2" s="1"/>
  <c r="A504" i="2"/>
  <c r="N504" i="2" s="1" a="1"/>
  <c r="N504" i="2" s="1"/>
  <c r="A378" i="2"/>
  <c r="N378" i="2" s="1" a="1"/>
  <c r="N378" i="2" s="1"/>
  <c r="A644" i="2"/>
  <c r="N644" i="2" s="1" a="1"/>
  <c r="N644" i="2" s="1"/>
  <c r="A532" i="2"/>
  <c r="N532" i="2" s="1" a="1"/>
  <c r="N532" i="2" s="1"/>
  <c r="A593" i="2"/>
  <c r="N593" i="2" s="1" a="1"/>
  <c r="N593" i="2" s="1"/>
  <c r="A343" i="2"/>
  <c r="N343" i="2" s="1" a="1"/>
  <c r="N343" i="2" s="1"/>
  <c r="A446" i="2"/>
  <c r="N446" i="2" s="1" a="1"/>
  <c r="N446" i="2" s="1"/>
  <c r="A624" i="2"/>
  <c r="N624" i="2" s="1" a="1"/>
  <c r="N624" i="2" s="1"/>
  <c r="A658" i="2"/>
  <c r="N658" i="2" s="1" a="1"/>
  <c r="N658" i="2" s="1"/>
  <c r="A110" i="2"/>
  <c r="N110" i="2" s="1" a="1"/>
  <c r="N110" i="2" s="1"/>
  <c r="A189" i="2"/>
  <c r="N189" i="2" s="1" a="1"/>
  <c r="N189" i="2" s="1"/>
  <c r="A114" i="2"/>
  <c r="N114" i="2" s="1" a="1"/>
  <c r="N114" i="2" s="1"/>
  <c r="A411" i="2"/>
  <c r="N411" i="2" s="1" a="1"/>
  <c r="N411" i="2" s="1"/>
  <c r="A534" i="2"/>
  <c r="N534" i="2" s="1" a="1"/>
  <c r="N534" i="2" s="1"/>
  <c r="A380" i="2"/>
  <c r="N380" i="2" s="1" a="1"/>
  <c r="N380" i="2" s="1"/>
  <c r="A214" i="2"/>
  <c r="N214" i="2" s="1" a="1"/>
  <c r="N214" i="2" s="1"/>
  <c r="A320" i="2"/>
  <c r="N320" i="2" s="1" a="1"/>
  <c r="N320" i="2" s="1"/>
  <c r="A226" i="2"/>
  <c r="N226" i="2" s="1" a="1"/>
  <c r="N226" i="2" s="1"/>
  <c r="A610" i="2"/>
  <c r="N610" i="2" s="1" a="1"/>
  <c r="N610" i="2" s="1"/>
  <c r="A228" i="2"/>
  <c r="N228" i="2" s="1" a="1"/>
  <c r="N228" i="2" s="1"/>
  <c r="A122" i="2"/>
  <c r="N122" i="2" s="1" a="1"/>
  <c r="N122" i="2" s="1"/>
  <c r="A38" i="2"/>
  <c r="N38" i="2" s="1" a="1"/>
  <c r="N38" i="2" s="1"/>
  <c r="A381" i="2"/>
  <c r="N381" i="2" s="1" a="1"/>
  <c r="N381" i="2" s="1"/>
  <c r="A265" i="2"/>
  <c r="N265" i="2" s="1" a="1"/>
  <c r="N265" i="2" s="1"/>
  <c r="A440" i="2"/>
  <c r="N440" i="2" s="1" a="1"/>
  <c r="N440" i="2" s="1"/>
  <c r="A211" i="2"/>
  <c r="N211" i="2" s="1" a="1"/>
  <c r="N211" i="2" s="1"/>
  <c r="A271" i="2"/>
  <c r="N271" i="2" s="1" a="1"/>
  <c r="N271" i="2" s="1"/>
  <c r="A575" i="2"/>
  <c r="N575" i="2" s="1" a="1"/>
  <c r="N575" i="2" s="1"/>
  <c r="A384" i="2"/>
  <c r="N384" i="2" s="1" a="1"/>
  <c r="N384" i="2" s="1"/>
  <c r="A397" i="2"/>
  <c r="N397" i="2" s="1" a="1"/>
  <c r="N397" i="2" s="1"/>
  <c r="A260" i="2"/>
  <c r="N260" i="2" s="1" a="1"/>
  <c r="N260" i="2" s="1"/>
  <c r="A393" i="2"/>
  <c r="N393" i="2" s="1" a="1"/>
  <c r="N393" i="2" s="1"/>
  <c r="A424" i="2"/>
  <c r="N424" i="2" s="1" a="1"/>
  <c r="N424" i="2" s="1"/>
  <c r="A69" i="2"/>
  <c r="N69" i="2" s="1" a="1"/>
  <c r="N69" i="2" s="1"/>
  <c r="A283" i="2"/>
  <c r="N283" i="2" s="1" a="1"/>
  <c r="N283" i="2" s="1"/>
  <c r="A669" i="2"/>
  <c r="N669" i="2" s="1" a="1"/>
  <c r="N669" i="2" s="1"/>
  <c r="A458" i="2"/>
  <c r="N458" i="2" s="1" a="1"/>
  <c r="N458" i="2" s="1"/>
  <c r="A300" i="2"/>
  <c r="N300" i="2" s="1" a="1"/>
  <c r="N300" i="2" s="1"/>
  <c r="A76" i="2"/>
  <c r="N76" i="2" s="1" a="1"/>
  <c r="N76" i="2" s="1"/>
  <c r="A53" i="2"/>
  <c r="N53" i="2" s="1" a="1"/>
  <c r="N53" i="2" s="1"/>
  <c r="A484" i="2"/>
  <c r="N484" i="2" s="1" a="1"/>
  <c r="N484" i="2" s="1"/>
  <c r="A6" i="2"/>
  <c r="N6" i="2" s="1" a="1"/>
  <c r="N6" i="2" s="1"/>
  <c r="A667" i="2"/>
  <c r="N667" i="2" s="1" a="1"/>
  <c r="N667" i="2" s="1"/>
  <c r="A350" i="2"/>
  <c r="N350" i="2" s="1" a="1"/>
  <c r="N350" i="2" s="1"/>
  <c r="A423" i="2"/>
  <c r="N423" i="2" s="1" a="1"/>
  <c r="N423" i="2" s="1"/>
  <c r="A269" i="2"/>
  <c r="N269" i="2" s="1" a="1"/>
  <c r="N269" i="2" s="1"/>
  <c r="A158" i="2"/>
  <c r="N158" i="2" s="1" a="1"/>
  <c r="N158" i="2" s="1"/>
  <c r="A387" i="2"/>
  <c r="N387" i="2" s="1" a="1"/>
  <c r="N387" i="2" s="1"/>
  <c r="A223" i="2"/>
  <c r="N223" i="2" s="1" a="1"/>
  <c r="N223" i="2" s="1"/>
  <c r="A280" i="2"/>
  <c r="N280" i="2" s="1" a="1"/>
  <c r="N280" i="2" s="1"/>
  <c r="A404" i="2"/>
  <c r="N404" i="2" s="1" a="1"/>
  <c r="N404" i="2" s="1"/>
  <c r="A162" i="2"/>
  <c r="N162" i="2" s="1" a="1"/>
  <c r="N162" i="2" s="1"/>
  <c r="A494" i="2"/>
  <c r="N494" i="2" s="1" a="1"/>
  <c r="N494" i="2" s="1"/>
  <c r="A354" i="2"/>
  <c r="N354" i="2" s="1" a="1"/>
  <c r="N354" i="2" s="1"/>
  <c r="A284" i="2"/>
  <c r="N284" i="2" s="1" a="1"/>
  <c r="N284" i="2" s="1"/>
  <c r="A426" i="2"/>
  <c r="N426" i="2" s="1" a="1"/>
  <c r="N426" i="2" s="1"/>
  <c r="A601" i="2"/>
  <c r="N601" i="2" s="1" a="1"/>
  <c r="N601" i="2" s="1"/>
  <c r="A605" i="2"/>
  <c r="N605" i="2" s="1" a="1"/>
  <c r="N605" i="2" s="1"/>
  <c r="A33" i="2"/>
  <c r="N33" i="2" s="1" a="1"/>
  <c r="N33" i="2" s="1"/>
  <c r="A21" i="2"/>
  <c r="N21" i="2" s="1" a="1"/>
  <c r="N21" i="2" s="1"/>
  <c r="A155" i="2"/>
  <c r="N155" i="2" s="1" a="1"/>
  <c r="N155" i="2" s="1"/>
  <c r="A449" i="2"/>
  <c r="N449" i="2" s="1" a="1"/>
  <c r="N449" i="2" s="1"/>
  <c r="A334" i="2"/>
  <c r="N334" i="2" s="1" a="1"/>
  <c r="N334" i="2" s="1"/>
  <c r="A132" i="2"/>
  <c r="N132" i="2" s="1" a="1"/>
  <c r="N132" i="2" s="1"/>
  <c r="A358" i="2"/>
  <c r="N358" i="2" s="1" a="1"/>
  <c r="N358" i="2" s="1"/>
  <c r="A58" i="2"/>
  <c r="N58" i="2" s="1" a="1"/>
  <c r="N58" i="2" s="1"/>
  <c r="A564" i="2"/>
  <c r="N564" i="2" s="1" a="1"/>
  <c r="N564" i="2" s="1"/>
  <c r="A487" i="2"/>
  <c r="N487" i="2" s="1" a="1"/>
  <c r="N487" i="2" s="1"/>
  <c r="A588" i="2"/>
  <c r="N588" i="2" s="1" a="1"/>
  <c r="N588" i="2" s="1"/>
  <c r="A176" i="2"/>
  <c r="N176" i="2" s="1" a="1"/>
  <c r="N176" i="2" s="1"/>
  <c r="A279" i="2"/>
  <c r="N279" i="2" s="1" a="1"/>
  <c r="N279" i="2" s="1"/>
  <c r="A645" i="2"/>
  <c r="N645" i="2" s="1" a="1"/>
  <c r="N645" i="2" s="1"/>
  <c r="A438" i="2"/>
  <c r="N438" i="2" s="1" a="1"/>
  <c r="N438" i="2" s="1"/>
  <c r="A64" i="2"/>
  <c r="N64" i="2" s="1" a="1"/>
  <c r="N64" i="2" s="1"/>
  <c r="A361" i="2"/>
  <c r="N361" i="2" s="1" a="1"/>
  <c r="N361" i="2" s="1"/>
  <c r="A589" i="2"/>
  <c r="N589" i="2" s="1" a="1"/>
  <c r="N589" i="2" s="1"/>
  <c r="A656" i="2"/>
  <c r="N656" i="2" s="1" a="1"/>
  <c r="N656" i="2" s="1"/>
  <c r="A443" i="2"/>
  <c r="N443" i="2" s="1" a="1"/>
  <c r="N443" i="2" s="1"/>
  <c r="A402" i="2"/>
  <c r="N402" i="2" s="1" a="1"/>
  <c r="N402" i="2" s="1"/>
  <c r="A156" i="2"/>
  <c r="N156" i="2" s="1" a="1"/>
  <c r="N156" i="2" s="1"/>
  <c r="A509" i="2"/>
  <c r="N509" i="2" s="1" a="1"/>
  <c r="N509" i="2" s="1"/>
  <c r="A491" i="2"/>
  <c r="N491" i="2" s="1" a="1"/>
  <c r="N491" i="2" s="1"/>
  <c r="A444" i="2"/>
  <c r="N444" i="2" s="1" a="1"/>
  <c r="N444" i="2" s="1"/>
  <c r="A547" i="2"/>
  <c r="N547" i="2" s="1" a="1"/>
  <c r="N547" i="2" s="1"/>
  <c r="A635" i="2"/>
  <c r="N635" i="2" s="1" a="1"/>
  <c r="N635" i="2" s="1"/>
  <c r="A141" i="2"/>
  <c r="N141" i="2" s="1" a="1"/>
  <c r="N141" i="2" s="1"/>
  <c r="A22" i="2"/>
  <c r="N22" i="2" s="1" a="1"/>
  <c r="N22" i="2" s="1"/>
  <c r="A238" i="2"/>
  <c r="N238" i="2" s="1" a="1"/>
  <c r="N238" i="2" s="1"/>
  <c r="A272" i="2"/>
  <c r="N272" i="2" s="1" a="1"/>
  <c r="N272" i="2" s="1"/>
  <c r="A178" i="2"/>
  <c r="N178" i="2" s="1" a="1"/>
  <c r="N178" i="2" s="1"/>
  <c r="A461" i="2"/>
  <c r="N461" i="2" s="1" a="1"/>
  <c r="N461" i="2" s="1"/>
  <c r="A600" i="2"/>
  <c r="N600" i="2" s="1" a="1"/>
  <c r="N600" i="2" s="1"/>
  <c r="A566" i="2"/>
  <c r="N566" i="2" s="1" a="1"/>
  <c r="N566" i="2" s="1"/>
  <c r="A345" i="2"/>
  <c r="N345" i="2" s="1" a="1"/>
  <c r="N345" i="2" s="1"/>
  <c r="A510" i="2"/>
  <c r="N510" i="2" s="1" a="1"/>
  <c r="N510" i="2" s="1"/>
  <c r="A323" i="2"/>
  <c r="N323" i="2" s="1" a="1"/>
  <c r="N323" i="2" s="1"/>
  <c r="A99" i="2"/>
  <c r="N99" i="2" s="1" a="1"/>
  <c r="N99" i="2" s="1"/>
  <c r="A304" i="2"/>
  <c r="N304" i="2" s="1" a="1"/>
  <c r="N304" i="2" s="1"/>
  <c r="A177" i="2"/>
  <c r="N177" i="2" s="1" a="1"/>
  <c r="N177" i="2" s="1"/>
  <c r="A356" i="2"/>
  <c r="N356" i="2" s="1" a="1"/>
  <c r="N356" i="2" s="1"/>
  <c r="A439" i="2"/>
  <c r="N439" i="2" s="1" a="1"/>
  <c r="N439" i="2" s="1"/>
  <c r="A60" i="2"/>
  <c r="N60" i="2" s="1" a="1"/>
  <c r="N60" i="2" s="1"/>
  <c r="A496" i="2"/>
  <c r="N496" i="2" s="1" a="1"/>
  <c r="N496" i="2" s="1"/>
  <c r="A262" i="2"/>
  <c r="N262" i="2" s="1" a="1"/>
  <c r="N262" i="2" s="1"/>
  <c r="A386" i="2"/>
  <c r="N386" i="2" s="1" a="1"/>
  <c r="N386" i="2" s="1"/>
  <c r="A613" i="2"/>
  <c r="N613" i="2" s="1" a="1"/>
  <c r="N613" i="2" s="1"/>
  <c r="A180" i="2"/>
  <c r="N180" i="2" s="1" a="1"/>
  <c r="N180" i="2" s="1"/>
  <c r="A128" i="2"/>
  <c r="N128" i="2" s="1" a="1"/>
  <c r="N128" i="2" s="1"/>
  <c r="A251" i="2"/>
  <c r="N251" i="2" s="1" a="1"/>
  <c r="N251" i="2" s="1"/>
  <c r="A513" i="2"/>
  <c r="N513" i="2" s="1" a="1"/>
  <c r="N513" i="2" s="1"/>
  <c r="A273" i="2"/>
  <c r="N273" i="2" s="1" a="1"/>
  <c r="N273" i="2" s="1"/>
  <c r="A531" i="2"/>
  <c r="N531" i="2" s="1" a="1"/>
  <c r="N531" i="2" s="1"/>
  <c r="A105" i="2"/>
  <c r="N105" i="2" s="1" a="1"/>
  <c r="N105" i="2" s="1"/>
  <c r="A649" i="2"/>
  <c r="N649" i="2" s="1" a="1"/>
  <c r="N649" i="2" s="1"/>
  <c r="A385" i="2"/>
  <c r="N385" i="2" s="1" a="1"/>
  <c r="N385" i="2" s="1"/>
  <c r="A139" i="2"/>
  <c r="N139" i="2" s="1" a="1"/>
  <c r="N139" i="2" s="1"/>
  <c r="A582" i="2"/>
  <c r="N582" i="2" s="1" a="1"/>
  <c r="N582" i="2" s="1"/>
  <c r="A363" i="2"/>
  <c r="N363" i="2" s="1" a="1"/>
  <c r="N363" i="2" s="1"/>
  <c r="A191" i="2"/>
  <c r="N191" i="2" s="1" a="1"/>
  <c r="N191" i="2" s="1"/>
  <c r="A250" i="2"/>
  <c r="N250" i="2" s="1" a="1"/>
  <c r="N250" i="2" s="1"/>
  <c r="A41" i="2"/>
  <c r="N41" i="2" s="1" a="1"/>
  <c r="N41" i="2" s="1"/>
  <c r="A181" i="2"/>
  <c r="N181" i="2" s="1" a="1"/>
  <c r="N181" i="2" s="1"/>
  <c r="A451" i="2"/>
  <c r="N451" i="2" s="1" a="1"/>
  <c r="N451" i="2" s="1"/>
  <c r="A628" i="2"/>
  <c r="N628" i="2" s="1" a="1"/>
  <c r="N628" i="2" s="1"/>
  <c r="A357" i="2"/>
  <c r="N357" i="2" s="1" a="1"/>
  <c r="N357" i="2" s="1"/>
  <c r="A74" i="2"/>
  <c r="N74" i="2" s="1" a="1"/>
  <c r="N74" i="2" s="1"/>
  <c r="A160" i="2"/>
  <c r="N160" i="2" s="1" a="1"/>
  <c r="N160" i="2" s="1"/>
  <c r="A311" i="2"/>
  <c r="N311" i="2" s="1" a="1"/>
  <c r="N311" i="2" s="1"/>
  <c r="A502" i="2"/>
  <c r="N502" i="2" s="1" a="1"/>
  <c r="N502" i="2" s="1"/>
  <c r="A221" i="2"/>
  <c r="N221" i="2" s="1" a="1"/>
  <c r="N221" i="2" s="1"/>
  <c r="A651" i="2"/>
  <c r="N651" i="2" s="1" a="1"/>
  <c r="N651" i="2" s="1"/>
  <c r="A657" i="2"/>
  <c r="N657" i="2" s="1" a="1"/>
  <c r="N657" i="2" s="1"/>
  <c r="A556" i="2"/>
  <c r="N556" i="2" s="1" a="1"/>
  <c r="N556" i="2" s="1"/>
  <c r="A617" i="2"/>
  <c r="N617" i="2" s="1" a="1"/>
  <c r="N617" i="2" s="1"/>
  <c r="A373" i="2"/>
  <c r="N373" i="2" s="1" a="1"/>
  <c r="N373" i="2" s="1"/>
  <c r="A634" i="2"/>
  <c r="N634" i="2" s="1" a="1"/>
  <c r="N634" i="2" s="1"/>
  <c r="A639" i="2"/>
  <c r="N639" i="2" s="1" a="1"/>
  <c r="N639" i="2" s="1"/>
  <c r="A400" i="2"/>
  <c r="N400" i="2" s="1" a="1"/>
  <c r="N400" i="2" s="1"/>
  <c r="A131" i="2"/>
  <c r="N131" i="2" s="1" a="1"/>
  <c r="N131" i="2" s="1"/>
  <c r="A282" i="2"/>
  <c r="N282" i="2" s="1" a="1"/>
  <c r="N282" i="2" s="1"/>
  <c r="A643" i="2"/>
  <c r="N643" i="2" s="1" a="1"/>
  <c r="N643" i="2" s="1"/>
  <c r="A170" i="2"/>
  <c r="N170" i="2" s="1" a="1"/>
  <c r="N170" i="2" s="1"/>
  <c r="A668" i="2"/>
  <c r="N668" i="2" s="1" a="1"/>
  <c r="N668" i="2" s="1"/>
  <c r="A374" i="2"/>
  <c r="N374" i="2" s="1" a="1"/>
  <c r="N374" i="2" s="1"/>
  <c r="A429" i="2"/>
  <c r="N429" i="2" s="1" a="1"/>
  <c r="N429" i="2" s="1"/>
  <c r="A395" i="2"/>
  <c r="N395" i="2" s="1" a="1"/>
  <c r="N395" i="2" s="1"/>
  <c r="A295" i="2"/>
  <c r="N295" i="2" s="1" a="1"/>
  <c r="N295" i="2" s="1"/>
  <c r="A364" i="2"/>
  <c r="N364" i="2" s="1" a="1"/>
  <c r="N364" i="2" s="1"/>
  <c r="A418" i="2"/>
  <c r="N418" i="2" s="1" a="1"/>
  <c r="N418" i="2" s="1"/>
  <c r="A35" i="2"/>
  <c r="N35" i="2" s="1" a="1"/>
  <c r="N35" i="2" s="1"/>
  <c r="A427" i="2"/>
  <c r="N427" i="2" s="1" a="1"/>
  <c r="N427" i="2" s="1"/>
  <c r="A263" i="2"/>
  <c r="N263" i="2" s="1" a="1"/>
  <c r="N263" i="2" s="1"/>
  <c r="A153" i="2"/>
  <c r="N153" i="2" s="1" a="1"/>
  <c r="N153" i="2" s="1"/>
  <c r="A391" i="2"/>
  <c r="N391" i="2" s="1" a="1"/>
  <c r="N391" i="2" s="1"/>
  <c r="A75" i="2"/>
  <c r="N75" i="2" s="1" a="1"/>
  <c r="N75" i="2" s="1"/>
  <c r="A208" i="2"/>
  <c r="N208" i="2" s="1" a="1"/>
  <c r="N208" i="2" s="1"/>
  <c r="A638" i="2"/>
  <c r="N638" i="2" s="1" a="1"/>
  <c r="N638" i="2" s="1"/>
  <c r="A25" i="2"/>
  <c r="N25" i="2" s="1" a="1"/>
  <c r="N25" i="2" s="1"/>
  <c r="A240" i="2"/>
  <c r="N240" i="2" s="1" a="1"/>
  <c r="N240" i="2" s="1"/>
  <c r="A483" i="2"/>
  <c r="N483" i="2" s="1" a="1"/>
  <c r="N483" i="2" s="1"/>
  <c r="A246" i="2"/>
  <c r="N246" i="2" s="1" a="1"/>
  <c r="N246" i="2" s="1"/>
  <c r="A511" i="2"/>
  <c r="N511" i="2" s="1" a="1"/>
  <c r="N511" i="2" s="1"/>
  <c r="A253" i="2"/>
  <c r="N253" i="2" s="1" a="1"/>
  <c r="N253" i="2" s="1"/>
  <c r="A319" i="2"/>
  <c r="N319" i="2" s="1" a="1"/>
  <c r="N319" i="2" s="1"/>
  <c r="A596" i="2"/>
  <c r="N596" i="2" s="1" a="1"/>
  <c r="N596" i="2" s="1"/>
  <c r="A292" i="2"/>
  <c r="N292" i="2" s="1" a="1"/>
  <c r="N292" i="2" s="1"/>
  <c r="A637" i="2"/>
  <c r="N637" i="2" s="1" a="1"/>
  <c r="N637" i="2" s="1"/>
  <c r="A621" i="2"/>
  <c r="N621" i="2" s="1" a="1"/>
  <c r="N621" i="2" s="1"/>
  <c r="A47" i="2"/>
  <c r="N47" i="2" s="1" a="1"/>
  <c r="N47" i="2" s="1"/>
  <c r="A544" i="2"/>
  <c r="N544" i="2" s="1" a="1"/>
  <c r="N544" i="2" s="1"/>
  <c r="A84" i="2"/>
  <c r="N84" i="2" s="1" a="1"/>
  <c r="N84" i="2" s="1"/>
  <c r="A312" i="2"/>
  <c r="N312" i="2" s="1" a="1"/>
  <c r="N312" i="2" s="1"/>
  <c r="A349" i="2"/>
  <c r="N349" i="2" s="1" a="1"/>
  <c r="N349" i="2" s="1"/>
  <c r="A217" i="2"/>
  <c r="N217" i="2" s="1" a="1"/>
  <c r="N217" i="2" s="1"/>
  <c r="A569" i="2"/>
  <c r="N569" i="2" s="1" a="1"/>
  <c r="N569" i="2" s="1"/>
  <c r="A590" i="2"/>
  <c r="N590" i="2" s="1" a="1"/>
  <c r="N590" i="2" s="1"/>
  <c r="A106" i="2"/>
  <c r="N106" i="2" s="1" a="1"/>
  <c r="N106" i="2" s="1"/>
  <c r="A198" i="2"/>
  <c r="N198" i="2" s="1" a="1"/>
  <c r="N198" i="2" s="1"/>
  <c r="A328" i="2"/>
  <c r="N328" i="2" s="1" a="1"/>
  <c r="N328" i="2" s="1"/>
  <c r="A663" i="2"/>
  <c r="N663" i="2" s="1" a="1"/>
  <c r="N663" i="2" s="1"/>
  <c r="A369" i="2"/>
  <c r="N369" i="2" s="1" a="1"/>
  <c r="N369" i="2" s="1"/>
  <c r="A359" i="2"/>
  <c r="N359" i="2" s="1" a="1"/>
  <c r="N359" i="2" s="1"/>
  <c r="A425" i="2"/>
  <c r="N425" i="2" s="1" a="1"/>
  <c r="N425" i="2" s="1"/>
  <c r="A485" i="2"/>
  <c r="N485" i="2" s="1" a="1"/>
  <c r="N485" i="2" s="1"/>
  <c r="A205" i="2"/>
  <c r="N205" i="2" s="1" a="1"/>
  <c r="N205" i="2" s="1"/>
  <c r="A543" i="2"/>
  <c r="N543" i="2" s="1" a="1"/>
  <c r="N543" i="2" s="1"/>
  <c r="A245" i="2"/>
  <c r="N245" i="2" s="1" a="1"/>
  <c r="N245" i="2" s="1"/>
  <c r="A587" i="2"/>
  <c r="N587" i="2" s="1" a="1"/>
  <c r="N587" i="2" s="1"/>
  <c r="A254" i="2"/>
  <c r="N254" i="2" s="1" a="1"/>
  <c r="N254" i="2" s="1"/>
  <c r="A584" i="2"/>
  <c r="N584" i="2" s="1" a="1"/>
  <c r="N584" i="2" s="1"/>
  <c r="A117" i="2"/>
  <c r="N117" i="2" s="1" a="1"/>
  <c r="N117" i="2" s="1"/>
  <c r="A335" i="2"/>
  <c r="N335" i="2" s="1" a="1"/>
  <c r="N335" i="2" s="1"/>
  <c r="A234" i="2"/>
  <c r="N234" i="2" s="1" a="1"/>
  <c r="N234" i="2" s="1"/>
  <c r="A327" i="2"/>
  <c r="N327" i="2" s="1" a="1"/>
  <c r="N327" i="2" s="1"/>
  <c r="A583" i="2"/>
  <c r="N583" i="2" s="1" a="1"/>
  <c r="N583" i="2" s="1"/>
  <c r="A467" i="2"/>
  <c r="N467" i="2" s="1" a="1"/>
  <c r="N467" i="2" s="1"/>
  <c r="A127" i="2"/>
  <c r="N127" i="2" s="1" a="1"/>
  <c r="N127" i="2" s="1"/>
  <c r="A142" i="2"/>
  <c r="N142" i="2" s="1" a="1"/>
  <c r="N142" i="2" s="1"/>
  <c r="A163" i="2"/>
  <c r="N163" i="2" s="1" a="1"/>
  <c r="N163" i="2" s="1"/>
  <c r="A539" i="2"/>
  <c r="N539" i="2" s="1" a="1"/>
  <c r="N539" i="2" s="1"/>
  <c r="A332" i="2"/>
  <c r="N332" i="2" s="1" a="1"/>
  <c r="N332" i="2" s="1"/>
  <c r="A472" i="2"/>
  <c r="N472" i="2" s="1" a="1"/>
  <c r="N472" i="2" s="1"/>
  <c r="A525" i="2"/>
  <c r="N525" i="2" s="1" a="1"/>
  <c r="N525" i="2" s="1"/>
  <c r="A488" i="2"/>
  <c r="N488" i="2" s="1" a="1"/>
  <c r="N488" i="2" s="1"/>
  <c r="A474" i="2"/>
  <c r="N474" i="2" s="1" a="1"/>
  <c r="N474" i="2" s="1"/>
  <c r="A545" i="2"/>
  <c r="N545" i="2" s="1" a="1"/>
  <c r="N545" i="2" s="1"/>
  <c r="A548" i="2"/>
  <c r="N548" i="2" s="1" a="1"/>
  <c r="N548" i="2" s="1"/>
  <c r="A289" i="2"/>
  <c r="N289" i="2" s="1" a="1"/>
  <c r="N289" i="2" s="1"/>
  <c r="A401" i="2"/>
  <c r="N401" i="2" s="1" a="1"/>
  <c r="N401" i="2" s="1"/>
  <c r="A119" i="2"/>
  <c r="N119" i="2" s="1" a="1"/>
  <c r="N119" i="2" s="1"/>
  <c r="A244" i="2"/>
  <c r="N244" i="2" s="1" a="1"/>
  <c r="N244" i="2" s="1"/>
  <c r="A557" i="2"/>
  <c r="N557" i="2" s="1" a="1"/>
  <c r="N557" i="2" s="1"/>
  <c r="A627" i="2"/>
  <c r="N627" i="2" s="1" a="1"/>
  <c r="N627" i="2" s="1"/>
  <c r="A348" i="2"/>
  <c r="N348" i="2" s="1" a="1"/>
  <c r="N348" i="2" s="1"/>
  <c r="A555" i="2"/>
  <c r="N555" i="2" s="1" a="1"/>
  <c r="N555" i="2" s="1"/>
  <c r="A193" i="2"/>
  <c r="N193" i="2" s="1" a="1"/>
  <c r="N193" i="2" s="1"/>
  <c r="A521" i="2"/>
  <c r="N521" i="2" s="1" a="1"/>
  <c r="N521" i="2" s="1"/>
  <c r="A403" i="2"/>
  <c r="N403" i="2" s="1" a="1"/>
  <c r="N403" i="2" s="1"/>
  <c r="A2" i="2"/>
  <c r="N2" i="2" s="1" a="1"/>
  <c r="N2" i="2" s="1"/>
  <c r="A603" i="2"/>
  <c r="N603" i="2" s="1" a="1"/>
  <c r="N603" i="2" s="1"/>
  <c r="A431" i="2"/>
  <c r="N431" i="2" s="1" a="1"/>
  <c r="N431" i="2" s="1"/>
  <c r="A232" i="2"/>
  <c r="N232" i="2" s="1" a="1"/>
  <c r="N232" i="2" s="1"/>
  <c r="A236" i="2"/>
  <c r="N236" i="2" s="1" a="1"/>
  <c r="N236" i="2" s="1"/>
  <c r="A421" i="2"/>
  <c r="N421" i="2" s="1" a="1"/>
  <c r="N421" i="2" s="1"/>
  <c r="A540" i="2"/>
  <c r="N540" i="2" s="1" a="1"/>
  <c r="N540" i="2" s="1"/>
  <c r="A121" i="2"/>
  <c r="N121" i="2" s="1" a="1"/>
  <c r="N121" i="2" s="1"/>
  <c r="A372" i="2"/>
  <c r="N372" i="2" s="1" a="1"/>
  <c r="N372" i="2" s="1"/>
  <c r="A7" i="2"/>
  <c r="N7" i="2" s="1" a="1"/>
  <c r="N7" i="2" s="1"/>
  <c r="A101" i="2"/>
  <c r="N101" i="2" s="1" a="1"/>
  <c r="N101" i="2" s="1"/>
  <c r="A553" i="2"/>
  <c r="N553" i="2" s="1" a="1"/>
  <c r="N553" i="2" s="1"/>
  <c r="A145" i="2"/>
  <c r="N145" i="2" s="1" a="1"/>
  <c r="N145" i="2" s="1"/>
  <c r="A225" i="2"/>
  <c r="N225" i="2" s="1" a="1"/>
  <c r="N225" i="2" s="1"/>
  <c r="A150" i="2"/>
  <c r="N150" i="2" s="1" a="1"/>
  <c r="N150" i="2" s="1"/>
  <c r="A103" i="2"/>
  <c r="N103" i="2" s="1" a="1"/>
  <c r="N103" i="2" s="1"/>
  <c r="A296" i="2"/>
  <c r="N296" i="2" s="1" a="1"/>
  <c r="N296" i="2" s="1"/>
  <c r="A519" i="2"/>
  <c r="N519" i="2" s="1" a="1"/>
  <c r="N519" i="2" s="1"/>
  <c r="A347" i="2"/>
  <c r="N347" i="2" s="1" a="1"/>
  <c r="N347" i="2" s="1"/>
  <c r="A503" i="2"/>
  <c r="N503" i="2" s="1" a="1"/>
  <c r="N503" i="2" s="1"/>
  <c r="G25" i="3" a="1"/>
  <c r="G25" i="3" s="1"/>
  <c r="G28" i="3" s="1" a="1"/>
  <c r="G28" i="3" s="1"/>
  <c r="X25" i="3" s="1" a="1"/>
  <c r="X25" i="3" s="1"/>
  <c r="AF2" i="3" s="1" a="1"/>
  <c r="AF2" i="3" s="1"/>
  <c r="A585" i="2"/>
  <c r="N585" i="2" s="1" a="1"/>
  <c r="N585" i="2" s="1"/>
  <c r="A184" i="2"/>
  <c r="N184" i="2" s="1" a="1"/>
  <c r="N184" i="2" s="1"/>
  <c r="A616" i="2"/>
  <c r="N616" i="2" s="1" a="1"/>
  <c r="N616" i="2" s="1"/>
  <c r="A314" i="2"/>
  <c r="N314" i="2" s="1" a="1"/>
  <c r="N314" i="2" s="1"/>
  <c r="L24" i="2" a="1"/>
  <c r="L24" i="2" s="1"/>
  <c r="A614" i="2"/>
  <c r="N614" i="2" s="1" a="1"/>
  <c r="N614" i="2" s="1"/>
  <c r="A561" i="2"/>
  <c r="N561" i="2" s="1" a="1"/>
  <c r="N561" i="2" s="1"/>
  <c r="A239" i="2"/>
  <c r="N239" i="2" s="1" a="1"/>
  <c r="N239" i="2" s="1"/>
  <c r="A414" i="2"/>
  <c r="N414" i="2" s="1" a="1"/>
  <c r="N414" i="2" s="1"/>
  <c r="A187" i="2"/>
  <c r="N187" i="2" s="1" a="1"/>
  <c r="N187" i="2" s="1"/>
  <c r="A32" i="2"/>
  <c r="N32" i="2" s="1" a="1"/>
  <c r="N32" i="2" s="1"/>
  <c r="A506" i="2"/>
  <c r="N506" i="2" s="1" a="1"/>
  <c r="N506" i="2" s="1"/>
  <c r="A470" i="2"/>
  <c r="N470" i="2" s="1" a="1"/>
  <c r="N470" i="2" s="1"/>
  <c r="A546" i="2"/>
  <c r="N546" i="2" s="1" a="1"/>
  <c r="N546" i="2" s="1"/>
  <c r="A197" i="2"/>
  <c r="N197" i="2" s="1" a="1"/>
  <c r="N197" i="2" s="1"/>
  <c r="A123" i="2"/>
  <c r="N123" i="2" s="1" a="1"/>
  <c r="N123" i="2" s="1"/>
  <c r="A185" i="2"/>
  <c r="N185" i="2" s="1" a="1"/>
  <c r="N185" i="2" s="1"/>
  <c r="A277" i="2"/>
  <c r="N277" i="2" s="1" a="1"/>
  <c r="N277" i="2" s="1"/>
  <c r="A276" i="2"/>
  <c r="N276" i="2" s="1" a="1"/>
  <c r="N276" i="2" s="1"/>
  <c r="A220" i="2"/>
  <c r="N220" i="2" s="1" a="1"/>
  <c r="N220" i="2" s="1"/>
  <c r="A346" i="2"/>
  <c r="N346" i="2" s="1" a="1"/>
  <c r="N346" i="2" s="1"/>
  <c r="A482" i="2"/>
  <c r="N482" i="2" s="1" a="1"/>
  <c r="N482" i="2" s="1"/>
  <c r="A630" i="2"/>
  <c r="N630" i="2" s="1" a="1"/>
  <c r="N630" i="2" s="1"/>
  <c r="A572" i="2"/>
  <c r="N572" i="2" s="1" a="1"/>
  <c r="N572" i="2" s="1"/>
  <c r="A79" i="2"/>
  <c r="N79" i="2" s="1" a="1"/>
  <c r="N79" i="2" s="1"/>
  <c r="A611" i="2"/>
  <c r="N611" i="2" s="1" a="1"/>
  <c r="N611" i="2" s="1"/>
  <c r="A310" i="2"/>
  <c r="N310" i="2" s="1" a="1"/>
  <c r="N310" i="2" s="1"/>
  <c r="A454" i="2"/>
  <c r="N454" i="2" s="1" a="1"/>
  <c r="N454" i="2" s="1"/>
  <c r="A339" i="2"/>
  <c r="N339" i="2" s="1" a="1"/>
  <c r="N339" i="2" s="1"/>
  <c r="A237" i="2"/>
  <c r="N237" i="2" s="1" a="1"/>
  <c r="N237" i="2" s="1"/>
  <c r="A204" i="2"/>
  <c r="N204" i="2" s="1" a="1"/>
  <c r="N204" i="2" s="1"/>
  <c r="A342" i="2"/>
  <c r="N342" i="2" s="1" a="1"/>
  <c r="N342" i="2" s="1"/>
  <c r="A52" i="2"/>
  <c r="N52" i="2" s="1" a="1"/>
  <c r="N52" i="2" s="1"/>
  <c r="A305" i="2"/>
  <c r="N305" i="2" s="1" a="1"/>
  <c r="N305" i="2" s="1"/>
  <c r="A299" i="2"/>
  <c r="N299" i="2" s="1" a="1"/>
  <c r="N299" i="2" s="1"/>
  <c r="A199" i="2"/>
  <c r="N199" i="2" s="1" a="1"/>
  <c r="N199" i="2" s="1"/>
  <c r="A144" i="2"/>
  <c r="N144" i="2" s="1" a="1"/>
  <c r="N144" i="2" s="1"/>
  <c r="A563" i="2"/>
  <c r="N563" i="2" s="1" a="1"/>
  <c r="N563" i="2" s="1"/>
  <c r="A604" i="2"/>
  <c r="N604" i="2" s="1" a="1"/>
  <c r="N604" i="2" s="1"/>
  <c r="A476" i="2"/>
  <c r="N476" i="2" s="1" a="1"/>
  <c r="N476" i="2" s="1"/>
  <c r="A535" i="2"/>
  <c r="N535" i="2" s="1" a="1"/>
  <c r="N535" i="2" s="1"/>
  <c r="A257" i="2"/>
  <c r="N257" i="2" s="1" a="1"/>
  <c r="N257" i="2" s="1"/>
  <c r="A360" i="2"/>
  <c r="N360" i="2" s="1" a="1"/>
  <c r="N360" i="2" s="1"/>
  <c r="A660" i="2"/>
  <c r="N660" i="2" s="1" a="1"/>
  <c r="N660" i="2" s="1"/>
  <c r="A137" i="2"/>
  <c r="N137" i="2" s="1" a="1"/>
  <c r="N137" i="2" s="1"/>
  <c r="A371" i="2"/>
  <c r="N371" i="2" s="1" a="1"/>
  <c r="N371" i="2" s="1"/>
  <c r="A171" i="2"/>
  <c r="N171" i="2" s="1" a="1"/>
  <c r="N171" i="2" s="1"/>
  <c r="A227" i="2"/>
  <c r="N227" i="2" s="1" a="1"/>
  <c r="N227" i="2" s="1"/>
  <c r="A202" i="2"/>
  <c r="N202" i="2" s="1" a="1"/>
  <c r="N202" i="2" s="1"/>
  <c r="A34" i="2"/>
  <c r="N34" i="2" s="1" a="1"/>
  <c r="N34" i="2" s="1"/>
  <c r="A210" i="2"/>
  <c r="N210" i="2" s="1" a="1"/>
  <c r="N210" i="2" s="1"/>
  <c r="A367" i="2"/>
  <c r="N367" i="2" s="1" a="1"/>
  <c r="N367" i="2" s="1"/>
  <c r="A382" i="2"/>
  <c r="N382" i="2" s="1" a="1"/>
  <c r="N382" i="2" s="1"/>
  <c r="A586" i="2"/>
  <c r="N586" i="2" s="1" a="1"/>
  <c r="N586" i="2" s="1"/>
  <c r="A298" i="2"/>
  <c r="N298" i="2" s="1" a="1"/>
  <c r="N298" i="2" s="1"/>
  <c r="A107" i="2"/>
  <c r="N107" i="2" s="1" a="1"/>
  <c r="N107" i="2" s="1"/>
  <c r="A215" i="2"/>
  <c r="N215" i="2" s="1" a="1"/>
  <c r="N215" i="2" s="1"/>
  <c r="A66" i="2"/>
  <c r="N66" i="2" s="1" a="1"/>
  <c r="N66" i="2" s="1"/>
  <c r="A78" i="2"/>
  <c r="N78" i="2" s="1" a="1"/>
  <c r="N78" i="2" s="1"/>
  <c r="A167" i="2"/>
  <c r="N167" i="2" s="1" a="1"/>
  <c r="N167" i="2" s="1"/>
  <c r="A281" i="2"/>
  <c r="N281" i="2" s="1" a="1"/>
  <c r="N281" i="2" s="1"/>
  <c r="A164" i="2"/>
  <c r="N164" i="2" s="1" a="1"/>
  <c r="N164" i="2" s="1"/>
  <c r="A419" i="2"/>
  <c r="N419" i="2" s="1" a="1"/>
  <c r="N419" i="2" s="1"/>
  <c r="A469" i="2"/>
  <c r="N469" i="2" s="1" a="1"/>
  <c r="N469" i="2" s="1"/>
  <c r="A336" i="2"/>
  <c r="N336" i="2" s="1" a="1"/>
  <c r="N336" i="2" s="1"/>
  <c r="A72" i="2"/>
  <c r="N72" i="2" s="1" a="1"/>
  <c r="N72" i="2" s="1"/>
  <c r="A462" i="2"/>
  <c r="N462" i="2" s="1" a="1"/>
  <c r="N462" i="2" s="1"/>
  <c r="A631" i="2"/>
  <c r="N631" i="2" s="1" a="1"/>
  <c r="N631" i="2" s="1"/>
  <c r="A567" i="2"/>
  <c r="N567" i="2" s="1" a="1"/>
  <c r="N567" i="2" s="1"/>
  <c r="A640" i="2"/>
  <c r="N640" i="2" s="1" a="1"/>
  <c r="N640" i="2" s="1"/>
  <c r="A125" i="2"/>
  <c r="N125" i="2" s="1" a="1"/>
  <c r="N125" i="2" s="1"/>
  <c r="A518" i="2"/>
  <c r="N518" i="2" s="1" a="1"/>
  <c r="N518" i="2" s="1"/>
  <c r="A338" i="2"/>
  <c r="N338" i="2" s="1" a="1"/>
  <c r="N338" i="2" s="1"/>
  <c r="A91" i="2"/>
  <c r="N91" i="2" s="1" a="1"/>
  <c r="N91" i="2" s="1"/>
  <c r="A362" i="2"/>
  <c r="N362" i="2" s="1" a="1"/>
  <c r="N362" i="2" s="1"/>
  <c r="A570" i="2"/>
  <c r="N570" i="2" s="1" a="1"/>
  <c r="N570" i="2" s="1"/>
  <c r="A183" i="2"/>
  <c r="N183" i="2" s="1" a="1"/>
  <c r="N183" i="2" s="1"/>
  <c r="A294" i="2"/>
  <c r="N294" i="2" s="1" a="1"/>
  <c r="N294" i="2" s="1"/>
  <c r="A551" i="2"/>
  <c r="N551" i="2" s="1" a="1"/>
  <c r="N551" i="2" s="1"/>
  <c r="A597" i="2"/>
  <c r="N597" i="2" s="1" a="1"/>
  <c r="N597" i="2" s="1"/>
  <c r="A201" i="2"/>
  <c r="N201" i="2" s="1" a="1"/>
  <c r="N201" i="2" s="1"/>
  <c r="A389" i="2"/>
  <c r="N389" i="2" s="1" a="1"/>
  <c r="N389" i="2" s="1"/>
  <c r="A430" i="2"/>
  <c r="N430" i="2" s="1" a="1"/>
  <c r="N430" i="2" s="1"/>
  <c r="A437" i="2"/>
  <c r="N437" i="2" s="1" a="1"/>
  <c r="N437" i="2" s="1"/>
  <c r="A655" i="2"/>
  <c r="N655" i="2" s="1" a="1"/>
  <c r="N655" i="2" s="1"/>
  <c r="A365" i="2"/>
  <c r="N365" i="2" s="1" a="1"/>
  <c r="N365" i="2" s="1"/>
  <c r="A468" i="2"/>
  <c r="N468" i="2" s="1" a="1"/>
  <c r="N468" i="2" s="1"/>
  <c r="A517" i="2"/>
  <c r="N517" i="2" s="1" a="1"/>
  <c r="N517" i="2" s="1"/>
  <c r="A241" i="2"/>
  <c r="N241" i="2" s="1" a="1"/>
  <c r="N241" i="2" s="1"/>
  <c r="A196" i="2"/>
  <c r="N196" i="2" s="1" a="1"/>
  <c r="N196" i="2" s="1"/>
  <c r="A182" i="2"/>
  <c r="N182" i="2" s="1" a="1"/>
  <c r="N182" i="2" s="1"/>
  <c r="A218" i="2"/>
  <c r="N218" i="2" s="1" a="1"/>
  <c r="N218" i="2" s="1"/>
  <c r="A71" i="2"/>
  <c r="N71" i="2" s="1" a="1"/>
  <c r="N71" i="2" s="1"/>
  <c r="A159" i="2"/>
  <c r="N159" i="2" s="1" a="1"/>
  <c r="N159" i="2" s="1"/>
  <c r="A499" i="2"/>
  <c r="N499" i="2" s="1" a="1"/>
  <c r="N499" i="2" s="1"/>
  <c r="A479" i="2"/>
  <c r="N479" i="2" s="1" a="1"/>
  <c r="N479" i="2" s="1"/>
  <c r="A102" i="2"/>
  <c r="N102" i="2" s="1" a="1"/>
  <c r="N102" i="2" s="1"/>
  <c r="A12" i="2"/>
  <c r="N12" i="2" s="1" a="1"/>
  <c r="N12" i="2" s="1"/>
  <c r="A671" i="2"/>
  <c r="N671" i="2" s="1" a="1"/>
  <c r="N671" i="2" s="1"/>
  <c r="A376" i="2"/>
  <c r="N376" i="2" s="1" a="1"/>
  <c r="N376" i="2" s="1"/>
  <c r="A465" i="2"/>
  <c r="N465" i="2" s="1" a="1"/>
  <c r="N465" i="2" s="1"/>
  <c r="A166" i="2"/>
  <c r="N166" i="2" s="1" a="1"/>
  <c r="N166" i="2" s="1"/>
  <c r="A40" i="2"/>
  <c r="N40" i="2" s="1" a="1"/>
  <c r="N40" i="2" s="1"/>
  <c r="A594" i="2"/>
  <c r="N594" i="2" s="1" a="1"/>
  <c r="N594" i="2" s="1"/>
  <c r="A130" i="2"/>
  <c r="N130" i="2" s="1" a="1"/>
  <c r="N130" i="2" s="1"/>
  <c r="A591" i="2"/>
  <c r="N591" i="2" s="1" a="1"/>
  <c r="N591" i="2" s="1"/>
  <c r="A523" i="2"/>
  <c r="N523" i="2" s="1" a="1"/>
  <c r="N523" i="2" s="1"/>
  <c r="A629" i="2"/>
  <c r="N629" i="2" s="1" a="1"/>
  <c r="N629" i="2" s="1"/>
  <c r="A664" i="2"/>
  <c r="N664" i="2" s="1" a="1"/>
  <c r="N664" i="2" s="1"/>
  <c r="A622" i="2"/>
  <c r="N622" i="2" s="1" a="1"/>
  <c r="N622" i="2" s="1"/>
  <c r="A514" i="2"/>
  <c r="N514" i="2" s="1" a="1"/>
  <c r="N514" i="2" s="1"/>
  <c r="A20" i="2"/>
  <c r="N20" i="2" s="1" a="1"/>
  <c r="N20" i="2" s="1"/>
  <c r="A620" i="2"/>
  <c r="N620" i="2" s="1" a="1"/>
  <c r="N620" i="2" s="1"/>
  <c r="A612" i="2"/>
  <c r="N612" i="2" s="1" a="1"/>
  <c r="N612" i="2" s="1"/>
  <c r="A666" i="2"/>
  <c r="N666" i="2" s="1" a="1"/>
  <c r="N666" i="2" s="1"/>
  <c r="A222" i="2"/>
  <c r="N222" i="2" s="1" a="1"/>
  <c r="N222" i="2" s="1"/>
  <c r="A497" i="2"/>
  <c r="N497" i="2" s="1" a="1"/>
  <c r="N497" i="2" s="1"/>
  <c r="A4" i="2"/>
  <c r="N4" i="2" s="1" a="1"/>
  <c r="N4" i="2" s="1"/>
  <c r="A108" i="2"/>
  <c r="N108" i="2" s="1" a="1"/>
  <c r="N108" i="2" s="1"/>
  <c r="A42" i="2"/>
  <c r="N42" i="2" s="1" a="1"/>
  <c r="N42" i="2" s="1"/>
  <c r="A522" i="2"/>
  <c r="N522" i="2" s="1" a="1"/>
  <c r="N522" i="2" s="1"/>
  <c r="A489" i="2"/>
  <c r="N489" i="2" s="1" a="1"/>
  <c r="N489" i="2" s="1"/>
  <c r="A486" i="2"/>
  <c r="N486" i="2" s="1" a="1"/>
  <c r="N486" i="2" s="1"/>
  <c r="A27" i="2"/>
  <c r="N27" i="2" s="1" a="1"/>
  <c r="N27" i="2" s="1"/>
  <c r="A559" i="2"/>
  <c r="N559" i="2" s="1" a="1"/>
  <c r="N559" i="2" s="1"/>
  <c r="A406" i="2"/>
  <c r="N406" i="2" s="1" a="1"/>
  <c r="N406" i="2" s="1"/>
  <c r="A448" i="2"/>
  <c r="N448" i="2" s="1" a="1"/>
  <c r="N448" i="2" s="1"/>
  <c r="A118" i="2"/>
  <c r="N118" i="2" s="1" a="1"/>
  <c r="N118" i="2" s="1"/>
  <c r="A278" i="2"/>
  <c r="N278" i="2" s="1" a="1"/>
  <c r="N278" i="2" s="1"/>
  <c r="A85" i="2"/>
  <c r="N85" i="2" s="1" a="1"/>
  <c r="N85" i="2" s="1"/>
  <c r="A31" i="2"/>
  <c r="N31" i="2" s="1" a="1"/>
  <c r="N31" i="2" s="1"/>
  <c r="A51" i="2"/>
  <c r="N51" i="2" s="1" a="1"/>
  <c r="N51" i="2" s="1"/>
  <c r="A473" i="2"/>
  <c r="N473" i="2" s="1" a="1"/>
  <c r="N473" i="2" s="1"/>
  <c r="A291" i="2"/>
  <c r="N291" i="2" s="1" a="1"/>
  <c r="N291" i="2" s="1"/>
  <c r="A383" i="2"/>
  <c r="N383" i="2" s="1" a="1"/>
  <c r="N383" i="2" s="1"/>
  <c r="A288" i="2"/>
  <c r="N288" i="2" s="1" a="1"/>
  <c r="N288" i="2" s="1"/>
  <c r="A408" i="2"/>
  <c r="N408" i="2" s="1" a="1"/>
  <c r="N408" i="2" s="1"/>
  <c r="A172" i="2"/>
  <c r="N172" i="2" s="1" a="1"/>
  <c r="N172" i="2" s="1"/>
  <c r="A120" i="2"/>
  <c r="N120" i="2" s="1" a="1"/>
  <c r="N120" i="2" s="1"/>
  <c r="A641" i="2"/>
  <c r="N641" i="2" s="1" a="1"/>
  <c r="N641" i="2" s="1"/>
  <c r="A370" i="2"/>
  <c r="N370" i="2" s="1" a="1"/>
  <c r="N370" i="2" s="1"/>
  <c r="A195" i="2"/>
  <c r="N195" i="2" s="1" a="1"/>
  <c r="N195" i="2" s="1"/>
  <c r="A537" i="2"/>
  <c r="N537" i="2" s="1" a="1"/>
  <c r="N537" i="2" s="1"/>
  <c r="A618" i="2"/>
  <c r="N618" i="2" s="1" a="1"/>
  <c r="N618" i="2" s="1"/>
  <c r="A434" i="2"/>
  <c r="N434" i="2" s="1" a="1"/>
  <c r="N434" i="2" s="1"/>
  <c r="A17" i="2"/>
  <c r="N17" i="2" s="1" a="1"/>
  <c r="N17" i="2" s="1"/>
  <c r="A301" i="2"/>
  <c r="N301" i="2" s="1" a="1"/>
  <c r="N301" i="2" s="1"/>
  <c r="A152" i="2"/>
  <c r="N152" i="2" s="1" a="1"/>
  <c r="N152" i="2" s="1"/>
  <c r="A168" i="2"/>
  <c r="N168" i="2" s="1" a="1"/>
  <c r="N168" i="2" s="1"/>
  <c r="A97" i="2"/>
  <c r="N97" i="2" s="1" a="1"/>
  <c r="N97" i="2" s="1"/>
  <c r="A516" i="2"/>
  <c r="N516" i="2" s="1" a="1"/>
  <c r="N516" i="2" s="1"/>
  <c r="A81" i="2"/>
  <c r="N81" i="2" s="1" a="1"/>
  <c r="N81" i="2" s="1"/>
  <c r="A321" i="2"/>
  <c r="N321" i="2" s="1" a="1"/>
  <c r="N321" i="2" s="1"/>
  <c r="A577" i="2"/>
  <c r="N577" i="2" s="1" a="1"/>
  <c r="N577" i="2" s="1"/>
  <c r="A662" i="2"/>
  <c r="N662" i="2" s="1" a="1"/>
  <c r="N662" i="2" s="1"/>
  <c r="A351" i="2"/>
  <c r="N351" i="2" s="1" a="1"/>
  <c r="N351" i="2" s="1"/>
  <c r="A148" i="2"/>
  <c r="N148" i="2" s="1" a="1"/>
  <c r="N148" i="2" s="1"/>
  <c r="A394" i="2"/>
  <c r="N394" i="2" s="1" a="1"/>
  <c r="N394" i="2" s="1"/>
  <c r="A442" i="2"/>
  <c r="N442" i="2" s="1" a="1"/>
  <c r="N442" i="2" s="1"/>
  <c r="A259" i="2"/>
  <c r="N259" i="2" s="1" a="1"/>
  <c r="N259" i="2" s="1"/>
  <c r="A340" i="2"/>
  <c r="N340" i="2" s="1" a="1"/>
  <c r="N340" i="2" s="1"/>
  <c r="A28" i="2"/>
  <c r="N28" i="2" s="1" a="1"/>
  <c r="N28" i="2" s="1"/>
  <c r="A460" i="2"/>
  <c r="N460" i="2" s="1" a="1"/>
  <c r="N460" i="2" s="1"/>
  <c r="A235" i="2"/>
  <c r="N235" i="2" s="1" a="1"/>
  <c r="N235" i="2" s="1"/>
  <c r="A463" i="2"/>
  <c r="N463" i="2" s="1" a="1"/>
  <c r="N463" i="2" s="1"/>
  <c r="A375" i="2"/>
  <c r="N375" i="2" s="1" a="1"/>
  <c r="N375" i="2" s="1"/>
  <c r="A252" i="2"/>
  <c r="N252" i="2" s="1" a="1"/>
  <c r="N252" i="2" s="1"/>
  <c r="A286" i="2"/>
  <c r="N286" i="2" s="1" a="1"/>
  <c r="N286" i="2" s="1"/>
  <c r="A457" i="2"/>
  <c r="N457" i="2" s="1" a="1"/>
  <c r="N457" i="2" s="1"/>
  <c r="A549" i="2"/>
  <c r="N549" i="2" s="1" a="1"/>
  <c r="N549" i="2" s="1"/>
  <c r="A126" i="2"/>
  <c r="N126" i="2" s="1" a="1"/>
  <c r="N126" i="2" s="1"/>
  <c r="A481" i="2"/>
  <c r="N481" i="2" s="1" a="1"/>
  <c r="N481" i="2" s="1"/>
  <c r="A287" i="2"/>
  <c r="N287" i="2" s="1" a="1"/>
  <c r="N287" i="2" s="1"/>
  <c r="A233" i="2"/>
  <c r="N233" i="2" s="1" a="1"/>
  <c r="N233" i="2" s="1"/>
  <c r="A285" i="2"/>
  <c r="N285" i="2" s="1" a="1"/>
  <c r="N285" i="2" s="1"/>
  <c r="A303" i="2"/>
  <c r="N303" i="2" s="1" a="1"/>
  <c r="N30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<sst xmlns="http://schemas.openxmlformats.org/spreadsheetml/2006/main" count="8610" uniqueCount="872">
  <si>
    <t>Scoring System</t>
  </si>
  <si>
    <t>Points</t>
  </si>
  <si>
    <t>Categories</t>
  </si>
  <si>
    <t>Pos</t>
  </si>
  <si>
    <t>Players Selected Over Replacement</t>
  </si>
  <si>
    <t>Starting Lineup</t>
  </si>
  <si>
    <t>Position Based</t>
  </si>
  <si>
    <t>Draft Based</t>
  </si>
  <si>
    <t>Replacement Player FP</t>
  </si>
  <si>
    <t>Column</t>
  </si>
  <si>
    <t>Colour Legend</t>
  </si>
  <si>
    <t>Goals</t>
  </si>
  <si>
    <r>
      <rPr>
        <b/>
        <sz val="10"/>
        <color indexed="8"/>
        <rFont val="Helvetica Neue"/>
        <family val="2"/>
      </rPr>
      <t>C</t>
    </r>
  </si>
  <si>
    <t>Team</t>
  </si>
  <si>
    <t>Weak Defensive SOS for Skaters, Offensive SOS for Goalies</t>
  </si>
  <si>
    <t>Assists</t>
  </si>
  <si>
    <r>
      <rPr>
        <b/>
        <sz val="10"/>
        <color indexed="8"/>
        <rFont val="Helvetica Neue"/>
        <family val="2"/>
      </rPr>
      <t>LW</t>
    </r>
  </si>
  <si>
    <t>Strong Defensive SOS for Skaters, Offensive SOS for Goalies</t>
  </si>
  <si>
    <r>
      <rPr>
        <b/>
        <sz val="10"/>
        <color indexed="8"/>
        <rFont val="Helvetica Neue"/>
        <family val="2"/>
      </rPr>
      <t>RW</t>
    </r>
  </si>
  <si>
    <t>Off-day heavy (Sun, Mon, Wed, Fri)</t>
  </si>
  <si>
    <t>Shots</t>
  </si>
  <si>
    <r>
      <rPr>
        <b/>
        <sz val="10"/>
        <color indexed="8"/>
        <rFont val="Helvetica Neue"/>
        <family val="2"/>
      </rPr>
      <t>D</t>
    </r>
  </si>
  <si>
    <t>On-day heavy (Tue, Thu, Sat)</t>
  </si>
  <si>
    <t>Blocks</t>
  </si>
  <si>
    <r>
      <rPr>
        <b/>
        <sz val="10"/>
        <color indexed="8"/>
        <rFont val="Helvetica Neue"/>
        <family val="2"/>
      </rPr>
      <t>G</t>
    </r>
  </si>
  <si>
    <t>Hits</t>
  </si>
  <si>
    <t>Age</t>
  </si>
  <si>
    <t>Pre-Prime, chance to breakout</t>
  </si>
  <si>
    <t>Powerplay Goals</t>
  </si>
  <si>
    <t>Average Draft Position</t>
  </si>
  <si>
    <t>“Yahoo” or “Fantrax” or “Average”</t>
  </si>
  <si>
    <t>Post-Prime, chance to decline</t>
  </si>
  <si>
    <t>Powerplay Points</t>
  </si>
  <si>
    <t>YAHOO</t>
  </si>
  <si>
    <t>Shorthanded Goals</t>
  </si>
  <si>
    <t>Salary</t>
  </si>
  <si>
    <t>Contract Year</t>
  </si>
  <si>
    <t>Shorthanded Points</t>
  </si>
  <si>
    <t>Games Played Projection</t>
  </si>
  <si>
    <t>“Yes” or “No”</t>
  </si>
  <si>
    <t>Time On Ice</t>
  </si>
  <si>
    <t>Yes</t>
  </si>
  <si>
    <t>ADP Diff</t>
  </si>
  <si>
    <t>Steal (&gt;2 RD Difference)</t>
  </si>
  <si>
    <t>Defensemen Points</t>
  </si>
  <si>
    <t>Potential Steal (1-2 RD Difference)</t>
  </si>
  <si>
    <t>Plus-Minus</t>
  </si>
  <si>
    <t>League Type</t>
  </si>
  <si>
    <t>“Points” or “Categories”</t>
  </si>
  <si>
    <t>Potential Reach (1-2 RD Difference)</t>
  </si>
  <si>
    <t>Penalty Minutes</t>
  </si>
  <si>
    <t>Reach (&gt;2 RD Difference)</t>
  </si>
  <si>
    <t>Game-Winning Goals</t>
  </si>
  <si>
    <t>Faceoff Wins</t>
  </si>
  <si>
    <t>Forward Separation</t>
  </si>
  <si>
    <t>“C/LW/RW” or “Forwards”</t>
  </si>
  <si>
    <t>TOI</t>
  </si>
  <si>
    <t>Role Increase (&gt;1 min)</t>
  </si>
  <si>
    <t>Faceoff Losses</t>
  </si>
  <si>
    <t>C/LW/RW</t>
  </si>
  <si>
    <t>Role Decrease (&gt;1 min)</t>
  </si>
  <si>
    <t>Faceoff Percentage</t>
  </si>
  <si>
    <t>Replacement Level</t>
  </si>
  <si>
    <t>“Position” or “Draft” or “Blend”</t>
  </si>
  <si>
    <t>PPG</t>
  </si>
  <si>
    <t>PP1 (&gt;60% of TOI)</t>
  </si>
  <si>
    <t>Wins</t>
  </si>
  <si>
    <t>Draft</t>
  </si>
  <si>
    <t>PPP</t>
  </si>
  <si>
    <t>PP1 (50-60% of TOI)</t>
  </si>
  <si>
    <t>Losses</t>
  </si>
  <si>
    <t>Overtime Losses</t>
  </si>
  <si>
    <t>Number of Teams</t>
  </si>
  <si>
    <t>Shutouts</t>
  </si>
  <si>
    <t xml:space="preserve">Saves </t>
  </si>
  <si>
    <t>Save Percentage</t>
  </si>
  <si>
    <t>Boost or Bust</t>
  </si>
  <si>
    <t>How much a player’s projection moves up or down based on subjective opinion</t>
  </si>
  <si>
    <t>Goals Against</t>
  </si>
  <si>
    <t>ON</t>
  </si>
  <si>
    <t>Goals Against Average</t>
  </si>
  <si>
    <t>+ + +</t>
  </si>
  <si>
    <t>“ON” or “OFF” to toggle subjective boosts/busts from Shayna and Dom</t>
  </si>
  <si>
    <t>Games Played</t>
  </si>
  <si>
    <t>+ +</t>
  </si>
  <si>
    <t>+</t>
  </si>
  <si>
    <t>Skater Stats Affected: G, A, PTS, SOG, PPG, PPP, +/-, GWG                                                    Goalie Stats Affected: W, L, SV, GA, SV%, GAA</t>
  </si>
  <si>
    <t>-</t>
  </si>
  <si>
    <t>- -</t>
  </si>
  <si>
    <t>- - -</t>
  </si>
  <si>
    <t>RK</t>
  </si>
  <si>
    <t>NAME</t>
  </si>
  <si>
    <t>KEEP?</t>
  </si>
  <si>
    <t>POS</t>
  </si>
  <si>
    <t>TEAM</t>
  </si>
  <si>
    <t>AGE</t>
  </si>
  <si>
    <t>SALARY</t>
  </si>
  <si>
    <t>FP</t>
  </si>
  <si>
    <t>/GP</t>
  </si>
  <si>
    <t>VORP</t>
  </si>
  <si>
    <t>/$</t>
  </si>
  <si>
    <t>ADP</t>
  </si>
  <si>
    <t>DIFF.</t>
  </si>
  <si>
    <t>ADJ</t>
  </si>
  <si>
    <t>GP</t>
  </si>
  <si>
    <t>G</t>
  </si>
  <si>
    <t>A</t>
  </si>
  <si>
    <t>PTS</t>
  </si>
  <si>
    <t>SOG</t>
  </si>
  <si>
    <t>SHG</t>
  </si>
  <si>
    <t>SHP</t>
  </si>
  <si>
    <t>BLK</t>
  </si>
  <si>
    <t>HIT</t>
  </si>
  <si>
    <t>+/-</t>
  </si>
  <si>
    <t>PIM</t>
  </si>
  <si>
    <t>GWG</t>
  </si>
  <si>
    <t>FOW</t>
  </si>
  <si>
    <t>FOL</t>
  </si>
  <si>
    <t>FO%</t>
  </si>
  <si>
    <t>W</t>
  </si>
  <si>
    <t>L</t>
  </si>
  <si>
    <t>OTL</t>
  </si>
  <si>
    <t>SO</t>
  </si>
  <si>
    <t>SV</t>
  </si>
  <si>
    <t>GA</t>
  </si>
  <si>
    <t>SV%</t>
  </si>
  <si>
    <t>GAA</t>
  </si>
  <si>
    <t>Nathan MacKinnon</t>
  </si>
  <si>
    <t>Y</t>
  </si>
  <si>
    <t>Connor McDavid</t>
  </si>
  <si>
    <t>Nikita Kucherov</t>
  </si>
  <si>
    <t>Zach Werenski</t>
  </si>
  <si>
    <t>Cale Makar</t>
  </si>
  <si>
    <t>Quinn Hughes</t>
  </si>
  <si>
    <t>Macklin Celebrini</t>
  </si>
  <si>
    <t>Evan Bouchard</t>
  </si>
  <si>
    <t>David Pastrnak</t>
  </si>
  <si>
    <t>Rasmus Dahlin</t>
  </si>
  <si>
    <t>Leon Draisaitl</t>
  </si>
  <si>
    <t>Jack Eichel</t>
  </si>
  <si>
    <t>Auston Matthews</t>
  </si>
  <si>
    <t>Matthew Schaefer</t>
  </si>
  <si>
    <t>Jack Hughes</t>
  </si>
  <si>
    <t>Matt Boldy</t>
  </si>
  <si>
    <t>Jason Robertson</t>
  </si>
  <si>
    <t>Lane Hutson</t>
  </si>
  <si>
    <t>Moritz Seider</t>
  </si>
  <si>
    <t>N</t>
  </si>
  <si>
    <t>Kirill Kaprizov</t>
  </si>
  <si>
    <t>Nick Suzuki</t>
  </si>
  <si>
    <t>Adam Fox</t>
  </si>
  <si>
    <t>Connor Hellebuyck</t>
  </si>
  <si>
    <t>Jake Sanderson</t>
  </si>
  <si>
    <t>Andrei Vasilevskiy</t>
  </si>
  <si>
    <t>Martin Necas</t>
  </si>
  <si>
    <t>Kyle Connor</t>
  </si>
  <si>
    <t>Wyatt Johnston</t>
  </si>
  <si>
    <t>Roman Josi</t>
  </si>
  <si>
    <t>Darren Raddysh</t>
  </si>
  <si>
    <t>William Nylander</t>
  </si>
  <si>
    <t>Jakob Chychrun</t>
  </si>
  <si>
    <t>Jackson LaCombe</t>
  </si>
  <si>
    <t>Cutter Gauthier</t>
  </si>
  <si>
    <t>Josh Morrissey</t>
  </si>
  <si>
    <t>Mikko Rantanen</t>
  </si>
  <si>
    <t>Leo Carlsson</t>
  </si>
  <si>
    <t>Logan Thompson</t>
  </si>
  <si>
    <t>Brandt Clarke</t>
  </si>
  <si>
    <t>Dylan Guenther</t>
  </si>
  <si>
    <t>Clayton Keller</t>
  </si>
  <si>
    <t>Shea Theodore</t>
  </si>
  <si>
    <t>Tage Thompson</t>
  </si>
  <si>
    <t>Jet Greaves</t>
  </si>
  <si>
    <t>Aleksander Barkov</t>
  </si>
  <si>
    <t>Ilya Sorokin</t>
  </si>
  <si>
    <t>Sidney Crosby</t>
  </si>
  <si>
    <t>Alex DeBrincat</t>
  </si>
  <si>
    <t>Igor Shesterkin</t>
  </si>
  <si>
    <t>Miro Heiskanen</t>
  </si>
  <si>
    <t>Cole Caufield</t>
  </si>
  <si>
    <t>Noah Dobson</t>
  </si>
  <si>
    <t>Mark Scheifele</t>
  </si>
  <si>
    <t>Artemi Panarin</t>
  </si>
  <si>
    <t>y</t>
  </si>
  <si>
    <t>John Carlson</t>
  </si>
  <si>
    <t>Matthew Tkachuk</t>
  </si>
  <si>
    <t>Charlie McAvoy</t>
  </si>
  <si>
    <t>Mikhail Sergachev</t>
  </si>
  <si>
    <t>Mitch Marner</t>
  </si>
  <si>
    <t>Erik Karlsson</t>
  </si>
  <si>
    <t>Filip Forsberg</t>
  </si>
  <si>
    <t>Juuse Saros</t>
  </si>
  <si>
    <t>Jake Guentzel</t>
  </si>
  <si>
    <t>Lucas Raymond</t>
  </si>
  <si>
    <t>Jake Oettinger</t>
  </si>
  <si>
    <t>Brandon Hagel</t>
  </si>
  <si>
    <t>Nico Hischier</t>
  </si>
  <si>
    <t>Sebastian Aho</t>
  </si>
  <si>
    <t>Mika Zibanejad</t>
  </si>
  <si>
    <t>Spencer Knight</t>
  </si>
  <si>
    <t>Thomas Harley</t>
  </si>
  <si>
    <t>Sam Reinhart</t>
  </si>
  <si>
    <t>Bowen Byram</t>
  </si>
  <si>
    <t>Dylan Larkin</t>
  </si>
  <si>
    <t>Bo Horvat</t>
  </si>
  <si>
    <t>Dustin Wolf</t>
  </si>
  <si>
    <t>Brock Faber</t>
  </si>
  <si>
    <t>Kirill Marchenko</t>
  </si>
  <si>
    <t>Jeremy Swayman</t>
  </si>
  <si>
    <t>John Gibson</t>
  </si>
  <si>
    <t>Jesper Bratt</t>
  </si>
  <si>
    <t>Tim Stützle</t>
  </si>
  <si>
    <t>Logan Cooley</t>
  </si>
  <si>
    <t>Adrian Kempe</t>
  </si>
  <si>
    <t>Luke Hughes</t>
  </si>
  <si>
    <t>Connor Bedard</t>
  </si>
  <si>
    <t>Adam Fantilli</t>
  </si>
  <si>
    <t>Shayne Gostisbehere</t>
  </si>
  <si>
    <t>Vince Dunn</t>
  </si>
  <si>
    <t>Karel Vejmelka</t>
  </si>
  <si>
    <t>Filip Hronek</t>
  </si>
  <si>
    <t>Dougie Hamilton</t>
  </si>
  <si>
    <t>Robert Thomas</t>
  </si>
  <si>
    <t>Nikolaj Ehlers</t>
  </si>
  <si>
    <t>Will Smith</t>
  </si>
  <si>
    <t>Lukas Dostal</t>
  </si>
  <si>
    <t>Bryan Rust</t>
  </si>
  <si>
    <t>MacKenzie Weegar</t>
  </si>
  <si>
    <t>Brayden Point</t>
  </si>
  <si>
    <t>Brady Tkachuk</t>
  </si>
  <si>
    <t>Roope Hintz</t>
  </si>
  <si>
    <t>Juraj Slafkovsky</t>
  </si>
  <si>
    <t>Owen Power</t>
  </si>
  <si>
    <t>Seth Jones</t>
  </si>
  <si>
    <t>Thomas Chabot</t>
  </si>
  <si>
    <t>Elias Pettersson</t>
  </si>
  <si>
    <t>Jakub Dobes</t>
  </si>
  <si>
    <t>Scott Wedgewood</t>
  </si>
  <si>
    <t>Anton Frondell</t>
  </si>
  <si>
    <t>Beckett Sennecke</t>
  </si>
  <si>
    <t>Pavel Dorofeyev</t>
  </si>
  <si>
    <t>Philip Broberg</t>
  </si>
  <si>
    <t>Cole Hutson</t>
  </si>
  <si>
    <t>Dylan Holloway</t>
  </si>
  <si>
    <t>Brandon Montour</t>
  </si>
  <si>
    <t>Sergei Bobrovsky</t>
  </si>
  <si>
    <t>Nick Schmaltz</t>
  </si>
  <si>
    <t>Rasmus Andersson</t>
  </si>
  <si>
    <t>Joel Eriksson Ek</t>
  </si>
  <si>
    <t>Alexis Lafrenière</t>
  </si>
  <si>
    <t>Dmitry Orlov</t>
  </si>
  <si>
    <t>Dylan Strome</t>
  </si>
  <si>
    <t>Alex Tuch</t>
  </si>
  <si>
    <t>Mathew Barzal</t>
  </si>
  <si>
    <t>Ryan O'Reilly</t>
  </si>
  <si>
    <t>Noah Hanifin</t>
  </si>
  <si>
    <t>Simon Nemec</t>
  </si>
  <si>
    <t>Ivan Demidov</t>
  </si>
  <si>
    <t>J.T. Miller</t>
  </si>
  <si>
    <t>Darnell Nurse</t>
  </si>
  <si>
    <t>Mark Stone</t>
  </si>
  <si>
    <t>Andrei Svechnikov</t>
  </si>
  <si>
    <t>Quinton Byfield</t>
  </si>
  <si>
    <t>Jesper Wallstedt</t>
  </si>
  <si>
    <t>Linus Ullmark</t>
  </si>
  <si>
    <t>Travis Konecny</t>
  </si>
  <si>
    <t>Steven Stamkos</t>
  </si>
  <si>
    <t>Rickard Rakell</t>
  </si>
  <si>
    <t>Zeev Buium</t>
  </si>
  <si>
    <t>John Tavares</t>
  </si>
  <si>
    <t>Justin Faulk</t>
  </si>
  <si>
    <t>Zach Hyman</t>
  </si>
  <si>
    <t>Victor Hedman</t>
  </si>
  <si>
    <t>Pavel Mintyukov</t>
  </si>
  <si>
    <t>Jacob Markstrom</t>
  </si>
  <si>
    <t>Jimmy Snuggerud</t>
  </si>
  <si>
    <t>Jordan Kyrou</t>
  </si>
  <si>
    <t>Timo Meier</t>
  </si>
  <si>
    <t>Morgan Geekie</t>
  </si>
  <si>
    <t>Evgeni Malkin</t>
  </si>
  <si>
    <t>Matthew Knies</t>
  </si>
  <si>
    <t>Joel Hofer</t>
  </si>
  <si>
    <t>Drake Batherson</t>
  </si>
  <si>
    <t>Tomas Hertl</t>
  </si>
  <si>
    <t>Zach Benson</t>
  </si>
  <si>
    <t>Mattias Ekholm</t>
  </si>
  <si>
    <t>Brock Nelson</t>
  </si>
  <si>
    <t>Jamie Drysdale</t>
  </si>
  <si>
    <t>Michael Misa</t>
  </si>
  <si>
    <t>Travis Sanheim</t>
  </si>
  <si>
    <t>Simon Edvinsson</t>
  </si>
  <si>
    <t>Alex Nikishin</t>
  </si>
  <si>
    <t>Ivan Provorov</t>
  </si>
  <si>
    <t>Dylan Cozens</t>
  </si>
  <si>
    <t>Tom Wilson</t>
  </si>
  <si>
    <t>Porter Martone</t>
  </si>
  <si>
    <t>William Eklund</t>
  </si>
  <si>
    <t>K'Andre Miller</t>
  </si>
  <si>
    <t>Anton Forsberg</t>
  </si>
  <si>
    <t>JJ Peterka</t>
  </si>
  <si>
    <t>Gavin McKenna</t>
  </si>
  <si>
    <t>Nazem Kadri</t>
  </si>
  <si>
    <t>Jacob Trouba</t>
  </si>
  <si>
    <t>Gustav Forsling</t>
  </si>
  <si>
    <t>Gabriel Vilardi</t>
  </si>
  <si>
    <t>Morgan Rielly</t>
  </si>
  <si>
    <t>Cam York</t>
  </si>
  <si>
    <t>Brady Skjei</t>
  </si>
  <si>
    <t>Jake Allen</t>
  </si>
  <si>
    <t>Ryan Hartman</t>
  </si>
  <si>
    <t>Devon Toews</t>
  </si>
  <si>
    <t>Joey Daccord</t>
  </si>
  <si>
    <t>Mattias Samuelsson</t>
  </si>
  <si>
    <t>Marco Rossi</t>
  </si>
  <si>
    <t>Kris Letang</t>
  </si>
  <si>
    <t>Kevin Fiala</t>
  </si>
  <si>
    <t>Brock Boeser</t>
  </si>
  <si>
    <t>Mike Matheson</t>
  </si>
  <si>
    <t>Dan Vladar</t>
  </si>
  <si>
    <t>Seth Jarvis</t>
  </si>
  <si>
    <t>Matty Beniers</t>
  </si>
  <si>
    <t>Jared McCann</t>
  </si>
  <si>
    <t>Jake DeBrusk</t>
  </si>
  <si>
    <t>Colton Parayko</t>
  </si>
  <si>
    <t>Jake Walman</t>
  </si>
  <si>
    <t>Denton Mateychuk</t>
  </si>
  <si>
    <t>Artyom Levshunov</t>
  </si>
  <si>
    <t>Thatcher Demko</t>
  </si>
  <si>
    <t>Luke Evangelista</t>
  </si>
  <si>
    <t>Sean Walker</t>
  </si>
  <si>
    <t>Trevor Zegras</t>
  </si>
  <si>
    <t>Esa Lindell</t>
  </si>
  <si>
    <t>Jackson Blake</t>
  </si>
  <si>
    <t>Patrick Kane</t>
  </si>
  <si>
    <t>Mason McTavish</t>
  </si>
  <si>
    <t>Brad Marchand</t>
  </si>
  <si>
    <t>Matvei Michkov</t>
  </si>
  <si>
    <t>Luca Cagnoni</t>
  </si>
  <si>
    <t>Matt Coronato</t>
  </si>
  <si>
    <t>Jaccob Slavin</t>
  </si>
  <si>
    <t>Ukko-Pekka Luukkonen</t>
  </si>
  <si>
    <t>Ryan Nugent-Hopkins</t>
  </si>
  <si>
    <t>Carter Hart</t>
  </si>
  <si>
    <t>Sam Dickinson</t>
  </si>
  <si>
    <t>Vladislav Gavrikov</t>
  </si>
  <si>
    <t>Sam Bennett</t>
  </si>
  <si>
    <t>Sean Durzi</t>
  </si>
  <si>
    <t>Owen Tippett</t>
  </si>
  <si>
    <t>Sam Malinski</t>
  </si>
  <si>
    <t>Neal Pionk</t>
  </si>
  <si>
    <t>Matvei Gridin</t>
  </si>
  <si>
    <t>Jake McCabe</t>
  </si>
  <si>
    <t>Olen Zellweger</t>
  </si>
  <si>
    <t>Dylan Samberg</t>
  </si>
  <si>
    <t>Martin Fehervary</t>
  </si>
  <si>
    <t>Aaron Ekblad</t>
  </si>
  <si>
    <t>Logan Stankoven</t>
  </si>
  <si>
    <t>Tyler Bertuzzi</t>
  </si>
  <si>
    <t>Brent Burns</t>
  </si>
  <si>
    <t>Alex Ovechkin</t>
  </si>
  <si>
    <t>Matt Roy</t>
  </si>
  <si>
    <t>Jordan Spence</t>
  </si>
  <si>
    <t>Josh Manson</t>
  </si>
  <si>
    <t>Anton Lundell</t>
  </si>
  <si>
    <t>Damon Severson</t>
  </si>
  <si>
    <t>Cole Perfetti</t>
  </si>
  <si>
    <t>Valeri Nichushkin</t>
  </si>
  <si>
    <t>Anthony Cirelli</t>
  </si>
  <si>
    <t>Brayden McNabb</t>
  </si>
  <si>
    <t>Pavel Zacha</t>
  </si>
  <si>
    <t>Alex Vlasic</t>
  </si>
  <si>
    <t>Janis Moser</t>
  </si>
  <si>
    <t>Aliaksei Protas</t>
  </si>
  <si>
    <t>Josh Doan</t>
  </si>
  <si>
    <t>Shane Pinto</t>
  </si>
  <si>
    <t>Mikael Granlund</t>
  </si>
  <si>
    <t>Adam Larsson</t>
  </si>
  <si>
    <t>Hampus Lindholm</t>
  </si>
  <si>
    <t>Cam Fowler</t>
  </si>
  <si>
    <t>Tom Willander</t>
  </si>
  <si>
    <t>Viktor Arvidsson</t>
  </si>
  <si>
    <t>Oliver Ekman-Larsson</t>
  </si>
  <si>
    <t>Ryan Pulock</t>
  </si>
  <si>
    <t>Drew Doughty</t>
  </si>
  <si>
    <t>Ryan McDonagh</t>
  </si>
  <si>
    <t>Jonas Brodin</t>
  </si>
  <si>
    <t>Carter Verhaeghe</t>
  </si>
  <si>
    <t>Marcus Pettersson</t>
  </si>
  <si>
    <t>Yaroslav Askarov</t>
  </si>
  <si>
    <t>Vincent Trocheck</t>
  </si>
  <si>
    <t>Rasmus Sandin</t>
  </si>
  <si>
    <t>Ryan Leonard</t>
  </si>
  <si>
    <t>Alex Romanov</t>
  </si>
  <si>
    <t>Arturs Silovs</t>
  </si>
  <si>
    <t>Braden Schneider</t>
  </si>
  <si>
    <t>Frank Nazar</t>
  </si>
  <si>
    <t>Artem Zub</t>
  </si>
  <si>
    <t>Alex Carrier</t>
  </si>
  <si>
    <t>Tony DeAngelo</t>
  </si>
  <si>
    <t>Pyotr Kochetkov</t>
  </si>
  <si>
    <t>Sam Rinzel</t>
  </si>
  <si>
    <t>Jordan Eberle</t>
  </si>
  <si>
    <t>Mikey Anderson</t>
  </si>
  <si>
    <t>Charle-Edouard D'Astous</t>
  </si>
  <si>
    <t>Jack Quinn</t>
  </si>
  <si>
    <t>Michael Kesselring</t>
  </si>
  <si>
    <t>Will Cuylle</t>
  </si>
  <si>
    <t>Mason Lohrei</t>
  </si>
  <si>
    <t>Pavel Buchnevich</t>
  </si>
  <si>
    <t>Jacob Middleton</t>
  </si>
  <si>
    <t>Kevin Bahl</t>
  </si>
  <si>
    <t>Adam Pelech</t>
  </si>
  <si>
    <t>Kyle Palmieri</t>
  </si>
  <si>
    <t>Chandler Stephenson</t>
  </si>
  <si>
    <t>Jamie Oleksiak</t>
  </si>
  <si>
    <t>Alex Laferriere</t>
  </si>
  <si>
    <t>Nikita Zadorov</t>
  </si>
  <si>
    <t>MacKenzie Blackwood</t>
  </si>
  <si>
    <t>Mats Zuccarello</t>
  </si>
  <si>
    <t>Morgan Frost</t>
  </si>
  <si>
    <t>William Borgen</t>
  </si>
  <si>
    <t>Ivar Stenberg</t>
  </si>
  <si>
    <t>Alex Wennberg</t>
  </si>
  <si>
    <t>Ben Kindel</t>
  </si>
  <si>
    <t>Zayne Parekh</t>
  </si>
  <si>
    <t>John Marino</t>
  </si>
  <si>
    <t>Brett Pesce</t>
  </si>
  <si>
    <t>Filip Gustavsson</t>
  </si>
  <si>
    <t>Elias Lindholm</t>
  </si>
  <si>
    <t>James Hagens</t>
  </si>
  <si>
    <t>Kaiden Guhle</t>
  </si>
  <si>
    <t>Brandon Bussi</t>
  </si>
  <si>
    <t>Tyler Kleven</t>
  </si>
  <si>
    <t>Jonathan Huberdeau</t>
  </si>
  <si>
    <t>Darcy Kuemper</t>
  </si>
  <si>
    <t>Jared Spurgeon</t>
  </si>
  <si>
    <t>Nick Perbix</t>
  </si>
  <si>
    <t>Drew Helleson</t>
  </si>
  <si>
    <t>Bobby McMann</t>
  </si>
  <si>
    <t>Nick Seeler</t>
  </si>
  <si>
    <t>Zach Whitecloud</t>
  </si>
  <si>
    <t>Chris Kreider</t>
  </si>
  <si>
    <t>Dante Fabbro</t>
  </si>
  <si>
    <t>Ryan McLeod</t>
  </si>
  <si>
    <t>Connor McMichael</t>
  </si>
  <si>
    <t>Charlie Coyle</t>
  </si>
  <si>
    <t>Tyson Foerster</t>
  </si>
  <si>
    <t>Ben Chiarot</t>
  </si>
  <si>
    <t>Mario Ferraro</t>
  </si>
  <si>
    <t>Blake Coleman</t>
  </si>
  <si>
    <t>Tyler Myers</t>
  </si>
  <si>
    <t>Matt Duchene</t>
  </si>
  <si>
    <t>Alex Lyon</t>
  </si>
  <si>
    <t>Pierre-Luc Dubois</t>
  </si>
  <si>
    <t>Mason Marchment</t>
  </si>
  <si>
    <t>Calum Ritchie</t>
  </si>
  <si>
    <t>Connor Murphy</t>
  </si>
  <si>
    <t>Rasmus Ristolainen</t>
  </si>
  <si>
    <t>Ivan Barbashev</t>
  </si>
  <si>
    <t>Brett Kulak</t>
  </si>
  <si>
    <t>Louis Crevier</t>
  </si>
  <si>
    <t>Joseph Woll</t>
  </si>
  <si>
    <t>Kaedan Korczak</t>
  </si>
  <si>
    <t>Simon Holmstrom</t>
  </si>
  <si>
    <t>Matthew Robertson</t>
  </si>
  <si>
    <t>Artturi Lehkonen</t>
  </si>
  <si>
    <t>Jalen Chatfield</t>
  </si>
  <si>
    <t>Dylan Demelo</t>
  </si>
  <si>
    <t>Ian Moore</t>
  </si>
  <si>
    <t>Ty Emberson</t>
  </si>
  <si>
    <t>Samuel Girard</t>
  </si>
  <si>
    <t>Dmitri Voronkov</t>
  </si>
  <si>
    <t>Dawson Mercer</t>
  </si>
  <si>
    <t>Joel Farabee</t>
  </si>
  <si>
    <t>Nate Schmidt</t>
  </si>
  <si>
    <t>Kiefer Sherwood</t>
  </si>
  <si>
    <t>Christian Dvorak</t>
  </si>
  <si>
    <t>Jonas Siegenthaler</t>
  </si>
  <si>
    <t>Mikael Backlund</t>
  </si>
  <si>
    <t>Ryker Evans</t>
  </si>
  <si>
    <t>Niko Mikkola</t>
  </si>
  <si>
    <t>Wyatt Kaiser</t>
  </si>
  <si>
    <t>Theo Lindstein</t>
  </si>
  <si>
    <t>Alex Nedeljkovic</t>
  </si>
  <si>
    <t>Tristan Luneau</t>
  </si>
  <si>
    <t>Mavrik Bourque</t>
  </si>
  <si>
    <t>Cody Ceci</t>
  </si>
  <si>
    <t>Erik Cernak</t>
  </si>
  <si>
    <t>Anders Lee</t>
  </si>
  <si>
    <t>Joel Edmundson</t>
  </si>
  <si>
    <t>Ryan Lindgren</t>
  </si>
  <si>
    <t>Timothy Liljegren</t>
  </si>
  <si>
    <t>Shane Wright</t>
  </si>
  <si>
    <t>Matt Savoie</t>
  </si>
  <si>
    <t>Nicolas Hague</t>
  </si>
  <si>
    <t>Radko Gudas</t>
  </si>
  <si>
    <t>Nico Daws</t>
  </si>
  <si>
    <t>Jonathan Marchessault</t>
  </si>
  <si>
    <t>Conor Garland</t>
  </si>
  <si>
    <t>Tyler Toffoli</t>
  </si>
  <si>
    <t>Yegor Chinakhov</t>
  </si>
  <si>
    <t>Andrew Copp</t>
  </si>
  <si>
    <t>Igor Chernyshov</t>
  </si>
  <si>
    <t>Adam Wilsby</t>
  </si>
  <si>
    <t>Conor Timmins</t>
  </si>
  <si>
    <t>Philipp Grubauer</t>
  </si>
  <si>
    <t>Sean Monahan</t>
  </si>
  <si>
    <t>Sergei Murashov</t>
  </si>
  <si>
    <t>Elias Pettersson (D)</t>
  </si>
  <si>
    <t>Tristan Jarry</t>
  </si>
  <si>
    <t>Brian Dumoulin</t>
  </si>
  <si>
    <t>Gabe Perreault</t>
  </si>
  <si>
    <t>Ian Cole</t>
  </si>
  <si>
    <t>Frederik Andersen</t>
  </si>
  <si>
    <t>Taylor Hall</t>
  </si>
  <si>
    <t>Nick Jensen</t>
  </si>
  <si>
    <t>Maveric Lamoureux</t>
  </si>
  <si>
    <t>Adin Hill</t>
  </si>
  <si>
    <t>Johnathan Kovacevic</t>
  </si>
  <si>
    <t>Josh Norris</t>
  </si>
  <si>
    <t>Brandon Carlo</t>
  </si>
  <si>
    <t>Claude Giroux</t>
  </si>
  <si>
    <t>Anthony Mantha</t>
  </si>
  <si>
    <t>Chris Tanev</t>
  </si>
  <si>
    <t>Yegor Sharangovich</t>
  </si>
  <si>
    <t>Jonathan Aspirot</t>
  </si>
  <si>
    <t>Ryan Shea</t>
  </si>
  <si>
    <t>Lawson Crouse</t>
  </si>
  <si>
    <t>Nils Lundkvist</t>
  </si>
  <si>
    <t>Trevor van Riemsdyk</t>
  </si>
  <si>
    <t>Kaapo Kakko</t>
  </si>
  <si>
    <t>Jake Neighbours</t>
  </si>
  <si>
    <t>Mackie Samoskevich</t>
  </si>
  <si>
    <t>Anthony Stolarz</t>
  </si>
  <si>
    <t>Roman Kantserov</t>
  </si>
  <si>
    <t>Ryan Poehling</t>
  </si>
  <si>
    <t>Troy Terry</t>
  </si>
  <si>
    <t>Parker Wotherspoon</t>
  </si>
  <si>
    <t>Jordan Binnington</t>
  </si>
  <si>
    <t>Josh Mahura</t>
  </si>
  <si>
    <t>Ross Colton</t>
  </si>
  <si>
    <t>Noah Cates</t>
  </si>
  <si>
    <t>Marco Kasper</t>
  </si>
  <si>
    <t>Easton Cowan</t>
  </si>
  <si>
    <t>Thomas Novak</t>
  </si>
  <si>
    <t>Trevor Moore</t>
  </si>
  <si>
    <t>Jeremy Lauzon</t>
  </si>
  <si>
    <t>Olli Maatta</t>
  </si>
  <si>
    <t>Jiri Kulich</t>
  </si>
  <si>
    <t>Elias Salomonsson</t>
  </si>
  <si>
    <t>Arseny Gritsyuk</t>
  </si>
  <si>
    <t>Hunter Brzustewicz</t>
  </si>
  <si>
    <t>Dmitry Kulikov</t>
  </si>
  <si>
    <t>Henri Jokiharju</t>
  </si>
  <si>
    <t>Jack Roslovic</t>
  </si>
  <si>
    <t>Kevin Lankinen</t>
  </si>
  <si>
    <t>Ridly Greig</t>
  </si>
  <si>
    <t>Logan Mailloux</t>
  </si>
  <si>
    <t>Noah Ostlund</t>
  </si>
  <si>
    <t>Albert Johansson</t>
  </si>
  <si>
    <t>Emil Martinsen Lilleberg</t>
  </si>
  <si>
    <t>Jacob Fowler</t>
  </si>
  <si>
    <t>Oliver Kapanen</t>
  </si>
  <si>
    <t>Shakir Mukhamadullin</t>
  </si>
  <si>
    <t>Emil Andrae</t>
  </si>
  <si>
    <t>Justin Barron</t>
  </si>
  <si>
    <t>Jordan Staal</t>
  </si>
  <si>
    <t>Frank Vatrano</t>
  </si>
  <si>
    <t>Simon Benoit</t>
  </si>
  <si>
    <t>Brayden Schenn</t>
  </si>
  <si>
    <t>Emil Heineman</t>
  </si>
  <si>
    <t>Oliver Bjorkstrand</t>
  </si>
  <si>
    <t>Alex Iafallo</t>
  </si>
  <si>
    <t>Casey Mittelstadt</t>
  </si>
  <si>
    <t>Zachary Bolduc</t>
  </si>
  <si>
    <t>Jacob Bernard-Docker</t>
  </si>
  <si>
    <t>Cole Sillinger</t>
  </si>
  <si>
    <t>William Karlsson</t>
  </si>
  <si>
    <t>Bobby Brink</t>
  </si>
  <si>
    <t>Jason Zucker</t>
  </si>
  <si>
    <t>Uvis Balinskis</t>
  </si>
  <si>
    <t>Vasily Podkolzin</t>
  </si>
  <si>
    <t>Emmitt Finnie</t>
  </si>
  <si>
    <t>Barrett Hayton</t>
  </si>
  <si>
    <t>Lian Bichsel</t>
  </si>
  <si>
    <t>Jamie Benn</t>
  </si>
  <si>
    <t>Tyler Tucker</t>
  </si>
  <si>
    <t>Nicholas Robertson</t>
  </si>
  <si>
    <t>Teuvo Teravainen</t>
  </si>
  <si>
    <t>Declan Chisholm</t>
  </si>
  <si>
    <t>Matthew Wood</t>
  </si>
  <si>
    <t>Konsta Helenius</t>
  </si>
  <si>
    <t>Matias Maccelli</t>
  </si>
  <si>
    <t>Scott Mayfield</t>
  </si>
  <si>
    <t>Erik Haula</t>
  </si>
  <si>
    <t>Vincent Desharnais</t>
  </si>
  <si>
    <t>Tyler Seguin</t>
  </si>
  <si>
    <t>Fraser Minten</t>
  </si>
  <si>
    <t>Jean-Gabriel Pageau</t>
  </si>
  <si>
    <t>Gabriel Landeskog</t>
  </si>
  <si>
    <t>Connor Brown</t>
  </si>
  <si>
    <t>Drew O'Connor</t>
  </si>
  <si>
    <t>Ryan Graves</t>
  </si>
  <si>
    <t>Collin Graf</t>
  </si>
  <si>
    <t>Alex Killorn</t>
  </si>
  <si>
    <t>Jack Drury</t>
  </si>
  <si>
    <t>Fabian Zetterlund</t>
  </si>
  <si>
    <t>Sebastian Cossa</t>
  </si>
  <si>
    <t>Jayden Struble</t>
  </si>
  <si>
    <t>Connor Zary</t>
  </si>
  <si>
    <t>Dmitri Simashev</t>
  </si>
  <si>
    <t>Ilya Protas</t>
  </si>
  <si>
    <t>Kent Johnson</t>
  </si>
  <si>
    <t>Casey DeSmith</t>
  </si>
  <si>
    <t>Spencer Stastney</t>
  </si>
  <si>
    <t>Boone Jenner</t>
  </si>
  <si>
    <t>Sean Couturier</t>
  </si>
  <si>
    <t>Akira Schmid</t>
  </si>
  <si>
    <t>Michael DiPietro</t>
  </si>
  <si>
    <t>Evan Rodrigues</t>
  </si>
  <si>
    <t>Ryan Greene</t>
  </si>
  <si>
    <t>Linus Karlsson</t>
  </si>
  <si>
    <t>Zach Bogosian</t>
  </si>
  <si>
    <t>Nikolas Matinpalo</t>
  </si>
  <si>
    <t>Michael Amadio</t>
  </si>
  <si>
    <t>Ryan Donato</t>
  </si>
  <si>
    <t>Vincent Iorio</t>
  </si>
  <si>
    <t>Dalibor Dvorsky</t>
  </si>
  <si>
    <t>Filip Chytil</t>
  </si>
  <si>
    <t>Brett Howden</t>
  </si>
  <si>
    <t>Warren Foegele</t>
  </si>
  <si>
    <t>Jake Evans</t>
  </si>
  <si>
    <t>Adam Boqvist</t>
  </si>
  <si>
    <t>Joel Hanley</t>
  </si>
  <si>
    <t>Noah Laba</t>
  </si>
  <si>
    <t>Dennis Hildeby</t>
  </si>
  <si>
    <t>Yanni Gourde</t>
  </si>
  <si>
    <t>Jordan Martinook</t>
  </si>
  <si>
    <t>Devin Cooley</t>
  </si>
  <si>
    <t>Eetu Luostarinen</t>
  </si>
  <si>
    <t>Pius Suter</t>
  </si>
  <si>
    <t>Adam Lowry</t>
  </si>
  <si>
    <t>J.T. Compher</t>
  </si>
  <si>
    <t>Alex Newhook</t>
  </si>
  <si>
    <t>Jaden Schwartz</t>
  </si>
  <si>
    <t>Danila Yurov</t>
  </si>
  <si>
    <t>Mathieu Olivier</t>
  </si>
  <si>
    <t>Nick Paul</t>
  </si>
  <si>
    <t>Victor Olofsson</t>
  </si>
  <si>
    <t>Parker Kelly</t>
  </si>
  <si>
    <t>Berkly Catton</t>
  </si>
  <si>
    <t>Joonas Korpisalo</t>
  </si>
  <si>
    <t>Ilya Mikheyev</t>
  </si>
  <si>
    <t>Charlie Lindgren</t>
  </si>
  <si>
    <t>Samuel Ersson</t>
  </si>
  <si>
    <t>Ville Husso</t>
  </si>
  <si>
    <t>Teddy Blueger</t>
  </si>
  <si>
    <t>Justin Brazeau</t>
  </si>
  <si>
    <t>Daniil Tarasov (G)</t>
  </si>
  <si>
    <t>Nate Danielson</t>
  </si>
  <si>
    <t>Scott Laughton</t>
  </si>
  <si>
    <t>Ryan Strome</t>
  </si>
  <si>
    <t>Elvis Merzlikins</t>
  </si>
  <si>
    <t>Vitek Vanecek</t>
  </si>
  <si>
    <t>Phillip Danault</t>
  </si>
  <si>
    <t>Arvid Soderblom</t>
  </si>
  <si>
    <t>Justin Hryckowian</t>
  </si>
  <si>
    <t>Nicolas Roy</t>
  </si>
  <si>
    <t>Gage Goncalves</t>
  </si>
  <si>
    <t>Cody Glass</t>
  </si>
  <si>
    <t>Jake Christiansen</t>
  </si>
  <si>
    <t>Michael Eyssimont</t>
  </si>
  <si>
    <t>Morgan Barron</t>
  </si>
  <si>
    <t>Max Domi</t>
  </si>
  <si>
    <t>Alex Texier</t>
  </si>
  <si>
    <t>Kirby Dach</t>
  </si>
  <si>
    <t>Michael McCarron</t>
  </si>
  <si>
    <t>Justin Sourdif</t>
  </si>
  <si>
    <t>Braeden Bowman</t>
  </si>
  <si>
    <t>Marat Khusnutdinov</t>
  </si>
  <si>
    <t>Connor Dewar</t>
  </si>
  <si>
    <t>Frederick Gaudreau</t>
  </si>
  <si>
    <t>Jonathan Drouin</t>
  </si>
  <si>
    <t>Nino Niederreiter</t>
  </si>
  <si>
    <t>Jack McBain</t>
  </si>
  <si>
    <t>Peyton Krebs</t>
  </si>
  <si>
    <t>Sam Steel</t>
  </si>
  <si>
    <t>Ethen Frank</t>
  </si>
  <si>
    <t>Liam Ohgren</t>
  </si>
  <si>
    <t>Josh Anderson</t>
  </si>
  <si>
    <t>Noel Acciari</t>
  </si>
  <si>
    <t>Jason Dickinson</t>
  </si>
  <si>
    <t>Michael Carcone</t>
  </si>
  <si>
    <t>Mark Kastelic</t>
  </si>
  <si>
    <t>Alex Bump</t>
  </si>
  <si>
    <t>Max Shabanov</t>
  </si>
  <si>
    <t>Alex Kerfoot</t>
  </si>
  <si>
    <t>Blake Lizotte</t>
  </si>
  <si>
    <t>Vladislav Namestnikov</t>
  </si>
  <si>
    <t>Pontus Holmberg</t>
  </si>
  <si>
    <t>Michael Rasmussen</t>
  </si>
  <si>
    <t>Nick Lardis</t>
  </si>
  <si>
    <t>Dominic James</t>
  </si>
  <si>
    <t>Anthony Beauvillier</t>
  </si>
  <si>
    <t>Justus Annunen</t>
  </si>
  <si>
    <t>Denver Barkey</t>
  </si>
  <si>
    <t>Oliver Moore</t>
  </si>
  <si>
    <t>Brad Lambert</t>
  </si>
  <si>
    <t>Stuart Skinner</t>
  </si>
  <si>
    <t>Nils Hoglander</t>
  </si>
  <si>
    <t>Corey Perry</t>
  </si>
  <si>
    <t>Arttu Hyry</t>
  </si>
  <si>
    <t>Yakov Trenin</t>
  </si>
  <si>
    <t>Sean Kuraly</t>
  </si>
  <si>
    <t>Joel Armia</t>
  </si>
  <si>
    <t>Alexei Toropchenko</t>
  </si>
  <si>
    <t>Adam Klapka</t>
  </si>
  <si>
    <t>Tye Kartye</t>
  </si>
  <si>
    <t>Isak Rosen</t>
  </si>
  <si>
    <t>Colton Sissons</t>
  </si>
  <si>
    <t>Keegan Kolesar</t>
  </si>
  <si>
    <t>Andre Burakovsky</t>
  </si>
  <si>
    <t>Adam Gaudette</t>
  </si>
  <si>
    <t>Nic Dowd</t>
  </si>
  <si>
    <t>Nick Bjugstad</t>
  </si>
  <si>
    <t>Tanner Jeannot</t>
  </si>
  <si>
    <t>Steven Lorentz</t>
  </si>
  <si>
    <t>Mark Jankowski</t>
  </si>
  <si>
    <t>Sam Carrick</t>
  </si>
  <si>
    <t>Andrew Mangiapane</t>
  </si>
  <si>
    <t>Kasperi Kapanen</t>
  </si>
  <si>
    <t>Marcus Foligno</t>
  </si>
  <si>
    <t>Taylor Raddysh</t>
  </si>
  <si>
    <t>Daniil But</t>
  </si>
  <si>
    <t>Eric Robinson</t>
  </si>
  <si>
    <t>Radek Faksa</t>
  </si>
  <si>
    <t>Mason Appleton</t>
  </si>
  <si>
    <t>Zemgus Girgensons</t>
  </si>
  <si>
    <t>Ondrej Palat</t>
  </si>
  <si>
    <t>Martin Pospisil</t>
  </si>
  <si>
    <t>Fedor Svechkov</t>
  </si>
  <si>
    <t>Max Sasson</t>
  </si>
  <si>
    <t>Hendrix Lapierre</t>
  </si>
  <si>
    <t>Zachary L'Heureux</t>
  </si>
  <si>
    <t>Anthony Duclair</t>
  </si>
  <si>
    <t>Otto Stenberg</t>
  </si>
  <si>
    <t>Cole Koepke</t>
  </si>
  <si>
    <t>Alex Turcotte</t>
  </si>
  <si>
    <t>Stefan Noesen</t>
  </si>
  <si>
    <t>Jonathan Lekkerimaki</t>
  </si>
  <si>
    <t>Aatu Raty</t>
  </si>
  <si>
    <t>Miles Wood</t>
  </si>
  <si>
    <t>Dakota Joshua</t>
  </si>
  <si>
    <t>Colton Dach</t>
  </si>
  <si>
    <t>Nick Cousins</t>
  </si>
  <si>
    <t>Trent Frederic</t>
  </si>
  <si>
    <t>Jonatan Berggren</t>
  </si>
  <si>
    <t>Conor Geekie</t>
  </si>
  <si>
    <t>Casey Cizikas</t>
  </si>
  <si>
    <t>Lenni Hameenaho</t>
  </si>
  <si>
    <t>Isac Lundestrom</t>
  </si>
  <si>
    <t>Nick Foligno</t>
  </si>
  <si>
    <t>Elmer Soderblom</t>
  </si>
  <si>
    <t>Lars Eller</t>
  </si>
  <si>
    <t>Alex Holtz</t>
  </si>
  <si>
    <t>Brandon Duhaime</t>
  </si>
  <si>
    <t>Maxim Tsyplakov</t>
  </si>
  <si>
    <t>Josh Samanski</t>
  </si>
  <si>
    <t>Filip Hallander</t>
  </si>
  <si>
    <t>Alex Steeves</t>
  </si>
  <si>
    <t>William Carrier</t>
  </si>
  <si>
    <t>Isaac Howard</t>
  </si>
  <si>
    <t>Colin Blackwell</t>
  </si>
  <si>
    <t>Paul Cotter</t>
  </si>
  <si>
    <t>Nico Sturm</t>
  </si>
  <si>
    <t>Logan O'Connor</t>
  </si>
  <si>
    <t>Joe Veleno</t>
  </si>
  <si>
    <t>Adam Edstrom</t>
  </si>
  <si>
    <t>Samuel Helenius</t>
  </si>
  <si>
    <t>Oskar Back</t>
  </si>
  <si>
    <t>Nikita Grebenkin</t>
  </si>
  <si>
    <t>Tim Washe</t>
  </si>
  <si>
    <t>Ben Meyers</t>
  </si>
  <si>
    <t>Ryan Winterton</t>
  </si>
  <si>
    <t>Reid Schaefer</t>
  </si>
  <si>
    <t>Brandon Tanev</t>
  </si>
  <si>
    <t>Jeffrey Viel</t>
  </si>
  <si>
    <t>Garnet Hathaway</t>
  </si>
  <si>
    <t>Jesper Boqvist</t>
  </si>
  <si>
    <t>Ozzy Wiesblatt</t>
  </si>
  <si>
    <t>Landon Slaggert</t>
  </si>
  <si>
    <t>Zack Ostapchuk</t>
  </si>
  <si>
    <t>Jaroslav Chmelar</t>
  </si>
  <si>
    <t>Jonas Rondbjerg</t>
  </si>
  <si>
    <t>Jacob Quillan</t>
  </si>
  <si>
    <t>Jeff Malott</t>
  </si>
  <si>
    <t>Justin Kirkland</t>
  </si>
  <si>
    <t>Liam O'Brien</t>
  </si>
  <si>
    <t>Matt Rempe</t>
  </si>
  <si>
    <t>Jonah Gadjovich</t>
  </si>
  <si>
    <t>TEAM 1</t>
  </si>
  <si>
    <t>TEAMS</t>
  </si>
  <si>
    <t xml:space="preserve"> </t>
  </si>
  <si>
    <t>TEAM 2</t>
  </si>
  <si>
    <t>TEAM 3</t>
  </si>
  <si>
    <t>TEAM 4</t>
  </si>
  <si>
    <t>TEAM 5</t>
  </si>
  <si>
    <t>TEAM 6</t>
  </si>
  <si>
    <t>TEAM 7</t>
  </si>
  <si>
    <t>TEAM 8</t>
  </si>
  <si>
    <t>TEAM 9</t>
  </si>
  <si>
    <t>TEAM 10</t>
  </si>
  <si>
    <t>TEAM 11</t>
  </si>
  <si>
    <t>TEAM 12</t>
  </si>
  <si>
    <t>TEAM 13</t>
  </si>
  <si>
    <t>TEAM 14</t>
  </si>
  <si>
    <t>TEAM 15</t>
  </si>
  <si>
    <t>TEAM 16</t>
  </si>
  <si>
    <t>TOTAL FP</t>
  </si>
  <si>
    <t>TOTAL VORP</t>
  </si>
  <si>
    <t>Name</t>
  </si>
  <si>
    <t>F</t>
  </si>
  <si>
    <t>Fantasy Points</t>
  </si>
  <si>
    <t>Standard Deviation</t>
  </si>
  <si>
    <t>C</t>
  </si>
  <si>
    <t>LW</t>
  </si>
  <si>
    <t>RW</t>
  </si>
  <si>
    <t>D</t>
  </si>
  <si>
    <t>YAHOO ADP</t>
  </si>
  <si>
    <t>FANTRAX ADP</t>
  </si>
  <si>
    <t>AVG     ADP</t>
  </si>
  <si>
    <t>BOOST</t>
  </si>
  <si>
    <t>—</t>
  </si>
  <si>
    <t>PLAYER STATS</t>
  </si>
  <si>
    <t>GOALIE STATS</t>
  </si>
  <si>
    <t>Player</t>
  </si>
  <si>
    <t>EDM</t>
  </si>
  <si>
    <t>T.B</t>
  </si>
  <si>
    <t>COL</t>
  </si>
  <si>
    <t>C,LW</t>
  </si>
  <si>
    <t>S.J</t>
  </si>
  <si>
    <t>BOS</t>
  </si>
  <si>
    <t>N.J</t>
  </si>
  <si>
    <t>VGK</t>
  </si>
  <si>
    <t>MIN</t>
  </si>
  <si>
    <t>TOR</t>
  </si>
  <si>
    <t>C,RW</t>
  </si>
  <si>
    <t>DAL</t>
  </si>
  <si>
    <t>LW,RW</t>
  </si>
  <si>
    <t>L.A</t>
  </si>
  <si>
    <t>MTL</t>
  </si>
  <si>
    <t>WPG</t>
  </si>
  <si>
    <t>C,LW,RW</t>
  </si>
  <si>
    <t>FLA</t>
  </si>
  <si>
    <t>CHI</t>
  </si>
  <si>
    <t>PIT</t>
  </si>
  <si>
    <t>UTA</t>
  </si>
  <si>
    <t>CBJ</t>
  </si>
  <si>
    <t>STL</t>
  </si>
  <si>
    <t>ANA</t>
  </si>
  <si>
    <t>CAR</t>
  </si>
  <si>
    <t>DET</t>
  </si>
  <si>
    <t>BUF</t>
  </si>
  <si>
    <t>OTT</t>
  </si>
  <si>
    <t>NYR</t>
  </si>
  <si>
    <t>NSH</t>
  </si>
  <si>
    <t>NYI</t>
  </si>
  <si>
    <t>PHI</t>
  </si>
  <si>
    <t>VAN</t>
  </si>
  <si>
    <t>WSH</t>
  </si>
  <si>
    <t>SEA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</si>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</sst>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"/>
    <numFmt numFmtId="165" formatCode="#,##0.0"/>
    <numFmt numFmtId="166" formatCode="#,##0%"/>
    <numFmt numFmtId="167" formatCode="#,##0.000"/>
    <numFmt numFmtId="168" formatCode="0.0"/>
    <numFmt numFmtId="169" formatCode="&quot;$&quot;#,##0"/>
  </numFmts>
  <fonts count="33" x14ac:knownFonts="1">
    <font>
      <sz val="10"/>
      <color indexed="8"/>
      <name val="Helvetica"/>
    </font>
    <font>
      <sz val="10"/>
      <color indexed="8"/>
      <name val="Verdana"/>
      <family val="2"/>
    </font>
    <font>
      <b/>
      <sz val="10"/>
      <color indexed="8"/>
      <name val="Helvetica Neue"/>
      <family val="2"/>
    </font>
    <font>
      <b/>
      <sz val="8"/>
      <color indexed="8"/>
      <name val="Helvetica Neue"/>
      <family val="2"/>
    </font>
    <font>
      <sz val="10"/>
      <color indexed="8"/>
      <name val="Helvetica Neue Light"/>
    </font>
    <font>
      <sz val="10"/>
      <color indexed="11"/>
      <name val="Helvetica Neue Light"/>
    </font>
    <font>
      <sz val="10"/>
      <color indexed="13"/>
      <name val="Helvetica Neue Light"/>
    </font>
    <font>
      <i/>
      <sz val="10"/>
      <color indexed="8"/>
      <name val="Helvetica Neue"/>
      <family val="2"/>
    </font>
    <font>
      <b/>
      <sz val="10"/>
      <color indexed="17"/>
      <name val="Helvetica Neue"/>
      <family val="2"/>
    </font>
    <font>
      <b/>
      <i/>
      <sz val="8"/>
      <color indexed="8"/>
      <name val="Helvetica Neue"/>
      <family val="2"/>
    </font>
    <font>
      <i/>
      <sz val="8"/>
      <color indexed="8"/>
      <name val="Helvetica Neue"/>
      <family val="2"/>
    </font>
    <font>
      <b/>
      <sz val="10"/>
      <color indexed="18"/>
      <name val="Helvetica Neue"/>
      <family val="2"/>
    </font>
    <font>
      <b/>
      <sz val="10"/>
      <color indexed="11"/>
      <name val="Helvetica Neue"/>
      <family val="2"/>
    </font>
    <font>
      <b/>
      <sz val="10"/>
      <color indexed="13"/>
      <name val="Helvetica Neue"/>
      <family val="2"/>
    </font>
    <font>
      <b/>
      <sz val="12"/>
      <color indexed="8"/>
      <name val="Helvetica Neue"/>
      <family val="2"/>
    </font>
    <font>
      <sz val="10"/>
      <color indexed="19"/>
      <name val="Helvetica Neue Medium"/>
    </font>
    <font>
      <sz val="10"/>
      <color indexed="8"/>
      <name val="Helvetica Neue Medium"/>
    </font>
    <font>
      <b/>
      <sz val="10"/>
      <color indexed="24"/>
      <name val="Helvetica Neue"/>
      <family val="2"/>
    </font>
    <font>
      <b/>
      <sz val="11"/>
      <color indexed="8"/>
      <name val="Helvetica Neue"/>
      <family val="2"/>
    </font>
    <font>
      <sz val="11"/>
      <color indexed="8"/>
      <name val="Helvetica Neue Light"/>
    </font>
    <font>
      <b/>
      <sz val="10"/>
      <color indexed="29"/>
      <name val="Helvetica Neue"/>
      <family val="2"/>
    </font>
    <font>
      <sz val="10"/>
      <color indexed="24"/>
      <name val="Helvetica Neue Light"/>
    </font>
    <font>
      <b/>
      <sz val="10"/>
      <color indexed="31"/>
      <name val="Helvetica Neue"/>
      <family val="2"/>
    </font>
    <font>
      <i/>
      <sz val="10"/>
      <color indexed="26"/>
      <name val="Helvetica Neue"/>
      <family val="2"/>
    </font>
    <font>
      <i/>
      <sz val="10"/>
      <color indexed="24"/>
      <name val="Helvetica Neue"/>
      <family val="2"/>
    </font>
    <font>
      <sz val="10"/>
      <color indexed="26"/>
      <name val="Helvetica Neue Light"/>
    </font>
    <font>
      <b/>
      <sz val="10"/>
      <color indexed="26"/>
      <name val="Helvetica Neue"/>
      <family val="2"/>
    </font>
    <font>
      <sz val="10"/>
      <color indexed="21"/>
      <name val="Helvetica Neue Light"/>
    </font>
    <font>
      <sz val="16"/>
      <color indexed="8"/>
      <name val="Helvetica Neue Light"/>
    </font>
    <font>
      <b/>
      <sz val="10"/>
      <color indexed="21"/>
      <name val="Helvetica Neue"/>
      <family val="2"/>
    </font>
    <font>
      <sz val="8"/>
      <color indexed="8"/>
      <name val="Helvetica Neue Light"/>
    </font>
    <font>
      <sz val="8"/>
      <color indexed="21"/>
      <name val="Helvetica Neue Light"/>
    </font>
    <font>
      <sz val="10"/>
      <color indexed="21"/>
      <name val="Helvetica Neue Medium"/>
    </font>
  </fonts>
  <fills count="20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indexed="34"/>
        <bgColor auto="1"/>
      </patternFill>
    </fill>
    <fill>
      <patternFill patternType="solid">
        <fgColor indexed="35"/>
        <bgColor auto="1"/>
      </patternFill>
    </fill>
    <fill>
      <patternFill patternType="solid">
        <fgColor indexed="36"/>
        <bgColor auto="1"/>
      </patternFill>
    </fill>
    <fill>
      <patternFill patternType="solid">
        <fgColor indexed="37"/>
        <bgColor auto="1"/>
      </patternFill>
    </fill>
    <fill>
      <patternFill patternType="solid">
        <fgColor indexed="38"/>
        <bgColor auto="1"/>
      </patternFill>
    </fill>
    <fill>
      <patternFill patternType="solid">
        <fgColor indexed="39"/>
        <bgColor auto="1"/>
      </patternFill>
    </fill>
    <fill>
      <patternFill patternType="solid">
        <fgColor indexed="40"/>
        <bgColor auto="1"/>
      </patternFill>
    </fill>
    <fill>
      <patternFill patternType="solid">
        <fgColor indexed="41"/>
        <bgColor auto="1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9"/>
      </bottom>
      <diagonal/>
    </border>
    <border>
      <left/>
      <right/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/>
      <diagonal/>
    </border>
    <border>
      <left/>
      <right/>
      <top style="thin">
        <color indexed="9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9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10">
    <xf numFmtId="0" fontId="0" fillId="0" borderId="0" xfId="0">
      <alignment vertical="top" wrapText="1"/>
    </xf>
    <xf numFmtId="0" fontId="1" fillId="0" borderId="0" xfId="0" applyNumberFormat="1" applyFont="1" applyAlignment="1"/>
    <xf numFmtId="49" fontId="2" fillId="2" borderId="1" xfId="0" applyNumberFormat="1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center"/>
    </xf>
    <xf numFmtId="49" fontId="2" fillId="2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49" fontId="2" fillId="2" borderId="1" xfId="0" applyNumberFormat="1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49" fontId="3" fillId="2" borderId="2" xfId="0" applyNumberFormat="1" applyFont="1" applyFill="1" applyBorder="1" applyAlignment="1">
      <alignment horizontal="center" wrapText="1"/>
    </xf>
    <xf numFmtId="49" fontId="2" fillId="2" borderId="1" xfId="0" applyNumberFormat="1" applyFont="1" applyFill="1" applyBorder="1" applyAlignment="1">
      <alignment horizontal="left" wrapText="1"/>
    </xf>
    <xf numFmtId="49" fontId="4" fillId="0" borderId="3" xfId="0" applyNumberFormat="1" applyFont="1" applyBorder="1" applyAlignment="1">
      <alignment horizontal="left" vertical="center"/>
    </xf>
    <xf numFmtId="0" fontId="4" fillId="0" borderId="3" xfId="0" applyNumberFormat="1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left" vertical="center"/>
    </xf>
    <xf numFmtId="49" fontId="2" fillId="4" borderId="2" xfId="0" applyNumberFormat="1" applyFont="1" applyFill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49" fontId="2" fillId="5" borderId="2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6" borderId="2" xfId="0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left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49" fontId="12" fillId="0" borderId="3" xfId="0" applyNumberFormat="1" applyFont="1" applyBorder="1" applyAlignment="1">
      <alignment horizontal="left" vertical="center"/>
    </xf>
    <xf numFmtId="49" fontId="13" fillId="0" borderId="3" xfId="0" applyNumberFormat="1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49" fontId="5" fillId="0" borderId="4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9" fontId="4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 wrapText="1"/>
    </xf>
    <xf numFmtId="49" fontId="14" fillId="2" borderId="2" xfId="0" applyNumberFormat="1" applyFont="1" applyFill="1" applyBorder="1" applyAlignment="1">
      <alignment horizontal="left" vertical="center"/>
    </xf>
    <xf numFmtId="49" fontId="14" fillId="2" borderId="1" xfId="0" applyNumberFormat="1" applyFont="1" applyFill="1" applyBorder="1" applyAlignment="1">
      <alignment horizontal="left" vertical="center"/>
    </xf>
    <xf numFmtId="49" fontId="14" fillId="2" borderId="1" xfId="0" applyNumberFormat="1" applyFont="1" applyFill="1" applyBorder="1" applyAlignment="1">
      <alignment horizontal="center" vertical="center"/>
    </xf>
    <xf numFmtId="49" fontId="14" fillId="2" borderId="1" xfId="0" applyNumberFormat="1" applyFont="1" applyFill="1" applyBorder="1" applyAlignment="1">
      <alignment horizontal="right" vertical="center"/>
    </xf>
    <xf numFmtId="0" fontId="14" fillId="2" borderId="1" xfId="0" applyFont="1" applyFill="1" applyBorder="1" applyAlignment="1">
      <alignment horizontal="right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right" vertical="center"/>
    </xf>
    <xf numFmtId="49" fontId="15" fillId="0" borderId="3" xfId="0" applyNumberFormat="1" applyFont="1" applyBorder="1" applyAlignment="1">
      <alignment horizontal="center" vertical="center"/>
    </xf>
    <xf numFmtId="0" fontId="16" fillId="8" borderId="3" xfId="0" applyFont="1" applyFill="1" applyBorder="1" applyAlignment="1">
      <alignment horizontal="right" vertical="center"/>
    </xf>
    <xf numFmtId="3" fontId="16" fillId="8" borderId="3" xfId="0" applyNumberFormat="1" applyFont="1" applyFill="1" applyBorder="1" applyAlignment="1">
      <alignment horizontal="left" vertical="center"/>
    </xf>
    <xf numFmtId="0" fontId="17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18" fillId="0" borderId="3" xfId="0" applyNumberFormat="1" applyFont="1" applyBorder="1" applyAlignment="1">
      <alignment horizontal="right" vertical="center"/>
    </xf>
    <xf numFmtId="165" fontId="19" fillId="0" borderId="3" xfId="0" applyNumberFormat="1" applyFont="1" applyBorder="1" applyAlignment="1">
      <alignment horizontal="center" vertical="center"/>
    </xf>
    <xf numFmtId="165" fontId="19" fillId="0" borderId="3" xfId="0" applyNumberFormat="1" applyFont="1" applyBorder="1" applyAlignment="1">
      <alignment horizontal="right" vertical="center"/>
    </xf>
    <xf numFmtId="165" fontId="4" fillId="0" borderId="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right" vertical="center"/>
    </xf>
    <xf numFmtId="3" fontId="20" fillId="0" borderId="3" xfId="0" applyNumberFormat="1" applyFont="1" applyBorder="1" applyAlignment="1">
      <alignment horizontal="right" vertical="center"/>
    </xf>
    <xf numFmtId="166" fontId="4" fillId="0" borderId="3" xfId="0" applyNumberFormat="1" applyFont="1" applyBorder="1" applyAlignment="1">
      <alignment horizontal="right" vertical="center"/>
    </xf>
    <xf numFmtId="167" fontId="4" fillId="0" borderId="3" xfId="0" applyNumberFormat="1" applyFont="1" applyBorder="1" applyAlignment="1">
      <alignment horizontal="right" vertical="center"/>
    </xf>
    <xf numFmtId="4" fontId="4" fillId="0" borderId="3" xfId="0" applyNumberFormat="1" applyFont="1" applyBorder="1" applyAlignment="1">
      <alignment horizontal="right" vertical="center"/>
    </xf>
    <xf numFmtId="3" fontId="4" fillId="0" borderId="3" xfId="0" applyNumberFormat="1" applyFont="1" applyBorder="1" applyAlignment="1">
      <alignment horizontal="left" vertical="center"/>
    </xf>
    <xf numFmtId="0" fontId="21" fillId="0" borderId="3" xfId="0" applyFont="1" applyBorder="1" applyAlignment="1">
      <alignment horizontal="center" vertical="center"/>
    </xf>
    <xf numFmtId="3" fontId="16" fillId="9" borderId="3" xfId="0" applyNumberFormat="1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22" fillId="0" borderId="3" xfId="0" applyNumberFormat="1" applyFont="1" applyBorder="1" applyAlignment="1">
      <alignment horizontal="center" vertical="center"/>
    </xf>
    <xf numFmtId="164" fontId="21" fillId="0" borderId="3" xfId="0" applyNumberFormat="1" applyFont="1" applyBorder="1" applyAlignment="1">
      <alignment horizontal="center" vertical="center"/>
    </xf>
    <xf numFmtId="3" fontId="16" fillId="10" borderId="3" xfId="0" applyNumberFormat="1" applyFont="1" applyFill="1" applyBorder="1" applyAlignment="1">
      <alignment horizontal="left" vertical="center"/>
    </xf>
    <xf numFmtId="0" fontId="23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0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3" fontId="16" fillId="11" borderId="3" xfId="0" applyNumberFormat="1" applyFont="1" applyFill="1" applyBorder="1" applyAlignment="1">
      <alignment horizontal="left" vertical="center"/>
    </xf>
    <xf numFmtId="3" fontId="16" fillId="12" borderId="3" xfId="0" applyNumberFormat="1" applyFont="1" applyFill="1" applyBorder="1" applyAlignment="1">
      <alignment horizontal="left" vertical="center"/>
    </xf>
    <xf numFmtId="0" fontId="15" fillId="0" borderId="3" xfId="0" applyFont="1" applyBorder="1" applyAlignment="1">
      <alignment horizontal="center" vertical="center"/>
    </xf>
    <xf numFmtId="3" fontId="16" fillId="13" borderId="3" xfId="0" applyNumberFormat="1" applyFont="1" applyFill="1" applyBorder="1" applyAlignment="1">
      <alignment horizontal="left" vertical="center"/>
    </xf>
    <xf numFmtId="1" fontId="4" fillId="0" borderId="3" xfId="0" applyNumberFormat="1" applyFont="1" applyBorder="1" applyAlignment="1">
      <alignment horizontal="right" vertical="center"/>
    </xf>
    <xf numFmtId="3" fontId="21" fillId="0" borderId="3" xfId="0" applyNumberFormat="1" applyFont="1" applyBorder="1" applyAlignment="1">
      <alignment horizontal="right" vertical="center"/>
    </xf>
    <xf numFmtId="0" fontId="19" fillId="0" borderId="3" xfId="0" applyFont="1" applyBorder="1" applyAlignment="1">
      <alignment horizontal="right" vertical="center"/>
    </xf>
    <xf numFmtId="165" fontId="4" fillId="0" borderId="4" xfId="0" applyNumberFormat="1" applyFont="1" applyBorder="1" applyAlignment="1">
      <alignment horizontal="right" vertical="center"/>
    </xf>
    <xf numFmtId="165" fontId="20" fillId="0" borderId="3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22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16" fillId="14" borderId="3" xfId="0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left" vertical="center"/>
    </xf>
    <xf numFmtId="3" fontId="4" fillId="0" borderId="3" xfId="0" applyNumberFormat="1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right" vertical="center"/>
    </xf>
    <xf numFmtId="0" fontId="16" fillId="14" borderId="3" xfId="0" applyFont="1" applyFill="1" applyBorder="1" applyAlignment="1">
      <alignment horizontal="left" vertical="center"/>
    </xf>
    <xf numFmtId="0" fontId="18" fillId="0" borderId="3" xfId="0" applyFont="1" applyBorder="1" applyAlignment="1">
      <alignment horizontal="right" vertical="center"/>
    </xf>
    <xf numFmtId="0" fontId="16" fillId="15" borderId="3" xfId="0" applyFont="1" applyFill="1" applyBorder="1" applyAlignment="1">
      <alignment horizontal="right" vertical="center"/>
    </xf>
    <xf numFmtId="3" fontId="16" fillId="15" borderId="3" xfId="0" applyNumberFormat="1" applyFont="1" applyFill="1" applyBorder="1" applyAlignment="1">
      <alignment horizontal="left" vertical="center"/>
    </xf>
    <xf numFmtId="0" fontId="16" fillId="15" borderId="3" xfId="0" applyFont="1" applyFill="1" applyBorder="1" applyAlignment="1">
      <alignment horizontal="left" vertical="center"/>
    </xf>
    <xf numFmtId="0" fontId="16" fillId="16" borderId="3" xfId="0" applyFont="1" applyFill="1" applyBorder="1" applyAlignment="1">
      <alignment horizontal="right" vertical="center"/>
    </xf>
    <xf numFmtId="3" fontId="16" fillId="16" borderId="3" xfId="0" applyNumberFormat="1" applyFont="1" applyFill="1" applyBorder="1" applyAlignment="1">
      <alignment horizontal="left" vertical="center"/>
    </xf>
    <xf numFmtId="0" fontId="16" fillId="16" borderId="3" xfId="0" applyFont="1" applyFill="1" applyBorder="1" applyAlignment="1">
      <alignment horizontal="left" vertical="center"/>
    </xf>
    <xf numFmtId="0" fontId="16" fillId="17" borderId="3" xfId="0" applyFont="1" applyFill="1" applyBorder="1" applyAlignment="1">
      <alignment horizontal="right" vertical="center"/>
    </xf>
    <xf numFmtId="3" fontId="16" fillId="17" borderId="3" xfId="0" applyNumberFormat="1" applyFont="1" applyFill="1" applyBorder="1" applyAlignment="1">
      <alignment horizontal="left" vertical="center"/>
    </xf>
    <xf numFmtId="0" fontId="16" fillId="17" borderId="3" xfId="0" applyFont="1" applyFill="1" applyBorder="1" applyAlignment="1">
      <alignment horizontal="left" vertical="center"/>
    </xf>
    <xf numFmtId="166" fontId="4" fillId="0" borderId="4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16" fillId="17" borderId="5" xfId="0" applyFont="1" applyFill="1" applyBorder="1" applyAlignment="1">
      <alignment horizontal="right" vertical="center"/>
    </xf>
    <xf numFmtId="0" fontId="16" fillId="17" borderId="5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right" vertical="center"/>
    </xf>
    <xf numFmtId="165" fontId="4" fillId="0" borderId="5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right" vertical="center"/>
    </xf>
    <xf numFmtId="0" fontId="16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168" fontId="4" fillId="0" borderId="6" xfId="0" applyNumberFormat="1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3" fontId="2" fillId="0" borderId="6" xfId="0" applyNumberFormat="1" applyFont="1" applyBorder="1" applyAlignment="1">
      <alignment horizontal="right" vertical="center"/>
    </xf>
    <xf numFmtId="166" fontId="2" fillId="0" borderId="6" xfId="0" applyNumberFormat="1" applyFont="1" applyBorder="1" applyAlignment="1">
      <alignment horizontal="right" vertical="center"/>
    </xf>
    <xf numFmtId="166" fontId="2" fillId="0" borderId="2" xfId="0" applyNumberFormat="1" applyFont="1" applyBorder="1" applyAlignment="1">
      <alignment horizontal="right" vertical="center"/>
    </xf>
    <xf numFmtId="0" fontId="16" fillId="0" borderId="2" xfId="0" applyFont="1" applyBorder="1" applyAlignment="1">
      <alignment horizontal="right" vertical="center"/>
    </xf>
    <xf numFmtId="0" fontId="16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right" vertical="center"/>
    </xf>
    <xf numFmtId="165" fontId="18" fillId="0" borderId="2" xfId="0" applyNumberFormat="1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3" fontId="4" fillId="0" borderId="2" xfId="0" applyNumberFormat="1" applyFont="1" applyBorder="1" applyAlignment="1">
      <alignment horizontal="right" vertical="center"/>
    </xf>
    <xf numFmtId="49" fontId="14" fillId="2" borderId="2" xfId="0" applyNumberFormat="1" applyFont="1" applyFill="1" applyBorder="1" applyAlignment="1">
      <alignment horizontal="center" vertical="center"/>
    </xf>
    <xf numFmtId="49" fontId="14" fillId="2" borderId="2" xfId="0" applyNumberFormat="1" applyFont="1" applyFill="1" applyBorder="1" applyAlignment="1">
      <alignment horizontal="right" vertical="center"/>
    </xf>
    <xf numFmtId="0" fontId="14" fillId="2" borderId="2" xfId="0" applyFont="1" applyFill="1" applyBorder="1" applyAlignment="1">
      <alignment horizontal="right" vertical="center"/>
    </xf>
    <xf numFmtId="49" fontId="2" fillId="2" borderId="2" xfId="0" applyNumberFormat="1" applyFont="1" applyFill="1" applyBorder="1" applyAlignment="1">
      <alignment horizontal="right" vertical="center"/>
    </xf>
    <xf numFmtId="49" fontId="4" fillId="0" borderId="1" xfId="0" applyNumberFormat="1" applyFont="1" applyBorder="1" applyAlignment="1">
      <alignment horizontal="left" vertical="center"/>
    </xf>
    <xf numFmtId="0" fontId="16" fillId="7" borderId="1" xfId="0" applyFont="1" applyFill="1" applyBorder="1" applyAlignment="1">
      <alignment horizontal="right" vertical="center"/>
    </xf>
    <xf numFmtId="3" fontId="16" fillId="18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167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0" fontId="27" fillId="0" borderId="2" xfId="0" applyFont="1" applyBorder="1" applyAlignment="1">
      <alignment horizontal="right" vertical="center"/>
    </xf>
    <xf numFmtId="0" fontId="16" fillId="7" borderId="3" xfId="0" applyFont="1" applyFill="1" applyBorder="1" applyAlignment="1">
      <alignment horizontal="right" vertical="center"/>
    </xf>
    <xf numFmtId="0" fontId="16" fillId="18" borderId="3" xfId="0" applyFont="1" applyFill="1" applyBorder="1" applyAlignment="1">
      <alignment horizontal="left" vertical="center"/>
    </xf>
    <xf numFmtId="0" fontId="16" fillId="7" borderId="5" xfId="0" applyFont="1" applyFill="1" applyBorder="1" applyAlignment="1">
      <alignment horizontal="right" vertical="center"/>
    </xf>
    <xf numFmtId="0" fontId="16" fillId="18" borderId="5" xfId="0" applyFont="1" applyFill="1" applyBorder="1" applyAlignment="1">
      <alignment horizontal="left" vertical="center"/>
    </xf>
    <xf numFmtId="167" fontId="2" fillId="0" borderId="6" xfId="0" applyNumberFormat="1" applyFont="1" applyBorder="1" applyAlignment="1">
      <alignment horizontal="right" vertical="center"/>
    </xf>
    <xf numFmtId="4" fontId="2" fillId="0" borderId="6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49" fontId="2" fillId="2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right" wrapText="1"/>
    </xf>
    <xf numFmtId="0" fontId="2" fillId="2" borderId="2" xfId="0" applyFont="1" applyFill="1" applyBorder="1" applyAlignment="1">
      <alignment horizontal="right"/>
    </xf>
    <xf numFmtId="0" fontId="29" fillId="2" borderId="2" xfId="0" applyFont="1" applyFill="1" applyBorder="1" applyAlignment="1">
      <alignment horizontal="center"/>
    </xf>
    <xf numFmtId="49" fontId="29" fillId="2" borderId="2" xfId="0" applyNumberFormat="1" applyFont="1" applyFill="1" applyBorder="1" applyAlignment="1">
      <alignment horizontal="right" wrapText="1"/>
    </xf>
    <xf numFmtId="49" fontId="29" fillId="2" borderId="2" xfId="0" applyNumberFormat="1" applyFont="1" applyFill="1" applyBorder="1" applyAlignment="1">
      <alignment horizontal="right"/>
    </xf>
    <xf numFmtId="49" fontId="30" fillId="2" borderId="1" xfId="0" applyNumberFormat="1" applyFont="1" applyFill="1" applyBorder="1" applyAlignment="1">
      <alignment horizontal="left" vertical="top"/>
    </xf>
    <xf numFmtId="0" fontId="30" fillId="2" borderId="1" xfId="0" applyNumberFormat="1" applyFont="1" applyFill="1" applyBorder="1" applyAlignment="1">
      <alignment horizontal="right" vertical="top"/>
    </xf>
    <xf numFmtId="0" fontId="30" fillId="2" borderId="1" xfId="0" applyFont="1" applyFill="1" applyBorder="1" applyAlignment="1">
      <alignment horizontal="left" vertical="top"/>
    </xf>
    <xf numFmtId="0" fontId="30" fillId="2" borderId="1" xfId="0" applyFont="1" applyFill="1" applyBorder="1" applyAlignment="1">
      <alignment horizontal="center" vertical="top"/>
    </xf>
    <xf numFmtId="0" fontId="30" fillId="2" borderId="1" xfId="0" applyFont="1" applyFill="1" applyBorder="1" applyAlignment="1">
      <alignment horizontal="right" vertical="top"/>
    </xf>
    <xf numFmtId="0" fontId="31" fillId="2" borderId="1" xfId="0" applyFont="1" applyFill="1" applyBorder="1" applyAlignment="1">
      <alignment horizontal="center" vertical="top"/>
    </xf>
    <xf numFmtId="0" fontId="31" fillId="2" borderId="1" xfId="0" applyFont="1" applyFill="1" applyBorder="1" applyAlignment="1">
      <alignment horizontal="right" vertical="top"/>
    </xf>
    <xf numFmtId="0" fontId="16" fillId="11" borderId="3" xfId="0" applyFont="1" applyFill="1" applyBorder="1" applyAlignment="1">
      <alignment horizontal="right" vertical="center"/>
    </xf>
    <xf numFmtId="3" fontId="32" fillId="19" borderId="3" xfId="0" applyNumberFormat="1" applyFont="1" applyFill="1" applyBorder="1" applyAlignment="1">
      <alignment horizontal="center" vertical="center"/>
    </xf>
    <xf numFmtId="165" fontId="27" fillId="0" borderId="3" xfId="0" applyNumberFormat="1" applyFont="1" applyBorder="1" applyAlignment="1">
      <alignment horizontal="right" vertical="center"/>
    </xf>
    <xf numFmtId="0" fontId="31" fillId="2" borderId="2" xfId="0" applyFont="1" applyFill="1" applyBorder="1" applyAlignment="1">
      <alignment horizontal="center" vertical="top"/>
    </xf>
    <xf numFmtId="0" fontId="31" fillId="2" borderId="2" xfId="0" applyFont="1" applyFill="1" applyBorder="1" applyAlignment="1">
      <alignment horizontal="right" vertical="top"/>
    </xf>
    <xf numFmtId="3" fontId="32" fillId="19" borderId="1" xfId="0" applyNumberFormat="1" applyFont="1" applyFill="1" applyBorder="1" applyAlignment="1">
      <alignment horizontal="center" vertical="center"/>
    </xf>
    <xf numFmtId="165" fontId="27" fillId="0" borderId="1" xfId="0" applyNumberFormat="1" applyFont="1" applyBorder="1" applyAlignment="1">
      <alignment horizontal="right" vertical="center"/>
    </xf>
    <xf numFmtId="0" fontId="16" fillId="6" borderId="3" xfId="0" applyFont="1" applyFill="1" applyBorder="1" applyAlignment="1">
      <alignment horizontal="right" vertical="center"/>
    </xf>
    <xf numFmtId="3" fontId="16" fillId="6" borderId="3" xfId="0" applyNumberFormat="1" applyFont="1" applyFill="1" applyBorder="1" applyAlignment="1">
      <alignment horizontal="left" vertical="center"/>
    </xf>
    <xf numFmtId="3" fontId="16" fillId="7" borderId="3" xfId="0" applyNumberFormat="1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168" fontId="4" fillId="0" borderId="3" xfId="0" applyNumberFormat="1" applyFont="1" applyBorder="1" applyAlignment="1">
      <alignment horizontal="right" vertical="center"/>
    </xf>
    <xf numFmtId="169" fontId="4" fillId="0" borderId="3" xfId="0" applyNumberFormat="1" applyFont="1" applyBorder="1" applyAlignment="1">
      <alignment horizontal="right" vertical="center"/>
    </xf>
    <xf numFmtId="49" fontId="4" fillId="0" borderId="3" xfId="0" applyNumberFormat="1" applyFont="1" applyBorder="1" applyAlignment="1">
      <alignment horizontal="right" vertical="center"/>
    </xf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center"/>
    </xf>
    <xf numFmtId="1" fontId="14" fillId="2" borderId="7" xfId="0" applyNumberFormat="1" applyFont="1" applyFill="1" applyBorder="1" applyAlignment="1">
      <alignment horizontal="center"/>
    </xf>
    <xf numFmtId="49" fontId="2" fillId="2" borderId="8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49" fontId="16" fillId="19" borderId="3" xfId="0" applyNumberFormat="1" applyFont="1" applyFill="1" applyBorder="1" applyAlignment="1">
      <alignment horizontal="center" vertical="center"/>
    </xf>
    <xf numFmtId="1" fontId="16" fillId="19" borderId="3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4" fontId="4" fillId="0" borderId="3" xfId="0" applyNumberFormat="1" applyFont="1" applyBorder="1" applyAlignment="1">
      <alignment horizontal="center" vertical="center"/>
    </xf>
    <xf numFmtId="167" fontId="4" fillId="0" borderId="3" xfId="0" applyNumberFormat="1" applyFont="1" applyBorder="1" applyAlignment="1">
      <alignment horizontal="center" vertical="center"/>
    </xf>
    <xf numFmtId="0" fontId="16" fillId="19" borderId="3" xfId="0" applyFont="1" applyFill="1" applyBorder="1" applyAlignment="1">
      <alignment horizontal="center" vertical="center"/>
    </xf>
    <xf numFmtId="4" fontId="16" fillId="19" borderId="3" xfId="0" applyNumberFormat="1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14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/>
    <xf numFmtId="49" fontId="4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/>
    <xf numFmtId="49" fontId="2" fillId="2" borderId="2" xfId="0" applyNumberFormat="1" applyFont="1" applyFill="1" applyBorder="1" applyAlignment="1">
      <alignment horizontal="center"/>
    </xf>
    <xf numFmtId="49" fontId="10" fillId="0" borderId="2" xfId="0" applyNumberFormat="1" applyFont="1" applyBorder="1" applyAlignment="1">
      <alignment horizontal="center" vertical="center" wrapText="1"/>
    </xf>
    <xf numFmtId="0" fontId="4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/>
    <xf numFmtId="49" fontId="14" fillId="2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right" vertical="center"/>
    </xf>
    <xf numFmtId="165" fontId="28" fillId="0" borderId="2" xfId="0" applyNumberFormat="1" applyFont="1" applyBorder="1" applyAlignment="1">
      <alignment horizontal="center" vertical="center"/>
    </xf>
    <xf numFmtId="49" fontId="14" fillId="2" borderId="7" xfId="0" applyNumberFormat="1" applyFont="1" applyFill="1" applyBorder="1" applyAlignment="1">
      <alignment horizontal="center"/>
    </xf>
    <xf numFmtId="0" fontId="1" fillId="0" borderId="7" xfId="0" applyFont="1" applyBorder="1" applyAlignment="1"/>
  </cellXfs>
  <cellStyles count="1">
    <cellStyle name="Normal" xfId="0" builtinId="0"/>
  </cellStyles>
  <dxfs count="59"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D5D5D5"/>
      </font>
    </dxf>
    <dxf>
      <font>
        <b/>
        <color rgb="FFAD1915"/>
      </font>
    </dxf>
    <dxf>
      <font>
        <b/>
        <color rgb="FF165778"/>
      </font>
    </dxf>
    <dxf>
      <font>
        <color rgb="FFAD1915"/>
      </font>
    </dxf>
    <dxf>
      <font>
        <color rgb="FF165778"/>
      </font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  <dxf>
      <font>
        <color rgb="FF000000"/>
      </font>
      <fill>
        <patternFill patternType="solid">
          <fgColor indexed="21"/>
          <bgColor indexed="27"/>
        </patternFill>
      </fill>
    </dxf>
    <dxf>
      <font>
        <color rgb="FF000000"/>
      </font>
      <fill>
        <patternFill patternType="solid">
          <fgColor indexed="21"/>
          <bgColor indexed="26"/>
        </patternFill>
      </fill>
    </dxf>
    <dxf>
      <font>
        <color rgb="FF000000"/>
      </font>
      <fill>
        <patternFill patternType="solid">
          <fgColor indexed="21"/>
          <bgColor indexed="25"/>
        </patternFill>
      </fill>
    </dxf>
    <dxf>
      <font>
        <color rgb="FF000000"/>
      </font>
      <fill>
        <patternFill patternType="solid">
          <fgColor indexed="21"/>
          <bgColor indexed="24"/>
        </patternFill>
      </fill>
    </dxf>
    <dxf>
      <font>
        <color rgb="FF000000"/>
      </font>
      <fill>
        <patternFill patternType="solid">
          <fgColor indexed="21"/>
          <bgColor indexed="23"/>
        </patternFill>
      </fill>
    </dxf>
    <dxf>
      <font>
        <color rgb="FF000000"/>
      </font>
      <fill>
        <patternFill patternType="solid">
          <fgColor indexed="21"/>
          <bgColor indexed="2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EAEAEA"/>
      <rgbColor rgb="FF94D06F"/>
      <rgbColor rgb="FF165778"/>
      <rgbColor rgb="FFF5DD6B"/>
      <rgbColor rgb="FFAD1915"/>
      <rgbColor rgb="FFFF6861"/>
      <rgbColor rgb="FF7BB4D7"/>
      <rgbColor rgb="FFB778CA"/>
      <rgbColor rgb="FF2B5674"/>
      <rgbColor rgb="FFA02A21"/>
      <rgbColor rgb="FFBFBFBF"/>
      <rgbColor rgb="FF92D069"/>
      <rgbColor rgb="00000000"/>
      <rgbColor rgb="FFFFA93A"/>
      <rgbColor rgb="FF6DC037"/>
      <rgbColor rgb="FF489BC9"/>
      <rgbColor rgb="FFF1D030"/>
      <rgbColor rgb="FFFF2C21"/>
      <rgbColor rgb="FF9D44B8"/>
      <rgbColor rgb="FFD5D5D5"/>
      <rgbColor rgb="FF357CA2"/>
      <rgbColor rgb="FFFF6158"/>
      <rgbColor rgb="FFCE222B"/>
      <rgbColor rgb="FF76B4D6"/>
      <rgbColor rgb="FFFFBE6B"/>
      <rgbColor rgb="FFF4DC64"/>
      <rgbColor rgb="FFB573C9"/>
      <rgbColor rgb="FFA1CE7A"/>
      <rgbColor rgb="FFF1DD7C"/>
      <rgbColor rgb="FFED7266"/>
      <rgbColor rgb="FF87B2D4"/>
      <rgbColor rgb="FFAE7BC6"/>
      <rgbColor rgb="FFFEFFFE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404040"/>
      </a:dk2>
      <a:lt2>
        <a:srgbClr val="BFBFBF"/>
      </a:lt2>
      <a:accent1>
        <a:srgbClr val="499BC9"/>
      </a:accent1>
      <a:accent2>
        <a:srgbClr val="6EC038"/>
      </a:accent2>
      <a:accent3>
        <a:srgbClr val="F1D130"/>
      </a:accent3>
      <a:accent4>
        <a:srgbClr val="FFA93A"/>
      </a:accent4>
      <a:accent5>
        <a:srgbClr val="FF2D21"/>
      </a:accent5>
      <a:accent6>
        <a:srgbClr val="6C2085"/>
      </a:accent6>
      <a:hlink>
        <a:srgbClr val="0000FF"/>
      </a:hlink>
      <a:folHlink>
        <a:srgbClr val="FF00FF"/>
      </a:folHlink>
    </a:clrScheme>
    <a:fontScheme name="Blank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5400" dir="5400000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5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blipFill rotWithShape="1">
          <a:blip xmlns:r="http://schemas.openxmlformats.org/officeDocument/2006/relationships" r:embed="rId1"/>
          <a:srcRect/>
          <a:tile tx="0" ty="0" sx="100000" sy="100000" flip="none" algn="tl"/>
        </a:blipFill>
        <a:ln w="12700" cap="flat">
          <a:noFill/>
          <a:miter lim="400000"/>
        </a:ln>
        <a:effectLst>
          <a:outerShdw blurRad="38100" dist="25400" dir="5400000" rotWithShape="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>
              <a:outerShdw blurRad="25400" dist="23998" dir="2700000" rotWithShape="0">
                <a:srgbClr val="000000">
                  <a:alpha val="31034"/>
                </a:srgbClr>
              </a:outerShdw>
            </a:effectLst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635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showGridLines="0" tabSelected="1" workbookViewId="0">
      <pane ySplit="1" topLeftCell="A2" activePane="bottomLeft" state="frozen"/>
      <selection pane="bottomLeft" activeCell="H20" sqref="H20:J20"/>
    </sheetView>
  </sheetViews>
  <sheetFormatPr baseColWidth="10" defaultColWidth="8" defaultRowHeight="16.25" customHeight="1" x14ac:dyDescent="0.15"/>
  <cols>
    <col min="1" max="1" width="18.83203125" style="1" customWidth="1"/>
    <col min="2" max="3" width="9.5" style="1" customWidth="1"/>
    <col min="4" max="4" width="4.6640625" style="1" customWidth="1"/>
    <col min="5" max="5" width="9.5" style="1" customWidth="1"/>
    <col min="6" max="6" width="18.83203125" style="1" customWidth="1"/>
    <col min="7" max="7" width="4.6640625" style="1" customWidth="1"/>
    <col min="8" max="11" width="9.5" style="1" customWidth="1"/>
    <col min="12" max="12" width="4.6640625" style="1" customWidth="1"/>
    <col min="13" max="13" width="18.83203125" style="1" customWidth="1"/>
    <col min="14" max="14" width="47.33203125" style="1" customWidth="1"/>
    <col min="15" max="15" width="8" style="1" customWidth="1"/>
    <col min="16" max="16384" width="8" style="1"/>
  </cols>
  <sheetData>
    <row r="1" spans="1:14" ht="42.5" customHeight="1" x14ac:dyDescent="0.15">
      <c r="A1" s="2" t="s">
        <v>0</v>
      </c>
      <c r="B1" s="3" t="s">
        <v>1</v>
      </c>
      <c r="C1" s="4" t="s">
        <v>2</v>
      </c>
      <c r="D1" s="5"/>
      <c r="E1" s="4" t="s">
        <v>3</v>
      </c>
      <c r="F1" s="6" t="s">
        <v>4</v>
      </c>
      <c r="G1" s="5"/>
      <c r="H1" s="7" t="s">
        <v>5</v>
      </c>
      <c r="I1" s="7" t="s">
        <v>6</v>
      </c>
      <c r="J1" s="7" t="s">
        <v>7</v>
      </c>
      <c r="K1" s="8" t="s">
        <v>8</v>
      </c>
      <c r="L1" s="5"/>
      <c r="M1" s="9" t="s">
        <v>9</v>
      </c>
      <c r="N1" s="9" t="s">
        <v>10</v>
      </c>
    </row>
    <row r="2" spans="1:14" ht="21.25" customHeight="1" x14ac:dyDescent="0.15">
      <c r="A2" s="10" t="s">
        <v>11</v>
      </c>
      <c r="B2" s="11">
        <v>3</v>
      </c>
      <c r="C2" s="12">
        <v>1</v>
      </c>
      <c r="D2" s="13"/>
      <c r="E2" s="14" t="s">
        <v>12</v>
      </c>
      <c r="F2" s="11" cm="1">
        <f t="array" ref="F2">ROUND(IF(E$21="Position",I2,IF(E$21="Draft",ROUND(J2*(H2/2)*($E$24/12),0),AVERAGE(I2,ROUND(J2*(H2/2)*($E$24/12),0)))),0)</f>
        <v>21</v>
      </c>
      <c r="G2" s="5"/>
      <c r="H2" s="12">
        <v>2</v>
      </c>
      <c r="I2" s="12" cm="1">
        <f t="array" ref="I2">H2*E$24</f>
        <v>24</v>
      </c>
      <c r="J2" s="12">
        <v>21</v>
      </c>
      <c r="K2" s="12" cm="1">
        <f t="array" ref="K2">_xlfn.XLOOKUP(0,'C'!F3:F210,'C'!E3:E210)</f>
        <v>386.535206393083</v>
      </c>
      <c r="L2" s="5"/>
      <c r="M2" s="10" t="s">
        <v>13</v>
      </c>
      <c r="N2" s="15" t="s">
        <v>14</v>
      </c>
    </row>
    <row r="3" spans="1:14" ht="21.25" customHeight="1" x14ac:dyDescent="0.15">
      <c r="A3" s="10" t="s">
        <v>15</v>
      </c>
      <c r="B3" s="11">
        <v>3</v>
      </c>
      <c r="C3" s="11">
        <v>1</v>
      </c>
      <c r="D3" s="13"/>
      <c r="E3" s="16" t="s">
        <v>16</v>
      </c>
      <c r="F3" s="11" cm="1">
        <f t="array" ref="F3">ROUND(IF(E$21="Position",I3,IF(E$21="Draft",ROUND(J3*(H3/2)*($E$24/12),0),AVERAGE(I3,ROUND(J3*(H3/2)*($E$24/12),0)))),0)</f>
        <v>17</v>
      </c>
      <c r="G3" s="5"/>
      <c r="H3" s="11">
        <v>2</v>
      </c>
      <c r="I3" s="11" cm="1">
        <f t="array" ref="I3">H3*E$24</f>
        <v>24</v>
      </c>
      <c r="J3" s="11">
        <v>17</v>
      </c>
      <c r="K3" s="11" cm="1">
        <f t="array" ref="K3">_xlfn.XLOOKUP(0,LW!F3:F210,LW!E3:E210)</f>
        <v>399.31299331372009</v>
      </c>
      <c r="L3" s="5"/>
      <c r="M3" s="10" t="s">
        <v>13</v>
      </c>
      <c r="N3" s="17" t="s">
        <v>17</v>
      </c>
    </row>
    <row r="4" spans="1:14" ht="21.25" customHeight="1" x14ac:dyDescent="0.15">
      <c r="A4" s="10" t="s">
        <v>1</v>
      </c>
      <c r="B4" s="18"/>
      <c r="C4" s="18"/>
      <c r="D4" s="13"/>
      <c r="E4" s="19" t="s">
        <v>18</v>
      </c>
      <c r="F4" s="11" cm="1">
        <f t="array" ref="F4">ROUND(IF(E$21="Position",I4,IF(E$21="Draft",ROUND(J4*(H4/2)*($E$24/12),0),AVERAGE(I4,ROUND(J4*(H4/2)*($E$24/12),0)))),0)</f>
        <v>20</v>
      </c>
      <c r="G4" s="5"/>
      <c r="H4" s="11">
        <v>2</v>
      </c>
      <c r="I4" s="11" cm="1">
        <f t="array" ref="I4">H4*E$24</f>
        <v>24</v>
      </c>
      <c r="J4" s="11">
        <v>20</v>
      </c>
      <c r="K4" s="11" cm="1">
        <f t="array" ref="K4">_xlfn.XLOOKUP(0,RW!F3:F210,RW!E3:E210)</f>
        <v>394.94346469355747</v>
      </c>
      <c r="L4" s="5"/>
      <c r="M4" s="10" t="s">
        <v>13</v>
      </c>
      <c r="N4" s="20" t="s">
        <v>19</v>
      </c>
    </row>
    <row r="5" spans="1:14" ht="21.25" customHeight="1" x14ac:dyDescent="0.15">
      <c r="A5" s="10" t="s">
        <v>20</v>
      </c>
      <c r="B5" s="11">
        <v>0.5</v>
      </c>
      <c r="C5" s="11">
        <v>1</v>
      </c>
      <c r="D5" s="13"/>
      <c r="E5" s="21" t="s">
        <v>21</v>
      </c>
      <c r="F5" s="11" cm="1">
        <f t="array" ref="F5">ROUND(IF(E$21="Position",I5,IF(E$21="Draft",ROUND(J5*(H5/4)*($E$24/12),0),AVERAGE(I5,ROUND(J5*(H5/4)*($E$24/12),0)))),0)</f>
        <v>25</v>
      </c>
      <c r="G5" s="5"/>
      <c r="H5" s="11">
        <v>4</v>
      </c>
      <c r="I5" s="11" cm="1">
        <f t="array" ref="I5">H5*E$24</f>
        <v>48</v>
      </c>
      <c r="J5" s="11">
        <v>25</v>
      </c>
      <c r="K5" s="11" cm="1">
        <f t="array" ref="K5">_xlfn.XLOOKUP(0,D!F3:F204,D!E3:E204)</f>
        <v>306.65386734459406</v>
      </c>
      <c r="L5" s="5"/>
      <c r="M5" s="10" t="s">
        <v>13</v>
      </c>
      <c r="N5" s="22" t="s">
        <v>22</v>
      </c>
    </row>
    <row r="6" spans="1:14" ht="21.25" customHeight="1" x14ac:dyDescent="0.15">
      <c r="A6" s="10" t="s">
        <v>23</v>
      </c>
      <c r="B6" s="11">
        <v>0.5</v>
      </c>
      <c r="C6" s="11">
        <v>1</v>
      </c>
      <c r="D6" s="13"/>
      <c r="E6" s="23" t="s">
        <v>24</v>
      </c>
      <c r="F6" s="11" cm="1">
        <f t="array" ref="F6">ROUND(IF(E$21="Position",I6,IF(E$21="Draft",ROUND(J6*(H6/2)*($E$24/12),0),AVERAGE(I6,ROUND(J6*(H6/2)*($E$24/12),0)))),0)</f>
        <v>9</v>
      </c>
      <c r="G6" s="5"/>
      <c r="H6" s="11">
        <v>1</v>
      </c>
      <c r="I6" s="11" cm="1">
        <f t="array" ref="I6">H6*E$24</f>
        <v>12</v>
      </c>
      <c r="J6" s="11">
        <v>18</v>
      </c>
      <c r="K6" s="11" cm="1">
        <f t="array" ref="K6">_xlfn.XLOOKUP(0,G!F3:F66,G!E3:E66)</f>
        <v>359.15790793023803</v>
      </c>
      <c r="L6" s="5"/>
      <c r="M6" s="24"/>
      <c r="N6" s="18"/>
    </row>
    <row r="7" spans="1:14" ht="21.25" customHeight="1" x14ac:dyDescent="0.15">
      <c r="A7" s="10" t="s">
        <v>25</v>
      </c>
      <c r="B7" s="18"/>
      <c r="C7" s="18"/>
      <c r="D7" s="13"/>
      <c r="E7" s="13"/>
      <c r="F7" s="25"/>
      <c r="G7" s="5"/>
      <c r="H7" s="25"/>
      <c r="I7" s="25"/>
      <c r="J7" s="25"/>
      <c r="K7" s="25"/>
      <c r="L7" s="5"/>
      <c r="M7" s="10" t="s">
        <v>26</v>
      </c>
      <c r="N7" s="26" t="s">
        <v>27</v>
      </c>
    </row>
    <row r="8" spans="1:14" ht="21.25" customHeight="1" x14ac:dyDescent="0.15">
      <c r="A8" s="10" t="s">
        <v>28</v>
      </c>
      <c r="B8" s="18"/>
      <c r="C8" s="18"/>
      <c r="D8" s="13"/>
      <c r="E8" s="198" t="s">
        <v>29</v>
      </c>
      <c r="F8" s="197"/>
      <c r="G8" s="27"/>
      <c r="H8" s="199" t="s">
        <v>30</v>
      </c>
      <c r="I8" s="197"/>
      <c r="J8" s="197"/>
      <c r="K8" s="28"/>
      <c r="L8" s="27"/>
      <c r="M8" s="10" t="s">
        <v>26</v>
      </c>
      <c r="N8" s="29" t="s">
        <v>31</v>
      </c>
    </row>
    <row r="9" spans="1:14" ht="21.25" customHeight="1" x14ac:dyDescent="0.15">
      <c r="A9" s="10" t="s">
        <v>32</v>
      </c>
      <c r="B9" s="11">
        <v>1</v>
      </c>
      <c r="C9" s="11">
        <v>1</v>
      </c>
      <c r="D9" s="13"/>
      <c r="E9" s="196" t="s">
        <v>33</v>
      </c>
      <c r="F9" s="197"/>
      <c r="G9" s="27"/>
      <c r="H9" s="28"/>
      <c r="I9" s="28"/>
      <c r="J9" s="28"/>
      <c r="K9" s="28"/>
      <c r="L9" s="27"/>
      <c r="M9" s="24"/>
      <c r="N9" s="31"/>
    </row>
    <row r="10" spans="1:14" ht="21.25" customHeight="1" x14ac:dyDescent="0.15">
      <c r="A10" s="10" t="s">
        <v>34</v>
      </c>
      <c r="B10" s="18"/>
      <c r="C10" s="18"/>
      <c r="D10" s="13"/>
      <c r="E10" s="13"/>
      <c r="F10" s="13"/>
      <c r="G10" s="27"/>
      <c r="H10" s="28"/>
      <c r="I10" s="28"/>
      <c r="J10" s="28"/>
      <c r="K10" s="28"/>
      <c r="L10" s="27"/>
      <c r="M10" s="10" t="s">
        <v>35</v>
      </c>
      <c r="N10" s="32" t="s">
        <v>36</v>
      </c>
    </row>
    <row r="11" spans="1:14" ht="21.25" customHeight="1" x14ac:dyDescent="0.15">
      <c r="A11" s="10" t="s">
        <v>37</v>
      </c>
      <c r="B11" s="11">
        <v>1</v>
      </c>
      <c r="C11" s="18"/>
      <c r="D11" s="13"/>
      <c r="E11" s="198" t="s">
        <v>38</v>
      </c>
      <c r="F11" s="197"/>
      <c r="G11" s="27"/>
      <c r="H11" s="199" t="s">
        <v>39</v>
      </c>
      <c r="I11" s="197"/>
      <c r="J11" s="197"/>
      <c r="K11" s="28"/>
      <c r="L11" s="27"/>
      <c r="M11" s="24"/>
      <c r="N11" s="18"/>
    </row>
    <row r="12" spans="1:14" ht="21.25" customHeight="1" x14ac:dyDescent="0.15">
      <c r="A12" s="10" t="s">
        <v>40</v>
      </c>
      <c r="B12" s="18"/>
      <c r="C12" s="18"/>
      <c r="D12" s="13"/>
      <c r="E12" s="196" t="s">
        <v>41</v>
      </c>
      <c r="F12" s="197"/>
      <c r="G12" s="27"/>
      <c r="H12" s="28"/>
      <c r="I12" s="28"/>
      <c r="J12" s="28"/>
      <c r="K12" s="28"/>
      <c r="L12" s="27"/>
      <c r="M12" s="10" t="s">
        <v>42</v>
      </c>
      <c r="N12" s="32" t="s">
        <v>43</v>
      </c>
    </row>
    <row r="13" spans="1:14" ht="21.25" customHeight="1" x14ac:dyDescent="0.15">
      <c r="A13" s="10" t="s">
        <v>44</v>
      </c>
      <c r="B13" s="18"/>
      <c r="C13" s="18"/>
      <c r="D13" s="13"/>
      <c r="E13" s="13"/>
      <c r="F13" s="13"/>
      <c r="G13" s="27"/>
      <c r="H13" s="28"/>
      <c r="I13" s="28"/>
      <c r="J13" s="28"/>
      <c r="K13" s="28"/>
      <c r="L13" s="27"/>
      <c r="M13" s="10" t="s">
        <v>42</v>
      </c>
      <c r="N13" s="15" t="s">
        <v>45</v>
      </c>
    </row>
    <row r="14" spans="1:14" ht="21.25" customHeight="1" x14ac:dyDescent="0.15">
      <c r="A14" s="10" t="s">
        <v>46</v>
      </c>
      <c r="B14" s="18"/>
      <c r="C14" s="11">
        <v>1</v>
      </c>
      <c r="D14" s="13"/>
      <c r="E14" s="198" t="s">
        <v>47</v>
      </c>
      <c r="F14" s="197"/>
      <c r="G14" s="27"/>
      <c r="H14" s="199" t="s">
        <v>48</v>
      </c>
      <c r="I14" s="197"/>
      <c r="J14" s="197"/>
      <c r="K14" s="28"/>
      <c r="L14" s="27"/>
      <c r="M14" s="10" t="s">
        <v>42</v>
      </c>
      <c r="N14" s="17" t="s">
        <v>49</v>
      </c>
    </row>
    <row r="15" spans="1:14" ht="21.25" customHeight="1" x14ac:dyDescent="0.15">
      <c r="A15" s="10" t="s">
        <v>50</v>
      </c>
      <c r="B15" s="18"/>
      <c r="C15" s="11">
        <v>1</v>
      </c>
      <c r="D15" s="13"/>
      <c r="E15" s="196" t="s">
        <v>1</v>
      </c>
      <c r="F15" s="197"/>
      <c r="G15" s="27"/>
      <c r="H15" s="28"/>
      <c r="I15" s="28"/>
      <c r="J15" s="28"/>
      <c r="K15" s="28"/>
      <c r="L15" s="27"/>
      <c r="M15" s="10" t="s">
        <v>42</v>
      </c>
      <c r="N15" s="33" t="s">
        <v>51</v>
      </c>
    </row>
    <row r="16" spans="1:14" ht="21.25" customHeight="1" x14ac:dyDescent="0.15">
      <c r="A16" s="10" t="s">
        <v>52</v>
      </c>
      <c r="B16" s="18"/>
      <c r="C16" s="18"/>
      <c r="D16" s="13"/>
      <c r="E16" s="13"/>
      <c r="F16" s="13"/>
      <c r="G16" s="28"/>
      <c r="H16" s="28"/>
      <c r="I16" s="28"/>
      <c r="J16" s="28"/>
      <c r="K16" s="28"/>
      <c r="L16" s="28"/>
      <c r="M16" s="24"/>
      <c r="N16" s="34"/>
    </row>
    <row r="17" spans="1:14" ht="21.25" customHeight="1" x14ac:dyDescent="0.15">
      <c r="A17" s="10" t="s">
        <v>53</v>
      </c>
      <c r="B17" s="18"/>
      <c r="C17" s="18"/>
      <c r="D17" s="13"/>
      <c r="E17" s="198" t="s">
        <v>54</v>
      </c>
      <c r="F17" s="197"/>
      <c r="G17" s="28"/>
      <c r="H17" s="199" t="s">
        <v>55</v>
      </c>
      <c r="I17" s="197"/>
      <c r="J17" s="197"/>
      <c r="K17" s="28"/>
      <c r="L17" s="28"/>
      <c r="M17" s="10" t="s">
        <v>56</v>
      </c>
      <c r="N17" s="32" t="s">
        <v>57</v>
      </c>
    </row>
    <row r="18" spans="1:14" ht="21.25" customHeight="1" x14ac:dyDescent="0.15">
      <c r="A18" s="10" t="s">
        <v>58</v>
      </c>
      <c r="B18" s="18"/>
      <c r="C18" s="18"/>
      <c r="D18" s="13"/>
      <c r="E18" s="196" t="s">
        <v>59</v>
      </c>
      <c r="F18" s="197"/>
      <c r="G18" s="28"/>
      <c r="H18" s="28"/>
      <c r="I18" s="28"/>
      <c r="J18" s="28"/>
      <c r="K18" s="28"/>
      <c r="L18" s="28"/>
      <c r="M18" s="10" t="s">
        <v>56</v>
      </c>
      <c r="N18" s="33" t="s">
        <v>60</v>
      </c>
    </row>
    <row r="19" spans="1:14" ht="21.25" customHeight="1" x14ac:dyDescent="0.15">
      <c r="A19" s="10" t="s">
        <v>61</v>
      </c>
      <c r="B19" s="18"/>
      <c r="C19" s="18"/>
      <c r="D19" s="13"/>
      <c r="E19" s="13"/>
      <c r="F19" s="13"/>
      <c r="G19" s="28"/>
      <c r="H19" s="28"/>
      <c r="I19" s="28"/>
      <c r="J19" s="28"/>
      <c r="K19" s="28"/>
      <c r="L19" s="28"/>
      <c r="M19" s="24"/>
      <c r="N19" s="34"/>
    </row>
    <row r="20" spans="1:14" ht="21.25" customHeight="1" x14ac:dyDescent="0.15">
      <c r="A20" s="10"/>
      <c r="B20" s="18"/>
      <c r="C20" s="18"/>
      <c r="D20" s="13"/>
      <c r="E20" s="198" t="s">
        <v>62</v>
      </c>
      <c r="F20" s="197"/>
      <c r="G20" s="28"/>
      <c r="H20" s="199" t="s">
        <v>63</v>
      </c>
      <c r="I20" s="197"/>
      <c r="J20" s="197"/>
      <c r="K20" s="28"/>
      <c r="L20" s="28"/>
      <c r="M20" s="10" t="s">
        <v>64</v>
      </c>
      <c r="N20" s="32" t="s">
        <v>65</v>
      </c>
    </row>
    <row r="21" spans="1:14" ht="21.25" customHeight="1" x14ac:dyDescent="0.15">
      <c r="A21" s="10" t="s">
        <v>66</v>
      </c>
      <c r="B21" s="11">
        <v>3</v>
      </c>
      <c r="C21" s="11">
        <v>1</v>
      </c>
      <c r="D21" s="13"/>
      <c r="E21" s="196" t="s">
        <v>67</v>
      </c>
      <c r="F21" s="197"/>
      <c r="G21" s="28"/>
      <c r="H21" s="28"/>
      <c r="I21" s="28"/>
      <c r="J21" s="28"/>
      <c r="K21" s="28"/>
      <c r="L21" s="28"/>
      <c r="M21" s="35" t="s">
        <v>68</v>
      </c>
      <c r="N21" s="36" t="s">
        <v>69</v>
      </c>
    </row>
    <row r="22" spans="1:14" ht="21.25" customHeight="1" x14ac:dyDescent="0.15">
      <c r="A22" s="10" t="s">
        <v>70</v>
      </c>
      <c r="B22" s="18"/>
      <c r="C22" s="18"/>
      <c r="D22" s="13"/>
      <c r="E22" s="13"/>
      <c r="F22" s="13"/>
      <c r="G22" s="28"/>
      <c r="H22" s="28"/>
      <c r="I22" s="28"/>
      <c r="J22" s="28"/>
      <c r="K22" s="28"/>
      <c r="L22" s="28"/>
      <c r="M22" s="37"/>
      <c r="N22" s="13"/>
    </row>
    <row r="23" spans="1:14" ht="21.25" customHeight="1" x14ac:dyDescent="0.15">
      <c r="A23" s="10" t="s">
        <v>71</v>
      </c>
      <c r="B23" s="18"/>
      <c r="C23" s="18"/>
      <c r="D23" s="13"/>
      <c r="E23" s="198" t="s">
        <v>72</v>
      </c>
      <c r="F23" s="197"/>
      <c r="G23" s="13"/>
      <c r="H23" s="13"/>
      <c r="I23" s="13"/>
      <c r="J23" s="13"/>
      <c r="K23" s="13"/>
      <c r="L23" s="13"/>
      <c r="M23" s="37"/>
      <c r="N23" s="13"/>
    </row>
    <row r="24" spans="1:14" ht="21.25" customHeight="1" x14ac:dyDescent="0.15">
      <c r="A24" s="10" t="s">
        <v>73</v>
      </c>
      <c r="B24" s="11">
        <v>1</v>
      </c>
      <c r="C24" s="18"/>
      <c r="D24" s="13"/>
      <c r="E24" s="200">
        <v>12</v>
      </c>
      <c r="F24" s="197"/>
      <c r="G24" s="13"/>
      <c r="H24" s="13"/>
      <c r="I24" s="13"/>
      <c r="J24" s="13"/>
      <c r="K24" s="13"/>
      <c r="L24" s="13"/>
      <c r="M24" s="37"/>
      <c r="N24" s="13"/>
    </row>
    <row r="25" spans="1:14" ht="21.25" customHeight="1" x14ac:dyDescent="0.15">
      <c r="A25" s="10" t="s">
        <v>74</v>
      </c>
      <c r="B25" s="11">
        <v>0.5</v>
      </c>
      <c r="C25" s="18"/>
      <c r="D25" s="13"/>
      <c r="E25" s="13"/>
      <c r="F25" s="13"/>
      <c r="G25" s="13"/>
      <c r="H25" s="13"/>
      <c r="I25" s="13"/>
      <c r="J25" s="13"/>
      <c r="K25" s="13"/>
      <c r="L25" s="13"/>
      <c r="M25" s="37"/>
      <c r="N25" s="13"/>
    </row>
    <row r="26" spans="1:14" ht="21.25" customHeight="1" x14ac:dyDescent="0.15">
      <c r="A26" s="10" t="s">
        <v>75</v>
      </c>
      <c r="B26" s="18"/>
      <c r="C26" s="11">
        <v>1</v>
      </c>
      <c r="D26" s="13"/>
      <c r="E26" s="202" t="s">
        <v>76</v>
      </c>
      <c r="F26" s="195"/>
      <c r="G26" s="13"/>
      <c r="H26" s="199" t="s">
        <v>77</v>
      </c>
      <c r="I26" s="197"/>
      <c r="J26" s="197"/>
      <c r="K26" s="28"/>
      <c r="L26" s="13"/>
      <c r="M26" s="201"/>
      <c r="N26" s="197"/>
    </row>
    <row r="27" spans="1:14" ht="21.25" customHeight="1" x14ac:dyDescent="0.15">
      <c r="A27" s="10" t="s">
        <v>78</v>
      </c>
      <c r="B27" s="11">
        <v>-3</v>
      </c>
      <c r="C27" s="18"/>
      <c r="D27" s="13"/>
      <c r="E27" s="203" t="s">
        <v>79</v>
      </c>
      <c r="F27" s="204"/>
      <c r="G27" s="13"/>
      <c r="H27" s="197"/>
      <c r="I27" s="197"/>
      <c r="J27" s="197"/>
      <c r="K27" s="28"/>
      <c r="L27" s="13"/>
      <c r="M27" s="197"/>
      <c r="N27" s="197"/>
    </row>
    <row r="28" spans="1:14" ht="21.25" customHeight="1" x14ac:dyDescent="0.15">
      <c r="A28" s="10" t="s">
        <v>80</v>
      </c>
      <c r="B28" s="18"/>
      <c r="C28" s="11">
        <v>1</v>
      </c>
      <c r="D28" s="13"/>
      <c r="E28" s="30" t="s">
        <v>81</v>
      </c>
      <c r="F28" s="38">
        <v>0.2</v>
      </c>
      <c r="G28" s="13"/>
      <c r="H28" s="199" t="s">
        <v>82</v>
      </c>
      <c r="I28" s="197"/>
      <c r="J28" s="197"/>
      <c r="K28" s="28"/>
      <c r="L28" s="13"/>
      <c r="M28" s="201"/>
      <c r="N28" s="197"/>
    </row>
    <row r="29" spans="1:14" ht="21.25" customHeight="1" x14ac:dyDescent="0.15">
      <c r="A29" s="10" t="s">
        <v>83</v>
      </c>
      <c r="B29" s="18"/>
      <c r="C29" s="18"/>
      <c r="D29" s="13"/>
      <c r="E29" s="30" t="s">
        <v>84</v>
      </c>
      <c r="F29" s="38">
        <v>0.1</v>
      </c>
      <c r="G29" s="13"/>
      <c r="H29" s="197"/>
      <c r="I29" s="197"/>
      <c r="J29" s="197"/>
      <c r="K29" s="28"/>
      <c r="L29" s="13"/>
      <c r="M29" s="197"/>
      <c r="N29" s="197"/>
    </row>
    <row r="30" spans="1:14" ht="21.25" customHeight="1" x14ac:dyDescent="0.15">
      <c r="A30" s="24"/>
      <c r="B30" s="18"/>
      <c r="C30" s="18"/>
      <c r="D30" s="13"/>
      <c r="E30" s="30" t="s">
        <v>85</v>
      </c>
      <c r="F30" s="38">
        <v>0.05</v>
      </c>
      <c r="G30" s="13"/>
      <c r="H30" s="199" t="s">
        <v>86</v>
      </c>
      <c r="I30" s="197"/>
      <c r="J30" s="197"/>
      <c r="K30" s="28"/>
      <c r="L30" s="13"/>
      <c r="M30" s="201"/>
      <c r="N30" s="197"/>
    </row>
    <row r="31" spans="1:14" ht="21.25" customHeight="1" x14ac:dyDescent="0.15">
      <c r="A31" s="24"/>
      <c r="B31" s="18"/>
      <c r="C31" s="18"/>
      <c r="D31" s="13"/>
      <c r="E31" s="30" t="s">
        <v>87</v>
      </c>
      <c r="F31" s="38">
        <v>-0.05</v>
      </c>
      <c r="G31" s="13"/>
      <c r="H31" s="197"/>
      <c r="I31" s="197"/>
      <c r="J31" s="197"/>
      <c r="K31" s="28"/>
      <c r="L31" s="13"/>
      <c r="M31" s="197"/>
      <c r="N31" s="197"/>
    </row>
    <row r="32" spans="1:14" ht="21.25" customHeight="1" x14ac:dyDescent="0.15">
      <c r="A32" s="24"/>
      <c r="B32" s="18"/>
      <c r="C32" s="18"/>
      <c r="D32" s="13"/>
      <c r="E32" s="30" t="s">
        <v>88</v>
      </c>
      <c r="F32" s="38">
        <v>-0.1</v>
      </c>
      <c r="G32" s="13"/>
      <c r="H32" s="197"/>
      <c r="I32" s="197"/>
      <c r="J32" s="197"/>
      <c r="K32" s="28"/>
      <c r="L32" s="13"/>
      <c r="M32" s="197"/>
      <c r="N32" s="197"/>
    </row>
    <row r="33" spans="1:14" ht="21.25" customHeight="1" x14ac:dyDescent="0.15">
      <c r="A33" s="24"/>
      <c r="B33" s="18"/>
      <c r="C33" s="18"/>
      <c r="D33" s="13"/>
      <c r="E33" s="30" t="s">
        <v>89</v>
      </c>
      <c r="F33" s="38">
        <v>-0.2</v>
      </c>
      <c r="G33" s="13"/>
      <c r="H33" s="28"/>
      <c r="I33" s="28"/>
      <c r="J33" s="28"/>
      <c r="K33" s="28"/>
      <c r="L33" s="13"/>
      <c r="M33" s="39"/>
      <c r="N33" s="28"/>
    </row>
  </sheetData>
  <mergeCells count="25">
    <mergeCell ref="M26:N27"/>
    <mergeCell ref="M28:N29"/>
    <mergeCell ref="M30:N32"/>
    <mergeCell ref="E26:F26"/>
    <mergeCell ref="H26:J27"/>
    <mergeCell ref="H28:J29"/>
    <mergeCell ref="H30:J32"/>
    <mergeCell ref="E27:F27"/>
    <mergeCell ref="E23:F23"/>
    <mergeCell ref="E24:F24"/>
    <mergeCell ref="E20:F20"/>
    <mergeCell ref="E21:F21"/>
    <mergeCell ref="H20:J20"/>
    <mergeCell ref="E15:F15"/>
    <mergeCell ref="E17:F17"/>
    <mergeCell ref="E18:F18"/>
    <mergeCell ref="H8:J8"/>
    <mergeCell ref="H11:J11"/>
    <mergeCell ref="H14:J14"/>
    <mergeCell ref="H17:J17"/>
    <mergeCell ref="E8:F8"/>
    <mergeCell ref="E9:F9"/>
    <mergeCell ref="E11:F11"/>
    <mergeCell ref="E12:F12"/>
    <mergeCell ref="E14:F14"/>
  </mergeCells>
  <pageMargins left="1" right="1" top="1" bottom="1" header="0.25" footer="0.25"/>
  <pageSetup orientation="portrait"/>
  <headerFooter>
    <oddFooter>&amp;C&amp;"Helvetica,Regular"&amp;12&amp;K000000&amp;P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6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F30" sqref="F30"/>
    </sheetView>
  </sheetViews>
  <sheetFormatPr baseColWidth="10" defaultColWidth="8" defaultRowHeight="16.25" customHeight="1" x14ac:dyDescent="0.15"/>
  <cols>
    <col min="1" max="1" width="4.6640625" style="1" customWidth="1"/>
    <col min="2" max="2" width="28.33203125" style="1" customWidth="1"/>
    <col min="3" max="4" width="7.1640625" style="1" customWidth="1"/>
    <col min="5" max="5" width="6" style="1" customWidth="1"/>
    <col min="6" max="14" width="8.33203125" style="1" customWidth="1"/>
    <col min="15" max="15" width="3.5" style="1" customWidth="1"/>
    <col min="16" max="34" width="7.1640625" style="1" customWidth="1"/>
    <col min="35" max="35" width="2.33203125" style="1" customWidth="1"/>
    <col min="36" max="44" width="7.1640625" style="1" customWidth="1"/>
    <col min="45" max="45" width="2.33203125" style="1" customWidth="1"/>
    <col min="46" max="46" width="8" style="1" customWidth="1"/>
    <col min="47" max="16384" width="8" style="1"/>
  </cols>
  <sheetData>
    <row r="1" spans="1:45" ht="49" customHeight="1" x14ac:dyDescent="0.15">
      <c r="A1" s="40" t="s">
        <v>90</v>
      </c>
      <c r="B1" s="41" t="s">
        <v>91</v>
      </c>
      <c r="C1" s="42" t="s">
        <v>92</v>
      </c>
      <c r="D1" s="194" t="s">
        <v>93</v>
      </c>
      <c r="E1" s="195"/>
      <c r="F1" s="42" t="s">
        <v>94</v>
      </c>
      <c r="G1" s="42" t="s">
        <v>95</v>
      </c>
      <c r="H1" s="42" t="s">
        <v>96</v>
      </c>
      <c r="I1" s="43" t="s">
        <v>97</v>
      </c>
      <c r="J1" s="42" t="s">
        <v>98</v>
      </c>
      <c r="K1" s="43" t="s">
        <v>99</v>
      </c>
      <c r="L1" s="43" t="s">
        <v>100</v>
      </c>
      <c r="M1" s="43" t="s">
        <v>101</v>
      </c>
      <c r="N1" s="43" t="s">
        <v>102</v>
      </c>
      <c r="O1" s="44"/>
      <c r="P1" s="45" t="s">
        <v>103</v>
      </c>
      <c r="Q1" s="46" t="s">
        <v>104</v>
      </c>
      <c r="R1" s="46" t="s">
        <v>56</v>
      </c>
      <c r="S1" s="46" t="s">
        <v>105</v>
      </c>
      <c r="T1" s="46" t="s">
        <v>106</v>
      </c>
      <c r="U1" s="46" t="s">
        <v>107</v>
      </c>
      <c r="V1" s="46" t="s">
        <v>108</v>
      </c>
      <c r="W1" s="46" t="s">
        <v>64</v>
      </c>
      <c r="X1" s="46" t="s">
        <v>68</v>
      </c>
      <c r="Y1" s="46" t="s">
        <v>109</v>
      </c>
      <c r="Z1" s="46" t="s">
        <v>110</v>
      </c>
      <c r="AA1" s="46" t="s">
        <v>111</v>
      </c>
      <c r="AB1" s="46" t="s">
        <v>112</v>
      </c>
      <c r="AC1" s="46" t="s">
        <v>113</v>
      </c>
      <c r="AD1" s="46" t="s">
        <v>114</v>
      </c>
      <c r="AE1" s="46" t="s">
        <v>115</v>
      </c>
      <c r="AF1" s="46" t="s">
        <v>116</v>
      </c>
      <c r="AG1" s="46" t="s">
        <v>117</v>
      </c>
      <c r="AH1" s="46" t="s">
        <v>118</v>
      </c>
      <c r="AI1" s="44"/>
      <c r="AJ1" s="46" t="s">
        <v>104</v>
      </c>
      <c r="AK1" s="46" t="s">
        <v>119</v>
      </c>
      <c r="AL1" s="46" t="s">
        <v>120</v>
      </c>
      <c r="AM1" s="46" t="s">
        <v>121</v>
      </c>
      <c r="AN1" s="46" t="s">
        <v>122</v>
      </c>
      <c r="AO1" s="46" t="s">
        <v>123</v>
      </c>
      <c r="AP1" s="46" t="s">
        <v>124</v>
      </c>
      <c r="AQ1" s="46" t="s">
        <v>125</v>
      </c>
      <c r="AR1" s="46" t="s">
        <v>126</v>
      </c>
      <c r="AS1" s="44"/>
    </row>
    <row r="2" spans="1:45" ht="21.25" customHeight="1" x14ac:dyDescent="0.15">
      <c r="A2" s="62">
        <f t="shared" ref="A2:A65" si="0">RANK(K2,K$2:K$671)</f>
        <v>1</v>
      </c>
      <c r="B2" s="10" t="s">
        <v>127</v>
      </c>
      <c r="C2" s="47" t="s">
        <v>128</v>
      </c>
      <c r="D2" s="48" t="str" cm="1">
        <f t="array" ref="D2">VLOOKUP(B2,'Player Data'!A1:D673,4,FALSE)</f>
        <v>C</v>
      </c>
      <c r="E2" s="49" cm="1">
        <f t="array" ref="E2">VLOOKUP(B2,'C'!A1:C210,3,FALSE)</f>
        <v>1</v>
      </c>
      <c r="F2" s="50" t="str" cm="1">
        <f t="array" ref="F2">VLOOKUP(B2,'Player Data'!A1:B673,2,FALSE)</f>
        <v>COL</v>
      </c>
      <c r="G2" s="11" cm="1">
        <f t="array" ref="G2">VLOOKUP(B2,'Player Data'!A1:D673,3,FALSE)</f>
        <v>30</v>
      </c>
      <c r="H2" s="51" cm="1">
        <f t="array" ref="H2">IFERROR(VLOOKUP(B2,ADP!A1:F671,6,FALSE)/1000000,VLOOKUP(B2,ADP!A1:F671,6,FALSE))</f>
        <v>12.6</v>
      </c>
      <c r="I2" s="52">
        <f>IF(Settings!$E$15="POINTS",((R2*Q2)*Settings!$B$12)+(S2*Settings!$B$2)+(T2*Settings!$B$3)+(U2*Settings!$B$4)+(V2*Settings!$B$5)+(X2*Settings!$B$9)+(AA2*Settings!$B$6)+(W2*Settings!$B$8)+(AB2*Settings!$B$7)+(AC2*Settings!$B$14)+(AD2*Settings!$B$15)+(AE2*Settings!$B$16)+(AF2*Settings!$B$17)+(AG2*Settings!$B$18)+(Y2*Settings!$B$10)+(Z2*Settings!$B$11),VLOOKUP(B2,'Standard Deviations'!A$1:C$672,3,FALSE))</f>
        <v>603.01791929249828</v>
      </c>
      <c r="J2" s="53" cm="1">
        <f t="array" ref="J2">IF(D2="G",I2/AJ2,I2/Q2)</f>
        <v>7.2423710468998443</v>
      </c>
      <c r="K2" s="52" cm="1">
        <f t="array" ref="K2">IF(Settings!$E$18="C/LW/RW",VLOOKUP(B2,'C'!A1:F210,6,FALSE),VLOOKUP(B2,F!A1:F407,6,FALSE))</f>
        <v>216.48271289941528</v>
      </c>
      <c r="L2" s="54" cm="1">
        <f t="array" ref="L2">IFERROR(K2/H2,"N/A")</f>
        <v>17.181167690429785</v>
      </c>
      <c r="M2" s="55">
        <v>2.4</v>
      </c>
      <c r="N2" s="55" cm="1">
        <f t="array" ref="N2">IFERROR(M2-A2,"N/A")</f>
        <v>1.4</v>
      </c>
      <c r="O2" s="55"/>
      <c r="P2" s="56" t="str" cm="1">
        <f t="array" ref="P2">_xlfn.XLOOKUP($B2,ADP!A2:A671,ADP!G2:G671)</f>
        <v xml:space="preserve"> </v>
      </c>
      <c r="Q2" s="57" cm="1">
        <f t="array" ref="Q2">IF(Settings!$E$12="YES",VLOOKUP(B2,'Player Data'!A1:E673,5,FALSE),84)</f>
        <v>83.262500000000003</v>
      </c>
      <c r="R2" s="55" cm="1">
        <f t="array" ref="R2">VLOOKUP(B2,'Player Data'!$A1:$AE673,6,FALSE)</f>
        <v>21.988625604725598</v>
      </c>
      <c r="S2" s="57" cm="1">
        <f t="array" ref="S2">VLOOKUP(B2,'Player Data'!$A1:$AE673,7,FALSE)*$Q2*IFERROR((VLOOKUP(P2,Settings!$E$28:$F$33,2,FALSE)+1),1)</f>
        <v>45.680017815631238</v>
      </c>
      <c r="T2" s="57" cm="1">
        <f t="array" ref="T2">VLOOKUP(B2,'Player Data'!$A1:$AE673,8,FALSE)*$Q2*IFERROR((VLOOKUP(P2,Settings!$E$28:$F$33,2,FALSE)+1),1)</f>
        <v>77.799311346424773</v>
      </c>
      <c r="U2" s="57" cm="1">
        <f t="array" ref="U2">SUM(S2:T2)</f>
        <v>123.47932916205602</v>
      </c>
      <c r="V2" s="57" cm="1">
        <f t="array" ref="V2">VLOOKUP(B2,'Player Data'!$A1:$AE673,10,FALSE)*$Q2*IFERROR(((VLOOKUP(P2,Settings!$E$28:$F$33,2,FALSE)/2)+1),1)</f>
        <v>351.30648280556431</v>
      </c>
      <c r="W2" s="58" cm="1">
        <f t="array" ref="W2">VLOOKUP(B2,'Player Data'!$A1:$AE673,11,FALSE)*$Q2*IFERROR((VLOOKUP(P2,Settings!$E$28:$F$33,2,FALSE)+1),1)</f>
        <v>10.272122997268722</v>
      </c>
      <c r="X2" s="57" cm="1">
        <f t="array" ref="X2">VLOOKUP(B2,'Player Data'!$A1:$AE673,12,FALSE)*$Q2*IFERROR((VLOOKUP(P2,Settings!$E$28:$F$33,2,FALSE)+1),1)</f>
        <v>34.474740966302981</v>
      </c>
      <c r="Y2" s="57" cm="1">
        <f t="array" ref="Y2">VLOOKUP(B2,'Player Data'!$A1:$AE673,13,FALSE)*$Q2</f>
        <v>1.4687330966838616E-2</v>
      </c>
      <c r="Z2" s="57" cm="1">
        <f t="array" ref="Z2">VLOOKUP(B2,'Player Data'!$A1:$AE673,14,FALSE)*$Q2</f>
        <v>2.3947333310503839E-2</v>
      </c>
      <c r="AA2" s="57" cm="1">
        <f t="array" ref="AA2">VLOOKUP(B2,'Player Data'!$A1:$AE673,15,FALSE)*$Q2</f>
        <v>44.856004207869304</v>
      </c>
      <c r="AB2" s="57" cm="1">
        <f t="array" ref="AB2">VLOOKUP(B2,'Player Data'!$A1:$AE673,16,FALSE)*$Q2</f>
        <v>58.119495678201403</v>
      </c>
      <c r="AC2" s="57" cm="1">
        <f t="array" ref="AC2">VLOOKUP(B2,'Player Data'!$A1:$AE673,17,FALSE)*$Q2*IFERROR((VLOOKUP(P2,Settings!$E$28:$F$33,2,FALSE)+1),1)</f>
        <v>14.070511152004501</v>
      </c>
      <c r="AD2" s="57" cm="1">
        <f t="array" ref="AD2">VLOOKUP(B2,'Player Data'!$A1:$AE673,18,FALSE)*$Q2</f>
        <v>33.906813815943401</v>
      </c>
      <c r="AE2" s="57" cm="1">
        <f t="array" ref="AE2">VLOOKUP(B2,'Player Data'!$A1:$AE673,19,FALSE)*$Q2*IFERROR((VLOOKUP(P2,Settings!$E$28:$F$33,2,FALSE)+1),1)</f>
        <v>8.2446590298884779</v>
      </c>
      <c r="AF2" s="57" cm="1">
        <f t="array" ref="AF2">VLOOKUP(B2,'Player Data'!$A1:$AE673,20,FALSE)*$Q2</f>
        <v>683.99815212594285</v>
      </c>
      <c r="AG2" s="57" cm="1">
        <f t="array" ref="AG2">VLOOKUP(B2,'Player Data'!$A1:$AE673,21,FALSE)*$Q2</f>
        <v>699.19272790909849</v>
      </c>
      <c r="AH2" s="59" cm="1">
        <f t="array" ref="AH2">VLOOKUP(B2,'Player Data'!$A1:$AE673,22,FALSE)</f>
        <v>0.49450741904010698</v>
      </c>
      <c r="AI2" s="55"/>
      <c r="AJ2" s="57"/>
      <c r="AK2" s="57"/>
      <c r="AL2" s="57"/>
      <c r="AM2" s="57"/>
      <c r="AN2" s="57"/>
      <c r="AO2" s="57"/>
      <c r="AP2" s="57"/>
      <c r="AQ2" s="60"/>
      <c r="AR2" s="61"/>
      <c r="AS2" s="55"/>
    </row>
    <row r="3" spans="1:45" ht="21.25" customHeight="1" x14ac:dyDescent="0.15">
      <c r="A3" s="62">
        <f t="shared" si="0"/>
        <v>2</v>
      </c>
      <c r="B3" s="10" t="s">
        <v>129</v>
      </c>
      <c r="C3" s="47" t="s">
        <v>128</v>
      </c>
      <c r="D3" s="48" t="str" cm="1">
        <f t="array" ref="D3">VLOOKUP(B3,'Player Data'!A1:D673,4,FALSE)</f>
        <v>C</v>
      </c>
      <c r="E3" s="49" cm="1">
        <f t="array" ref="E3">VLOOKUP(B3,'C'!A1:C210,3,FALSE)</f>
        <v>2</v>
      </c>
      <c r="F3" s="63" t="str" cm="1">
        <f t="array" ref="F3">VLOOKUP(B3,'Player Data'!A1:B673,2,FALSE)</f>
        <v>EDM</v>
      </c>
      <c r="G3" s="11" cm="1">
        <f t="array" ref="G3">VLOOKUP(B3,'Player Data'!A1:D673,3,FALSE)</f>
        <v>29</v>
      </c>
      <c r="H3" s="51" cm="1">
        <f t="array" ref="H3">IFERROR(VLOOKUP(B3,ADP!A1:F671,6,FALSE)/1000000,VLOOKUP(B3,ADP!A1:F671,6,FALSE))</f>
        <v>12.5</v>
      </c>
      <c r="I3" s="52">
        <f>IF(Settings!$E$15="POINTS",((R3*Q3)*Settings!$B$12)+(S3*Settings!$B$2)+(T3*Settings!$B$3)+(U3*Settings!$B$4)+(V3*Settings!$B$5)+(X3*Settings!$B$9)+(AA3*Settings!$B$6)+(W3*Settings!$B$8)+(AB3*Settings!$B$7)+(AC3*Settings!$B$14)+(AD3*Settings!$B$15)+(AE3*Settings!$B$16)+(AF3*Settings!$B$17)+(AG3*Settings!$B$18)+(Y3*Settings!$B$10)+(Z3*Settings!$B$11),VLOOKUP(B3,'Standard Deviations'!A$1:C$672,3,FALSE))</f>
        <v>599.21773180247033</v>
      </c>
      <c r="J3" s="53" cm="1">
        <f t="array" ref="J3">IF(D3="G",I3/AJ3,I3/Q3)</f>
        <v>7.3643375033332754</v>
      </c>
      <c r="K3" s="52" cm="1">
        <f t="array" ref="K3">IF(Settings!$E$18="C/LW/RW",VLOOKUP(B3,'C'!A1:F210,6,FALSE),VLOOKUP(B3,F!A1:F407,6,FALSE))</f>
        <v>212.68252540938732</v>
      </c>
      <c r="L3" s="54" cm="1">
        <f t="array" ref="L3">IFERROR(K3/H3,"N/A")</f>
        <v>17.014602032750986</v>
      </c>
      <c r="M3" s="55">
        <v>1.5</v>
      </c>
      <c r="N3" s="55" cm="1">
        <f t="array" ref="N3">IFERROR(M3-A3,"N/A")</f>
        <v>-0.5</v>
      </c>
      <c r="O3" s="55"/>
      <c r="P3" s="56" t="str" cm="1">
        <f t="array" ref="P3">_xlfn.XLOOKUP($B3,ADP!A2:A671,ADP!G2:G671)</f>
        <v xml:space="preserve"> </v>
      </c>
      <c r="Q3" s="57" cm="1">
        <f t="array" ref="Q3">IF(Settings!$E$12="YES",VLOOKUP(B3,'Player Data'!A1:E673,5,FALSE),84)</f>
        <v>81.367500000000007</v>
      </c>
      <c r="R3" s="55" cm="1">
        <f t="array" ref="R3">VLOOKUP(B3,'Player Data'!$A1:$AE673,6,FALSE)</f>
        <v>21.954284206119802</v>
      </c>
      <c r="S3" s="57" cm="1">
        <f t="array" ref="S3">VLOOKUP(B3,'Player Data'!$A1:$AE673,7,FALSE)*$Q3*IFERROR((VLOOKUP(P3,Settings!$E$28:$F$33,2,FALSE)+1),1)</f>
        <v>39.539485783043489</v>
      </c>
      <c r="T3" s="57" cm="1">
        <f t="array" ref="T3">VLOOKUP(B3,'Player Data'!$A1:$AE673,8,FALSE)*$Q3*IFERROR((VLOOKUP(P3,Settings!$E$28:$F$33,2,FALSE)+1),1)</f>
        <v>91.146407432267097</v>
      </c>
      <c r="U3" s="57" cm="1">
        <f t="array" ref="U3">SUM(S3:T3)</f>
        <v>130.68589321531059</v>
      </c>
      <c r="V3" s="57" cm="1">
        <f t="array" ref="V3">VLOOKUP(B3,'Player Data'!$A1:$AE673,10,FALSE)*$Q3*IFERROR(((VLOOKUP(P3,Settings!$E$28:$F$33,2,FALSE)/2)+1),1)</f>
        <v>283.01494586987155</v>
      </c>
      <c r="W3" s="58" cm="1">
        <f t="array" ref="W3">VLOOKUP(B3,'Player Data'!$A1:$AE673,11,FALSE)*$Q3*IFERROR((VLOOKUP(P3,Settings!$E$28:$F$33,2,FALSE)+1),1)</f>
        <v>12.359043975979695</v>
      </c>
      <c r="X3" s="57" cm="1">
        <f t="array" ref="X3">VLOOKUP(B3,'Player Data'!$A1:$AE673,12,FALSE)*$Q3*IFERROR((VLOOKUP(P3,Settings!$E$28:$F$33,2,FALSE)+1),1)</f>
        <v>50.82425158626566</v>
      </c>
      <c r="Y3" s="57" cm="1">
        <f t="array" ref="Y3">VLOOKUP(B3,'Player Data'!$A1:$AE673,13,FALSE)*$Q3</f>
        <v>0.22075511627009392</v>
      </c>
      <c r="Z3" s="57" cm="1">
        <f t="array" ref="Z3">VLOOKUP(B3,'Player Data'!$A1:$AE673,14,FALSE)*$Q3</f>
        <v>0.24387201103785913</v>
      </c>
      <c r="AA3" s="57" cm="1">
        <f t="array" ref="AA3">VLOOKUP(B3,'Player Data'!$A1:$AE673,15,FALSE)*$Q3</f>
        <v>29.168911248598501</v>
      </c>
      <c r="AB3" s="57" cm="1">
        <f t="array" ref="AB3">VLOOKUP(B3,'Player Data'!$A1:$AE673,16,FALSE)*$Q3</f>
        <v>47.566614871967957</v>
      </c>
      <c r="AC3" s="57" cm="1">
        <f t="array" ref="AC3">VLOOKUP(B3,'Player Data'!$A1:$AE673,17,FALSE)*$Q3*IFERROR((VLOOKUP(P3,Settings!$E$28:$F$33,2,FALSE)+1),1)</f>
        <v>10.436956966022553</v>
      </c>
      <c r="AD3" s="57" cm="1">
        <f t="array" ref="AD3">VLOOKUP(B3,'Player Data'!$A1:$AE673,18,FALSE)*$Q3</f>
        <v>37.983381618250121</v>
      </c>
      <c r="AE3" s="57" cm="1">
        <f t="array" ref="AE3">VLOOKUP(B3,'Player Data'!$A1:$AE673,19,FALSE)*$Q3*IFERROR((VLOOKUP(P3,Settings!$E$28:$F$33,2,FALSE)+1),1)</f>
        <v>6.9408227913796452</v>
      </c>
      <c r="AF3" s="57" cm="1">
        <f t="array" ref="AF3">VLOOKUP(B3,'Player Data'!$A1:$AE673,20,FALSE)*$Q3</f>
        <v>439.28861548034217</v>
      </c>
      <c r="AG3" s="57" cm="1">
        <f t="array" ref="AG3">VLOOKUP(B3,'Player Data'!$A1:$AE673,21,FALSE)*$Q3</f>
        <v>452.53303444517013</v>
      </c>
      <c r="AH3" s="59" cm="1">
        <f t="array" ref="AH3">VLOOKUP(B3,'Player Data'!$A1:$AE673,22,FALSE)</f>
        <v>0.49257451365643901</v>
      </c>
      <c r="AI3" s="55"/>
      <c r="AJ3" s="57"/>
      <c r="AK3" s="57"/>
      <c r="AL3" s="57"/>
      <c r="AM3" s="57"/>
      <c r="AN3" s="57"/>
      <c r="AO3" s="57"/>
      <c r="AP3" s="57"/>
      <c r="AQ3" s="60"/>
      <c r="AR3" s="61"/>
      <c r="AS3" s="55"/>
    </row>
    <row r="4" spans="1:45" ht="21.25" customHeight="1" x14ac:dyDescent="0.15">
      <c r="A4" s="62">
        <f t="shared" si="0"/>
        <v>3</v>
      </c>
      <c r="B4" s="10" t="s">
        <v>130</v>
      </c>
      <c r="C4" s="47" t="s">
        <v>128</v>
      </c>
      <c r="D4" s="48" t="str" cm="1">
        <f t="array" ref="D4">VLOOKUP(B4,'Player Data'!A1:D673,4,FALSE)</f>
        <v>RW</v>
      </c>
      <c r="E4" s="64" cm="1">
        <f t="array" ref="E4">VLOOKUP(B4,RW!A1:F210,3,FALSE)</f>
        <v>1</v>
      </c>
      <c r="F4" s="65" t="str" cm="1">
        <f t="array" ref="F4">VLOOKUP(B4,'Player Data'!A1:B673,2,FALSE)</f>
        <v>T.B</v>
      </c>
      <c r="G4" s="66" cm="1">
        <f t="array" ref="G4">VLOOKUP(B4,'Player Data'!A1:D673,3,FALSE)</f>
        <v>33</v>
      </c>
      <c r="H4" s="67" cm="1">
        <f t="array" ref="H4">IFERROR(VLOOKUP(B4,ADP!A1:F671,6,FALSE)/1000000,VLOOKUP(B4,ADP!A1:F671,6,FALSE))</f>
        <v>9.5</v>
      </c>
      <c r="I4" s="52">
        <f>IF(Settings!$E$15="POINTS",((R4*Q4)*Settings!$B$12)+(S4*Settings!$B$2)+(T4*Settings!$B$3)+(U4*Settings!$B$4)+(V4*Settings!$B$5)+(X4*Settings!$B$9)+(AA4*Settings!$B$6)+(W4*Settings!$B$8)+(AB4*Settings!$B$7)+(AC4*Settings!$B$14)+(AD4*Settings!$B$15)+(AE4*Settings!$B$16)+(AF4*Settings!$B$17)+(AG4*Settings!$B$18)+(Y4*Settings!$B$10)+(Z4*Settings!$B$11),VLOOKUP(B4,'Standard Deviations'!A$1:C$672,3,FALSE))</f>
        <v>570.68556458331921</v>
      </c>
      <c r="J4" s="53" cm="1">
        <f t="array" ref="J4">IF(D4="G",I4/AJ4,I4/Q4)</f>
        <v>6.9329473921316795</v>
      </c>
      <c r="K4" s="52" cm="1">
        <f t="array" ref="K4">IF(Settings!$E$18="C/LW/RW",VLOOKUP(B4,RW!A1:F210,6,FALSE),VLOOKUP(B4,F!A1:F407,6,FALSE))</f>
        <v>175.74209988976173</v>
      </c>
      <c r="L4" s="54" cm="1">
        <f t="array" ref="L4">IFERROR(K4/H4,"N/A")</f>
        <v>18.499168409448604</v>
      </c>
      <c r="M4" s="55">
        <v>4.0999999999999996</v>
      </c>
      <c r="N4" s="55" cm="1">
        <f t="array" ref="N4">IFERROR(M4-A4,"N/A")</f>
        <v>1.0999999999999996</v>
      </c>
      <c r="O4" s="55"/>
      <c r="P4" s="56" t="str" cm="1">
        <f t="array" ref="P4">_xlfn.XLOOKUP($B4,ADP!A2:A671,ADP!G2:G671)</f>
        <v xml:space="preserve"> </v>
      </c>
      <c r="Q4" s="57" cm="1">
        <f t="array" ref="Q4">IF(Settings!$E$12="YES",VLOOKUP(B4,'Player Data'!A1:E673,5,FALSE),84)</f>
        <v>82.314999999999998</v>
      </c>
      <c r="R4" s="55" cm="1">
        <f t="array" ref="R4">VLOOKUP(B4,'Player Data'!$A1:$AE673,6,FALSE)</f>
        <v>20.2639851811557</v>
      </c>
      <c r="S4" s="57" cm="1">
        <f t="array" ref="S4">VLOOKUP(B4,'Player Data'!$A1:$AE673,7,FALSE)*$Q4*IFERROR((VLOOKUP(P4,Settings!$E$28:$F$33,2,FALSE)+1),1)</f>
        <v>41.269659618370582</v>
      </c>
      <c r="T4" s="57" cm="1">
        <f t="array" ref="T4">VLOOKUP(B4,'Player Data'!$A1:$AE673,8,FALSE)*$Q4*IFERROR((VLOOKUP(P4,Settings!$E$28:$F$33,2,FALSE)+1),1)</f>
        <v>85.913016803717085</v>
      </c>
      <c r="U4" s="57" cm="1">
        <f t="array" ref="U4">SUM(S4:T4)</f>
        <v>127.18267642208767</v>
      </c>
      <c r="V4" s="57" cm="1">
        <f t="array" ref="V4">VLOOKUP(B4,'Player Data'!$A1:$AE673,10,FALSE)*$Q4*IFERROR(((VLOOKUP(P4,Settings!$E$28:$F$33,2,FALSE)/2)+1),1)</f>
        <v>257.25981566966226</v>
      </c>
      <c r="W4" s="58" cm="1">
        <f t="array" ref="W4">VLOOKUP(B4,'Player Data'!$A1:$AE673,11,FALSE)*$Q4*IFERROR((VLOOKUP(P4,Settings!$E$28:$F$33,2,FALSE)+1),1)</f>
        <v>9.3950677200621922</v>
      </c>
      <c r="X4" s="57" cm="1">
        <f t="array" ref="X4">VLOOKUP(B4,'Player Data'!$A1:$AE673,12,FALSE)*$Q4*IFERROR((VLOOKUP(P4,Settings!$E$28:$F$33,2,FALSE)+1),1)</f>
        <v>43.605515770944514</v>
      </c>
      <c r="Y4" s="57" cm="1">
        <f t="array" ref="Y4">VLOOKUP(B4,'Player Data'!$A1:$AE673,13,FALSE)*$Q4</f>
        <v>5.9203788767754374E-2</v>
      </c>
      <c r="Z4" s="57" cm="1">
        <f t="array" ref="Z4">VLOOKUP(B4,'Player Data'!$A1:$AE673,14,FALSE)*$Q4</f>
        <v>6.5907541797824556E-2</v>
      </c>
      <c r="AA4" s="57" cm="1">
        <f t="array" ref="AA4">VLOOKUP(B4,'Player Data'!$A1:$AE673,15,FALSE)*$Q4</f>
        <v>33.672408338965461</v>
      </c>
      <c r="AB4" s="57" cm="1">
        <f t="array" ref="AB4">VLOOKUP(B4,'Player Data'!$A1:$AE673,16,FALSE)*$Q4</f>
        <v>37.183001701040986</v>
      </c>
      <c r="AC4" s="57" cm="1">
        <f t="array" ref="AC4">VLOOKUP(B4,'Player Data'!$A1:$AE673,17,FALSE)*$Q4*IFERROR((VLOOKUP(P4,Settings!$E$28:$F$33,2,FALSE)+1),1)</f>
        <v>13.047675152607264</v>
      </c>
      <c r="AD4" s="57" cm="1">
        <f t="array" ref="AD4">VLOOKUP(B4,'Player Data'!$A1:$AE673,18,FALSE)*$Q4</f>
        <v>35.472287484189444</v>
      </c>
      <c r="AE4" s="57" cm="1">
        <f t="array" ref="AE4">VLOOKUP(B4,'Player Data'!$A1:$AE673,19,FALSE)*$Q4*IFERROR((VLOOKUP(P4,Settings!$E$28:$F$33,2,FALSE)+1),1)</f>
        <v>7.3257541034426747</v>
      </c>
      <c r="AF4" s="57" cm="1">
        <f t="array" ref="AF4">VLOOKUP(B4,'Player Data'!$A1:$AE673,20,FALSE)*$Q4</f>
        <v>0.73093166499112305</v>
      </c>
      <c r="AG4" s="57" cm="1">
        <f t="array" ref="AG4">VLOOKUP(B4,'Player Data'!$A1:$AE673,21,FALSE)*$Q4</f>
        <v>1.6711680000168787</v>
      </c>
      <c r="AH4" s="59" cm="1">
        <f t="array" ref="AH4">VLOOKUP(B4,'Player Data'!$A1:$AE673,22,FALSE)</f>
        <v>0.304288650316551</v>
      </c>
      <c r="AI4" s="55"/>
      <c r="AJ4" s="57"/>
      <c r="AK4" s="57"/>
      <c r="AL4" s="57"/>
      <c r="AM4" s="57"/>
      <c r="AN4" s="57"/>
      <c r="AO4" s="57"/>
      <c r="AP4" s="57"/>
      <c r="AQ4" s="60"/>
      <c r="AR4" s="61"/>
      <c r="AS4" s="55"/>
    </row>
    <row r="5" spans="1:45" ht="21.25" customHeight="1" x14ac:dyDescent="0.15">
      <c r="A5" s="62">
        <f t="shared" si="0"/>
        <v>4</v>
      </c>
      <c r="B5" s="10" t="s">
        <v>131</v>
      </c>
      <c r="C5" s="47" t="s">
        <v>128</v>
      </c>
      <c r="D5" s="48" t="str" cm="1">
        <f t="array" ref="D5">VLOOKUP(B5,'Player Data'!A1:D673,4,FALSE)</f>
        <v>D</v>
      </c>
      <c r="E5" s="68" cm="1">
        <f t="array" ref="E5">VLOOKUP(B5,D!A1:C204,3,FALSE)</f>
        <v>1</v>
      </c>
      <c r="F5" s="69" t="str" cm="1">
        <f t="array" ref="F5">VLOOKUP(B5,'Player Data'!A1:B673,2,FALSE)</f>
        <v>CBJ</v>
      </c>
      <c r="G5" s="11" cm="1">
        <f t="array" ref="G5">VLOOKUP(B5,'Player Data'!A1:D673,3,FALSE)</f>
        <v>29</v>
      </c>
      <c r="H5" s="51" cm="1">
        <f t="array" ref="H5">IFERROR(VLOOKUP(B5,ADP!A1:F671,6,FALSE)/1000000,VLOOKUP(B5,ADP!A1:F671,6,FALSE))</f>
        <v>9.5830000000000002</v>
      </c>
      <c r="I5" s="52">
        <f>IF(Settings!$E$15="POINTS",((R5*Q5)*Settings!$B$12)+(S5*Settings!$B$2)+(T5*Settings!$B$3)+(U5*Settings!$B$4)+(V5*Settings!$B$5)+(X5*Settings!$B$9)+(AA5*Settings!$B$6)+(W5*Settings!$B$8)+(AB5*Settings!$B$7)+(AC5*Settings!$B$14)+(AD5*Settings!$B$15)+(AE5*Settings!$B$16)+(AF5*Settings!$B$17)+(AG5*Settings!$B$18)+(U5*Settings!$B$13)+(Y5*Settings!$B$10)+(Z5*Settings!$B$11),VLOOKUP(B5,'Standard Deviations'!A$1:C$672,3,FALSE))</f>
        <v>473.7455756390317</v>
      </c>
      <c r="J5" s="53" cm="1">
        <f t="array" ref="J5">IF(D5="G",I5/AJ5,I5/Q5)</f>
        <v>5.81639749096417</v>
      </c>
      <c r="K5" s="52" cm="1">
        <f t="array" ref="K5">VLOOKUP(B5,D!A1:F204,6,FALSE)</f>
        <v>167.09170829443764</v>
      </c>
      <c r="L5" s="54" cm="1">
        <f t="array" ref="L5">IFERROR(K5/H5,"N/A")</f>
        <v>17.436262996393367</v>
      </c>
      <c r="M5" s="55">
        <v>17.100000000000001</v>
      </c>
      <c r="N5" s="55" cm="1">
        <f t="array" ref="N5">IFERROR(M5-A5,"N/A")</f>
        <v>13.100000000000001</v>
      </c>
      <c r="O5" s="55"/>
      <c r="P5" s="56" t="str" cm="1">
        <f t="array" ref="P5">_xlfn.XLOOKUP($B5,ADP!A2:A671,ADP!G2:G671)</f>
        <v xml:space="preserve"> </v>
      </c>
      <c r="Q5" s="57" cm="1">
        <f t="array" ref="Q5">IF(Settings!$E$12="YES",VLOOKUP(B5,'Player Data'!A1:E673,5,FALSE),84)</f>
        <v>81.45</v>
      </c>
      <c r="R5" s="55" cm="1">
        <f t="array" ref="R5">VLOOKUP(B5,'Player Data'!$A1:$AE673,6,FALSE)</f>
        <v>27.105520639608802</v>
      </c>
      <c r="S5" s="57" cm="1">
        <f t="array" ref="S5">VLOOKUP(B5,'Player Data'!$A1:$AE673,7,FALSE)*$Q5*IFERROR((VLOOKUP(P5,Settings!$E$28:$F$33,2,FALSE)+1),1)</f>
        <v>20.750300333156286</v>
      </c>
      <c r="T5" s="57" cm="1">
        <f t="array" ref="T5">VLOOKUP(B5,'Player Data'!$A1:$AE673,8,FALSE)*$Q5*IFERROR((VLOOKUP(P5,Settings!$E$28:$F$33,2,FALSE)+1),1)</f>
        <v>61.76617456216502</v>
      </c>
      <c r="U5" s="57" cm="1">
        <f t="array" ref="U5">SUM(S5:T5)</f>
        <v>82.516474895321309</v>
      </c>
      <c r="V5" s="57" cm="1">
        <f t="array" ref="V5">VLOOKUP(B5,'Player Data'!$A1:$AE673,10,FALSE)*$Q5*IFERROR(((VLOOKUP(P5,Settings!$E$28:$F$33,2,FALSE)/2)+1),1)</f>
        <v>280.6171292014804</v>
      </c>
      <c r="W5" s="58" cm="1">
        <f t="array" ref="W5">VLOOKUP(B5,'Player Data'!$A1:$AE673,11,FALSE)*$Q5*IFERROR((VLOOKUP(P5,Settings!$E$28:$F$33,2,FALSE)+1),1)</f>
        <v>4.8036593000248748</v>
      </c>
      <c r="X5" s="57" cm="1">
        <f t="array" ref="X5">VLOOKUP(B5,'Player Data'!$A1:$AE673,12,FALSE)*$Q5*IFERROR((VLOOKUP(P5,Settings!$E$28:$F$33,2,FALSE)+1),1)</f>
        <v>25.401252598660804</v>
      </c>
      <c r="Y5" s="57" cm="1">
        <f t="array" ref="Y5">VLOOKUP(B5,'Player Data'!$A1:$AE673,13,FALSE)*$Q5</f>
        <v>0.26615479112183726</v>
      </c>
      <c r="Z5" s="57" cm="1">
        <f t="array" ref="Z5">VLOOKUP(B5,'Player Data'!$A1:$AE673,14,FALSE)*$Q5</f>
        <v>1.2396496841175946</v>
      </c>
      <c r="AA5" s="57" cm="1">
        <f t="array" ref="AA5">VLOOKUP(B5,'Player Data'!$A1:$AE673,15,FALSE)*$Q5</f>
        <v>118.49336813909846</v>
      </c>
      <c r="AB5" s="57" cm="1">
        <f t="array" ref="AB5">VLOOKUP(B5,'Player Data'!$A1:$AE673,16,FALSE)*$Q5</f>
        <v>36.110593139939937</v>
      </c>
      <c r="AC5" s="57" cm="1">
        <f t="array" ref="AC5">VLOOKUP(B5,'Player Data'!$A1:$AE673,17,FALSE)*$Q5*IFERROR((VLOOKUP(P5,Settings!$E$28:$F$33,2,FALSE)+1),1)</f>
        <v>5.0479075771191493</v>
      </c>
      <c r="AD5" s="57" cm="1">
        <f t="array" ref="AD5">VLOOKUP(B5,'Player Data'!$A1:$AE673,18,FALSE)*$Q5</f>
        <v>29.663439572426814</v>
      </c>
      <c r="AE5" s="57" cm="1">
        <f t="array" ref="AE5">VLOOKUP(B5,'Player Data'!$A1:$AE673,19,FALSE)*$Q5*IFERROR((VLOOKUP(P5,Settings!$E$28:$F$33,2,FALSE)+1),1)</f>
        <v>3.3437290561599893</v>
      </c>
      <c r="AF5" s="57" cm="1">
        <f t="array" ref="AF5">VLOOKUP(B5,'Player Data'!$A1:$AE673,20,FALSE)*$Q5</f>
        <v>0</v>
      </c>
      <c r="AG5" s="57" cm="1">
        <f t="array" ref="AG5">VLOOKUP(B5,'Player Data'!$A1:$AE673,21,FALSE)*$Q5</f>
        <v>0</v>
      </c>
      <c r="AH5" s="59" cm="1">
        <f t="array" ref="AH5">VLOOKUP(B5,'Player Data'!$A1:$AE673,22,FALSE)</f>
        <v>0</v>
      </c>
      <c r="AI5" s="55"/>
      <c r="AJ5" s="57"/>
      <c r="AK5" s="57"/>
      <c r="AL5" s="57"/>
      <c r="AM5" s="57"/>
      <c r="AN5" s="57"/>
      <c r="AO5" s="57"/>
      <c r="AP5" s="57"/>
      <c r="AQ5" s="60"/>
      <c r="AR5" s="61"/>
      <c r="AS5" s="55"/>
    </row>
    <row r="6" spans="1:45" ht="21.25" customHeight="1" x14ac:dyDescent="0.15">
      <c r="A6" s="62">
        <f t="shared" si="0"/>
        <v>5</v>
      </c>
      <c r="B6" s="10" t="s">
        <v>132</v>
      </c>
      <c r="C6" s="47" t="s">
        <v>128</v>
      </c>
      <c r="D6" s="48" t="str" cm="1">
        <f t="array" ref="D6">VLOOKUP(B6,'Player Data'!A1:D673,4,FALSE)</f>
        <v>D</v>
      </c>
      <c r="E6" s="68" cm="1">
        <f t="array" ref="E6">VLOOKUP(B6,D!A1:C204,3,FALSE)</f>
        <v>2</v>
      </c>
      <c r="F6" s="50" t="str" cm="1">
        <f t="array" ref="F6">VLOOKUP(B6,'Player Data'!A1:B673,2,FALSE)</f>
        <v>COL</v>
      </c>
      <c r="G6" s="11" cm="1">
        <f t="array" ref="G6">VLOOKUP(B6,'Player Data'!A1:D673,3,FALSE)</f>
        <v>27</v>
      </c>
      <c r="H6" s="67" cm="1">
        <f t="array" ref="H6">IFERROR(VLOOKUP(B6,ADP!A1:F671,6,FALSE)/1000000,VLOOKUP(B6,ADP!A1:F671,6,FALSE))</f>
        <v>9</v>
      </c>
      <c r="I6" s="52">
        <f>IF(Settings!$E$15="POINTS",((R6*Q6)*Settings!$B$12)+(S6*Settings!$B$2)+(T6*Settings!$B$3)+(U6*Settings!$B$4)+(V6*Settings!$B$5)+(X6*Settings!$B$9)+(AA6*Settings!$B$6)+(W6*Settings!$B$8)+(AB6*Settings!$B$7)+(AC6*Settings!$B$14)+(AD6*Settings!$B$15)+(AE6*Settings!$B$16)+(AF6*Settings!$B$17)+(AG6*Settings!$B$18)+(U6*Settings!$B$13)+(Y6*Settings!$B$10)+(Z6*Settings!$B$11),VLOOKUP(B6,'Standard Deviations'!A$1:C$672,3,FALSE))</f>
        <v>472.91509073890785</v>
      </c>
      <c r="J6" s="53" cm="1">
        <f t="array" ref="J6">IF(D6="G",I6/AJ6,I6/Q6)</f>
        <v>5.7663781830685306</v>
      </c>
      <c r="K6" s="52" cm="1">
        <f t="array" ref="K6">VLOOKUP(B6,D!A1:F204,6,FALSE)</f>
        <v>166.26122339431379</v>
      </c>
      <c r="L6" s="54" cm="1">
        <f t="array" ref="L6">IFERROR(K6/H6,"N/A")</f>
        <v>18.473469266034865</v>
      </c>
      <c r="M6" s="55">
        <v>7.3</v>
      </c>
      <c r="N6" s="55" cm="1">
        <f t="array" ref="N6">IFERROR(M6-A6,"N/A")</f>
        <v>2.2999999999999998</v>
      </c>
      <c r="O6" s="55"/>
      <c r="P6" s="56" t="str" cm="1">
        <f t="array" ref="P6">_xlfn.XLOOKUP($B6,ADP!A2:A671,ADP!G2:G671)</f>
        <v xml:space="preserve"> </v>
      </c>
      <c r="Q6" s="57" cm="1">
        <f t="array" ref="Q6">IF(Settings!$E$12="YES",VLOOKUP(B6,'Player Data'!A1:E673,5,FALSE),84)</f>
        <v>82.012500000000003</v>
      </c>
      <c r="R6" s="55" cm="1">
        <f t="array" ref="R6">VLOOKUP(B6,'Player Data'!$A1:$AE673,6,FALSE)</f>
        <v>25.340553881650202</v>
      </c>
      <c r="S6" s="57" cm="1">
        <f t="array" ref="S6">VLOOKUP(B6,'Player Data'!$A1:$AE673,7,FALSE)*$Q6*IFERROR((VLOOKUP(P6,Settings!$E$28:$F$33,2,FALSE)+1),1)</f>
        <v>22.405264909197737</v>
      </c>
      <c r="T6" s="57" cm="1">
        <f t="array" ref="T6">VLOOKUP(B6,'Player Data'!$A1:$AE673,8,FALSE)*$Q6*IFERROR((VLOOKUP(P6,Settings!$E$28:$F$33,2,FALSE)+1),1)</f>
        <v>63.842226360782362</v>
      </c>
      <c r="U6" s="57" cm="1">
        <f t="array" ref="U6">SUM(S6:T6)</f>
        <v>86.247491269980102</v>
      </c>
      <c r="V6" s="57" cm="1">
        <f t="array" ref="V6">VLOOKUP(B6,'Player Data'!$A1:$AE673,10,FALSE)*$Q6*IFERROR(((VLOOKUP(P6,Settings!$E$28:$F$33,2,FALSE)/2)+1),1)</f>
        <v>225.82523459795328</v>
      </c>
      <c r="W6" s="58" cm="1">
        <f t="array" ref="W6">VLOOKUP(B6,'Player Data'!$A1:$AE673,11,FALSE)*$Q6*IFERROR((VLOOKUP(P6,Settings!$E$28:$F$33,2,FALSE)+1),1)</f>
        <v>6.7499840575919636</v>
      </c>
      <c r="X6" s="57" cm="1">
        <f t="array" ref="X6">VLOOKUP(B6,'Player Data'!$A1:$AE673,12,FALSE)*$Q6*IFERROR((VLOOKUP(P6,Settings!$E$28:$F$33,2,FALSE)+1),1)</f>
        <v>33.651567943883016</v>
      </c>
      <c r="Y6" s="57" cm="1">
        <f t="array" ref="Y6">VLOOKUP(B6,'Player Data'!$A1:$AE673,13,FALSE)*$Q6</f>
        <v>0.61320822955056387</v>
      </c>
      <c r="Z6" s="57" cm="1">
        <f t="array" ref="Z6">VLOOKUP(B6,'Player Data'!$A1:$AE673,14,FALSE)*$Q6</f>
        <v>1.3811807568137795</v>
      </c>
      <c r="AA6" s="57" cm="1">
        <f t="array" ref="AA6">VLOOKUP(B6,'Player Data'!$A1:$AE673,15,FALSE)*$Q6</f>
        <v>132.45450185858817</v>
      </c>
      <c r="AB6" s="57" cm="1">
        <f t="array" ref="AB6">VLOOKUP(B6,'Player Data'!$A1:$AE673,16,FALSE)*$Q6</f>
        <v>51.6032431388875</v>
      </c>
      <c r="AC6" s="57" cm="1">
        <f t="array" ref="AC6">VLOOKUP(B6,'Player Data'!$A1:$AE673,17,FALSE)*$Q6*IFERROR((VLOOKUP(P6,Settings!$E$28:$F$33,2,FALSE)+1),1)</f>
        <v>9.7536399024995255</v>
      </c>
      <c r="AD6" s="57" cm="1">
        <f t="array" ref="AD6">VLOOKUP(B6,'Player Data'!$A1:$AE673,18,FALSE)*$Q6</f>
        <v>24.563486411978921</v>
      </c>
      <c r="AE6" s="57" cm="1">
        <f t="array" ref="AE6">VLOOKUP(B6,'Player Data'!$A1:$AE673,19,FALSE)*$Q6*IFERROR((VLOOKUP(P6,Settings!$E$28:$F$33,2,FALSE)+1),1)</f>
        <v>4.0438637829832471</v>
      </c>
      <c r="AF6" s="57" cm="1">
        <f t="array" ref="AF6">VLOOKUP(B6,'Player Data'!$A1:$AE673,20,FALSE)*$Q6</f>
        <v>0</v>
      </c>
      <c r="AG6" s="57" cm="1">
        <f t="array" ref="AG6">VLOOKUP(B6,'Player Data'!$A1:$AE673,21,FALSE)*$Q6</f>
        <v>0</v>
      </c>
      <c r="AH6" s="59" cm="1">
        <f t="array" ref="AH6">VLOOKUP(B6,'Player Data'!$A1:$AE673,22,FALSE)</f>
        <v>0</v>
      </c>
      <c r="AI6" s="55"/>
      <c r="AJ6" s="57"/>
      <c r="AK6" s="57"/>
      <c r="AL6" s="57"/>
      <c r="AM6" s="57"/>
      <c r="AN6" s="57"/>
      <c r="AO6" s="57"/>
      <c r="AP6" s="57"/>
      <c r="AQ6" s="60"/>
      <c r="AR6" s="61"/>
      <c r="AS6" s="55"/>
    </row>
    <row r="7" spans="1:45" ht="21.25" customHeight="1" x14ac:dyDescent="0.15">
      <c r="A7" s="62">
        <f t="shared" si="0"/>
        <v>6</v>
      </c>
      <c r="B7" s="10" t="s">
        <v>133</v>
      </c>
      <c r="C7" s="47" t="s">
        <v>128</v>
      </c>
      <c r="D7" s="48" t="str" cm="1">
        <f t="array" ref="D7">VLOOKUP(B7,'Player Data'!A1:D673,4,FALSE)</f>
        <v>D</v>
      </c>
      <c r="E7" s="68" cm="1">
        <f t="array" ref="E7">VLOOKUP(B7,D!A1:C204,3,FALSE)</f>
        <v>3</v>
      </c>
      <c r="F7" s="70" t="str" cm="1">
        <f t="array" ref="F7">VLOOKUP(B7,'Player Data'!A1:B673,2,FALSE)</f>
        <v>MIN</v>
      </c>
      <c r="G7" s="11" cm="1">
        <f t="array" ref="G7">VLOOKUP(B7,'Player Data'!A1:D673,3,FALSE)</f>
        <v>26</v>
      </c>
      <c r="H7" s="67" cm="1">
        <f t="array" ref="H7">IFERROR(VLOOKUP(B7,ADP!A1:F671,6,FALSE)/1000000,VLOOKUP(B7,ADP!A1:F671,6,FALSE))</f>
        <v>7.85</v>
      </c>
      <c r="I7" s="52">
        <f>IF(Settings!$E$15="POINTS",((R7*Q7)*Settings!$B$12)+(S7*Settings!$B$2)+(T7*Settings!$B$3)+(U7*Settings!$B$4)+(V7*Settings!$B$5)+(X7*Settings!$B$9)+(AA7*Settings!$B$6)+(W7*Settings!$B$8)+(AB7*Settings!$B$7)+(AC7*Settings!$B$14)+(AD7*Settings!$B$15)+(AE7*Settings!$B$16)+(AF7*Settings!$B$17)+(AG7*Settings!$B$18)+(U7*Settings!$B$13)+(Y7*Settings!$B$10)+(Z7*Settings!$B$11),VLOOKUP(B7,'Standard Deviations'!A$1:C$672,3,FALSE))</f>
        <v>467.76667831348607</v>
      </c>
      <c r="J7" s="53" cm="1">
        <f t="array" ref="J7">IF(D7="G",I7/AJ7,I7/Q7)</f>
        <v>5.7974428743073192</v>
      </c>
      <c r="K7" s="52" cm="1">
        <f t="array" ref="K7">VLOOKUP(B7,D!A1:F204,6,FALSE)</f>
        <v>161.11281096889201</v>
      </c>
      <c r="L7" s="54" cm="1">
        <f t="array" ref="L7">IFERROR(K7/H7,"N/A")</f>
        <v>20.523924964190066</v>
      </c>
      <c r="M7" s="55">
        <v>14.1</v>
      </c>
      <c r="N7" s="55" cm="1">
        <f t="array" ref="N7">IFERROR(M7-A7,"N/A")</f>
        <v>8.1</v>
      </c>
      <c r="O7" s="55"/>
      <c r="P7" s="56" t="str" cm="1">
        <f t="array" ref="P7">_xlfn.XLOOKUP($B7,ADP!A2:A671,ADP!G2:G671)</f>
        <v xml:space="preserve"> </v>
      </c>
      <c r="Q7" s="57" cm="1">
        <f t="array" ref="Q7">IF(Settings!$E$12="YES",VLOOKUP(B7,'Player Data'!A1:E673,5,FALSE),84)</f>
        <v>80.685000000000002</v>
      </c>
      <c r="R7" s="55" cm="1">
        <f t="array" ref="R7">VLOOKUP(B7,'Player Data'!$A1:$AE673,6,FALSE)</f>
        <v>27.680318884465699</v>
      </c>
      <c r="S7" s="57" cm="1">
        <f t="array" ref="S7">VLOOKUP(B7,'Player Data'!$A1:$AE673,7,FALSE)*$Q7*IFERROR((VLOOKUP(P7,Settings!$E$28:$F$33,2,FALSE)+1),1)</f>
        <v>14.957029786692013</v>
      </c>
      <c r="T7" s="57" cm="1">
        <f t="array" ref="T7">VLOOKUP(B7,'Player Data'!$A1:$AE673,8,FALSE)*$Q7*IFERROR((VLOOKUP(P7,Settings!$E$28:$F$33,2,FALSE)+1),1)</f>
        <v>76.335622820638534</v>
      </c>
      <c r="U7" s="57" cm="1">
        <f t="array" ref="U7">SUM(S7:T7)</f>
        <v>91.292652607330552</v>
      </c>
      <c r="V7" s="57" cm="1">
        <f t="array" ref="V7">VLOOKUP(B7,'Player Data'!$A1:$AE673,10,FALSE)*$Q7*IFERROR(((VLOOKUP(P7,Settings!$E$28:$F$33,2,FALSE)/2)+1),1)</f>
        <v>215.59359700163708</v>
      </c>
      <c r="W7" s="58" cm="1">
        <f t="array" ref="W7">VLOOKUP(B7,'Player Data'!$A1:$AE673,11,FALSE)*$Q7*IFERROR((VLOOKUP(P7,Settings!$E$28:$F$33,2,FALSE)+1),1)</f>
        <v>3.9226149897500107</v>
      </c>
      <c r="X7" s="57" cm="1">
        <f t="array" ref="X7">VLOOKUP(B7,'Player Data'!$A1:$AE673,12,FALSE)*$Q7*IFERROR((VLOOKUP(P7,Settings!$E$28:$F$33,2,FALSE)+1),1)</f>
        <v>37.135517742695576</v>
      </c>
      <c r="Y7" s="57" cm="1">
        <f t="array" ref="Y7">VLOOKUP(B7,'Player Data'!$A1:$AE673,13,FALSE)*$Q7</f>
        <v>2.2665571927244959E-3</v>
      </c>
      <c r="Z7" s="57" cm="1">
        <f t="array" ref="Z7">VLOOKUP(B7,'Player Data'!$A1:$AE673,14,FALSE)*$Q7</f>
        <v>7.7187972441530358E-3</v>
      </c>
      <c r="AA7" s="57" cm="1">
        <f t="array" ref="AA7">VLOOKUP(B7,'Player Data'!$A1:$AE673,15,FALSE)*$Q7</f>
        <v>97.89737090147247</v>
      </c>
      <c r="AB7" s="57" cm="1">
        <f t="array" ref="AB7">VLOOKUP(B7,'Player Data'!$A1:$AE673,16,FALSE)*$Q7</f>
        <v>20.681565951722305</v>
      </c>
      <c r="AC7" s="57" cm="1">
        <f t="array" ref="AC7">VLOOKUP(B7,'Player Data'!$A1:$AE673,17,FALSE)*$Q7*IFERROR((VLOOKUP(P7,Settings!$E$28:$F$33,2,FALSE)+1),1)</f>
        <v>6.1190977085158158</v>
      </c>
      <c r="AD7" s="57" cm="1">
        <f t="array" ref="AD7">VLOOKUP(B7,'Player Data'!$A1:$AE673,18,FALSE)*$Q7</f>
        <v>37.058214596375279</v>
      </c>
      <c r="AE7" s="57" cm="1">
        <f t="array" ref="AE7">VLOOKUP(B7,'Player Data'!$A1:$AE673,19,FALSE)*$Q7*IFERROR((VLOOKUP(P7,Settings!$E$28:$F$33,2,FALSE)+1),1)</f>
        <v>2.4362682422087363</v>
      </c>
      <c r="AF7" s="57" cm="1">
        <f t="array" ref="AF7">VLOOKUP(B7,'Player Data'!$A1:$AE673,20,FALSE)*$Q7</f>
        <v>1.2111669666712293E-12</v>
      </c>
      <c r="AG7" s="57" cm="1">
        <f t="array" ref="AG7">VLOOKUP(B7,'Player Data'!$A1:$AE673,21,FALSE)*$Q7</f>
        <v>3.0179942175919043E-5</v>
      </c>
      <c r="AH7" s="59" cm="1">
        <f t="array" ref="AH7">VLOOKUP(B7,'Player Data'!$A1:$AE673,22,FALSE)</f>
        <v>4.0131518841400003E-8</v>
      </c>
      <c r="AI7" s="55"/>
      <c r="AJ7" s="57"/>
      <c r="AK7" s="57"/>
      <c r="AL7" s="57"/>
      <c r="AM7" s="57"/>
      <c r="AN7" s="57"/>
      <c r="AO7" s="57"/>
      <c r="AP7" s="57"/>
      <c r="AQ7" s="60"/>
      <c r="AR7" s="61"/>
      <c r="AS7" s="55"/>
    </row>
    <row r="8" spans="1:45" ht="21.25" customHeight="1" x14ac:dyDescent="0.15">
      <c r="A8" s="62">
        <f t="shared" si="0"/>
        <v>7</v>
      </c>
      <c r="B8" s="10" t="s">
        <v>134</v>
      </c>
      <c r="C8" s="47" t="s">
        <v>128</v>
      </c>
      <c r="D8" s="48" t="str" cm="1">
        <f t="array" ref="D8">VLOOKUP(B8,'Player Data'!A1:D673,4,FALSE)</f>
        <v>C</v>
      </c>
      <c r="E8" s="49" cm="1">
        <f t="array" ref="E8">VLOOKUP(B8,'C'!A1:C210,3,FALSE)</f>
        <v>3</v>
      </c>
      <c r="F8" s="56" t="str" cm="1">
        <f t="array" ref="F8">VLOOKUP(B8,'Player Data'!A1:B673,2,FALSE)</f>
        <v>S.J</v>
      </c>
      <c r="G8" s="71" cm="1">
        <f t="array" ref="G8">VLOOKUP(B8,'Player Data'!A1:D673,3,FALSE)</f>
        <v>20</v>
      </c>
      <c r="H8" s="51" cm="1">
        <f t="array" ref="H8">IFERROR(VLOOKUP(B8,ADP!A1:F671,6,FALSE)/1000000,VLOOKUP(B8,ADP!A1:F671,6,FALSE))</f>
        <v>0.97499999999999998</v>
      </c>
      <c r="I8" s="52">
        <f>IF(Settings!$E$15="POINTS",((R8*Q8)*Settings!$B$12)+(S8*Settings!$B$2)+(T8*Settings!$B$3)+(U8*Settings!$B$4)+(V8*Settings!$B$5)+(X8*Settings!$B$9)+(AA8*Settings!$B$6)+(W8*Settings!$B$8)+(AB8*Settings!$B$7)+(AC8*Settings!$B$14)+(AD8*Settings!$B$15)+(AE8*Settings!$B$16)+(AF8*Settings!$B$17)+(AG8*Settings!$B$18)+(Y8*Settings!$B$10)+(Z8*Settings!$B$11),VLOOKUP(B8,'Standard Deviations'!A$1:C$672,3,FALSE))</f>
        <v>545.68359017702312</v>
      </c>
      <c r="J8" s="53" cm="1">
        <f t="array" ref="J8">IF(D8="G",I8/AJ8,I8/Q8)</f>
        <v>6.672579972817597</v>
      </c>
      <c r="K8" s="52" cm="1">
        <f t="array" ref="K8">IF(Settings!$E$18="C/LW/RW",VLOOKUP(B8,'C'!A1:F210,6,FALSE),VLOOKUP(B8,F!A1:F407,6,FALSE))</f>
        <v>159.14838378394012</v>
      </c>
      <c r="L8" s="54" cm="1">
        <f t="array" ref="L8">IFERROR(K8/H8,"N/A")</f>
        <v>163.22911157327192</v>
      </c>
      <c r="M8" s="55">
        <v>7.4</v>
      </c>
      <c r="N8" s="55" cm="1">
        <f t="array" ref="N8">IFERROR(M8-A8,"N/A")</f>
        <v>0.40000000000000036</v>
      </c>
      <c r="O8" s="55"/>
      <c r="P8" s="56" t="str" cm="1">
        <f t="array" ref="P8">_xlfn.XLOOKUP($B8,ADP!A2:A671,ADP!G2:G671)</f>
        <v>+</v>
      </c>
      <c r="Q8" s="57" cm="1">
        <f t="array" ref="Q8">IF(Settings!$E$12="YES",VLOOKUP(B8,'Player Data'!A1:E673,5,FALSE),84)</f>
        <v>81.78</v>
      </c>
      <c r="R8" s="55" cm="1">
        <f t="array" ref="R8">VLOOKUP(B8,'Player Data'!$A1:$AE673,6,FALSE)</f>
        <v>21.436660318216401</v>
      </c>
      <c r="S8" s="57" cm="1">
        <f t="array" ref="S8">VLOOKUP(B8,'Player Data'!$A1:$AE673,7,FALSE)*$Q8*IFERROR((VLOOKUP(P8,Settings!$E$28:$F$33,2,FALSE)+1),1)</f>
        <v>43.93628095076744</v>
      </c>
      <c r="T8" s="57" cm="1">
        <f t="array" ref="T8">VLOOKUP(B8,'Player Data'!$A1:$AE673,8,FALSE)*$Q8*IFERROR((VLOOKUP(P8,Settings!$E$28:$F$33,2,FALSE)+1),1)</f>
        <v>68.058691193686897</v>
      </c>
      <c r="U8" s="57" cm="1">
        <f t="array" ref="U8">SUM(S8:T8)</f>
        <v>111.99497214445434</v>
      </c>
      <c r="V8" s="57" cm="1">
        <f t="array" ref="V8">VLOOKUP(B8,'Player Data'!$A1:$AE673,10,FALSE)*$Q8*IFERROR(((VLOOKUP(P8,Settings!$E$28:$F$33,2,FALSE)/2)+1),1)</f>
        <v>294.82596792337029</v>
      </c>
      <c r="W8" s="58" cm="1">
        <f t="array" ref="W8">VLOOKUP(B8,'Player Data'!$A1:$AE673,11,FALSE)*$Q8*IFERROR((VLOOKUP(P8,Settings!$E$28:$F$33,2,FALSE)+1),1)</f>
        <v>10.251961720244276</v>
      </c>
      <c r="X8" s="57" cm="1">
        <f t="array" ref="X8">VLOOKUP(B8,'Player Data'!$A1:$AE673,12,FALSE)*$Q8*IFERROR((VLOOKUP(P8,Settings!$E$28:$F$33,2,FALSE)+1),1)</f>
        <v>34.368268616240634</v>
      </c>
      <c r="Y8" s="57" cm="1">
        <f t="array" ref="Y8">VLOOKUP(B8,'Player Data'!$A1:$AE673,13,FALSE)*$Q8</f>
        <v>8.9356313917102817E-2</v>
      </c>
      <c r="Z8" s="57" cm="1">
        <f t="array" ref="Z8">VLOOKUP(B8,'Player Data'!$A1:$AE673,14,FALSE)*$Q8</f>
        <v>0.1450862869733977</v>
      </c>
      <c r="AA8" s="57" cm="1">
        <f t="array" ref="AA8">VLOOKUP(B8,'Player Data'!$A1:$AE673,15,FALSE)*$Q8</f>
        <v>55.544669757521987</v>
      </c>
      <c r="AB8" s="57" cm="1">
        <f t="array" ref="AB8">VLOOKUP(B8,'Player Data'!$A1:$AE673,16,FALSE)*$Q8</f>
        <v>52.644231742397544</v>
      </c>
      <c r="AC8" s="57" cm="1">
        <f t="array" ref="AC8">VLOOKUP(B8,'Player Data'!$A1:$AE673,17,FALSE)*$Q8*IFERROR((VLOOKUP(P8,Settings!$E$28:$F$33,2,FALSE)+1),1)</f>
        <v>-1.2013090404691578</v>
      </c>
      <c r="AD8" s="57" cm="1">
        <f t="array" ref="AD8">VLOOKUP(B8,'Player Data'!$A1:$AE673,18,FALSE)*$Q8</f>
        <v>41.802103351804661</v>
      </c>
      <c r="AE8" s="57" cm="1">
        <f t="array" ref="AE8">VLOOKUP(B8,'Player Data'!$A1:$AE673,19,FALSE)*$Q8*IFERROR((VLOOKUP(P8,Settings!$E$28:$F$33,2,FALSE)+1),1)</f>
        <v>6.1435898878330706</v>
      </c>
      <c r="AF8" s="57" cm="1">
        <f t="array" ref="AF8">VLOOKUP(B8,'Player Data'!$A1:$AE673,20,FALSE)*$Q8</f>
        <v>627.28632594389899</v>
      </c>
      <c r="AG8" s="57" cm="1">
        <f t="array" ref="AG8">VLOOKUP(B8,'Player Data'!$A1:$AE673,21,FALSE)*$Q8</f>
        <v>667.13943843089442</v>
      </c>
      <c r="AH8" s="59" cm="1">
        <f t="array" ref="AH8">VLOOKUP(B8,'Player Data'!$A1:$AE673,22,FALSE)</f>
        <v>0.48460587173717001</v>
      </c>
      <c r="AI8" s="55"/>
      <c r="AJ8" s="57"/>
      <c r="AK8" s="57"/>
      <c r="AL8" s="57"/>
      <c r="AM8" s="57"/>
      <c r="AN8" s="57"/>
      <c r="AO8" s="57"/>
      <c r="AP8" s="57"/>
      <c r="AQ8" s="60"/>
      <c r="AR8" s="61"/>
      <c r="AS8" s="55"/>
    </row>
    <row r="9" spans="1:45" ht="21.25" customHeight="1" x14ac:dyDescent="0.15">
      <c r="A9" s="62">
        <f t="shared" si="0"/>
        <v>8</v>
      </c>
      <c r="B9" s="10" t="s">
        <v>135</v>
      </c>
      <c r="C9" s="47" t="s">
        <v>128</v>
      </c>
      <c r="D9" s="48" t="str" cm="1">
        <f t="array" ref="D9">VLOOKUP(B9,'Player Data'!A1:D673,4,FALSE)</f>
        <v>D</v>
      </c>
      <c r="E9" s="68" cm="1">
        <f t="array" ref="E9">VLOOKUP(B9,D!A1:C204,3,FALSE)</f>
        <v>4</v>
      </c>
      <c r="F9" s="63" t="str" cm="1">
        <f t="array" ref="F9">VLOOKUP(B9,'Player Data'!A1:B673,2,FALSE)</f>
        <v>EDM</v>
      </c>
      <c r="G9" s="11" cm="1">
        <f t="array" ref="G9">VLOOKUP(B9,'Player Data'!A1:D673,3,FALSE)</f>
        <v>26</v>
      </c>
      <c r="H9" s="51" cm="1">
        <f t="array" ref="H9">IFERROR(VLOOKUP(B9,ADP!A1:F671,6,FALSE)/1000000,VLOOKUP(B9,ADP!A1:F671,6,FALSE))</f>
        <v>10.5</v>
      </c>
      <c r="I9" s="52">
        <f>IF(Settings!$E$15="POINTS",((R9*Q9)*Settings!$B$12)+(S9*Settings!$B$2)+(T9*Settings!$B$3)+(U9*Settings!$B$4)+(V9*Settings!$B$5)+(X9*Settings!$B$9)+(AA9*Settings!$B$6)+(W9*Settings!$B$8)+(AB9*Settings!$B$7)+(AC9*Settings!$B$14)+(AD9*Settings!$B$15)+(AE9*Settings!$B$16)+(AF9*Settings!$B$17)+(AG9*Settings!$B$18)+(U9*Settings!$B$13)+(Y9*Settings!$B$10)+(Z9*Settings!$B$11),VLOOKUP(B9,'Standard Deviations'!A$1:C$672,3,FALSE))</f>
        <v>460.06211148130308</v>
      </c>
      <c r="J9" s="53" cm="1">
        <f t="array" ref="J9">IF(D9="G",I9/AJ9,I9/Q9)</f>
        <v>5.4814978134314671</v>
      </c>
      <c r="K9" s="52" cm="1">
        <f t="array" ref="K9">VLOOKUP(B9,D!A1:F204,6,FALSE)</f>
        <v>153.40824413670902</v>
      </c>
      <c r="L9" s="54" cm="1">
        <f t="array" ref="L9">IFERROR(K9/H9,"N/A")</f>
        <v>14.610308965400858</v>
      </c>
      <c r="M9" s="55">
        <v>18.899999999999999</v>
      </c>
      <c r="N9" s="55" cm="1">
        <f t="array" ref="N9">IFERROR(M9-A9,"N/A")</f>
        <v>10.899999999999999</v>
      </c>
      <c r="O9" s="55"/>
      <c r="P9" s="56" t="str" cm="1">
        <f t="array" ref="P9">_xlfn.XLOOKUP($B9,ADP!A2:A671,ADP!G2:G671)</f>
        <v xml:space="preserve"> </v>
      </c>
      <c r="Q9" s="57" cm="1">
        <f t="array" ref="Q9">IF(Settings!$E$12="YES",VLOOKUP(B9,'Player Data'!A1:E673,5,FALSE),84)</f>
        <v>83.93</v>
      </c>
      <c r="R9" s="55" cm="1">
        <f t="array" ref="R9">VLOOKUP(B9,'Player Data'!$A1:$AE673,6,FALSE)</f>
        <v>24.881286004192098</v>
      </c>
      <c r="S9" s="57" cm="1">
        <f t="array" ref="S9">VLOOKUP(B9,'Player Data'!$A1:$AE673,7,FALSE)*$Q9*IFERROR((VLOOKUP(P9,Settings!$E$28:$F$33,2,FALSE)+1),1)</f>
        <v>17.791345486977136</v>
      </c>
      <c r="T9" s="57" cm="1">
        <f t="array" ref="T9">VLOOKUP(B9,'Player Data'!$A1:$AE673,8,FALSE)*$Q9*IFERROR((VLOOKUP(P9,Settings!$E$28:$F$33,2,FALSE)+1),1)</f>
        <v>66.285485463756288</v>
      </c>
      <c r="U9" s="57" cm="1">
        <f t="array" ref="U9">SUM(S9:T9)</f>
        <v>84.076830950733424</v>
      </c>
      <c r="V9" s="57" cm="1">
        <f t="array" ref="V9">VLOOKUP(B9,'Player Data'!$A1:$AE673,10,FALSE)*$Q9*IFERROR(((VLOOKUP(P9,Settings!$E$28:$F$33,2,FALSE)/2)+1),1)</f>
        <v>228.3196345505178</v>
      </c>
      <c r="W9" s="58" cm="1">
        <f t="array" ref="W9">VLOOKUP(B9,'Player Data'!$A1:$AE673,11,FALSE)*$Q9*IFERROR((VLOOKUP(P9,Settings!$E$28:$F$33,2,FALSE)+1),1)</f>
        <v>6.2614826436410764</v>
      </c>
      <c r="X9" s="57" cm="1">
        <f t="array" ref="X9">VLOOKUP(B9,'Player Data'!$A1:$AE673,12,FALSE)*$Q9*IFERROR((VLOOKUP(P9,Settings!$E$28:$F$33,2,FALSE)+1),1)</f>
        <v>34.714847447421981</v>
      </c>
      <c r="Y9" s="57" cm="1">
        <f t="array" ref="Y9">VLOOKUP(B9,'Player Data'!$A1:$AE673,13,FALSE)*$Q9</f>
        <v>2.4294483435260261E-2</v>
      </c>
      <c r="Z9" s="57" cm="1">
        <f t="array" ref="Z9">VLOOKUP(B9,'Player Data'!$A1:$AE673,14,FALSE)*$Q9</f>
        <v>1.4880523653577302</v>
      </c>
      <c r="AA9" s="57" cm="1">
        <f t="array" ref="AA9">VLOOKUP(B9,'Player Data'!$A1:$AE673,15,FALSE)*$Q9</f>
        <v>114.93780308212848</v>
      </c>
      <c r="AB9" s="57" cm="1">
        <f t="array" ref="AB9">VLOOKUP(B9,'Player Data'!$A1:$AE673,16,FALSE)*$Q9</f>
        <v>43.681327848682606</v>
      </c>
      <c r="AC9" s="57" cm="1">
        <f t="array" ref="AC9">VLOOKUP(B9,'Player Data'!$A1:$AE673,17,FALSE)*$Q9*IFERROR((VLOOKUP(P9,Settings!$E$28:$F$33,2,FALSE)+1),1)</f>
        <v>9.4691577298284297</v>
      </c>
      <c r="AD9" s="57" cm="1">
        <f t="array" ref="AD9">VLOOKUP(B9,'Player Data'!$A1:$AE673,18,FALSE)*$Q9</f>
        <v>35.708215680452078</v>
      </c>
      <c r="AE9" s="57" cm="1">
        <f t="array" ref="AE9">VLOOKUP(B9,'Player Data'!$A1:$AE673,19,FALSE)*$Q9*IFERROR((VLOOKUP(P9,Settings!$E$28:$F$33,2,FALSE)+1),1)</f>
        <v>3.1231204402328738</v>
      </c>
      <c r="AF9" s="57" cm="1">
        <f t="array" ref="AF9">VLOOKUP(B9,'Player Data'!$A1:$AE673,20,FALSE)*$Q9</f>
        <v>0</v>
      </c>
      <c r="AG9" s="57" cm="1">
        <f t="array" ref="AG9">VLOOKUP(B9,'Player Data'!$A1:$AE673,21,FALSE)*$Q9</f>
        <v>0</v>
      </c>
      <c r="AH9" s="59" cm="1">
        <f t="array" ref="AH9">VLOOKUP(B9,'Player Data'!$A1:$AE673,22,FALSE)</f>
        <v>0</v>
      </c>
      <c r="AI9" s="55"/>
      <c r="AJ9" s="57"/>
      <c r="AK9" s="57"/>
      <c r="AL9" s="57"/>
      <c r="AM9" s="57"/>
      <c r="AN9" s="57"/>
      <c r="AO9" s="57"/>
      <c r="AP9" s="57"/>
      <c r="AQ9" s="60"/>
      <c r="AR9" s="61"/>
      <c r="AS9" s="55"/>
    </row>
    <row r="10" spans="1:45" ht="21.25" customHeight="1" x14ac:dyDescent="0.15">
      <c r="A10" s="62">
        <f t="shared" si="0"/>
        <v>9</v>
      </c>
      <c r="B10" s="10" t="s">
        <v>136</v>
      </c>
      <c r="C10" s="47" t="s">
        <v>128</v>
      </c>
      <c r="D10" s="48" t="str" cm="1">
        <f t="array" ref="D10">VLOOKUP(B10,'Player Data'!A1:D673,4,FALSE)</f>
        <v>RW</v>
      </c>
      <c r="E10" s="64" cm="1">
        <f t="array" ref="E10">VLOOKUP(B10,RW!A1:F210,3,FALSE)</f>
        <v>2</v>
      </c>
      <c r="F10" s="72" t="str" cm="1">
        <f t="array" ref="F10">VLOOKUP(B10,'Player Data'!A1:B673,2,FALSE)</f>
        <v>BOS</v>
      </c>
      <c r="G10" s="11" cm="1">
        <f t="array" ref="G10">VLOOKUP(B10,'Player Data'!A1:D673,3,FALSE)</f>
        <v>30</v>
      </c>
      <c r="H10" s="51" cm="1">
        <f t="array" ref="H10">IFERROR(VLOOKUP(B10,ADP!A1:F671,6,FALSE)/1000000,VLOOKUP(B10,ADP!A1:F671,6,FALSE))</f>
        <v>11.25</v>
      </c>
      <c r="I10" s="52">
        <f>IF(Settings!$E$15="POINTS",((R10*Q10)*Settings!$B$12)+(S10*Settings!$B$2)+(T10*Settings!$B$3)+(U10*Settings!$B$4)+(V10*Settings!$B$5)+(X10*Settings!$B$9)+(AA10*Settings!$B$6)+(W10*Settings!$B$8)+(AB10*Settings!$B$7)+(AC10*Settings!$B$14)+(AD10*Settings!$B$15)+(AE10*Settings!$B$16)+(AF10*Settings!$B$17)+(AG10*Settings!$B$18)+(Y10*Settings!$B$10)+(Z10*Settings!$B$11),VLOOKUP(B10,'Standard Deviations'!A$1:C$672,3,FALSE))</f>
        <v>513.56769092086074</v>
      </c>
      <c r="J10" s="53" cm="1">
        <f t="array" ref="J10">IF(D10="G",I10/AJ10,I10/Q10)</f>
        <v>6.1769575237797847</v>
      </c>
      <c r="K10" s="52" cm="1">
        <f t="array" ref="K10">IF(Settings!$E$18="C/LW/RW",VLOOKUP(B10,RW!A1:F210,6,FALSE),VLOOKUP(B10,F!A1:F407,6,FALSE))</f>
        <v>118.62422622730327</v>
      </c>
      <c r="L10" s="54" cm="1">
        <f t="array" ref="L10">IFERROR(K10/H10,"N/A")</f>
        <v>10.544375664649179</v>
      </c>
      <c r="M10" s="55">
        <v>9.5</v>
      </c>
      <c r="N10" s="55" cm="1">
        <f t="array" ref="N10">IFERROR(M10-A10,"N/A")</f>
        <v>0.5</v>
      </c>
      <c r="O10" s="55"/>
      <c r="P10" s="56" t="str" cm="1">
        <f t="array" ref="P10">_xlfn.XLOOKUP($B10,ADP!A2:A671,ADP!G2:G671)</f>
        <v xml:space="preserve"> </v>
      </c>
      <c r="Q10" s="57" cm="1">
        <f t="array" ref="Q10">IF(Settings!$E$12="YES",VLOOKUP(B10,'Player Data'!A1:E673,5,FALSE),84)</f>
        <v>83.142499999999998</v>
      </c>
      <c r="R10" s="55" cm="1">
        <f t="array" ref="R10">VLOOKUP(B10,'Player Data'!$A1:$AE673,6,FALSE)</f>
        <v>20.6078497051314</v>
      </c>
      <c r="S10" s="57" cm="1">
        <f t="array" ref="S10">VLOOKUP(B10,'Player Data'!$A1:$AE673,7,FALSE)*$Q10*IFERROR((VLOOKUP(P10,Settings!$E$28:$F$33,2,FALSE)+1),1)</f>
        <v>37.158117261655939</v>
      </c>
      <c r="T10" s="57" cm="1">
        <f t="array" ref="T10">VLOOKUP(B10,'Player Data'!$A1:$AE673,8,FALSE)*$Q10*IFERROR((VLOOKUP(P10,Settings!$E$28:$F$33,2,FALSE)+1),1)</f>
        <v>67.798348796091787</v>
      </c>
      <c r="U10" s="57" cm="1">
        <f t="array" ref="U10">SUM(S10:T10)</f>
        <v>104.95646605774772</v>
      </c>
      <c r="V10" s="57" cm="1">
        <f t="array" ref="V10">VLOOKUP(B10,'Player Data'!$A1:$AE673,10,FALSE)*$Q10*IFERROR(((VLOOKUP(P10,Settings!$E$28:$F$33,2,FALSE)/2)+1),1)</f>
        <v>304.3101402328578</v>
      </c>
      <c r="W10" s="58" cm="1">
        <f t="array" ref="W10">VLOOKUP(B10,'Player Data'!$A1:$AE673,11,FALSE)*$Q10*IFERROR((VLOOKUP(P10,Settings!$E$28:$F$33,2,FALSE)+1),1)</f>
        <v>9.6793504652265945</v>
      </c>
      <c r="X10" s="57" cm="1">
        <f t="array" ref="X10">VLOOKUP(B10,'Player Data'!$A1:$AE673,12,FALSE)*$Q10*IFERROR((VLOOKUP(P10,Settings!$E$28:$F$33,2,FALSE)+1),1)</f>
        <v>30.278129657080083</v>
      </c>
      <c r="Y10" s="57" cm="1">
        <f t="array" ref="Y10">VLOOKUP(B10,'Player Data'!$A1:$AE673,13,FALSE)*$Q10</f>
        <v>1.1717847306098405E-2</v>
      </c>
      <c r="Z10" s="57" cm="1">
        <f t="array" ref="Z10">VLOOKUP(B10,'Player Data'!$A1:$AE673,14,FALSE)*$Q10</f>
        <v>1.939396087742145E-2</v>
      </c>
      <c r="AA10" s="57" cm="1">
        <f t="array" ref="AA10">VLOOKUP(B10,'Player Data'!$A1:$AE673,15,FALSE)*$Q10</f>
        <v>32.49139802646225</v>
      </c>
      <c r="AB10" s="57" cm="1">
        <f t="array" ref="AB10">VLOOKUP(B10,'Player Data'!$A1:$AE673,16,FALSE)*$Q10</f>
        <v>80.488359953322572</v>
      </c>
      <c r="AC10" s="57" cm="1">
        <f t="array" ref="AC10">VLOOKUP(B10,'Player Data'!$A1:$AE673,17,FALSE)*$Q10*IFERROR((VLOOKUP(P10,Settings!$E$28:$F$33,2,FALSE)+1),1)</f>
        <v>0.9123589597593651</v>
      </c>
      <c r="AD10" s="57" cm="1">
        <f t="array" ref="AD10">VLOOKUP(B10,'Player Data'!$A1:$AE673,18,FALSE)*$Q10</f>
        <v>46.392896801660363</v>
      </c>
      <c r="AE10" s="57" cm="1">
        <f t="array" ref="AE10">VLOOKUP(B10,'Player Data'!$A1:$AE673,19,FALSE)*$Q10*IFERROR((VLOOKUP(P10,Settings!$E$28:$F$33,2,FALSE)+1),1)</f>
        <v>5.0022881904891081</v>
      </c>
      <c r="AF10" s="57" cm="1">
        <f t="array" ref="AF10">VLOOKUP(B10,'Player Data'!$A1:$AE673,20,FALSE)*$Q10</f>
        <v>3.5672589485339463</v>
      </c>
      <c r="AG10" s="57" cm="1">
        <f t="array" ref="AG10">VLOOKUP(B10,'Player Data'!$A1:$AE673,21,FALSE)*$Q10</f>
        <v>8.2104787129249974</v>
      </c>
      <c r="AH10" s="59" cm="1">
        <f t="array" ref="AH10">VLOOKUP(B10,'Player Data'!$A1:$AE673,22,FALSE)</f>
        <v>0.30288150840779199</v>
      </c>
      <c r="AI10" s="55"/>
      <c r="AJ10" s="57"/>
      <c r="AK10" s="57"/>
      <c r="AL10" s="57"/>
      <c r="AM10" s="57"/>
      <c r="AN10" s="57"/>
      <c r="AO10" s="57"/>
      <c r="AP10" s="57"/>
      <c r="AQ10" s="60"/>
      <c r="AR10" s="61"/>
      <c r="AS10" s="55"/>
    </row>
    <row r="11" spans="1:45" ht="21.25" customHeight="1" x14ac:dyDescent="0.15">
      <c r="A11" s="62">
        <f t="shared" si="0"/>
        <v>10</v>
      </c>
      <c r="B11" s="10" t="s">
        <v>137</v>
      </c>
      <c r="C11" s="47" t="s">
        <v>128</v>
      </c>
      <c r="D11" s="48" t="str" cm="1">
        <f t="array" ref="D11">VLOOKUP(B11,'Player Data'!A1:D673,4,FALSE)</f>
        <v>D</v>
      </c>
      <c r="E11" s="68" cm="1">
        <f t="array" ref="E11">VLOOKUP(B11,D!A1:C204,3,FALSE)</f>
        <v>5</v>
      </c>
      <c r="F11" s="73" t="str" cm="1">
        <f t="array" ref="F11">VLOOKUP(B11,'Player Data'!A1:B673,2,FALSE)</f>
        <v>BUF</v>
      </c>
      <c r="G11" s="11" cm="1">
        <f t="array" ref="G11">VLOOKUP(B11,'Player Data'!A1:D673,3,FALSE)</f>
        <v>26</v>
      </c>
      <c r="H11" s="51" cm="1">
        <f t="array" ref="H11">IFERROR(VLOOKUP(B11,ADP!A1:F671,6,FALSE)/1000000,VLOOKUP(B11,ADP!A1:F671,6,FALSE))</f>
        <v>11</v>
      </c>
      <c r="I11" s="52">
        <f>IF(Settings!$E$15="POINTS",((R11*Q11)*Settings!$B$12)+(S11*Settings!$B$2)+(T11*Settings!$B$3)+(U11*Settings!$B$4)+(V11*Settings!$B$5)+(X11*Settings!$B$9)+(AA11*Settings!$B$6)+(W11*Settings!$B$8)+(AB11*Settings!$B$7)+(AC11*Settings!$B$14)+(AD11*Settings!$B$15)+(AE11*Settings!$B$16)+(AF11*Settings!$B$17)+(AG11*Settings!$B$18)+(U11*Settings!$B$13)+(Y11*Settings!$B$10)+(Z11*Settings!$B$11),VLOOKUP(B11,'Standard Deviations'!A$1:C$672,3,FALSE))</f>
        <v>417.35021706558393</v>
      </c>
      <c r="J11" s="53" cm="1">
        <f t="array" ref="J11">IF(D11="G",I11/AJ11,I11/Q11)</f>
        <v>5.1464358723174541</v>
      </c>
      <c r="K11" s="52" cm="1">
        <f t="array" ref="K11">VLOOKUP(B11,D!A1:F204,6,FALSE)</f>
        <v>110.69634972098987</v>
      </c>
      <c r="L11" s="54" cm="1">
        <f t="array" ref="L11">IFERROR(K11/H11,"N/A")</f>
        <v>10.063304520089988</v>
      </c>
      <c r="M11" s="55">
        <v>35.799999999999997</v>
      </c>
      <c r="N11" s="55" cm="1">
        <f t="array" ref="N11">IFERROR(M11-A11,"N/A")</f>
        <v>25.799999999999997</v>
      </c>
      <c r="O11" s="55"/>
      <c r="P11" s="56" t="str" cm="1">
        <f t="array" ref="P11">_xlfn.XLOOKUP($B11,ADP!A2:A671,ADP!G2:G671)</f>
        <v>+ +</v>
      </c>
      <c r="Q11" s="57" cm="1">
        <f t="array" ref="Q11">IF(Settings!$E$12="YES",VLOOKUP(B11,'Player Data'!A1:E673,5,FALSE),84)</f>
        <v>81.094999999999999</v>
      </c>
      <c r="R11" s="55" cm="1">
        <f t="array" ref="R11">VLOOKUP(B11,'Player Data'!$A1:$AE673,6,FALSE)</f>
        <v>24.2439869964068</v>
      </c>
      <c r="S11" s="57" cm="1">
        <f t="array" ref="S11">VLOOKUP(B11,'Player Data'!$A1:$AE673,7,FALSE)*$Q11*IFERROR((VLOOKUP(P11,Settings!$E$28:$F$33,2,FALSE)+1),1)</f>
        <v>21.516514571000638</v>
      </c>
      <c r="T11" s="57" cm="1">
        <f t="array" ref="T11">VLOOKUP(B11,'Player Data'!$A1:$AE673,8,FALSE)*$Q11*IFERROR((VLOOKUP(P11,Settings!$E$28:$F$33,2,FALSE)+1),1)</f>
        <v>56.048979209261475</v>
      </c>
      <c r="U11" s="57" cm="1">
        <f t="array" ref="U11">SUM(S11:T11)</f>
        <v>77.565493780262116</v>
      </c>
      <c r="V11" s="57" cm="1">
        <f t="array" ref="V11">VLOOKUP(B11,'Player Data'!$A1:$AE673,10,FALSE)*$Q11*IFERROR(((VLOOKUP(P11,Settings!$E$28:$F$33,2,FALSE)/2)+1),1)</f>
        <v>219.17515902074484</v>
      </c>
      <c r="W11" s="58" cm="1">
        <f t="array" ref="W11">VLOOKUP(B11,'Player Data'!$A1:$AE673,11,FALSE)*$Q11*IFERROR((VLOOKUP(P11,Settings!$E$28:$F$33,2,FALSE)+1),1)</f>
        <v>6.9001098533731602</v>
      </c>
      <c r="X11" s="57" cm="1">
        <f t="array" ref="X11">VLOOKUP(B11,'Player Data'!$A1:$AE673,12,FALSE)*$Q11*IFERROR((VLOOKUP(P11,Settings!$E$28:$F$33,2,FALSE)+1),1)</f>
        <v>24.617379620043899</v>
      </c>
      <c r="Y11" s="57" cm="1">
        <f t="array" ref="Y11">VLOOKUP(B11,'Player Data'!$A1:$AE673,13,FALSE)*$Q11</f>
        <v>2.6737517136933682E-2</v>
      </c>
      <c r="Z11" s="57" cm="1">
        <f t="array" ref="Z11">VLOOKUP(B11,'Player Data'!$A1:$AE673,14,FALSE)*$Q11</f>
        <v>0.34697773713879199</v>
      </c>
      <c r="AA11" s="57" cm="1">
        <f t="array" ref="AA11">VLOOKUP(B11,'Player Data'!$A1:$AE673,15,FALSE)*$Q11</f>
        <v>100.20359771448499</v>
      </c>
      <c r="AB11" s="57" cm="1">
        <f t="array" ref="AB11">VLOOKUP(B11,'Player Data'!$A1:$AE673,16,FALSE)*$Q11</f>
        <v>84.287848685473236</v>
      </c>
      <c r="AC11" s="57" cm="1">
        <f t="array" ref="AC11">VLOOKUP(B11,'Player Data'!$A1:$AE673,17,FALSE)*$Q11*IFERROR((VLOOKUP(P11,Settings!$E$28:$F$33,2,FALSE)+1),1)</f>
        <v>5.5802227750830999</v>
      </c>
      <c r="AD11" s="57" cm="1">
        <f t="array" ref="AD11">VLOOKUP(B11,'Player Data'!$A1:$AE673,18,FALSE)*$Q11</f>
        <v>60.92622664177572</v>
      </c>
      <c r="AE11" s="57" cm="1">
        <f t="array" ref="AE11">VLOOKUP(B11,'Player Data'!$A1:$AE673,19,FALSE)*$Q11*IFERROR((VLOOKUP(P11,Settings!$E$28:$F$33,2,FALSE)+1),1)</f>
        <v>3.2440444744913006</v>
      </c>
      <c r="AF11" s="57" cm="1">
        <f t="array" ref="AF11">VLOOKUP(B11,'Player Data'!$A1:$AE673,20,FALSE)*$Q11</f>
        <v>0</v>
      </c>
      <c r="AG11" s="57" cm="1">
        <f t="array" ref="AG11">VLOOKUP(B11,'Player Data'!$A1:$AE673,21,FALSE)*$Q11</f>
        <v>0</v>
      </c>
      <c r="AH11" s="59" cm="1">
        <f t="array" ref="AH11">VLOOKUP(B11,'Player Data'!$A1:$AE673,22,FALSE)</f>
        <v>0</v>
      </c>
      <c r="AI11" s="55"/>
      <c r="AJ11" s="57"/>
      <c r="AK11" s="57"/>
      <c r="AL11" s="57"/>
      <c r="AM11" s="57"/>
      <c r="AN11" s="57"/>
      <c r="AO11" s="57"/>
      <c r="AP11" s="57"/>
      <c r="AQ11" s="60"/>
      <c r="AR11" s="61"/>
      <c r="AS11" s="55"/>
    </row>
    <row r="12" spans="1:45" ht="21.25" customHeight="1" x14ac:dyDescent="0.15">
      <c r="A12" s="62">
        <f t="shared" si="0"/>
        <v>11</v>
      </c>
      <c r="B12" s="10" t="s">
        <v>138</v>
      </c>
      <c r="C12" s="47" t="s">
        <v>128</v>
      </c>
      <c r="D12" s="48" t="str" cm="1">
        <f t="array" ref="D12">VLOOKUP(B12,'Player Data'!A1:D673,4,FALSE)</f>
        <v>C,LW</v>
      </c>
      <c r="E12" s="74" cm="1">
        <f t="array" ref="E12">VLOOKUP(B12,LW!A1:C210,3,FALSE)</f>
        <v>1</v>
      </c>
      <c r="F12" s="63" t="str" cm="1">
        <f t="array" ref="F12">VLOOKUP(B12,'Player Data'!A1:B673,2,FALSE)</f>
        <v>EDM</v>
      </c>
      <c r="G12" s="11" cm="1">
        <f t="array" ref="G12">VLOOKUP(B12,'Player Data'!A1:D673,3,FALSE)</f>
        <v>30</v>
      </c>
      <c r="H12" s="51" cm="1">
        <f t="array" ref="H12">IFERROR(VLOOKUP(B12,ADP!A1:F671,6,FALSE)/1000000,VLOOKUP(B12,ADP!A1:F671,6,FALSE))</f>
        <v>14</v>
      </c>
      <c r="I12" s="52">
        <f>IF(Settings!$E$15="POINTS",((R12*Q12)*Settings!$B$12)+(S12*Settings!$B$2)+(T12*Settings!$B$3)+(U12*Settings!$B$4)+(V12*Settings!$B$5)+(X12*Settings!$B$9)+(AA12*Settings!$B$6)+(W12*Settings!$B$8)+(AB12*Settings!$B$7)+(AC12*Settings!$B$14)+(AD12*Settings!$B$15)+(AE12*Settings!$B$16)+(AF12*Settings!$B$17)+(AG12*Settings!$B$18)+(Y12*Settings!$B$10)+(Z12*Settings!$B$11),VLOOKUP(B12,'Standard Deviations'!A$1:C$672,3,FALSE))</f>
        <v>509.65722947201846</v>
      </c>
      <c r="J12" s="53" cm="1">
        <f t="array" ref="J12">IF(D12="G",I12/AJ12,I12/Q12)</f>
        <v>6.4188567943579145</v>
      </c>
      <c r="K12" s="52" cm="1">
        <f t="array" ref="K12">IF(Settings!$E$18="C/LW/RW",VLOOKUP(B12,LW!A1:F210,6,FALSE),VLOOKUP(B12,F!A1:F407,6,FALSE))</f>
        <v>110.34423615829837</v>
      </c>
      <c r="L12" s="54" cm="1">
        <f t="array" ref="L12">IFERROR(K12/H12,"N/A")</f>
        <v>7.8817311541641697</v>
      </c>
      <c r="M12" s="55">
        <v>6.6</v>
      </c>
      <c r="N12" s="55" cm="1">
        <f t="array" ref="N12">IFERROR(M12-A12,"N/A")</f>
        <v>-4.4000000000000004</v>
      </c>
      <c r="O12" s="55"/>
      <c r="P12" s="56" t="str" cm="1">
        <f t="array" ref="P12">_xlfn.XLOOKUP($B12,ADP!A2:A671,ADP!G2:G671)</f>
        <v xml:space="preserve"> </v>
      </c>
      <c r="Q12" s="57" cm="1">
        <f t="array" ref="Q12">IF(Settings!$E$12="YES",VLOOKUP(B12,'Player Data'!A1:E673,5,FALSE),84)</f>
        <v>79.400000000000006</v>
      </c>
      <c r="R12" s="55" cm="1">
        <f t="array" ref="R12">VLOOKUP(B12,'Player Data'!$A1:$AE673,6,FALSE)</f>
        <v>21.072409363542398</v>
      </c>
      <c r="S12" s="57" cm="1">
        <f t="array" ref="S12">VLOOKUP(B12,'Player Data'!$A1:$AE673,7,FALSE)*$Q12*IFERROR((VLOOKUP(P12,Settings!$E$28:$F$33,2,FALSE)+1),1)</f>
        <v>45.310091062655829</v>
      </c>
      <c r="T12" s="57" cm="1">
        <f t="array" ref="T12">VLOOKUP(B12,'Player Data'!$A1:$AE673,8,FALSE)*$Q12*IFERROR((VLOOKUP(P12,Settings!$E$28:$F$33,2,FALSE)+1),1)</f>
        <v>66.448310821752003</v>
      </c>
      <c r="U12" s="57" cm="1">
        <f t="array" ref="U12">SUM(S12:T12)</f>
        <v>111.75840188440783</v>
      </c>
      <c r="V12" s="57" cm="1">
        <f t="array" ref="V12">VLOOKUP(B12,'Player Data'!$A1:$AE673,10,FALSE)*$Q12*IFERROR(((VLOOKUP(P12,Settings!$E$28:$F$33,2,FALSE)/2)+1),1)</f>
        <v>233.11230224730772</v>
      </c>
      <c r="W12" s="58" cm="1">
        <f t="array" ref="W12">VLOOKUP(B12,'Player Data'!$A1:$AE673,11,FALSE)*$Q12*IFERROR((VLOOKUP(P12,Settings!$E$28:$F$33,2,FALSE)+1),1)</f>
        <v>19.491005685042072</v>
      </c>
      <c r="X12" s="57" cm="1">
        <f t="array" ref="X12">VLOOKUP(B12,'Player Data'!$A1:$AE673,12,FALSE)*$Q12*IFERROR((VLOOKUP(P12,Settings!$E$28:$F$33,2,FALSE)+1),1)</f>
        <v>45.693017602055242</v>
      </c>
      <c r="Y12" s="57" cm="1">
        <f t="array" ref="Y12">VLOOKUP(B12,'Player Data'!$A1:$AE673,13,FALSE)*$Q12</f>
        <v>5.0662030171143055E-2</v>
      </c>
      <c r="Z12" s="57" cm="1">
        <f t="array" ref="Z12">VLOOKUP(B12,'Player Data'!$A1:$AE673,14,FALSE)*$Q12</f>
        <v>0.16638919793061141</v>
      </c>
      <c r="AA12" s="57" cm="1">
        <f t="array" ref="AA12">VLOOKUP(B12,'Player Data'!$A1:$AE673,15,FALSE)*$Q12</f>
        <v>23.932931790310505</v>
      </c>
      <c r="AB12" s="57" cm="1">
        <f t="array" ref="AB12">VLOOKUP(B12,'Player Data'!$A1:$AE673,16,FALSE)*$Q12</f>
        <v>39.383699766367428</v>
      </c>
      <c r="AC12" s="57" cm="1">
        <f t="array" ref="AC12">VLOOKUP(B12,'Player Data'!$A1:$AE673,17,FALSE)*$Q12*IFERROR((VLOOKUP(P12,Settings!$E$28:$F$33,2,FALSE)+1),1)</f>
        <v>9.2512481181261474</v>
      </c>
      <c r="AD12" s="57" cm="1">
        <f t="array" ref="AD12">VLOOKUP(B12,'Player Data'!$A1:$AE673,18,FALSE)*$Q12</f>
        <v>39.904931593619999</v>
      </c>
      <c r="AE12" s="57" cm="1">
        <f t="array" ref="AE12">VLOOKUP(B12,'Player Data'!$A1:$AE673,19,FALSE)*$Q12*IFERROR((VLOOKUP(P12,Settings!$E$28:$F$33,2,FALSE)+1),1)</f>
        <v>7.9538038115315457</v>
      </c>
      <c r="AF12" s="57" cm="1">
        <f t="array" ref="AF12">VLOOKUP(B12,'Player Data'!$A1:$AE673,20,FALSE)*$Q12</f>
        <v>750.34220244683524</v>
      </c>
      <c r="AG12" s="57" cm="1">
        <f t="array" ref="AG12">VLOOKUP(B12,'Player Data'!$A1:$AE673,21,FALSE)*$Q12</f>
        <v>587.64249834927023</v>
      </c>
      <c r="AH12" s="59" cm="1">
        <f t="array" ref="AH12">VLOOKUP(B12,'Player Data'!$A1:$AE673,22,FALSE)</f>
        <v>0.56080028568367002</v>
      </c>
      <c r="AI12" s="55"/>
      <c r="AJ12" s="57"/>
      <c r="AK12" s="57"/>
      <c r="AL12" s="57"/>
      <c r="AM12" s="57"/>
      <c r="AN12" s="57"/>
      <c r="AO12" s="57"/>
      <c r="AP12" s="57"/>
      <c r="AQ12" s="60"/>
      <c r="AR12" s="61"/>
      <c r="AS12" s="55"/>
    </row>
    <row r="13" spans="1:45" ht="21.25" customHeight="1" x14ac:dyDescent="0.15">
      <c r="A13" s="62">
        <f t="shared" si="0"/>
        <v>12</v>
      </c>
      <c r="B13" s="10" t="s">
        <v>139</v>
      </c>
      <c r="C13" s="47" t="s">
        <v>128</v>
      </c>
      <c r="D13" s="48" t="str" cm="1">
        <f t="array" ref="D13">VLOOKUP(B13,'Player Data'!A1:D673,4,FALSE)</f>
        <v>C</v>
      </c>
      <c r="E13" s="49" cm="1">
        <f t="array" ref="E13">VLOOKUP(B13,'C'!A1:C210,3,FALSE)</f>
        <v>6</v>
      </c>
      <c r="F13" s="63" t="str" cm="1">
        <f t="array" ref="F13">VLOOKUP(B13,'Player Data'!A1:B673,2,FALSE)</f>
        <v>VGK</v>
      </c>
      <c r="G13" s="11" cm="1">
        <f t="array" ref="G13">VLOOKUP(B13,'Player Data'!A1:D673,3,FALSE)</f>
        <v>29</v>
      </c>
      <c r="H13" s="51" cm="1">
        <f t="array" ref="H13">IFERROR(VLOOKUP(B13,ADP!A1:F671,6,FALSE)/1000000,VLOOKUP(B13,ADP!A1:F671,6,FALSE))</f>
        <v>13.5</v>
      </c>
      <c r="I13" s="52">
        <f>IF(Settings!$E$15="POINTS",((R13*Q13)*Settings!$B$12)+(S13*Settings!$B$2)+(T13*Settings!$B$3)+(U13*Settings!$B$4)+(V13*Settings!$B$5)+(X13*Settings!$B$9)+(AA13*Settings!$B$6)+(W13*Settings!$B$8)+(AB13*Settings!$B$7)+(AC13*Settings!$B$14)+(AD13*Settings!$B$15)+(AE13*Settings!$B$16)+(AF13*Settings!$B$17)+(AG13*Settings!$B$18)+(Y13*Settings!$B$10)+(Z13*Settings!$B$11),VLOOKUP(B13,'Standard Deviations'!A$1:C$672,3,FALSE))</f>
        <v>496.57307154782234</v>
      </c>
      <c r="J13" s="53" cm="1">
        <f t="array" ref="J13">IF(D13="G",I13/AJ13,I13/Q13)</f>
        <v>6.2054181205013883</v>
      </c>
      <c r="K13" s="52" cm="1">
        <f t="array" ref="K13">IF(Settings!$E$18="C/LW/RW",VLOOKUP(B13,'C'!A1:F210,6,FALSE),VLOOKUP(B13,F!A1:F407,6,FALSE))</f>
        <v>110.03786515473934</v>
      </c>
      <c r="L13" s="54" cm="1">
        <f t="array" ref="L13">IFERROR(K13/H13,"N/A")</f>
        <v>8.1509529744251363</v>
      </c>
      <c r="M13" s="55">
        <v>23</v>
      </c>
      <c r="N13" s="55" cm="1">
        <f t="array" ref="N13">IFERROR(M13-A13,"N/A")</f>
        <v>11</v>
      </c>
      <c r="O13" s="55"/>
      <c r="P13" s="56" t="str" cm="1">
        <f t="array" ref="P13">_xlfn.XLOOKUP($B13,ADP!A2:A671,ADP!G2:G671)</f>
        <v xml:space="preserve"> </v>
      </c>
      <c r="Q13" s="57" cm="1">
        <f t="array" ref="Q13">IF(Settings!$E$12="YES",VLOOKUP(B13,'Player Data'!A1:E673,5,FALSE),84)</f>
        <v>80.022499999999994</v>
      </c>
      <c r="R13" s="55" cm="1">
        <f t="array" ref="R13">VLOOKUP(B13,'Player Data'!$A1:$AE673,6,FALSE)</f>
        <v>21.3966075610786</v>
      </c>
      <c r="S13" s="57" cm="1">
        <f t="array" ref="S13">VLOOKUP(B13,'Player Data'!$A1:$AE673,7,FALSE)*$Q13*IFERROR((VLOOKUP(P13,Settings!$E$28:$F$33,2,FALSE)+1),1)</f>
        <v>31.556159969834194</v>
      </c>
      <c r="T13" s="57" cm="1">
        <f t="array" ref="T13">VLOOKUP(B13,'Player Data'!$A1:$AE673,8,FALSE)*$Q13*IFERROR((VLOOKUP(P13,Settings!$E$28:$F$33,2,FALSE)+1),1)</f>
        <v>65.997268540879588</v>
      </c>
      <c r="U13" s="57" cm="1">
        <f t="array" ref="U13">SUM(S13:T13)</f>
        <v>97.553428510713786</v>
      </c>
      <c r="V13" s="57" cm="1">
        <f t="array" ref="V13">VLOOKUP(B13,'Player Data'!$A1:$AE673,10,FALSE)*$Q13*IFERROR(((VLOOKUP(P13,Settings!$E$28:$F$33,2,FALSE)/2)+1),1)</f>
        <v>285.33689609040448</v>
      </c>
      <c r="W13" s="58" cm="1">
        <f t="array" ref="W13">VLOOKUP(B13,'Player Data'!$A1:$AE673,11,FALSE)*$Q13*IFERROR((VLOOKUP(P13,Settings!$E$28:$F$33,2,FALSE)+1),1)</f>
        <v>5.6039585271605503</v>
      </c>
      <c r="X13" s="57" cm="1">
        <f t="array" ref="X13">VLOOKUP(B13,'Player Data'!$A1:$AE673,12,FALSE)*$Q13*IFERROR((VLOOKUP(P13,Settings!$E$28:$F$33,2,FALSE)+1),1)</f>
        <v>34.501350960433314</v>
      </c>
      <c r="Y13" s="57" cm="1">
        <f t="array" ref="Y13">VLOOKUP(B13,'Player Data'!$A1:$AE673,13,FALSE)*$Q13</f>
        <v>0.79208351671691124</v>
      </c>
      <c r="Z13" s="57" cm="1">
        <f t="array" ref="Z13">VLOOKUP(B13,'Player Data'!$A1:$AE673,14,FALSE)*$Q13</f>
        <v>2.3075518106139117</v>
      </c>
      <c r="AA13" s="57" cm="1">
        <f t="array" ref="AA13">VLOOKUP(B13,'Player Data'!$A1:$AE673,15,FALSE)*$Q13</f>
        <v>48.870870398863048</v>
      </c>
      <c r="AB13" s="57" cm="1">
        <f t="array" ref="AB13">VLOOKUP(B13,'Player Data'!$A1:$AE673,16,FALSE)*$Q13</f>
        <v>36.65458382033497</v>
      </c>
      <c r="AC13" s="57" cm="1">
        <f t="array" ref="AC13">VLOOKUP(B13,'Player Data'!$A1:$AE673,17,FALSE)*$Q13*IFERROR((VLOOKUP(P13,Settings!$E$28:$F$33,2,FALSE)+1),1)</f>
        <v>8.3852434113979353</v>
      </c>
      <c r="AD13" s="57" cm="1">
        <f t="array" ref="AD13">VLOOKUP(B13,'Player Data'!$A1:$AE673,18,FALSE)*$Q13</f>
        <v>21.061129249491927</v>
      </c>
      <c r="AE13" s="57" cm="1">
        <f t="array" ref="AE13">VLOOKUP(B13,'Player Data'!$A1:$AE673,19,FALSE)*$Q13*IFERROR((VLOOKUP(P13,Settings!$E$28:$F$33,2,FALSE)+1),1)</f>
        <v>6.020203174218798</v>
      </c>
      <c r="AF13" s="57" cm="1">
        <f t="array" ref="AF13">VLOOKUP(B13,'Player Data'!$A1:$AE673,20,FALSE)*$Q13</f>
        <v>595.51184040875228</v>
      </c>
      <c r="AG13" s="57" cm="1">
        <f t="array" ref="AG13">VLOOKUP(B13,'Player Data'!$A1:$AE673,21,FALSE)*$Q13</f>
        <v>685.25731003010048</v>
      </c>
      <c r="AH13" s="59" cm="1">
        <f t="array" ref="AH13">VLOOKUP(B13,'Player Data'!$A1:$AE673,22,FALSE)</f>
        <v>0.46496422888129502</v>
      </c>
      <c r="AI13" s="55"/>
      <c r="AJ13" s="57"/>
      <c r="AK13" s="57"/>
      <c r="AL13" s="57"/>
      <c r="AM13" s="57"/>
      <c r="AN13" s="57"/>
      <c r="AO13" s="57"/>
      <c r="AP13" s="57"/>
      <c r="AQ13" s="60"/>
      <c r="AR13" s="61"/>
      <c r="AS13" s="55"/>
    </row>
    <row r="14" spans="1:45" ht="21.25" customHeight="1" x14ac:dyDescent="0.15">
      <c r="A14" s="62">
        <f t="shared" si="0"/>
        <v>13</v>
      </c>
      <c r="B14" s="10" t="s">
        <v>140</v>
      </c>
      <c r="C14" s="47" t="s">
        <v>128</v>
      </c>
      <c r="D14" s="48" t="str" cm="1">
        <f t="array" ref="D14">VLOOKUP(B14,'Player Data'!A1:D673,4,FALSE)</f>
        <v>C</v>
      </c>
      <c r="E14" s="49" cm="1">
        <f t="array" ref="E14">VLOOKUP(B14,'C'!A1:C210,3,FALSE)</f>
        <v>7</v>
      </c>
      <c r="F14" s="69" t="str" cm="1">
        <f t="array" ref="F14">VLOOKUP(B14,'Player Data'!A1:B673,2,FALSE)</f>
        <v>TOR</v>
      </c>
      <c r="G14" s="11" cm="1">
        <f t="array" ref="G14">VLOOKUP(B14,'Player Data'!A1:D673,3,FALSE)</f>
        <v>28</v>
      </c>
      <c r="H14" s="51" cm="1">
        <f t="array" ref="H14">IFERROR(VLOOKUP(B14,ADP!A1:F671,6,FALSE)/1000000,VLOOKUP(B14,ADP!A1:F671,6,FALSE))</f>
        <v>13.25</v>
      </c>
      <c r="I14" s="52">
        <f>IF(Settings!$E$15="POINTS",((R14*Q14)*Settings!$B$12)+(S14*Settings!$B$2)+(T14*Settings!$B$3)+(U14*Settings!$B$4)+(V14*Settings!$B$5)+(X14*Settings!$B$9)+(AA14*Settings!$B$6)+(W14*Settings!$B$8)+(AB14*Settings!$B$7)+(AC14*Settings!$B$14)+(AD14*Settings!$B$15)+(AE14*Settings!$B$16)+(AF14*Settings!$B$17)+(AG14*Settings!$B$18)+(Y14*Settings!$B$10)+(Z14*Settings!$B$11),VLOOKUP(B14,'Standard Deviations'!A$1:C$672,3,FALSE))</f>
        <v>495.64227558991104</v>
      </c>
      <c r="J14" s="53" cm="1">
        <f t="array" ref="J14">IF(D14="G",I14/AJ14,I14/Q14)</f>
        <v>6.3574446123445378</v>
      </c>
      <c r="K14" s="52" cm="1">
        <f t="array" ref="K14">IF(Settings!$E$18="C/LW/RW",VLOOKUP(B14,'C'!A1:F210,6,FALSE),VLOOKUP(B14,F!A1:F407,6,FALSE))</f>
        <v>109.10706919682804</v>
      </c>
      <c r="L14" s="54" cm="1">
        <f t="array" ref="L14">IFERROR(K14/H14,"N/A")</f>
        <v>8.2344957884398511</v>
      </c>
      <c r="M14" s="55">
        <v>17.100000000000001</v>
      </c>
      <c r="N14" s="55" cm="1">
        <f t="array" ref="N14">IFERROR(M14-A14,"N/A")</f>
        <v>4.1000000000000014</v>
      </c>
      <c r="O14" s="55"/>
      <c r="P14" s="56" t="str" cm="1">
        <f t="array" ref="P14">_xlfn.XLOOKUP($B14,ADP!A2:A671,ADP!G2:G671)</f>
        <v>+</v>
      </c>
      <c r="Q14" s="57" cm="1">
        <f t="array" ref="Q14">IF(Settings!$E$12="YES",VLOOKUP(B14,'Player Data'!A1:E673,5,FALSE),84)</f>
        <v>77.962500000000006</v>
      </c>
      <c r="R14" s="55" cm="1">
        <f t="array" ref="R14">VLOOKUP(B14,'Player Data'!$A1:$AE673,6,FALSE)</f>
        <v>20.5782663662348</v>
      </c>
      <c r="S14" s="57" cm="1">
        <f t="array" ref="S14">VLOOKUP(B14,'Player Data'!$A1:$AE673,7,FALSE)*$Q14*IFERROR((VLOOKUP(P14,Settings!$E$28:$F$33,2,FALSE)+1),1)</f>
        <v>44.458632454110635</v>
      </c>
      <c r="T14" s="57" cm="1">
        <f t="array" ref="T14">VLOOKUP(B14,'Player Data'!$A1:$AE673,8,FALSE)*$Q14*IFERROR((VLOOKUP(P14,Settings!$E$28:$F$33,2,FALSE)+1),1)</f>
        <v>44.933455413566939</v>
      </c>
      <c r="U14" s="57" cm="1">
        <f t="array" ref="U14">SUM(S14:T14)</f>
        <v>89.392087867677574</v>
      </c>
      <c r="V14" s="57" cm="1">
        <f t="array" ref="V14">VLOOKUP(B14,'Player Data'!$A1:$AE673,10,FALSE)*$Q14*IFERROR(((VLOOKUP(P14,Settings!$E$28:$F$33,2,FALSE)/2)+1),1)</f>
        <v>312.29198210183353</v>
      </c>
      <c r="W14" s="58" cm="1">
        <f t="array" ref="W14">VLOOKUP(B14,'Player Data'!$A1:$AE673,11,FALSE)*$Q14*IFERROR((VLOOKUP(P14,Settings!$E$28:$F$33,2,FALSE)+1),1)</f>
        <v>12.064073957323957</v>
      </c>
      <c r="X14" s="57" cm="1">
        <f t="array" ref="X14">VLOOKUP(B14,'Player Data'!$A1:$AE673,12,FALSE)*$Q14*IFERROR((VLOOKUP(P14,Settings!$E$28:$F$33,2,FALSE)+1),1)</f>
        <v>26.913815815414541</v>
      </c>
      <c r="Y14" s="57" cm="1">
        <f t="array" ref="Y14">VLOOKUP(B14,'Player Data'!$A1:$AE673,13,FALSE)*$Q14</f>
        <v>0.1371163195696283</v>
      </c>
      <c r="Z14" s="57" cm="1">
        <f t="array" ref="Z14">VLOOKUP(B14,'Player Data'!$A1:$AE673,14,FALSE)*$Q14</f>
        <v>0.18685163787615033</v>
      </c>
      <c r="AA14" s="57" cm="1">
        <f t="array" ref="AA14">VLOOKUP(B14,'Player Data'!$A1:$AE673,15,FALSE)*$Q14</f>
        <v>88.438706965341822</v>
      </c>
      <c r="AB14" s="57" cm="1">
        <f t="array" ref="AB14">VLOOKUP(B14,'Player Data'!$A1:$AE673,16,FALSE)*$Q14</f>
        <v>57.47347644906629</v>
      </c>
      <c r="AC14" s="57" cm="1">
        <f t="array" ref="AC14">VLOOKUP(B14,'Player Data'!$A1:$AE673,17,FALSE)*$Q14*IFERROR((VLOOKUP(P14,Settings!$E$28:$F$33,2,FALSE)+1),1)</f>
        <v>3.5871533636238819</v>
      </c>
      <c r="AD14" s="57" cm="1">
        <f t="array" ref="AD14">VLOOKUP(B14,'Player Data'!$A1:$AE673,18,FALSE)*$Q14</f>
        <v>22.83812005666433</v>
      </c>
      <c r="AE14" s="57" cm="1">
        <f t="array" ref="AE14">VLOOKUP(B14,'Player Data'!$A1:$AE673,19,FALSE)*$Q14*IFERROR((VLOOKUP(P14,Settings!$E$28:$F$33,2,FALSE)+1),1)</f>
        <v>6.0713028380143808</v>
      </c>
      <c r="AF14" s="57" cm="1">
        <f t="array" ref="AF14">VLOOKUP(B14,'Player Data'!$A1:$AE673,20,FALSE)*$Q14</f>
        <v>726.2063910052841</v>
      </c>
      <c r="AG14" s="57" cm="1">
        <f t="array" ref="AG14">VLOOKUP(B14,'Player Data'!$A1:$AE673,21,FALSE)*$Q14</f>
        <v>549.69774329704433</v>
      </c>
      <c r="AH14" s="59" cm="1">
        <f t="array" ref="AH14">VLOOKUP(B14,'Player Data'!$A1:$AE673,22,FALSE)</f>
        <v>0.56917002734094702</v>
      </c>
      <c r="AI14" s="55"/>
      <c r="AJ14" s="57"/>
      <c r="AK14" s="57"/>
      <c r="AL14" s="57"/>
      <c r="AM14" s="57"/>
      <c r="AN14" s="57"/>
      <c r="AO14" s="57"/>
      <c r="AP14" s="57"/>
      <c r="AQ14" s="60"/>
      <c r="AR14" s="61"/>
      <c r="AS14" s="55"/>
    </row>
    <row r="15" spans="1:45" ht="21.25" customHeight="1" x14ac:dyDescent="0.15">
      <c r="A15" s="62">
        <f t="shared" si="0"/>
        <v>14</v>
      </c>
      <c r="B15" s="10" t="s">
        <v>141</v>
      </c>
      <c r="C15" s="47" t="s">
        <v>128</v>
      </c>
      <c r="D15" s="48" t="str" cm="1">
        <f t="array" ref="D15">VLOOKUP(B15,'Player Data'!A1:D673,4,FALSE)</f>
        <v>D</v>
      </c>
      <c r="E15" s="68" cm="1">
        <f t="array" ref="E15">VLOOKUP(B15,D!A1:C204,3,FALSE)</f>
        <v>6</v>
      </c>
      <c r="F15" s="72" t="str" cm="1">
        <f t="array" ref="F15">VLOOKUP(B15,'Player Data'!A1:B673,2,FALSE)</f>
        <v>NYI</v>
      </c>
      <c r="G15" s="71" cm="1">
        <f t="array" ref="G15">VLOOKUP(B15,'Player Data'!A1:D673,3,FALSE)</f>
        <v>18</v>
      </c>
      <c r="H15" s="51" cm="1">
        <f t="array" ref="H15">IFERROR(VLOOKUP(B15,ADP!A1:F671,6,FALSE)/1000000,VLOOKUP(B15,ADP!A1:F671,6,FALSE))</f>
        <v>0.97499999999999998</v>
      </c>
      <c r="I15" s="52">
        <f>IF(Settings!$E$15="POINTS",((R15*Q15)*Settings!$B$12)+(S15*Settings!$B$2)+(T15*Settings!$B$3)+(U15*Settings!$B$4)+(V15*Settings!$B$5)+(X15*Settings!$B$9)+(AA15*Settings!$B$6)+(W15*Settings!$B$8)+(AB15*Settings!$B$7)+(AC15*Settings!$B$14)+(AD15*Settings!$B$15)+(AE15*Settings!$B$16)+(AF15*Settings!$B$17)+(AG15*Settings!$B$18)+(U15*Settings!$B$13)+(Y15*Settings!$B$10)+(Z15*Settings!$B$11),VLOOKUP(B15,'Standard Deviations'!A$1:C$672,3,FALSE))</f>
        <v>408.41381133718016</v>
      </c>
      <c r="J15" s="53" cm="1">
        <f t="array" ref="J15">IF(D15="G",I15/AJ15,I15/Q15)</f>
        <v>4.8996918161739567</v>
      </c>
      <c r="K15" s="52" cm="1">
        <f t="array" ref="K15">VLOOKUP(B15,D!A1:F204,6,FALSE)</f>
        <v>101.7599439925861</v>
      </c>
      <c r="L15" s="54" cm="1">
        <f t="array" ref="L15">IFERROR(K15/H15,"N/A")</f>
        <v>104.36917332572934</v>
      </c>
      <c r="M15" s="55">
        <v>34.200000000000003</v>
      </c>
      <c r="N15" s="55" cm="1">
        <f t="array" ref="N15">IFERROR(M15-A15,"N/A")</f>
        <v>20.200000000000003</v>
      </c>
      <c r="O15" s="55"/>
      <c r="P15" s="56" t="str" cm="1">
        <f t="array" ref="P15">_xlfn.XLOOKUP($B15,ADP!A2:A671,ADP!G2:G671)</f>
        <v>+</v>
      </c>
      <c r="Q15" s="57" cm="1">
        <f t="array" ref="Q15">IF(Settings!$E$12="YES",VLOOKUP(B15,'Player Data'!A1:E673,5,FALSE),84)</f>
        <v>83.355000000000004</v>
      </c>
      <c r="R15" s="55" cm="1">
        <f t="array" ref="R15">VLOOKUP(B15,'Player Data'!$A1:$AE673,6,FALSE)</f>
        <v>24.819063462271298</v>
      </c>
      <c r="S15" s="57" cm="1">
        <f t="array" ref="S15">VLOOKUP(B15,'Player Data'!$A1:$AE673,7,FALSE)*$Q15*IFERROR((VLOOKUP(P15,Settings!$E$28:$F$33,2,FALSE)+1),1)</f>
        <v>25.963000243817095</v>
      </c>
      <c r="T15" s="57" cm="1">
        <f t="array" ref="T15">VLOOKUP(B15,'Player Data'!$A1:$AE673,8,FALSE)*$Q15*IFERROR((VLOOKUP(P15,Settings!$E$28:$F$33,2,FALSE)+1),1)</f>
        <v>44.76172237338907</v>
      </c>
      <c r="U15" s="57" cm="1">
        <f t="array" ref="U15">SUM(S15:T15)</f>
        <v>70.724722617206169</v>
      </c>
      <c r="V15" s="57" cm="1">
        <f t="array" ref="V15">VLOOKUP(B15,'Player Data'!$A1:$AE673,10,FALSE)*$Q15*IFERROR(((VLOOKUP(P15,Settings!$E$28:$F$33,2,FALSE)/2)+1),1)</f>
        <v>231.37961364997886</v>
      </c>
      <c r="W15" s="58" cm="1">
        <f t="array" ref="W15">VLOOKUP(B15,'Player Data'!$A1:$AE673,11,FALSE)*$Q15*IFERROR((VLOOKUP(P15,Settings!$E$28:$F$33,2,FALSE)+1),1)</f>
        <v>9.9325912437064527</v>
      </c>
      <c r="X15" s="57" cm="1">
        <f t="array" ref="X15">VLOOKUP(B15,'Player Data'!$A1:$AE673,12,FALSE)*$Q15*IFERROR((VLOOKUP(P15,Settings!$E$28:$F$33,2,FALSE)+1),1)</f>
        <v>23.541866801630722</v>
      </c>
      <c r="Y15" s="57" cm="1">
        <f t="array" ref="Y15">VLOOKUP(B15,'Player Data'!$A1:$AE673,13,FALSE)*$Q15</f>
        <v>3.2798776976119541E-2</v>
      </c>
      <c r="Z15" s="57" cm="1">
        <f t="array" ref="Z15">VLOOKUP(B15,'Player Data'!$A1:$AE673,14,FALSE)*$Q15</f>
        <v>0.10943603624244745</v>
      </c>
      <c r="AA15" s="57" cm="1">
        <f t="array" ref="AA15">VLOOKUP(B15,'Player Data'!$A1:$AE673,15,FALSE)*$Q15</f>
        <v>113.79706764539812</v>
      </c>
      <c r="AB15" s="57" cm="1">
        <f t="array" ref="AB15">VLOOKUP(B15,'Player Data'!$A1:$AE673,16,FALSE)*$Q15</f>
        <v>46.322555681737526</v>
      </c>
      <c r="AC15" s="57" cm="1">
        <f t="array" ref="AC15">VLOOKUP(B15,'Player Data'!$A1:$AE673,17,FALSE)*$Q15*IFERROR((VLOOKUP(P15,Settings!$E$28:$F$33,2,FALSE)+1),1)</f>
        <v>-1.1809051090840392</v>
      </c>
      <c r="AD15" s="57" cm="1">
        <f t="array" ref="AD15">VLOOKUP(B15,'Player Data'!$A1:$AE673,18,FALSE)*$Q15</f>
        <v>43.665761273190761</v>
      </c>
      <c r="AE15" s="57" cm="1">
        <f t="array" ref="AE15">VLOOKUP(B15,'Player Data'!$A1:$AE673,19,FALSE)*$Q15*IFERROR((VLOOKUP(P15,Settings!$E$28:$F$33,2,FALSE)+1),1)</f>
        <v>3.7916748103812852</v>
      </c>
      <c r="AF15" s="57" cm="1">
        <f t="array" ref="AF15">VLOOKUP(B15,'Player Data'!$A1:$AE673,20,FALSE)*$Q15</f>
        <v>0</v>
      </c>
      <c r="AG15" s="57" cm="1">
        <f t="array" ref="AG15">VLOOKUP(B15,'Player Data'!$A1:$AE673,21,FALSE)*$Q15</f>
        <v>0</v>
      </c>
      <c r="AH15" s="59" cm="1">
        <f t="array" ref="AH15">VLOOKUP(B15,'Player Data'!$A1:$AE673,22,FALSE)</f>
        <v>0</v>
      </c>
      <c r="AI15" s="55"/>
      <c r="AJ15" s="57"/>
      <c r="AK15" s="57"/>
      <c r="AL15" s="57"/>
      <c r="AM15" s="57"/>
      <c r="AN15" s="57"/>
      <c r="AO15" s="57"/>
      <c r="AP15" s="57"/>
      <c r="AQ15" s="60"/>
      <c r="AR15" s="61"/>
      <c r="AS15" s="55"/>
    </row>
    <row r="16" spans="1:45" ht="21.25" customHeight="1" x14ac:dyDescent="0.15">
      <c r="A16" s="62">
        <f t="shared" si="0"/>
        <v>15</v>
      </c>
      <c r="B16" s="10" t="s">
        <v>142</v>
      </c>
      <c r="C16" s="47" t="s">
        <v>128</v>
      </c>
      <c r="D16" s="48" t="str" cm="1">
        <f t="array" ref="D16">VLOOKUP(B16,'Player Data'!A1:D673,4,FALSE)</f>
        <v>C,LW</v>
      </c>
      <c r="E16" s="74" cm="1">
        <f t="array" ref="E16">VLOOKUP(B16,LW!A1:C210,3,FALSE)</f>
        <v>2</v>
      </c>
      <c r="F16" s="69" t="str" cm="1">
        <f t="array" ref="F16">VLOOKUP(B16,'Player Data'!A1:B673,2,FALSE)</f>
        <v>N.J</v>
      </c>
      <c r="G16" s="11" cm="1">
        <f t="array" ref="G16">VLOOKUP(B16,'Player Data'!A1:D673,3,FALSE)</f>
        <v>25</v>
      </c>
      <c r="H16" s="51" cm="1">
        <f t="array" ref="H16">IFERROR(VLOOKUP(B16,ADP!A1:F671,6,FALSE)/1000000,VLOOKUP(B16,ADP!A1:F671,6,FALSE))</f>
        <v>8</v>
      </c>
      <c r="I16" s="52">
        <f>IF(Settings!$E$15="POINTS",((R16*Q16)*Settings!$B$12)+(S16*Settings!$B$2)+(T16*Settings!$B$3)+(U16*Settings!$B$4)+(V16*Settings!$B$5)+(X16*Settings!$B$9)+(AA16*Settings!$B$6)+(W16*Settings!$B$8)+(AB16*Settings!$B$7)+(AC16*Settings!$B$14)+(AD16*Settings!$B$15)+(AE16*Settings!$B$16)+(AF16*Settings!$B$17)+(AG16*Settings!$B$18)+(Y16*Settings!$B$10)+(Z16*Settings!$B$11),VLOOKUP(B16,'Standard Deviations'!A$1:C$672,3,FALSE))</f>
        <v>499.85379527947913</v>
      </c>
      <c r="J16" s="53" cm="1">
        <f t="array" ref="J16">IF(D16="G",I16/AJ16,I16/Q16)</f>
        <v>6.6159795543427311</v>
      </c>
      <c r="K16" s="52" cm="1">
        <f t="array" ref="K16">IF(Settings!$E$18="C/LW/RW",VLOOKUP(B16,LW!A1:F210,6,FALSE),VLOOKUP(B16,F!A1:F407,6,FALSE))</f>
        <v>100.54080196575904</v>
      </c>
      <c r="L16" s="54" cm="1">
        <f t="array" ref="L16">IFERROR(K16/H16,"N/A")</f>
        <v>12.567600245719881</v>
      </c>
      <c r="M16" s="55">
        <v>18.8</v>
      </c>
      <c r="N16" s="55" cm="1">
        <f t="array" ref="N16">IFERROR(M16-A16,"N/A")</f>
        <v>3.8000000000000007</v>
      </c>
      <c r="O16" s="55"/>
      <c r="P16" s="56" t="str" cm="1">
        <f t="array" ref="P16">_xlfn.XLOOKUP($B16,ADP!A2:A671,ADP!G2:G671)</f>
        <v>+</v>
      </c>
      <c r="Q16" s="57" cm="1">
        <f t="array" ref="Q16">IF(Settings!$E$12="YES",VLOOKUP(B16,'Player Data'!A1:E673,5,FALSE),84)</f>
        <v>75.552499999999995</v>
      </c>
      <c r="R16" s="55" cm="1">
        <f t="array" ref="R16">VLOOKUP(B16,'Player Data'!$A1:$AE673,6,FALSE)</f>
        <v>21.695770611474099</v>
      </c>
      <c r="S16" s="57" cm="1">
        <f t="array" ref="S16">VLOOKUP(B16,'Player Data'!$A1:$AE673,7,FALSE)*$Q16*IFERROR((VLOOKUP(P16,Settings!$E$28:$F$33,2,FALSE)+1),1)</f>
        <v>36.349619943477371</v>
      </c>
      <c r="T16" s="57" cm="1">
        <f t="array" ref="T16">VLOOKUP(B16,'Player Data'!$A1:$AE673,8,FALSE)*$Q16*IFERROR((VLOOKUP(P16,Settings!$E$28:$F$33,2,FALSE)+1),1)</f>
        <v>62.524652840535346</v>
      </c>
      <c r="U16" s="57" cm="1">
        <f t="array" ref="U16">SUM(S16:T16)</f>
        <v>98.874272784012717</v>
      </c>
      <c r="V16" s="57" cm="1">
        <f t="array" ref="V16">VLOOKUP(B16,'Player Data'!$A1:$AE673,10,FALSE)*$Q16*IFERROR(((VLOOKUP(P16,Settings!$E$28:$F$33,2,FALSE)/2)+1),1)</f>
        <v>299.34568935584014</v>
      </c>
      <c r="W16" s="58" cm="1">
        <f t="array" ref="W16">VLOOKUP(B16,'Player Data'!$A1:$AE673,11,FALSE)*$Q16*IFERROR((VLOOKUP(P16,Settings!$E$28:$F$33,2,FALSE)+1),1)</f>
        <v>7.919666085995015</v>
      </c>
      <c r="X16" s="57" cm="1">
        <f t="array" ref="X16">VLOOKUP(B16,'Player Data'!$A1:$AE673,12,FALSE)*$Q16*IFERROR((VLOOKUP(P16,Settings!$E$28:$F$33,2,FALSE)+1),1)</f>
        <v>33.371191963321074</v>
      </c>
      <c r="Y16" s="57" cm="1">
        <f t="array" ref="Y16">VLOOKUP(B16,'Player Data'!$A1:$AE673,13,FALSE)*$Q16</f>
        <v>0.50765985966064797</v>
      </c>
      <c r="Z16" s="57" cm="1">
        <f t="array" ref="Z16">VLOOKUP(B16,'Player Data'!$A1:$AE673,14,FALSE)*$Q16</f>
        <v>0.99570866404959912</v>
      </c>
      <c r="AA16" s="57" cm="1">
        <f t="array" ref="AA16">VLOOKUP(B16,'Player Data'!$A1:$AE673,15,FALSE)*$Q16</f>
        <v>38.382463244300553</v>
      </c>
      <c r="AB16" s="57" cm="1">
        <f t="array" ref="AB16">VLOOKUP(B16,'Player Data'!$A1:$AE673,16,FALSE)*$Q16</f>
        <v>12.85038265526296</v>
      </c>
      <c r="AC16" s="57" cm="1">
        <f t="array" ref="AC16">VLOOKUP(B16,'Player Data'!$A1:$AE673,17,FALSE)*$Q16*IFERROR((VLOOKUP(P16,Settings!$E$28:$F$33,2,FALSE)+1),1)</f>
        <v>2.6353965272998141</v>
      </c>
      <c r="AD16" s="57" cm="1">
        <f t="array" ref="AD16">VLOOKUP(B16,'Player Data'!$A1:$AE673,18,FALSE)*$Q16</f>
        <v>21.068567462747168</v>
      </c>
      <c r="AE16" s="57" cm="1">
        <f t="array" ref="AE16">VLOOKUP(B16,'Player Data'!$A1:$AE673,19,FALSE)*$Q16*IFERROR((VLOOKUP(P16,Settings!$E$28:$F$33,2,FALSE)+1),1)</f>
        <v>5.4330256419195582</v>
      </c>
      <c r="AF16" s="57" cm="1">
        <f t="array" ref="AF16">VLOOKUP(B16,'Player Data'!$A1:$AE673,20,FALSE)*$Q16</f>
        <v>202.58579568508821</v>
      </c>
      <c r="AG16" s="57" cm="1">
        <f t="array" ref="AG16">VLOOKUP(B16,'Player Data'!$A1:$AE673,21,FALSE)*$Q16</f>
        <v>350.95722198081995</v>
      </c>
      <c r="AH16" s="59" cm="1">
        <f t="array" ref="AH16">VLOOKUP(B16,'Player Data'!$A1:$AE673,22,FALSE)</f>
        <v>0.36598022054242502</v>
      </c>
      <c r="AI16" s="55"/>
      <c r="AJ16" s="57"/>
      <c r="AK16" s="57"/>
      <c r="AL16" s="57"/>
      <c r="AM16" s="57"/>
      <c r="AN16" s="57"/>
      <c r="AO16" s="57"/>
      <c r="AP16" s="57"/>
      <c r="AQ16" s="60"/>
      <c r="AR16" s="61"/>
      <c r="AS16" s="55"/>
    </row>
    <row r="17" spans="1:45" ht="21.25" customHeight="1" x14ac:dyDescent="0.15">
      <c r="A17" s="62">
        <f t="shared" si="0"/>
        <v>16</v>
      </c>
      <c r="B17" s="10" t="s">
        <v>143</v>
      </c>
      <c r="C17" s="47" t="s">
        <v>128</v>
      </c>
      <c r="D17" s="48" t="str" cm="1">
        <f t="array" ref="D17">VLOOKUP(B17,'Player Data'!A1:D673,4,FALSE)</f>
        <v>LW,RW</v>
      </c>
      <c r="E17" s="74" cm="1">
        <f t="array" ref="E17">VLOOKUP(B17,RW!A1:F210,3,FALSE)</f>
        <v>3</v>
      </c>
      <c r="F17" s="70" t="str" cm="1">
        <f t="array" ref="F17">VLOOKUP(B17,'Player Data'!A1:B673,2,FALSE)</f>
        <v>MIN</v>
      </c>
      <c r="G17" s="11" cm="1">
        <f t="array" ref="G17">VLOOKUP(B17,'Player Data'!A1:D673,3,FALSE)</f>
        <v>25</v>
      </c>
      <c r="H17" s="51" cm="1">
        <f t="array" ref="H17">IFERROR(VLOOKUP(B17,ADP!A1:F671,6,FALSE)/1000000,VLOOKUP(B17,ADP!A1:F671,6,FALSE))</f>
        <v>7</v>
      </c>
      <c r="I17" s="52">
        <f>IF(Settings!$E$15="POINTS",((R17*Q17)*Settings!$B$12)+(S17*Settings!$B$2)+(T17*Settings!$B$3)+(U17*Settings!$B$4)+(V17*Settings!$B$5)+(X17*Settings!$B$9)+(AA17*Settings!$B$6)+(W17*Settings!$B$8)+(AB17*Settings!$B$7)+(AC17*Settings!$B$14)+(AD17*Settings!$B$15)+(AE17*Settings!$B$16)+(AF17*Settings!$B$17)+(AG17*Settings!$B$18)+(Y17*Settings!$B$10)+(Z17*Settings!$B$11),VLOOKUP(B17,'Standard Deviations'!A$1:C$672,3,FALSE))</f>
        <v>484.91184206940261</v>
      </c>
      <c r="J17" s="53" cm="1">
        <f t="array" ref="J17">IF(D17="G",I17/AJ17,I17/Q17)</f>
        <v>5.8945097194360008</v>
      </c>
      <c r="K17" s="52" cm="1">
        <f t="array" ref="K17">IF(Settings!$E$18="C/LW/RW",VLOOKUP(B17,RW!A1:F210,6,FALSE),VLOOKUP(B17,F!A1:F407,6,FALSE))</f>
        <v>89.968377375845137</v>
      </c>
      <c r="L17" s="54" cm="1">
        <f t="array" ref="L17">IFERROR(K17/H17,"N/A")</f>
        <v>12.852625339406448</v>
      </c>
      <c r="M17" s="55">
        <v>20.9</v>
      </c>
      <c r="N17" s="55" cm="1">
        <f t="array" ref="N17">IFERROR(M17-A17,"N/A")</f>
        <v>4.8999999999999986</v>
      </c>
      <c r="O17" s="55"/>
      <c r="P17" s="56" t="str" cm="1">
        <f t="array" ref="P17">_xlfn.XLOOKUP($B17,ADP!A2:A671,ADP!G2:G671)</f>
        <v>+</v>
      </c>
      <c r="Q17" s="57" cm="1">
        <f t="array" ref="Q17">IF(Settings!$E$12="YES",VLOOKUP(B17,'Player Data'!A1:E673,5,FALSE),84)</f>
        <v>82.265000000000001</v>
      </c>
      <c r="R17" s="55" cm="1">
        <f t="array" ref="R17">VLOOKUP(B17,'Player Data'!$A1:$AE673,6,FALSE)</f>
        <v>21.479668740455899</v>
      </c>
      <c r="S17" s="57" cm="1">
        <f t="array" ref="S17">VLOOKUP(B17,'Player Data'!$A1:$AE673,7,FALSE)*$Q17*IFERROR((VLOOKUP(P17,Settings!$E$28:$F$33,2,FALSE)+1),1)</f>
        <v>40.802233065511395</v>
      </c>
      <c r="T17" s="57" cm="1">
        <f t="array" ref="T17">VLOOKUP(B17,'Player Data'!$A1:$AE673,8,FALSE)*$Q17*IFERROR((VLOOKUP(P17,Settings!$E$28:$F$33,2,FALSE)+1),1)</f>
        <v>51.550455664812219</v>
      </c>
      <c r="U17" s="57" cm="1">
        <f t="array" ref="U17">SUM(S17:T17)</f>
        <v>92.352688730323621</v>
      </c>
      <c r="V17" s="57" cm="1">
        <f t="array" ref="V17">VLOOKUP(B17,'Player Data'!$A1:$AE673,10,FALSE)*$Q17*IFERROR(((VLOOKUP(P17,Settings!$E$28:$F$33,2,FALSE)/2)+1),1)</f>
        <v>286.76698205184243</v>
      </c>
      <c r="W17" s="58" cm="1">
        <f t="array" ref="W17">VLOOKUP(B17,'Player Data'!$A1:$AE673,11,FALSE)*$Q17*IFERROR((VLOOKUP(P17,Settings!$E$28:$F$33,2,FALSE)+1),1)</f>
        <v>10.714239240385098</v>
      </c>
      <c r="X17" s="57" cm="1">
        <f t="array" ref="X17">VLOOKUP(B17,'Player Data'!$A1:$AE673,12,FALSE)*$Q17*IFERROR((VLOOKUP(P17,Settings!$E$28:$F$33,2,FALSE)+1),1)</f>
        <v>29.761955360937467</v>
      </c>
      <c r="Y17" s="57" cm="1">
        <f t="array" ref="Y17">VLOOKUP(B17,'Player Data'!$A1:$AE673,13,FALSE)*$Q17</f>
        <v>2.0216933453844295</v>
      </c>
      <c r="Z17" s="57" cm="1">
        <f t="array" ref="Z17">VLOOKUP(B17,'Player Data'!$A1:$AE673,14,FALSE)*$Q17</f>
        <v>2.1179849553424845</v>
      </c>
      <c r="AA17" s="57" cm="1">
        <f t="array" ref="AA17">VLOOKUP(B17,'Player Data'!$A1:$AE673,15,FALSE)*$Q17</f>
        <v>65.180689072461178</v>
      </c>
      <c r="AB17" s="57" cm="1">
        <f t="array" ref="AB17">VLOOKUP(B17,'Player Data'!$A1:$AE673,16,FALSE)*$Q17</f>
        <v>63.359560977851658</v>
      </c>
      <c r="AC17" s="57" cm="1">
        <f t="array" ref="AC17">VLOOKUP(B17,'Player Data'!$A1:$AE673,17,FALSE)*$Q17*IFERROR((VLOOKUP(P17,Settings!$E$28:$F$33,2,FALSE)+1),1)</f>
        <v>5.5284009870988831</v>
      </c>
      <c r="AD17" s="57" cm="1">
        <f t="array" ref="AD17">VLOOKUP(B17,'Player Data'!$A1:$AE673,18,FALSE)*$Q17</f>
        <v>46.196763199123986</v>
      </c>
      <c r="AE17" s="57" cm="1">
        <f t="array" ref="AE17">VLOOKUP(B17,'Player Data'!$A1:$AE673,19,FALSE)*$Q17*IFERROR((VLOOKUP(P17,Settings!$E$28:$F$33,2,FALSE)+1),1)</f>
        <v>6.6460511242111791</v>
      </c>
      <c r="AF17" s="57" cm="1">
        <f t="array" ref="AF17">VLOOKUP(B17,'Player Data'!$A1:$AE673,20,FALSE)*$Q17</f>
        <v>60.180373235952572</v>
      </c>
      <c r="AG17" s="57" cm="1">
        <f t="array" ref="AG17">VLOOKUP(B17,'Player Data'!$A1:$AE673,21,FALSE)*$Q17</f>
        <v>74.778082591921887</v>
      </c>
      <c r="AH17" s="59" cm="1">
        <f t="array" ref="AH17">VLOOKUP(B17,'Player Data'!$A1:$AE673,22,FALSE)</f>
        <v>0.44591776681786</v>
      </c>
      <c r="AI17" s="55"/>
      <c r="AJ17" s="57"/>
      <c r="AK17" s="57"/>
      <c r="AL17" s="57"/>
      <c r="AM17" s="57"/>
      <c r="AN17" s="57"/>
      <c r="AO17" s="57"/>
      <c r="AP17" s="57"/>
      <c r="AQ17" s="60"/>
      <c r="AR17" s="61"/>
      <c r="AS17" s="55"/>
    </row>
    <row r="18" spans="1:45" ht="21.25" customHeight="1" x14ac:dyDescent="0.15">
      <c r="A18" s="62">
        <f t="shared" si="0"/>
        <v>17</v>
      </c>
      <c r="B18" s="10" t="s">
        <v>144</v>
      </c>
      <c r="C18" s="47" t="s">
        <v>128</v>
      </c>
      <c r="D18" s="48" t="str" cm="1">
        <f t="array" ref="D18">VLOOKUP(B18,'Player Data'!A1:D673,4,FALSE)</f>
        <v>LW,RW</v>
      </c>
      <c r="E18" s="74" cm="1">
        <f t="array" ref="E18">VLOOKUP(B18,RW!A1:F210,3,FALSE)</f>
        <v>4</v>
      </c>
      <c r="F18" s="63" t="str" cm="1">
        <f t="array" ref="F18">VLOOKUP(B18,'Player Data'!A1:B673,2,FALSE)</f>
        <v>DAL</v>
      </c>
      <c r="G18" s="11" cm="1">
        <f t="array" ref="G18">VLOOKUP(B18,'Player Data'!A1:D673,3,FALSE)</f>
        <v>27</v>
      </c>
      <c r="H18" s="67" cm="1">
        <f t="array" ref="H18">IFERROR(VLOOKUP(B18,ADP!A1:F671,6,FALSE)/1000000,VLOOKUP(B18,ADP!A1:F671,6,FALSE))</f>
        <v>12</v>
      </c>
      <c r="I18" s="52">
        <f>IF(Settings!$E$15="POINTS",((R18*Q18)*Settings!$B$12)+(S18*Settings!$B$2)+(T18*Settings!$B$3)+(U18*Settings!$B$4)+(V18*Settings!$B$5)+(X18*Settings!$B$9)+(AA18*Settings!$B$6)+(W18*Settings!$B$8)+(AB18*Settings!$B$7)+(AC18*Settings!$B$14)+(AD18*Settings!$B$15)+(AE18*Settings!$B$16)+(AF18*Settings!$B$17)+(AG18*Settings!$B$18)+(Y18*Settings!$B$10)+(Z18*Settings!$B$11),VLOOKUP(B18,'Standard Deviations'!A$1:C$672,3,FALSE))</f>
        <v>482.26198502606582</v>
      </c>
      <c r="J18" s="53" cm="1">
        <f t="array" ref="J18">IF(D18="G",I18/AJ18,I18/Q18)</f>
        <v>5.7391644058796363</v>
      </c>
      <c r="K18" s="52" cm="1">
        <f t="array" ref="K18">IF(Settings!$E$18="C/LW/RW",VLOOKUP(B18,RW!A1:F210,6,FALSE),VLOOKUP(B18,F!A1:F407,6,FALSE))</f>
        <v>87.318520332508342</v>
      </c>
      <c r="L18" s="54" cm="1">
        <f t="array" ref="L18">IFERROR(K18/H18,"N/A")</f>
        <v>7.2765433610423615</v>
      </c>
      <c r="M18" s="55">
        <v>13.3</v>
      </c>
      <c r="N18" s="55" cm="1">
        <f t="array" ref="N18">IFERROR(M18-A18,"N/A")</f>
        <v>-3.6999999999999993</v>
      </c>
      <c r="O18" s="55"/>
      <c r="P18" s="56" t="str" cm="1">
        <f t="array" ref="P18">_xlfn.XLOOKUP($B18,ADP!A2:A671,ADP!G2:G671)</f>
        <v xml:space="preserve"> </v>
      </c>
      <c r="Q18" s="57" cm="1">
        <f t="array" ref="Q18">IF(Settings!$E$12="YES",VLOOKUP(B18,'Player Data'!A1:E673,5,FALSE),84)</f>
        <v>84.03</v>
      </c>
      <c r="R18" s="55" cm="1">
        <f t="array" ref="R18">VLOOKUP(B18,'Player Data'!$A1:$AE673,6,FALSE)</f>
        <v>20.181435428582301</v>
      </c>
      <c r="S18" s="57" cm="1">
        <f t="array" ref="S18">VLOOKUP(B18,'Player Data'!$A1:$AE673,7,FALSE)*$Q18*IFERROR((VLOOKUP(P18,Settings!$E$28:$F$33,2,FALSE)+1),1)</f>
        <v>41.3845649530735</v>
      </c>
      <c r="T18" s="57" cm="1">
        <f t="array" ref="T18">VLOOKUP(B18,'Player Data'!$A1:$AE673,8,FALSE)*$Q18*IFERROR((VLOOKUP(P18,Settings!$E$28:$F$33,2,FALSE)+1),1)</f>
        <v>54.059336522722205</v>
      </c>
      <c r="U18" s="57" cm="1">
        <f t="array" ref="U18">SUM(S18:T18)</f>
        <v>95.443901475795712</v>
      </c>
      <c r="V18" s="57" cm="1">
        <f t="array" ref="V18">VLOOKUP(B18,'Player Data'!$A1:$AE673,10,FALSE)*$Q18*IFERROR(((VLOOKUP(P18,Settings!$E$28:$F$33,2,FALSE)/2)+1),1)</f>
        <v>282.53310084715253</v>
      </c>
      <c r="W18" s="58" cm="1">
        <f t="array" ref="W18">VLOOKUP(B18,'Player Data'!$A1:$AE673,11,FALSE)*$Q18*IFERROR((VLOOKUP(P18,Settings!$E$28:$F$33,2,FALSE)+1),1)</f>
        <v>13.496571152639666</v>
      </c>
      <c r="X18" s="57" cm="1">
        <f t="array" ref="X18">VLOOKUP(B18,'Player Data'!$A1:$AE673,12,FALSE)*$Q18*IFERROR((VLOOKUP(P18,Settings!$E$28:$F$33,2,FALSE)+1),1)</f>
        <v>34.915236473615884</v>
      </c>
      <c r="Y18" s="57" cm="1">
        <f t="array" ref="Y18">VLOOKUP(B18,'Player Data'!$A1:$AE673,13,FALSE)*$Q18</f>
        <v>9.4444327659745312E-3</v>
      </c>
      <c r="Z18" s="57" cm="1">
        <f t="array" ref="Z18">VLOOKUP(B18,'Player Data'!$A1:$AE673,14,FALSE)*$Q18</f>
        <v>1.5482767931086397E-2</v>
      </c>
      <c r="AA18" s="57" cm="1">
        <f t="array" ref="AA18">VLOOKUP(B18,'Player Data'!$A1:$AE673,15,FALSE)*$Q18</f>
        <v>39.46602186711096</v>
      </c>
      <c r="AB18" s="57" cm="1">
        <f t="array" ref="AB18">VLOOKUP(B18,'Player Data'!$A1:$AE673,16,FALSE)*$Q18</f>
        <v>56.246997647994114</v>
      </c>
      <c r="AC18" s="57" cm="1">
        <f t="array" ref="AC18">VLOOKUP(B18,'Player Data'!$A1:$AE673,17,FALSE)*$Q18*IFERROR((VLOOKUP(P18,Settings!$E$28:$F$33,2,FALSE)+1),1)</f>
        <v>8.8954982443597821</v>
      </c>
      <c r="AD18" s="57" cm="1">
        <f t="array" ref="AD18">VLOOKUP(B18,'Player Data'!$A1:$AE673,18,FALSE)*$Q18</f>
        <v>29.803729501800866</v>
      </c>
      <c r="AE18" s="57" cm="1">
        <f t="array" ref="AE18">VLOOKUP(B18,'Player Data'!$A1:$AE673,19,FALSE)*$Q18*IFERROR((VLOOKUP(P18,Settings!$E$28:$F$33,2,FALSE)+1),1)</f>
        <v>6.9990732145221601</v>
      </c>
      <c r="AF18" s="57" cm="1">
        <f t="array" ref="AF18">VLOOKUP(B18,'Player Data'!$A1:$AE673,20,FALSE)*$Q18</f>
        <v>1.3742017130449358</v>
      </c>
      <c r="AG18" s="57" cm="1">
        <f t="array" ref="AG18">VLOOKUP(B18,'Player Data'!$A1:$AE673,21,FALSE)*$Q18</f>
        <v>3.7885716895028887</v>
      </c>
      <c r="AH18" s="59" cm="1">
        <f t="array" ref="AH18">VLOOKUP(B18,'Player Data'!$A1:$AE673,22,FALSE)</f>
        <v>0.26617509735499301</v>
      </c>
      <c r="AI18" s="55"/>
      <c r="AJ18" s="57"/>
      <c r="AK18" s="57"/>
      <c r="AL18" s="57"/>
      <c r="AM18" s="57"/>
      <c r="AN18" s="57"/>
      <c r="AO18" s="57"/>
      <c r="AP18" s="57"/>
      <c r="AQ18" s="60"/>
      <c r="AR18" s="61"/>
      <c r="AS18" s="55"/>
    </row>
    <row r="19" spans="1:45" ht="21.25" customHeight="1" x14ac:dyDescent="0.15">
      <c r="A19" s="62">
        <f t="shared" si="0"/>
        <v>18</v>
      </c>
      <c r="B19" s="10" t="s">
        <v>145</v>
      </c>
      <c r="C19" s="47" t="s">
        <v>128</v>
      </c>
      <c r="D19" s="48" t="str" cm="1">
        <f t="array" ref="D19">VLOOKUP(B19,'Player Data'!A1:D673,4,FALSE)</f>
        <v>D</v>
      </c>
      <c r="E19" s="68" cm="1">
        <f t="array" ref="E19">VLOOKUP(B19,D!A1:C204,3,FALSE)</f>
        <v>7</v>
      </c>
      <c r="F19" s="69" t="str" cm="1">
        <f t="array" ref="F19">VLOOKUP(B19,'Player Data'!A1:B673,2,FALSE)</f>
        <v>MTL</v>
      </c>
      <c r="G19" s="71" cm="1">
        <f t="array" ref="G19">VLOOKUP(B19,'Player Data'!A1:D673,3,FALSE)</f>
        <v>22</v>
      </c>
      <c r="H19" s="51" cm="1">
        <f t="array" ref="H19">IFERROR(VLOOKUP(B19,ADP!A1:F671,6,FALSE)/1000000,VLOOKUP(B19,ADP!A1:F671,6,FALSE))</f>
        <v>8.85</v>
      </c>
      <c r="I19" s="52">
        <f>IF(Settings!$E$15="POINTS",((R19*Q19)*Settings!$B$12)+(S19*Settings!$B$2)+(T19*Settings!$B$3)+(U19*Settings!$B$4)+(V19*Settings!$B$5)+(X19*Settings!$B$9)+(AA19*Settings!$B$6)+(W19*Settings!$B$8)+(AB19*Settings!$B$7)+(AC19*Settings!$B$14)+(AD19*Settings!$B$15)+(AE19*Settings!$B$16)+(AF19*Settings!$B$17)+(AG19*Settings!$B$18)+(U19*Settings!$B$13)+(Y19*Settings!$B$10)+(Z19*Settings!$B$11),VLOOKUP(B19,'Standard Deviations'!A$1:C$672,3,FALSE))</f>
        <v>391.30278123349416</v>
      </c>
      <c r="J19" s="53" cm="1">
        <f t="array" ref="J19">IF(D19="G",I19/AJ19,I19/Q19)</f>
        <v>4.6678132080817623</v>
      </c>
      <c r="K19" s="52" cm="1">
        <f t="array" ref="K19">VLOOKUP(B19,D!A1:F204,6,FALSE)</f>
        <v>84.648913888900097</v>
      </c>
      <c r="L19" s="54" cm="1">
        <f t="array" ref="L19">IFERROR(K19/H19,"N/A")</f>
        <v>9.5648490269943611</v>
      </c>
      <c r="M19" s="55">
        <v>20</v>
      </c>
      <c r="N19" s="55" cm="1">
        <f t="array" ref="N19">IFERROR(M19-A19,"N/A")</f>
        <v>2</v>
      </c>
      <c r="O19" s="55"/>
      <c r="P19" s="56" t="str" cm="1">
        <f t="array" ref="P19">_xlfn.XLOOKUP($B19,ADP!A2:A671,ADP!G2:G671)</f>
        <v xml:space="preserve"> </v>
      </c>
      <c r="Q19" s="57" cm="1">
        <f t="array" ref="Q19">IF(Settings!$E$12="YES",VLOOKUP(B19,'Player Data'!A1:E673,5,FALSE),84)</f>
        <v>83.83</v>
      </c>
      <c r="R19" s="55" cm="1">
        <f t="array" ref="R19">VLOOKUP(B19,'Player Data'!$A1:$AE673,6,FALSE)</f>
        <v>23.6606980449695</v>
      </c>
      <c r="S19" s="57" cm="1">
        <f t="array" ref="S19">VLOOKUP(B19,'Player Data'!$A1:$AE673,7,FALSE)*$Q19*IFERROR((VLOOKUP(P19,Settings!$E$28:$F$33,2,FALSE)+1),1)</f>
        <v>11.785470661014495</v>
      </c>
      <c r="T19" s="57" cm="1">
        <f t="array" ref="T19">VLOOKUP(B19,'Player Data'!$A1:$AE673,8,FALSE)*$Q19*IFERROR((VLOOKUP(P19,Settings!$E$28:$F$33,2,FALSE)+1),1)</f>
        <v>66.344184190663015</v>
      </c>
      <c r="U19" s="57" cm="1">
        <f t="array" ref="U19">SUM(S19:T19)</f>
        <v>78.129654851677515</v>
      </c>
      <c r="V19" s="57" cm="1">
        <f t="array" ref="V19">VLOOKUP(B19,'Player Data'!$A1:$AE673,10,FALSE)*$Q19*IFERROR(((VLOOKUP(P19,Settings!$E$28:$F$33,2,FALSE)/2)+1),1)</f>
        <v>128.28460300577299</v>
      </c>
      <c r="W19" s="58" cm="1">
        <f t="array" ref="W19">VLOOKUP(B19,'Player Data'!$A1:$AE673,11,FALSE)*$Q19*IFERROR((VLOOKUP(P19,Settings!$E$28:$F$33,2,FALSE)+1),1)</f>
        <v>2.4128998836026803</v>
      </c>
      <c r="X19" s="57" cm="1">
        <f t="array" ref="X19">VLOOKUP(B19,'Player Data'!$A1:$AE673,12,FALSE)*$Q19*IFERROR((VLOOKUP(P19,Settings!$E$28:$F$33,2,FALSE)+1),1)</f>
        <v>26.906464218126104</v>
      </c>
      <c r="Y19" s="57" cm="1">
        <f t="array" ref="Y19">VLOOKUP(B19,'Player Data'!$A1:$AE673,13,FALSE)*$Q19</f>
        <v>1.2103489465289264E-2</v>
      </c>
      <c r="Z19" s="57" cm="1">
        <f t="array" ref="Z19">VLOOKUP(B19,'Player Data'!$A1:$AE673,14,FALSE)*$Q19</f>
        <v>3.7517132730307254E-2</v>
      </c>
      <c r="AA19" s="57" cm="1">
        <f t="array" ref="AA19">VLOOKUP(B19,'Player Data'!$A1:$AE673,15,FALSE)*$Q19</f>
        <v>131.65506764943737</v>
      </c>
      <c r="AB19" s="57" cm="1">
        <f t="array" ref="AB19">VLOOKUP(B19,'Player Data'!$A1:$AE673,16,FALSE)*$Q19</f>
        <v>38.858701430602672</v>
      </c>
      <c r="AC19" s="57" cm="1">
        <f t="array" ref="AC19">VLOOKUP(B19,'Player Data'!$A1:$AE673,17,FALSE)*$Q19*IFERROR((VLOOKUP(P19,Settings!$E$28:$F$33,2,FALSE)+1),1)</f>
        <v>8.599644495937957</v>
      </c>
      <c r="AD19" s="57" cm="1">
        <f t="array" ref="AD19">VLOOKUP(B19,'Player Data'!$A1:$AE673,18,FALSE)*$Q19</f>
        <v>37.950565033954234</v>
      </c>
      <c r="AE19" s="57" cm="1">
        <f t="array" ref="AE19">VLOOKUP(B19,'Player Data'!$A1:$AE673,19,FALSE)*$Q19*IFERROR((VLOOKUP(P19,Settings!$E$28:$F$33,2,FALSE)+1),1)</f>
        <v>1.9621648210052096</v>
      </c>
      <c r="AF19" s="57" cm="1">
        <f t="array" ref="AF19">VLOOKUP(B19,'Player Data'!$A1:$AE673,20,FALSE)*$Q19</f>
        <v>0</v>
      </c>
      <c r="AG19" s="57" cm="1">
        <f t="array" ref="AG19">VLOOKUP(B19,'Player Data'!$A1:$AE673,21,FALSE)*$Q19</f>
        <v>0</v>
      </c>
      <c r="AH19" s="59" cm="1">
        <f t="array" ref="AH19">VLOOKUP(B19,'Player Data'!$A1:$AE673,22,FALSE)</f>
        <v>0</v>
      </c>
      <c r="AI19" s="55"/>
      <c r="AJ19" s="57"/>
      <c r="AK19" s="57"/>
      <c r="AL19" s="57"/>
      <c r="AM19" s="57"/>
      <c r="AN19" s="57"/>
      <c r="AO19" s="57"/>
      <c r="AP19" s="57"/>
      <c r="AQ19" s="60"/>
      <c r="AR19" s="61"/>
      <c r="AS19" s="55"/>
    </row>
    <row r="20" spans="1:45" ht="21.25" customHeight="1" x14ac:dyDescent="0.15">
      <c r="A20" s="62">
        <f t="shared" si="0"/>
        <v>19</v>
      </c>
      <c r="B20" s="10" t="s">
        <v>146</v>
      </c>
      <c r="C20" s="47" t="s">
        <v>147</v>
      </c>
      <c r="D20" s="48" t="str" cm="1">
        <f t="array" ref="D20">VLOOKUP(B20,'Player Data'!A1:D673,4,FALSE)</f>
        <v>D</v>
      </c>
      <c r="E20" s="68" cm="1">
        <f t="array" ref="E20">VLOOKUP(B20,D!A1:C204,3,FALSE)</f>
        <v>8</v>
      </c>
      <c r="F20" s="72" t="str" cm="1">
        <f t="array" ref="F20">VLOOKUP(B20,'Player Data'!A1:B673,2,FALSE)</f>
        <v>DET</v>
      </c>
      <c r="G20" s="11" cm="1">
        <f t="array" ref="G20">VLOOKUP(B20,'Player Data'!A1:D673,3,FALSE)</f>
        <v>25</v>
      </c>
      <c r="H20" s="51" cm="1">
        <f t="array" ref="H20">IFERROR(VLOOKUP(B20,ADP!A1:F671,6,FALSE)/1000000,VLOOKUP(B20,ADP!A1:F671,6,FALSE))</f>
        <v>8.5500000000000007</v>
      </c>
      <c r="I20" s="52">
        <f>IF(Settings!$E$15="POINTS",((R20*Q20)*Settings!$B$12)+(S20*Settings!$B$2)+(T20*Settings!$B$3)+(U20*Settings!$B$4)+(V20*Settings!$B$5)+(X20*Settings!$B$9)+(AA20*Settings!$B$6)+(W20*Settings!$B$8)+(AB20*Settings!$B$7)+(AC20*Settings!$B$14)+(AD20*Settings!$B$15)+(AE20*Settings!$B$16)+(AF20*Settings!$B$17)+(AG20*Settings!$B$18)+(U20*Settings!$B$13)+(Y20*Settings!$B$10)+(Z20*Settings!$B$11),VLOOKUP(B20,'Standard Deviations'!A$1:C$672,3,FALSE))</f>
        <v>389.04273976377107</v>
      </c>
      <c r="J20" s="53" cm="1">
        <f t="array" ref="J20">IF(D20="G",I20/AJ20,I20/Q20)</f>
        <v>4.629807684919327</v>
      </c>
      <c r="K20" s="52" cm="1">
        <f t="array" ref="K20">VLOOKUP(B20,D!A1:F204,6,FALSE)</f>
        <v>82.388872419177005</v>
      </c>
      <c r="L20" s="54" cm="1">
        <f t="array" ref="L20">IFERROR(K20/H20,"N/A")</f>
        <v>9.6361254291435081</v>
      </c>
      <c r="M20" s="55">
        <v>55.9</v>
      </c>
      <c r="N20" s="55" cm="1">
        <f t="array" ref="N20">IFERROR(M20-A20,"N/A")</f>
        <v>36.9</v>
      </c>
      <c r="O20" s="55"/>
      <c r="P20" s="56" t="str" cm="1">
        <f t="array" ref="P20">_xlfn.XLOOKUP($B20,ADP!A2:A671,ADP!G2:G671)</f>
        <v xml:space="preserve"> </v>
      </c>
      <c r="Q20" s="57" cm="1">
        <f t="array" ref="Q20">IF(Settings!$E$12="YES",VLOOKUP(B20,'Player Data'!A1:E673,5,FALSE),84)</f>
        <v>84.03</v>
      </c>
      <c r="R20" s="55" cm="1">
        <f t="array" ref="R20">VLOOKUP(B20,'Player Data'!$A1:$AE673,6,FALSE)</f>
        <v>25.908037364710299</v>
      </c>
      <c r="S20" s="57" cm="1">
        <f t="array" ref="S20">VLOOKUP(B20,'Player Data'!$A1:$AE673,7,FALSE)*$Q20*IFERROR((VLOOKUP(P20,Settings!$E$28:$F$33,2,FALSE)+1),1)</f>
        <v>10.941542661990894</v>
      </c>
      <c r="T20" s="57" cm="1">
        <f t="array" ref="T20">VLOOKUP(B20,'Player Data'!$A1:$AE673,8,FALSE)*$Q20*IFERROR((VLOOKUP(P20,Settings!$E$28:$F$33,2,FALSE)+1),1)</f>
        <v>48.351708013889251</v>
      </c>
      <c r="U20" s="57" cm="1">
        <f t="array" ref="U20">SUM(S20:T20)</f>
        <v>59.293250675880145</v>
      </c>
      <c r="V20" s="57" cm="1">
        <f t="array" ref="V20">VLOOKUP(B20,'Player Data'!$A1:$AE673,10,FALSE)*$Q20*IFERROR(((VLOOKUP(P20,Settings!$E$28:$F$33,2,FALSE)/2)+1),1)</f>
        <v>185.86499362733437</v>
      </c>
      <c r="W20" s="58" cm="1">
        <f t="array" ref="W20">VLOOKUP(B20,'Player Data'!$A1:$AE673,11,FALSE)*$Q20*IFERROR((VLOOKUP(P20,Settings!$E$28:$F$33,2,FALSE)+1),1)</f>
        <v>4.0021779274301617</v>
      </c>
      <c r="X20" s="57" cm="1">
        <f t="array" ref="X20">VLOOKUP(B20,'Player Data'!$A1:$AE673,12,FALSE)*$Q20*IFERROR((VLOOKUP(P20,Settings!$E$28:$F$33,2,FALSE)+1),1)</f>
        <v>27.693520048311328</v>
      </c>
      <c r="Y20" s="57" cm="1">
        <f t="array" ref="Y20">VLOOKUP(B20,'Player Data'!$A1:$AE673,13,FALSE)*$Q20</f>
        <v>1.6155665813142137E-2</v>
      </c>
      <c r="Z20" s="57" cm="1">
        <f t="array" ref="Z20">VLOOKUP(B20,'Player Data'!$A1:$AE673,14,FALSE)*$Q20</f>
        <v>0.25879374603125177</v>
      </c>
      <c r="AA20" s="57" cm="1">
        <f t="array" ref="AA20">VLOOKUP(B20,'Player Data'!$A1:$AE673,15,FALSE)*$Q20</f>
        <v>180.55635425624175</v>
      </c>
      <c r="AB20" s="57" cm="1">
        <f t="array" ref="AB20">VLOOKUP(B20,'Player Data'!$A1:$AE673,16,FALSE)*$Q20</f>
        <v>144.70939689563079</v>
      </c>
      <c r="AC20" s="57" cm="1">
        <f t="array" ref="AC20">VLOOKUP(B20,'Player Data'!$A1:$AE673,17,FALSE)*$Q20*IFERROR((VLOOKUP(P20,Settings!$E$28:$F$33,2,FALSE)+1),1)</f>
        <v>2.2321092085825573</v>
      </c>
      <c r="AD20" s="57" cm="1">
        <f t="array" ref="AD20">VLOOKUP(B20,'Player Data'!$A1:$AE673,18,FALSE)*$Q20</f>
        <v>53.677452745358067</v>
      </c>
      <c r="AE20" s="57" cm="1">
        <f t="array" ref="AE20">VLOOKUP(B20,'Player Data'!$A1:$AE673,19,FALSE)*$Q20*IFERROR((VLOOKUP(P20,Settings!$E$28:$F$33,2,FALSE)+1),1)</f>
        <v>1.714626196294617</v>
      </c>
      <c r="AF20" s="57" cm="1">
        <f t="array" ref="AF20">VLOOKUP(B20,'Player Data'!$A1:$AE673,20,FALSE)*$Q20</f>
        <v>0</v>
      </c>
      <c r="AG20" s="57" cm="1">
        <f t="array" ref="AG20">VLOOKUP(B20,'Player Data'!$A1:$AE673,21,FALSE)*$Q20</f>
        <v>0</v>
      </c>
      <c r="AH20" s="59" cm="1">
        <f t="array" ref="AH20">VLOOKUP(B20,'Player Data'!$A1:$AE673,22,FALSE)</f>
        <v>0</v>
      </c>
      <c r="AI20" s="55"/>
      <c r="AJ20" s="57"/>
      <c r="AK20" s="57"/>
      <c r="AL20" s="57"/>
      <c r="AM20" s="57"/>
      <c r="AN20" s="57"/>
      <c r="AO20" s="57"/>
      <c r="AP20" s="57"/>
      <c r="AQ20" s="60"/>
      <c r="AR20" s="61"/>
      <c r="AS20" s="55"/>
    </row>
    <row r="21" spans="1:45" ht="21.25" customHeight="1" x14ac:dyDescent="0.15">
      <c r="A21" s="62">
        <f t="shared" si="0"/>
        <v>20</v>
      </c>
      <c r="B21" s="10" t="s">
        <v>148</v>
      </c>
      <c r="C21" s="47" t="s">
        <v>128</v>
      </c>
      <c r="D21" s="48" t="str" cm="1">
        <f t="array" ref="D21">VLOOKUP(B21,'Player Data'!A1:D673,4,FALSE)</f>
        <v>LW</v>
      </c>
      <c r="E21" s="75" cm="1">
        <f t="array" ref="E21">VLOOKUP(B21,LW!A1:C210,3,FALSE)</f>
        <v>5</v>
      </c>
      <c r="F21" s="70" t="str" cm="1">
        <f t="array" ref="F21">VLOOKUP(B21,'Player Data'!A1:B673,2,FALSE)</f>
        <v>MIN</v>
      </c>
      <c r="G21" s="11" cm="1">
        <f t="array" ref="G21">VLOOKUP(B21,'Player Data'!A1:D673,3,FALSE)</f>
        <v>29</v>
      </c>
      <c r="H21" s="51" cm="1">
        <f t="array" ref="H21">IFERROR(VLOOKUP(B21,ADP!A1:F671,6,FALSE)/1000000,VLOOKUP(B21,ADP!A1:F671,6,FALSE))</f>
        <v>17</v>
      </c>
      <c r="I21" s="52">
        <f>IF(Settings!$E$15="POINTS",((R21*Q21)*Settings!$B$12)+(S21*Settings!$B$2)+(T21*Settings!$B$3)+(U21*Settings!$B$4)+(V21*Settings!$B$5)+(X21*Settings!$B$9)+(AA21*Settings!$B$6)+(W21*Settings!$B$8)+(AB21*Settings!$B$7)+(AC21*Settings!$B$14)+(AD21*Settings!$B$15)+(AE21*Settings!$B$16)+(AF21*Settings!$B$17)+(AG21*Settings!$B$18)+(Y21*Settings!$B$10)+(Z21*Settings!$B$11),VLOOKUP(B21,'Standard Deviations'!A$1:C$672,3,FALSE))</f>
        <v>475.66771056679676</v>
      </c>
      <c r="J21" s="53" cm="1">
        <f t="array" ref="J21">IF(D21="G",I21/AJ21,I21/Q21)</f>
        <v>6.1789070316863803</v>
      </c>
      <c r="K21" s="52" cm="1">
        <f t="array" ref="K21">IF(Settings!$E$18="C/LW/RW",VLOOKUP(B21,LW!A1:F210,6,FALSE),VLOOKUP(B21,F!A1:F407,6,FALSE))</f>
        <v>76.354717253076672</v>
      </c>
      <c r="L21" s="54" cm="1">
        <f t="array" ref="L21">IFERROR(K21/H21,"N/A")</f>
        <v>4.4914539560633333</v>
      </c>
      <c r="M21" s="55">
        <v>10.9</v>
      </c>
      <c r="N21" s="55" cm="1">
        <f t="array" ref="N21">IFERROR(M21-A21,"N/A")</f>
        <v>-9.1</v>
      </c>
      <c r="O21" s="55"/>
      <c r="P21" s="56" t="str" cm="1">
        <f t="array" ref="P21">_xlfn.XLOOKUP($B21,ADP!A2:A671,ADP!G2:G671)</f>
        <v>+</v>
      </c>
      <c r="Q21" s="57" cm="1">
        <f t="array" ref="Q21">IF(Settings!$E$12="YES",VLOOKUP(B21,'Player Data'!A1:E673,5,FALSE),84)</f>
        <v>76.982500000000002</v>
      </c>
      <c r="R21" s="55" cm="1">
        <f t="array" ref="R21">VLOOKUP(B21,'Player Data'!$A1:$AE673,6,FALSE)</f>
        <v>22.1293890835952</v>
      </c>
      <c r="S21" s="57" cm="1">
        <f t="array" ref="S21">VLOOKUP(B21,'Player Data'!$A1:$AE673,7,FALSE)*$Q21*IFERROR((VLOOKUP(P21,Settings!$E$28:$F$33,2,FALSE)+1),1)</f>
        <v>46.244871568692616</v>
      </c>
      <c r="T21" s="57" cm="1">
        <f t="array" ref="T21">VLOOKUP(B21,'Player Data'!$A1:$AE673,8,FALSE)*$Q21*IFERROR((VLOOKUP(P21,Settings!$E$28:$F$33,2,FALSE)+1),1)</f>
        <v>50.88742063819479</v>
      </c>
      <c r="U21" s="57" cm="1">
        <f t="array" ref="U21">SUM(S21:T21)</f>
        <v>97.132292206887399</v>
      </c>
      <c r="V21" s="57" cm="1">
        <f t="array" ref="V21">VLOOKUP(B21,'Player Data'!$A1:$AE673,10,FALSE)*$Q21*IFERROR(((VLOOKUP(P21,Settings!$E$28:$F$33,2,FALSE)/2)+1),1)</f>
        <v>272.08946127192587</v>
      </c>
      <c r="W21" s="58" cm="1">
        <f t="array" ref="W21">VLOOKUP(B21,'Player Data'!$A1:$AE673,11,FALSE)*$Q21*IFERROR((VLOOKUP(P21,Settings!$E$28:$F$33,2,FALSE)+1),1)</f>
        <v>16.916547658902683</v>
      </c>
      <c r="X21" s="57" cm="1">
        <f t="array" ref="X21">VLOOKUP(B21,'Player Data'!$A1:$AE673,12,FALSE)*$Q21*IFERROR((VLOOKUP(P21,Settings!$E$28:$F$33,2,FALSE)+1),1)</f>
        <v>33.158836843082092</v>
      </c>
      <c r="Y21" s="57" cm="1">
        <f t="array" ref="Y21">VLOOKUP(B21,'Player Data'!$A1:$AE673,13,FALSE)*$Q21</f>
        <v>2.7852565101137748E-3</v>
      </c>
      <c r="Z21" s="57" cm="1">
        <f t="array" ref="Z21">VLOOKUP(B21,'Player Data'!$A1:$AE673,14,FALSE)*$Q21</f>
        <v>4.5669109415483779E-3</v>
      </c>
      <c r="AA21" s="57" cm="1">
        <f t="array" ref="AA21">VLOOKUP(B21,'Player Data'!$A1:$AE673,15,FALSE)*$Q21</f>
        <v>30.125399112295884</v>
      </c>
      <c r="AB21" s="57" cm="1">
        <f t="array" ref="AB21">VLOOKUP(B21,'Player Data'!$A1:$AE673,16,FALSE)*$Q21</f>
        <v>49.206779326026862</v>
      </c>
      <c r="AC21" s="57" cm="1">
        <f t="array" ref="AC21">VLOOKUP(B21,'Player Data'!$A1:$AE673,17,FALSE)*$Q21*IFERROR((VLOOKUP(P21,Settings!$E$28:$F$33,2,FALSE)+1),1)</f>
        <v>5.7805204076554517</v>
      </c>
      <c r="AD21" s="57" cm="1">
        <f t="array" ref="AD21">VLOOKUP(B21,'Player Data'!$A1:$AE673,18,FALSE)*$Q21</f>
        <v>32.709406285647084</v>
      </c>
      <c r="AE21" s="57" cm="1">
        <f t="array" ref="AE21">VLOOKUP(B21,'Player Data'!$A1:$AE673,19,FALSE)*$Q21*IFERROR((VLOOKUP(P21,Settings!$E$28:$F$33,2,FALSE)+1),1)</f>
        <v>7.5325725477976082</v>
      </c>
      <c r="AF21" s="57" cm="1">
        <f t="array" ref="AF21">VLOOKUP(B21,'Player Data'!$A1:$AE673,20,FALSE)*$Q21</f>
        <v>3.3054278151991402E-8</v>
      </c>
      <c r="AG21" s="57" cm="1">
        <f t="array" ref="AG21">VLOOKUP(B21,'Player Data'!$A1:$AE673,21,FALSE)*$Q21</f>
        <v>2.1377172151837351</v>
      </c>
      <c r="AH21" s="59" cm="1">
        <f t="array" ref="AH21">VLOOKUP(B21,'Player Data'!$A1:$AE673,22,FALSE)</f>
        <v>1.5462418231052801E-8</v>
      </c>
      <c r="AI21" s="55"/>
      <c r="AJ21" s="57"/>
      <c r="AK21" s="57"/>
      <c r="AL21" s="57"/>
      <c r="AM21" s="57"/>
      <c r="AN21" s="57"/>
      <c r="AO21" s="57"/>
      <c r="AP21" s="57"/>
      <c r="AQ21" s="60"/>
      <c r="AR21" s="61"/>
      <c r="AS21" s="55"/>
    </row>
    <row r="22" spans="1:45" ht="21.25" customHeight="1" x14ac:dyDescent="0.15">
      <c r="A22" s="62">
        <f t="shared" si="0"/>
        <v>21</v>
      </c>
      <c r="B22" s="10" t="s">
        <v>149</v>
      </c>
      <c r="C22" s="47" t="s">
        <v>128</v>
      </c>
      <c r="D22" s="48" t="str" cm="1">
        <f t="array" ref="D22">VLOOKUP(B22,'Player Data'!A1:D673,4,FALSE)</f>
        <v>C</v>
      </c>
      <c r="E22" s="49" cm="1">
        <f t="array" ref="E22">VLOOKUP(B22,'C'!A1:C210,3,FALSE)</f>
        <v>8</v>
      </c>
      <c r="F22" s="69" t="str" cm="1">
        <f t="array" ref="F22">VLOOKUP(B22,'Player Data'!A1:B673,2,FALSE)</f>
        <v>MTL</v>
      </c>
      <c r="G22" s="11" cm="1">
        <f t="array" ref="G22">VLOOKUP(B22,'Player Data'!A1:D673,3,FALSE)</f>
        <v>27</v>
      </c>
      <c r="H22" s="51" cm="1">
        <f t="array" ref="H22">IFERROR(VLOOKUP(B22,ADP!A1:F671,6,FALSE)/1000000,VLOOKUP(B22,ADP!A1:F671,6,FALSE))</f>
        <v>7.875</v>
      </c>
      <c r="I22" s="52">
        <f>IF(Settings!$E$15="POINTS",((R22*Q22)*Settings!$B$12)+(S22*Settings!$B$2)+(T22*Settings!$B$3)+(U22*Settings!$B$4)+(V22*Settings!$B$5)+(X22*Settings!$B$9)+(AA22*Settings!$B$6)+(W22*Settings!$B$8)+(AB22*Settings!$B$7)+(AC22*Settings!$B$14)+(AD22*Settings!$B$15)+(AE22*Settings!$B$16)+(AF22*Settings!$B$17)+(AG22*Settings!$B$18)+(Y22*Settings!$B$10)+(Z22*Settings!$B$11),VLOOKUP(B22,'Standard Deviations'!A$1:C$672,3,FALSE))</f>
        <v>448.75186605027466</v>
      </c>
      <c r="J22" s="53" cm="1">
        <f t="array" ref="J22">IF(D22="G",I22/AJ22,I22/Q22)</f>
        <v>5.3403768422024829</v>
      </c>
      <c r="K22" s="52" cm="1">
        <f t="array" ref="K22">IF(Settings!$E$18="C/LW/RW",VLOOKUP(B22,'C'!A1:F210,6,FALSE),VLOOKUP(B22,F!A1:F407,6,FALSE))</f>
        <v>62.216659657191656</v>
      </c>
      <c r="L22" s="54" cm="1">
        <f t="array" ref="L22">IFERROR(K22/H22,"N/A")</f>
        <v>7.9005282104370353</v>
      </c>
      <c r="M22" s="55">
        <v>12.1</v>
      </c>
      <c r="N22" s="55" cm="1">
        <f t="array" ref="N22">IFERROR(M22-A22,"N/A")</f>
        <v>-8.9</v>
      </c>
      <c r="O22" s="55"/>
      <c r="P22" s="56" t="str" cm="1">
        <f t="array" ref="P22">_xlfn.XLOOKUP($B22,ADP!A2:A671,ADP!G2:G671)</f>
        <v xml:space="preserve"> </v>
      </c>
      <c r="Q22" s="57" cm="1">
        <f t="array" ref="Q22">IF(Settings!$E$12="YES",VLOOKUP(B22,'Player Data'!A1:E673,5,FALSE),84)</f>
        <v>84.03</v>
      </c>
      <c r="R22" s="55" cm="1">
        <f t="array" ref="R22">VLOOKUP(B22,'Player Data'!$A1:$AE673,6,FALSE)</f>
        <v>20.770958195503098</v>
      </c>
      <c r="S22" s="57" cm="1">
        <f t="array" ref="S22">VLOOKUP(B22,'Player Data'!$A1:$AE673,7,FALSE)*$Q22*IFERROR((VLOOKUP(P22,Settings!$E$28:$F$33,2,FALSE)+1),1)</f>
        <v>31.486228272761885</v>
      </c>
      <c r="T22" s="57" cm="1">
        <f t="array" ref="T22">VLOOKUP(B22,'Player Data'!$A1:$AE673,8,FALSE)*$Q22*IFERROR((VLOOKUP(P22,Settings!$E$28:$F$33,2,FALSE)+1),1)</f>
        <v>63.516781275338261</v>
      </c>
      <c r="U22" s="57" cm="1">
        <f t="array" ref="U22">SUM(S22:T22)</f>
        <v>95.003009548100152</v>
      </c>
      <c r="V22" s="57" cm="1">
        <f t="array" ref="V22">VLOOKUP(B22,'Player Data'!$A1:$AE673,10,FALSE)*$Q22*IFERROR(((VLOOKUP(P22,Settings!$E$28:$F$33,2,FALSE)/2)+1),1)</f>
        <v>189.6395497343255</v>
      </c>
      <c r="W22" s="58" cm="1">
        <f t="array" ref="W22">VLOOKUP(B22,'Player Data'!$A1:$AE673,11,FALSE)*$Q22*IFERROR((VLOOKUP(P22,Settings!$E$28:$F$33,2,FALSE)+1),1)</f>
        <v>9.4126591561393465</v>
      </c>
      <c r="X22" s="57" cm="1">
        <f t="array" ref="X22">VLOOKUP(B22,'Player Data'!$A1:$AE673,12,FALSE)*$Q22*IFERROR((VLOOKUP(P22,Settings!$E$28:$F$33,2,FALSE)+1),1)</f>
        <v>36.101394809376409</v>
      </c>
      <c r="Y22" s="57" cm="1">
        <f t="array" ref="Y22">VLOOKUP(B22,'Player Data'!$A1:$AE673,13,FALSE)*$Q22</f>
        <v>0.99333256664904279</v>
      </c>
      <c r="Z22" s="57" cm="1">
        <f t="array" ref="Z22">VLOOKUP(B22,'Player Data'!$A1:$AE673,14,FALSE)*$Q22</f>
        <v>1.0545311075268426</v>
      </c>
      <c r="AA22" s="57" cm="1">
        <f t="array" ref="AA22">VLOOKUP(B22,'Player Data'!$A1:$AE673,15,FALSE)*$Q22</f>
        <v>63.534273243816472</v>
      </c>
      <c r="AB22" s="57" cm="1">
        <f t="array" ref="AB22">VLOOKUP(B22,'Player Data'!$A1:$AE673,16,FALSE)*$Q22</f>
        <v>64.336659257635461</v>
      </c>
      <c r="AC22" s="57" cm="1">
        <f t="array" ref="AC22">VLOOKUP(B22,'Player Data'!$A1:$AE673,17,FALSE)*$Q22*IFERROR((VLOOKUP(P22,Settings!$E$28:$F$33,2,FALSE)+1),1)</f>
        <v>6.8421212472437842</v>
      </c>
      <c r="AD22" s="57" cm="1">
        <f t="array" ref="AD22">VLOOKUP(B22,'Player Data'!$A1:$AE673,18,FALSE)*$Q22</f>
        <v>24.073072197999103</v>
      </c>
      <c r="AE22" s="57" cm="1">
        <f t="array" ref="AE22">VLOOKUP(B22,'Player Data'!$A1:$AE673,19,FALSE)*$Q22*IFERROR((VLOOKUP(P22,Settings!$E$28:$F$33,2,FALSE)+1),1)</f>
        <v>5.2421469824977658</v>
      </c>
      <c r="AF22" s="57" cm="1">
        <f t="array" ref="AF22">VLOOKUP(B22,'Player Data'!$A1:$AE673,20,FALSE)*$Q22</f>
        <v>741.60788999049214</v>
      </c>
      <c r="AG22" s="57" cm="1">
        <f t="array" ref="AG22">VLOOKUP(B22,'Player Data'!$A1:$AE673,21,FALSE)*$Q22</f>
        <v>703.62876406272176</v>
      </c>
      <c r="AH22" s="59" cm="1">
        <f t="array" ref="AH22">VLOOKUP(B22,'Player Data'!$A1:$AE673,22,FALSE)</f>
        <v>0.51313941416488995</v>
      </c>
      <c r="AI22" s="55"/>
      <c r="AJ22" s="57"/>
      <c r="AK22" s="57"/>
      <c r="AL22" s="57"/>
      <c r="AM22" s="57"/>
      <c r="AN22" s="57"/>
      <c r="AO22" s="57"/>
      <c r="AP22" s="57"/>
      <c r="AQ22" s="60"/>
      <c r="AR22" s="61"/>
      <c r="AS22" s="55"/>
    </row>
    <row r="23" spans="1:45" ht="21.25" customHeight="1" x14ac:dyDescent="0.15">
      <c r="A23" s="62">
        <f t="shared" si="0"/>
        <v>22</v>
      </c>
      <c r="B23" s="10" t="s">
        <v>150</v>
      </c>
      <c r="C23" s="47" t="s">
        <v>128</v>
      </c>
      <c r="D23" s="48" t="str" cm="1">
        <f t="array" ref="D23">VLOOKUP(B23,'Player Data'!A1:D673,4,FALSE)</f>
        <v>D</v>
      </c>
      <c r="E23" s="68" cm="1">
        <f t="array" ref="E23">VLOOKUP(B23,D!A1:C204,3,FALSE)</f>
        <v>9</v>
      </c>
      <c r="F23" s="56" t="str" cm="1">
        <f t="array" ref="F23">VLOOKUP(B23,'Player Data'!A1:B673,2,FALSE)</f>
        <v>NYR</v>
      </c>
      <c r="G23" s="11" cm="1">
        <f t="array" ref="G23">VLOOKUP(B23,'Player Data'!A1:D673,3,FALSE)</f>
        <v>28</v>
      </c>
      <c r="H23" s="51" cm="1">
        <f t="array" ref="H23">IFERROR(VLOOKUP(B23,ADP!A1:F671,6,FALSE)/1000000,VLOOKUP(B23,ADP!A1:F671,6,FALSE))</f>
        <v>9.5</v>
      </c>
      <c r="I23" s="52">
        <f>IF(Settings!$E$15="POINTS",((R23*Q23)*Settings!$B$12)+(S23*Settings!$B$2)+(T23*Settings!$B$3)+(U23*Settings!$B$4)+(V23*Settings!$B$5)+(X23*Settings!$B$9)+(AA23*Settings!$B$6)+(W23*Settings!$B$8)+(AB23*Settings!$B$7)+(AC23*Settings!$B$14)+(AD23*Settings!$B$15)+(AE23*Settings!$B$16)+(AF23*Settings!$B$17)+(AG23*Settings!$B$18)+(U23*Settings!$B$13)+(Y23*Settings!$B$10)+(Z23*Settings!$B$11),VLOOKUP(B23,'Standard Deviations'!A$1:C$672,3,FALSE))</f>
        <v>368.71899216742719</v>
      </c>
      <c r="J23" s="53" cm="1">
        <f t="array" ref="J23">IF(D23="G",I23/AJ23,I23/Q23)</f>
        <v>4.7800225852202516</v>
      </c>
      <c r="K23" s="52" cm="1">
        <f t="array" ref="K23">VLOOKUP(B23,D!A1:F204,6,FALSE)</f>
        <v>62.065124822833127</v>
      </c>
      <c r="L23" s="54" cm="1">
        <f t="array" ref="L23">IFERROR(K23/H23,"N/A")</f>
        <v>6.533171033982434</v>
      </c>
      <c r="M23" s="55">
        <v>58</v>
      </c>
      <c r="N23" s="55" cm="1">
        <f t="array" ref="N23">IFERROR(M23-A23,"N/A")</f>
        <v>36</v>
      </c>
      <c r="O23" s="55"/>
      <c r="P23" s="56" t="str" cm="1">
        <f t="array" ref="P23">_xlfn.XLOOKUP($B23,ADP!A2:A671,ADP!G2:G671)</f>
        <v xml:space="preserve"> </v>
      </c>
      <c r="Q23" s="57" cm="1">
        <f t="array" ref="Q23">IF(Settings!$E$12="YES",VLOOKUP(B23,'Player Data'!A1:E673,5,FALSE),84)</f>
        <v>77.137500000000003</v>
      </c>
      <c r="R23" s="55" cm="1">
        <f t="array" ref="R23">VLOOKUP(B23,'Player Data'!$A1:$AE673,6,FALSE)</f>
        <v>23.8201351853346</v>
      </c>
      <c r="S23" s="57" cm="1">
        <f t="array" ref="S23">VLOOKUP(B23,'Player Data'!$A1:$AE673,7,FALSE)*$Q23*IFERROR((VLOOKUP(P23,Settings!$E$28:$F$33,2,FALSE)+1),1)</f>
        <v>13.001865027101481</v>
      </c>
      <c r="T23" s="57" cm="1">
        <f t="array" ref="T23">VLOOKUP(B23,'Player Data'!$A1:$AE673,8,FALSE)*$Q23*IFERROR((VLOOKUP(P23,Settings!$E$28:$F$33,2,FALSE)+1),1)</f>
        <v>58.542163704181981</v>
      </c>
      <c r="U23" s="57" cm="1">
        <f t="array" ref="U23">SUM(S23:T23)</f>
        <v>71.544028731283461</v>
      </c>
      <c r="V23" s="57" cm="1">
        <f t="array" ref="V23">VLOOKUP(B23,'Player Data'!$A1:$AE673,10,FALSE)*$Q23*IFERROR(((VLOOKUP(P23,Settings!$E$28:$F$33,2,FALSE)/2)+1),1)</f>
        <v>136.44952764982045</v>
      </c>
      <c r="W23" s="58" cm="1">
        <f t="array" ref="W23">VLOOKUP(B23,'Player Data'!$A1:$AE673,11,FALSE)*$Q23*IFERROR((VLOOKUP(P23,Settings!$E$28:$F$33,2,FALSE)+1),1)</f>
        <v>4.8829036708168578</v>
      </c>
      <c r="X23" s="57" cm="1">
        <f t="array" ref="X23">VLOOKUP(B23,'Player Data'!$A1:$AE673,12,FALSE)*$Q23*IFERROR((VLOOKUP(P23,Settings!$E$28:$F$33,2,FALSE)+1),1)</f>
        <v>30.375561697109784</v>
      </c>
      <c r="Y23" s="57" cm="1">
        <f t="array" ref="Y23">VLOOKUP(B23,'Player Data'!$A1:$AE673,13,FALSE)*$Q23</f>
        <v>9.1427130132295781E-2</v>
      </c>
      <c r="Z23" s="57" cm="1">
        <f t="array" ref="Z23">VLOOKUP(B23,'Player Data'!$A1:$AE673,14,FALSE)*$Q23</f>
        <v>0.50142613240300915</v>
      </c>
      <c r="AA23" s="57" cm="1">
        <f t="array" ref="AA23">VLOOKUP(B23,'Player Data'!$A1:$AE673,15,FALSE)*$Q23</f>
        <v>109.97030863830756</v>
      </c>
      <c r="AB23" s="57" cm="1">
        <f t="array" ref="AB23">VLOOKUP(B23,'Player Data'!$A1:$AE673,16,FALSE)*$Q23</f>
        <v>47.044595022318504</v>
      </c>
      <c r="AC23" s="57" cm="1">
        <f t="array" ref="AC23">VLOOKUP(B23,'Player Data'!$A1:$AE673,17,FALSE)*$Q23*IFERROR((VLOOKUP(P23,Settings!$E$28:$F$33,2,FALSE)+1),1)</f>
        <v>4.0832901941394466</v>
      </c>
      <c r="AD23" s="57" cm="1">
        <f t="array" ref="AD23">VLOOKUP(B23,'Player Data'!$A1:$AE673,18,FALSE)*$Q23</f>
        <v>35.998390828476921</v>
      </c>
      <c r="AE23" s="57" cm="1">
        <f t="array" ref="AE23">VLOOKUP(B23,'Player Data'!$A1:$AE673,19,FALSE)*$Q23*IFERROR((VLOOKUP(P23,Settings!$E$28:$F$33,2,FALSE)+1),1)</f>
        <v>2.0426422993616371</v>
      </c>
      <c r="AF23" s="57" cm="1">
        <f t="array" ref="AF23">VLOOKUP(B23,'Player Data'!$A1:$AE673,20,FALSE)*$Q23</f>
        <v>0</v>
      </c>
      <c r="AG23" s="57" cm="1">
        <f t="array" ref="AG23">VLOOKUP(B23,'Player Data'!$A1:$AE673,21,FALSE)*$Q23</f>
        <v>0</v>
      </c>
      <c r="AH23" s="59" cm="1">
        <f t="array" ref="AH23">VLOOKUP(B23,'Player Data'!$A1:$AE673,22,FALSE)</f>
        <v>0</v>
      </c>
      <c r="AI23" s="55"/>
      <c r="AJ23" s="57"/>
      <c r="AK23" s="57"/>
      <c r="AL23" s="57"/>
      <c r="AM23" s="57"/>
      <c r="AN23" s="57"/>
      <c r="AO23" s="57"/>
      <c r="AP23" s="57"/>
      <c r="AQ23" s="60"/>
      <c r="AR23" s="61"/>
      <c r="AS23" s="55"/>
    </row>
    <row r="24" spans="1:45" ht="21.25" customHeight="1" x14ac:dyDescent="0.15">
      <c r="A24" s="62">
        <f t="shared" si="0"/>
        <v>23</v>
      </c>
      <c r="B24" s="10" t="s">
        <v>151</v>
      </c>
      <c r="C24" s="76"/>
      <c r="D24" s="48" t="str" cm="1">
        <f t="array" ref="D24">VLOOKUP(B24,'Player Data'!A1:D673,4,FALSE)</f>
        <v>G</v>
      </c>
      <c r="E24" s="77" cm="1">
        <f t="array" ref="E24">VLOOKUP(B24,G!A1:D66,3,FALSE)</f>
        <v>1</v>
      </c>
      <c r="F24" s="18" t="str" cm="1">
        <f t="array" ref="F24">VLOOKUP(B24,'Player Data'!A1:B673,2,FALSE)</f>
        <v>WPG</v>
      </c>
      <c r="G24" s="66" cm="1">
        <f t="array" ref="G24">VLOOKUP(B24,'Player Data'!A1:D673,3,FALSE)</f>
        <v>33</v>
      </c>
      <c r="H24" s="51" cm="1">
        <f t="array" ref="H24">IFERROR(VLOOKUP(B24,ADP!A1:F671,6,FALSE)/1000000,VLOOKUP(B24,ADP!A1:F671,6,FALSE))</f>
        <v>8.5</v>
      </c>
      <c r="I24" s="52">
        <f>IF(Settings!$E$15="POINTS",(AJ24*Settings!$B$29)+(AK24*Settings!$B$21)+(AL24*Settings!$B$22)+(AN24*Settings!$B$24)+(AO24*Settings!$B$25)+(AP24*Settings!$B$27)+(AM24*Settings!$B$23),VLOOKUP(B24,'Standard Deviations'!A$1:C$672,3,FALSE))</f>
        <v>418.6365837347945</v>
      </c>
      <c r="J24" s="53" cm="1">
        <f t="array" ref="J24">IF(D24="G",I24/AJ24,I24/Q24)</f>
        <v>6.9772763955799082</v>
      </c>
      <c r="K24" s="52" cm="1">
        <f t="array" ref="K24">VLOOKUP(B24,G!A1:F66,6,FALSE)</f>
        <v>59.478675804556474</v>
      </c>
      <c r="L24" s="54" cm="1">
        <f t="array" ref="L24">IFERROR(K24/H24,"N/A")</f>
        <v>6.9974912711242911</v>
      </c>
      <c r="M24" s="55">
        <v>26.6</v>
      </c>
      <c r="N24" s="55" cm="1">
        <f t="array" ref="N24">IFERROR(M24-A24,"N/A")</f>
        <v>3.6000000000000014</v>
      </c>
      <c r="O24" s="55"/>
      <c r="P24" s="56" t="str" cm="1">
        <f t="array" ref="P24">_xlfn.XLOOKUP($B24,ADP!A2:A671,ADP!G2:G671)</f>
        <v xml:space="preserve"> </v>
      </c>
      <c r="Q24" s="57"/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9"/>
      <c r="AI24" s="55"/>
      <c r="AJ24" s="78" cm="1">
        <f t="array" ref="AJ24">VLOOKUP(B24,'Player Data'!$A1:$AE673,24,FALSE)</f>
        <v>60</v>
      </c>
      <c r="AK24" s="57" cm="1">
        <f t="array" ref="AK24">VLOOKUP(B24,'Player Data'!$A1:$AE673,25,FALSE)*$AJ24*IFERROR((VLOOKUP(P24,Settings!$E$28:$F$33,2,FALSE)+1),1)</f>
        <v>31.383681896168579</v>
      </c>
      <c r="AL24" s="57" cm="1">
        <f t="array" ref="AL24">AJ24-AK24-AM24</f>
        <v>21.462238577873581</v>
      </c>
      <c r="AM24" s="57" cm="1">
        <f t="array" ref="AM24">VLOOKUP(B24,'Player Data'!$A1:$AE673,27,FALSE)*$AJ24</f>
        <v>7.1540795259578394</v>
      </c>
      <c r="AN24" s="57" cm="1">
        <f t="array" ref="AN24">VLOOKUP(B24,'Player Data'!$A1:$AE673,28,FALSE)*AJ24</f>
        <v>4.2977948684928595</v>
      </c>
      <c r="AO24" s="57" cm="1">
        <f t="array" ref="AO24">VLOOKUP(B24,'Player Data'!$A1:$AE673,29,FALSE)*$AJ24*IFERROR((VLOOKUP(P24,Settings!$E$28:$F$33,2,FALSE)/4)+1,1)</f>
        <v>1578.8732715524879</v>
      </c>
      <c r="AP24" s="57" cm="1">
        <f t="array" ref="AP24">VLOOKUP(B24,'Player Data'!$A1:$AE673,31,FALSE)*$AJ24*(IFERROR(1-(VLOOKUP(P24,Settings!$E$28:$F$33,2,FALSE)/4),1))</f>
        <v>156.416297532816</v>
      </c>
      <c r="AQ24" s="60" cm="1">
        <f t="array" ref="AQ24">1-(AP24/(AO24+AP24))</f>
        <v>0.90986155837076499</v>
      </c>
      <c r="AR24" s="61" cm="1">
        <f t="array" ref="AR24">AP24/AJ24</f>
        <v>2.6069382922136</v>
      </c>
      <c r="AS24" s="55"/>
    </row>
    <row r="25" spans="1:45" ht="21.25" customHeight="1" x14ac:dyDescent="0.15">
      <c r="A25" s="62">
        <f t="shared" si="0"/>
        <v>24</v>
      </c>
      <c r="B25" s="10" t="s">
        <v>152</v>
      </c>
      <c r="C25" s="47" t="s">
        <v>128</v>
      </c>
      <c r="D25" s="48" t="str" cm="1">
        <f t="array" ref="D25">VLOOKUP(B25,'Player Data'!A1:D673,4,FALSE)</f>
        <v>D</v>
      </c>
      <c r="E25" s="68" cm="1">
        <f t="array" ref="E25">VLOOKUP(B25,D!A1:C204,3,FALSE)</f>
        <v>10</v>
      </c>
      <c r="F25" s="18" t="str" cm="1">
        <f t="array" ref="F25">VLOOKUP(B25,'Player Data'!A1:B673,2,FALSE)</f>
        <v>OTT</v>
      </c>
      <c r="G25" s="71" cm="1">
        <f t="array" ref="G25">VLOOKUP(B25,'Player Data'!A1:D673,3,FALSE)</f>
        <v>24</v>
      </c>
      <c r="H25" s="51" cm="1">
        <f t="array" ref="H25">IFERROR(VLOOKUP(B25,ADP!A1:F671,6,FALSE)/1000000,VLOOKUP(B25,ADP!A1:F671,6,FALSE))</f>
        <v>8.0500000000000007</v>
      </c>
      <c r="I25" s="52">
        <f>IF(Settings!$E$15="POINTS",((R25*Q25)*Settings!$B$12)+(S25*Settings!$B$2)+(T25*Settings!$B$3)+(U25*Settings!$B$4)+(V25*Settings!$B$5)+(X25*Settings!$B$9)+(AA25*Settings!$B$6)+(W25*Settings!$B$8)+(AB25*Settings!$B$7)+(AC25*Settings!$B$14)+(AD25*Settings!$B$15)+(AE25*Settings!$B$16)+(AF25*Settings!$B$17)+(AG25*Settings!$B$18)+(U25*Settings!$B$13)+(Y25*Settings!$B$10)+(Z25*Settings!$B$11),VLOOKUP(B25,'Standard Deviations'!A$1:C$672,3,FALSE))</f>
        <v>363.51378942126706</v>
      </c>
      <c r="J25" s="53" cm="1">
        <f t="array" ref="J25">IF(D25="G",I25/AJ25,I25/Q25)</f>
        <v>4.4993506751402306</v>
      </c>
      <c r="K25" s="52" cm="1">
        <f t="array" ref="K25">VLOOKUP(B25,D!A1:F204,6,FALSE)</f>
        <v>56.859922076673001</v>
      </c>
      <c r="L25" s="54" cm="1">
        <f t="array" ref="L25">IFERROR(K25/H25,"N/A")</f>
        <v>7.0633443573506831</v>
      </c>
      <c r="M25" s="55">
        <v>63.7</v>
      </c>
      <c r="N25" s="55" cm="1">
        <f t="array" ref="N25">IFERROR(M25-A25,"N/A")</f>
        <v>39.700000000000003</v>
      </c>
      <c r="O25" s="55"/>
      <c r="P25" s="56" t="str" cm="1">
        <f t="array" ref="P25">_xlfn.XLOOKUP($B25,ADP!A2:A671,ADP!G2:G671)</f>
        <v xml:space="preserve"> </v>
      </c>
      <c r="Q25" s="57" cm="1">
        <f t="array" ref="Q25">IF(Settings!$E$12="YES",VLOOKUP(B25,'Player Data'!A1:E673,5,FALSE),84)</f>
        <v>80.792500000000004</v>
      </c>
      <c r="R25" s="55" cm="1">
        <f t="array" ref="R25">VLOOKUP(B25,'Player Data'!$A1:$AE673,6,FALSE)</f>
        <v>24.566748174542699</v>
      </c>
      <c r="S25" s="57" cm="1">
        <f t="array" ref="S25">VLOOKUP(B25,'Player Data'!$A1:$AE673,7,FALSE)*$Q25*IFERROR((VLOOKUP(P25,Settings!$E$28:$F$33,2,FALSE)+1),1)</f>
        <v>13.799866940770247</v>
      </c>
      <c r="T25" s="57" cm="1">
        <f t="array" ref="T25">VLOOKUP(B25,'Player Data'!$A1:$AE673,8,FALSE)*$Q25*IFERROR((VLOOKUP(P25,Settings!$E$28:$F$33,2,FALSE)+1),1)</f>
        <v>43.703909027701847</v>
      </c>
      <c r="U25" s="57" cm="1">
        <f t="array" ref="U25">SUM(S25:T25)</f>
        <v>57.503775968472098</v>
      </c>
      <c r="V25" s="57" cm="1">
        <f t="array" ref="V25">VLOOKUP(B25,'Player Data'!$A1:$AE673,10,FALSE)*$Q25*IFERROR(((VLOOKUP(P25,Settings!$E$28:$F$33,2,FALSE)/2)+1),1)</f>
        <v>178.64045904852625</v>
      </c>
      <c r="W25" s="58" cm="1">
        <f t="array" ref="W25">VLOOKUP(B25,'Player Data'!$A1:$AE673,11,FALSE)*$Q25*IFERROR((VLOOKUP(P25,Settings!$E$28:$F$33,2,FALSE)+1),1)</f>
        <v>4.9836791903872442</v>
      </c>
      <c r="X25" s="57" cm="1">
        <f t="array" ref="X25">VLOOKUP(B25,'Player Data'!$A1:$AE673,12,FALSE)*$Q25*IFERROR((VLOOKUP(P25,Settings!$E$28:$F$33,2,FALSE)+1),1)</f>
        <v>23.027709172571839</v>
      </c>
      <c r="Y25" s="57" cm="1">
        <f t="array" ref="Y25">VLOOKUP(B25,'Player Data'!$A1:$AE673,13,FALSE)*$Q25</f>
        <v>2.4785035572840418E-2</v>
      </c>
      <c r="Z25" s="57" cm="1">
        <f t="array" ref="Z25">VLOOKUP(B25,'Player Data'!$A1:$AE673,14,FALSE)*$Q25</f>
        <v>1.3158538498908441</v>
      </c>
      <c r="AA25" s="57" cm="1">
        <f t="array" ref="AA25">VLOOKUP(B25,'Player Data'!$A1:$AE673,15,FALSE)*$Q25</f>
        <v>154.67733793824988</v>
      </c>
      <c r="AB25" s="57" cm="1">
        <f t="array" ref="AB25">VLOOKUP(B25,'Player Data'!$A1:$AE673,16,FALSE)*$Q25</f>
        <v>49.13211161852356</v>
      </c>
      <c r="AC25" s="57" cm="1">
        <f t="array" ref="AC25">VLOOKUP(B25,'Player Data'!$A1:$AE673,17,FALSE)*$Q25*IFERROR((VLOOKUP(P25,Settings!$E$28:$F$33,2,FALSE)+1),1)</f>
        <v>3.4861550145818954</v>
      </c>
      <c r="AD25" s="57" cm="1">
        <f t="array" ref="AD25">VLOOKUP(B25,'Player Data'!$A1:$AE673,18,FALSE)*$Q25</f>
        <v>20.167614366058313</v>
      </c>
      <c r="AE25" s="57" cm="1">
        <f t="array" ref="AE25">VLOOKUP(B25,'Player Data'!$A1:$AE673,19,FALSE)*$Q25*IFERROR((VLOOKUP(P25,Settings!$E$28:$F$33,2,FALSE)+1),1)</f>
        <v>2.4478918648639492</v>
      </c>
      <c r="AF25" s="57" cm="1">
        <f t="array" ref="AF25">VLOOKUP(B25,'Player Data'!$A1:$AE673,20,FALSE)*$Q25</f>
        <v>4.1318995272622366E-2</v>
      </c>
      <c r="AG25" s="57" cm="1">
        <f t="array" ref="AG25">VLOOKUP(B25,'Player Data'!$A1:$AE673,21,FALSE)*$Q25</f>
        <v>0.12584033615221174</v>
      </c>
      <c r="AH25" s="59" cm="1">
        <f t="array" ref="AH25">VLOOKUP(B25,'Player Data'!$A1:$AE673,22,FALSE)</f>
        <v>0.247183300629568</v>
      </c>
      <c r="AI25" s="55"/>
      <c r="AJ25" s="57"/>
      <c r="AK25" s="57"/>
      <c r="AL25" s="57"/>
      <c r="AM25" s="57"/>
      <c r="AN25" s="57"/>
      <c r="AO25" s="57"/>
      <c r="AP25" s="57"/>
      <c r="AQ25" s="60"/>
      <c r="AR25" s="61"/>
      <c r="AS25" s="55"/>
    </row>
    <row r="26" spans="1:45" ht="21.25" customHeight="1" x14ac:dyDescent="0.15">
      <c r="A26" s="62">
        <f t="shared" si="0"/>
        <v>25</v>
      </c>
      <c r="B26" s="10" t="s">
        <v>153</v>
      </c>
      <c r="C26" s="76"/>
      <c r="D26" s="48" t="str" cm="1">
        <f t="array" ref="D26">VLOOKUP(B26,'Player Data'!A1:D673,4,FALSE)</f>
        <v>G</v>
      </c>
      <c r="E26" s="77" cm="1">
        <f t="array" ref="E26">VLOOKUP(B26,G!A1:D66,3,FALSE)</f>
        <v>2</v>
      </c>
      <c r="F26" s="65" t="str" cm="1">
        <f t="array" ref="F26">VLOOKUP(B26,'Player Data'!A1:B673,2,FALSE)</f>
        <v>T.B</v>
      </c>
      <c r="G26" s="66" cm="1">
        <f t="array" ref="G26">VLOOKUP(B26,'Player Data'!A1:D673,3,FALSE)</f>
        <v>32</v>
      </c>
      <c r="H26" s="51" cm="1">
        <f t="array" ref="H26">IFERROR(VLOOKUP(B26,ADP!A1:F671,6,FALSE)/1000000,VLOOKUP(B26,ADP!A1:F671,6,FALSE))</f>
        <v>9.5</v>
      </c>
      <c r="I26" s="52">
        <f>IF(Settings!$E$15="POINTS",(AJ26*Settings!$B$29)+(AK26*Settings!$B$21)+(AL26*Settings!$B$22)+(AN26*Settings!$B$24)+(AO26*Settings!$B$25)+(AP26*Settings!$B$27)+(AM26*Settings!$B$23),VLOOKUP(B26,'Standard Deviations'!A$1:C$672,3,FALSE))</f>
        <v>413.79943334192842</v>
      </c>
      <c r="J26" s="53" cm="1">
        <f t="array" ref="J26">IF(D26="G",I26/AJ26,I26/Q26)</f>
        <v>7.5236260607623349</v>
      </c>
      <c r="K26" s="52" cm="1">
        <f t="array" ref="K26">VLOOKUP(B26,G!A1:F66,6,FALSE)</f>
        <v>54.641525411690395</v>
      </c>
      <c r="L26" s="54" cm="1">
        <f t="array" ref="L26">IFERROR(K26/H26,"N/A")</f>
        <v>5.7517395170200416</v>
      </c>
      <c r="M26" s="55">
        <v>11.9</v>
      </c>
      <c r="N26" s="55" cm="1">
        <f t="array" ref="N26">IFERROR(M26-A26,"N/A")</f>
        <v>-13.1</v>
      </c>
      <c r="O26" s="55"/>
      <c r="P26" s="56" t="str" cm="1">
        <f t="array" ref="P26">_xlfn.XLOOKUP($B26,ADP!A2:A671,ADP!G2:G671)</f>
        <v xml:space="preserve"> </v>
      </c>
      <c r="Q26" s="57"/>
      <c r="R26" s="55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9"/>
      <c r="AI26" s="55"/>
      <c r="AJ26" s="78" cm="1">
        <f t="array" ref="AJ26">VLOOKUP(B26,'Player Data'!$A1:$AE673,24,FALSE)</f>
        <v>55</v>
      </c>
      <c r="AK26" s="57" cm="1">
        <f t="array" ref="AK26">VLOOKUP(B26,'Player Data'!$A1:$AE673,25,FALSE)*$AJ26*IFERROR((VLOOKUP(P26,Settings!$E$28:$F$33,2,FALSE)+1),1)</f>
        <v>34.021858593900816</v>
      </c>
      <c r="AL26" s="57" cm="1">
        <f t="array" ref="AL26">AJ26-AK26-AM26</f>
        <v>15.733606054574384</v>
      </c>
      <c r="AM26" s="57" cm="1">
        <f t="array" ref="AM26">VLOOKUP(B26,'Player Data'!$A1:$AE673,27,FALSE)*$AJ26</f>
        <v>5.2445353515247985</v>
      </c>
      <c r="AN26" s="57" cm="1">
        <f t="array" ref="AN26">VLOOKUP(B26,'Player Data'!$A1:$AE673,28,FALSE)*AJ26</f>
        <v>4.0229184665333291</v>
      </c>
      <c r="AO26" s="57" cm="1">
        <f t="array" ref="AO26">VLOOKUP(B26,'Player Data'!$A1:$AE673,29,FALSE)*$AJ26*IFERROR((VLOOKUP(P26,Settings!$E$28:$F$33,2,FALSE)/4)+1,1)</f>
        <v>1469.1717368366005</v>
      </c>
      <c r="AP26" s="57" cm="1">
        <f t="array" ref="AP26">VLOOKUP(B26,'Player Data'!$A1:$AE673,31,FALSE)*$AJ26*(IFERROR(1-(VLOOKUP(P26,Settings!$E$28:$F$33,2,FALSE)/4),1))</f>
        <v>142.29164310820252</v>
      </c>
      <c r="AQ26" s="60" cm="1">
        <f t="array" ref="AQ26">1-(AP26/(AO26+AP26))</f>
        <v>0.911700355788987</v>
      </c>
      <c r="AR26" s="61" cm="1">
        <f t="array" ref="AR26">AP26/AJ26</f>
        <v>2.5871207837855006</v>
      </c>
      <c r="AS26" s="55"/>
    </row>
    <row r="27" spans="1:45" ht="21.25" customHeight="1" x14ac:dyDescent="0.15">
      <c r="A27" s="62">
        <f t="shared" si="0"/>
        <v>26</v>
      </c>
      <c r="B27" s="10" t="s">
        <v>154</v>
      </c>
      <c r="C27" s="47" t="s">
        <v>128</v>
      </c>
      <c r="D27" s="48" t="str" cm="1">
        <f t="array" ref="D27">VLOOKUP(B27,'Player Data'!A1:D673,4,FALSE)</f>
        <v>RW</v>
      </c>
      <c r="E27" s="64" cm="1">
        <f t="array" ref="E27">VLOOKUP(B27,RW!A1:F210,3,FALSE)</f>
        <v>5</v>
      </c>
      <c r="F27" s="50" t="str" cm="1">
        <f t="array" ref="F27">VLOOKUP(B27,'Player Data'!A1:B673,2,FALSE)</f>
        <v>COL</v>
      </c>
      <c r="G27" s="11" cm="1">
        <f t="array" ref="G27">VLOOKUP(B27,'Player Data'!A1:D673,3,FALSE)</f>
        <v>27</v>
      </c>
      <c r="H27" s="51" cm="1">
        <f t="array" ref="H27">IFERROR(VLOOKUP(B27,ADP!A1:F671,6,FALSE)/1000000,VLOOKUP(B27,ADP!A1:F671,6,FALSE))</f>
        <v>11.5</v>
      </c>
      <c r="I27" s="52">
        <f>IF(Settings!$E$15="POINTS",((R27*Q27)*Settings!$B$12)+(S27*Settings!$B$2)+(T27*Settings!$B$3)+(U27*Settings!$B$4)+(V27*Settings!$B$5)+(X27*Settings!$B$9)+(AA27*Settings!$B$6)+(W27*Settings!$B$8)+(AB27*Settings!$B$7)+(AC27*Settings!$B$14)+(AD27*Settings!$B$15)+(AE27*Settings!$B$16)+(AF27*Settings!$B$17)+(AG27*Settings!$B$18)+(Y27*Settings!$B$10)+(Z27*Settings!$B$11),VLOOKUP(B27,'Standard Deviations'!A$1:C$672,3,FALSE))</f>
        <v>447.45576947843551</v>
      </c>
      <c r="J27" s="53" cm="1">
        <f t="array" ref="J27">IF(D27="G",I27/AJ27,I27/Q27)</f>
        <v>5.4297942478346695</v>
      </c>
      <c r="K27" s="52" cm="1">
        <f t="array" ref="K27">IF(Settings!$E$18="C/LW/RW",VLOOKUP(B27,RW!A1:F210,6,FALSE),VLOOKUP(B27,F!A1:F407,6,FALSE))</f>
        <v>52.51230478487804</v>
      </c>
      <c r="L27" s="54" cm="1">
        <f t="array" ref="L27">IFERROR(K27/H27,"N/A")</f>
        <v>4.5662873725980901</v>
      </c>
      <c r="M27" s="55">
        <v>14.8</v>
      </c>
      <c r="N27" s="55" cm="1">
        <f t="array" ref="N27">IFERROR(M27-A27,"N/A")</f>
        <v>-11.2</v>
      </c>
      <c r="O27" s="55"/>
      <c r="P27" s="56" t="str" cm="1">
        <f t="array" ref="P27">_xlfn.XLOOKUP($B27,ADP!A2:A671,ADP!G2:G671)</f>
        <v xml:space="preserve"> </v>
      </c>
      <c r="Q27" s="57" cm="1">
        <f t="array" ref="Q27">IF(Settings!$E$12="YES",VLOOKUP(B27,'Player Data'!A1:E673,5,FALSE),84)</f>
        <v>82.407499999999999</v>
      </c>
      <c r="R27" s="55" cm="1">
        <f t="array" ref="R27">VLOOKUP(B27,'Player Data'!$A1:$AE673,6,FALSE)</f>
        <v>21.233235823599699</v>
      </c>
      <c r="S27" s="57" cm="1">
        <f t="array" ref="S27">VLOOKUP(B27,'Player Data'!$A1:$AE673,7,FALSE)*$Q27*IFERROR((VLOOKUP(P27,Settings!$E$28:$F$33,2,FALSE)+1),1)</f>
        <v>36.042814394365763</v>
      </c>
      <c r="T27" s="57" cm="1">
        <f t="array" ref="T27">VLOOKUP(B27,'Player Data'!$A1:$AE673,8,FALSE)*$Q27*IFERROR((VLOOKUP(P27,Settings!$E$28:$F$33,2,FALSE)+1),1)</f>
        <v>60.338762969484542</v>
      </c>
      <c r="U27" s="57" cm="1">
        <f t="array" ref="U27">SUM(S27:T27)</f>
        <v>96.381577363850312</v>
      </c>
      <c r="V27" s="57" cm="1">
        <f t="array" ref="V27">VLOOKUP(B27,'Player Data'!$A1:$AE673,10,FALSE)*$Q27*IFERROR(((VLOOKUP(P27,Settings!$E$28:$F$33,2,FALSE)/2)+1),1)</f>
        <v>230.54905466123353</v>
      </c>
      <c r="W27" s="58" cm="1">
        <f t="array" ref="W27">VLOOKUP(B27,'Player Data'!$A1:$AE673,11,FALSE)*$Q27*IFERROR((VLOOKUP(P27,Settings!$E$28:$F$33,2,FALSE)+1),1)</f>
        <v>10.433387645285496</v>
      </c>
      <c r="X27" s="57" cm="1">
        <f t="array" ref="X27">VLOOKUP(B27,'Player Data'!$A1:$AE673,12,FALSE)*$Q27*IFERROR((VLOOKUP(P27,Settings!$E$28:$F$33,2,FALSE)+1),1)</f>
        <v>28.073492262692472</v>
      </c>
      <c r="Y27" s="57" cm="1">
        <f t="array" ref="Y27">VLOOKUP(B27,'Player Data'!$A1:$AE673,13,FALSE)*$Q27</f>
        <v>2.1469056919507204E-3</v>
      </c>
      <c r="Z27" s="57" cm="1">
        <f t="array" ref="Z27">VLOOKUP(B27,'Player Data'!$A1:$AE673,14,FALSE)*$Q27</f>
        <v>3.5095337622804207E-3</v>
      </c>
      <c r="AA27" s="57" cm="1">
        <f t="array" ref="AA27">VLOOKUP(B27,'Player Data'!$A1:$AE673,15,FALSE)*$Q27</f>
        <v>29.919016519626179</v>
      </c>
      <c r="AB27" s="57" cm="1">
        <f t="array" ref="AB27">VLOOKUP(B27,'Player Data'!$A1:$AE673,16,FALSE)*$Q27</f>
        <v>83.6451456960081</v>
      </c>
      <c r="AC27" s="57" cm="1">
        <f t="array" ref="AC27">VLOOKUP(B27,'Player Data'!$A1:$AE673,17,FALSE)*$Q27*IFERROR((VLOOKUP(P27,Settings!$E$28:$F$33,2,FALSE)+1),1)</f>
        <v>9.7051819396407737</v>
      </c>
      <c r="AD27" s="57" cm="1">
        <f t="array" ref="AD27">VLOOKUP(B27,'Player Data'!$A1:$AE673,18,FALSE)*$Q27</f>
        <v>34.489976800883511</v>
      </c>
      <c r="AE27" s="57" cm="1">
        <f t="array" ref="AE27">VLOOKUP(B27,'Player Data'!$A1:$AE673,19,FALSE)*$Q27*IFERROR((VLOOKUP(P27,Settings!$E$28:$F$33,2,FALSE)+1),1)</f>
        <v>6.5052670591870188</v>
      </c>
      <c r="AF27" s="57" cm="1">
        <f t="array" ref="AF27">VLOOKUP(B27,'Player Data'!$A1:$AE673,20,FALSE)*$Q27</f>
        <v>23.477857289567151</v>
      </c>
      <c r="AG27" s="57" cm="1">
        <f t="array" ref="AG27">VLOOKUP(B27,'Player Data'!$A1:$AE673,21,FALSE)*$Q27</f>
        <v>36.283121431700401</v>
      </c>
      <c r="AH27" s="59" cm="1">
        <f t="array" ref="AH27">VLOOKUP(B27,'Player Data'!$A1:$AE673,22,FALSE)</f>
        <v>0.39286266376376999</v>
      </c>
      <c r="AI27" s="55"/>
      <c r="AJ27" s="57"/>
      <c r="AK27" s="57"/>
      <c r="AL27" s="57"/>
      <c r="AM27" s="57"/>
      <c r="AN27" s="57"/>
      <c r="AO27" s="57"/>
      <c r="AP27" s="57"/>
      <c r="AQ27" s="60"/>
      <c r="AR27" s="61"/>
      <c r="AS27" s="55"/>
    </row>
    <row r="28" spans="1:45" ht="21.25" customHeight="1" x14ac:dyDescent="0.15">
      <c r="A28" s="62">
        <f t="shared" si="0"/>
        <v>27</v>
      </c>
      <c r="B28" s="10" t="s">
        <v>155</v>
      </c>
      <c r="C28" s="47" t="s">
        <v>128</v>
      </c>
      <c r="D28" s="48" t="str" cm="1">
        <f t="array" ref="D28">VLOOKUP(B28,'Player Data'!A1:D673,4,FALSE)</f>
        <v>LW</v>
      </c>
      <c r="E28" s="75" cm="1">
        <f t="array" ref="E28">VLOOKUP(B28,LW!A1:C210,3,FALSE)</f>
        <v>6</v>
      </c>
      <c r="F28" s="63" t="str" cm="1">
        <f t="array" ref="F28">VLOOKUP(B28,'Player Data'!A1:B673,2,FALSE)</f>
        <v>WPG</v>
      </c>
      <c r="G28" s="11" cm="1">
        <f t="array" ref="G28">VLOOKUP(B28,'Player Data'!A1:D673,3,FALSE)</f>
        <v>29</v>
      </c>
      <c r="H28" s="51" cm="1">
        <f t="array" ref="H28">IFERROR(VLOOKUP(B28,ADP!A1:F671,6,FALSE)/1000000,VLOOKUP(B28,ADP!A1:F671,6,FALSE))</f>
        <v>12</v>
      </c>
      <c r="I28" s="52">
        <f>IF(Settings!$E$15="POINTS",((R28*Q28)*Settings!$B$12)+(S28*Settings!$B$2)+(T28*Settings!$B$3)+(U28*Settings!$B$4)+(V28*Settings!$B$5)+(X28*Settings!$B$9)+(AA28*Settings!$B$6)+(W28*Settings!$B$8)+(AB28*Settings!$B$7)+(AC28*Settings!$B$14)+(AD28*Settings!$B$15)+(AE28*Settings!$B$16)+(AF28*Settings!$B$17)+(AG28*Settings!$B$18)+(Y28*Settings!$B$10)+(Z28*Settings!$B$11),VLOOKUP(B28,'Standard Deviations'!A$1:C$672,3,FALSE))</f>
        <v>449.77356481658967</v>
      </c>
      <c r="J28" s="53" cm="1">
        <f t="array" ref="J28">IF(D28="G",I28/AJ28,I28/Q28)</f>
        <v>5.4630579960717807</v>
      </c>
      <c r="K28" s="52" cm="1">
        <f t="array" ref="K28">IF(Settings!$E$18="C/LW/RW",VLOOKUP(B28,LW!A1:F210,6,FALSE),VLOOKUP(B28,F!A1:F407,6,FALSE))</f>
        <v>50.460571502869584</v>
      </c>
      <c r="L28" s="54" cm="1">
        <f t="array" ref="L28">IFERROR(K28/H28,"N/A")</f>
        <v>4.205047625239132</v>
      </c>
      <c r="M28" s="55">
        <v>29</v>
      </c>
      <c r="N28" s="55" cm="1">
        <f t="array" ref="N28">IFERROR(M28-A28,"N/A")</f>
        <v>2</v>
      </c>
      <c r="O28" s="55"/>
      <c r="P28" s="56" t="str" cm="1">
        <f t="array" ref="P28">_xlfn.XLOOKUP($B28,ADP!A2:A671,ADP!G2:G671)</f>
        <v xml:space="preserve"> </v>
      </c>
      <c r="Q28" s="57" cm="1">
        <f t="array" ref="Q28">IF(Settings!$E$12="YES",VLOOKUP(B28,'Player Data'!A1:E673,5,FALSE),84)</f>
        <v>82.33</v>
      </c>
      <c r="R28" s="55" cm="1">
        <f t="array" ref="R28">VLOOKUP(B28,'Player Data'!$A1:$AE673,6,FALSE)</f>
        <v>21.469338721417699</v>
      </c>
      <c r="S28" s="57" cm="1">
        <f t="array" ref="S28">VLOOKUP(B28,'Player Data'!$A1:$AE673,7,FALSE)*$Q28*IFERROR((VLOOKUP(P28,Settings!$E$28:$F$33,2,FALSE)+1),1)</f>
        <v>39.445446963483526</v>
      </c>
      <c r="T28" s="57" cm="1">
        <f t="array" ref="T28">VLOOKUP(B28,'Player Data'!$A1:$AE673,8,FALSE)*$Q28*IFERROR((VLOOKUP(P28,Settings!$E$28:$F$33,2,FALSE)+1),1)</f>
        <v>51.577272755819308</v>
      </c>
      <c r="U28" s="57" cm="1">
        <f t="array" ref="U28">SUM(S28:T28)</f>
        <v>91.022719719302842</v>
      </c>
      <c r="V28" s="57" cm="1">
        <f t="array" ref="V28">VLOOKUP(B28,'Player Data'!$A1:$AE673,10,FALSE)*$Q28*IFERROR(((VLOOKUP(P28,Settings!$E$28:$F$33,2,FALSE)/2)+1),1)</f>
        <v>275.75894376576304</v>
      </c>
      <c r="W28" s="58" cm="1">
        <f t="array" ref="W28">VLOOKUP(B28,'Player Data'!$A1:$AE673,11,FALSE)*$Q28*IFERROR((VLOOKUP(P28,Settings!$E$28:$F$33,2,FALSE)+1),1)</f>
        <v>6.557195599263328</v>
      </c>
      <c r="X28" s="57" cm="1">
        <f t="array" ref="X28">VLOOKUP(B28,'Player Data'!$A1:$AE673,12,FALSE)*$Q28*IFERROR((VLOOKUP(P28,Settings!$E$28:$F$33,2,FALSE)+1),1)</f>
        <v>22.756969899293988</v>
      </c>
      <c r="Y28" s="57" cm="1">
        <f t="array" ref="Y28">VLOOKUP(B28,'Player Data'!$A1:$AE673,13,FALSE)*$Q28</f>
        <v>0.83977067106100745</v>
      </c>
      <c r="Z28" s="57" cm="1">
        <f t="array" ref="Z28">VLOOKUP(B28,'Player Data'!$A1:$AE673,14,FALSE)*$Q28</f>
        <v>1.387357538690454</v>
      </c>
      <c r="AA28" s="57" cm="1">
        <f t="array" ref="AA28">VLOOKUP(B28,'Player Data'!$A1:$AE673,15,FALSE)*$Q28</f>
        <v>29.363212675630304</v>
      </c>
      <c r="AB28" s="57" cm="1">
        <f t="array" ref="AB28">VLOOKUP(B28,'Player Data'!$A1:$AE673,16,FALSE)*$Q28</f>
        <v>34.7473122805117</v>
      </c>
      <c r="AC28" s="57" cm="1">
        <f t="array" ref="AC28">VLOOKUP(B28,'Player Data'!$A1:$AE673,17,FALSE)*$Q28*IFERROR((VLOOKUP(P28,Settings!$E$28:$F$33,2,FALSE)+1),1)</f>
        <v>1.2758978878128076</v>
      </c>
      <c r="AD28" s="57" cm="1">
        <f t="array" ref="AD28">VLOOKUP(B28,'Player Data'!$A1:$AE673,18,FALSE)*$Q28</f>
        <v>22.101228754949091</v>
      </c>
      <c r="AE28" s="57" cm="1">
        <f t="array" ref="AE28">VLOOKUP(B28,'Player Data'!$A1:$AE673,19,FALSE)*$Q28*IFERROR((VLOOKUP(P28,Settings!$E$28:$F$33,2,FALSE)+1),1)</f>
        <v>6.8544256378126205</v>
      </c>
      <c r="AF28" s="57" cm="1">
        <f t="array" ref="AF28">VLOOKUP(B28,'Player Data'!$A1:$AE673,20,FALSE)*$Q28</f>
        <v>0.3034474910257583</v>
      </c>
      <c r="AG28" s="57" cm="1">
        <f t="array" ref="AG28">VLOOKUP(B28,'Player Data'!$A1:$AE673,21,FALSE)*$Q28</f>
        <v>2.7436091471537312</v>
      </c>
      <c r="AH28" s="59" cm="1">
        <f t="array" ref="AH28">VLOOKUP(B28,'Player Data'!$A1:$AE673,22,FALSE)</f>
        <v>9.9587085853139107E-2</v>
      </c>
      <c r="AI28" s="55"/>
      <c r="AJ28" s="57"/>
      <c r="AK28" s="57"/>
      <c r="AL28" s="57"/>
      <c r="AM28" s="57"/>
      <c r="AN28" s="57"/>
      <c r="AO28" s="57"/>
      <c r="AP28" s="57"/>
      <c r="AQ28" s="60"/>
      <c r="AR28" s="61"/>
      <c r="AS28" s="55"/>
    </row>
    <row r="29" spans="1:45" ht="21.25" customHeight="1" x14ac:dyDescent="0.15">
      <c r="A29" s="62">
        <f t="shared" si="0"/>
        <v>28</v>
      </c>
      <c r="B29" s="10" t="s">
        <v>156</v>
      </c>
      <c r="C29" s="47" t="s">
        <v>128</v>
      </c>
      <c r="D29" s="48" t="str" cm="1">
        <f t="array" ref="D29">VLOOKUP(B29,'Player Data'!A1:D673,4,FALSE)</f>
        <v>C,RW</v>
      </c>
      <c r="E29" s="74" cm="1">
        <f t="array" ref="E29">VLOOKUP(B29,RW!A1:F210,3,FALSE)</f>
        <v>6</v>
      </c>
      <c r="F29" s="63" t="str" cm="1">
        <f t="array" ref="F29">VLOOKUP(B29,'Player Data'!A1:B673,2,FALSE)</f>
        <v>DAL</v>
      </c>
      <c r="G29" s="71" cm="1">
        <f t="array" ref="G29">VLOOKUP(B29,'Player Data'!A1:D673,3,FALSE)</f>
        <v>23</v>
      </c>
      <c r="H29" s="51" cm="1">
        <f t="array" ref="H29">IFERROR(VLOOKUP(B29,ADP!A1:F671,6,FALSE)/1000000,VLOOKUP(B29,ADP!A1:F671,6,FALSE))</f>
        <v>8.4</v>
      </c>
      <c r="I29" s="52">
        <f>IF(Settings!$E$15="POINTS",((R29*Q29)*Settings!$B$12)+(S29*Settings!$B$2)+(T29*Settings!$B$3)+(U29*Settings!$B$4)+(V29*Settings!$B$5)+(X29*Settings!$B$9)+(AA29*Settings!$B$6)+(W29*Settings!$B$8)+(AB29*Settings!$B$7)+(AC29*Settings!$B$14)+(AD29*Settings!$B$15)+(AE29*Settings!$B$16)+(AF29*Settings!$B$17)+(AG29*Settings!$B$18)+(Y29*Settings!$B$10)+(Z29*Settings!$B$11),VLOOKUP(B29,'Standard Deviations'!A$1:C$672,3,FALSE))</f>
        <v>442.61340358960956</v>
      </c>
      <c r="J29" s="53" cm="1">
        <f t="array" ref="J29">IF(D29="G",I29/AJ29,I29/Q29)</f>
        <v>5.2673259977342566</v>
      </c>
      <c r="K29" s="52" cm="1">
        <f t="array" ref="K29">IF(Settings!$E$18="C/LW/RW",VLOOKUP(B29,RW!A1:F210,6,FALSE),VLOOKUP(B29,F!A1:F407,6,FALSE))</f>
        <v>47.669938896052088</v>
      </c>
      <c r="L29" s="54" cm="1">
        <f t="array" ref="L29">IFERROR(K29/H29,"N/A")</f>
        <v>5.674992725720486</v>
      </c>
      <c r="M29" s="55">
        <v>18.600000000000001</v>
      </c>
      <c r="N29" s="55" cm="1">
        <f t="array" ref="N29">IFERROR(M29-A29,"N/A")</f>
        <v>-9.3999999999999986</v>
      </c>
      <c r="O29" s="55"/>
      <c r="P29" s="56" t="str" cm="1">
        <f t="array" ref="P29">_xlfn.XLOOKUP($B29,ADP!A2:A671,ADP!G2:G671)</f>
        <v xml:space="preserve"> </v>
      </c>
      <c r="Q29" s="57" cm="1">
        <f t="array" ref="Q29">IF(Settings!$E$12="YES",VLOOKUP(B29,'Player Data'!A1:E673,5,FALSE),84)</f>
        <v>84.03</v>
      </c>
      <c r="R29" s="55" cm="1">
        <f t="array" ref="R29">VLOOKUP(B29,'Player Data'!$A1:$AE673,6,FALSE)</f>
        <v>19.920423427972601</v>
      </c>
      <c r="S29" s="57" cm="1">
        <f t="array" ref="S29">VLOOKUP(B29,'Player Data'!$A1:$AE673,7,FALSE)*$Q29*IFERROR((VLOOKUP(P29,Settings!$E$28:$F$33,2,FALSE)+1),1)</f>
        <v>43.100831206999388</v>
      </c>
      <c r="T29" s="57" cm="1">
        <f t="array" ref="T29">VLOOKUP(B29,'Player Data'!$A1:$AE673,8,FALSE)*$Q29*IFERROR((VLOOKUP(P29,Settings!$E$28:$F$33,2,FALSE)+1),1)</f>
        <v>45.617793208437831</v>
      </c>
      <c r="U29" s="57" cm="1">
        <f t="array" ref="U29">SUM(S29:T29)</f>
        <v>88.718624415437219</v>
      </c>
      <c r="V29" s="57" cm="1">
        <f t="array" ref="V29">VLOOKUP(B29,'Player Data'!$A1:$AE673,10,FALSE)*$Q29*IFERROR(((VLOOKUP(P29,Settings!$E$28:$F$33,2,FALSE)/2)+1),1)</f>
        <v>226.24309629664887</v>
      </c>
      <c r="W29" s="58" cm="1">
        <f t="array" ref="W29">VLOOKUP(B29,'Player Data'!$A1:$AE673,11,FALSE)*$Q29*IFERROR((VLOOKUP(P29,Settings!$E$28:$F$33,2,FALSE)+1),1)</f>
        <v>19.593363013880801</v>
      </c>
      <c r="X29" s="57" cm="1">
        <f t="array" ref="X29">VLOOKUP(B29,'Player Data'!$A1:$AE673,12,FALSE)*$Q29*IFERROR((VLOOKUP(P29,Settings!$E$28:$F$33,2,FALSE)+1),1)</f>
        <v>36.315545343093781</v>
      </c>
      <c r="Y29" s="57" cm="1">
        <f t="array" ref="Y29">VLOOKUP(B29,'Player Data'!$A1:$AE673,13,FALSE)*$Q29</f>
        <v>0.28248467782681852</v>
      </c>
      <c r="Z29" s="57" cm="1">
        <f t="array" ref="Z29">VLOOKUP(B29,'Player Data'!$A1:$AE673,14,FALSE)*$Q29</f>
        <v>0.30014461429699901</v>
      </c>
      <c r="AA29" s="57" cm="1">
        <f t="array" ref="AA29">VLOOKUP(B29,'Player Data'!$A1:$AE673,15,FALSE)*$Q29</f>
        <v>53.440584475165288</v>
      </c>
      <c r="AB29" s="57" cm="1">
        <f t="array" ref="AB29">VLOOKUP(B29,'Player Data'!$A1:$AE673,16,FALSE)*$Q29</f>
        <v>56.260998887013102</v>
      </c>
      <c r="AC29" s="57" cm="1">
        <f t="array" ref="AC29">VLOOKUP(B29,'Player Data'!$A1:$AE673,17,FALSE)*$Q29*IFERROR((VLOOKUP(P29,Settings!$E$28:$F$33,2,FALSE)+1),1)</f>
        <v>5.3304460867828922</v>
      </c>
      <c r="AD29" s="57" cm="1">
        <f t="array" ref="AD29">VLOOKUP(B29,'Player Data'!$A1:$AE673,18,FALSE)*$Q29</f>
        <v>31.745718516683088</v>
      </c>
      <c r="AE29" s="57" cm="1">
        <f t="array" ref="AE29">VLOOKUP(B29,'Player Data'!$A1:$AE673,19,FALSE)*$Q29*IFERROR((VLOOKUP(P29,Settings!$E$28:$F$33,2,FALSE)+1),1)</f>
        <v>7.289332957024266</v>
      </c>
      <c r="AF29" s="57" cm="1">
        <f t="array" ref="AF29">VLOOKUP(B29,'Player Data'!$A1:$AE673,20,FALSE)*$Q29</f>
        <v>425.59134531748145</v>
      </c>
      <c r="AG29" s="57" cm="1">
        <f t="array" ref="AG29">VLOOKUP(B29,'Player Data'!$A1:$AE673,21,FALSE)*$Q29</f>
        <v>436.11271764268974</v>
      </c>
      <c r="AH29" s="59" cm="1">
        <f t="array" ref="AH29">VLOOKUP(B29,'Player Data'!$A1:$AE673,22,FALSE)</f>
        <v>0.49389501989287099</v>
      </c>
      <c r="AI29" s="55"/>
      <c r="AJ29" s="57"/>
      <c r="AK29" s="57"/>
      <c r="AL29" s="57"/>
      <c r="AM29" s="57"/>
      <c r="AN29" s="57"/>
      <c r="AO29" s="57"/>
      <c r="AP29" s="57"/>
      <c r="AQ29" s="60"/>
      <c r="AR29" s="61"/>
      <c r="AS29" s="55"/>
    </row>
    <row r="30" spans="1:45" ht="21.25" customHeight="1" x14ac:dyDescent="0.15">
      <c r="A30" s="62">
        <f t="shared" si="0"/>
        <v>29</v>
      </c>
      <c r="B30" s="10" t="s">
        <v>157</v>
      </c>
      <c r="C30" s="47" t="s">
        <v>128</v>
      </c>
      <c r="D30" s="48" t="str" cm="1">
        <f t="array" ref="D30">VLOOKUP(B30,'Player Data'!A1:D673,4,FALSE)</f>
        <v>D</v>
      </c>
      <c r="E30" s="68" cm="1">
        <f t="array" ref="E30">VLOOKUP(B30,D!A1:C204,3,FALSE)</f>
        <v>11</v>
      </c>
      <c r="F30" s="65" t="str" cm="1">
        <f t="array" ref="F30">VLOOKUP(B30,'Player Data'!A1:B673,2,FALSE)</f>
        <v>NSH</v>
      </c>
      <c r="G30" s="66" cm="1">
        <f t="array" ref="G30">VLOOKUP(B30,'Player Data'!A1:D673,3,FALSE)</f>
        <v>36</v>
      </c>
      <c r="H30" s="51" cm="1">
        <f t="array" ref="H30">IFERROR(VLOOKUP(B30,ADP!A1:F671,6,FALSE)/1000000,VLOOKUP(B30,ADP!A1:F671,6,FALSE))</f>
        <v>9.0589999999999993</v>
      </c>
      <c r="I30" s="52">
        <f>IF(Settings!$E$15="POINTS",((R30*Q30)*Settings!$B$12)+(S30*Settings!$B$2)+(T30*Settings!$B$3)+(U30*Settings!$B$4)+(V30*Settings!$B$5)+(X30*Settings!$B$9)+(AA30*Settings!$B$6)+(W30*Settings!$B$8)+(AB30*Settings!$B$7)+(AC30*Settings!$B$14)+(AD30*Settings!$B$15)+(AE30*Settings!$B$16)+(AF30*Settings!$B$17)+(AG30*Settings!$B$18)+(U30*Settings!$B$13)+(Y30*Settings!$B$10)+(Z30*Settings!$B$11),VLOOKUP(B30,'Standard Deviations'!A$1:C$672,3,FALSE))</f>
        <v>354.12738717145731</v>
      </c>
      <c r="J30" s="53" cm="1">
        <f t="array" ref="J30">IF(D30="G",I30/AJ30,I30/Q30)</f>
        <v>4.565997965012504</v>
      </c>
      <c r="K30" s="52" cm="1">
        <f t="array" ref="K30">VLOOKUP(B30,D!A1:F204,6,FALSE)</f>
        <v>47.473519826863253</v>
      </c>
      <c r="L30" s="54" cm="1">
        <f t="array" ref="L30">IFERROR(K30/H30,"N/A")</f>
        <v>5.2404812702134072</v>
      </c>
      <c r="M30" s="55">
        <v>79.900000000000006</v>
      </c>
      <c r="N30" s="55" cm="1">
        <f t="array" ref="N30">IFERROR(M30-A30,"N/A")</f>
        <v>50.900000000000006</v>
      </c>
      <c r="O30" s="55"/>
      <c r="P30" s="56" t="str" cm="1">
        <f t="array" ref="P30">_xlfn.XLOOKUP($B30,ADP!A2:A671,ADP!G2:G671)</f>
        <v xml:space="preserve"> </v>
      </c>
      <c r="Q30" s="57" cm="1">
        <f t="array" ref="Q30">IF(Settings!$E$12="YES",VLOOKUP(B30,'Player Data'!A1:E673,5,FALSE),84)</f>
        <v>77.557500000000005</v>
      </c>
      <c r="R30" s="55" cm="1">
        <f t="array" ref="R30">VLOOKUP(B30,'Player Data'!$A1:$AE673,6,FALSE)</f>
        <v>24.860192841866901</v>
      </c>
      <c r="S30" s="57" cm="1">
        <f t="array" ref="S30">VLOOKUP(B30,'Player Data'!$A1:$AE673,7,FALSE)*$Q30*IFERROR((VLOOKUP(P30,Settings!$E$28:$F$33,2,FALSE)+1),1)</f>
        <v>12.117566809034848</v>
      </c>
      <c r="T30" s="57" cm="1">
        <f t="array" ref="T30">VLOOKUP(B30,'Player Data'!$A1:$AE673,8,FALSE)*$Q30*IFERROR((VLOOKUP(P30,Settings!$E$28:$F$33,2,FALSE)+1),1)</f>
        <v>44.198134598507679</v>
      </c>
      <c r="U30" s="57" cm="1">
        <f t="array" ref="U30">SUM(S30:T30)</f>
        <v>56.315701407542527</v>
      </c>
      <c r="V30" s="57" cm="1">
        <f t="array" ref="V30">VLOOKUP(B30,'Player Data'!$A1:$AE673,10,FALSE)*$Q30*IFERROR(((VLOOKUP(P30,Settings!$E$28:$F$33,2,FALSE)/2)+1),1)</f>
        <v>203.00684559287868</v>
      </c>
      <c r="W30" s="58" cm="1">
        <f t="array" ref="W30">VLOOKUP(B30,'Player Data'!$A1:$AE673,11,FALSE)*$Q30*IFERROR((VLOOKUP(P30,Settings!$E$28:$F$33,2,FALSE)+1),1)</f>
        <v>3.812745280276562</v>
      </c>
      <c r="X30" s="57" cm="1">
        <f t="array" ref="X30">VLOOKUP(B30,'Player Data'!$A1:$AE673,12,FALSE)*$Q30*IFERROR((VLOOKUP(P30,Settings!$E$28:$F$33,2,FALSE)+1),1)</f>
        <v>22.698965036721937</v>
      </c>
      <c r="Y30" s="57" cm="1">
        <f t="array" ref="Y30">VLOOKUP(B30,'Player Data'!$A1:$AE673,13,FALSE)*$Q30</f>
        <v>2.1731885130518186E-2</v>
      </c>
      <c r="Z30" s="57" cm="1">
        <f t="array" ref="Z30">VLOOKUP(B30,'Player Data'!$A1:$AE673,14,FALSE)*$Q30</f>
        <v>0.22871563310894072</v>
      </c>
      <c r="AA30" s="57" cm="1">
        <f t="array" ref="AA30">VLOOKUP(B30,'Player Data'!$A1:$AE673,15,FALSE)*$Q30</f>
        <v>121.49835896511914</v>
      </c>
      <c r="AB30" s="57" cm="1">
        <f t="array" ref="AB30">VLOOKUP(B30,'Player Data'!$A1:$AE673,16,FALSE)*$Q30</f>
        <v>41.187219259345817</v>
      </c>
      <c r="AC30" s="57" cm="1">
        <f t="array" ref="AC30">VLOOKUP(B30,'Player Data'!$A1:$AE673,17,FALSE)*$Q30*IFERROR((VLOOKUP(P30,Settings!$E$28:$F$33,2,FALSE)+1),1)</f>
        <v>-2.7137202770063884</v>
      </c>
      <c r="AD30" s="57" cm="1">
        <f t="array" ref="AD30">VLOOKUP(B30,'Player Data'!$A1:$AE673,18,FALSE)*$Q30</f>
        <v>36.711250982765257</v>
      </c>
      <c r="AE30" s="57" cm="1">
        <f t="array" ref="AE30">VLOOKUP(B30,'Player Data'!$A1:$AE673,19,FALSE)*$Q30*IFERROR((VLOOKUP(P30,Settings!$E$28:$F$33,2,FALSE)+1),1)</f>
        <v>1.6785861429855482</v>
      </c>
      <c r="AF30" s="57" cm="1">
        <f t="array" ref="AF30">VLOOKUP(B30,'Player Data'!$A1:$AE673,20,FALSE)*$Q30</f>
        <v>0</v>
      </c>
      <c r="AG30" s="57" cm="1">
        <f t="array" ref="AG30">VLOOKUP(B30,'Player Data'!$A1:$AE673,21,FALSE)*$Q30</f>
        <v>0</v>
      </c>
      <c r="AH30" s="59" cm="1">
        <f t="array" ref="AH30">VLOOKUP(B30,'Player Data'!$A1:$AE673,22,FALSE)</f>
        <v>0</v>
      </c>
      <c r="AI30" s="55"/>
      <c r="AJ30" s="57"/>
      <c r="AK30" s="57"/>
      <c r="AL30" s="57"/>
      <c r="AM30" s="57"/>
      <c r="AN30" s="57"/>
      <c r="AO30" s="57"/>
      <c r="AP30" s="57"/>
      <c r="AQ30" s="60"/>
      <c r="AR30" s="61"/>
      <c r="AS30" s="55"/>
    </row>
    <row r="31" spans="1:45" ht="21.25" customHeight="1" x14ac:dyDescent="0.15">
      <c r="A31" s="62">
        <f t="shared" si="0"/>
        <v>30</v>
      </c>
      <c r="B31" s="10" t="s">
        <v>158</v>
      </c>
      <c r="C31" s="47" t="s">
        <v>128</v>
      </c>
      <c r="D31" s="48" t="str" cm="1">
        <f t="array" ref="D31">VLOOKUP(B31,'Player Data'!A1:D673,4,FALSE)</f>
        <v>D</v>
      </c>
      <c r="E31" s="68" cm="1">
        <f t="array" ref="E31">VLOOKUP(B31,D!A1:C204,3,FALSE)</f>
        <v>12</v>
      </c>
      <c r="F31" s="69" t="str" cm="1">
        <f t="array" ref="F31">VLOOKUP(B31,'Player Data'!A1:B673,2,FALSE)</f>
        <v>TOR</v>
      </c>
      <c r="G31" s="11" cm="1">
        <f t="array" ref="G31">VLOOKUP(B31,'Player Data'!A1:D673,3,FALSE)</f>
        <v>30</v>
      </c>
      <c r="H31" s="51" cm="1">
        <f t="array" ref="H31">IFERROR(VLOOKUP(B31,ADP!A1:F671,6,FALSE)/1000000,VLOOKUP(B31,ADP!A1:F671,6,FALSE))</f>
        <v>8.5</v>
      </c>
      <c r="I31" s="52">
        <f>IF(Settings!$E$15="POINTS",((R31*Q31)*Settings!$B$12)+(S31*Settings!$B$2)+(T31*Settings!$B$3)+(U31*Settings!$B$4)+(V31*Settings!$B$5)+(X31*Settings!$B$9)+(AA31*Settings!$B$6)+(W31*Settings!$B$8)+(AB31*Settings!$B$7)+(AC31*Settings!$B$14)+(AD31*Settings!$B$15)+(AE31*Settings!$B$16)+(AF31*Settings!$B$17)+(AG31*Settings!$B$18)+(U31*Settings!$B$13)+(Y31*Settings!$B$10)+(Z31*Settings!$B$11),VLOOKUP(B31,'Standard Deviations'!A$1:C$672,3,FALSE))</f>
        <v>352.2324361688689</v>
      </c>
      <c r="J31" s="53" cm="1">
        <f t="array" ref="J31">IF(D31="G",I31/AJ31,I31/Q31)</f>
        <v>4.3381050085457105</v>
      </c>
      <c r="K31" s="52" cm="1">
        <f t="array" ref="K31">VLOOKUP(B31,D!A1:F204,6,FALSE)</f>
        <v>45.578568824274839</v>
      </c>
      <c r="L31" s="54" cm="1">
        <f t="array" ref="L31">IFERROR(K31/H31,"N/A")</f>
        <v>5.3621845675617461</v>
      </c>
      <c r="M31" s="55">
        <v>50.4</v>
      </c>
      <c r="N31" s="55" cm="1">
        <f t="array" ref="N31">IFERROR(M31-A31,"N/A")</f>
        <v>20.399999999999999</v>
      </c>
      <c r="O31" s="55"/>
      <c r="P31" s="56" t="str" cm="1">
        <f t="array" ref="P31">_xlfn.XLOOKUP($B31,ADP!A2:A671,ADP!G2:G671)</f>
        <v xml:space="preserve"> </v>
      </c>
      <c r="Q31" s="57" cm="1">
        <f t="array" ref="Q31">IF(Settings!$E$12="YES",VLOOKUP(B31,'Player Data'!A1:E673,5,FALSE),84)</f>
        <v>81.194999999999993</v>
      </c>
      <c r="R31" s="55" cm="1">
        <f t="array" ref="R31">VLOOKUP(B31,'Player Data'!$A1:$AE673,6,FALSE)</f>
        <v>23.316762030020602</v>
      </c>
      <c r="S31" s="57" cm="1">
        <f t="array" ref="S31">VLOOKUP(B31,'Player Data'!$A1:$AE673,7,FALSE)*$Q31*IFERROR((VLOOKUP(P31,Settings!$E$28:$F$33,2,FALSE)+1),1)</f>
        <v>14.726168990466638</v>
      </c>
      <c r="T31" s="57" cm="1">
        <f t="array" ref="T31">VLOOKUP(B31,'Player Data'!$A1:$AE673,8,FALSE)*$Q31*IFERROR((VLOOKUP(P31,Settings!$E$28:$F$33,2,FALSE)+1),1)</f>
        <v>45.714983202555288</v>
      </c>
      <c r="U31" s="57" cm="1">
        <f t="array" ref="U31">SUM(S31:T31)</f>
        <v>60.441152193021928</v>
      </c>
      <c r="V31" s="57" cm="1">
        <f t="array" ref="V31">VLOOKUP(B31,'Player Data'!$A1:$AE673,10,FALSE)*$Q31*IFERROR(((VLOOKUP(P31,Settings!$E$28:$F$33,2,FALSE)/2)+1),1)</f>
        <v>199.21859812670883</v>
      </c>
      <c r="W31" s="58" cm="1">
        <f t="array" ref="W31">VLOOKUP(B31,'Player Data'!$A1:$AE673,11,FALSE)*$Q31*IFERROR((VLOOKUP(P31,Settings!$E$28:$F$33,2,FALSE)+1),1)</f>
        <v>7.1027925968761663</v>
      </c>
      <c r="X31" s="57" cm="1">
        <f t="array" ref="X31">VLOOKUP(B31,'Player Data'!$A1:$AE673,12,FALSE)*$Q31*IFERROR((VLOOKUP(P31,Settings!$E$28:$F$33,2,FALSE)+1),1)</f>
        <v>23.393947428752792</v>
      </c>
      <c r="Y31" s="57" cm="1">
        <f t="array" ref="Y31">VLOOKUP(B31,'Player Data'!$A1:$AE673,13,FALSE)*$Q31</f>
        <v>2.7187984726301066E-2</v>
      </c>
      <c r="Z31" s="57" cm="1">
        <f t="array" ref="Z31">VLOOKUP(B31,'Player Data'!$A1:$AE673,14,FALSE)*$Q31</f>
        <v>9.816112418335067E-2</v>
      </c>
      <c r="AA31" s="57" cm="1">
        <f t="array" ref="AA31">VLOOKUP(B31,'Player Data'!$A1:$AE673,15,FALSE)*$Q31</f>
        <v>95.615143947025075</v>
      </c>
      <c r="AB31" s="57" cm="1">
        <f t="array" ref="AB31">VLOOKUP(B31,'Player Data'!$A1:$AE673,16,FALSE)*$Q31</f>
        <v>76.067514630571367</v>
      </c>
      <c r="AC31" s="57" cm="1">
        <f t="array" ref="AC31">VLOOKUP(B31,'Player Data'!$A1:$AE673,17,FALSE)*$Q31*IFERROR((VLOOKUP(P31,Settings!$E$28:$F$33,2,FALSE)+1),1)</f>
        <v>2.8619440252984991</v>
      </c>
      <c r="AD31" s="57" cm="1">
        <f t="array" ref="AD31">VLOOKUP(B31,'Player Data'!$A1:$AE673,18,FALSE)*$Q31</f>
        <v>41.229598355130022</v>
      </c>
      <c r="AE31" s="57" cm="1">
        <f t="array" ref="AE31">VLOOKUP(B31,'Player Data'!$A1:$AE673,19,FALSE)*$Q31*IFERROR((VLOOKUP(P31,Settings!$E$28:$F$33,2,FALSE)+1),1)</f>
        <v>2.0110162335106438</v>
      </c>
      <c r="AF31" s="57" cm="1">
        <f t="array" ref="AF31">VLOOKUP(B31,'Player Data'!$A1:$AE673,20,FALSE)*$Q31</f>
        <v>0</v>
      </c>
      <c r="AG31" s="57" cm="1">
        <f t="array" ref="AG31">VLOOKUP(B31,'Player Data'!$A1:$AE673,21,FALSE)*$Q31</f>
        <v>0</v>
      </c>
      <c r="AH31" s="59" cm="1">
        <f t="array" ref="AH31">VLOOKUP(B31,'Player Data'!$A1:$AE673,22,FALSE)</f>
        <v>0</v>
      </c>
      <c r="AI31" s="55"/>
      <c r="AJ31" s="57"/>
      <c r="AK31" s="57"/>
      <c r="AL31" s="57"/>
      <c r="AM31" s="57"/>
      <c r="AN31" s="57"/>
      <c r="AO31" s="57"/>
      <c r="AP31" s="57"/>
      <c r="AQ31" s="60"/>
      <c r="AR31" s="61"/>
      <c r="AS31" s="55"/>
    </row>
    <row r="32" spans="1:45" ht="21.25" customHeight="1" x14ac:dyDescent="0.15">
      <c r="A32" s="62">
        <f t="shared" si="0"/>
        <v>31</v>
      </c>
      <c r="B32" s="10" t="s">
        <v>159</v>
      </c>
      <c r="C32" s="47" t="s">
        <v>128</v>
      </c>
      <c r="D32" s="48" t="str" cm="1">
        <f t="array" ref="D32">VLOOKUP(B32,'Player Data'!A1:D673,4,FALSE)</f>
        <v>C,RW</v>
      </c>
      <c r="E32" s="74" cm="1">
        <f t="array" ref="E32">VLOOKUP(B32,RW!A1:F210,3,FALSE)</f>
        <v>7</v>
      </c>
      <c r="F32" s="69" t="str" cm="1">
        <f t="array" ref="F32">VLOOKUP(B32,'Player Data'!A1:B673,2,FALSE)</f>
        <v>TOR</v>
      </c>
      <c r="G32" s="11" cm="1">
        <f t="array" ref="G32">VLOOKUP(B32,'Player Data'!A1:D673,3,FALSE)</f>
        <v>30</v>
      </c>
      <c r="H32" s="51" cm="1">
        <f t="array" ref="H32">IFERROR(VLOOKUP(B32,ADP!A1:F671,6,FALSE)/1000000,VLOOKUP(B32,ADP!A1:F671,6,FALSE))</f>
        <v>11.5</v>
      </c>
      <c r="I32" s="52">
        <f>IF(Settings!$E$15="POINTS",((R32*Q32)*Settings!$B$12)+(S32*Settings!$B$2)+(T32*Settings!$B$3)+(U32*Settings!$B$4)+(V32*Settings!$B$5)+(X32*Settings!$B$9)+(AA32*Settings!$B$6)+(W32*Settings!$B$8)+(AB32*Settings!$B$7)+(AC32*Settings!$B$14)+(AD32*Settings!$B$15)+(AE32*Settings!$B$16)+(AF32*Settings!$B$17)+(AG32*Settings!$B$18)+(Y32*Settings!$B$10)+(Z32*Settings!$B$11),VLOOKUP(B32,'Standard Deviations'!A$1:C$672,3,FALSE))</f>
        <v>440.10286191423052</v>
      </c>
      <c r="J32" s="53" cm="1">
        <f t="array" ref="J32">IF(D32="G",I32/AJ32,I32/Q32)</f>
        <v>5.4325303121645483</v>
      </c>
      <c r="K32" s="52" cm="1">
        <f t="array" ref="K32">IF(Settings!$E$18="C/LW/RW",VLOOKUP(B32,RW!A1:F210,6,FALSE),VLOOKUP(B32,F!A1:F407,6,FALSE))</f>
        <v>45.159397220673043</v>
      </c>
      <c r="L32" s="54" cm="1">
        <f t="array" ref="L32">IFERROR(K32/H32,"N/A")</f>
        <v>3.9269041061454821</v>
      </c>
      <c r="M32" s="55">
        <v>42.8</v>
      </c>
      <c r="N32" s="55" cm="1">
        <f t="array" ref="N32">IFERROR(M32-A32,"N/A")</f>
        <v>11.799999999999997</v>
      </c>
      <c r="O32" s="55"/>
      <c r="P32" s="56" t="str" cm="1">
        <f t="array" ref="P32">_xlfn.XLOOKUP($B32,ADP!A2:A671,ADP!G2:G671)</f>
        <v xml:space="preserve"> </v>
      </c>
      <c r="Q32" s="57" cm="1">
        <f t="array" ref="Q32">IF(Settings!$E$12="YES",VLOOKUP(B32,'Player Data'!A1:E673,5,FALSE),84)</f>
        <v>81.012500000000003</v>
      </c>
      <c r="R32" s="55" cm="1">
        <f t="array" ref="R32">VLOOKUP(B32,'Player Data'!$A1:$AE673,6,FALSE)</f>
        <v>20.053323626682701</v>
      </c>
      <c r="S32" s="57" cm="1">
        <f t="array" ref="S32">VLOOKUP(B32,'Player Data'!$A1:$AE673,7,FALSE)*$Q32*IFERROR((VLOOKUP(P32,Settings!$E$28:$F$33,2,FALSE)+1),1)</f>
        <v>39.030437435346911</v>
      </c>
      <c r="T32" s="57" cm="1">
        <f t="array" ref="T32">VLOOKUP(B32,'Player Data'!$A1:$AE673,8,FALSE)*$Q32*IFERROR((VLOOKUP(P32,Settings!$E$28:$F$33,2,FALSE)+1),1)</f>
        <v>53.154956919593417</v>
      </c>
      <c r="U32" s="57" cm="1">
        <f t="array" ref="U32">SUM(S32:T32)</f>
        <v>92.185394354940328</v>
      </c>
      <c r="V32" s="57" cm="1">
        <f t="array" ref="V32">VLOOKUP(B32,'Player Data'!$A1:$AE673,10,FALSE)*$Q32*IFERROR(((VLOOKUP(P32,Settings!$E$28:$F$33,2,FALSE)/2)+1),1)</f>
        <v>236.4698764320917</v>
      </c>
      <c r="W32" s="58" cm="1">
        <f t="array" ref="W32">VLOOKUP(B32,'Player Data'!$A1:$AE673,11,FALSE)*$Q32*IFERROR((VLOOKUP(P32,Settings!$E$28:$F$33,2,FALSE)+1),1)</f>
        <v>10.346243174677239</v>
      </c>
      <c r="X32" s="57" cm="1">
        <f t="array" ref="X32">VLOOKUP(B32,'Player Data'!$A1:$AE673,12,FALSE)*$Q32*IFERROR((VLOOKUP(P32,Settings!$E$28:$F$33,2,FALSE)+1),1)</f>
        <v>29.351951829412801</v>
      </c>
      <c r="Y32" s="57" cm="1">
        <f t="array" ref="Y32">VLOOKUP(B32,'Player Data'!$A1:$AE673,13,FALSE)*$Q32</f>
        <v>0.11221759016466365</v>
      </c>
      <c r="Z32" s="57" cm="1">
        <f t="array" ref="Z32">VLOOKUP(B32,'Player Data'!$A1:$AE673,14,FALSE)*$Q32</f>
        <v>0.15693384568553659</v>
      </c>
      <c r="AA32" s="57" cm="1">
        <f t="array" ref="AA32">VLOOKUP(B32,'Player Data'!$A1:$AE673,15,FALSE)*$Q32</f>
        <v>31.605709916530611</v>
      </c>
      <c r="AB32" s="57" cm="1">
        <f t="array" ref="AB32">VLOOKUP(B32,'Player Data'!$A1:$AE673,16,FALSE)*$Q32</f>
        <v>21.565187158743925</v>
      </c>
      <c r="AC32" s="57" cm="1">
        <f t="array" ref="AC32">VLOOKUP(B32,'Player Data'!$A1:$AE673,17,FALSE)*$Q32*IFERROR((VLOOKUP(P32,Settings!$E$28:$F$33,2,FALSE)+1),1)</f>
        <v>1.5737858472438508</v>
      </c>
      <c r="AD32" s="57" cm="1">
        <f t="array" ref="AD32">VLOOKUP(B32,'Player Data'!$A1:$AE673,18,FALSE)*$Q32</f>
        <v>26.49999767183759</v>
      </c>
      <c r="AE32" s="57" cm="1">
        <f t="array" ref="AE32">VLOOKUP(B32,'Player Data'!$A1:$AE673,19,FALSE)*$Q32*IFERROR((VLOOKUP(P32,Settings!$E$28:$F$33,2,FALSE)+1),1)</f>
        <v>5.3300246204099029</v>
      </c>
      <c r="AF32" s="57" cm="1">
        <f t="array" ref="AF32">VLOOKUP(B32,'Player Data'!$A1:$AE673,20,FALSE)*$Q32</f>
        <v>52.363793250463168</v>
      </c>
      <c r="AG32" s="57" cm="1">
        <f t="array" ref="AG32">VLOOKUP(B32,'Player Data'!$A1:$AE673,21,FALSE)*$Q32</f>
        <v>63.100374711760601</v>
      </c>
      <c r="AH32" s="59" cm="1">
        <f t="array" ref="AH32">VLOOKUP(B32,'Player Data'!$A1:$AE673,22,FALSE)</f>
        <v>0.45350686862087802</v>
      </c>
      <c r="AI32" s="55"/>
      <c r="AJ32" s="57"/>
      <c r="AK32" s="57"/>
      <c r="AL32" s="57"/>
      <c r="AM32" s="57"/>
      <c r="AN32" s="57"/>
      <c r="AO32" s="57"/>
      <c r="AP32" s="57"/>
      <c r="AQ32" s="60"/>
      <c r="AR32" s="61"/>
      <c r="AS32" s="55"/>
    </row>
    <row r="33" spans="1:45" ht="21.25" customHeight="1" x14ac:dyDescent="0.15">
      <c r="A33" s="62">
        <f t="shared" si="0"/>
        <v>32</v>
      </c>
      <c r="B33" s="10" t="s">
        <v>160</v>
      </c>
      <c r="C33" s="47" t="s">
        <v>147</v>
      </c>
      <c r="D33" s="48" t="str" cm="1">
        <f t="array" ref="D33">VLOOKUP(B33,'Player Data'!A1:D673,4,FALSE)</f>
        <v>D</v>
      </c>
      <c r="E33" s="68" cm="1">
        <f t="array" ref="E33">VLOOKUP(B33,D!A1:C204,3,FALSE)</f>
        <v>13</v>
      </c>
      <c r="F33" s="56" t="str" cm="1">
        <f t="array" ref="F33">VLOOKUP(B33,'Player Data'!A1:B673,2,FALSE)</f>
        <v>WSH</v>
      </c>
      <c r="G33" s="11" cm="1">
        <f t="array" ref="G33">VLOOKUP(B33,'Player Data'!A1:D673,3,FALSE)</f>
        <v>28</v>
      </c>
      <c r="H33" s="51" cm="1">
        <f t="array" ref="H33">IFERROR(VLOOKUP(B33,ADP!A1:F671,6,FALSE)/1000000,VLOOKUP(B33,ADP!A1:F671,6,FALSE))</f>
        <v>9</v>
      </c>
      <c r="I33" s="52">
        <f>IF(Settings!$E$15="POINTS",((R33*Q33)*Settings!$B$12)+(S33*Settings!$B$2)+(T33*Settings!$B$3)+(U33*Settings!$B$4)+(V33*Settings!$B$5)+(X33*Settings!$B$9)+(AA33*Settings!$B$6)+(W33*Settings!$B$8)+(AB33*Settings!$B$7)+(AC33*Settings!$B$14)+(AD33*Settings!$B$15)+(AE33*Settings!$B$16)+(AF33*Settings!$B$17)+(AG33*Settings!$B$18)+(U33*Settings!$B$13)+(Y33*Settings!$B$10)+(Z33*Settings!$B$11),VLOOKUP(B33,'Standard Deviations'!A$1:C$672,3,FALSE))</f>
        <v>350.9704064070591</v>
      </c>
      <c r="J33" s="53" cm="1">
        <f t="array" ref="J33">IF(D33="G",I33/AJ33,I33/Q33)</f>
        <v>4.2503228144966281</v>
      </c>
      <c r="K33" s="52" cm="1">
        <f t="array" ref="K33">VLOOKUP(B33,D!A1:F204,6,FALSE)</f>
        <v>44.31653906246504</v>
      </c>
      <c r="L33" s="54" cm="1">
        <f t="array" ref="L33">IFERROR(K33/H33,"N/A")</f>
        <v>4.9240598958294486</v>
      </c>
      <c r="M33" s="55">
        <v>54.7</v>
      </c>
      <c r="N33" s="55" cm="1">
        <f t="array" ref="N33">IFERROR(M33-A33,"N/A")</f>
        <v>22.700000000000003</v>
      </c>
      <c r="O33" s="55"/>
      <c r="P33" s="56" t="str" cm="1">
        <f t="array" ref="P33">_xlfn.XLOOKUP($B33,ADP!A2:A671,ADP!G2:G671)</f>
        <v xml:space="preserve"> </v>
      </c>
      <c r="Q33" s="57" cm="1">
        <f t="array" ref="Q33">IF(Settings!$E$12="YES",VLOOKUP(B33,'Player Data'!A1:E673,5,FALSE),84)</f>
        <v>82.575000000000003</v>
      </c>
      <c r="R33" s="55" cm="1">
        <f t="array" ref="R33">VLOOKUP(B33,'Player Data'!$A1:$AE673,6,FALSE)</f>
        <v>23.220744458841502</v>
      </c>
      <c r="S33" s="57" cm="1">
        <f t="array" ref="S33">VLOOKUP(B33,'Player Data'!$A1:$AE673,7,FALSE)*$Q33*IFERROR((VLOOKUP(P33,Settings!$E$28:$F$33,2,FALSE)+1),1)</f>
        <v>21.313956472340255</v>
      </c>
      <c r="T33" s="57" cm="1">
        <f t="array" ref="T33">VLOOKUP(B33,'Player Data'!$A1:$AE673,8,FALSE)*$Q33*IFERROR((VLOOKUP(P33,Settings!$E$28:$F$33,2,FALSE)+1),1)</f>
        <v>33.414325930942823</v>
      </c>
      <c r="U33" s="57" cm="1">
        <f t="array" ref="U33">SUM(S33:T33)</f>
        <v>54.728282403283075</v>
      </c>
      <c r="V33" s="57" cm="1">
        <f t="array" ref="V33">VLOOKUP(B33,'Player Data'!$A1:$AE673,10,FALSE)*$Q33*IFERROR(((VLOOKUP(P33,Settings!$E$28:$F$33,2,FALSE)/2)+1),1)</f>
        <v>218.18109217040416</v>
      </c>
      <c r="W33" s="57" cm="1">
        <f t="array" ref="W33">VLOOKUP(B33,'Player Data'!$A1:$AE673,11,FALSE)*$Q33*IFERROR((VLOOKUP(P33,Settings!$E$28:$F$33,2,FALSE)+1),1)</f>
        <v>7.2478770730849069</v>
      </c>
      <c r="X33" s="79" cm="1">
        <f t="array" ref="X33">VLOOKUP(B33,'Player Data'!$A1:$AE673,12,FALSE)*$Q33*IFERROR((VLOOKUP(P33,Settings!$E$28:$F$33,2,FALSE)+1),1)</f>
        <v>18.605028096517309</v>
      </c>
      <c r="Y33" s="57" cm="1">
        <f t="array" ref="Y33">VLOOKUP(B33,'Player Data'!$A1:$AE673,13,FALSE)*$Q33</f>
        <v>1.7894406862436065E-2</v>
      </c>
      <c r="Z33" s="57" cm="1">
        <f t="array" ref="Z33">VLOOKUP(B33,'Player Data'!$A1:$AE673,14,FALSE)*$Q33</f>
        <v>6.0911866760220923E-2</v>
      </c>
      <c r="AA33" s="57" cm="1">
        <f t="array" ref="AA33">VLOOKUP(B33,'Player Data'!$A1:$AE673,15,FALSE)*$Q33</f>
        <v>118.05814629746055</v>
      </c>
      <c r="AB33" s="57" cm="1">
        <f t="array" ref="AB33">VLOOKUP(B33,'Player Data'!$A1:$AE673,16,FALSE)*$Q33</f>
        <v>62.81783838854232</v>
      </c>
      <c r="AC33" s="57" cm="1">
        <f t="array" ref="AC33">VLOOKUP(B33,'Player Data'!$A1:$AE673,17,FALSE)*$Q33*IFERROR((VLOOKUP(P33,Settings!$E$28:$F$33,2,FALSE)+1),1)</f>
        <v>6.3948085214197157</v>
      </c>
      <c r="AD33" s="57" cm="1">
        <f t="array" ref="AD33">VLOOKUP(B33,'Player Data'!$A1:$AE673,18,FALSE)*$Q33</f>
        <v>58.250597996939845</v>
      </c>
      <c r="AE33" s="57" cm="1">
        <f t="array" ref="AE33">VLOOKUP(B33,'Player Data'!$A1:$AE673,19,FALSE)*$Q33*IFERROR((VLOOKUP(P33,Settings!$E$28:$F$33,2,FALSE)+1),1)</f>
        <v>3.1921766549337005</v>
      </c>
      <c r="AF33" s="57" cm="1">
        <f t="array" ref="AF33">VLOOKUP(B33,'Player Data'!$A1:$AE673,20,FALSE)*$Q33</f>
        <v>0</v>
      </c>
      <c r="AG33" s="57" cm="1">
        <f t="array" ref="AG33">VLOOKUP(B33,'Player Data'!$A1:$AE673,21,FALSE)*$Q33</f>
        <v>0</v>
      </c>
      <c r="AH33" s="59" cm="1">
        <f t="array" ref="AH33">VLOOKUP(B33,'Player Data'!$A1:$AE673,22,FALSE)</f>
        <v>0</v>
      </c>
      <c r="AI33" s="55"/>
      <c r="AJ33" s="57"/>
      <c r="AK33" s="57"/>
      <c r="AL33" s="57"/>
      <c r="AM33" s="57"/>
      <c r="AN33" s="57"/>
      <c r="AO33" s="57"/>
      <c r="AP33" s="57"/>
      <c r="AQ33" s="60"/>
      <c r="AR33" s="61"/>
      <c r="AS33" s="55"/>
    </row>
    <row r="34" spans="1:45" ht="21.25" customHeight="1" x14ac:dyDescent="0.15">
      <c r="A34" s="62">
        <f t="shared" si="0"/>
        <v>33</v>
      </c>
      <c r="B34" s="10" t="s">
        <v>161</v>
      </c>
      <c r="C34" s="47" t="s">
        <v>147</v>
      </c>
      <c r="D34" s="48" t="str" cm="1">
        <f t="array" ref="D34">VLOOKUP(B34,'Player Data'!A1:D673,4,FALSE)</f>
        <v>D</v>
      </c>
      <c r="E34" s="68" cm="1">
        <f t="array" ref="E34">VLOOKUP(B34,D!A1:C204,3,FALSE)</f>
        <v>14</v>
      </c>
      <c r="F34" s="50" t="str" cm="1">
        <f t="array" ref="F34">VLOOKUP(B34,'Player Data'!A1:B673,2,FALSE)</f>
        <v>ANA</v>
      </c>
      <c r="G34" s="11" cm="1">
        <f t="array" ref="G34">VLOOKUP(B34,'Player Data'!A1:D673,3,FALSE)</f>
        <v>25</v>
      </c>
      <c r="H34" s="51" cm="1">
        <f t="array" ref="H34">IFERROR(VLOOKUP(B34,ADP!A1:F671,6,FALSE)/1000000,VLOOKUP(B34,ADP!A1:F671,6,FALSE))</f>
        <v>9</v>
      </c>
      <c r="I34" s="52">
        <f>IF(Settings!$E$15="POINTS",((R34*Q34)*Settings!$B$12)+(S34*Settings!$B$2)+(T34*Settings!$B$3)+(U34*Settings!$B$4)+(V34*Settings!$B$5)+(X34*Settings!$B$9)+(AA34*Settings!$B$6)+(W34*Settings!$B$8)+(AB34*Settings!$B$7)+(AC34*Settings!$B$14)+(AD34*Settings!$B$15)+(AE34*Settings!$B$16)+(AF34*Settings!$B$17)+(AG34*Settings!$B$18)+(U34*Settings!$B$13)+(Y34*Settings!$B$10)+(Z34*Settings!$B$11),VLOOKUP(B34,'Standard Deviations'!A$1:C$672,3,FALSE))</f>
        <v>344.30785147702034</v>
      </c>
      <c r="J34" s="53" cm="1">
        <f t="array" ref="J34">IF(D34="G",I34/AJ34,I34/Q34)</f>
        <v>4.2005410861258463</v>
      </c>
      <c r="K34" s="52" cm="1">
        <f t="array" ref="K34">VLOOKUP(B34,D!A1:F204,6,FALSE)</f>
        <v>37.653984132426274</v>
      </c>
      <c r="L34" s="54" cm="1">
        <f t="array" ref="L34">IFERROR(K34/H34,"N/A")</f>
        <v>4.1837760147140308</v>
      </c>
      <c r="M34" s="55">
        <v>79.5</v>
      </c>
      <c r="N34" s="55" cm="1">
        <f t="array" ref="N34">IFERROR(M34-A34,"N/A")</f>
        <v>46.5</v>
      </c>
      <c r="O34" s="55"/>
      <c r="P34" s="56" t="str" cm="1">
        <f t="array" ref="P34">_xlfn.XLOOKUP($B34,ADP!A2:A671,ADP!G2:G671)</f>
        <v>+</v>
      </c>
      <c r="Q34" s="57" cm="1">
        <f t="array" ref="Q34">IF(Settings!$E$12="YES",VLOOKUP(B34,'Player Data'!A1:E673,5,FALSE),84)</f>
        <v>81.967500000000001</v>
      </c>
      <c r="R34" s="55" cm="1">
        <f t="array" ref="R34">VLOOKUP(B34,'Player Data'!$A1:$AE673,6,FALSE)</f>
        <v>24.931394649390299</v>
      </c>
      <c r="S34" s="57" cm="1">
        <f t="array" ref="S34">VLOOKUP(B34,'Player Data'!$A1:$AE673,7,FALSE)*$Q34*IFERROR((VLOOKUP(P34,Settings!$E$28:$F$33,2,FALSE)+1),1)</f>
        <v>12.683816776990923</v>
      </c>
      <c r="T34" s="57" cm="1">
        <f t="array" ref="T34">VLOOKUP(B34,'Player Data'!$A1:$AE673,8,FALSE)*$Q34*IFERROR((VLOOKUP(P34,Settings!$E$28:$F$33,2,FALSE)+1),1)</f>
        <v>45.176284487521748</v>
      </c>
      <c r="U34" s="57" cm="1">
        <f t="array" ref="U34">SUM(S34:T34)</f>
        <v>57.860101264512672</v>
      </c>
      <c r="V34" s="57" cm="1">
        <f t="array" ref="V34">VLOOKUP(B34,'Player Data'!$A1:$AE673,10,FALSE)*$Q34*IFERROR(((VLOOKUP(P34,Settings!$E$28:$F$33,2,FALSE)/2)+1),1)</f>
        <v>162.52812964995471</v>
      </c>
      <c r="W34" s="58" cm="1">
        <f t="array" ref="W34">VLOOKUP(B34,'Player Data'!$A1:$AE673,11,FALSE)*$Q34*IFERROR((VLOOKUP(P34,Settings!$E$28:$F$33,2,FALSE)+1),1)</f>
        <v>3.6733830749068281</v>
      </c>
      <c r="X34" s="57" cm="1">
        <f t="array" ref="X34">VLOOKUP(B34,'Player Data'!$A1:$AE673,12,FALSE)*$Q34*IFERROR((VLOOKUP(P34,Settings!$E$28:$F$33,2,FALSE)+1),1)</f>
        <v>19.608664205323738</v>
      </c>
      <c r="Y34" s="57" cm="1">
        <f t="array" ref="Y34">VLOOKUP(B34,'Player Data'!$A1:$AE673,13,FALSE)*$Q34</f>
        <v>0.4708694100027046</v>
      </c>
      <c r="Z34" s="57" cm="1">
        <f t="array" ref="Z34">VLOOKUP(B34,'Player Data'!$A1:$AE673,14,FALSE)*$Q34</f>
        <v>1.2943903260473093</v>
      </c>
      <c r="AA34" s="57" cm="1">
        <f t="array" ref="AA34">VLOOKUP(B34,'Player Data'!$A1:$AE673,15,FALSE)*$Q34</f>
        <v>137.12085665426775</v>
      </c>
      <c r="AB34" s="57" cm="1">
        <f t="array" ref="AB34">VLOOKUP(B34,'Player Data'!$A1:$AE673,16,FALSE)*$Q34</f>
        <v>79.064455811663365</v>
      </c>
      <c r="AC34" s="57" cm="1">
        <f t="array" ref="AC34">VLOOKUP(B34,'Player Data'!$A1:$AE673,17,FALSE)*$Q34*IFERROR((VLOOKUP(P34,Settings!$E$28:$F$33,2,FALSE)+1),1)</f>
        <v>-3.19050881863956</v>
      </c>
      <c r="AD34" s="57" cm="1">
        <f t="array" ref="AD34">VLOOKUP(B34,'Player Data'!$A1:$AE673,18,FALSE)*$Q34</f>
        <v>31.280521479932734</v>
      </c>
      <c r="AE34" s="57" cm="1">
        <f t="array" ref="AE34">VLOOKUP(B34,'Player Data'!$A1:$AE673,19,FALSE)*$Q34*IFERROR((VLOOKUP(P34,Settings!$E$28:$F$33,2,FALSE)+1),1)</f>
        <v>1.8530692656100336</v>
      </c>
      <c r="AF34" s="57" cm="1">
        <f t="array" ref="AF34">VLOOKUP(B34,'Player Data'!$A1:$AE673,20,FALSE)*$Q34</f>
        <v>0</v>
      </c>
      <c r="AG34" s="57" cm="1">
        <f t="array" ref="AG34">VLOOKUP(B34,'Player Data'!$A1:$AE673,21,FALSE)*$Q34</f>
        <v>0.16077038569623461</v>
      </c>
      <c r="AH34" s="59" cm="1">
        <f t="array" ref="AH34">VLOOKUP(B34,'Player Data'!$A1:$AE673,22,FALSE)</f>
        <v>0</v>
      </c>
      <c r="AI34" s="55"/>
      <c r="AJ34" s="57"/>
      <c r="AK34" s="57"/>
      <c r="AL34" s="57"/>
      <c r="AM34" s="57"/>
      <c r="AN34" s="57"/>
      <c r="AO34" s="57"/>
      <c r="AP34" s="57"/>
      <c r="AQ34" s="60"/>
      <c r="AR34" s="61"/>
      <c r="AS34" s="55"/>
    </row>
    <row r="35" spans="1:45" ht="21.25" customHeight="1" x14ac:dyDescent="0.15">
      <c r="A35" s="62">
        <f t="shared" si="0"/>
        <v>34</v>
      </c>
      <c r="B35" s="10" t="s">
        <v>162</v>
      </c>
      <c r="C35" s="47" t="s">
        <v>128</v>
      </c>
      <c r="D35" s="48" t="str" cm="1">
        <f t="array" ref="D35">VLOOKUP(B35,'Player Data'!A1:D673,4,FALSE)</f>
        <v>C,LW,RW</v>
      </c>
      <c r="E35" s="74" cm="1">
        <f t="array" ref="E35">VLOOKUP(B35,RW!A1:F210,3,FALSE)</f>
        <v>8</v>
      </c>
      <c r="F35" s="50" t="str" cm="1">
        <f t="array" ref="F35">VLOOKUP(B35,'Player Data'!A1:B673,2,FALSE)</f>
        <v>ANA</v>
      </c>
      <c r="G35" s="71" cm="1">
        <f t="array" ref="G35">VLOOKUP(B35,'Player Data'!A1:D673,3,FALSE)</f>
        <v>22</v>
      </c>
      <c r="H35" s="51" cm="1">
        <f t="array" ref="H35">IFERROR(VLOOKUP(B35,ADP!A1:F671,6,FALSE)/1000000,VLOOKUP(B35,ADP!A1:F671,6,FALSE))</f>
        <v>0</v>
      </c>
      <c r="I35" s="52">
        <f>IF(Settings!$E$15="POINTS",((R35*Q35)*Settings!$B$12)+(S35*Settings!$B$2)+(T35*Settings!$B$3)+(U35*Settings!$B$4)+(V35*Settings!$B$5)+(X35*Settings!$B$9)+(AA35*Settings!$B$6)+(W35*Settings!$B$8)+(AB35*Settings!$B$7)+(AC35*Settings!$B$14)+(AD35*Settings!$B$15)+(AE35*Settings!$B$16)+(AF35*Settings!$B$17)+(AG35*Settings!$B$18)+(Y35*Settings!$B$10)+(Z35*Settings!$B$11),VLOOKUP(B35,'Standard Deviations'!A$1:C$672,3,FALSE))</f>
        <v>431.07519953197504</v>
      </c>
      <c r="J35" s="53" cm="1">
        <f t="array" ref="J35">IF(D35="G",I35/AJ35,I35/Q35)</f>
        <v>5.2400802228405157</v>
      </c>
      <c r="K35" s="52" cm="1">
        <f t="array" ref="K35">IF(Settings!$E$18="C/LW/RW",VLOOKUP(B35,RW!A1:F210,6,FALSE),VLOOKUP(B35,F!A1:F407,6,FALSE))</f>
        <v>36.131734838417572</v>
      </c>
      <c r="L35" s="80" t="str" cm="1">
        <f t="array" ref="L35">IFERROR(K35/H35,"N/A")</f>
        <v>N/A</v>
      </c>
      <c r="M35" s="55">
        <v>33.6</v>
      </c>
      <c r="N35" s="55" cm="1">
        <f t="array" ref="N35">IFERROR(M35-A35,"N/A")</f>
        <v>-0.39999999999999858</v>
      </c>
      <c r="O35" s="81"/>
      <c r="P35" s="56" t="str" cm="1">
        <f t="array" ref="P35">_xlfn.XLOOKUP($B35,ADP!A2:A671,ADP!G2:G671)</f>
        <v xml:space="preserve"> </v>
      </c>
      <c r="Q35" s="57" cm="1">
        <f t="array" ref="Q35">IF(Settings!$E$12="YES",VLOOKUP(B35,'Player Data'!A1:E673,5,FALSE),84)</f>
        <v>82.265000000000001</v>
      </c>
      <c r="R35" s="82" cm="1">
        <f t="array" ref="R35">VLOOKUP(B35,'Player Data'!$A1:$AE673,6,FALSE)</f>
        <v>18.830932607946799</v>
      </c>
      <c r="S35" s="57" cm="1">
        <f t="array" ref="S35">VLOOKUP(B35,'Player Data'!$A1:$AE673,7,FALSE)*$Q35*IFERROR((VLOOKUP(P35,Settings!$E$28:$F$33,2,FALSE)+1),1)</f>
        <v>40.785373153612824</v>
      </c>
      <c r="T35" s="57" cm="1">
        <f t="array" ref="T35">VLOOKUP(B35,'Player Data'!$A1:$AE673,8,FALSE)*$Q35*IFERROR((VLOOKUP(P35,Settings!$E$28:$F$33,2,FALSE)+1),1)</f>
        <v>36.892906211118472</v>
      </c>
      <c r="U35" s="57" cm="1">
        <f t="array" ref="U35">SUM(S35:T35)</f>
        <v>77.678279364731296</v>
      </c>
      <c r="V35" s="57" cm="1">
        <f t="array" ref="V35">VLOOKUP(B35,'Player Data'!$A1:$AE673,10,FALSE)*$Q35*IFERROR(((VLOOKUP(P35,Settings!$E$28:$F$33,2,FALSE)/2)+1),1)</f>
        <v>312.29662164885366</v>
      </c>
      <c r="W35" s="58" cm="1">
        <f t="array" ref="W35">VLOOKUP(B35,'Player Data'!$A1:$AE673,11,FALSE)*$Q35*IFERROR((VLOOKUP(P35,Settings!$E$28:$F$33,2,FALSE)+1),1)</f>
        <v>12.243319021360053</v>
      </c>
      <c r="X35" s="57" cm="1">
        <f t="array" ref="X35">VLOOKUP(B35,'Player Data'!$A1:$AE673,12,FALSE)*$Q35*IFERROR((VLOOKUP(P35,Settings!$E$28:$F$33,2,FALSE)+1),1)</f>
        <v>24.323720172984032</v>
      </c>
      <c r="Y35" s="57" cm="1">
        <f t="array" ref="Y35">VLOOKUP(B35,'Player Data'!$A1:$AE673,13,FALSE)*$Q35</f>
        <v>9.0281868323642059E-2</v>
      </c>
      <c r="Z35" s="57" cm="1">
        <f t="array" ref="Z35">VLOOKUP(B35,'Player Data'!$A1:$AE673,14,FALSE)*$Q35</f>
        <v>0.1483600319441899</v>
      </c>
      <c r="AA35" s="57" cm="1">
        <f t="array" ref="AA35">VLOOKUP(B35,'Player Data'!$A1:$AE673,15,FALSE)*$Q35</f>
        <v>34.839940816852064</v>
      </c>
      <c r="AB35" s="57" cm="1">
        <f t="array" ref="AB35">VLOOKUP(B35,'Player Data'!$A1:$AE673,16,FALSE)*$Q35</f>
        <v>78.654028031927652</v>
      </c>
      <c r="AC35" s="57" cm="1">
        <f t="array" ref="AC35">VLOOKUP(B35,'Player Data'!$A1:$AE673,17,FALSE)*$Q35*IFERROR((VLOOKUP(P35,Settings!$E$28:$F$33,2,FALSE)+1),1)</f>
        <v>-2.1102496794911234</v>
      </c>
      <c r="AD35" s="57" cm="1">
        <f t="array" ref="AD35">VLOOKUP(B35,'Player Data'!$A1:$AE673,18,FALSE)*$Q35</f>
        <v>32.479630726897298</v>
      </c>
      <c r="AE35" s="57" cm="1">
        <f t="array" ref="AE35">VLOOKUP(B35,'Player Data'!$A1:$AE673,19,FALSE)*$Q35*IFERROR((VLOOKUP(P35,Settings!$E$28:$F$33,2,FALSE)+1),1)</f>
        <v>5.9586260828443134</v>
      </c>
      <c r="AF35" s="57" cm="1">
        <f t="array" ref="AF35">VLOOKUP(B35,'Player Data'!$A1:$AE673,20,FALSE)*$Q35</f>
        <v>96.340556863293145</v>
      </c>
      <c r="AG35" s="57" cm="1">
        <f t="array" ref="AG35">VLOOKUP(B35,'Player Data'!$A1:$AE673,21,FALSE)*$Q35</f>
        <v>122.71859722515372</v>
      </c>
      <c r="AH35" s="59" cm="1">
        <f t="array" ref="AH35">VLOOKUP(B35,'Player Data'!$A1:$AE673,22,FALSE)</f>
        <v>0.43979242622471998</v>
      </c>
      <c r="AI35" s="55"/>
      <c r="AJ35" s="57"/>
      <c r="AK35" s="57"/>
      <c r="AL35" s="57"/>
      <c r="AM35" s="57"/>
      <c r="AN35" s="57"/>
      <c r="AO35" s="57"/>
      <c r="AP35" s="57"/>
      <c r="AQ35" s="60"/>
      <c r="AR35" s="61"/>
      <c r="AS35" s="55"/>
    </row>
    <row r="36" spans="1:45" ht="21.25" customHeight="1" x14ac:dyDescent="0.15">
      <c r="A36" s="62">
        <f t="shared" si="0"/>
        <v>35</v>
      </c>
      <c r="B36" s="10" t="s">
        <v>163</v>
      </c>
      <c r="C36" s="47" t="s">
        <v>128</v>
      </c>
      <c r="D36" s="48" t="str" cm="1">
        <f t="array" ref="D36">VLOOKUP(B36,'Player Data'!A1:D673,4,FALSE)</f>
        <v>D</v>
      </c>
      <c r="E36" s="68" cm="1">
        <f t="array" ref="E36">VLOOKUP(B36,D!A1:C204,3,FALSE)</f>
        <v>16</v>
      </c>
      <c r="F36" s="63" t="str" cm="1">
        <f t="array" ref="F36">VLOOKUP(B36,'Player Data'!A1:B673,2,FALSE)</f>
        <v>WPG</v>
      </c>
      <c r="G36" s="66" cm="1">
        <f t="array" ref="G36">VLOOKUP(B36,'Player Data'!A1:D673,3,FALSE)</f>
        <v>31</v>
      </c>
      <c r="H36" s="51" cm="1">
        <f t="array" ref="H36">IFERROR(VLOOKUP(B36,ADP!A1:F671,6,FALSE)/1000000,VLOOKUP(B36,ADP!A1:F671,6,FALSE))</f>
        <v>6.25</v>
      </c>
      <c r="I36" s="52">
        <f>IF(Settings!$E$15="POINTS",((R36*Q36)*Settings!$B$12)+(S36*Settings!$B$2)+(T36*Settings!$B$3)+(U36*Settings!$B$4)+(V36*Settings!$B$5)+(X36*Settings!$B$9)+(AA36*Settings!$B$6)+(W36*Settings!$B$8)+(AB36*Settings!$B$7)+(AC36*Settings!$B$14)+(AD36*Settings!$B$15)+(AE36*Settings!$B$16)+(AF36*Settings!$B$17)+(AG36*Settings!$B$18)+(U36*Settings!$B$13)+(Y36*Settings!$B$10)+(Z36*Settings!$B$11),VLOOKUP(B36,'Standard Deviations'!A$1:C$672,3,FALSE))</f>
        <v>341.37057752935198</v>
      </c>
      <c r="J36" s="53" cm="1">
        <f t="array" ref="J36">IF(D36="G",I36/AJ36,I36/Q36)</f>
        <v>4.1244519591548858</v>
      </c>
      <c r="K36" s="52" cm="1">
        <f t="array" ref="K36">VLOOKUP(B36,D!A1:F204,6,FALSE)</f>
        <v>34.716710184757915</v>
      </c>
      <c r="L36" s="54" cm="1">
        <f t="array" ref="L36">IFERROR(K36/H36,"N/A")</f>
        <v>5.5546736295612664</v>
      </c>
      <c r="M36" s="55">
        <v>86.6</v>
      </c>
      <c r="N36" s="55" cm="1">
        <f t="array" ref="N36">IFERROR(M36-A36,"N/A")</f>
        <v>51.599999999999994</v>
      </c>
      <c r="O36" s="83"/>
      <c r="P36" s="56" t="str" cm="1">
        <f t="array" ref="P36">_xlfn.XLOOKUP($B36,ADP!A2:A671,ADP!G2:G671)</f>
        <v xml:space="preserve"> </v>
      </c>
      <c r="Q36" s="57" cm="1">
        <f t="array" ref="Q36">IF(Settings!$E$12="YES",VLOOKUP(B36,'Player Data'!A1:E673,5,FALSE),84)</f>
        <v>82.767499999999998</v>
      </c>
      <c r="R36" s="55" cm="1">
        <f t="array" ref="R36">VLOOKUP(B36,'Player Data'!$A1:$AE673,6,FALSE)</f>
        <v>24.564279585469698</v>
      </c>
      <c r="S36" s="57" cm="1">
        <f t="array" ref="S36">VLOOKUP(B36,'Player Data'!$A1:$AE673,7,FALSE)*$Q36*IFERROR((VLOOKUP(P36,Settings!$E$28:$F$33,2,FALSE)+1),1)</f>
        <v>11.320837698786407</v>
      </c>
      <c r="T36" s="57" cm="1">
        <f t="array" ref="T36">VLOOKUP(B36,'Player Data'!$A1:$AE673,8,FALSE)*$Q36*IFERROR((VLOOKUP(P36,Settings!$E$28:$F$33,2,FALSE)+1),1)</f>
        <v>48.148401408342288</v>
      </c>
      <c r="U36" s="57" cm="1">
        <f t="array" ref="U36">SUM(S36:T36)</f>
        <v>59.469239107128693</v>
      </c>
      <c r="V36" s="57" cm="1">
        <f t="array" ref="V36">VLOOKUP(B36,'Player Data'!$A1:$AE673,10,FALSE)*$Q36*IFERROR(((VLOOKUP(P36,Settings!$E$28:$F$33,2,FALSE)/2)+1),1)</f>
        <v>165.53263800584654</v>
      </c>
      <c r="W36" s="58" cm="1">
        <f t="array" ref="W36">VLOOKUP(B36,'Player Data'!$A1:$AE673,11,FALSE)*$Q36*IFERROR((VLOOKUP(P36,Settings!$E$28:$F$33,2,FALSE)+1),1)</f>
        <v>2.2023731543624288</v>
      </c>
      <c r="X36" s="57" cm="1">
        <f t="array" ref="X36">VLOOKUP(B36,'Player Data'!$A1:$AE673,12,FALSE)*$Q36*IFERROR((VLOOKUP(P36,Settings!$E$28:$F$33,2,FALSE)+1),1)</f>
        <v>18.851425682205424</v>
      </c>
      <c r="Y36" s="57" cm="1">
        <f t="array" ref="Y36">VLOOKUP(B36,'Player Data'!$A1:$AE673,13,FALSE)*$Q36</f>
        <v>1.2124831553427775E-2</v>
      </c>
      <c r="Z36" s="57" cm="1">
        <f t="array" ref="Z36">VLOOKUP(B36,'Player Data'!$A1:$AE673,14,FALSE)*$Q36</f>
        <v>4.6122764968601876E-2</v>
      </c>
      <c r="AA36" s="57" cm="1">
        <f t="array" ref="AA36">VLOOKUP(B36,'Player Data'!$A1:$AE673,15,FALSE)*$Q36</f>
        <v>122.59798551573712</v>
      </c>
      <c r="AB36" s="57" cm="1">
        <f t="array" ref="AB36">VLOOKUP(B36,'Player Data'!$A1:$AE673,16,FALSE)*$Q36</f>
        <v>48.66952414186472</v>
      </c>
      <c r="AC36" s="57" cm="1">
        <f t="array" ref="AC36">VLOOKUP(B36,'Player Data'!$A1:$AE673,17,FALSE)*$Q36*IFERROR((VLOOKUP(P36,Settings!$E$28:$F$33,2,FALSE)+1),1)</f>
        <v>4.5000333271238278</v>
      </c>
      <c r="AD36" s="57" cm="1">
        <f t="array" ref="AD36">VLOOKUP(B36,'Player Data'!$A1:$AE673,18,FALSE)*$Q36</f>
        <v>34.970793669252608</v>
      </c>
      <c r="AE36" s="57" cm="1">
        <f t="array" ref="AE36">VLOOKUP(B36,'Player Data'!$A1:$AE673,19,FALSE)*$Q36*IFERROR((VLOOKUP(P36,Settings!$E$28:$F$33,2,FALSE)+1),1)</f>
        <v>1.967219188463323</v>
      </c>
      <c r="AF36" s="57" cm="1">
        <f t="array" ref="AF36">VLOOKUP(B36,'Player Data'!$A1:$AE673,20,FALSE)*$Q36</f>
        <v>0</v>
      </c>
      <c r="AG36" s="57" cm="1">
        <f t="array" ref="AG36">VLOOKUP(B36,'Player Data'!$A1:$AE673,21,FALSE)*$Q36</f>
        <v>0</v>
      </c>
      <c r="AH36" s="59" cm="1">
        <f t="array" ref="AH36">VLOOKUP(B36,'Player Data'!$A1:$AE673,22,FALSE)</f>
        <v>0</v>
      </c>
      <c r="AI36" s="55"/>
      <c r="AJ36" s="57"/>
      <c r="AK36" s="57"/>
      <c r="AL36" s="57"/>
      <c r="AM36" s="57"/>
      <c r="AN36" s="57"/>
      <c r="AO36" s="57"/>
      <c r="AP36" s="57"/>
      <c r="AQ36" s="60"/>
      <c r="AR36" s="61"/>
      <c r="AS36" s="55"/>
    </row>
    <row r="37" spans="1:45" ht="21.25" customHeight="1" x14ac:dyDescent="0.15">
      <c r="A37" s="62">
        <f t="shared" si="0"/>
        <v>36</v>
      </c>
      <c r="B37" s="10" t="s">
        <v>164</v>
      </c>
      <c r="C37" s="47" t="s">
        <v>128</v>
      </c>
      <c r="D37" s="48" t="str" cm="1">
        <f t="array" ref="D37">VLOOKUP(B37,'Player Data'!A1:D673,4,FALSE)</f>
        <v>LW,RW</v>
      </c>
      <c r="E37" s="74" cm="1">
        <f t="array" ref="E37">VLOOKUP(B37,RW!A1:F210,3,FALSE)</f>
        <v>9</v>
      </c>
      <c r="F37" s="63" t="str" cm="1">
        <f t="array" ref="F37">VLOOKUP(B37,'Player Data'!A1:B673,2,FALSE)</f>
        <v>DAL</v>
      </c>
      <c r="G37" s="11" cm="1">
        <f t="array" ref="G37">VLOOKUP(B37,'Player Data'!A1:D673,3,FALSE)</f>
        <v>29</v>
      </c>
      <c r="H37" s="51" cm="1">
        <f t="array" ref="H37">IFERROR(VLOOKUP(B37,ADP!A1:F671,6,FALSE)/1000000,VLOOKUP(B37,ADP!A1:F671,6,FALSE))</f>
        <v>12</v>
      </c>
      <c r="I37" s="52">
        <f>IF(Settings!$E$15="POINTS",((R37*Q37)*Settings!$B$12)+(S37*Settings!$B$2)+(T37*Settings!$B$3)+(U37*Settings!$B$4)+(V37*Settings!$B$5)+(X37*Settings!$B$9)+(AA37*Settings!$B$6)+(W37*Settings!$B$8)+(AB37*Settings!$B$7)+(AC37*Settings!$B$14)+(AD37*Settings!$B$15)+(AE37*Settings!$B$16)+(AF37*Settings!$B$17)+(AG37*Settings!$B$18)+(Y37*Settings!$B$10)+(Z37*Settings!$B$11),VLOOKUP(B37,'Standard Deviations'!A$1:C$672,3,FALSE))</f>
        <v>429.44531913112792</v>
      </c>
      <c r="J37" s="53" cm="1">
        <f t="array" ref="J37">IF(D37="G",I37/AJ37,I37/Q37)</f>
        <v>5.3257930071448865</v>
      </c>
      <c r="K37" s="52" cm="1">
        <f t="array" ref="K37">IF(Settings!$E$18="C/LW/RW",VLOOKUP(B37,RW!A1:F210,6,FALSE),VLOOKUP(B37,F!A1:F407,6,FALSE))</f>
        <v>34.501854437570444</v>
      </c>
      <c r="L37" s="54" cm="1">
        <f t="array" ref="L37">IFERROR(K37/H37,"N/A")</f>
        <v>2.8751545364642035</v>
      </c>
      <c r="M37" s="55">
        <v>24.9</v>
      </c>
      <c r="N37" s="55" cm="1">
        <f t="array" ref="N37">IFERROR(M37-A37,"N/A")</f>
        <v>-11.100000000000001</v>
      </c>
      <c r="O37" s="55"/>
      <c r="P37" s="56" t="str" cm="1">
        <f t="array" ref="P37">_xlfn.XLOOKUP($B37,ADP!A2:A671,ADP!G2:G671)</f>
        <v xml:space="preserve"> </v>
      </c>
      <c r="Q37" s="57" cm="1">
        <f t="array" ref="Q37">IF(Settings!$E$12="YES",VLOOKUP(B37,'Player Data'!A1:E673,5,FALSE),84)</f>
        <v>80.635000000000005</v>
      </c>
      <c r="R37" s="55" cm="1">
        <f t="array" ref="R37">VLOOKUP(B37,'Player Data'!$A1:$AE673,6,FALSE)</f>
        <v>20.294449029535102</v>
      </c>
      <c r="S37" s="57" cm="1">
        <f t="array" ref="S37">VLOOKUP(B37,'Player Data'!$A1:$AE673,7,FALSE)*$Q37*IFERROR((VLOOKUP(P37,Settings!$E$28:$F$33,2,FALSE)+1),1)</f>
        <v>31.18840255730758</v>
      </c>
      <c r="T37" s="57" cm="1">
        <f t="array" ref="T37">VLOOKUP(B37,'Player Data'!$A1:$AE673,8,FALSE)*$Q37*IFERROR((VLOOKUP(P37,Settings!$E$28:$F$33,2,FALSE)+1),1)</f>
        <v>60.201354175168888</v>
      </c>
      <c r="U37" s="57" cm="1">
        <f t="array" ref="U37">SUM(S37:T37)</f>
        <v>91.389756732476471</v>
      </c>
      <c r="V37" s="57" cm="1">
        <f t="array" ref="V37">VLOOKUP(B37,'Player Data'!$A1:$AE673,10,FALSE)*$Q37*IFERROR(((VLOOKUP(P37,Settings!$E$28:$F$33,2,FALSE)/2)+1),1)</f>
        <v>198.47782949660558</v>
      </c>
      <c r="W37" s="58" cm="1">
        <f t="array" ref="W37">VLOOKUP(B37,'Player Data'!$A1:$AE673,11,FALSE)*$Q37*IFERROR((VLOOKUP(P37,Settings!$E$28:$F$33,2,FALSE)+1),1)</f>
        <v>10.220422811876551</v>
      </c>
      <c r="X37" s="57" cm="1">
        <f t="array" ref="X37">VLOOKUP(B37,'Player Data'!$A1:$AE673,12,FALSE)*$Q37*IFERROR((VLOOKUP(P37,Settings!$E$28:$F$33,2,FALSE)+1),1)</f>
        <v>36.261134271806313</v>
      </c>
      <c r="Y37" s="57" cm="1">
        <f t="array" ref="Y37">VLOOKUP(B37,'Player Data'!$A1:$AE673,13,FALSE)*$Q37</f>
        <v>3.9799788284586527E-3</v>
      </c>
      <c r="Z37" s="57" cm="1">
        <f t="array" ref="Z37">VLOOKUP(B37,'Player Data'!$A1:$AE673,14,FALSE)*$Q37</f>
        <v>6.4999673568920053E-3</v>
      </c>
      <c r="AA37" s="57" cm="1">
        <f t="array" ref="AA37">VLOOKUP(B37,'Player Data'!$A1:$AE673,15,FALSE)*$Q37</f>
        <v>39.538999892465064</v>
      </c>
      <c r="AB37" s="57" cm="1">
        <f t="array" ref="AB37">VLOOKUP(B37,'Player Data'!$A1:$AE673,16,FALSE)*$Q37</f>
        <v>54.552691471386375</v>
      </c>
      <c r="AC37" s="57" cm="1">
        <f t="array" ref="AC37">VLOOKUP(B37,'Player Data'!$A1:$AE673,17,FALSE)*$Q37*IFERROR((VLOOKUP(P37,Settings!$E$28:$F$33,2,FALSE)+1),1)</f>
        <v>6.3581294896540728</v>
      </c>
      <c r="AD37" s="57" cm="1">
        <f t="array" ref="AD37">VLOOKUP(B37,'Player Data'!$A1:$AE673,18,FALSE)*$Q37</f>
        <v>58.293806866450652</v>
      </c>
      <c r="AE37" s="57" cm="1">
        <f t="array" ref="AE37">VLOOKUP(B37,'Player Data'!$A1:$AE673,19,FALSE)*$Q37*IFERROR((VLOOKUP(P37,Settings!$E$28:$F$33,2,FALSE)+1),1)</f>
        <v>5.2746697516358507</v>
      </c>
      <c r="AF37" s="57" cm="1">
        <f t="array" ref="AF37">VLOOKUP(B37,'Player Data'!$A1:$AE673,20,FALSE)*$Q37</f>
        <v>97.906364651115197</v>
      </c>
      <c r="AG37" s="57" cm="1">
        <f t="array" ref="AG37">VLOOKUP(B37,'Player Data'!$A1:$AE673,21,FALSE)*$Q37</f>
        <v>97.212666160911283</v>
      </c>
      <c r="AH37" s="59" cm="1">
        <f t="array" ref="AH37">VLOOKUP(B37,'Player Data'!$A1:$AE673,22,FALSE)</f>
        <v>0.50177762898707601</v>
      </c>
      <c r="AI37" s="55"/>
      <c r="AJ37" s="57"/>
      <c r="AK37" s="57"/>
      <c r="AL37" s="57"/>
      <c r="AM37" s="57"/>
      <c r="AN37" s="57"/>
      <c r="AO37" s="57"/>
      <c r="AP37" s="57"/>
      <c r="AQ37" s="60"/>
      <c r="AR37" s="61"/>
      <c r="AS37" s="55"/>
    </row>
    <row r="38" spans="1:45" ht="21.25" customHeight="1" x14ac:dyDescent="0.15">
      <c r="A38" s="62">
        <f t="shared" si="0"/>
        <v>37</v>
      </c>
      <c r="B38" s="10" t="s">
        <v>165</v>
      </c>
      <c r="C38" s="47" t="s">
        <v>128</v>
      </c>
      <c r="D38" s="48" t="str" cm="1">
        <f t="array" ref="D38">VLOOKUP(B38,'Player Data'!A1:D673,4,FALSE)</f>
        <v>C</v>
      </c>
      <c r="E38" s="49" cm="1">
        <f t="array" ref="E38">VLOOKUP(B38,'C'!A1:C210,3,FALSE)</f>
        <v>12</v>
      </c>
      <c r="F38" s="50" t="str" cm="1">
        <f t="array" ref="F38">VLOOKUP(B38,'Player Data'!A1:B673,2,FALSE)</f>
        <v>ANA</v>
      </c>
      <c r="G38" s="71" cm="1">
        <f t="array" ref="G38">VLOOKUP(B38,'Player Data'!A1:D673,3,FALSE)</f>
        <v>21</v>
      </c>
      <c r="H38" s="51" cm="1">
        <f t="array" ref="H38">IFERROR(VLOOKUP(B38,ADP!A1:F671,6,FALSE)/1000000,VLOOKUP(B38,ADP!A1:F671,6,FALSE))</f>
        <v>18</v>
      </c>
      <c r="I38" s="52">
        <f>IF(Settings!$E$15="POINTS",((R38*Q38)*Settings!$B$12)+(S38*Settings!$B$2)+(T38*Settings!$B$3)+(U38*Settings!$B$4)+(V38*Settings!$B$5)+(X38*Settings!$B$9)+(AA38*Settings!$B$6)+(W38*Settings!$B$8)+(AB38*Settings!$B$7)+(AC38*Settings!$B$14)+(AD38*Settings!$B$15)+(AE38*Settings!$B$16)+(AF38*Settings!$B$17)+(AG38*Settings!$B$18)+(Y38*Settings!$B$10)+(Z38*Settings!$B$11),VLOOKUP(B38,'Standard Deviations'!A$1:C$672,3,FALSE))</f>
        <v>419.95061535469569</v>
      </c>
      <c r="J38" s="53" cm="1">
        <f t="array" ref="J38">IF(D38="G",I38/AJ38,I38/Q38)</f>
        <v>5.3582215675240281</v>
      </c>
      <c r="K38" s="52" cm="1">
        <f t="array" ref="K38">IF(Settings!$E$18="C/LW/RW",VLOOKUP(B38,'C'!A1:F210,6,FALSE),VLOOKUP(B38,F!A1:F407,6,FALSE))</f>
        <v>33.415408961612684</v>
      </c>
      <c r="L38" s="54" cm="1">
        <f t="array" ref="L38">IFERROR(K38/H38,"N/A")</f>
        <v>1.8564116089784823</v>
      </c>
      <c r="M38" s="55">
        <v>43.3</v>
      </c>
      <c r="N38" s="55" cm="1">
        <f t="array" ref="N38">IFERROR(M38-A38,"N/A")</f>
        <v>6.2999999999999972</v>
      </c>
      <c r="O38" s="55"/>
      <c r="P38" s="56" t="str" cm="1">
        <f t="array" ref="P38">_xlfn.XLOOKUP($B38,ADP!A2:A671,ADP!G2:G671)</f>
        <v>+ +</v>
      </c>
      <c r="Q38" s="57" cm="1">
        <f t="array" ref="Q38">IF(Settings!$E$12="YES",VLOOKUP(B38,'Player Data'!A1:E673,5,FALSE),84)</f>
        <v>78.375</v>
      </c>
      <c r="R38" s="82" cm="1">
        <f t="array" ref="R38">VLOOKUP(B38,'Player Data'!$A1:$AE673,6,FALSE)</f>
        <v>21.695668182686301</v>
      </c>
      <c r="S38" s="57" cm="1">
        <f t="array" ref="S38">VLOOKUP(B38,'Player Data'!$A1:$AE673,7,FALSE)*$Q38*IFERROR((VLOOKUP(P38,Settings!$E$28:$F$33,2,FALSE)+1),1)</f>
        <v>37.170903469560649</v>
      </c>
      <c r="T38" s="57" cm="1">
        <f t="array" ref="T38">VLOOKUP(B38,'Player Data'!$A1:$AE673,8,FALSE)*$Q38*IFERROR((VLOOKUP(P38,Settings!$E$28:$F$33,2,FALSE)+1),1)</f>
        <v>48.582086831567814</v>
      </c>
      <c r="U38" s="57" cm="1">
        <f t="array" ref="U38">SUM(S38:T38)</f>
        <v>85.752990301128463</v>
      </c>
      <c r="V38" s="57" cm="1">
        <f t="array" ref="V38">VLOOKUP(B38,'Player Data'!$A1:$AE673,10,FALSE)*$Q38*IFERROR(((VLOOKUP(P38,Settings!$E$28:$F$33,2,FALSE)/2)+1),1)</f>
        <v>232.63236310081891</v>
      </c>
      <c r="W38" s="58" cm="1">
        <f t="array" ref="W38">VLOOKUP(B38,'Player Data'!$A1:$AE673,11,FALSE)*$Q38*IFERROR((VLOOKUP(P38,Settings!$E$28:$F$33,2,FALSE)+1),1)</f>
        <v>6.9955608562335918</v>
      </c>
      <c r="X38" s="57" cm="1">
        <f t="array" ref="X38">VLOOKUP(B38,'Player Data'!$A1:$AE673,12,FALSE)*$Q38*IFERROR((VLOOKUP(P38,Settings!$E$28:$F$33,2,FALSE)+1),1)</f>
        <v>21.587178685858987</v>
      </c>
      <c r="Y38" s="57" cm="1">
        <f t="array" ref="Y38">VLOOKUP(B38,'Player Data'!$A1:$AE673,13,FALSE)*$Q38</f>
        <v>2.4354351290840794</v>
      </c>
      <c r="Z38" s="57" cm="1">
        <f t="array" ref="Z38">VLOOKUP(B38,'Player Data'!$A1:$AE673,14,FALSE)*$Q38</f>
        <v>3.9367312886279437</v>
      </c>
      <c r="AA38" s="57" cm="1">
        <f t="array" ref="AA38">VLOOKUP(B38,'Player Data'!$A1:$AE673,15,FALSE)*$Q38</f>
        <v>41.703105852827846</v>
      </c>
      <c r="AB38" s="57" cm="1">
        <f t="array" ref="AB38">VLOOKUP(B38,'Player Data'!$A1:$AE673,16,FALSE)*$Q38</f>
        <v>27.483991584310647</v>
      </c>
      <c r="AC38" s="57" cm="1">
        <f t="array" ref="AC38">VLOOKUP(B38,'Player Data'!$A1:$AE673,17,FALSE)*$Q38*IFERROR((VLOOKUP(P38,Settings!$E$28:$F$33,2,FALSE)+1),1)</f>
        <v>-2.1472241579135991</v>
      </c>
      <c r="AD38" s="57" cm="1">
        <f t="array" ref="AD38">VLOOKUP(B38,'Player Data'!$A1:$AE673,18,FALSE)*$Q38</f>
        <v>28.840974329107279</v>
      </c>
      <c r="AE38" s="57" cm="1">
        <f t="array" ref="AE38">VLOOKUP(B38,'Player Data'!$A1:$AE673,19,FALSE)*$Q38*IFERROR((VLOOKUP(P38,Settings!$E$28:$F$33,2,FALSE)+1),1)</f>
        <v>5.4305624249754549</v>
      </c>
      <c r="AF38" s="57" cm="1">
        <f t="array" ref="AF38">VLOOKUP(B38,'Player Data'!$A1:$AE673,20,FALSE)*$Q38</f>
        <v>484.83656587124909</v>
      </c>
      <c r="AG38" s="57" cm="1">
        <f t="array" ref="AG38">VLOOKUP(B38,'Player Data'!$A1:$AE673,21,FALSE)*$Q38</f>
        <v>688.39664780472333</v>
      </c>
      <c r="AH38" s="59" cm="1">
        <f t="array" ref="AH38">VLOOKUP(B38,'Player Data'!$A1:$AE673,22,FALSE)</f>
        <v>0.41324824444081298</v>
      </c>
      <c r="AI38" s="55"/>
      <c r="AJ38" s="57"/>
      <c r="AK38" s="57"/>
      <c r="AL38" s="57"/>
      <c r="AM38" s="57"/>
      <c r="AN38" s="57"/>
      <c r="AO38" s="57"/>
      <c r="AP38" s="57"/>
      <c r="AQ38" s="60"/>
      <c r="AR38" s="61"/>
      <c r="AS38" s="55"/>
    </row>
    <row r="39" spans="1:45" ht="21.25" customHeight="1" x14ac:dyDescent="0.15">
      <c r="A39" s="62">
        <f t="shared" si="0"/>
        <v>38</v>
      </c>
      <c r="B39" s="10" t="s">
        <v>166</v>
      </c>
      <c r="C39" s="76"/>
      <c r="D39" s="48" t="str" cm="1">
        <f t="array" ref="D39">VLOOKUP(B39,'Player Data'!A1:D673,4,FALSE)</f>
        <v>G</v>
      </c>
      <c r="E39" s="77" cm="1">
        <f t="array" ref="E39">VLOOKUP(B39,G!A1:D66,3,FALSE)</f>
        <v>3</v>
      </c>
      <c r="F39" s="56" t="str" cm="1">
        <f t="array" ref="F39">VLOOKUP(B39,'Player Data'!A1:B673,2,FALSE)</f>
        <v>WSH</v>
      </c>
      <c r="G39" s="11" cm="1">
        <f t="array" ref="G39">VLOOKUP(B39,'Player Data'!A1:D673,3,FALSE)</f>
        <v>29</v>
      </c>
      <c r="H39" s="51" cm="1">
        <f t="array" ref="H39">IFERROR(VLOOKUP(B39,ADP!A1:F671,6,FALSE)/1000000,VLOOKUP(B39,ADP!A1:F671,6,FALSE))</f>
        <v>5.85</v>
      </c>
      <c r="I39" s="52">
        <f>IF(Settings!$E$15="POINTS",(AJ39*Settings!$B$29)+(AK39*Settings!$B$21)+(AL39*Settings!$B$22)+(AN39*Settings!$B$24)+(AO39*Settings!$B$25)+(AP39*Settings!$B$27)+(AM39*Settings!$B$23),VLOOKUP(B39,'Standard Deviations'!A$1:C$672,3,FALSE))</f>
        <v>390.26315187875048</v>
      </c>
      <c r="J39" s="53" cm="1">
        <f t="array" ref="J39">IF(D39="G",I39/AJ39,I39/Q39)</f>
        <v>7.0956936705227358</v>
      </c>
      <c r="K39" s="52" cm="1">
        <f t="array" ref="K39">VLOOKUP(B39,G!A1:F66,6,FALSE)</f>
        <v>31.105243948512452</v>
      </c>
      <c r="L39" s="54" cm="1">
        <f t="array" ref="L39">IFERROR(K39/H39,"N/A")</f>
        <v>5.3171357176944367</v>
      </c>
      <c r="M39" s="55">
        <v>28.6</v>
      </c>
      <c r="N39" s="55" cm="1">
        <f t="array" ref="N39">IFERROR(M39-A39,"N/A")</f>
        <v>-9.3999999999999986</v>
      </c>
      <c r="O39" s="55"/>
      <c r="P39" s="56" t="str" cm="1">
        <f t="array" ref="P39">_xlfn.XLOOKUP($B39,ADP!A2:A671,ADP!G2:G671)</f>
        <v xml:space="preserve"> </v>
      </c>
      <c r="Q39" s="57"/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9"/>
      <c r="AI39" s="55"/>
      <c r="AJ39" s="78" cm="1">
        <f t="array" ref="AJ39">VLOOKUP(B39,'Player Data'!$A1:$AE673,24,FALSE)</f>
        <v>55</v>
      </c>
      <c r="AK39" s="57" cm="1">
        <f t="array" ref="AK39">VLOOKUP(B39,'Player Data'!$A1:$AE673,25,FALSE)*$AJ39*IFERROR((VLOOKUP(P39,Settings!$E$28:$F$33,2,FALSE)+1),1)</f>
        <v>31.76840134159351</v>
      </c>
      <c r="AL39" s="57" cm="1">
        <f t="array" ref="AL39">AJ39-AK39-AM39</f>
        <v>17.423698993804841</v>
      </c>
      <c r="AM39" s="57" cm="1">
        <f t="array" ref="AM39">VLOOKUP(B39,'Player Data'!$A1:$AE673,27,FALSE)*$AJ39</f>
        <v>5.8078996646016501</v>
      </c>
      <c r="AN39" s="57" cm="1">
        <f t="array" ref="AN39">VLOOKUP(B39,'Player Data'!$A1:$AE673,28,FALSE)*AJ39</f>
        <v>3.7333959803168266</v>
      </c>
      <c r="AO39" s="57" cm="1">
        <f t="array" ref="AO39">VLOOKUP(B39,'Player Data'!$A1:$AE673,29,FALSE)*$AJ39*IFERROR((VLOOKUP(P39,Settings!$E$28:$F$33,2,FALSE)/4)+1,1)</f>
        <v>1458.9363304239955</v>
      </c>
      <c r="AP39" s="57" cm="1">
        <f t="array" ref="AP39">VLOOKUP(B39,'Player Data'!$A1:$AE673,31,FALSE)*$AJ39*(IFERROR(1-(VLOOKUP(P39,Settings!$E$28:$F$33,2,FALSE)/4),1))</f>
        <v>146.08120444611487</v>
      </c>
      <c r="AQ39" s="60" cm="1">
        <f t="array" ref="AQ39">1-(AP39/(AO39+AP39))</f>
        <v>0.90898466759870211</v>
      </c>
      <c r="AR39" s="61" cm="1">
        <f t="array" ref="AR39">AP39/AJ39</f>
        <v>2.6560218990202702</v>
      </c>
      <c r="AS39" s="55"/>
    </row>
    <row r="40" spans="1:45" ht="21.25" customHeight="1" x14ac:dyDescent="0.15">
      <c r="A40" s="62">
        <f t="shared" si="0"/>
        <v>39</v>
      </c>
      <c r="B40" s="10" t="s">
        <v>167</v>
      </c>
      <c r="C40" s="47" t="s">
        <v>147</v>
      </c>
      <c r="D40" s="48" t="str" cm="1">
        <f t="array" ref="D40">VLOOKUP(B40,'Player Data'!A1:D673,4,FALSE)</f>
        <v>D</v>
      </c>
      <c r="E40" s="68" cm="1">
        <f t="array" ref="E40">VLOOKUP(B40,D!A1:C204,3,FALSE)</f>
        <v>17</v>
      </c>
      <c r="F40" s="70" t="str" cm="1">
        <f t="array" ref="F40">VLOOKUP(B40,'Player Data'!A1:B673,2,FALSE)</f>
        <v>L.A</v>
      </c>
      <c r="G40" s="71" cm="1">
        <f t="array" ref="G40">VLOOKUP(B40,'Player Data'!A1:D673,3,FALSE)</f>
        <v>23</v>
      </c>
      <c r="H40" s="51" cm="1">
        <f t="array" ref="H40">IFERROR(VLOOKUP(B40,ADP!A1:F671,6,FALSE)/1000000,VLOOKUP(B40,ADP!A1:F671,6,FALSE))</f>
        <v>7.4</v>
      </c>
      <c r="I40" s="52">
        <f>IF(Settings!$E$15="POINTS",((R40*Q40)*Settings!$B$12)+(S40*Settings!$B$2)+(T40*Settings!$B$3)+(U40*Settings!$B$4)+(V40*Settings!$B$5)+(X40*Settings!$B$9)+(AA40*Settings!$B$6)+(W40*Settings!$B$8)+(AB40*Settings!$B$7)+(AC40*Settings!$B$14)+(AD40*Settings!$B$15)+(AE40*Settings!$B$16)+(AF40*Settings!$B$17)+(AG40*Settings!$B$18)+(U40*Settings!$B$13)+(Y40*Settings!$B$10)+(Z40*Settings!$B$11),VLOOKUP(B40,'Standard Deviations'!A$1:C$672,3,FALSE))</f>
        <v>337.53830085437869</v>
      </c>
      <c r="J40" s="53" cm="1">
        <f t="array" ref="J40">IF(D40="G",I40/AJ40,I40/Q40)</f>
        <v>4.1023128446083943</v>
      </c>
      <c r="K40" s="52" cm="1">
        <f t="array" ref="K40">VLOOKUP(B40,D!A1:F204,6,FALSE)</f>
        <v>30.884433509784628</v>
      </c>
      <c r="L40" s="54" cm="1">
        <f t="array" ref="L40">IFERROR(K40/H40,"N/A")</f>
        <v>4.1735720959168416</v>
      </c>
      <c r="M40" s="55">
        <v>104.6</v>
      </c>
      <c r="N40" s="55" cm="1">
        <f t="array" ref="N40">IFERROR(M40-A40,"N/A")</f>
        <v>65.599999999999994</v>
      </c>
      <c r="O40" s="55"/>
      <c r="P40" s="56" t="str" cm="1">
        <f t="array" ref="P40">_xlfn.XLOOKUP($B40,ADP!A2:A671,ADP!G2:G671)</f>
        <v>+</v>
      </c>
      <c r="Q40" s="57" cm="1">
        <f t="array" ref="Q40">IF(Settings!$E$12="YES",VLOOKUP(B40,'Player Data'!A1:E673,5,FALSE),84)</f>
        <v>82.28</v>
      </c>
      <c r="R40" s="82" cm="1">
        <f t="array" ref="R40">VLOOKUP(B40,'Player Data'!$A1:$AE673,6,FALSE)</f>
        <v>21.113925261250401</v>
      </c>
      <c r="S40" s="57" cm="1">
        <f t="array" ref="S40">VLOOKUP(B40,'Player Data'!$A1:$AE673,7,FALSE)*$Q40*IFERROR((VLOOKUP(P40,Settings!$E$28:$F$33,2,FALSE)+1),1)</f>
        <v>9.9541746336477761</v>
      </c>
      <c r="T40" s="57" cm="1">
        <f t="array" ref="T40">VLOOKUP(B40,'Player Data'!$A1:$AE673,8,FALSE)*$Q40*IFERROR((VLOOKUP(P40,Settings!$E$28:$F$33,2,FALSE)+1),1)</f>
        <v>38.937419272484469</v>
      </c>
      <c r="U40" s="57" cm="1">
        <f t="array" ref="U40">SUM(S40:T40)</f>
        <v>48.891593906132243</v>
      </c>
      <c r="V40" s="57" cm="1">
        <f t="array" ref="V40">VLOOKUP(B40,'Player Data'!$A1:$AE673,10,FALSE)*$Q40*IFERROR(((VLOOKUP(P40,Settings!$E$28:$F$33,2,FALSE)/2)+1),1)</f>
        <v>177.50501071282372</v>
      </c>
      <c r="W40" s="57" cm="1">
        <f t="array" ref="W40">VLOOKUP(B40,'Player Data'!$A1:$AE673,11,FALSE)*$Q40*IFERROR((VLOOKUP(P40,Settings!$E$28:$F$33,2,FALSE)+1),1)</f>
        <v>2.3713817063692715</v>
      </c>
      <c r="X40" s="79" cm="1">
        <f t="array" ref="X40">VLOOKUP(B40,'Player Data'!$A1:$AE673,12,FALSE)*$Q40*IFERROR((VLOOKUP(P40,Settings!$E$28:$F$33,2,FALSE)+1),1)</f>
        <v>15.954747681984703</v>
      </c>
      <c r="Y40" s="57" cm="1">
        <f t="array" ref="Y40">VLOOKUP(B40,'Player Data'!$A1:$AE673,13,FALSE)*$Q40</f>
        <v>2.3865657340167218E-3</v>
      </c>
      <c r="Z40" s="57" cm="1">
        <f t="array" ref="Z40">VLOOKUP(B40,'Player Data'!$A1:$AE673,14,FALSE)*$Q40</f>
        <v>7.6620662831834501E-3</v>
      </c>
      <c r="AA40" s="57" cm="1">
        <f t="array" ref="AA40">VLOOKUP(B40,'Player Data'!$A1:$AE673,15,FALSE)*$Q40</f>
        <v>172.29720806260451</v>
      </c>
      <c r="AB40" s="57" cm="1">
        <f t="array" ref="AB40">VLOOKUP(B40,'Player Data'!$A1:$AE673,16,FALSE)*$Q40</f>
        <v>43.675571746167975</v>
      </c>
      <c r="AC40" s="57" cm="1">
        <f t="array" ref="AC40">VLOOKUP(B40,'Player Data'!$A1:$AE673,17,FALSE)*$Q40*IFERROR((VLOOKUP(P40,Settings!$E$28:$F$33,2,FALSE)+1),1)</f>
        <v>2.7409470266759355</v>
      </c>
      <c r="AD40" s="57" cm="1">
        <f t="array" ref="AD40">VLOOKUP(B40,'Player Data'!$A1:$AE673,18,FALSE)*$Q40</f>
        <v>56.393712958161323</v>
      </c>
      <c r="AE40" s="57" cm="1">
        <f t="array" ref="AE40">VLOOKUP(B40,'Player Data'!$A1:$AE673,19,FALSE)*$Q40*IFERROR((VLOOKUP(P40,Settings!$E$28:$F$33,2,FALSE)+1),1)</f>
        <v>1.5724028561096528</v>
      </c>
      <c r="AF40" s="57" cm="1">
        <f t="array" ref="AF40">VLOOKUP(B40,'Player Data'!$A1:$AE673,20,FALSE)*$Q40</f>
        <v>0</v>
      </c>
      <c r="AG40" s="57" cm="1">
        <f t="array" ref="AG40">VLOOKUP(B40,'Player Data'!$A1:$AE673,21,FALSE)*$Q40</f>
        <v>0</v>
      </c>
      <c r="AH40" s="59" cm="1">
        <f t="array" ref="AH40">VLOOKUP(B40,'Player Data'!$A1:$AE673,22,FALSE)</f>
        <v>0</v>
      </c>
      <c r="AI40" s="55"/>
      <c r="AJ40" s="57"/>
      <c r="AK40" s="57"/>
      <c r="AL40" s="57"/>
      <c r="AM40" s="57"/>
      <c r="AN40" s="57"/>
      <c r="AO40" s="57"/>
      <c r="AP40" s="57"/>
      <c r="AQ40" s="60"/>
      <c r="AR40" s="61"/>
      <c r="AS40" s="55"/>
    </row>
    <row r="41" spans="1:45" ht="21.25" customHeight="1" x14ac:dyDescent="0.15">
      <c r="A41" s="62">
        <f t="shared" si="0"/>
        <v>40</v>
      </c>
      <c r="B41" s="10" t="s">
        <v>168</v>
      </c>
      <c r="C41" s="47" t="s">
        <v>128</v>
      </c>
      <c r="D41" s="48" t="str" cm="1">
        <f t="array" ref="D41">VLOOKUP(B41,'Player Data'!A1:D673,4,FALSE)</f>
        <v>LW,RW</v>
      </c>
      <c r="E41" s="74" cm="1">
        <f t="array" ref="E41">VLOOKUP(B41,RW!A1:F210,3,FALSE)</f>
        <v>10</v>
      </c>
      <c r="F41" s="56" t="str" cm="1">
        <f t="array" ref="F41">VLOOKUP(B41,'Player Data'!A1:B673,2,FALSE)</f>
        <v>UTA</v>
      </c>
      <c r="G41" s="71" cm="1">
        <f t="array" ref="G41">VLOOKUP(B41,'Player Data'!A1:D673,3,FALSE)</f>
        <v>23</v>
      </c>
      <c r="H41" s="51" cm="1">
        <f t="array" ref="H41">IFERROR(VLOOKUP(B41,ADP!A1:F671,6,FALSE)/1000000,VLOOKUP(B41,ADP!A1:F671,6,FALSE))</f>
        <v>7.1420000000000003</v>
      </c>
      <c r="I41" s="52">
        <f>IF(Settings!$E$15="POINTS",((R41*Q41)*Settings!$B$12)+(S41*Settings!$B$2)+(T41*Settings!$B$3)+(U41*Settings!$B$4)+(V41*Settings!$B$5)+(X41*Settings!$B$9)+(AA41*Settings!$B$6)+(W41*Settings!$B$8)+(AB41*Settings!$B$7)+(AC41*Settings!$B$14)+(AD41*Settings!$B$15)+(AE41*Settings!$B$16)+(AF41*Settings!$B$17)+(AG41*Settings!$B$18)+(Y41*Settings!$B$10)+(Z41*Settings!$B$11),VLOOKUP(B41,'Standard Deviations'!A$1:C$672,3,FALSE))</f>
        <v>421.1259218806934</v>
      </c>
      <c r="J41" s="53" cm="1">
        <f t="array" ref="J41">IF(D41="G",I41/AJ41,I41/Q41)</f>
        <v>5.2218099988306328</v>
      </c>
      <c r="K41" s="52" cm="1">
        <f t="array" ref="K41">IF(Settings!$E$18="C/LW/RW",VLOOKUP(B41,RW!A1:F210,6,FALSE),VLOOKUP(B41,F!A1:F407,6,FALSE))</f>
        <v>26.182457187135924</v>
      </c>
      <c r="L41" s="54" cm="1">
        <f t="array" ref="L41">IFERROR(K41/H41,"N/A")</f>
        <v>3.6659839242699417</v>
      </c>
      <c r="M41" s="55">
        <v>39.6</v>
      </c>
      <c r="N41" s="55" cm="1">
        <f t="array" ref="N41">IFERROR(M41-A41,"N/A")</f>
        <v>-0.39999999999999858</v>
      </c>
      <c r="O41" s="55"/>
      <c r="P41" s="56" t="str" cm="1">
        <f t="array" ref="P41">_xlfn.XLOOKUP($B41,ADP!A2:A671,ADP!G2:G671)</f>
        <v>+ +</v>
      </c>
      <c r="Q41" s="57" cm="1">
        <f t="array" ref="Q41">IF(Settings!$E$12="YES",VLOOKUP(B41,'Player Data'!A1:E673,5,FALSE),84)</f>
        <v>80.647499999999994</v>
      </c>
      <c r="R41" s="55" cm="1">
        <f t="array" ref="R41">VLOOKUP(B41,'Player Data'!$A1:$AE673,6,FALSE)</f>
        <v>17.777800466161299</v>
      </c>
      <c r="S41" s="57" cm="1">
        <f t="array" ref="S41">VLOOKUP(B41,'Player Data'!$A1:$AE673,7,FALSE)*$Q41*IFERROR((VLOOKUP(P41,Settings!$E$28:$F$33,2,FALSE)+1),1)</f>
        <v>40.108529780445309</v>
      </c>
      <c r="T41" s="57" cm="1">
        <f t="array" ref="T41">VLOOKUP(B41,'Player Data'!$A1:$AE673,8,FALSE)*$Q41*IFERROR((VLOOKUP(P41,Settings!$E$28:$F$33,2,FALSE)+1),1)</f>
        <v>41.512694256398355</v>
      </c>
      <c r="U41" s="57" cm="1">
        <f t="array" ref="U41">SUM(S41:T41)</f>
        <v>81.621224036843671</v>
      </c>
      <c r="V41" s="57" cm="1">
        <f t="array" ref="V41">VLOOKUP(B41,'Player Data'!$A1:$AE673,10,FALSE)*$Q41*IFERROR(((VLOOKUP(P41,Settings!$E$28:$F$33,2,FALSE)/2)+1),1)</f>
        <v>255.27292443859625</v>
      </c>
      <c r="W41" s="58" cm="1">
        <f t="array" ref="W41">VLOOKUP(B41,'Player Data'!$A1:$AE673,11,FALSE)*$Q41*IFERROR((VLOOKUP(P41,Settings!$E$28:$F$33,2,FALSE)+1),1)</f>
        <v>12.045694810787772</v>
      </c>
      <c r="X41" s="57" cm="1">
        <f t="array" ref="X41">VLOOKUP(B41,'Player Data'!$A1:$AE673,12,FALSE)*$Q41*IFERROR((VLOOKUP(P41,Settings!$E$28:$F$33,2,FALSE)+1),1)</f>
        <v>30.567645794070067</v>
      </c>
      <c r="Y41" s="57" cm="1">
        <f t="array" ref="Y41">VLOOKUP(B41,'Player Data'!$A1:$AE673,13,FALSE)*$Q41</f>
        <v>0.15053805953977459</v>
      </c>
      <c r="Z41" s="57" cm="1">
        <f t="array" ref="Z41">VLOOKUP(B41,'Player Data'!$A1:$AE673,14,FALSE)*$Q41</f>
        <v>0.28153823189679772</v>
      </c>
      <c r="AA41" s="57" cm="1">
        <f t="array" ref="AA41">VLOOKUP(B41,'Player Data'!$A1:$AE673,15,FALSE)*$Q41</f>
        <v>35.553207049794899</v>
      </c>
      <c r="AB41" s="57" cm="1">
        <f t="array" ref="AB41">VLOOKUP(B41,'Player Data'!$A1:$AE673,16,FALSE)*$Q41</f>
        <v>71.031332243181595</v>
      </c>
      <c r="AC41" s="57" cm="1">
        <f t="array" ref="AC41">VLOOKUP(B41,'Player Data'!$A1:$AE673,17,FALSE)*$Q41*IFERROR((VLOOKUP(P41,Settings!$E$28:$F$33,2,FALSE)+1),1)</f>
        <v>2.7976124129668909</v>
      </c>
      <c r="AD41" s="57" cm="1">
        <f t="array" ref="AD41">VLOOKUP(B41,'Player Data'!$A1:$AE673,18,FALSE)*$Q41</f>
        <v>30.592460344565055</v>
      </c>
      <c r="AE41" s="57" cm="1">
        <f t="array" ref="AE41">VLOOKUP(B41,'Player Data'!$A1:$AE673,19,FALSE)*$Q41*IFERROR((VLOOKUP(P41,Settings!$E$28:$F$33,2,FALSE)+1),1)</f>
        <v>6.4833275221574587</v>
      </c>
      <c r="AF41" s="57" cm="1">
        <f t="array" ref="AF41">VLOOKUP(B41,'Player Data'!$A1:$AE673,20,FALSE)*$Q41</f>
        <v>21.666368691256558</v>
      </c>
      <c r="AG41" s="57" cm="1">
        <f t="array" ref="AG41">VLOOKUP(B41,'Player Data'!$A1:$AE673,21,FALSE)*$Q41</f>
        <v>39.032765885931695</v>
      </c>
      <c r="AH41" s="59" cm="1">
        <f t="array" ref="AH41">VLOOKUP(B41,'Player Data'!$A1:$AE673,22,FALSE)</f>
        <v>0.356946912706053</v>
      </c>
      <c r="AI41" s="55"/>
      <c r="AJ41" s="57"/>
      <c r="AK41" s="57"/>
      <c r="AL41" s="57"/>
      <c r="AM41" s="57"/>
      <c r="AN41" s="57"/>
      <c r="AO41" s="57"/>
      <c r="AP41" s="57"/>
      <c r="AQ41" s="60"/>
      <c r="AR41" s="61"/>
      <c r="AS41" s="55"/>
    </row>
    <row r="42" spans="1:45" ht="21.25" customHeight="1" x14ac:dyDescent="0.15">
      <c r="A42" s="62">
        <f t="shared" si="0"/>
        <v>41</v>
      </c>
      <c r="B42" s="10" t="s">
        <v>169</v>
      </c>
      <c r="C42" s="47" t="s">
        <v>128</v>
      </c>
      <c r="D42" s="48" t="str" cm="1">
        <f t="array" ref="D42">VLOOKUP(B42,'Player Data'!A1:D673,4,FALSE)</f>
        <v>LW,RW</v>
      </c>
      <c r="E42" s="74" cm="1">
        <f t="array" ref="E42">VLOOKUP(B42,RW!A1:F210,3,FALSE)</f>
        <v>11</v>
      </c>
      <c r="F42" s="56" t="str" cm="1">
        <f t="array" ref="F42">VLOOKUP(B42,'Player Data'!A1:B673,2,FALSE)</f>
        <v>UTA</v>
      </c>
      <c r="G42" s="11" cm="1">
        <f t="array" ref="G42">VLOOKUP(B42,'Player Data'!A1:D673,3,FALSE)</f>
        <v>28</v>
      </c>
      <c r="H42" s="51" cm="1">
        <f t="array" ref="H42">IFERROR(VLOOKUP(B42,ADP!A1:F671,6,FALSE)/1000000,VLOOKUP(B42,ADP!A1:F671,6,FALSE))</f>
        <v>7.15</v>
      </c>
      <c r="I42" s="52">
        <f>IF(Settings!$E$15="POINTS",((R42*Q42)*Settings!$B$12)+(S42*Settings!$B$2)+(T42*Settings!$B$3)+(U42*Settings!$B$4)+(V42*Settings!$B$5)+(X42*Settings!$B$9)+(AA42*Settings!$B$6)+(W42*Settings!$B$8)+(AB42*Settings!$B$7)+(AC42*Settings!$B$14)+(AD42*Settings!$B$15)+(AE42*Settings!$B$16)+(AF42*Settings!$B$17)+(AG42*Settings!$B$18)+(Y42*Settings!$B$10)+(Z42*Settings!$B$11),VLOOKUP(B42,'Standard Deviations'!A$1:C$672,3,FALSE))</f>
        <v>420.17530426193724</v>
      </c>
      <c r="J42" s="53" cm="1">
        <f t="array" ref="J42">IF(D42="G",I42/AJ42,I42/Q42)</f>
        <v>5.03249159220214</v>
      </c>
      <c r="K42" s="52" cm="1">
        <f t="array" ref="K42">IF(Settings!$E$18="C/LW/RW",VLOOKUP(B42,RW!A1:F210,6,FALSE),VLOOKUP(B42,F!A1:F407,6,FALSE))</f>
        <v>25.231839568379769</v>
      </c>
      <c r="L42" s="54" cm="1">
        <f t="array" ref="L42">IFERROR(K42/H42,"N/A")</f>
        <v>3.5289286109622053</v>
      </c>
      <c r="M42" s="55">
        <v>45.1</v>
      </c>
      <c r="N42" s="55" cm="1">
        <f t="array" ref="N42">IFERROR(M42-A42,"N/A")</f>
        <v>4.1000000000000014</v>
      </c>
      <c r="O42" s="55"/>
      <c r="P42" s="56" t="str" cm="1">
        <f t="array" ref="P42">_xlfn.XLOOKUP($B42,ADP!A2:A671,ADP!G2:G671)</f>
        <v xml:space="preserve"> </v>
      </c>
      <c r="Q42" s="57" cm="1">
        <f t="array" ref="Q42">IF(Settings!$E$12="YES",VLOOKUP(B42,'Player Data'!A1:E673,5,FALSE),84)</f>
        <v>83.492500000000007</v>
      </c>
      <c r="R42" s="55" cm="1">
        <f t="array" ref="R42">VLOOKUP(B42,'Player Data'!$A1:$AE673,6,FALSE)</f>
        <v>19.083762574657001</v>
      </c>
      <c r="S42" s="57" cm="1">
        <f t="array" ref="S42">VLOOKUP(B42,'Player Data'!$A1:$AE673,7,FALSE)*$Q42*IFERROR((VLOOKUP(P42,Settings!$E$28:$F$33,2,FALSE)+1),1)</f>
        <v>28.81346931161476</v>
      </c>
      <c r="T42" s="57" cm="1">
        <f t="array" ref="T42">VLOOKUP(B42,'Player Data'!$A1:$AE673,8,FALSE)*$Q42*IFERROR((VLOOKUP(P42,Settings!$E$28:$F$33,2,FALSE)+1),1)</f>
        <v>57.473932344893086</v>
      </c>
      <c r="U42" s="57" cm="1">
        <f t="array" ref="U42">SUM(S42:T42)</f>
        <v>86.287401656507853</v>
      </c>
      <c r="V42" s="57" cm="1">
        <f t="array" ref="V42">VLOOKUP(B42,'Player Data'!$A1:$AE673,10,FALSE)*$Q42*IFERROR(((VLOOKUP(P42,Settings!$E$28:$F$33,2,FALSE)/2)+1),1)</f>
        <v>229.03702236999931</v>
      </c>
      <c r="W42" s="58" cm="1">
        <f t="array" ref="W42">VLOOKUP(B42,'Player Data'!$A1:$AE673,11,FALSE)*$Q42*IFERROR((VLOOKUP(P42,Settings!$E$28:$F$33,2,FALSE)+1),1)</f>
        <v>6.4670129299183428</v>
      </c>
      <c r="X42" s="57" cm="1">
        <f t="array" ref="X42">VLOOKUP(B42,'Player Data'!$A1:$AE673,12,FALSE)*$Q42*IFERROR((VLOOKUP(P42,Settings!$E$28:$F$33,2,FALSE)+1),1)</f>
        <v>30.141076510324933</v>
      </c>
      <c r="Y42" s="57" cm="1">
        <f t="array" ref="Y42">VLOOKUP(B42,'Player Data'!$A1:$AE673,13,FALSE)*$Q42</f>
        <v>5.5328119060006984E-3</v>
      </c>
      <c r="Z42" s="57" cm="1">
        <f t="array" ref="Z42">VLOOKUP(B42,'Player Data'!$A1:$AE673,14,FALSE)*$Q42</f>
        <v>9.1286741688907623E-3</v>
      </c>
      <c r="AA42" s="57" cm="1">
        <f t="array" ref="AA42">VLOOKUP(B42,'Player Data'!$A1:$AE673,15,FALSE)*$Q42</f>
        <v>33.288765845840516</v>
      </c>
      <c r="AB42" s="57" cm="1">
        <f t="array" ref="AB42">VLOOKUP(B42,'Player Data'!$A1:$AE673,16,FALSE)*$Q42</f>
        <v>14.830057062814154</v>
      </c>
      <c r="AC42" s="57" cm="1">
        <f t="array" ref="AC42">VLOOKUP(B42,'Player Data'!$A1:$AE673,17,FALSE)*$Q42*IFERROR((VLOOKUP(P42,Settings!$E$28:$F$33,2,FALSE)+1),1)</f>
        <v>3.4339683629887414</v>
      </c>
      <c r="AD42" s="57" cm="1">
        <f t="array" ref="AD42">VLOOKUP(B42,'Player Data'!$A1:$AE673,18,FALSE)*$Q42</f>
        <v>35.300537553749969</v>
      </c>
      <c r="AE42" s="57" cm="1">
        <f t="array" ref="AE42">VLOOKUP(B42,'Player Data'!$A1:$AE673,19,FALSE)*$Q42*IFERROR((VLOOKUP(P42,Settings!$E$28:$F$33,2,FALSE)+1),1)</f>
        <v>4.6575419148848463</v>
      </c>
      <c r="AF42" s="57" cm="1">
        <f t="array" ref="AF42">VLOOKUP(B42,'Player Data'!$A1:$AE673,20,FALSE)*$Q42</f>
        <v>14.952422662723373</v>
      </c>
      <c r="AG42" s="57" cm="1">
        <f t="array" ref="AG42">VLOOKUP(B42,'Player Data'!$A1:$AE673,21,FALSE)*$Q42</f>
        <v>23.964091069539649</v>
      </c>
      <c r="AH42" s="59" cm="1">
        <f t="array" ref="AH42">VLOOKUP(B42,'Player Data'!$A1:$AE673,22,FALSE)</f>
        <v>0.38421793806076099</v>
      </c>
      <c r="AI42" s="55"/>
      <c r="AJ42" s="57"/>
      <c r="AK42" s="57"/>
      <c r="AL42" s="57"/>
      <c r="AM42" s="57"/>
      <c r="AN42" s="57"/>
      <c r="AO42" s="57"/>
      <c r="AP42" s="57"/>
      <c r="AQ42" s="60"/>
      <c r="AR42" s="61"/>
      <c r="AS42" s="55"/>
    </row>
    <row r="43" spans="1:45" ht="21.25" customHeight="1" x14ac:dyDescent="0.15">
      <c r="A43" s="62">
        <f t="shared" si="0"/>
        <v>42</v>
      </c>
      <c r="B43" s="10" t="s">
        <v>170</v>
      </c>
      <c r="C43" s="47" t="s">
        <v>128</v>
      </c>
      <c r="D43" s="48" t="str" cm="1">
        <f t="array" ref="D43">VLOOKUP(B43,'Player Data'!A1:D673,4,FALSE)</f>
        <v>D</v>
      </c>
      <c r="E43" s="68" cm="1">
        <f t="array" ref="E43">VLOOKUP(B43,D!A1:C204,3,FALSE)</f>
        <v>18</v>
      </c>
      <c r="F43" s="63" t="str" cm="1">
        <f t="array" ref="F43">VLOOKUP(B43,'Player Data'!A1:B673,2,FALSE)</f>
        <v>VGK</v>
      </c>
      <c r="G43" s="66" cm="1">
        <f t="array" ref="G43">VLOOKUP(B43,'Player Data'!A1:D673,3,FALSE)</f>
        <v>31</v>
      </c>
      <c r="H43" s="51" cm="1">
        <f t="array" ref="H43">IFERROR(VLOOKUP(B43,ADP!A1:F671,6,FALSE)/1000000,VLOOKUP(B43,ADP!A1:F671,6,FALSE))</f>
        <v>7.4249999999999998</v>
      </c>
      <c r="I43" s="52">
        <f>IF(Settings!$E$15="POINTS",((R43*Q43)*Settings!$B$12)+(S43*Settings!$B$2)+(T43*Settings!$B$3)+(U43*Settings!$B$4)+(V43*Settings!$B$5)+(X43*Settings!$B$9)+(AA43*Settings!$B$6)+(W43*Settings!$B$8)+(AB43*Settings!$B$7)+(AC43*Settings!$B$14)+(AD43*Settings!$B$15)+(AE43*Settings!$B$16)+(AF43*Settings!$B$17)+(AG43*Settings!$B$18)+(U43*Settings!$B$13)+(Y43*Settings!$B$10)+(Z43*Settings!$B$11),VLOOKUP(B43,'Standard Deviations'!A$1:C$672,3,FALSE))</f>
        <v>329.96109569840883</v>
      </c>
      <c r="J43" s="53" cm="1">
        <f t="array" ref="J43">IF(D43="G",I43/AJ43,I43/Q43)</f>
        <v>4.322398502680973</v>
      </c>
      <c r="K43" s="52" cm="1">
        <f t="array" ref="K43">VLOOKUP(B43,D!A1:F204,6,FALSE)</f>
        <v>23.307228353814764</v>
      </c>
      <c r="L43" s="54" cm="1">
        <f t="array" ref="L43">IFERROR(K43/H43,"N/A")</f>
        <v>3.1390206537124263</v>
      </c>
      <c r="M43" s="55">
        <v>100.7</v>
      </c>
      <c r="N43" s="55" cm="1">
        <f t="array" ref="N43">IFERROR(M43-A43,"N/A")</f>
        <v>58.7</v>
      </c>
      <c r="O43" s="55"/>
      <c r="P43" s="56" t="str" cm="1">
        <f t="array" ref="P43">_xlfn.XLOOKUP($B43,ADP!A2:A671,ADP!G2:G671)</f>
        <v xml:space="preserve"> </v>
      </c>
      <c r="Q43" s="57" cm="1">
        <f t="array" ref="Q43">IF(Settings!$E$12="YES",VLOOKUP(B43,'Player Data'!A1:E673,5,FALSE),84)</f>
        <v>76.337500000000006</v>
      </c>
      <c r="R43" s="82" cm="1">
        <f t="array" ref="R43">VLOOKUP(B43,'Player Data'!$A1:$AE673,6,FALSE)</f>
        <v>24.597722567780899</v>
      </c>
      <c r="S43" s="57" cm="1">
        <f t="array" ref="S43">VLOOKUP(B43,'Player Data'!$A1:$AE673,7,FALSE)*$Q43*IFERROR((VLOOKUP(P43,Settings!$E$28:$F$33,2,FALSE)+1),1)</f>
        <v>9.2711164290293215</v>
      </c>
      <c r="T43" s="57" cm="1">
        <f t="array" ref="T43">VLOOKUP(B43,'Player Data'!$A1:$AE673,8,FALSE)*$Q43*IFERROR((VLOOKUP(P43,Settings!$E$28:$F$33,2,FALSE)+1),1)</f>
        <v>50.77129136702326</v>
      </c>
      <c r="U43" s="57" cm="1">
        <f t="array" ref="U43">SUM(S43:T43)</f>
        <v>60.042407796052579</v>
      </c>
      <c r="V43" s="57" cm="1">
        <f t="array" ref="V43">VLOOKUP(B43,'Player Data'!$A1:$AE673,10,FALSE)*$Q43*IFERROR(((VLOOKUP(P43,Settings!$E$28:$F$33,2,FALSE)/2)+1),1)</f>
        <v>154.29452630958218</v>
      </c>
      <c r="W43" s="58" cm="1">
        <f t="array" ref="W43">VLOOKUP(B43,'Player Data'!$A1:$AE673,11,FALSE)*$Q43*IFERROR((VLOOKUP(P43,Settings!$E$28:$F$33,2,FALSE)+1),1)</f>
        <v>3.3549164163243139</v>
      </c>
      <c r="X43" s="57" cm="1">
        <f t="array" ref="X43">VLOOKUP(B43,'Player Data'!$A1:$AE673,12,FALSE)*$Q43*IFERROR((VLOOKUP(P43,Settings!$E$28:$F$33,2,FALSE)+1),1)</f>
        <v>22.182623795690176</v>
      </c>
      <c r="Y43" s="57" cm="1">
        <f t="array" ref="Y43">VLOOKUP(B43,'Player Data'!$A1:$AE673,13,FALSE)*$Q43</f>
        <v>2.3651372367508843E-2</v>
      </c>
      <c r="Z43" s="57" cm="1">
        <f t="array" ref="Z43">VLOOKUP(B43,'Player Data'!$A1:$AE673,14,FALSE)*$Q43</f>
        <v>9.1692566030456168E-2</v>
      </c>
      <c r="AA43" s="57" cm="1">
        <f t="array" ref="AA43">VLOOKUP(B43,'Player Data'!$A1:$AE673,15,FALSE)*$Q43</f>
        <v>100.82458558747871</v>
      </c>
      <c r="AB43" s="57" cm="1">
        <f t="array" ref="AB43">VLOOKUP(B43,'Player Data'!$A1:$AE673,16,FALSE)*$Q43</f>
        <v>15.882650624286276</v>
      </c>
      <c r="AC43" s="57" cm="1">
        <f t="array" ref="AC43">VLOOKUP(B43,'Player Data'!$A1:$AE673,17,FALSE)*$Q43*IFERROR((VLOOKUP(P43,Settings!$E$28:$F$33,2,FALSE)+1),1)</f>
        <v>6.6047932142096482</v>
      </c>
      <c r="AD43" s="57" cm="1">
        <f t="array" ref="AD43">VLOOKUP(B43,'Player Data'!$A1:$AE673,18,FALSE)*$Q43</f>
        <v>30.046698877515613</v>
      </c>
      <c r="AE43" s="57" cm="1">
        <f t="array" ref="AE43">VLOOKUP(B43,'Player Data'!$A1:$AE673,19,FALSE)*$Q43*IFERROR((VLOOKUP(P43,Settings!$E$28:$F$33,2,FALSE)+1),1)</f>
        <v>1.7687197874503471</v>
      </c>
      <c r="AF43" s="57" cm="1">
        <f t="array" ref="AF43">VLOOKUP(B43,'Player Data'!$A1:$AE673,20,FALSE)*$Q43</f>
        <v>0</v>
      </c>
      <c r="AG43" s="57" cm="1">
        <f t="array" ref="AG43">VLOOKUP(B43,'Player Data'!$A1:$AE673,21,FALSE)*$Q43</f>
        <v>0</v>
      </c>
      <c r="AH43" s="59" cm="1">
        <f t="array" ref="AH43">VLOOKUP(B43,'Player Data'!$A1:$AE673,22,FALSE)</f>
        <v>0</v>
      </c>
      <c r="AI43" s="55"/>
      <c r="AJ43" s="57"/>
      <c r="AK43" s="57"/>
      <c r="AL43" s="57"/>
      <c r="AM43" s="57"/>
      <c r="AN43" s="57"/>
      <c r="AO43" s="57"/>
      <c r="AP43" s="57"/>
      <c r="AQ43" s="60"/>
      <c r="AR43" s="61"/>
      <c r="AS43" s="55"/>
    </row>
    <row r="44" spans="1:45" ht="21.25" customHeight="1" x14ac:dyDescent="0.15">
      <c r="A44" s="62">
        <f t="shared" si="0"/>
        <v>43</v>
      </c>
      <c r="B44" s="10" t="s">
        <v>171</v>
      </c>
      <c r="C44" s="47" t="s">
        <v>128</v>
      </c>
      <c r="D44" s="48" t="str" cm="1">
        <f t="array" ref="D44">VLOOKUP(B44,'Player Data'!A1:D673,4,FALSE)</f>
        <v>C,RW</v>
      </c>
      <c r="E44" s="74" cm="1">
        <f t="array" ref="E44">VLOOKUP(B44,RW!A1:F210,3,FALSE)</f>
        <v>12</v>
      </c>
      <c r="F44" s="73" t="str" cm="1">
        <f t="array" ref="F44">VLOOKUP(B44,'Player Data'!A1:B673,2,FALSE)</f>
        <v>BUF</v>
      </c>
      <c r="G44" s="11" cm="1">
        <f t="array" ref="G44">VLOOKUP(B44,'Player Data'!A1:D673,3,FALSE)</f>
        <v>28</v>
      </c>
      <c r="H44" s="51" cm="1">
        <f t="array" ref="H44">IFERROR(VLOOKUP(B44,ADP!A1:F671,6,FALSE)/1000000,VLOOKUP(B44,ADP!A1:F671,6,FALSE))</f>
        <v>7.1420000000000003</v>
      </c>
      <c r="I44" s="52">
        <f>IF(Settings!$E$15="POINTS",((R44*Q44)*Settings!$B$12)+(S44*Settings!$B$2)+(T44*Settings!$B$3)+(U44*Settings!$B$4)+(V44*Settings!$B$5)+(X44*Settings!$B$9)+(AA44*Settings!$B$6)+(W44*Settings!$B$8)+(AB44*Settings!$B$7)+(AC44*Settings!$B$14)+(AD44*Settings!$B$15)+(AE44*Settings!$B$16)+(AF44*Settings!$B$17)+(AG44*Settings!$B$18)+(Y44*Settings!$B$10)+(Z44*Settings!$B$11),VLOOKUP(B44,'Standard Deviations'!A$1:C$672,3,FALSE))</f>
        <v>417.52590445678203</v>
      </c>
      <c r="J44" s="53" cm="1">
        <f t="array" ref="J44">IF(D44="G",I44/AJ44,I44/Q44)</f>
        <v>5.0962851845446533</v>
      </c>
      <c r="K44" s="52" cm="1">
        <f t="array" ref="K44">IF(Settings!$E$18="C/LW/RW",VLOOKUP(B44,RW!A1:F210,6,FALSE),VLOOKUP(B44,F!A1:F407,6,FALSE))</f>
        <v>22.582439763224556</v>
      </c>
      <c r="L44" s="54" cm="1">
        <f t="array" ref="L44">IFERROR(K44/H44,"N/A")</f>
        <v>3.1619209973711224</v>
      </c>
      <c r="M44" s="55">
        <v>29.7</v>
      </c>
      <c r="N44" s="55" cm="1">
        <f t="array" ref="N44">IFERROR(M44-A44,"N/A")</f>
        <v>-13.3</v>
      </c>
      <c r="O44" s="55"/>
      <c r="P44" s="56" t="str" cm="1">
        <f t="array" ref="P44">_xlfn.XLOOKUP($B44,ADP!A2:A671,ADP!G2:G671)</f>
        <v xml:space="preserve"> </v>
      </c>
      <c r="Q44" s="57" cm="1">
        <f t="array" ref="Q44">IF(Settings!$E$12="YES",VLOOKUP(B44,'Player Data'!A1:E673,5,FALSE),84)</f>
        <v>81.927499999999995</v>
      </c>
      <c r="R44" s="55" cm="1">
        <f t="array" ref="R44">VLOOKUP(B44,'Player Data'!$A1:$AE673,6,FALSE)</f>
        <v>19.1262032914229</v>
      </c>
      <c r="S44" s="57" cm="1">
        <f t="array" ref="S44">VLOOKUP(B44,'Player Data'!$A1:$AE673,7,FALSE)*$Q44*IFERROR((VLOOKUP(P44,Settings!$E$28:$F$33,2,FALSE)+1),1)</f>
        <v>40.3369843089284</v>
      </c>
      <c r="T44" s="57" cm="1">
        <f t="array" ref="T44">VLOOKUP(B44,'Player Data'!$A1:$AE673,8,FALSE)*$Q44*IFERROR((VLOOKUP(P44,Settings!$E$28:$F$33,2,FALSE)+1),1)</f>
        <v>38.430770902618207</v>
      </c>
      <c r="U44" s="57" cm="1">
        <f t="array" ref="U44">SUM(S44:T44)</f>
        <v>78.767755211546614</v>
      </c>
      <c r="V44" s="57" cm="1">
        <f t="array" ref="V44">VLOOKUP(B44,'Player Data'!$A1:$AE673,10,FALSE)*$Q44*IFERROR(((VLOOKUP(P44,Settings!$E$28:$F$33,2,FALSE)/2)+1),1)</f>
        <v>272.69249244751092</v>
      </c>
      <c r="W44" s="58" cm="1">
        <f t="array" ref="W44">VLOOKUP(B44,'Player Data'!$A1:$AE673,11,FALSE)*$Q44*IFERROR((VLOOKUP(P44,Settings!$E$28:$F$33,2,FALSE)+1),1)</f>
        <v>7.9020858255001754</v>
      </c>
      <c r="X44" s="57" cm="1">
        <f t="array" ref="X44">VLOOKUP(B44,'Player Data'!$A1:$AE673,12,FALSE)*$Q44*IFERROR((VLOOKUP(P44,Settings!$E$28:$F$33,2,FALSE)+1),1)</f>
        <v>22.999718498208672</v>
      </c>
      <c r="Y44" s="57" cm="1">
        <f t="array" ref="Y44">VLOOKUP(B44,'Player Data'!$A1:$AE673,13,FALSE)*$Q44</f>
        <v>3.842454319995349E-2</v>
      </c>
      <c r="Z44" s="57" cm="1">
        <f t="array" ref="Z44">VLOOKUP(B44,'Player Data'!$A1:$AE673,14,FALSE)*$Q44</f>
        <v>4.7711585483193132E-2</v>
      </c>
      <c r="AA44" s="57" cm="1">
        <f t="array" ref="AA44">VLOOKUP(B44,'Player Data'!$A1:$AE673,15,FALSE)*$Q44</f>
        <v>43.657925029389801</v>
      </c>
      <c r="AB44" s="57" cm="1">
        <f t="array" ref="AB44">VLOOKUP(B44,'Player Data'!$A1:$AE673,16,FALSE)*$Q44</f>
        <v>80.693274067920228</v>
      </c>
      <c r="AC44" s="57" cm="1">
        <f t="array" ref="AC44">VLOOKUP(B44,'Player Data'!$A1:$AE673,17,FALSE)*$Q44*IFERROR((VLOOKUP(P44,Settings!$E$28:$F$33,2,FALSE)+1),1)</f>
        <v>2.1549165814627509</v>
      </c>
      <c r="AD44" s="57" cm="1">
        <f t="array" ref="AD44">VLOOKUP(B44,'Player Data'!$A1:$AE673,18,FALSE)*$Q44</f>
        <v>34.831965541280233</v>
      </c>
      <c r="AE44" s="57" cm="1">
        <f t="array" ref="AE44">VLOOKUP(B44,'Player Data'!$A1:$AE673,19,FALSE)*$Q44*IFERROR((VLOOKUP(P44,Settings!$E$28:$F$33,2,FALSE)+1),1)</f>
        <v>6.0816063230512354</v>
      </c>
      <c r="AF44" s="57" cm="1">
        <f t="array" ref="AF44">VLOOKUP(B44,'Player Data'!$A1:$AE673,20,FALSE)*$Q44</f>
        <v>384.44777284094141</v>
      </c>
      <c r="AG44" s="57" cm="1">
        <f t="array" ref="AG44">VLOOKUP(B44,'Player Data'!$A1:$AE673,21,FALSE)*$Q44</f>
        <v>488.79019984550359</v>
      </c>
      <c r="AH44" s="59" cm="1">
        <f t="array" ref="AH44">VLOOKUP(B44,'Player Data'!$A1:$AE673,22,FALSE)</f>
        <v>0.440255445669889</v>
      </c>
      <c r="AI44" s="55"/>
      <c r="AJ44" s="57"/>
      <c r="AK44" s="57"/>
      <c r="AL44" s="57"/>
      <c r="AM44" s="57"/>
      <c r="AN44" s="57"/>
      <c r="AO44" s="57"/>
      <c r="AP44" s="57"/>
      <c r="AQ44" s="60"/>
      <c r="AR44" s="61"/>
      <c r="AS44" s="55"/>
    </row>
    <row r="45" spans="1:45" ht="21.25" customHeight="1" x14ac:dyDescent="0.15">
      <c r="A45" s="62">
        <f t="shared" si="0"/>
        <v>44</v>
      </c>
      <c r="B45" s="10" t="s">
        <v>172</v>
      </c>
      <c r="C45" s="76"/>
      <c r="D45" s="48" t="str" cm="1">
        <f t="array" ref="D45">VLOOKUP(B45,'Player Data'!A1:D673,4,FALSE)</f>
        <v>G</v>
      </c>
      <c r="E45" s="77" cm="1">
        <f t="array" ref="E45">VLOOKUP(B45,G!A1:D66,3,FALSE)</f>
        <v>4</v>
      </c>
      <c r="F45" s="69" t="str" cm="1">
        <f t="array" ref="F45">VLOOKUP(B45,'Player Data'!A1:B673,2,FALSE)</f>
        <v>CBJ</v>
      </c>
      <c r="G45" s="11" cm="1">
        <f t="array" ref="G45">VLOOKUP(B45,'Player Data'!A1:D673,3,FALSE)</f>
        <v>25</v>
      </c>
      <c r="H45" s="51" cm="1">
        <f t="array" ref="H45">IFERROR(VLOOKUP(B45,ADP!A1:F671,6,FALSE)/1000000,VLOOKUP(B45,ADP!A1:F671,6,FALSE))</f>
        <v>5</v>
      </c>
      <c r="I45" s="52">
        <f>IF(Settings!$E$15="POINTS",(AJ45*Settings!$B$29)+(AK45*Settings!$B$21)+(AL45*Settings!$B$22)+(AN45*Settings!$B$24)+(AO45*Settings!$B$25)+(AP45*Settings!$B$27)+(AM45*Settings!$B$23),VLOOKUP(B45,'Standard Deviations'!A$1:C$672,3,FALSE))</f>
        <v>381.46020176335037</v>
      </c>
      <c r="J45" s="53" cm="1">
        <f t="array" ref="J45">IF(D45="G",I45/AJ45,I45/Q45)</f>
        <v>6.9356400320609159</v>
      </c>
      <c r="K45" s="52" cm="1">
        <f t="array" ref="K45">VLOOKUP(B45,G!A1:F66,6,FALSE)</f>
        <v>22.302293833112344</v>
      </c>
      <c r="L45" s="54" cm="1">
        <f t="array" ref="L45">IFERROR(K45/H45,"N/A")</f>
        <v>4.4604587666224687</v>
      </c>
      <c r="M45" s="55">
        <v>123.9</v>
      </c>
      <c r="N45" s="55" cm="1">
        <f t="array" ref="N45">IFERROR(M45-A45,"N/A")</f>
        <v>79.900000000000006</v>
      </c>
      <c r="O45" s="55"/>
      <c r="P45" s="56" t="str" cm="1">
        <f t="array" ref="P45">_xlfn.XLOOKUP($B45,ADP!A2:A671,ADP!G2:G671)</f>
        <v xml:space="preserve"> </v>
      </c>
      <c r="Q45" s="57"/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9"/>
      <c r="AI45" s="55"/>
      <c r="AJ45" s="78" cm="1">
        <f t="array" ref="AJ45">VLOOKUP(B45,'Player Data'!$A1:$AE673,24,FALSE)</f>
        <v>55</v>
      </c>
      <c r="AK45" s="57" cm="1">
        <f t="array" ref="AK45">VLOOKUP(B45,'Player Data'!$A1:$AE673,25,FALSE)*$AJ45*IFERROR((VLOOKUP(P45,Settings!$E$28:$F$33,2,FALSE)+1),1)</f>
        <v>29.395053350972706</v>
      </c>
      <c r="AL45" s="57" cm="1">
        <f t="array" ref="AL45">AJ45-AK45-AM45</f>
        <v>19.203709986770484</v>
      </c>
      <c r="AM45" s="57" cm="1">
        <f t="array" ref="AM45">VLOOKUP(B45,'Player Data'!$A1:$AE673,27,FALSE)*$AJ45</f>
        <v>6.4012366622568093</v>
      </c>
      <c r="AN45" s="57" cm="1">
        <f t="array" ref="AN45">VLOOKUP(B45,'Player Data'!$A1:$AE673,28,FALSE)*AJ45</f>
        <v>3.5362497396666717</v>
      </c>
      <c r="AO45" s="57" cm="1">
        <f t="array" ref="AO45">VLOOKUP(B45,'Player Data'!$A1:$AE673,29,FALSE)*$AJ45*IFERROR((VLOOKUP(P45,Settings!$E$28:$F$33,2,FALSE)/4)+1,1)</f>
        <v>1471.447499674515</v>
      </c>
      <c r="AP45" s="57" cm="1">
        <f t="array" ref="AP45">VLOOKUP(B45,'Player Data'!$A1:$AE673,31,FALSE)*$AJ45*(IFERROR(1-(VLOOKUP(P45,Settings!$E$28:$F$33,2,FALSE)/4),1))</f>
        <v>148.66165262216398</v>
      </c>
      <c r="AQ45" s="60" cm="1">
        <f t="array" ref="AQ45">1-(AP45/(AO45+AP45))</f>
        <v>0.90823973038395589</v>
      </c>
      <c r="AR45" s="61" cm="1">
        <f t="array" ref="AR45">AP45/AJ45</f>
        <v>2.7029391385847998</v>
      </c>
      <c r="AS45" s="55"/>
    </row>
    <row r="46" spans="1:45" ht="21.25" customHeight="1" x14ac:dyDescent="0.15">
      <c r="A46" s="62">
        <f t="shared" si="0"/>
        <v>45</v>
      </c>
      <c r="B46" s="10" t="s">
        <v>173</v>
      </c>
      <c r="C46" s="47" t="s">
        <v>128</v>
      </c>
      <c r="D46" s="48" t="str" cm="1">
        <f t="array" ref="D46">VLOOKUP(B46,'Player Data'!A1:D673,4,FALSE)</f>
        <v>C</v>
      </c>
      <c r="E46" s="49" cm="1">
        <f t="array" ref="E46">VLOOKUP(B46,'C'!A1:C210,3,FALSE)</f>
        <v>14</v>
      </c>
      <c r="F46" s="72" t="str" cm="1">
        <f t="array" ref="F46">VLOOKUP(B46,'Player Data'!A1:B673,2,FALSE)</f>
        <v>FLA</v>
      </c>
      <c r="G46" s="11" cm="1">
        <f t="array" ref="G46">VLOOKUP(B46,'Player Data'!A1:D673,3,FALSE)</f>
        <v>30</v>
      </c>
      <c r="H46" s="51" cm="1">
        <f t="array" ref="H46">IFERROR(VLOOKUP(B46,ADP!A1:F671,6,FALSE)/1000000,VLOOKUP(B46,ADP!A1:F671,6,FALSE))</f>
        <v>10</v>
      </c>
      <c r="I46" s="52">
        <f>IF(Settings!$E$15="POINTS",((R46*Q46)*Settings!$B$12)+(S46*Settings!$B$2)+(T46*Settings!$B$3)+(U46*Settings!$B$4)+(V46*Settings!$B$5)+(X46*Settings!$B$9)+(AA46*Settings!$B$6)+(W46*Settings!$B$8)+(AB46*Settings!$B$7)+(AC46*Settings!$B$14)+(AD46*Settings!$B$15)+(AE46*Settings!$B$16)+(AF46*Settings!$B$17)+(AG46*Settings!$B$18)+(Y46*Settings!$B$10)+(Z46*Settings!$B$11),VLOOKUP(B46,'Standard Deviations'!A$1:C$672,3,FALSE))</f>
        <v>408.20016425027711</v>
      </c>
      <c r="J46" s="53" cm="1">
        <f t="array" ref="J46">IF(D46="G",I46/AJ46,I46/Q46)</f>
        <v>5.1365315748115909</v>
      </c>
      <c r="K46" s="52" cm="1">
        <f t="array" ref="K46">IF(Settings!$E$18="C/LW/RW",VLOOKUP(B46,'C'!A1:F210,6,FALSE),VLOOKUP(B46,F!A1:F407,6,FALSE))</f>
        <v>21.664957857194111</v>
      </c>
      <c r="L46" s="54" cm="1">
        <f t="array" ref="L46">IFERROR(K46/H46,"N/A")</f>
        <v>2.1664957857194111</v>
      </c>
      <c r="M46" s="55">
        <v>52.4</v>
      </c>
      <c r="N46" s="55" cm="1">
        <f t="array" ref="N46">IFERROR(M46-A46,"N/A")</f>
        <v>7.3999999999999986</v>
      </c>
      <c r="O46" s="55"/>
      <c r="P46" s="56" t="str" cm="1">
        <f t="array" ref="P46">_xlfn.XLOOKUP($B46,ADP!A2:A671,ADP!G2:G671)</f>
        <v xml:space="preserve"> </v>
      </c>
      <c r="Q46" s="57" cm="1">
        <f t="array" ref="Q46">IF(Settings!$E$12="YES",VLOOKUP(B46,'Player Data'!A1:E673,5,FALSE),84)</f>
        <v>79.47</v>
      </c>
      <c r="R46" s="55" cm="1">
        <f t="array" ref="R46">VLOOKUP(B46,'Player Data'!$A1:$AE673,6,FALSE)</f>
        <v>20.454101200457298</v>
      </c>
      <c r="S46" s="57" cm="1">
        <f t="array" ref="S46">VLOOKUP(B46,'Player Data'!$A1:$AE673,7,FALSE)*$Q46*IFERROR((VLOOKUP(P46,Settings!$E$28:$F$33,2,FALSE)+1),1)</f>
        <v>24.508377642629654</v>
      </c>
      <c r="T46" s="57" cm="1">
        <f t="array" ref="T46">VLOOKUP(B46,'Player Data'!$A1:$AE673,8,FALSE)*$Q46*IFERROR((VLOOKUP(P46,Settings!$E$28:$F$33,2,FALSE)+1),1)</f>
        <v>57.267022113930558</v>
      </c>
      <c r="U46" s="57" cm="1">
        <f t="array" ref="U46">SUM(S46:T46)</f>
        <v>81.775399756560205</v>
      </c>
      <c r="V46" s="57" cm="1">
        <f t="array" ref="V46">VLOOKUP(B46,'Player Data'!$A1:$AE673,10,FALSE)*$Q46*IFERROR(((VLOOKUP(P46,Settings!$E$28:$F$33,2,FALSE)/2)+1),1)</f>
        <v>200.05122044620612</v>
      </c>
      <c r="W46" s="58" cm="1">
        <f t="array" ref="W46">VLOOKUP(B46,'Player Data'!$A1:$AE673,11,FALSE)*$Q46*IFERROR((VLOOKUP(P46,Settings!$E$28:$F$33,2,FALSE)+1),1)</f>
        <v>8.3360715437186297</v>
      </c>
      <c r="X46" s="57" cm="1">
        <f t="array" ref="X46">VLOOKUP(B46,'Player Data'!$A1:$AE673,12,FALSE)*$Q46*IFERROR((VLOOKUP(P46,Settings!$E$28:$F$33,2,FALSE)+1),1)</f>
        <v>31.100558549371101</v>
      </c>
      <c r="Y46" s="57" cm="1">
        <f t="array" ref="Y46">VLOOKUP(B46,'Player Data'!$A1:$AE673,13,FALSE)*$Q46</f>
        <v>0.6442018281947286</v>
      </c>
      <c r="Z46" s="57" cm="1">
        <f t="array" ref="Z46">VLOOKUP(B46,'Player Data'!$A1:$AE673,14,FALSE)*$Q46</f>
        <v>2.8156745763542603</v>
      </c>
      <c r="AA46" s="57" cm="1">
        <f t="array" ref="AA46">VLOOKUP(B46,'Player Data'!$A1:$AE673,15,FALSE)*$Q46</f>
        <v>57.864243263536174</v>
      </c>
      <c r="AB46" s="57" cm="1">
        <f t="array" ref="AB46">VLOOKUP(B46,'Player Data'!$A1:$AE673,16,FALSE)*$Q46</f>
        <v>97.943522205502063</v>
      </c>
      <c r="AC46" s="57" cm="1">
        <f t="array" ref="AC46">VLOOKUP(B46,'Player Data'!$A1:$AE673,17,FALSE)*$Q46*IFERROR((VLOOKUP(P46,Settings!$E$28:$F$33,2,FALSE)+1),1)</f>
        <v>6.1659283549748638</v>
      </c>
      <c r="AD46" s="57" cm="1">
        <f t="array" ref="AD46">VLOOKUP(B46,'Player Data'!$A1:$AE673,18,FALSE)*$Q46</f>
        <v>27.579128178907364</v>
      </c>
      <c r="AE46" s="57" cm="1">
        <f t="array" ref="AE46">VLOOKUP(B46,'Player Data'!$A1:$AE673,19,FALSE)*$Q46*IFERROR((VLOOKUP(P46,Settings!$E$28:$F$33,2,FALSE)+1),1)</f>
        <v>4.0805411575019894</v>
      </c>
      <c r="AF46" s="57" cm="1">
        <f t="array" ref="AF46">VLOOKUP(B46,'Player Data'!$A1:$AE673,20,FALSE)*$Q46</f>
        <v>703.96250447359205</v>
      </c>
      <c r="AG46" s="57" cm="1">
        <f t="array" ref="AG46">VLOOKUP(B46,'Player Data'!$A1:$AE673,21,FALSE)*$Q46</f>
        <v>534.35740039650398</v>
      </c>
      <c r="AH46" s="59" cm="1">
        <f t="array" ref="AH46">VLOOKUP(B46,'Player Data'!$A1:$AE673,22,FALSE)</f>
        <v>0.56848194210965197</v>
      </c>
      <c r="AI46" s="55"/>
      <c r="AJ46" s="57"/>
      <c r="AK46" s="57"/>
      <c r="AL46" s="57"/>
      <c r="AM46" s="57"/>
      <c r="AN46" s="57"/>
      <c r="AO46" s="57"/>
      <c r="AP46" s="57"/>
      <c r="AQ46" s="60"/>
      <c r="AR46" s="61"/>
      <c r="AS46" s="55"/>
    </row>
    <row r="47" spans="1:45" ht="21.25" customHeight="1" x14ac:dyDescent="0.15">
      <c r="A47" s="62">
        <f t="shared" si="0"/>
        <v>46</v>
      </c>
      <c r="B47" s="10" t="s">
        <v>174</v>
      </c>
      <c r="C47" s="76"/>
      <c r="D47" s="48" t="str" cm="1">
        <f t="array" ref="D47">VLOOKUP(B47,'Player Data'!A1:D673,4,FALSE)</f>
        <v>G</v>
      </c>
      <c r="E47" s="77" cm="1">
        <f t="array" ref="E47">VLOOKUP(B47,G!A1:D66,3,FALSE)</f>
        <v>5</v>
      </c>
      <c r="F47" s="72" t="str" cm="1">
        <f t="array" ref="F47">VLOOKUP(B47,'Player Data'!A1:B673,2,FALSE)</f>
        <v>NYI</v>
      </c>
      <c r="G47" s="66" cm="1">
        <f t="array" ref="G47">VLOOKUP(B47,'Player Data'!A1:D673,3,FALSE)</f>
        <v>31</v>
      </c>
      <c r="H47" s="51" cm="1">
        <f t="array" ref="H47">IFERROR(VLOOKUP(B47,ADP!A1:F671,6,FALSE)/1000000,VLOOKUP(B47,ADP!A1:F671,6,FALSE))</f>
        <v>8.25</v>
      </c>
      <c r="I47" s="52">
        <f>IF(Settings!$E$15="POINTS",(AJ47*Settings!$B$29)+(AK47*Settings!$B$21)+(AL47*Settings!$B$22)+(AN47*Settings!$B$24)+(AO47*Settings!$B$25)+(AP47*Settings!$B$27)+(AM47*Settings!$B$23),VLOOKUP(B47,'Standard Deviations'!A$1:C$672,3,FALSE))</f>
        <v>380.2504566321536</v>
      </c>
      <c r="J47" s="53" cm="1">
        <f t="array" ref="J47">IF(D47="G",I47/AJ47,I47/Q47)</f>
        <v>6.913644666039156</v>
      </c>
      <c r="K47" s="52" cm="1">
        <f t="array" ref="K47">VLOOKUP(B47,G!A1:F66,6,FALSE)</f>
        <v>21.092548701915575</v>
      </c>
      <c r="L47" s="54" cm="1">
        <f t="array" ref="L47">IFERROR(K47/H47,"N/A")</f>
        <v>2.5566725699291606</v>
      </c>
      <c r="M47" s="55">
        <v>35.6</v>
      </c>
      <c r="N47" s="55" cm="1">
        <f t="array" ref="N47">IFERROR(M47-A47,"N/A")</f>
        <v>-10.399999999999999</v>
      </c>
      <c r="O47" s="55"/>
      <c r="P47" s="56" t="str" cm="1">
        <f t="array" ref="P47">_xlfn.XLOOKUP($B47,ADP!A2:A671,ADP!G2:G671)</f>
        <v xml:space="preserve"> </v>
      </c>
      <c r="Q47" s="57"/>
      <c r="R47" s="55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9"/>
      <c r="AI47" s="55"/>
      <c r="AJ47" s="78" cm="1">
        <f t="array" ref="AJ47">VLOOKUP(B47,'Player Data'!$A1:$AE673,24,FALSE)</f>
        <v>55</v>
      </c>
      <c r="AK47" s="57" cm="1">
        <f t="array" ref="AK47">VLOOKUP(B47,'Player Data'!$A1:$AE673,25,FALSE)*$AJ47*IFERROR((VLOOKUP(P47,Settings!$E$28:$F$33,2,FALSE)+1),1)</f>
        <v>24.765636422966175</v>
      </c>
      <c r="AL47" s="57" cm="1">
        <f t="array" ref="AL47">AJ47-AK47-AM47</f>
        <v>22.675772682775357</v>
      </c>
      <c r="AM47" s="57" cm="1">
        <f t="array" ref="AM47">VLOOKUP(B47,'Player Data'!$A1:$AE673,27,FALSE)*$AJ47</f>
        <v>7.5585908942584696</v>
      </c>
      <c r="AN47" s="57" cm="1">
        <f t="array" ref="AN47">VLOOKUP(B47,'Player Data'!$A1:$AE673,28,FALSE)*AJ47</f>
        <v>2.7513579903298941</v>
      </c>
      <c r="AO47" s="57" cm="1">
        <f t="array" ref="AO47">VLOOKUP(B47,'Player Data'!$A1:$AE673,29,FALSE)*$AJ47*IFERROR((VLOOKUP(P47,Settings!$E$28:$F$33,2,FALSE)/4)+1,1)</f>
        <v>1560.015007777534</v>
      </c>
      <c r="AP47" s="57" cm="1">
        <f t="array" ref="AP47">VLOOKUP(B47,'Player Data'!$A1:$AE673,31,FALSE)*$AJ47*(IFERROR(1-(VLOOKUP(P47,Settings!$E$28:$F$33,2,FALSE)/4),1))</f>
        <v>158.93510483861394</v>
      </c>
      <c r="AQ47" s="60" cm="1">
        <f t="array" ref="AQ47">1-(AP47/(AO47+AP47))</f>
        <v>0.90753943138191284</v>
      </c>
      <c r="AR47" s="61" cm="1">
        <f t="array" ref="AR47">AP47/AJ47</f>
        <v>2.8897291788838899</v>
      </c>
      <c r="AS47" s="55"/>
    </row>
    <row r="48" spans="1:45" ht="21.25" customHeight="1" x14ac:dyDescent="0.15">
      <c r="A48" s="62">
        <f t="shared" si="0"/>
        <v>47</v>
      </c>
      <c r="B48" s="10" t="s">
        <v>175</v>
      </c>
      <c r="C48" s="47" t="s">
        <v>128</v>
      </c>
      <c r="D48" s="48" t="str" cm="1">
        <f t="array" ref="D48">VLOOKUP(B48,'Player Data'!A1:D673,4,FALSE)</f>
        <v>C</v>
      </c>
      <c r="E48" s="49" cm="1">
        <f t="array" ref="E48">VLOOKUP(B48,'C'!A1:C210,3,FALSE)</f>
        <v>16</v>
      </c>
      <c r="F48" s="72" t="str" cm="1">
        <f t="array" ref="F48">VLOOKUP(B48,'Player Data'!A1:B673,2,FALSE)</f>
        <v>PIT</v>
      </c>
      <c r="G48" s="66" cm="1">
        <f t="array" ref="G48">VLOOKUP(B48,'Player Data'!A1:D673,3,FALSE)</f>
        <v>39</v>
      </c>
      <c r="H48" s="67" cm="1">
        <f t="array" ref="H48">IFERROR(VLOOKUP(B48,ADP!A1:F671,6,FALSE)/1000000,VLOOKUP(B48,ADP!A1:F671,6,FALSE))</f>
        <v>8.6999999999999993</v>
      </c>
      <c r="I48" s="52">
        <f>IF(Settings!$E$15="POINTS",((R48*Q48)*Settings!$B$12)+(S48*Settings!$B$2)+(T48*Settings!$B$3)+(U48*Settings!$B$4)+(V48*Settings!$B$5)+(X48*Settings!$B$9)+(AA48*Settings!$B$6)+(W48*Settings!$B$8)+(AB48*Settings!$B$7)+(AC48*Settings!$B$14)+(AD48*Settings!$B$15)+(AE48*Settings!$B$16)+(AF48*Settings!$B$17)+(AG48*Settings!$B$18)+(Y48*Settings!$B$10)+(Z48*Settings!$B$11),VLOOKUP(B48,'Standard Deviations'!A$1:C$672,3,FALSE))</f>
        <v>406.17400647248132</v>
      </c>
      <c r="J48" s="53" cm="1">
        <f t="array" ref="J48">IF(D48="G",I48/AJ48,I48/Q48)</f>
        <v>4.9978344588714325</v>
      </c>
      <c r="K48" s="52" cm="1">
        <f t="array" ref="K48">IF(Settings!$E$18="C/LW/RW",VLOOKUP(B48,'C'!A1:F210,6,FALSE),VLOOKUP(B48,F!A1:F407,6,FALSE))</f>
        <v>19.638800079398322</v>
      </c>
      <c r="L48" s="54" cm="1">
        <f t="array" ref="L48">IFERROR(K48/H48,"N/A")</f>
        <v>2.2573333424595776</v>
      </c>
      <c r="M48" s="55">
        <v>52.6</v>
      </c>
      <c r="N48" s="55" cm="1">
        <f t="array" ref="N48">IFERROR(M48-A48,"N/A")</f>
        <v>5.6000000000000014</v>
      </c>
      <c r="O48" s="55"/>
      <c r="P48" s="56" t="str" cm="1">
        <f t="array" ref="P48">_xlfn.XLOOKUP($B48,ADP!A2:A671,ADP!G2:G671)</f>
        <v xml:space="preserve"> </v>
      </c>
      <c r="Q48" s="57" cm="1">
        <f t="array" ref="Q48">IF(Settings!$E$12="YES",VLOOKUP(B48,'Player Data'!A1:E673,5,FALSE),84)</f>
        <v>81.27</v>
      </c>
      <c r="R48" s="55" cm="1">
        <f t="array" ref="R48">VLOOKUP(B48,'Player Data'!$A1:$AE673,6,FALSE)</f>
        <v>19.4487309841351</v>
      </c>
      <c r="S48" s="57" cm="1">
        <f t="array" ref="S48">VLOOKUP(B48,'Player Data'!$A1:$AE673,7,FALSE)*$Q48*IFERROR((VLOOKUP(P48,Settings!$E$28:$F$33,2,FALSE)+1),1)</f>
        <v>33.213782897509169</v>
      </c>
      <c r="T48" s="57" cm="1">
        <f t="array" ref="T48">VLOOKUP(B48,'Player Data'!$A1:$AE673,8,FALSE)*$Q48*IFERROR((VLOOKUP(P48,Settings!$E$28:$F$33,2,FALSE)+1),1)</f>
        <v>51.614727703438163</v>
      </c>
      <c r="U48" s="57" cm="1">
        <f t="array" ref="U48">SUM(S48:T48)</f>
        <v>84.82851060094734</v>
      </c>
      <c r="V48" s="57" cm="1">
        <f t="array" ref="V48">VLOOKUP(B48,'Player Data'!$A1:$AE673,10,FALSE)*$Q48*IFERROR(((VLOOKUP(P48,Settings!$E$28:$F$33,2,FALSE)/2)+1),1)</f>
        <v>214.24624813318079</v>
      </c>
      <c r="W48" s="58" cm="1">
        <f t="array" ref="W48">VLOOKUP(B48,'Player Data'!$A1:$AE673,11,FALSE)*$Q48*IFERROR((VLOOKUP(P48,Settings!$E$28:$F$33,2,FALSE)+1),1)</f>
        <v>11.36511747156265</v>
      </c>
      <c r="X48" s="57" cm="1">
        <f t="array" ref="X48">VLOOKUP(B48,'Player Data'!$A1:$AE673,12,FALSE)*$Q48*IFERROR((VLOOKUP(P48,Settings!$E$28:$F$33,2,FALSE)+1),1)</f>
        <v>26.022211520579216</v>
      </c>
      <c r="Y48" s="57" cm="1">
        <f t="array" ref="Y48">VLOOKUP(B48,'Player Data'!$A1:$AE673,13,FALSE)*$Q48</f>
        <v>1.5230655670781927E-2</v>
      </c>
      <c r="Z48" s="57" cm="1">
        <f t="array" ref="Z48">VLOOKUP(B48,'Player Data'!$A1:$AE673,14,FALSE)*$Q48</f>
        <v>2.4783603364081436E-2</v>
      </c>
      <c r="AA48" s="57" cm="1">
        <f t="array" ref="AA48">VLOOKUP(B48,'Player Data'!$A1:$AE673,15,FALSE)*$Q48</f>
        <v>37.036710958211302</v>
      </c>
      <c r="AB48" s="57" cm="1">
        <f t="array" ref="AB48">VLOOKUP(B48,'Player Data'!$A1:$AE673,16,FALSE)*$Q48</f>
        <v>69.691217733595138</v>
      </c>
      <c r="AC48" s="57" cm="1">
        <f t="array" ref="AC48">VLOOKUP(B48,'Player Data'!$A1:$AE673,17,FALSE)*$Q48*IFERROR((VLOOKUP(P48,Settings!$E$28:$F$33,2,FALSE)+1),1)</f>
        <v>1.4548637121313195</v>
      </c>
      <c r="AD48" s="57" cm="1">
        <f t="array" ref="AD48">VLOOKUP(B48,'Player Data'!$A1:$AE673,18,FALSE)*$Q48</f>
        <v>36.727923617798481</v>
      </c>
      <c r="AE48" s="57" cm="1">
        <f t="array" ref="AE48">VLOOKUP(B48,'Player Data'!$A1:$AE673,19,FALSE)*$Q48*IFERROR((VLOOKUP(P48,Settings!$E$28:$F$33,2,FALSE)+1),1)</f>
        <v>4.8155764238904419</v>
      </c>
      <c r="AF48" s="57" cm="1">
        <f t="array" ref="AF48">VLOOKUP(B48,'Player Data'!$A1:$AE673,20,FALSE)*$Q48</f>
        <v>973.40187953598866</v>
      </c>
      <c r="AG48" s="57" cm="1">
        <f t="array" ref="AG48">VLOOKUP(B48,'Player Data'!$A1:$AE673,21,FALSE)*$Q48</f>
        <v>743.47535958487993</v>
      </c>
      <c r="AH48" s="59" cm="1">
        <f t="array" ref="AH48">VLOOKUP(B48,'Player Data'!$A1:$AE673,22,FALSE)</f>
        <v>0.56696067567091801</v>
      </c>
      <c r="AI48" s="55"/>
      <c r="AJ48" s="57"/>
      <c r="AK48" s="57"/>
      <c r="AL48" s="57"/>
      <c r="AM48" s="57"/>
      <c r="AN48" s="57"/>
      <c r="AO48" s="57"/>
      <c r="AP48" s="57"/>
      <c r="AQ48" s="60"/>
      <c r="AR48" s="61"/>
      <c r="AS48" s="55"/>
    </row>
    <row r="49" spans="1:45" ht="21.25" customHeight="1" x14ac:dyDescent="0.15">
      <c r="A49" s="62">
        <f t="shared" si="0"/>
        <v>48</v>
      </c>
      <c r="B49" s="10" t="s">
        <v>176</v>
      </c>
      <c r="C49" s="47" t="s">
        <v>128</v>
      </c>
      <c r="D49" s="48" t="str" cm="1">
        <f t="array" ref="D49">VLOOKUP(B49,'Player Data'!A1:D673,4,FALSE)</f>
        <v>LW,RW</v>
      </c>
      <c r="E49" s="74" cm="1">
        <f t="array" ref="E49">VLOOKUP(B49,RW!A1:F210,3,FALSE)</f>
        <v>13</v>
      </c>
      <c r="F49" s="72" t="str" cm="1">
        <f t="array" ref="F49">VLOOKUP(B49,'Player Data'!A1:B673,2,FALSE)</f>
        <v>DET</v>
      </c>
      <c r="G49" s="11" cm="1">
        <f t="array" ref="G49">VLOOKUP(B49,'Player Data'!A1:D673,3,FALSE)</f>
        <v>28</v>
      </c>
      <c r="H49" s="67" cm="1">
        <f t="array" ref="H49">IFERROR(VLOOKUP(B49,ADP!A1:F671,6,FALSE)/1000000,VLOOKUP(B49,ADP!A1:F671,6,FALSE))</f>
        <v>7.875</v>
      </c>
      <c r="I49" s="52">
        <f>IF(Settings!$E$15="POINTS",((R49*Q49)*Settings!$B$12)+(S49*Settings!$B$2)+(T49*Settings!$B$3)+(U49*Settings!$B$4)+(V49*Settings!$B$5)+(X49*Settings!$B$9)+(AA49*Settings!$B$6)+(W49*Settings!$B$8)+(AB49*Settings!$B$7)+(AC49*Settings!$B$14)+(AD49*Settings!$B$15)+(AE49*Settings!$B$16)+(AF49*Settings!$B$17)+(AG49*Settings!$B$18)+(Y49*Settings!$B$10)+(Z49*Settings!$B$11),VLOOKUP(B49,'Standard Deviations'!A$1:C$672,3,FALSE))</f>
        <v>414.42600016670809</v>
      </c>
      <c r="J49" s="53" cm="1">
        <f t="array" ref="J49">IF(D49="G",I49/AJ49,I49/Q49)</f>
        <v>4.9318814728871603</v>
      </c>
      <c r="K49" s="52" cm="1">
        <f t="array" ref="K49">IF(Settings!$E$18="C/LW/RW",VLOOKUP(B49,RW!A1:F210,6,FALSE),VLOOKUP(B49,F!A1:F407,6,FALSE))</f>
        <v>19.48253547315062</v>
      </c>
      <c r="L49" s="54" cm="1">
        <f t="array" ref="L49">IFERROR(K49/H49,"N/A")</f>
        <v>2.4739727584953166</v>
      </c>
      <c r="M49" s="55">
        <v>42.1</v>
      </c>
      <c r="N49" s="55" cm="1">
        <f t="array" ref="N49">IFERROR(M49-A49,"N/A")</f>
        <v>-5.8999999999999986</v>
      </c>
      <c r="O49" s="55"/>
      <c r="P49" s="56" t="str" cm="1">
        <f t="array" ref="P49">_xlfn.XLOOKUP($B49,ADP!A2:A671,ADP!G2:G671)</f>
        <v xml:space="preserve"> </v>
      </c>
      <c r="Q49" s="57" cm="1">
        <f t="array" ref="Q49">IF(Settings!$E$12="YES",VLOOKUP(B49,'Player Data'!A1:E673,5,FALSE),84)</f>
        <v>84.03</v>
      </c>
      <c r="R49" s="55" cm="1">
        <f t="array" ref="R49">VLOOKUP(B49,'Player Data'!$A1:$AE673,6,FALSE)</f>
        <v>18.433404273170702</v>
      </c>
      <c r="S49" s="57" cm="1">
        <f t="array" ref="S49">VLOOKUP(B49,'Player Data'!$A1:$AE673,7,FALSE)*$Q49*IFERROR((VLOOKUP(P49,Settings!$E$28:$F$33,2,FALSE)+1),1)</f>
        <v>37.404233588129621</v>
      </c>
      <c r="T49" s="57" cm="1">
        <f t="array" ref="T49">VLOOKUP(B49,'Player Data'!$A1:$AE673,8,FALSE)*$Q49*IFERROR((VLOOKUP(P49,Settings!$E$28:$F$33,2,FALSE)+1),1)</f>
        <v>40.324906166374085</v>
      </c>
      <c r="U49" s="57" cm="1">
        <f t="array" ref="U49">SUM(S49:T49)</f>
        <v>77.729139754503706</v>
      </c>
      <c r="V49" s="57" cm="1">
        <f t="array" ref="V49">VLOOKUP(B49,'Player Data'!$A1:$AE673,10,FALSE)*$Q49*IFERROR(((VLOOKUP(P49,Settings!$E$28:$F$33,2,FALSE)/2)+1),1)</f>
        <v>273.44501644855768</v>
      </c>
      <c r="W49" s="58" cm="1">
        <f t="array" ref="W49">VLOOKUP(B49,'Player Data'!$A1:$AE673,11,FALSE)*$Q49*IFERROR((VLOOKUP(P49,Settings!$E$28:$F$33,2,FALSE)+1),1)</f>
        <v>13.278704942711141</v>
      </c>
      <c r="X49" s="57" cm="1">
        <f t="array" ref="X49">VLOOKUP(B49,'Player Data'!$A1:$AE673,12,FALSE)*$Q49*IFERROR((VLOOKUP(P49,Settings!$E$28:$F$33,2,FALSE)+1),1)</f>
        <v>24.485944081133432</v>
      </c>
      <c r="Y49" s="57" cm="1">
        <f t="array" ref="Y49">VLOOKUP(B49,'Player Data'!$A1:$AE673,13,FALSE)*$Q49</f>
        <v>1.871141885854119E-2</v>
      </c>
      <c r="Z49" s="57" cm="1">
        <f t="array" ref="Z49">VLOOKUP(B49,'Player Data'!$A1:$AE673,14,FALSE)*$Q49</f>
        <v>3.0683804183132657E-2</v>
      </c>
      <c r="AA49" s="57" cm="1">
        <f t="array" ref="AA49">VLOOKUP(B49,'Player Data'!$A1:$AE673,15,FALSE)*$Q49</f>
        <v>39.99888958720318</v>
      </c>
      <c r="AB49" s="57" cm="1">
        <f t="array" ref="AB49">VLOOKUP(B49,'Player Data'!$A1:$AE673,16,FALSE)*$Q49</f>
        <v>43.906018829548806</v>
      </c>
      <c r="AC49" s="57" cm="1">
        <f t="array" ref="AC49">VLOOKUP(B49,'Player Data'!$A1:$AE673,17,FALSE)*$Q49*IFERROR((VLOOKUP(P49,Settings!$E$28:$F$33,2,FALSE)+1),1)</f>
        <v>1.2037474154964769</v>
      </c>
      <c r="AD49" s="57" cm="1">
        <f t="array" ref="AD49">VLOOKUP(B49,'Player Data'!$A1:$AE673,18,FALSE)*$Q49</f>
        <v>28.996768378900192</v>
      </c>
      <c r="AE49" s="57" cm="1">
        <f t="array" ref="AE49">VLOOKUP(B49,'Player Data'!$A1:$AE673,19,FALSE)*$Q49*IFERROR((VLOOKUP(P49,Settings!$E$28:$F$33,2,FALSE)+1),1)</f>
        <v>5.8615389752417553</v>
      </c>
      <c r="AF49" s="57" cm="1">
        <f t="array" ref="AF49">VLOOKUP(B49,'Player Data'!$A1:$AE673,20,FALSE)*$Q49</f>
        <v>21.041270416118486</v>
      </c>
      <c r="AG49" s="57" cm="1">
        <f t="array" ref="AG49">VLOOKUP(B49,'Player Data'!$A1:$AE673,21,FALSE)*$Q49</f>
        <v>29.914670862587968</v>
      </c>
      <c r="AH49" s="59" cm="1">
        <f t="array" ref="AH49">VLOOKUP(B49,'Player Data'!$A1:$AE673,22,FALSE)</f>
        <v>0.41293065907726101</v>
      </c>
      <c r="AI49" s="55"/>
      <c r="AJ49" s="57"/>
      <c r="AK49" s="57"/>
      <c r="AL49" s="57"/>
      <c r="AM49" s="57"/>
      <c r="AN49" s="57"/>
      <c r="AO49" s="57"/>
      <c r="AP49" s="57"/>
      <c r="AQ49" s="60"/>
      <c r="AR49" s="61"/>
      <c r="AS49" s="55"/>
    </row>
    <row r="50" spans="1:45" ht="21.25" customHeight="1" x14ac:dyDescent="0.15">
      <c r="A50" s="62">
        <f t="shared" si="0"/>
        <v>49</v>
      </c>
      <c r="B50" s="10" t="s">
        <v>177</v>
      </c>
      <c r="C50" s="76"/>
      <c r="D50" s="48" t="str" cm="1">
        <f t="array" ref="D50">VLOOKUP(B50,'Player Data'!A1:D673,4,FALSE)</f>
        <v>G</v>
      </c>
      <c r="E50" s="77" cm="1">
        <f t="array" ref="E50">VLOOKUP(B50,G!A1:D66,3,FALSE)</f>
        <v>6</v>
      </c>
      <c r="F50" s="73" t="str" cm="1">
        <f t="array" ref="F50">VLOOKUP(B50,'Player Data'!A1:B673,2,FALSE)</f>
        <v>NYR</v>
      </c>
      <c r="G50" s="11" cm="1">
        <f t="array" ref="G50">VLOOKUP(B50,'Player Data'!A1:D673,3,FALSE)</f>
        <v>30</v>
      </c>
      <c r="H50" s="51" cm="1">
        <f t="array" ref="H50">IFERROR(VLOOKUP(B50,ADP!A1:F671,6,FALSE)/1000000,VLOOKUP(B50,ADP!A1:F671,6,FALSE))</f>
        <v>11.503</v>
      </c>
      <c r="I50" s="52">
        <f>IF(Settings!$E$15="POINTS",(AJ50*Settings!$B$29)+(AK50*Settings!$B$21)+(AL50*Settings!$B$22)+(AN50*Settings!$B$24)+(AO50*Settings!$B$25)+(AP50*Settings!$B$27)+(AM50*Settings!$B$23),VLOOKUP(B50,'Standard Deviations'!A$1:C$672,3,FALSE))</f>
        <v>378.63333418824033</v>
      </c>
      <c r="J50" s="53" cm="1">
        <f t="array" ref="J50">IF(D50="G",I50/AJ50,I50/Q50)</f>
        <v>6.8842424397861874</v>
      </c>
      <c r="K50" s="52" cm="1">
        <f t="array" ref="K50">VLOOKUP(B50,G!A1:F66,6,FALSE)</f>
        <v>19.475426258002301</v>
      </c>
      <c r="L50" s="54" cm="1">
        <f t="array" ref="L50">IFERROR(K50/H50,"N/A")</f>
        <v>1.693073655394445</v>
      </c>
      <c r="M50" s="55">
        <v>39.6</v>
      </c>
      <c r="N50" s="55" cm="1">
        <f t="array" ref="N50">IFERROR(M50-A50,"N/A")</f>
        <v>-9.3999999999999986</v>
      </c>
      <c r="O50" s="55"/>
      <c r="P50" s="56" t="str" cm="1">
        <f t="array" ref="P50">_xlfn.XLOOKUP($B50,ADP!A2:A671,ADP!G2:G671)</f>
        <v xml:space="preserve"> </v>
      </c>
      <c r="Q50" s="57"/>
      <c r="R50" s="55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9"/>
      <c r="AI50" s="55"/>
      <c r="AJ50" s="78" cm="1">
        <f t="array" ref="AJ50">VLOOKUP(B50,'Player Data'!$A1:$AE673,24,FALSE)</f>
        <v>55</v>
      </c>
      <c r="AK50" s="57" cm="1">
        <f t="array" ref="AK50">VLOOKUP(B50,'Player Data'!$A1:$AE673,25,FALSE)*$AJ50*IFERROR((VLOOKUP(P50,Settings!$E$28:$F$33,2,FALSE)+1),1)</f>
        <v>27.833538503510901</v>
      </c>
      <c r="AL50" s="57" cm="1">
        <f t="array" ref="AL50">AJ50-AK50-AM50</f>
        <v>20.37484612236684</v>
      </c>
      <c r="AM50" s="57" cm="1">
        <f t="array" ref="AM50">VLOOKUP(B50,'Player Data'!$A1:$AE673,27,FALSE)*$AJ50</f>
        <v>6.7916153741222596</v>
      </c>
      <c r="AN50" s="57" cm="1">
        <f t="array" ref="AN50">VLOOKUP(B50,'Player Data'!$A1:$AE673,28,FALSE)*AJ50</f>
        <v>3.5365724852945681</v>
      </c>
      <c r="AO50" s="57" cm="1">
        <f t="array" ref="AO50">VLOOKUP(B50,'Player Data'!$A1:$AE673,29,FALSE)*$AJ50*IFERROR((VLOOKUP(P50,Settings!$E$28:$F$33,2,FALSE)/4)+1,1)</f>
        <v>1475.1368616025304</v>
      </c>
      <c r="AP50" s="57" cm="1">
        <f t="array" ref="AP50">VLOOKUP(B50,'Player Data'!$A1:$AE673,31,FALSE)*$AJ50*(IFERROR(1-(VLOOKUP(P50,Settings!$E$28:$F$33,2,FALSE)/4),1))</f>
        <v>148.65742820295071</v>
      </c>
      <c r="AQ50" s="60" cm="1">
        <f t="array" ref="AQ50">1-(AP50/(AO50+AP50))</f>
        <v>0.90845057829291986</v>
      </c>
      <c r="AR50" s="61" cm="1">
        <f t="array" ref="AR50">AP50/AJ50</f>
        <v>2.7028623309627404</v>
      </c>
      <c r="AS50" s="55"/>
    </row>
    <row r="51" spans="1:45" ht="21.25" customHeight="1" x14ac:dyDescent="0.15">
      <c r="A51" s="62">
        <f t="shared" si="0"/>
        <v>50</v>
      </c>
      <c r="B51" s="10" t="s">
        <v>178</v>
      </c>
      <c r="C51" s="47" t="s">
        <v>128</v>
      </c>
      <c r="D51" s="48" t="str" cm="1">
        <f t="array" ref="D51">VLOOKUP(B51,'Player Data'!A1:D673,4,FALSE)</f>
        <v>D</v>
      </c>
      <c r="E51" s="68" cm="1">
        <f t="array" ref="E51">VLOOKUP(B51,D!A1:C204,3,FALSE)</f>
        <v>19</v>
      </c>
      <c r="F51" s="63" t="str" cm="1">
        <f t="array" ref="F51">VLOOKUP(B51,'Player Data'!A1:B673,2,FALSE)</f>
        <v>DAL</v>
      </c>
      <c r="G51" s="11" cm="1">
        <f t="array" ref="G51">VLOOKUP(B51,'Player Data'!A1:D673,3,FALSE)</f>
        <v>27</v>
      </c>
      <c r="H51" s="51" cm="1">
        <f t="array" ref="H51">IFERROR(VLOOKUP(B51,ADP!A1:F671,6,FALSE)/1000000,VLOOKUP(B51,ADP!A1:F671,6,FALSE))</f>
        <v>8.4499999999999993</v>
      </c>
      <c r="I51" s="52">
        <f>IF(Settings!$E$15="POINTS",((R51*Q51)*Settings!$B$12)+(S51*Settings!$B$2)+(T51*Settings!$B$3)+(U51*Settings!$B$4)+(V51*Settings!$B$5)+(X51*Settings!$B$9)+(AA51*Settings!$B$6)+(W51*Settings!$B$8)+(AB51*Settings!$B$7)+(AC51*Settings!$B$14)+(AD51*Settings!$B$15)+(AE51*Settings!$B$16)+(AF51*Settings!$B$17)+(AG51*Settings!$B$18)+(U51*Settings!$B$13)+(Y51*Settings!$B$10)+(Z51*Settings!$B$11),VLOOKUP(B51,'Standard Deviations'!A$1:C$672,3,FALSE))</f>
        <v>324.83459261307195</v>
      </c>
      <c r="J51" s="53" cm="1">
        <f t="array" ref="J51">IF(D51="G",I51/AJ51,I51/Q51)</f>
        <v>4.1837214491170682</v>
      </c>
      <c r="K51" s="52" cm="1">
        <f t="array" ref="K51">VLOOKUP(B51,D!A1:F204,6,FALSE)</f>
        <v>18.180725268477886</v>
      </c>
      <c r="L51" s="54" cm="1">
        <f t="array" ref="L51">IFERROR(K51/H51,"N/A")</f>
        <v>2.1515651205299275</v>
      </c>
      <c r="M51" s="55">
        <v>72.599999999999994</v>
      </c>
      <c r="N51" s="55" cm="1">
        <f t="array" ref="N51">IFERROR(M51-A51,"N/A")</f>
        <v>22.599999999999994</v>
      </c>
      <c r="O51" s="55"/>
      <c r="P51" s="56" t="str" cm="1">
        <f t="array" ref="P51">_xlfn.XLOOKUP($B51,ADP!A2:A671,ADP!G2:G671)</f>
        <v xml:space="preserve"> </v>
      </c>
      <c r="Q51" s="57" cm="1">
        <f t="array" ref="Q51">IF(Settings!$E$12="YES",VLOOKUP(B51,'Player Data'!A1:E673,5,FALSE),84)</f>
        <v>77.642499999999998</v>
      </c>
      <c r="R51" s="55" cm="1">
        <f t="array" ref="R51">VLOOKUP(B51,'Player Data'!$A1:$AE673,6,FALSE)</f>
        <v>25.249176215023098</v>
      </c>
      <c r="S51" s="57" cm="1">
        <f t="array" ref="S51">VLOOKUP(B51,'Player Data'!$A1:$AE673,7,FALSE)*$Q51*IFERROR((VLOOKUP(P51,Settings!$E$28:$F$33,2,FALSE)+1),1)</f>
        <v>9.1387643013228939</v>
      </c>
      <c r="T51" s="57" cm="1">
        <f t="array" ref="T51">VLOOKUP(B51,'Player Data'!$A1:$AE673,8,FALSE)*$Q51*IFERROR((VLOOKUP(P51,Settings!$E$28:$F$33,2,FALSE)+1),1)</f>
        <v>44.545328698423546</v>
      </c>
      <c r="U51" s="57" cm="1">
        <f t="array" ref="U51">SUM(S51:T51)</f>
        <v>53.68409299974644</v>
      </c>
      <c r="V51" s="57" cm="1">
        <f t="array" ref="V51">VLOOKUP(B51,'Player Data'!$A1:$AE673,10,FALSE)*$Q51*IFERROR(((VLOOKUP(P51,Settings!$E$28:$F$33,2,FALSE)/2)+1),1)</f>
        <v>153.05529379087363</v>
      </c>
      <c r="W51" s="58" cm="1">
        <f t="array" ref="W51">VLOOKUP(B51,'Player Data'!$A1:$AE673,11,FALSE)*$Q51*IFERROR((VLOOKUP(P51,Settings!$E$28:$F$33,2,FALSE)+1),1)</f>
        <v>1.6074940159306048</v>
      </c>
      <c r="X51" s="57" cm="1">
        <f t="array" ref="X51">VLOOKUP(B51,'Player Data'!$A1:$AE673,12,FALSE)*$Q51*IFERROR((VLOOKUP(P51,Settings!$E$28:$F$33,2,FALSE)+1),1)</f>
        <v>20.231659038163599</v>
      </c>
      <c r="Y51" s="57" cm="1">
        <f t="array" ref="Y51">VLOOKUP(B51,'Player Data'!$A1:$AE673,13,FALSE)*$Q51</f>
        <v>0.58045693996696213</v>
      </c>
      <c r="Z51" s="57" cm="1">
        <f t="array" ref="Z51">VLOOKUP(B51,'Player Data'!$A1:$AE673,14,FALSE)*$Q51</f>
        <v>0.69939870722779984</v>
      </c>
      <c r="AA51" s="57" cm="1">
        <f t="array" ref="AA51">VLOOKUP(B51,'Player Data'!$A1:$AE673,15,FALSE)*$Q51</f>
        <v>132.64721794600882</v>
      </c>
      <c r="AB51" s="57" cm="1">
        <f t="array" ref="AB51">VLOOKUP(B51,'Player Data'!$A1:$AE673,16,FALSE)*$Q51</f>
        <v>37.663183773764779</v>
      </c>
      <c r="AC51" s="57" cm="1">
        <f t="array" ref="AC51">VLOOKUP(B51,'Player Data'!$A1:$AE673,17,FALSE)*$Q51*IFERROR((VLOOKUP(P51,Settings!$E$28:$F$33,2,FALSE)+1),1)</f>
        <v>6.5916674078626771</v>
      </c>
      <c r="AD51" s="57" cm="1">
        <f t="array" ref="AD51">VLOOKUP(B51,'Player Data'!$A1:$AE673,18,FALSE)*$Q51</f>
        <v>29.783931168540811</v>
      </c>
      <c r="AE51" s="57" cm="1">
        <f t="array" ref="AE51">VLOOKUP(B51,'Player Data'!$A1:$AE673,19,FALSE)*$Q51*IFERROR((VLOOKUP(P51,Settings!$E$28:$F$33,2,FALSE)+1),1)</f>
        <v>1.5455733437756047</v>
      </c>
      <c r="AF51" s="57" cm="1">
        <f t="array" ref="AF51">VLOOKUP(B51,'Player Data'!$A1:$AE673,20,FALSE)*$Q51</f>
        <v>0</v>
      </c>
      <c r="AG51" s="57" cm="1">
        <f t="array" ref="AG51">VLOOKUP(B51,'Player Data'!$A1:$AE673,21,FALSE)*$Q51</f>
        <v>0</v>
      </c>
      <c r="AH51" s="59" cm="1">
        <f t="array" ref="AH51">VLOOKUP(B51,'Player Data'!$A1:$AE673,22,FALSE)</f>
        <v>0</v>
      </c>
      <c r="AI51" s="55"/>
      <c r="AJ51" s="57"/>
      <c r="AK51" s="57"/>
      <c r="AL51" s="57"/>
      <c r="AM51" s="57"/>
      <c r="AN51" s="57"/>
      <c r="AO51" s="57"/>
      <c r="AP51" s="57"/>
      <c r="AQ51" s="60"/>
      <c r="AR51" s="61"/>
      <c r="AS51" s="55"/>
    </row>
    <row r="52" spans="1:45" ht="21.25" customHeight="1" x14ac:dyDescent="0.15">
      <c r="A52" s="62">
        <f t="shared" si="0"/>
        <v>51</v>
      </c>
      <c r="B52" s="10" t="s">
        <v>179</v>
      </c>
      <c r="C52" s="47" t="s">
        <v>128</v>
      </c>
      <c r="D52" s="48" t="str" cm="1">
        <f t="array" ref="D52">VLOOKUP(B52,'Player Data'!A1:D673,4,FALSE)</f>
        <v>LW,RW</v>
      </c>
      <c r="E52" s="74" cm="1">
        <f t="array" ref="E52">VLOOKUP(B52,RW!A1:F210,3,FALSE)</f>
        <v>14</v>
      </c>
      <c r="F52" s="69" t="str" cm="1">
        <f t="array" ref="F52">VLOOKUP(B52,'Player Data'!A1:B673,2,FALSE)</f>
        <v>MTL</v>
      </c>
      <c r="G52" s="11" cm="1">
        <f t="array" ref="G52">VLOOKUP(B52,'Player Data'!A1:D673,3,FALSE)</f>
        <v>25</v>
      </c>
      <c r="H52" s="51" cm="1">
        <f t="array" ref="H52">IFERROR(VLOOKUP(B52,ADP!A1:F671,6,FALSE)/1000000,VLOOKUP(B52,ADP!A1:F671,6,FALSE))</f>
        <v>7.85</v>
      </c>
      <c r="I52" s="52">
        <f>IF(Settings!$E$15="POINTS",((R52*Q52)*Settings!$B$12)+(S52*Settings!$B$2)+(T52*Settings!$B$3)+(U52*Settings!$B$4)+(V52*Settings!$B$5)+(X52*Settings!$B$9)+(AA52*Settings!$B$6)+(W52*Settings!$B$8)+(AB52*Settings!$B$7)+(AC52*Settings!$B$14)+(AD52*Settings!$B$15)+(AE52*Settings!$B$16)+(AF52*Settings!$B$17)+(AG52*Settings!$B$18)+(Y52*Settings!$B$10)+(Z52*Settings!$B$11),VLOOKUP(B52,'Standard Deviations'!A$1:C$672,3,FALSE))</f>
        <v>412.80847420064674</v>
      </c>
      <c r="J52" s="53" cm="1">
        <f t="array" ref="J52">IF(D52="G",I52/AJ52,I52/Q52)</f>
        <v>4.9230312059944152</v>
      </c>
      <c r="K52" s="52" cm="1">
        <f t="array" ref="K52">IF(Settings!$E$18="C/LW/RW",VLOOKUP(B52,RW!A1:F210,6,FALSE),VLOOKUP(B52,F!A1:F407,6,FALSE))</f>
        <v>17.865009507089269</v>
      </c>
      <c r="L52" s="54" cm="1">
        <f t="array" ref="L52">IFERROR(K52/H52,"N/A")</f>
        <v>2.2757973894381234</v>
      </c>
      <c r="M52" s="55">
        <v>18.600000000000001</v>
      </c>
      <c r="N52" s="55" cm="1">
        <f t="array" ref="N52">IFERROR(M52-A52,"N/A")</f>
        <v>-32.4</v>
      </c>
      <c r="O52" s="55"/>
      <c r="P52" s="56" t="str" cm="1">
        <f t="array" ref="P52">_xlfn.XLOOKUP($B52,ADP!A2:A671,ADP!G2:G671)</f>
        <v xml:space="preserve"> </v>
      </c>
      <c r="Q52" s="57" cm="1">
        <f t="array" ref="Q52">IF(Settings!$E$12="YES",VLOOKUP(B52,'Player Data'!A1:E673,5,FALSE),84)</f>
        <v>83.852500000000006</v>
      </c>
      <c r="R52" s="55" cm="1">
        <f t="array" ref="R52">VLOOKUP(B52,'Player Data'!$A1:$AE673,6,FALSE)</f>
        <v>18.242778525891101</v>
      </c>
      <c r="S52" s="57" cm="1">
        <f t="array" ref="S52">VLOOKUP(B52,'Player Data'!$A1:$AE673,7,FALSE)*$Q52*IFERROR((VLOOKUP(P52,Settings!$E$28:$F$33,2,FALSE)+1),1)</f>
        <v>41.706769545355932</v>
      </c>
      <c r="T52" s="57" cm="1">
        <f t="array" ref="T52">VLOOKUP(B52,'Player Data'!$A1:$AE673,8,FALSE)*$Q52*IFERROR((VLOOKUP(P52,Settings!$E$28:$F$33,2,FALSE)+1),1)</f>
        <v>38.459750086225199</v>
      </c>
      <c r="U52" s="57" cm="1">
        <f t="array" ref="U52">SUM(S52:T52)</f>
        <v>80.166519631581139</v>
      </c>
      <c r="V52" s="57" cm="1">
        <f t="array" ref="V52">VLOOKUP(B52,'Player Data'!$A1:$AE673,10,FALSE)*$Q52*IFERROR(((VLOOKUP(P52,Settings!$E$28:$F$33,2,FALSE)/2)+1),1)</f>
        <v>266.60485758403757</v>
      </c>
      <c r="W52" s="58" cm="1">
        <f t="array" ref="W52">VLOOKUP(B52,'Player Data'!$A1:$AE673,11,FALSE)*$Q52*IFERROR((VLOOKUP(P52,Settings!$E$28:$F$33,2,FALSE)+1),1)</f>
        <v>11.055712252220516</v>
      </c>
      <c r="X52" s="57" cm="1">
        <f t="array" ref="X52">VLOOKUP(B52,'Player Data'!$A1:$AE673,12,FALSE)*$Q52*IFERROR((VLOOKUP(P52,Settings!$E$28:$F$33,2,FALSE)+1),1)</f>
        <v>25.985314674819939</v>
      </c>
      <c r="Y52" s="57" cm="1">
        <f t="array" ref="Y52">VLOOKUP(B52,'Player Data'!$A1:$AE673,13,FALSE)*$Q52</f>
        <v>2.8579344675599247E-3</v>
      </c>
      <c r="Z52" s="57" cm="1">
        <f t="array" ref="Z52">VLOOKUP(B52,'Player Data'!$A1:$AE673,14,FALSE)*$Q52</f>
        <v>4.683977933488963E-3</v>
      </c>
      <c r="AA52" s="57" cm="1">
        <f t="array" ref="AA52">VLOOKUP(B52,'Player Data'!$A1:$AE673,15,FALSE)*$Q52</f>
        <v>26.032975722262165</v>
      </c>
      <c r="AB52" s="57" cm="1">
        <f t="array" ref="AB52">VLOOKUP(B52,'Player Data'!$A1:$AE673,16,FALSE)*$Q52</f>
        <v>57.248295381852124</v>
      </c>
      <c r="AC52" s="57" cm="1">
        <f t="array" ref="AC52">VLOOKUP(B52,'Player Data'!$A1:$AE673,17,FALSE)*$Q52*IFERROR((VLOOKUP(P52,Settings!$E$28:$F$33,2,FALSE)+1),1)</f>
        <v>6.343575089685646</v>
      </c>
      <c r="AD52" s="57" cm="1">
        <f t="array" ref="AD52">VLOOKUP(B52,'Player Data'!$A1:$AE673,18,FALSE)*$Q52</f>
        <v>18.693330706192747</v>
      </c>
      <c r="AE52" s="57" cm="1">
        <f t="array" ref="AE52">VLOOKUP(B52,'Player Data'!$A1:$AE673,19,FALSE)*$Q52*IFERROR((VLOOKUP(P52,Settings!$E$28:$F$33,2,FALSE)+1),1)</f>
        <v>6.943766469197981</v>
      </c>
      <c r="AF52" s="57" cm="1">
        <f t="array" ref="AF52">VLOOKUP(B52,'Player Data'!$A1:$AE673,20,FALSE)*$Q52</f>
        <v>6.7773796388873393</v>
      </c>
      <c r="AG52" s="57" cm="1">
        <f t="array" ref="AG52">VLOOKUP(B52,'Player Data'!$A1:$AE673,21,FALSE)*$Q52</f>
        <v>10.933369355859822</v>
      </c>
      <c r="AH52" s="59" cm="1">
        <f t="array" ref="AH52">VLOOKUP(B52,'Player Data'!$A1:$AE673,22,FALSE)</f>
        <v>0.38267041336859597</v>
      </c>
      <c r="AI52" s="55"/>
      <c r="AJ52" s="57"/>
      <c r="AK52" s="57"/>
      <c r="AL52" s="57"/>
      <c r="AM52" s="57"/>
      <c r="AN52" s="57"/>
      <c r="AO52" s="57"/>
      <c r="AP52" s="57"/>
      <c r="AQ52" s="60"/>
      <c r="AR52" s="61"/>
      <c r="AS52" s="55"/>
    </row>
    <row r="53" spans="1:45" ht="21.25" customHeight="1" x14ac:dyDescent="0.15">
      <c r="A53" s="62">
        <f t="shared" si="0"/>
        <v>52</v>
      </c>
      <c r="B53" s="10" t="s">
        <v>180</v>
      </c>
      <c r="C53" s="47" t="s">
        <v>128</v>
      </c>
      <c r="D53" s="48" t="str" cm="1">
        <f t="array" ref="D53">VLOOKUP(B53,'Player Data'!A1:D673,4,FALSE)</f>
        <v>D</v>
      </c>
      <c r="E53" s="68" cm="1">
        <f t="array" ref="E53">VLOOKUP(B53,D!A1:C204,3,FALSE)</f>
        <v>20</v>
      </c>
      <c r="F53" s="69" t="str" cm="1">
        <f t="array" ref="F53">VLOOKUP(B53,'Player Data'!A1:B673,2,FALSE)</f>
        <v>MTL</v>
      </c>
      <c r="G53" s="11" cm="1">
        <f t="array" ref="G53">VLOOKUP(B53,'Player Data'!A1:D673,3,FALSE)</f>
        <v>26</v>
      </c>
      <c r="H53" s="51" cm="1">
        <f t="array" ref="H53">IFERROR(VLOOKUP(B53,ADP!A1:F671,6,FALSE)/1000000,VLOOKUP(B53,ADP!A1:F671,6,FALSE))</f>
        <v>9.5</v>
      </c>
      <c r="I53" s="52">
        <f>IF(Settings!$E$15="POINTS",((R53*Q53)*Settings!$B$12)+(S53*Settings!$B$2)+(T53*Settings!$B$3)+(U53*Settings!$B$4)+(V53*Settings!$B$5)+(X53*Settings!$B$9)+(AA53*Settings!$B$6)+(W53*Settings!$B$8)+(AB53*Settings!$B$7)+(AC53*Settings!$B$14)+(AD53*Settings!$B$15)+(AE53*Settings!$B$16)+(AF53*Settings!$B$17)+(AG53*Settings!$B$18)+(U53*Settings!$B$13)+(Y53*Settings!$B$10)+(Z53*Settings!$B$11),VLOOKUP(B53,'Standard Deviations'!A$1:C$672,3,FALSE))</f>
        <v>322.57084351596779</v>
      </c>
      <c r="J53" s="53" cm="1">
        <f t="array" ref="J53">IF(D53="G",I53/AJ53,I53/Q53)</f>
        <v>3.9403981495308327</v>
      </c>
      <c r="K53" s="52" cm="1">
        <f t="array" ref="K53">VLOOKUP(B53,D!A1:F204,6,FALSE)</f>
        <v>15.916976171373733</v>
      </c>
      <c r="L53" s="54" cm="1">
        <f t="array" ref="L53">IFERROR(K53/H53,"N/A")</f>
        <v>1.6754711759340772</v>
      </c>
      <c r="M53" s="55">
        <v>96.3</v>
      </c>
      <c r="N53" s="55" cm="1">
        <f t="array" ref="N53">IFERROR(M53-A53,"N/A")</f>
        <v>44.3</v>
      </c>
      <c r="O53" s="55"/>
      <c r="P53" s="56" t="str" cm="1">
        <f t="array" ref="P53">_xlfn.XLOOKUP($B53,ADP!A2:A671,ADP!G2:G671)</f>
        <v xml:space="preserve"> </v>
      </c>
      <c r="Q53" s="57" cm="1">
        <f t="array" ref="Q53">IF(Settings!$E$12="YES",VLOOKUP(B53,'Player Data'!A1:E673,5,FALSE),84)</f>
        <v>81.862499999999997</v>
      </c>
      <c r="R53" s="55" cm="1">
        <f t="array" ref="R53">VLOOKUP(B53,'Player Data'!$A1:$AE673,6,FALSE)</f>
        <v>23.100003836553601</v>
      </c>
      <c r="S53" s="57" cm="1">
        <f t="array" ref="S53">VLOOKUP(B53,'Player Data'!$A1:$AE673,7,FALSE)*$Q53*IFERROR((VLOOKUP(P53,Settings!$E$28:$F$33,2,FALSE)+1),1)</f>
        <v>10.586621452838354</v>
      </c>
      <c r="T53" s="57" cm="1">
        <f t="array" ref="T53">VLOOKUP(B53,'Player Data'!$A1:$AE673,8,FALSE)*$Q53*IFERROR((VLOOKUP(P53,Settings!$E$28:$F$33,2,FALSE)+1),1)</f>
        <v>36.545197301124844</v>
      </c>
      <c r="U53" s="57" cm="1">
        <f t="array" ref="U53">SUM(S53:T53)</f>
        <v>47.131818753963202</v>
      </c>
      <c r="V53" s="57" cm="1">
        <f t="array" ref="V53">VLOOKUP(B53,'Player Data'!$A1:$AE673,10,FALSE)*$Q53*IFERROR(((VLOOKUP(P53,Settings!$E$28:$F$33,2,FALSE)/2)+1),1)</f>
        <v>170.87497130421048</v>
      </c>
      <c r="W53" s="57" cm="1">
        <f t="array" ref="W53">VLOOKUP(B53,'Player Data'!$A1:$AE673,11,FALSE)*$Q53*IFERROR((VLOOKUP(P53,Settings!$E$28:$F$33,2,FALSE)+1),1)</f>
        <v>0.97412685472346505</v>
      </c>
      <c r="X53" s="57" cm="1">
        <f t="array" ref="X53">VLOOKUP(B53,'Player Data'!$A1:$AE673,12,FALSE)*$Q53*IFERROR((VLOOKUP(P53,Settings!$E$28:$F$33,2,FALSE)+1),1)</f>
        <v>7.9714091796862494</v>
      </c>
      <c r="Y53" s="57" cm="1">
        <f t="array" ref="Y53">VLOOKUP(B53,'Player Data'!$A1:$AE673,13,FALSE)*$Q53</f>
        <v>2.0543251665557708E-2</v>
      </c>
      <c r="Z53" s="57" cm="1">
        <f t="array" ref="Z53">VLOOKUP(B53,'Player Data'!$A1:$AE673,14,FALSE)*$Q53</f>
        <v>0.65921066458282251</v>
      </c>
      <c r="AA53" s="57" cm="1">
        <f t="array" ref="AA53">VLOOKUP(B53,'Player Data'!$A1:$AE673,15,FALSE)*$Q53</f>
        <v>174.2145635154078</v>
      </c>
      <c r="AB53" s="57" cm="1">
        <f t="array" ref="AB53">VLOOKUP(B53,'Player Data'!$A1:$AE673,16,FALSE)*$Q53</f>
        <v>66.521948626042658</v>
      </c>
      <c r="AC53" s="57" cm="1">
        <f t="array" ref="AC53">VLOOKUP(B53,'Player Data'!$A1:$AE673,17,FALSE)*$Q53*IFERROR((VLOOKUP(P53,Settings!$E$28:$F$33,2,FALSE)+1),1)</f>
        <v>2.6754912631323471</v>
      </c>
      <c r="AD53" s="57" cm="1">
        <f t="array" ref="AD53">VLOOKUP(B53,'Player Data'!$A1:$AE673,18,FALSE)*$Q53</f>
        <v>37.483000987644239</v>
      </c>
      <c r="AE53" s="57" cm="1">
        <f t="array" ref="AE53">VLOOKUP(B53,'Player Data'!$A1:$AE673,19,FALSE)*$Q53*IFERROR((VLOOKUP(P53,Settings!$E$28:$F$33,2,FALSE)+1),1)</f>
        <v>1.7625682321515728</v>
      </c>
      <c r="AF53" s="57" cm="1">
        <f t="array" ref="AF53">VLOOKUP(B53,'Player Data'!$A1:$AE673,20,FALSE)*$Q53</f>
        <v>0</v>
      </c>
      <c r="AG53" s="57" cm="1">
        <f t="array" ref="AG53">VLOOKUP(B53,'Player Data'!$A1:$AE673,21,FALSE)*$Q53</f>
        <v>0</v>
      </c>
      <c r="AH53" s="59" cm="1">
        <f t="array" ref="AH53">VLOOKUP(B53,'Player Data'!$A1:$AE673,22,FALSE)</f>
        <v>0</v>
      </c>
      <c r="AI53" s="55"/>
      <c r="AJ53" s="57"/>
      <c r="AK53" s="57"/>
      <c r="AL53" s="57"/>
      <c r="AM53" s="57"/>
      <c r="AN53" s="57"/>
      <c r="AO53" s="57"/>
      <c r="AP53" s="57"/>
      <c r="AQ53" s="60"/>
      <c r="AR53" s="61"/>
      <c r="AS53" s="55"/>
    </row>
    <row r="54" spans="1:45" ht="21.25" customHeight="1" x14ac:dyDescent="0.15">
      <c r="A54" s="62">
        <f t="shared" si="0"/>
        <v>53</v>
      </c>
      <c r="B54" s="10" t="s">
        <v>181</v>
      </c>
      <c r="C54" s="47" t="s">
        <v>128</v>
      </c>
      <c r="D54" s="48" t="str" cm="1">
        <f t="array" ref="D54">VLOOKUP(B54,'Player Data'!A1:D673,4,FALSE)</f>
        <v>C</v>
      </c>
      <c r="E54" s="49" cm="1">
        <f t="array" ref="E54">VLOOKUP(B54,'C'!A1:C210,3,FALSE)</f>
        <v>17</v>
      </c>
      <c r="F54" s="63" t="str" cm="1">
        <f t="array" ref="F54">VLOOKUP(B54,'Player Data'!A1:B673,2,FALSE)</f>
        <v>WPG</v>
      </c>
      <c r="G54" s="66" cm="1">
        <f t="array" ref="G54">VLOOKUP(B54,'Player Data'!A1:D673,3,FALSE)</f>
        <v>33</v>
      </c>
      <c r="H54" s="51" cm="1">
        <f t="array" ref="H54">IFERROR(VLOOKUP(B54,ADP!A1:F671,6,FALSE)/1000000,VLOOKUP(B54,ADP!A1:F671,6,FALSE))</f>
        <v>8.5</v>
      </c>
      <c r="I54" s="52">
        <f>IF(Settings!$E$15="POINTS",((R54*Q54)*Settings!$B$12)+(S54*Settings!$B$2)+(T54*Settings!$B$3)+(U54*Settings!$B$4)+(V54*Settings!$B$5)+(X54*Settings!$B$9)+(AA54*Settings!$B$6)+(W54*Settings!$B$8)+(AB54*Settings!$B$7)+(AC54*Settings!$B$14)+(AD54*Settings!$B$15)+(AE54*Settings!$B$16)+(AF54*Settings!$B$17)+(AG54*Settings!$B$18)+(Y54*Settings!$B$10)+(Z54*Settings!$B$11),VLOOKUP(B54,'Standard Deviations'!A$1:C$672,3,FALSE))</f>
        <v>401.75318611888156</v>
      </c>
      <c r="J54" s="53" cm="1">
        <f t="array" ref="J54">IF(D54="G",I54/AJ54,I54/Q54)</f>
        <v>4.8270237428677341</v>
      </c>
      <c r="K54" s="52" cm="1">
        <f t="array" ref="K54">IF(Settings!$E$18="C/LW/RW",VLOOKUP(B54,'C'!A1:F210,6,FALSE),VLOOKUP(B54,F!A1:F407,6,FALSE))</f>
        <v>15.217979725798557</v>
      </c>
      <c r="L54" s="54" cm="1">
        <f t="array" ref="L54">IFERROR(K54/H54,"N/A")</f>
        <v>1.7903505559763009</v>
      </c>
      <c r="M54" s="55">
        <v>35.200000000000003</v>
      </c>
      <c r="N54" s="55" cm="1">
        <f t="array" ref="N54">IFERROR(M54-A54,"N/A")</f>
        <v>-17.799999999999997</v>
      </c>
      <c r="O54" s="55"/>
      <c r="P54" s="56" t="str" cm="1">
        <f t="array" ref="P54">_xlfn.XLOOKUP($B54,ADP!A2:A671,ADP!G2:G671)</f>
        <v>-</v>
      </c>
      <c r="Q54" s="57" cm="1">
        <f t="array" ref="Q54">IF(Settings!$E$12="YES",VLOOKUP(B54,'Player Data'!A1:E673,5,FALSE),84)</f>
        <v>83.23</v>
      </c>
      <c r="R54" s="55" cm="1">
        <f t="array" ref="R54">VLOOKUP(B54,'Player Data'!$A1:$AE673,6,FALSE)</f>
        <v>21.4681413700457</v>
      </c>
      <c r="S54" s="57" cm="1">
        <f t="array" ref="S54">VLOOKUP(B54,'Player Data'!$A1:$AE673,7,FALSE)*$Q54*IFERROR((VLOOKUP(P54,Settings!$E$28:$F$33,2,FALSE)+1),1)</f>
        <v>33.216420445200058</v>
      </c>
      <c r="T54" s="57" cm="1">
        <f t="array" ref="T54">VLOOKUP(B54,'Player Data'!$A1:$AE673,8,FALSE)*$Q54*IFERROR((VLOOKUP(P54,Settings!$E$28:$F$33,2,FALSE)+1),1)</f>
        <v>54.913352688359481</v>
      </c>
      <c r="U54" s="57" cm="1">
        <f t="array" ref="U54">SUM(S54:T54)</f>
        <v>88.129773133559539</v>
      </c>
      <c r="V54" s="57" cm="1">
        <f t="array" ref="V54">VLOOKUP(B54,'Player Data'!$A1:$AE673,10,FALSE)*$Q54*IFERROR(((VLOOKUP(P54,Settings!$E$28:$F$33,2,FALSE)/2)+1),1)</f>
        <v>179.77095897179123</v>
      </c>
      <c r="W54" s="58" cm="1">
        <f t="array" ref="W54">VLOOKUP(B54,'Player Data'!$A1:$AE673,11,FALSE)*$Q54*IFERROR((VLOOKUP(P54,Settings!$E$28:$F$33,2,FALSE)+1),1)</f>
        <v>7.6343573533289577</v>
      </c>
      <c r="X54" s="57" cm="1">
        <f t="array" ref="X54">VLOOKUP(B54,'Player Data'!$A1:$AE673,12,FALSE)*$Q54*IFERROR((VLOOKUP(P54,Settings!$E$28:$F$33,2,FALSE)+1),1)</f>
        <v>21.475676885548079</v>
      </c>
      <c r="Y54" s="57" cm="1">
        <f t="array" ref="Y54">VLOOKUP(B54,'Player Data'!$A1:$AE673,13,FALSE)*$Q54</f>
        <v>6.1837933324750044E-2</v>
      </c>
      <c r="Z54" s="57" cm="1">
        <f t="array" ref="Z54">VLOOKUP(B54,'Player Data'!$A1:$AE673,14,FALSE)*$Q54</f>
        <v>0.39802516965106033</v>
      </c>
      <c r="AA54" s="57" cm="1">
        <f t="array" ref="AA54">VLOOKUP(B54,'Player Data'!$A1:$AE673,15,FALSE)*$Q54</f>
        <v>51.209370354216425</v>
      </c>
      <c r="AB54" s="57" cm="1">
        <f t="array" ref="AB54">VLOOKUP(B54,'Player Data'!$A1:$AE673,16,FALSE)*$Q54</f>
        <v>48.558331662099313</v>
      </c>
      <c r="AC54" s="57" cm="1">
        <f t="array" ref="AC54">VLOOKUP(B54,'Player Data'!$A1:$AE673,17,FALSE)*$Q54*IFERROR((VLOOKUP(P54,Settings!$E$28:$F$33,2,FALSE)+1),1)</f>
        <v>1.7974112297607971</v>
      </c>
      <c r="AD54" s="57" cm="1">
        <f t="array" ref="AD54">VLOOKUP(B54,'Player Data'!$A1:$AE673,18,FALSE)*$Q54</f>
        <v>42.245652715474534</v>
      </c>
      <c r="AE54" s="57" cm="1">
        <f t="array" ref="AE54">VLOOKUP(B54,'Player Data'!$A1:$AE673,19,FALSE)*$Q54*IFERROR((VLOOKUP(P54,Settings!$E$28:$F$33,2,FALSE)+1),1)</f>
        <v>5.7720092285103535</v>
      </c>
      <c r="AF54" s="57" cm="1">
        <f t="array" ref="AF54">VLOOKUP(B54,'Player Data'!$A1:$AE673,20,FALSE)*$Q54</f>
        <v>635.84615432939086</v>
      </c>
      <c r="AG54" s="57" cm="1">
        <f t="array" ref="AG54">VLOOKUP(B54,'Player Data'!$A1:$AE673,21,FALSE)*$Q54</f>
        <v>689.51462182138334</v>
      </c>
      <c r="AH54" s="59" cm="1">
        <f t="array" ref="AH54">VLOOKUP(B54,'Player Data'!$A1:$AE673,22,FALSE)</f>
        <v>0.47975326097703702</v>
      </c>
      <c r="AI54" s="55"/>
      <c r="AJ54" s="57"/>
      <c r="AK54" s="57"/>
      <c r="AL54" s="57"/>
      <c r="AM54" s="57"/>
      <c r="AN54" s="57"/>
      <c r="AO54" s="57"/>
      <c r="AP54" s="57"/>
      <c r="AQ54" s="60"/>
      <c r="AR54" s="61"/>
      <c r="AS54" s="55"/>
    </row>
    <row r="55" spans="1:45" ht="21.25" customHeight="1" x14ac:dyDescent="0.15">
      <c r="A55" s="62">
        <f t="shared" si="0"/>
        <v>54</v>
      </c>
      <c r="B55" s="10" t="s">
        <v>182</v>
      </c>
      <c r="C55" s="47" t="s">
        <v>183</v>
      </c>
      <c r="D55" s="48" t="str" cm="1">
        <f t="array" ref="D55">VLOOKUP(B55,'Player Data'!A1:D673,4,FALSE)</f>
        <v>LW</v>
      </c>
      <c r="E55" s="75" cm="1">
        <f t="array" ref="E55">VLOOKUP(B55,LW!A1:C210,3,FALSE)</f>
        <v>12</v>
      </c>
      <c r="F55" s="70" t="str" cm="1">
        <f t="array" ref="F55">VLOOKUP(B55,'Player Data'!A1:B673,2,FALSE)</f>
        <v>L.A</v>
      </c>
      <c r="G55" s="66" cm="1">
        <f t="array" ref="G55">VLOOKUP(B55,'Player Data'!A1:D673,3,FALSE)</f>
        <v>34</v>
      </c>
      <c r="H55" s="51" cm="1">
        <f t="array" ref="H55">IFERROR(VLOOKUP(B55,ADP!A1:F671,6,FALSE)/1000000,VLOOKUP(B55,ADP!A1:F671,6,FALSE))</f>
        <v>11</v>
      </c>
      <c r="I55" s="52">
        <f>IF(Settings!$E$15="POINTS",((R55*Q55)*Settings!$B$12)+(S55*Settings!$B$2)+(T55*Settings!$B$3)+(U55*Settings!$B$4)+(V55*Settings!$B$5)+(X55*Settings!$B$9)+(AA55*Settings!$B$6)+(W55*Settings!$B$8)+(AB55*Settings!$B$7)+(AC55*Settings!$B$14)+(AD55*Settings!$B$15)+(AE55*Settings!$B$16)+(AF55*Settings!$B$17)+(AG55*Settings!$B$18)+(Y55*Settings!$B$10)+(Z55*Settings!$B$11),VLOOKUP(B55,'Standard Deviations'!A$1:C$672,3,FALSE))</f>
        <v>414.13956054448539</v>
      </c>
      <c r="J55" s="53" cm="1">
        <f t="array" ref="J55">IF(D55="G",I55/AJ55,I55/Q55)</f>
        <v>4.9869295026128651</v>
      </c>
      <c r="K55" s="52" cm="1">
        <f t="array" ref="K55">IF(Settings!$E$18="C/LW/RW",VLOOKUP(B55,LW!A1:F210,6,FALSE),VLOOKUP(B55,F!A1:F407,6,FALSE))</f>
        <v>14.826567230765306</v>
      </c>
      <c r="L55" s="54" cm="1">
        <f t="array" ref="L55">IFERROR(K55/H55,"N/A")</f>
        <v>1.3478697482513915</v>
      </c>
      <c r="M55" s="55">
        <v>49.7</v>
      </c>
      <c r="N55" s="55" cm="1">
        <f t="array" ref="N55">IFERROR(M55-A55,"N/A")</f>
        <v>-4.2999999999999972</v>
      </c>
      <c r="O55" s="55"/>
      <c r="P55" s="56" t="str" cm="1">
        <f t="array" ref="P55">_xlfn.XLOOKUP($B55,ADP!A2:A671,ADP!G2:G671)</f>
        <v>- -</v>
      </c>
      <c r="Q55" s="57" cm="1">
        <f t="array" ref="Q55">IF(Settings!$E$12="YES",VLOOKUP(B55,'Player Data'!A1:E673,5,FALSE),84)</f>
        <v>83.045000000000002</v>
      </c>
      <c r="R55" s="55" cm="1">
        <f t="array" ref="R55">VLOOKUP(B55,'Player Data'!$A1:$AE673,6,FALSE)</f>
        <v>21.182555704681601</v>
      </c>
      <c r="S55" s="57" cm="1">
        <f t="array" ref="S55">VLOOKUP(B55,'Player Data'!$A1:$AE673,7,FALSE)*$Q55*IFERROR((VLOOKUP(P55,Settings!$E$28:$F$33,2,FALSE)+1),1)</f>
        <v>30.926228980261254</v>
      </c>
      <c r="T55" s="57" cm="1">
        <f t="array" ref="T55">VLOOKUP(B55,'Player Data'!$A1:$AE673,8,FALSE)*$Q55*IFERROR((VLOOKUP(P55,Settings!$E$28:$F$33,2,FALSE)+1),1)</f>
        <v>53.903991749635892</v>
      </c>
      <c r="U55" s="57" cm="1">
        <f t="array" ref="U55">SUM(S55:T55)</f>
        <v>84.83022072989715</v>
      </c>
      <c r="V55" s="57" cm="1">
        <f t="array" ref="V55">VLOOKUP(B55,'Player Data'!$A1:$AE673,10,FALSE)*$Q55*IFERROR(((VLOOKUP(P55,Settings!$E$28:$F$33,2,FALSE)/2)+1),1)</f>
        <v>245.86847857689108</v>
      </c>
      <c r="W55" s="58" cm="1">
        <f t="array" ref="W55">VLOOKUP(B55,'Player Data'!$A1:$AE673,11,FALSE)*$Q55*IFERROR((VLOOKUP(P55,Settings!$E$28:$F$33,2,FALSE)+1),1)</f>
        <v>6.6711431234789593</v>
      </c>
      <c r="X55" s="57" cm="1">
        <f t="array" ref="X55">VLOOKUP(B55,'Player Data'!$A1:$AE673,12,FALSE)*$Q55*IFERROR((VLOOKUP(P55,Settings!$E$28:$F$33,2,FALSE)+1),1)</f>
        <v>27.291841566483466</v>
      </c>
      <c r="Y55" s="57" cm="1">
        <f t="array" ref="Y55">VLOOKUP(B55,'Player Data'!$A1:$AE673,13,FALSE)*$Q55</f>
        <v>1.7373461722826702E-3</v>
      </c>
      <c r="Z55" s="57" cm="1">
        <f t="array" ref="Z55">VLOOKUP(B55,'Player Data'!$A1:$AE673,14,FALSE)*$Q55</f>
        <v>2.9014933325643148E-3</v>
      </c>
      <c r="AA55" s="57" cm="1">
        <f t="array" ref="AA55">VLOOKUP(B55,'Player Data'!$A1:$AE673,15,FALSE)*$Q55</f>
        <v>18.839832013064754</v>
      </c>
      <c r="AB55" s="57" cm="1">
        <f t="array" ref="AB55">VLOOKUP(B55,'Player Data'!$A1:$AE673,16,FALSE)*$Q55</f>
        <v>19.288851444644472</v>
      </c>
      <c r="AC55" s="57" cm="1">
        <f t="array" ref="AC55">VLOOKUP(B55,'Player Data'!$A1:$AE673,17,FALSE)*$Q55*IFERROR((VLOOKUP(P55,Settings!$E$28:$F$33,2,FALSE)+1),1)</f>
        <v>1.9075886578163153</v>
      </c>
      <c r="AD55" s="57" cm="1">
        <f t="array" ref="AD55">VLOOKUP(B55,'Player Data'!$A1:$AE673,18,FALSE)*$Q55</f>
        <v>25.467541281182143</v>
      </c>
      <c r="AE55" s="57" cm="1">
        <f t="array" ref="AE55">VLOOKUP(B55,'Player Data'!$A1:$AE673,19,FALSE)*$Q55*IFERROR((VLOOKUP(P55,Settings!$E$28:$F$33,2,FALSE)+1),1)</f>
        <v>4.8852358499806314</v>
      </c>
      <c r="AF55" s="57" cm="1">
        <f t="array" ref="AF55">VLOOKUP(B55,'Player Data'!$A1:$AE673,20,FALSE)*$Q55</f>
        <v>1.1075251093543081</v>
      </c>
      <c r="AG55" s="57" cm="1">
        <f t="array" ref="AG55">VLOOKUP(B55,'Player Data'!$A1:$AE673,21,FALSE)*$Q55</f>
        <v>1.4008248598524835</v>
      </c>
      <c r="AH55" s="59" cm="1">
        <f t="array" ref="AH55">VLOOKUP(B55,'Player Data'!$A1:$AE673,22,FALSE)</f>
        <v>0.44153532120740702</v>
      </c>
      <c r="AI55" s="55"/>
      <c r="AJ55" s="57"/>
      <c r="AK55" s="57"/>
      <c r="AL55" s="57"/>
      <c r="AM55" s="57"/>
      <c r="AN55" s="57"/>
      <c r="AO55" s="57"/>
      <c r="AP55" s="57"/>
      <c r="AQ55" s="60"/>
      <c r="AR55" s="61"/>
      <c r="AS55" s="55"/>
    </row>
    <row r="56" spans="1:45" ht="21.25" customHeight="1" x14ac:dyDescent="0.15">
      <c r="A56" s="62">
        <f t="shared" si="0"/>
        <v>55</v>
      </c>
      <c r="B56" s="10" t="s">
        <v>184</v>
      </c>
      <c r="C56" s="47" t="s">
        <v>147</v>
      </c>
      <c r="D56" s="48" t="str" cm="1">
        <f t="array" ref="D56">VLOOKUP(B56,'Player Data'!A1:D673,4,FALSE)</f>
        <v>D</v>
      </c>
      <c r="E56" s="68" cm="1">
        <f t="array" ref="E56">VLOOKUP(B56,D!A1:C204,3,FALSE)</f>
        <v>21</v>
      </c>
      <c r="F56" s="65" t="str" cm="1">
        <f t="array" ref="F56">VLOOKUP(B56,'Player Data'!A1:B673,2,FALSE)</f>
        <v>T.B</v>
      </c>
      <c r="G56" s="66" cm="1">
        <f t="array" ref="G56">VLOOKUP(B56,'Player Data'!A1:D673,3,FALSE)</f>
        <v>36</v>
      </c>
      <c r="H56" s="51" cm="1">
        <f t="array" ref="H56">IFERROR(VLOOKUP(B56,ADP!A1:F671,6,FALSE)/1000000,VLOOKUP(B56,ADP!A1:F671,6,FALSE))</f>
        <v>8.5</v>
      </c>
      <c r="I56" s="52">
        <f>IF(Settings!$E$15="POINTS",((R56*Q56)*Settings!$B$12)+(S56*Settings!$B$2)+(T56*Settings!$B$3)+(U56*Settings!$B$4)+(V56*Settings!$B$5)+(X56*Settings!$B$9)+(AA56*Settings!$B$6)+(W56*Settings!$B$8)+(AB56*Settings!$B$7)+(AC56*Settings!$B$14)+(AD56*Settings!$B$15)+(AE56*Settings!$B$16)+(AF56*Settings!$B$17)+(AG56*Settings!$B$18)+(U56*Settings!$B$13)+(Y56*Settings!$B$10)+(Z56*Settings!$B$11),VLOOKUP(B56,'Standard Deviations'!A$1:C$672,3,FALSE))</f>
        <v>321.28859498377631</v>
      </c>
      <c r="J56" s="53" cm="1">
        <f t="array" ref="J56">IF(D56="G",I56/AJ56,I56/Q56)</f>
        <v>3.9342263513595332</v>
      </c>
      <c r="K56" s="52" cm="1">
        <f t="array" ref="K56">VLOOKUP(B56,D!A1:F204,6,FALSE)</f>
        <v>14.634727639182245</v>
      </c>
      <c r="L56" s="54" cm="1">
        <f t="array" ref="L56">IFERROR(K56/H56,"N/A")</f>
        <v>1.7217326634332053</v>
      </c>
      <c r="M56" s="55">
        <v>85.1</v>
      </c>
      <c r="N56" s="55" cm="1">
        <f t="array" ref="N56">IFERROR(M56-A56,"N/A")</f>
        <v>30.099999999999994</v>
      </c>
      <c r="O56" s="55"/>
      <c r="P56" s="56" t="str" cm="1">
        <f t="array" ref="P56">_xlfn.XLOOKUP($B56,ADP!A2:A671,ADP!G2:G671)</f>
        <v>+</v>
      </c>
      <c r="Q56" s="57" cm="1">
        <f t="array" ref="Q56">IF(Settings!$E$12="YES",VLOOKUP(B56,'Player Data'!A1:E673,5,FALSE),84)</f>
        <v>81.665000000000006</v>
      </c>
      <c r="R56" s="55" cm="1">
        <f t="array" ref="R56">VLOOKUP(B56,'Player Data'!$A1:$AE673,6,FALSE)</f>
        <v>22.242102655337501</v>
      </c>
      <c r="S56" s="57" cm="1">
        <f t="array" ref="S56">VLOOKUP(B56,'Player Data'!$A1:$AE673,7,FALSE)*$Q56*IFERROR((VLOOKUP(P56,Settings!$E$28:$F$33,2,FALSE)+1),1)</f>
        <v>7.6215005533772127</v>
      </c>
      <c r="T56" s="57" cm="1">
        <f t="array" ref="T56">VLOOKUP(B56,'Player Data'!$A1:$AE673,8,FALSE)*$Q56*IFERROR((VLOOKUP(P56,Settings!$E$28:$F$33,2,FALSE)+1),1)</f>
        <v>46.543136479646883</v>
      </c>
      <c r="U56" s="57" cm="1">
        <f t="array" ref="U56">SUM(S56:T56)</f>
        <v>54.164637033024093</v>
      </c>
      <c r="V56" s="57" cm="1">
        <f t="array" ref="V56">VLOOKUP(B56,'Player Data'!$A1:$AE673,10,FALSE)*$Q56*IFERROR(((VLOOKUP(P56,Settings!$E$28:$F$33,2,FALSE)/2)+1),1)</f>
        <v>164.83443029451308</v>
      </c>
      <c r="W56" s="58" cm="1">
        <f t="array" ref="W56">VLOOKUP(B56,'Player Data'!$A1:$AE673,11,FALSE)*$Q56*IFERROR((VLOOKUP(P56,Settings!$E$28:$F$33,2,FALSE)+1),1)</f>
        <v>2.3969248830668377</v>
      </c>
      <c r="X56" s="57" cm="1">
        <f t="array" ref="X56">VLOOKUP(B56,'Player Data'!$A1:$AE673,12,FALSE)*$Q56*IFERROR((VLOOKUP(P56,Settings!$E$28:$F$33,2,FALSE)+1),1)</f>
        <v>18.291438841918691</v>
      </c>
      <c r="Y56" s="57" cm="1">
        <f t="array" ref="Y56">VLOOKUP(B56,'Player Data'!$A1:$AE673,13,FALSE)*$Q56</f>
        <v>5.7153958096511298E-3</v>
      </c>
      <c r="Z56" s="57" cm="1">
        <f t="array" ref="Z56">VLOOKUP(B56,'Player Data'!$A1:$AE673,14,FALSE)*$Q56</f>
        <v>2.5033003380066775E-2</v>
      </c>
      <c r="AA56" s="57" cm="1">
        <f t="array" ref="AA56">VLOOKUP(B56,'Player Data'!$A1:$AE673,15,FALSE)*$Q56</f>
        <v>116.12199378429742</v>
      </c>
      <c r="AB56" s="57" cm="1">
        <f t="array" ref="AB56">VLOOKUP(B56,'Player Data'!$A1:$AE673,16,FALSE)*$Q56</f>
        <v>48.31553418243687</v>
      </c>
      <c r="AC56" s="57" cm="1">
        <f t="array" ref="AC56">VLOOKUP(B56,'Player Data'!$A1:$AE673,17,FALSE)*$Q56*IFERROR((VLOOKUP(P56,Settings!$E$28:$F$33,2,FALSE)+1),1)</f>
        <v>8.6546415719060583</v>
      </c>
      <c r="AD56" s="57" cm="1">
        <f t="array" ref="AD56">VLOOKUP(B56,'Player Data'!$A1:$AE673,18,FALSE)*$Q56</f>
        <v>31.848037830410263</v>
      </c>
      <c r="AE56" s="57" cm="1">
        <f t="array" ref="AE56">VLOOKUP(B56,'Player Data'!$A1:$AE673,19,FALSE)*$Q56*IFERROR((VLOOKUP(P56,Settings!$E$28:$F$33,2,FALSE)+1),1)</f>
        <v>1.3528882832956612</v>
      </c>
      <c r="AF56" s="57" cm="1">
        <f t="array" ref="AF56">VLOOKUP(B56,'Player Data'!$A1:$AE673,20,FALSE)*$Q56</f>
        <v>0</v>
      </c>
      <c r="AG56" s="57" cm="1">
        <f t="array" ref="AG56">VLOOKUP(B56,'Player Data'!$A1:$AE673,21,FALSE)*$Q56</f>
        <v>0.7365644691327311</v>
      </c>
      <c r="AH56" s="59" cm="1">
        <f t="array" ref="AH56">VLOOKUP(B56,'Player Data'!$A1:$AE673,22,FALSE)</f>
        <v>0</v>
      </c>
      <c r="AI56" s="55"/>
      <c r="AJ56" s="57"/>
      <c r="AK56" s="57"/>
      <c r="AL56" s="57"/>
      <c r="AM56" s="57"/>
      <c r="AN56" s="57"/>
      <c r="AO56" s="57"/>
      <c r="AP56" s="57"/>
      <c r="AQ56" s="60"/>
      <c r="AR56" s="61"/>
      <c r="AS56" s="55"/>
    </row>
    <row r="57" spans="1:45" ht="21.25" customHeight="1" x14ac:dyDescent="0.15">
      <c r="A57" s="62">
        <f t="shared" si="0"/>
        <v>56</v>
      </c>
      <c r="B57" s="10" t="s">
        <v>185</v>
      </c>
      <c r="C57" s="47" t="s">
        <v>128</v>
      </c>
      <c r="D57" s="48" t="str" cm="1">
        <f t="array" ref="D57">VLOOKUP(B57,'Player Data'!A1:D673,4,FALSE)</f>
        <v>LW,RW</v>
      </c>
      <c r="E57" s="74" cm="1">
        <f t="array" ref="E57">VLOOKUP(B57,RW!A1:F210,3,FALSE)</f>
        <v>15</v>
      </c>
      <c r="F57" s="72" t="str" cm="1">
        <f t="array" ref="F57">VLOOKUP(B57,'Player Data'!A1:B673,2,FALSE)</f>
        <v>FLA</v>
      </c>
      <c r="G57" s="11" cm="1">
        <f t="array" ref="G57">VLOOKUP(B57,'Player Data'!A1:D673,3,FALSE)</f>
        <v>28</v>
      </c>
      <c r="H57" s="51" cm="1">
        <f t="array" ref="H57">IFERROR(VLOOKUP(B57,ADP!A1:F671,6,FALSE)/1000000,VLOOKUP(B57,ADP!A1:F671,6,FALSE))</f>
        <v>9.5</v>
      </c>
      <c r="I57" s="52">
        <f>IF(Settings!$E$15="POINTS",((R57*Q57)*Settings!$B$12)+(S57*Settings!$B$2)+(T57*Settings!$B$3)+(U57*Settings!$B$4)+(V57*Settings!$B$5)+(X57*Settings!$B$9)+(AA57*Settings!$B$6)+(W57*Settings!$B$8)+(AB57*Settings!$B$7)+(AC57*Settings!$B$14)+(AD57*Settings!$B$15)+(AE57*Settings!$B$16)+(AF57*Settings!$B$17)+(AG57*Settings!$B$18)+(Y57*Settings!$B$10)+(Z57*Settings!$B$11),VLOOKUP(B57,'Standard Deviations'!A$1:C$672,3,FALSE))</f>
        <v>409.03605123904606</v>
      </c>
      <c r="J57" s="53" cm="1">
        <f t="array" ref="J57">IF(D57="G",I57/AJ57,I57/Q57)</f>
        <v>5.321486388330789</v>
      </c>
      <c r="K57" s="52" cm="1">
        <f t="array" ref="K57">IF(Settings!$E$18="C/LW/RW",VLOOKUP(B57,RW!A1:F210,6,FALSE),VLOOKUP(B57,F!A1:F407,6,FALSE))</f>
        <v>14.092586545488587</v>
      </c>
      <c r="L57" s="54" cm="1">
        <f t="array" ref="L57">IFERROR(K57/H57,"N/A")</f>
        <v>1.4834301626830091</v>
      </c>
      <c r="M57" s="55">
        <v>33.299999999999997</v>
      </c>
      <c r="N57" s="55" cm="1">
        <f t="array" ref="N57">IFERROR(M57-A57,"N/A")</f>
        <v>-22.700000000000003</v>
      </c>
      <c r="O57" s="55"/>
      <c r="P57" s="56" t="str" cm="1">
        <f t="array" ref="P57">_xlfn.XLOOKUP($B57,ADP!A2:A671,ADP!G2:G671)</f>
        <v xml:space="preserve"> </v>
      </c>
      <c r="Q57" s="57" cm="1">
        <f t="array" ref="Q57">IF(Settings!$E$12="YES",VLOOKUP(B57,'Player Data'!A1:E673,5,FALSE),84)</f>
        <v>76.864999999999995</v>
      </c>
      <c r="R57" s="55" cm="1">
        <f t="array" ref="R57">VLOOKUP(B57,'Player Data'!$A1:$AE673,6,FALSE)</f>
        <v>18.759148280147901</v>
      </c>
      <c r="S57" s="57" cm="1">
        <f t="array" ref="S57">VLOOKUP(B57,'Player Data'!$A1:$AE673,7,FALSE)*$Q57*IFERROR((VLOOKUP(P57,Settings!$E$28:$F$33,2,FALSE)+1),1)</f>
        <v>29.446745234090539</v>
      </c>
      <c r="T57" s="57" cm="1">
        <f t="array" ref="T57">VLOOKUP(B57,'Player Data'!$A1:$AE673,8,FALSE)*$Q57*IFERROR((VLOOKUP(P57,Settings!$E$28:$F$33,2,FALSE)+1),1)</f>
        <v>53.194925457385239</v>
      </c>
      <c r="U57" s="57" cm="1">
        <f t="array" ref="U57">SUM(S57:T57)</f>
        <v>82.641670691475781</v>
      </c>
      <c r="V57" s="57" cm="1">
        <f t="array" ref="V57">VLOOKUP(B57,'Player Data'!$A1:$AE673,10,FALSE)*$Q57*IFERROR(((VLOOKUP(P57,Settings!$E$28:$F$33,2,FALSE)/2)+1),1)</f>
        <v>236.85044942817268</v>
      </c>
      <c r="W57" s="58" cm="1">
        <f t="array" ref="W57">VLOOKUP(B57,'Player Data'!$A1:$AE673,11,FALSE)*$Q57*IFERROR((VLOOKUP(P57,Settings!$E$28:$F$33,2,FALSE)+1),1)</f>
        <v>9.9848811587416062</v>
      </c>
      <c r="X57" s="57" cm="1">
        <f t="array" ref="X57">VLOOKUP(B57,'Player Data'!$A1:$AE673,12,FALSE)*$Q57*IFERROR((VLOOKUP(P57,Settings!$E$28:$F$33,2,FALSE)+1),1)</f>
        <v>31.094047393058929</v>
      </c>
      <c r="Y57" s="57" cm="1">
        <f t="array" ref="Y57">VLOOKUP(B57,'Player Data'!$A1:$AE673,13,FALSE)*$Q57</f>
        <v>4.3013774593357992E-2</v>
      </c>
      <c r="Z57" s="57" cm="1">
        <f t="array" ref="Z57">VLOOKUP(B57,'Player Data'!$A1:$AE673,14,FALSE)*$Q57</f>
        <v>5.4020076433438168E-2</v>
      </c>
      <c r="AA57" s="57" cm="1">
        <f t="array" ref="AA57">VLOOKUP(B57,'Player Data'!$A1:$AE673,15,FALSE)*$Q57</f>
        <v>23.075493962079936</v>
      </c>
      <c r="AB57" s="57" cm="1">
        <f t="array" ref="AB57">VLOOKUP(B57,'Player Data'!$A1:$AE673,16,FALSE)*$Q57</f>
        <v>95.925945201176063</v>
      </c>
      <c r="AC57" s="57" cm="1">
        <f t="array" ref="AC57">VLOOKUP(B57,'Player Data'!$A1:$AE673,17,FALSE)*$Q57*IFERROR((VLOOKUP(P57,Settings!$E$28:$F$33,2,FALSE)+1),1)</f>
        <v>5.2311987840447198</v>
      </c>
      <c r="AD57" s="57" cm="1">
        <f t="array" ref="AD57">VLOOKUP(B57,'Player Data'!$A1:$AE673,18,FALSE)*$Q57</f>
        <v>63.509282675527508</v>
      </c>
      <c r="AE57" s="57" cm="1">
        <f t="array" ref="AE57">VLOOKUP(B57,'Player Data'!$A1:$AE673,19,FALSE)*$Q57*IFERROR((VLOOKUP(P57,Settings!$E$28:$F$33,2,FALSE)+1),1)</f>
        <v>4.9027584621994347</v>
      </c>
      <c r="AF57" s="57" cm="1">
        <f t="array" ref="AF57">VLOOKUP(B57,'Player Data'!$A1:$AE673,20,FALSE)*$Q57</f>
        <v>5.7448142863334049</v>
      </c>
      <c r="AG57" s="57" cm="1">
        <f t="array" ref="AG57">VLOOKUP(B57,'Player Data'!$A1:$AE673,21,FALSE)*$Q57</f>
        <v>14.318334340573358</v>
      </c>
      <c r="AH57" s="59" cm="1">
        <f t="array" ref="AH57">VLOOKUP(B57,'Player Data'!$A1:$AE673,22,FALSE)</f>
        <v>0.28633662607817301</v>
      </c>
      <c r="AI57" s="55"/>
      <c r="AJ57" s="57"/>
      <c r="AK57" s="57"/>
      <c r="AL57" s="57"/>
      <c r="AM57" s="57"/>
      <c r="AN57" s="57"/>
      <c r="AO57" s="57"/>
      <c r="AP57" s="57"/>
      <c r="AQ57" s="60"/>
      <c r="AR57" s="61"/>
      <c r="AS57" s="55"/>
    </row>
    <row r="58" spans="1:45" ht="21.25" customHeight="1" x14ac:dyDescent="0.15">
      <c r="A58" s="62">
        <f t="shared" si="0"/>
        <v>57</v>
      </c>
      <c r="B58" s="10" t="s">
        <v>186</v>
      </c>
      <c r="C58" s="47" t="s">
        <v>128</v>
      </c>
      <c r="D58" s="48" t="str" cm="1">
        <f t="array" ref="D58">VLOOKUP(B58,'Player Data'!A1:D673,4,FALSE)</f>
        <v>D</v>
      </c>
      <c r="E58" s="68" cm="1">
        <f t="array" ref="E58">VLOOKUP(B58,D!A1:C204,3,FALSE)</f>
        <v>22</v>
      </c>
      <c r="F58" s="72" t="str" cm="1">
        <f t="array" ref="F58">VLOOKUP(B58,'Player Data'!A1:B673,2,FALSE)</f>
        <v>BOS</v>
      </c>
      <c r="G58" s="11" cm="1">
        <f t="array" ref="G58">VLOOKUP(B58,'Player Data'!A1:D673,3,FALSE)</f>
        <v>28</v>
      </c>
      <c r="H58" s="51" cm="1">
        <f t="array" ref="H58">IFERROR(VLOOKUP(B58,ADP!A1:F671,6,FALSE)/1000000,VLOOKUP(B58,ADP!A1:F671,6,FALSE))</f>
        <v>9.5</v>
      </c>
      <c r="I58" s="52">
        <f>IF(Settings!$E$15="POINTS",((R58*Q58)*Settings!$B$12)+(S58*Settings!$B$2)+(T58*Settings!$B$3)+(U58*Settings!$B$4)+(V58*Settings!$B$5)+(X58*Settings!$B$9)+(AA58*Settings!$B$6)+(W58*Settings!$B$8)+(AB58*Settings!$B$7)+(AC58*Settings!$B$14)+(AD58*Settings!$B$15)+(AE58*Settings!$B$16)+(AF58*Settings!$B$17)+(AG58*Settings!$B$18)+(U58*Settings!$B$13)+(Y58*Settings!$B$10)+(Z58*Settings!$B$11),VLOOKUP(B58,'Standard Deviations'!A$1:C$672,3,FALSE))</f>
        <v>320.0721112128553</v>
      </c>
      <c r="J58" s="53" cm="1">
        <f t="array" ref="J58">IF(D58="G",I58/AJ58,I58/Q58)</f>
        <v>4.1827189547238435</v>
      </c>
      <c r="K58" s="52" cm="1">
        <f t="array" ref="K58">VLOOKUP(B58,D!A1:F204,6,FALSE)</f>
        <v>13.418243868261243</v>
      </c>
      <c r="L58" s="54" cm="1">
        <f t="array" ref="L58">IFERROR(K58/H58,"N/A")</f>
        <v>1.4124467229748676</v>
      </c>
      <c r="M58" s="55">
        <v>99.6</v>
      </c>
      <c r="N58" s="55" cm="1">
        <f t="array" ref="N58">IFERROR(M58-A58,"N/A")</f>
        <v>42.599999999999994</v>
      </c>
      <c r="O58" s="55"/>
      <c r="P58" s="56" t="str" cm="1">
        <f t="array" ref="P58">_xlfn.XLOOKUP($B58,ADP!A2:A671,ADP!G2:G671)</f>
        <v xml:space="preserve"> </v>
      </c>
      <c r="Q58" s="57" cm="1">
        <f t="array" ref="Q58">IF(Settings!$E$12="YES",VLOOKUP(B58,'Player Data'!A1:E673,5,FALSE),84)</f>
        <v>76.522499999999994</v>
      </c>
      <c r="R58" s="82" cm="1">
        <f t="array" ref="R58">VLOOKUP(B58,'Player Data'!$A1:$AE673,6,FALSE)</f>
        <v>25.740906371641</v>
      </c>
      <c r="S58" s="57" cm="1">
        <f t="array" ref="S58">VLOOKUP(B58,'Player Data'!$A1:$AE673,7,FALSE)*$Q58*IFERROR((VLOOKUP(P58,Settings!$E$28:$F$33,2,FALSE)+1),1)</f>
        <v>11.023467267907609</v>
      </c>
      <c r="T58" s="57" cm="1">
        <f t="array" ref="T58">VLOOKUP(B58,'Player Data'!$A1:$AE673,8,FALSE)*$Q58*IFERROR((VLOOKUP(P58,Settings!$E$28:$F$33,2,FALSE)+1),1)</f>
        <v>42.762433563114065</v>
      </c>
      <c r="U58" s="57" cm="1">
        <f t="array" ref="U58">SUM(S58:T58)</f>
        <v>53.785900831021678</v>
      </c>
      <c r="V58" s="57" cm="1">
        <f t="array" ref="V58">VLOOKUP(B58,'Player Data'!$A1:$AE673,10,FALSE)*$Q58*IFERROR(((VLOOKUP(P58,Settings!$E$28:$F$33,2,FALSE)/2)+1),1)</f>
        <v>138.74340553148258</v>
      </c>
      <c r="W58" s="58" cm="1">
        <f t="array" ref="W58">VLOOKUP(B58,'Player Data'!$A1:$AE673,11,FALSE)*$Q58*IFERROR((VLOOKUP(P58,Settings!$E$28:$F$33,2,FALSE)+1),1)</f>
        <v>2.1491189886762387</v>
      </c>
      <c r="X58" s="57" cm="1">
        <f t="array" ref="X58">VLOOKUP(B58,'Player Data'!$A1:$AE673,12,FALSE)*$Q58*IFERROR((VLOOKUP(P58,Settings!$E$28:$F$33,2,FALSE)+1),1)</f>
        <v>17.513404244718178</v>
      </c>
      <c r="Y58" s="57" cm="1">
        <f t="array" ref="Y58">VLOOKUP(B58,'Player Data'!$A1:$AE673,13,FALSE)*$Q58</f>
        <v>0.30051555381021761</v>
      </c>
      <c r="Z58" s="57" cm="1">
        <f t="array" ref="Z58">VLOOKUP(B58,'Player Data'!$A1:$AE673,14,FALSE)*$Q58</f>
        <v>0.42497985451050552</v>
      </c>
      <c r="AA58" s="57" cm="1">
        <f t="array" ref="AA58">VLOOKUP(B58,'Player Data'!$A1:$AE673,15,FALSE)*$Q58</f>
        <v>142.80864370964056</v>
      </c>
      <c r="AB58" s="57" cm="1">
        <f t="array" ref="AB58">VLOOKUP(B58,'Player Data'!$A1:$AE673,16,FALSE)*$Q58</f>
        <v>98.198343414254381</v>
      </c>
      <c r="AC58" s="57" cm="1">
        <f t="array" ref="AC58">VLOOKUP(B58,'Player Data'!$A1:$AE673,17,FALSE)*$Q58*IFERROR((VLOOKUP(P58,Settings!$E$28:$F$33,2,FALSE)+1),1)</f>
        <v>-0.6129484195830267</v>
      </c>
      <c r="AD58" s="57" cm="1">
        <f t="array" ref="AD58">VLOOKUP(B58,'Player Data'!$A1:$AE673,18,FALSE)*$Q58</f>
        <v>69.141889825731539</v>
      </c>
      <c r="AE58" s="57" cm="1">
        <f t="array" ref="AE58">VLOOKUP(B58,'Player Data'!$A1:$AE673,19,FALSE)*$Q58*IFERROR((VLOOKUP(P58,Settings!$E$28:$F$33,2,FALSE)+1),1)</f>
        <v>1.4839976886934434</v>
      </c>
      <c r="AF58" s="57" cm="1">
        <f t="array" ref="AF58">VLOOKUP(B58,'Player Data'!$A1:$AE673,20,FALSE)*$Q58</f>
        <v>0</v>
      </c>
      <c r="AG58" s="57" cm="1">
        <f t="array" ref="AG58">VLOOKUP(B58,'Player Data'!$A1:$AE673,21,FALSE)*$Q58</f>
        <v>0</v>
      </c>
      <c r="AH58" s="59" cm="1">
        <f t="array" ref="AH58">VLOOKUP(B58,'Player Data'!$A1:$AE673,22,FALSE)</f>
        <v>0</v>
      </c>
      <c r="AI58" s="55"/>
      <c r="AJ58" s="57"/>
      <c r="AK58" s="57"/>
      <c r="AL58" s="57"/>
      <c r="AM58" s="57"/>
      <c r="AN58" s="57"/>
      <c r="AO58" s="57"/>
      <c r="AP58" s="57"/>
      <c r="AQ58" s="60"/>
      <c r="AR58" s="61"/>
      <c r="AS58" s="55"/>
    </row>
    <row r="59" spans="1:45" ht="21.25" customHeight="1" x14ac:dyDescent="0.15">
      <c r="A59" s="62">
        <f t="shared" si="0"/>
        <v>58</v>
      </c>
      <c r="B59" s="10" t="s">
        <v>187</v>
      </c>
      <c r="C59" s="47" t="s">
        <v>128</v>
      </c>
      <c r="D59" s="48" t="str" cm="1">
        <f t="array" ref="D59">VLOOKUP(B59,'Player Data'!A1:D673,4,FALSE)</f>
        <v>D</v>
      </c>
      <c r="E59" s="68" cm="1">
        <f t="array" ref="E59">VLOOKUP(B59,D!A1:C204,3,FALSE)</f>
        <v>23</v>
      </c>
      <c r="F59" s="56" t="str" cm="1">
        <f t="array" ref="F59">VLOOKUP(B59,'Player Data'!A1:B673,2,FALSE)</f>
        <v>UTA</v>
      </c>
      <c r="G59" s="11" cm="1">
        <f t="array" ref="G59">VLOOKUP(B59,'Player Data'!A1:D673,3,FALSE)</f>
        <v>28</v>
      </c>
      <c r="H59" s="51" cm="1">
        <f t="array" ref="H59">IFERROR(VLOOKUP(B59,ADP!A1:F671,6,FALSE)/1000000,VLOOKUP(B59,ADP!A1:F671,6,FALSE))</f>
        <v>8.5</v>
      </c>
      <c r="I59" s="52">
        <f>IF(Settings!$E$15="POINTS",((R59*Q59)*Settings!$B$12)+(S59*Settings!$B$2)+(T59*Settings!$B$3)+(U59*Settings!$B$4)+(V59*Settings!$B$5)+(X59*Settings!$B$9)+(AA59*Settings!$B$6)+(W59*Settings!$B$8)+(AB59*Settings!$B$7)+(AC59*Settings!$B$14)+(AD59*Settings!$B$15)+(AE59*Settings!$B$16)+(AF59*Settings!$B$17)+(AG59*Settings!$B$18)+(U59*Settings!$B$13)+(Y59*Settings!$B$10)+(Z59*Settings!$B$11),VLOOKUP(B59,'Standard Deviations'!A$1:C$672,3,FALSE))</f>
        <v>319.44286876672697</v>
      </c>
      <c r="J59" s="53" cm="1">
        <f t="array" ref="J59">IF(D59="G",I59/AJ59,I59/Q59)</f>
        <v>4.1042349759641148</v>
      </c>
      <c r="K59" s="52" cm="1">
        <f t="array" ref="K59">VLOOKUP(B59,D!A1:F204,6,FALSE)</f>
        <v>12.789001422132912</v>
      </c>
      <c r="L59" s="54" cm="1">
        <f t="array" ref="L59">IFERROR(K59/H59,"N/A")</f>
        <v>1.5045884026038721</v>
      </c>
      <c r="M59" s="55">
        <v>93</v>
      </c>
      <c r="N59" s="55" cm="1">
        <f t="array" ref="N59">IFERROR(M59-A59,"N/A")</f>
        <v>35</v>
      </c>
      <c r="O59" s="55"/>
      <c r="P59" s="56" t="str" cm="1">
        <f t="array" ref="P59">_xlfn.XLOOKUP($B59,ADP!A2:A671,ADP!G2:G671)</f>
        <v xml:space="preserve"> </v>
      </c>
      <c r="Q59" s="57" cm="1">
        <f t="array" ref="Q59">IF(Settings!$E$12="YES",VLOOKUP(B59,'Player Data'!A1:E673,5,FALSE),84)</f>
        <v>77.832499999999996</v>
      </c>
      <c r="R59" s="55" cm="1">
        <f t="array" ref="R59">VLOOKUP(B59,'Player Data'!$A1:$AE673,6,FALSE)</f>
        <v>24.0999052210854</v>
      </c>
      <c r="S59" s="57" cm="1">
        <f t="array" ref="S59">VLOOKUP(B59,'Player Data'!$A1:$AE673,7,FALSE)*$Q59*IFERROR((VLOOKUP(P59,Settings!$E$28:$F$33,2,FALSE)+1),1)</f>
        <v>10.560214180146476</v>
      </c>
      <c r="T59" s="57" cm="1">
        <f t="array" ref="T59">VLOOKUP(B59,'Player Data'!$A1:$AE673,8,FALSE)*$Q59*IFERROR((VLOOKUP(P59,Settings!$E$28:$F$33,2,FALSE)+1),1)</f>
        <v>42.193628640818368</v>
      </c>
      <c r="U59" s="57" cm="1">
        <f t="array" ref="U59">SUM(S59:T59)</f>
        <v>52.753842820964842</v>
      </c>
      <c r="V59" s="57" cm="1">
        <f t="array" ref="V59">VLOOKUP(B59,'Player Data'!$A1:$AE673,10,FALSE)*$Q59*IFERROR(((VLOOKUP(P59,Settings!$E$28:$F$33,2,FALSE)/2)+1),1)</f>
        <v>144.87437882518248</v>
      </c>
      <c r="W59" s="58" cm="1">
        <f t="array" ref="W59">VLOOKUP(B59,'Player Data'!$A1:$AE673,11,FALSE)*$Q59*IFERROR((VLOOKUP(P59,Settings!$E$28:$F$33,2,FALSE)+1),1)</f>
        <v>3.5650345694209689</v>
      </c>
      <c r="X59" s="57" cm="1">
        <f t="array" ref="X59">VLOOKUP(B59,'Player Data'!$A1:$AE673,12,FALSE)*$Q59*IFERROR((VLOOKUP(P59,Settings!$E$28:$F$33,2,FALSE)+1),1)</f>
        <v>23.333475926661226</v>
      </c>
      <c r="Y59" s="57" cm="1">
        <f t="array" ref="Y59">VLOOKUP(B59,'Player Data'!$A1:$AE673,13,FALSE)*$Q59</f>
        <v>2.0139384831148945E-2</v>
      </c>
      <c r="Z59" s="57" cm="1">
        <f t="array" ref="Z59">VLOOKUP(B59,'Player Data'!$A1:$AE673,14,FALSE)*$Q59</f>
        <v>1.0246402711190736</v>
      </c>
      <c r="AA59" s="57" cm="1">
        <f t="array" ref="AA59">VLOOKUP(B59,'Player Data'!$A1:$AE673,15,FALSE)*$Q59</f>
        <v>128.77206938692171</v>
      </c>
      <c r="AB59" s="57" cm="1">
        <f t="array" ref="AB59">VLOOKUP(B59,'Player Data'!$A1:$AE673,16,FALSE)*$Q59</f>
        <v>53.377027785746662</v>
      </c>
      <c r="AC59" s="57" cm="1">
        <f t="array" ref="AC59">VLOOKUP(B59,'Player Data'!$A1:$AE673,17,FALSE)*$Q59*IFERROR((VLOOKUP(P59,Settings!$E$28:$F$33,2,FALSE)+1),1)</f>
        <v>-2.2987686593998399E-2</v>
      </c>
      <c r="AD59" s="57" cm="1">
        <f t="array" ref="AD59">VLOOKUP(B59,'Player Data'!$A1:$AE673,18,FALSE)*$Q59</f>
        <v>40.596956543343559</v>
      </c>
      <c r="AE59" s="57" cm="1">
        <f t="array" ref="AE59">VLOOKUP(B59,'Player Data'!$A1:$AE673,19,FALSE)*$Q59*IFERROR((VLOOKUP(P59,Settings!$E$28:$F$33,2,FALSE)+1),1)</f>
        <v>1.7070016679444864</v>
      </c>
      <c r="AF59" s="57" cm="1">
        <f t="array" ref="AF59">VLOOKUP(B59,'Player Data'!$A1:$AE673,20,FALSE)*$Q59</f>
        <v>0</v>
      </c>
      <c r="AG59" s="57" cm="1">
        <f t="array" ref="AG59">VLOOKUP(B59,'Player Data'!$A1:$AE673,21,FALSE)*$Q59</f>
        <v>0</v>
      </c>
      <c r="AH59" s="59" cm="1">
        <f t="array" ref="AH59">VLOOKUP(B59,'Player Data'!$A1:$AE673,22,FALSE)</f>
        <v>0</v>
      </c>
      <c r="AI59" s="55"/>
      <c r="AJ59" s="57"/>
      <c r="AK59" s="57"/>
      <c r="AL59" s="57"/>
      <c r="AM59" s="57"/>
      <c r="AN59" s="57"/>
      <c r="AO59" s="57"/>
      <c r="AP59" s="57"/>
      <c r="AQ59" s="60"/>
      <c r="AR59" s="61"/>
      <c r="AS59" s="55"/>
    </row>
    <row r="60" spans="1:45" ht="21.25" customHeight="1" x14ac:dyDescent="0.15">
      <c r="A60" s="62">
        <f t="shared" si="0"/>
        <v>59</v>
      </c>
      <c r="B60" s="10" t="s">
        <v>188</v>
      </c>
      <c r="C60" s="47" t="s">
        <v>128</v>
      </c>
      <c r="D60" s="48" t="str" cm="1">
        <f t="array" ref="D60">VLOOKUP(B60,'Player Data'!A1:D673,4,FALSE)</f>
        <v>C,LW,RW</v>
      </c>
      <c r="E60" s="74" cm="1">
        <f t="array" ref="E60">VLOOKUP(B60,RW!A1:F210,3,FALSE)</f>
        <v>16</v>
      </c>
      <c r="F60" s="63" t="str" cm="1">
        <f t="array" ref="F60">VLOOKUP(B60,'Player Data'!A1:B673,2,FALSE)</f>
        <v>VGK</v>
      </c>
      <c r="G60" s="11" cm="1">
        <f t="array" ref="G60">VLOOKUP(B60,'Player Data'!A1:D673,3,FALSE)</f>
        <v>29</v>
      </c>
      <c r="H60" s="51" cm="1">
        <f t="array" ref="H60">IFERROR(VLOOKUP(B60,ADP!A1:F671,6,FALSE)/1000000,VLOOKUP(B60,ADP!A1:F671,6,FALSE))</f>
        <v>12</v>
      </c>
      <c r="I60" s="52">
        <f>IF(Settings!$E$15="POINTS",((R60*Q60)*Settings!$B$12)+(S60*Settings!$B$2)+(T60*Settings!$B$3)+(U60*Settings!$B$4)+(V60*Settings!$B$5)+(X60*Settings!$B$9)+(AA60*Settings!$B$6)+(W60*Settings!$B$8)+(AB60*Settings!$B$7)+(AC60*Settings!$B$14)+(AD60*Settings!$B$15)+(AE60*Settings!$B$16)+(AF60*Settings!$B$17)+(AG60*Settings!$B$18)+(Y60*Settings!$B$10)+(Z60*Settings!$B$11),VLOOKUP(B60,'Standard Deviations'!A$1:C$672,3,FALSE))</f>
        <v>407.01221704076733</v>
      </c>
      <c r="J60" s="53" cm="1">
        <f t="array" ref="J60">IF(D60="G",I60/AJ60,I60/Q60)</f>
        <v>4.938569641943424</v>
      </c>
      <c r="K60" s="52" cm="1">
        <f t="array" ref="K60">IF(Settings!$E$18="C/LW/RW",VLOOKUP(B60,RW!A1:F210,6,FALSE),VLOOKUP(B60,F!A1:F407,6,FALSE))</f>
        <v>12.068752347209852</v>
      </c>
      <c r="L60" s="54" cm="1">
        <f t="array" ref="L60">IFERROR(K60/H60,"N/A")</f>
        <v>1.0057293622674877</v>
      </c>
      <c r="M60" s="55">
        <v>44.6</v>
      </c>
      <c r="N60" s="55" cm="1">
        <f t="array" ref="N60">IFERROR(M60-A60,"N/A")</f>
        <v>-14.399999999999999</v>
      </c>
      <c r="O60" s="55"/>
      <c r="P60" s="56" t="str" cm="1">
        <f t="array" ref="P60">_xlfn.XLOOKUP($B60,ADP!A2:A671,ADP!G2:G671)</f>
        <v xml:space="preserve"> </v>
      </c>
      <c r="Q60" s="57" cm="1">
        <f t="array" ref="Q60">IF(Settings!$E$12="YES",VLOOKUP(B60,'Player Data'!A1:E673,5,FALSE),84)</f>
        <v>82.415000000000006</v>
      </c>
      <c r="R60" s="55" cm="1">
        <f t="array" ref="R60">VLOOKUP(B60,'Player Data'!$A1:$AE673,6,FALSE)</f>
        <v>19.9358716715127</v>
      </c>
      <c r="S60" s="57" cm="1">
        <f t="array" ref="S60">VLOOKUP(B60,'Player Data'!$A1:$AE673,7,FALSE)*$Q60*IFERROR((VLOOKUP(P60,Settings!$E$28:$F$33,2,FALSE)+1),1)</f>
        <v>25.796524891113592</v>
      </c>
      <c r="T60" s="57" cm="1">
        <f t="array" ref="T60">VLOOKUP(B60,'Player Data'!$A1:$AE673,8,FALSE)*$Q60*IFERROR((VLOOKUP(P60,Settings!$E$28:$F$33,2,FALSE)+1),1)</f>
        <v>62.985967132969364</v>
      </c>
      <c r="U60" s="57" cm="1">
        <f t="array" ref="U60">SUM(S60:T60)</f>
        <v>88.782492024082956</v>
      </c>
      <c r="V60" s="57" cm="1">
        <f t="array" ref="V60">VLOOKUP(B60,'Player Data'!$A1:$AE673,10,FALSE)*$Q60*IFERROR(((VLOOKUP(P60,Settings!$E$28:$F$33,2,FALSE)/2)+1),1)</f>
        <v>173.96753795644673</v>
      </c>
      <c r="W60" s="58" cm="1">
        <f t="array" ref="W60">VLOOKUP(B60,'Player Data'!$A1:$AE673,11,FALSE)*$Q60*IFERROR((VLOOKUP(P60,Settings!$E$28:$F$33,2,FALSE)+1),1)</f>
        <v>6.8587203427392396</v>
      </c>
      <c r="X60" s="57" cm="1">
        <f t="array" ref="X60">VLOOKUP(B60,'Player Data'!$A1:$AE673,12,FALSE)*$Q60*IFERROR((VLOOKUP(P60,Settings!$E$28:$F$33,2,FALSE)+1),1)</f>
        <v>30.448383277202147</v>
      </c>
      <c r="Y60" s="57" cm="1">
        <f t="array" ref="Y60">VLOOKUP(B60,'Player Data'!$A1:$AE673,13,FALSE)*$Q60</f>
        <v>0.35768121767139693</v>
      </c>
      <c r="Z60" s="57" cm="1">
        <f t="array" ref="Z60">VLOOKUP(B60,'Player Data'!$A1:$AE673,14,FALSE)*$Q60</f>
        <v>0.91718237740633568</v>
      </c>
      <c r="AA60" s="57" cm="1">
        <f t="array" ref="AA60">VLOOKUP(B60,'Player Data'!$A1:$AE673,15,FALSE)*$Q60</f>
        <v>44.630812671373171</v>
      </c>
      <c r="AB60" s="57" cm="1">
        <f t="array" ref="AB60">VLOOKUP(B60,'Player Data'!$A1:$AE673,16,FALSE)*$Q60</f>
        <v>38.342311324531792</v>
      </c>
      <c r="AC60" s="57" cm="1">
        <f t="array" ref="AC60">VLOOKUP(B60,'Player Data'!$A1:$AE673,17,FALSE)*$Q60*IFERROR((VLOOKUP(P60,Settings!$E$28:$F$33,2,FALSE)+1),1)</f>
        <v>7.1275183685491346</v>
      </c>
      <c r="AD60" s="57" cm="1">
        <f t="array" ref="AD60">VLOOKUP(B60,'Player Data'!$A1:$AE673,18,FALSE)*$Q60</f>
        <v>23.048231157505899</v>
      </c>
      <c r="AE60" s="57" cm="1">
        <f t="array" ref="AE60">VLOOKUP(B60,'Player Data'!$A1:$AE673,19,FALSE)*$Q60*IFERROR((VLOOKUP(P60,Settings!$E$28:$F$33,2,FALSE)+1),1)</f>
        <v>4.9213947825639766</v>
      </c>
      <c r="AF60" s="57" cm="1">
        <f t="array" ref="AF60">VLOOKUP(B60,'Player Data'!$A1:$AE673,20,FALSE)*$Q60</f>
        <v>88.016263807208588</v>
      </c>
      <c r="AG60" s="57" cm="1">
        <f t="array" ref="AG60">VLOOKUP(B60,'Player Data'!$A1:$AE673,21,FALSE)*$Q60</f>
        <v>188.15686855941084</v>
      </c>
      <c r="AH60" s="59" cm="1">
        <f t="array" ref="AH60">VLOOKUP(B60,'Player Data'!$A1:$AE673,22,FALSE)</f>
        <v>0.31869958910545598</v>
      </c>
      <c r="AI60" s="55"/>
      <c r="AJ60" s="57"/>
      <c r="AK60" s="57"/>
      <c r="AL60" s="57"/>
      <c r="AM60" s="57"/>
      <c r="AN60" s="57"/>
      <c r="AO60" s="57"/>
      <c r="AP60" s="57"/>
      <c r="AQ60" s="60"/>
      <c r="AR60" s="61"/>
      <c r="AS60" s="55"/>
    </row>
    <row r="61" spans="1:45" ht="21.25" customHeight="1" x14ac:dyDescent="0.15">
      <c r="A61" s="62">
        <f t="shared" si="0"/>
        <v>60</v>
      </c>
      <c r="B61" s="10" t="s">
        <v>189</v>
      </c>
      <c r="C61" s="47" t="s">
        <v>147</v>
      </c>
      <c r="D61" s="48" t="str" cm="1">
        <f t="array" ref="D61">VLOOKUP(B61,'Player Data'!A1:D673,4,FALSE)</f>
        <v>D</v>
      </c>
      <c r="E61" s="68" cm="1">
        <f t="array" ref="E61">VLOOKUP(B61,D!A1:C204,3,FALSE)</f>
        <v>24</v>
      </c>
      <c r="F61" s="72" t="str" cm="1">
        <f t="array" ref="F61">VLOOKUP(B61,'Player Data'!A1:B673,2,FALSE)</f>
        <v>PIT</v>
      </c>
      <c r="G61" s="66" cm="1">
        <f t="array" ref="G61">VLOOKUP(B61,'Player Data'!A1:D673,3,FALSE)</f>
        <v>36</v>
      </c>
      <c r="H61" s="67" cm="1">
        <f t="array" ref="H61">IFERROR(VLOOKUP(B61,ADP!A1:F671,6,FALSE)/1000000,VLOOKUP(B61,ADP!A1:F671,6,FALSE))</f>
        <v>10</v>
      </c>
      <c r="I61" s="52">
        <f>IF(Settings!$E$15="POINTS",((R61*Q61)*Settings!$B$12)+(S61*Settings!$B$2)+(T61*Settings!$B$3)+(U61*Settings!$B$4)+(V61*Settings!$B$5)+(X61*Settings!$B$9)+(AA61*Settings!$B$6)+(W61*Settings!$B$8)+(AB61*Settings!$B$7)+(AC61*Settings!$B$14)+(AD61*Settings!$B$15)+(AE61*Settings!$B$16)+(AF61*Settings!$B$17)+(AG61*Settings!$B$18)+(U61*Settings!$B$13)+(Y61*Settings!$B$10)+(Z61*Settings!$B$11),VLOOKUP(B61,'Standard Deviations'!A$1:C$672,3,FALSE))</f>
        <v>317.03617166051066</v>
      </c>
      <c r="J61" s="53" cm="1">
        <f t="array" ref="J61">IF(D61="G",I61/AJ61,I61/Q61)</f>
        <v>3.82951739888885</v>
      </c>
      <c r="K61" s="52" cm="1">
        <f t="array" ref="K61">VLOOKUP(B61,D!A1:F204,6,FALSE)</f>
        <v>10.382304315916599</v>
      </c>
      <c r="L61" s="54" cm="1">
        <f t="array" ref="L61">IFERROR(K61/H61,"N/A")</f>
        <v>1.03823043159166</v>
      </c>
      <c r="M61" s="55">
        <v>75.099999999999994</v>
      </c>
      <c r="N61" s="55" cm="1">
        <f t="array" ref="N61">IFERROR(M61-A61,"N/A")</f>
        <v>15.099999999999994</v>
      </c>
      <c r="O61" s="55"/>
      <c r="P61" s="56" t="str" cm="1">
        <f t="array" ref="P61">_xlfn.XLOOKUP($B61,ADP!A2:A671,ADP!G2:G671)</f>
        <v xml:space="preserve"> </v>
      </c>
      <c r="Q61" s="57" cm="1">
        <f t="array" ref="Q61">IF(Settings!$E$12="YES",VLOOKUP(B61,'Player Data'!A1:E673,5,FALSE),84)</f>
        <v>82.787499999999994</v>
      </c>
      <c r="R61" s="55" cm="1">
        <f t="array" ref="R61">VLOOKUP(B61,'Player Data'!$A1:$AE673,6,FALSE)</f>
        <v>23.871904492505099</v>
      </c>
      <c r="S61" s="57" cm="1">
        <f t="array" ref="S61">VLOOKUP(B61,'Player Data'!$A1:$AE673,7,FALSE)*$Q61*IFERROR((VLOOKUP(P61,Settings!$E$28:$F$33,2,FALSE)+1),1)</f>
        <v>8.8929434628598418</v>
      </c>
      <c r="T61" s="57" cm="1">
        <f t="array" ref="T61">VLOOKUP(B61,'Player Data'!$A1:$AE673,8,FALSE)*$Q61*IFERROR((VLOOKUP(P61,Settings!$E$28:$F$33,2,FALSE)+1),1)</f>
        <v>44.401466298726518</v>
      </c>
      <c r="U61" s="57" cm="1">
        <f t="array" ref="U61">SUM(S61:T61)</f>
        <v>53.294409761586358</v>
      </c>
      <c r="V61" s="57" cm="1">
        <f t="array" ref="V61">VLOOKUP(B61,'Player Data'!$A1:$AE673,10,FALSE)*$Q61*IFERROR(((VLOOKUP(P61,Settings!$E$28:$F$33,2,FALSE)/2)+1),1)</f>
        <v>180.80367560977362</v>
      </c>
      <c r="W61" s="58" cm="1">
        <f t="array" ref="W61">VLOOKUP(B61,'Player Data'!$A1:$AE673,11,FALSE)*$Q61*IFERROR((VLOOKUP(P61,Settings!$E$28:$F$33,2,FALSE)+1),1)</f>
        <v>2.1096355937452023</v>
      </c>
      <c r="X61" s="57" cm="1">
        <f t="array" ref="X61">VLOOKUP(B61,'Player Data'!$A1:$AE673,12,FALSE)*$Q61*IFERROR((VLOOKUP(P61,Settings!$E$28:$F$33,2,FALSE)+1),1)</f>
        <v>20.426762003509126</v>
      </c>
      <c r="Y61" s="57" cm="1">
        <f t="array" ref="Y61">VLOOKUP(B61,'Player Data'!$A1:$AE673,13,FALSE)*$Q61</f>
        <v>2.3895962667759837E-2</v>
      </c>
      <c r="Z61" s="57" cm="1">
        <f t="array" ref="Z61">VLOOKUP(B61,'Player Data'!$A1:$AE673,14,FALSE)*$Q61</f>
        <v>0.15784825748749753</v>
      </c>
      <c r="AA61" s="57" cm="1">
        <f t="array" ref="AA61">VLOOKUP(B61,'Player Data'!$A1:$AE673,15,FALSE)*$Q61</f>
        <v>92.332988619736327</v>
      </c>
      <c r="AB61" s="57" cm="1">
        <f t="array" ref="AB61">VLOOKUP(B61,'Player Data'!$A1:$AE673,16,FALSE)*$Q61</f>
        <v>38.261124674684687</v>
      </c>
      <c r="AC61" s="57" cm="1">
        <f t="array" ref="AC61">VLOOKUP(B61,'Player Data'!$A1:$AE673,17,FALSE)*$Q61*IFERROR((VLOOKUP(P61,Settings!$E$28:$F$33,2,FALSE)+1),1)</f>
        <v>1.4910363434513711</v>
      </c>
      <c r="AD61" s="57" cm="1">
        <f t="array" ref="AD61">VLOOKUP(B61,'Player Data'!$A1:$AE673,18,FALSE)*$Q61</f>
        <v>32.037330198489443</v>
      </c>
      <c r="AE61" s="57" cm="1">
        <f t="array" ref="AE61">VLOOKUP(B61,'Player Data'!$A1:$AE673,19,FALSE)*$Q61*IFERROR((VLOOKUP(P61,Settings!$E$28:$F$33,2,FALSE)+1),1)</f>
        <v>1.2893637864403042</v>
      </c>
      <c r="AF61" s="57" cm="1">
        <f t="array" ref="AF61">VLOOKUP(B61,'Player Data'!$A1:$AE673,20,FALSE)*$Q61</f>
        <v>0</v>
      </c>
      <c r="AG61" s="57" cm="1">
        <f t="array" ref="AG61">VLOOKUP(B61,'Player Data'!$A1:$AE673,21,FALSE)*$Q61</f>
        <v>2.9376383615091591E-5</v>
      </c>
      <c r="AH61" s="59" cm="1">
        <f t="array" ref="AH61">VLOOKUP(B61,'Player Data'!$A1:$AE673,22,FALSE)</f>
        <v>0</v>
      </c>
      <c r="AI61" s="55"/>
      <c r="AJ61" s="57"/>
      <c r="AK61" s="57"/>
      <c r="AL61" s="57"/>
      <c r="AM61" s="57"/>
      <c r="AN61" s="57"/>
      <c r="AO61" s="57"/>
      <c r="AP61" s="57"/>
      <c r="AQ61" s="60"/>
      <c r="AR61" s="61"/>
      <c r="AS61" s="55"/>
    </row>
    <row r="62" spans="1:45" ht="21.25" customHeight="1" x14ac:dyDescent="0.15">
      <c r="A62" s="62">
        <f t="shared" si="0"/>
        <v>61</v>
      </c>
      <c r="B62" s="10" t="s">
        <v>190</v>
      </c>
      <c r="C62" s="47" t="s">
        <v>128</v>
      </c>
      <c r="D62" s="48" t="str" cm="1">
        <f t="array" ref="D62">VLOOKUP(B62,'Player Data'!A1:D673,4,FALSE)</f>
        <v>LW</v>
      </c>
      <c r="E62" s="75" cm="1">
        <f t="array" ref="E62">VLOOKUP(B62,LW!A1:C210,3,FALSE)</f>
        <v>15</v>
      </c>
      <c r="F62" s="65" t="str" cm="1">
        <f t="array" ref="F62">VLOOKUP(B62,'Player Data'!A1:B673,2,FALSE)</f>
        <v>NSH</v>
      </c>
      <c r="G62" s="66" cm="1">
        <f t="array" ref="G62">VLOOKUP(B62,'Player Data'!A1:D673,3,FALSE)</f>
        <v>32</v>
      </c>
      <c r="H62" s="51" cm="1">
        <f t="array" ref="H62">IFERROR(VLOOKUP(B62,ADP!A1:F671,6,FALSE)/1000000,VLOOKUP(B62,ADP!A1:F671,6,FALSE))</f>
        <v>8.5</v>
      </c>
      <c r="I62" s="52">
        <f>IF(Settings!$E$15="POINTS",((R62*Q62)*Settings!$B$12)+(S62*Settings!$B$2)+(T62*Settings!$B$3)+(U62*Settings!$B$4)+(V62*Settings!$B$5)+(X62*Settings!$B$9)+(AA62*Settings!$B$6)+(W62*Settings!$B$8)+(AB62*Settings!$B$7)+(AC62*Settings!$B$14)+(AD62*Settings!$B$15)+(AE62*Settings!$B$16)+(AF62*Settings!$B$17)+(AG62*Settings!$B$18)+(Y62*Settings!$B$10)+(Z62*Settings!$B$11),VLOOKUP(B62,'Standard Deviations'!A$1:C$672,3,FALSE))</f>
        <v>409.00654484962962</v>
      </c>
      <c r="J62" s="53" cm="1">
        <f t="array" ref="J62">IF(D62="G",I62/AJ62,I62/Q62)</f>
        <v>4.8673871813593905</v>
      </c>
      <c r="K62" s="52" cm="1">
        <f t="array" ref="K62">IF(Settings!$E$18="C/LW/RW",VLOOKUP(B62,LW!A1:F210,6,FALSE),VLOOKUP(B62,F!A1:F407,6,FALSE))</f>
        <v>9.6935515359095348</v>
      </c>
      <c r="L62" s="54" cm="1">
        <f t="array" ref="L62">IFERROR(K62/H62,"N/A")</f>
        <v>1.1404178277540629</v>
      </c>
      <c r="M62" s="55">
        <v>56.1</v>
      </c>
      <c r="N62" s="55" cm="1">
        <f t="array" ref="N62">IFERROR(M62-A62,"N/A")</f>
        <v>-4.8999999999999986</v>
      </c>
      <c r="O62" s="55"/>
      <c r="P62" s="56" t="str" cm="1">
        <f t="array" ref="P62">_xlfn.XLOOKUP($B62,ADP!A2:A671,ADP!G2:G671)</f>
        <v xml:space="preserve"> </v>
      </c>
      <c r="Q62" s="57" cm="1">
        <f t="array" ref="Q62">IF(Settings!$E$12="YES",VLOOKUP(B62,'Player Data'!A1:E673,5,FALSE),84)</f>
        <v>84.03</v>
      </c>
      <c r="R62" s="55" cm="1">
        <f t="array" ref="R62">VLOOKUP(B62,'Player Data'!$A1:$AE673,6,FALSE)</f>
        <v>18.946789489634199</v>
      </c>
      <c r="S62" s="57" cm="1">
        <f t="array" ref="S62">VLOOKUP(B62,'Player Data'!$A1:$AE673,7,FALSE)*$Q62*IFERROR((VLOOKUP(P62,Settings!$E$28:$F$33,2,FALSE)+1),1)</f>
        <v>36.063496108296768</v>
      </c>
      <c r="T62" s="57" cm="1">
        <f t="array" ref="T62">VLOOKUP(B62,'Player Data'!$A1:$AE673,8,FALSE)*$Q62*IFERROR((VLOOKUP(P62,Settings!$E$28:$F$33,2,FALSE)+1),1)</f>
        <v>39.990280026964221</v>
      </c>
      <c r="U62" s="57" cm="1">
        <f t="array" ref="U62">SUM(S62:T62)</f>
        <v>76.053776135260989</v>
      </c>
      <c r="V62" s="57" cm="1">
        <f t="array" ref="V62">VLOOKUP(B62,'Player Data'!$A1:$AE673,10,FALSE)*$Q62*IFERROR(((VLOOKUP(P62,Settings!$E$28:$F$33,2,FALSE)/2)+1),1)</f>
        <v>270.63498049134267</v>
      </c>
      <c r="W62" s="58" cm="1">
        <f t="array" ref="W62">VLOOKUP(B62,'Player Data'!$A1:$AE673,11,FALSE)*$Q62*IFERROR((VLOOKUP(P62,Settings!$E$28:$F$33,2,FALSE)+1),1)</f>
        <v>10.283004456582677</v>
      </c>
      <c r="X62" s="57" cm="1">
        <f t="array" ref="X62">VLOOKUP(B62,'Player Data'!$A1:$AE673,12,FALSE)*$Q62*IFERROR((VLOOKUP(P62,Settings!$E$28:$F$33,2,FALSE)+1),1)</f>
        <v>25.293656430747699</v>
      </c>
      <c r="Y62" s="57" cm="1">
        <f t="array" ref="Y62">VLOOKUP(B62,'Player Data'!$A1:$AE673,13,FALSE)*$Q62</f>
        <v>5.7110083578315717E-3</v>
      </c>
      <c r="Z62" s="57" cm="1">
        <f t="array" ref="Z62">VLOOKUP(B62,'Player Data'!$A1:$AE673,14,FALSE)*$Q62</f>
        <v>9.3796092222419025E-3</v>
      </c>
      <c r="AA62" s="57" cm="1">
        <f t="array" ref="AA62">VLOOKUP(B62,'Player Data'!$A1:$AE673,15,FALSE)*$Q62</f>
        <v>40.44938031641076</v>
      </c>
      <c r="AB62" s="57" cm="1">
        <f t="array" ref="AB62">VLOOKUP(B62,'Player Data'!$A1:$AE673,16,FALSE)*$Q62</f>
        <v>128.20912868013571</v>
      </c>
      <c r="AC62" s="57" cm="1">
        <f t="array" ref="AC62">VLOOKUP(B62,'Player Data'!$A1:$AE673,17,FALSE)*$Q62*IFERROR((VLOOKUP(P62,Settings!$E$28:$F$33,2,FALSE)+1),1)</f>
        <v>-2.4154463218038185</v>
      </c>
      <c r="AD62" s="57" cm="1">
        <f t="array" ref="AD62">VLOOKUP(B62,'Player Data'!$A1:$AE673,18,FALSE)*$Q62</f>
        <v>40.498532776698035</v>
      </c>
      <c r="AE62" s="57" cm="1">
        <f t="array" ref="AE62">VLOOKUP(B62,'Player Data'!$A1:$AE673,19,FALSE)*$Q62*IFERROR((VLOOKUP(P62,Settings!$E$28:$F$33,2,FALSE)+1),1)</f>
        <v>4.9956963959022591</v>
      </c>
      <c r="AF62" s="57" cm="1">
        <f t="array" ref="AF62">VLOOKUP(B62,'Player Data'!$A1:$AE673,20,FALSE)*$Q62</f>
        <v>9.6992209468540658</v>
      </c>
      <c r="AG62" s="57" cm="1">
        <f t="array" ref="AG62">VLOOKUP(B62,'Player Data'!$A1:$AE673,21,FALSE)*$Q62</f>
        <v>19.505238941352566</v>
      </c>
      <c r="AH62" s="59" cm="1">
        <f t="array" ref="AH62">VLOOKUP(B62,'Player Data'!$A1:$AE673,22,FALSE)</f>
        <v>0.33211437513250702</v>
      </c>
      <c r="AI62" s="55"/>
      <c r="AJ62" s="57"/>
      <c r="AK62" s="57"/>
      <c r="AL62" s="57"/>
      <c r="AM62" s="57"/>
      <c r="AN62" s="57"/>
      <c r="AO62" s="57"/>
      <c r="AP62" s="57"/>
      <c r="AQ62" s="60"/>
      <c r="AR62" s="61"/>
      <c r="AS62" s="55"/>
    </row>
    <row r="63" spans="1:45" ht="21.25" customHeight="1" x14ac:dyDescent="0.15">
      <c r="A63" s="62">
        <f t="shared" si="0"/>
        <v>62</v>
      </c>
      <c r="B63" s="10" t="s">
        <v>191</v>
      </c>
      <c r="C63" s="76"/>
      <c r="D63" s="48" t="str" cm="1">
        <f t="array" ref="D63">VLOOKUP(B63,'Player Data'!A1:D673,4,FALSE)</f>
        <v>G</v>
      </c>
      <c r="E63" s="77" cm="1">
        <f t="array" ref="E63">VLOOKUP(B63,G!A1:D66,3,FALSE)</f>
        <v>7</v>
      </c>
      <c r="F63" s="65" t="str" cm="1">
        <f t="array" ref="F63">VLOOKUP(B63,'Player Data'!A1:B673,2,FALSE)</f>
        <v>NSH</v>
      </c>
      <c r="G63" s="66" cm="1">
        <f t="array" ref="G63">VLOOKUP(B63,'Player Data'!A1:D673,3,FALSE)</f>
        <v>31</v>
      </c>
      <c r="H63" s="51" cm="1">
        <f t="array" ref="H63">IFERROR(VLOOKUP(B63,ADP!A1:F671,6,FALSE)/1000000,VLOOKUP(B63,ADP!A1:F671,6,FALSE))</f>
        <v>7.74</v>
      </c>
      <c r="I63" s="52">
        <f>IF(Settings!$E$15="POINTS",(AJ63*Settings!$B$29)+(AK63*Settings!$B$21)+(AL63*Settings!$B$22)+(AN63*Settings!$B$24)+(AO63*Settings!$B$25)+(AP63*Settings!$B$27)+(AM63*Settings!$B$23),VLOOKUP(B63,'Standard Deviations'!A$1:C$672,3,FALSE))</f>
        <v>366.15130898540065</v>
      </c>
      <c r="J63" s="53" cm="1">
        <f t="array" ref="J63">IF(D63="G",I63/AJ63,I63/Q63)</f>
        <v>6.1025218164233443</v>
      </c>
      <c r="K63" s="52" cm="1">
        <f t="array" ref="K63">VLOOKUP(B63,G!A1:F66,6,FALSE)</f>
        <v>6.9934010551626216</v>
      </c>
      <c r="L63" s="54" cm="1">
        <f t="array" ref="L63">IFERROR(K63/H63,"N/A")</f>
        <v>0.90354018800550662</v>
      </c>
      <c r="M63" s="55">
        <v>113.7</v>
      </c>
      <c r="N63" s="55" cm="1">
        <f t="array" ref="N63">IFERROR(M63-A63,"N/A")</f>
        <v>51.7</v>
      </c>
      <c r="O63" s="55"/>
      <c r="P63" s="56" t="str" cm="1">
        <f t="array" ref="P63">_xlfn.XLOOKUP($B63,ADP!A2:A671,ADP!G2:G671)</f>
        <v xml:space="preserve"> </v>
      </c>
      <c r="Q63" s="57"/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9"/>
      <c r="AI63" s="55"/>
      <c r="AJ63" s="78" cm="1">
        <f t="array" ref="AJ63">VLOOKUP(B63,'Player Data'!$A1:$AE673,24,FALSE)</f>
        <v>60</v>
      </c>
      <c r="AK63" s="57" cm="1">
        <f t="array" ref="AK63">VLOOKUP(B63,'Player Data'!$A1:$AE673,25,FALSE)*$AJ63*IFERROR((VLOOKUP(P63,Settings!$E$28:$F$33,2,FALSE)+1),1)</f>
        <v>27.483307837103698</v>
      </c>
      <c r="AL63" s="57" cm="1">
        <f t="array" ref="AL63">AJ63-AK63-AM63</f>
        <v>24.387519122172243</v>
      </c>
      <c r="AM63" s="57" cm="1">
        <f t="array" ref="AM63">VLOOKUP(B63,'Player Data'!$A1:$AE673,27,FALSE)*$AJ63</f>
        <v>8.1291730407240603</v>
      </c>
      <c r="AN63" s="57" cm="1">
        <f t="array" ref="AN63">VLOOKUP(B63,'Player Data'!$A1:$AE673,28,FALSE)*AJ63</f>
        <v>2.7355275426371697</v>
      </c>
      <c r="AO63" s="57" cm="1">
        <f t="array" ref="AO63">VLOOKUP(B63,'Player Data'!$A1:$AE673,29,FALSE)*$AJ63*IFERROR((VLOOKUP(P63,Settings!$E$28:$F$33,2,FALSE)/4)+1,1)</f>
        <v>1623.1206523050118</v>
      </c>
      <c r="AP63" s="57" cm="1">
        <f t="array" ref="AP63">VLOOKUP(B63,'Player Data'!$A1:$AE673,31,FALSE)*$AJ63*(IFERROR(1-(VLOOKUP(P63,Settings!$E$28:$F$33,2,FALSE)/4),1))</f>
        <v>176.8648227403512</v>
      </c>
      <c r="AQ63" s="60" cm="1">
        <f t="array" ref="AQ63">1-(AP63/(AO63+AP63))</f>
        <v>0.90174097225096006</v>
      </c>
      <c r="AR63" s="61" cm="1">
        <f t="array" ref="AR63">AP63/AJ63</f>
        <v>2.9477470456725201</v>
      </c>
      <c r="AS63" s="55"/>
    </row>
    <row r="64" spans="1:45" ht="21.25" customHeight="1" x14ac:dyDescent="0.15">
      <c r="A64" s="62">
        <f t="shared" si="0"/>
        <v>63</v>
      </c>
      <c r="B64" s="10" t="s">
        <v>192</v>
      </c>
      <c r="C64" s="47" t="s">
        <v>128</v>
      </c>
      <c r="D64" s="48" t="str" cm="1">
        <f t="array" ref="D64">VLOOKUP(B64,'Player Data'!A1:D673,4,FALSE)</f>
        <v>LW,RW</v>
      </c>
      <c r="E64" s="74" cm="1">
        <f t="array" ref="E64">VLOOKUP(B64,RW!A1:F210,3,FALSE)</f>
        <v>17</v>
      </c>
      <c r="F64" s="65" t="str" cm="1">
        <f t="array" ref="F64">VLOOKUP(B64,'Player Data'!A1:B673,2,FALSE)</f>
        <v>T.B</v>
      </c>
      <c r="G64" s="66" cm="1">
        <f t="array" ref="G64">VLOOKUP(B64,'Player Data'!A1:D673,3,FALSE)</f>
        <v>31</v>
      </c>
      <c r="H64" s="51" cm="1">
        <f t="array" ref="H64">IFERROR(VLOOKUP(B64,ADP!A1:F671,6,FALSE)/1000000,VLOOKUP(B64,ADP!A1:F671,6,FALSE))</f>
        <v>9</v>
      </c>
      <c r="I64" s="52">
        <f>IF(Settings!$E$15="POINTS",((R64*Q64)*Settings!$B$12)+(S64*Settings!$B$2)+(T64*Settings!$B$3)+(U64*Settings!$B$4)+(V64*Settings!$B$5)+(X64*Settings!$B$9)+(AA64*Settings!$B$6)+(W64*Settings!$B$8)+(AB64*Settings!$B$7)+(AC64*Settings!$B$14)+(AD64*Settings!$B$15)+(AE64*Settings!$B$16)+(AF64*Settings!$B$17)+(AG64*Settings!$B$18)+(Y64*Settings!$B$10)+(Z64*Settings!$B$11),VLOOKUP(B64,'Standard Deviations'!A$1:C$672,3,FALSE))</f>
        <v>399.31299331372009</v>
      </c>
      <c r="J64" s="53" cm="1">
        <f t="array" ref="J64">IF(D64="G",I64/AJ64,I64/Q64)</f>
        <v>4.8650725632934737</v>
      </c>
      <c r="K64" s="52" cm="1">
        <f t="array" ref="K64">IF(Settings!$E$18="C/LW/RW",VLOOKUP(B64,RW!A1:F210,6,FALSE),VLOOKUP(B64,F!A1:F407,6,FALSE))</f>
        <v>4.3695286201626118</v>
      </c>
      <c r="L64" s="54" cm="1">
        <f t="array" ref="L64">IFERROR(K64/H64,"N/A")</f>
        <v>0.48550318001806797</v>
      </c>
      <c r="M64" s="55">
        <v>33.700000000000003</v>
      </c>
      <c r="N64" s="55" cm="1">
        <f t="array" ref="N64">IFERROR(M64-A64,"N/A")</f>
        <v>-29.299999999999997</v>
      </c>
      <c r="O64" s="55"/>
      <c r="P64" s="56" t="str" cm="1">
        <f t="array" ref="P64">_xlfn.XLOOKUP($B64,ADP!A2:A671,ADP!G2:G671)</f>
        <v xml:space="preserve"> </v>
      </c>
      <c r="Q64" s="57" cm="1">
        <f t="array" ref="Q64">IF(Settings!$E$12="YES",VLOOKUP(B64,'Player Data'!A1:E673,5,FALSE),84)</f>
        <v>82.077500000000001</v>
      </c>
      <c r="R64" s="84" cm="1">
        <f t="array" ref="R64">VLOOKUP(B64,'Player Data'!$A1:$AE673,6,FALSE)</f>
        <v>19.0232779920863</v>
      </c>
      <c r="S64" s="57" cm="1">
        <f t="array" ref="S64">VLOOKUP(B64,'Player Data'!$A1:$AE673,7,FALSE)*$Q64*IFERROR((VLOOKUP(P64,Settings!$E$28:$F$33,2,FALSE)+1),1)</f>
        <v>34.602783155080587</v>
      </c>
      <c r="T64" s="57" cm="1">
        <f t="array" ref="T64">VLOOKUP(B64,'Player Data'!$A1:$AE673,8,FALSE)*$Q64*IFERROR((VLOOKUP(P64,Settings!$E$28:$F$33,2,FALSE)+1),1)</f>
        <v>45.782005324256353</v>
      </c>
      <c r="U64" s="57" cm="1">
        <f t="array" ref="U64">SUM(S64:T64)</f>
        <v>80.384788479336947</v>
      </c>
      <c r="V64" s="57" cm="1">
        <f t="array" ref="V64">VLOOKUP(B64,'Player Data'!$A1:$AE673,10,FALSE)*$Q64*IFERROR(((VLOOKUP(P64,Settings!$E$28:$F$33,2,FALSE)/2)+1),1)</f>
        <v>219.17195872787471</v>
      </c>
      <c r="W64" s="58" cm="1">
        <f t="array" ref="W64">VLOOKUP(B64,'Player Data'!$A1:$AE673,11,FALSE)*$Q64*IFERROR((VLOOKUP(P64,Settings!$E$28:$F$33,2,FALSE)+1),1)</f>
        <v>9.9871680545674568</v>
      </c>
      <c r="X64" s="57" cm="1">
        <f t="array" ref="X64">VLOOKUP(B64,'Player Data'!$A1:$AE673,12,FALSE)*$Q64*IFERROR((VLOOKUP(P64,Settings!$E$28:$F$33,2,FALSE)+1),1)</f>
        <v>28.598644487676083</v>
      </c>
      <c r="Y64" s="57" cm="1">
        <f t="array" ref="Y64">VLOOKUP(B64,'Player Data'!$A1:$AE673,13,FALSE)*$Q64</f>
        <v>0.33119627268390572</v>
      </c>
      <c r="Z64" s="57" cm="1">
        <f t="array" ref="Z64">VLOOKUP(B64,'Player Data'!$A1:$AE673,14,FALSE)*$Q64</f>
        <v>0.35155514125365256</v>
      </c>
      <c r="AA64" s="57" cm="1">
        <f t="array" ref="AA64">VLOOKUP(B64,'Player Data'!$A1:$AE673,15,FALSE)*$Q64</f>
        <v>39.244897765684378</v>
      </c>
      <c r="AB64" s="57" cm="1">
        <f t="array" ref="AB64">VLOOKUP(B64,'Player Data'!$A1:$AE673,16,FALSE)*$Q64</f>
        <v>41.262550862332994</v>
      </c>
      <c r="AC64" s="57" cm="1">
        <f t="array" ref="AC64">VLOOKUP(B64,'Player Data'!$A1:$AE673,17,FALSE)*$Q64*IFERROR((VLOOKUP(P64,Settings!$E$28:$F$33,2,FALSE)+1),1)</f>
        <v>9.9134641223834077</v>
      </c>
      <c r="AD64" s="57" cm="1">
        <f t="array" ref="AD64">VLOOKUP(B64,'Player Data'!$A1:$AE673,18,FALSE)*$Q64</f>
        <v>32.122268385130681</v>
      </c>
      <c r="AE64" s="57" cm="1">
        <f t="array" ref="AE64">VLOOKUP(B64,'Player Data'!$A1:$AE673,19,FALSE)*$Q64*IFERROR((VLOOKUP(P64,Settings!$E$28:$F$33,2,FALSE)+1),1)</f>
        <v>6.1423206062991271</v>
      </c>
      <c r="AF64" s="57" cm="1">
        <f t="array" ref="AF64">VLOOKUP(B64,'Player Data'!$A1:$AE673,20,FALSE)*$Q64</f>
        <v>154.43998723654627</v>
      </c>
      <c r="AG64" s="57" cm="1">
        <f t="array" ref="AG64">VLOOKUP(B64,'Player Data'!$A1:$AE673,21,FALSE)*$Q64</f>
        <v>207.69740865209118</v>
      </c>
      <c r="AH64" s="59" cm="1">
        <f t="array" ref="AH64">VLOOKUP(B64,'Player Data'!$A1:$AE673,22,FALSE)</f>
        <v>0.42646793451853099</v>
      </c>
      <c r="AI64" s="55"/>
      <c r="AJ64" s="57"/>
      <c r="AK64" s="57"/>
      <c r="AL64" s="57"/>
      <c r="AM64" s="57"/>
      <c r="AN64" s="57"/>
      <c r="AO64" s="57"/>
      <c r="AP64" s="57"/>
      <c r="AQ64" s="60"/>
      <c r="AR64" s="61"/>
      <c r="AS64" s="55"/>
    </row>
    <row r="65" spans="1:45" ht="21.25" customHeight="1" x14ac:dyDescent="0.15">
      <c r="A65" s="62">
        <f t="shared" si="0"/>
        <v>64</v>
      </c>
      <c r="B65" s="10" t="s">
        <v>193</v>
      </c>
      <c r="C65" s="47" t="s">
        <v>128</v>
      </c>
      <c r="D65" s="48" t="str" cm="1">
        <f t="array" ref="D65">VLOOKUP(B65,'Player Data'!A1:D673,4,FALSE)</f>
        <v>RW</v>
      </c>
      <c r="E65" s="64" cm="1">
        <f t="array" ref="E65">VLOOKUP(B65,RW!A1:F210,3,FALSE)</f>
        <v>18</v>
      </c>
      <c r="F65" s="72" t="str" cm="1">
        <f t="array" ref="F65">VLOOKUP(B65,'Player Data'!A1:B673,2,FALSE)</f>
        <v>DET</v>
      </c>
      <c r="G65" s="71" cm="1">
        <f t="array" ref="G65">VLOOKUP(B65,'Player Data'!A1:D673,3,FALSE)</f>
        <v>24</v>
      </c>
      <c r="H65" s="51" cm="1">
        <f t="array" ref="H65">IFERROR(VLOOKUP(B65,ADP!A1:F671,6,FALSE)/1000000,VLOOKUP(B65,ADP!A1:F671,6,FALSE))</f>
        <v>8.0749999999999993</v>
      </c>
      <c r="I65" s="52">
        <f>IF(Settings!$E$15="POINTS",((R65*Q65)*Settings!$B$12)+(S65*Settings!$B$2)+(T65*Settings!$B$3)+(U65*Settings!$B$4)+(V65*Settings!$B$5)+(X65*Settings!$B$9)+(AA65*Settings!$B$6)+(W65*Settings!$B$8)+(AB65*Settings!$B$7)+(AC65*Settings!$B$14)+(AD65*Settings!$B$15)+(AE65*Settings!$B$16)+(AF65*Settings!$B$17)+(AG65*Settings!$B$18)+(Y65*Settings!$B$10)+(Z65*Settings!$B$11),VLOOKUP(B65,'Standard Deviations'!A$1:C$672,3,FALSE))</f>
        <v>398.7504136781717</v>
      </c>
      <c r="J65" s="53" cm="1">
        <f t="array" ref="J65">IF(D65="G",I65/AJ65,I65/Q65)</f>
        <v>4.7654665512778216</v>
      </c>
      <c r="K65" s="52" cm="1">
        <f t="array" ref="K65">IF(Settings!$E$18="C/LW/RW",VLOOKUP(B65,RW!A1:F210,6,FALSE),VLOOKUP(B65,F!A1:F407,6,FALSE))</f>
        <v>3.8069489846142233</v>
      </c>
      <c r="L65" s="54" cm="1">
        <f t="array" ref="L65">IFERROR(K65/H65,"N/A")</f>
        <v>0.47144879066430012</v>
      </c>
      <c r="M65" s="55">
        <v>69.5</v>
      </c>
      <c r="N65" s="55" cm="1">
        <f t="array" ref="N65">IFERROR(M65-A65,"N/A")</f>
        <v>5.5</v>
      </c>
      <c r="O65" s="55"/>
      <c r="P65" s="56" t="str" cm="1">
        <f t="array" ref="P65">_xlfn.XLOOKUP($B65,ADP!A2:A671,ADP!G2:G671)</f>
        <v>+</v>
      </c>
      <c r="Q65" s="57" cm="1">
        <f t="array" ref="Q65">IF(Settings!$E$12="YES",VLOOKUP(B65,'Player Data'!A1:E673,5,FALSE),84)</f>
        <v>83.674999999999997</v>
      </c>
      <c r="R65" s="55" cm="1">
        <f t="array" ref="R65">VLOOKUP(B65,'Player Data'!$A1:$AE673,6,FALSE)</f>
        <v>18.819153138605198</v>
      </c>
      <c r="S65" s="57" cm="1">
        <f t="array" ref="S65">VLOOKUP(B65,'Player Data'!$A1:$AE673,7,FALSE)*$Q65*IFERROR((VLOOKUP(P65,Settings!$E$28:$F$33,2,FALSE)+1),1)</f>
        <v>29.97065768719051</v>
      </c>
      <c r="T65" s="57" cm="1">
        <f t="array" ref="T65">VLOOKUP(B65,'Player Data'!$A1:$AE673,8,FALSE)*$Q65*IFERROR((VLOOKUP(P65,Settings!$E$28:$F$33,2,FALSE)+1),1)</f>
        <v>55.03325122030774</v>
      </c>
      <c r="U65" s="57" cm="1">
        <f t="array" ref="U65">SUM(S65:T65)</f>
        <v>85.003908907498243</v>
      </c>
      <c r="V65" s="57" cm="1">
        <f t="array" ref="V65">VLOOKUP(B65,'Player Data'!$A1:$AE673,10,FALSE)*$Q65*IFERROR(((VLOOKUP(P65,Settings!$E$28:$F$33,2,FALSE)/2)+1),1)</f>
        <v>191.11034229441091</v>
      </c>
      <c r="W65" s="58" cm="1">
        <f t="array" ref="W65">VLOOKUP(B65,'Player Data'!$A1:$AE673,11,FALSE)*$Q65*IFERROR((VLOOKUP(P65,Settings!$E$28:$F$33,2,FALSE)+1),1)</f>
        <v>8.2853498031085149</v>
      </c>
      <c r="X65" s="57" cm="1">
        <f t="array" ref="X65">VLOOKUP(B65,'Player Data'!$A1:$AE673,12,FALSE)*$Q65*IFERROR((VLOOKUP(P65,Settings!$E$28:$F$33,2,FALSE)+1),1)</f>
        <v>31.692961120716717</v>
      </c>
      <c r="Y65" s="57" cm="1">
        <f t="array" ref="Y65">VLOOKUP(B65,'Player Data'!$A1:$AE673,13,FALSE)*$Q65</f>
        <v>0.18808611740948944</v>
      </c>
      <c r="Z65" s="57" cm="1">
        <f t="array" ref="Z65">VLOOKUP(B65,'Player Data'!$A1:$AE673,14,FALSE)*$Q65</f>
        <v>0.22034469995160672</v>
      </c>
      <c r="AA65" s="57" cm="1">
        <f t="array" ref="AA65">VLOOKUP(B65,'Player Data'!$A1:$AE673,15,FALSE)*$Q65</f>
        <v>32.540419975606383</v>
      </c>
      <c r="AB65" s="57" cm="1">
        <f t="array" ref="AB65">VLOOKUP(B65,'Player Data'!$A1:$AE673,16,FALSE)*$Q65</f>
        <v>50.322686747804404</v>
      </c>
      <c r="AC65" s="57" cm="1">
        <f t="array" ref="AC65">VLOOKUP(B65,'Player Data'!$A1:$AE673,17,FALSE)*$Q65*IFERROR((VLOOKUP(P65,Settings!$E$28:$F$33,2,FALSE)+1),1)</f>
        <v>-1.5079464884442748</v>
      </c>
      <c r="AD65" s="57" cm="1">
        <f t="array" ref="AD65">VLOOKUP(B65,'Player Data'!$A1:$AE673,18,FALSE)*$Q65</f>
        <v>26.499015726035474</v>
      </c>
      <c r="AE65" s="57" cm="1">
        <f t="array" ref="AE65">VLOOKUP(B65,'Player Data'!$A1:$AE673,19,FALSE)*$Q65*IFERROR((VLOOKUP(P65,Settings!$E$28:$F$33,2,FALSE)+1),1)</f>
        <v>4.696638890706935</v>
      </c>
      <c r="AF65" s="57" cm="1">
        <f t="array" ref="AF65">VLOOKUP(B65,'Player Data'!$A1:$AE673,20,FALSE)*$Q65</f>
        <v>1.9272298189601456</v>
      </c>
      <c r="AG65" s="57" cm="1">
        <f t="array" ref="AG65">VLOOKUP(B65,'Player Data'!$A1:$AE673,21,FALSE)*$Q65</f>
        <v>1.5675227641583593</v>
      </c>
      <c r="AH65" s="59" cm="1">
        <f t="array" ref="AH65">VLOOKUP(B65,'Player Data'!$A1:$AE673,22,FALSE)</f>
        <v>0.55146387995238499</v>
      </c>
      <c r="AI65" s="55"/>
      <c r="AJ65" s="57"/>
      <c r="AK65" s="57"/>
      <c r="AL65" s="57"/>
      <c r="AM65" s="57"/>
      <c r="AN65" s="57"/>
      <c r="AO65" s="57"/>
      <c r="AP65" s="57"/>
      <c r="AQ65" s="60"/>
      <c r="AR65" s="61"/>
      <c r="AS65" s="55"/>
    </row>
    <row r="66" spans="1:45" ht="21.25" customHeight="1" x14ac:dyDescent="0.15">
      <c r="A66" s="62">
        <f t="shared" ref="A66:A129" si="1">RANK(K66,K$2:K$671)</f>
        <v>65</v>
      </c>
      <c r="B66" s="10" t="s">
        <v>194</v>
      </c>
      <c r="C66" s="76"/>
      <c r="D66" s="48" t="str" cm="1">
        <f t="array" ref="D66">VLOOKUP(B66,'Player Data'!A1:D673,4,FALSE)</f>
        <v>G</v>
      </c>
      <c r="E66" s="77" cm="1">
        <f t="array" ref="E66">VLOOKUP(B66,G!A1:D66,3,FALSE)</f>
        <v>8</v>
      </c>
      <c r="F66" s="63" t="str" cm="1">
        <f t="array" ref="F66">VLOOKUP(B66,'Player Data'!A1:B673,2,FALSE)</f>
        <v>DAL</v>
      </c>
      <c r="G66" s="11" cm="1">
        <f t="array" ref="G66">VLOOKUP(B66,'Player Data'!A1:D673,3,FALSE)</f>
        <v>27</v>
      </c>
      <c r="H66" s="51" cm="1">
        <f t="array" ref="H66">IFERROR(VLOOKUP(B66,ADP!A1:F671,6,FALSE)/1000000,VLOOKUP(B66,ADP!A1:F671,6,FALSE))</f>
        <v>8.25</v>
      </c>
      <c r="I66" s="52">
        <f>IF(Settings!$E$15="POINTS",(AJ66*Settings!$B$29)+(AK66*Settings!$B$21)+(AL66*Settings!$B$22)+(AN66*Settings!$B$24)+(AO66*Settings!$B$25)+(AP66*Settings!$B$27)+(AM66*Settings!$B$23),VLOOKUP(B66,'Standard Deviations'!A$1:C$672,3,FALSE))</f>
        <v>361.82324020738679</v>
      </c>
      <c r="J66" s="53" cm="1">
        <f t="array" ref="J66">IF(D66="G",I66/AJ66,I66/Q66)</f>
        <v>6.5786043674070322</v>
      </c>
      <c r="K66" s="52" cm="1">
        <f t="array" ref="K66">VLOOKUP(B66,G!A1:F66,6,FALSE)</f>
        <v>2.6653322771487638</v>
      </c>
      <c r="L66" s="54" cm="1">
        <f t="array" ref="L66">IFERROR(K66/H66,"N/A")</f>
        <v>0.32307057904833503</v>
      </c>
      <c r="M66" s="55">
        <v>24.6</v>
      </c>
      <c r="N66" s="55" cm="1">
        <f t="array" ref="N66">IFERROR(M66-A66,"N/A")</f>
        <v>-40.4</v>
      </c>
      <c r="O66" s="55"/>
      <c r="P66" s="56" t="str" cm="1">
        <f t="array" ref="P66">_xlfn.XLOOKUP($B66,ADP!A2:A671,ADP!G2:G671)</f>
        <v xml:space="preserve"> </v>
      </c>
      <c r="Q66" s="57"/>
      <c r="R66" s="55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9"/>
      <c r="AI66" s="55"/>
      <c r="AJ66" s="78" cm="1">
        <f t="array" ref="AJ66">VLOOKUP(B66,'Player Data'!$A1:$AE673,24,FALSE)</f>
        <v>55</v>
      </c>
      <c r="AK66" s="57" cm="1">
        <f t="array" ref="AK66">VLOOKUP(B66,'Player Data'!$A1:$AE673,25,FALSE)*$AJ66*IFERROR((VLOOKUP(P66,Settings!$E$28:$F$33,2,FALSE)+1),1)</f>
        <v>32.393636798716379</v>
      </c>
      <c r="AL66" s="57" cm="1">
        <f t="array" ref="AL66">AJ66-AK66-AM66</f>
        <v>16.954772400962717</v>
      </c>
      <c r="AM66" s="57" cm="1">
        <f t="array" ref="AM66">VLOOKUP(B66,'Player Data'!$A1:$AE673,27,FALSE)*$AJ66</f>
        <v>5.6515908003209052</v>
      </c>
      <c r="AN66" s="57" cm="1">
        <f t="array" ref="AN66">VLOOKUP(B66,'Player Data'!$A1:$AE673,28,FALSE)*AJ66</f>
        <v>3.7724291385492301</v>
      </c>
      <c r="AO66" s="57" cm="1">
        <f t="array" ref="AO66">VLOOKUP(B66,'Player Data'!$A1:$AE673,29,FALSE)*$AJ66*IFERROR((VLOOKUP(P66,Settings!$E$28:$F$33,2,FALSE)/4)+1,1)</f>
        <v>1395.1615967472701</v>
      </c>
      <c r="AP66" s="57" cm="1">
        <f t="array" ref="AP66">VLOOKUP(B66,'Player Data'!$A1:$AE673,31,FALSE)*$AJ66*(IFERROR(1-(VLOOKUP(P66,Settings!$E$28:$F$33,2,FALSE)/4),1))</f>
        <v>145.57029923364885</v>
      </c>
      <c r="AQ66" s="60" cm="1">
        <f t="array" ref="AQ66">1-(AP66/(AO66+AP66))</f>
        <v>0.90551873456155696</v>
      </c>
      <c r="AR66" s="61" cm="1">
        <f t="array" ref="AR66">AP66/AJ66</f>
        <v>2.6467327133390701</v>
      </c>
      <c r="AS66" s="55"/>
    </row>
    <row r="67" spans="1:45" ht="21.25" customHeight="1" x14ac:dyDescent="0.15">
      <c r="A67" s="62">
        <f t="shared" si="1"/>
        <v>66</v>
      </c>
      <c r="B67" s="10" t="s">
        <v>195</v>
      </c>
      <c r="C67" s="47" t="s">
        <v>128</v>
      </c>
      <c r="D67" s="48" t="str" cm="1">
        <f t="array" ref="D67">VLOOKUP(B67,'Player Data'!A1:D673,4,FALSE)</f>
        <v>LW,RW</v>
      </c>
      <c r="E67" s="74" cm="1">
        <f t="array" ref="E67">VLOOKUP(B67,RW!A1:F210,3,FALSE)</f>
        <v>19</v>
      </c>
      <c r="F67" s="65" t="str" cm="1">
        <f t="array" ref="F67">VLOOKUP(B67,'Player Data'!A1:B673,2,FALSE)</f>
        <v>T.B</v>
      </c>
      <c r="G67" s="11" cm="1">
        <f t="array" ref="G67">VLOOKUP(B67,'Player Data'!A1:D673,3,FALSE)</f>
        <v>28</v>
      </c>
      <c r="H67" s="51" cm="1">
        <f t="array" ref="H67">IFERROR(VLOOKUP(B67,ADP!A1:F671,6,FALSE)/1000000,VLOOKUP(B67,ADP!A1:F671,6,FALSE))</f>
        <v>6.5</v>
      </c>
      <c r="I67" s="52">
        <f>IF(Settings!$E$15="POINTS",((R67*Q67)*Settings!$B$12)+(S67*Settings!$B$2)+(T67*Settings!$B$3)+(U67*Settings!$B$4)+(V67*Settings!$B$5)+(X67*Settings!$B$9)+(AA67*Settings!$B$6)+(W67*Settings!$B$8)+(AB67*Settings!$B$7)+(AC67*Settings!$B$14)+(AD67*Settings!$B$15)+(AE67*Settings!$B$16)+(AF67*Settings!$B$17)+(AG67*Settings!$B$18)+(Y67*Settings!$B$10)+(Z67*Settings!$B$11),VLOOKUP(B67,'Standard Deviations'!A$1:C$672,3,FALSE))</f>
        <v>397.59998409230695</v>
      </c>
      <c r="J67" s="53" cm="1">
        <f t="array" ref="J67">IF(D67="G",I67/AJ67,I67/Q67)</f>
        <v>4.8442019322263343</v>
      </c>
      <c r="K67" s="52" cm="1">
        <f t="array" ref="K67">IF(Settings!$E$18="C/LW/RW",VLOOKUP(B67,RW!A1:F210,6,FALSE),VLOOKUP(B67,F!A1:F407,6,FALSE))</f>
        <v>2.6565193987494808</v>
      </c>
      <c r="L67" s="54" cm="1">
        <f t="array" ref="L67">IFERROR(K67/H67,"N/A")</f>
        <v>0.40869529211530475</v>
      </c>
      <c r="M67" s="55">
        <v>37.200000000000003</v>
      </c>
      <c r="N67" s="55" cm="1">
        <f t="array" ref="N67">IFERROR(M67-A67,"N/A")</f>
        <v>-28.799999999999997</v>
      </c>
      <c r="O67" s="55"/>
      <c r="P67" s="56" t="str" cm="1">
        <f t="array" ref="P67">_xlfn.XLOOKUP($B67,ADP!A2:A671,ADP!G2:G671)</f>
        <v xml:space="preserve"> </v>
      </c>
      <c r="Q67" s="57" cm="1">
        <f t="array" ref="Q67">IF(Settings!$E$12="YES",VLOOKUP(B67,'Player Data'!A1:E673,5,FALSE),84)</f>
        <v>82.077500000000001</v>
      </c>
      <c r="R67" s="55" cm="1">
        <f t="array" ref="R67">VLOOKUP(B67,'Player Data'!$A1:$AE673,6,FALSE)</f>
        <v>19.975917494525099</v>
      </c>
      <c r="S67" s="57" cm="1">
        <f t="array" ref="S67">VLOOKUP(B67,'Player Data'!$A1:$AE673,7,FALSE)*$Q67*IFERROR((VLOOKUP(P67,Settings!$E$28:$F$33,2,FALSE)+1),1)</f>
        <v>34.142120007845747</v>
      </c>
      <c r="T67" s="57" cm="1">
        <f t="array" ref="T67">VLOOKUP(B67,'Player Data'!$A1:$AE673,8,FALSE)*$Q67*IFERROR((VLOOKUP(P67,Settings!$E$28:$F$33,2,FALSE)+1),1)</f>
        <v>47.040771864671093</v>
      </c>
      <c r="U67" s="57" cm="1">
        <f t="array" ref="U67">SUM(S67:T67)</f>
        <v>81.182891872516848</v>
      </c>
      <c r="V67" s="57" cm="1">
        <f t="array" ref="V67">VLOOKUP(B67,'Player Data'!$A1:$AE673,10,FALSE)*$Q67*IFERROR(((VLOOKUP(P67,Settings!$E$28:$F$33,2,FALSE)/2)+1),1)</f>
        <v>229.48152008818576</v>
      </c>
      <c r="W67" s="57" cm="1">
        <f t="array" ref="W67">VLOOKUP(B67,'Player Data'!$A1:$AE673,11,FALSE)*$Q67*IFERROR((VLOOKUP(P67,Settings!$E$28:$F$33,2,FALSE)+1),1)</f>
        <v>3.3723125655069763</v>
      </c>
      <c r="X67" s="79" cm="1">
        <f t="array" ref="X67">VLOOKUP(B67,'Player Data'!$A1:$AE673,12,FALSE)*$Q67*IFERROR((VLOOKUP(P67,Settings!$E$28:$F$33,2,FALSE)+1),1)</f>
        <v>12.213748134711635</v>
      </c>
      <c r="Y67" s="57" cm="1">
        <f t="array" ref="Y67">VLOOKUP(B67,'Player Data'!$A1:$AE673,13,FALSE)*$Q67</f>
        <v>1.263927067702211</v>
      </c>
      <c r="Z67" s="57" cm="1">
        <f t="array" ref="Z67">VLOOKUP(B67,'Player Data'!$A1:$AE673,14,FALSE)*$Q67</f>
        <v>2.6701309135515938</v>
      </c>
      <c r="AA67" s="57" cm="1">
        <f t="array" ref="AA67">VLOOKUP(B67,'Player Data'!$A1:$AE673,15,FALSE)*$Q67</f>
        <v>48.853338764800604</v>
      </c>
      <c r="AB67" s="57" cm="1">
        <f t="array" ref="AB67">VLOOKUP(B67,'Player Data'!$A1:$AE673,16,FALSE)*$Q67</f>
        <v>55.027429947678748</v>
      </c>
      <c r="AC67" s="57" cm="1">
        <f t="array" ref="AC67">VLOOKUP(B67,'Player Data'!$A1:$AE673,17,FALSE)*$Q67*IFERROR((VLOOKUP(P67,Settings!$E$28:$F$33,2,FALSE)+1),1)</f>
        <v>11.792434617458733</v>
      </c>
      <c r="AD67" s="57" cm="1">
        <f t="array" ref="AD67">VLOOKUP(B67,'Player Data'!$A1:$AE673,18,FALSE)*$Q67</f>
        <v>55.625107941865203</v>
      </c>
      <c r="AE67" s="57" cm="1">
        <f t="array" ref="AE67">VLOOKUP(B67,'Player Data'!$A1:$AE673,19,FALSE)*$Q67*IFERROR((VLOOKUP(P67,Settings!$E$28:$F$33,2,FALSE)+1),1)</f>
        <v>6.0605485497237366</v>
      </c>
      <c r="AF67" s="57" cm="1">
        <f t="array" ref="AF67">VLOOKUP(B67,'Player Data'!$A1:$AE673,20,FALSE)*$Q67</f>
        <v>24.548340550899816</v>
      </c>
      <c r="AG67" s="57" cm="1">
        <f t="array" ref="AG67">VLOOKUP(B67,'Player Data'!$A1:$AE673,21,FALSE)*$Q67</f>
        <v>38.796703131912111</v>
      </c>
      <c r="AH67" s="59" cm="1">
        <f t="array" ref="AH67">VLOOKUP(B67,'Player Data'!$A1:$AE673,22,FALSE)</f>
        <v>0.38753372203547398</v>
      </c>
      <c r="AI67" s="55"/>
      <c r="AJ67" s="57"/>
      <c r="AK67" s="57"/>
      <c r="AL67" s="57"/>
      <c r="AM67" s="57"/>
      <c r="AN67" s="57"/>
      <c r="AO67" s="57"/>
      <c r="AP67" s="57"/>
      <c r="AQ67" s="60"/>
      <c r="AR67" s="61"/>
      <c r="AS67" s="55"/>
    </row>
    <row r="68" spans="1:45" ht="21.25" customHeight="1" x14ac:dyDescent="0.15">
      <c r="A68" s="62">
        <f t="shared" si="1"/>
        <v>67</v>
      </c>
      <c r="B68" s="10" t="s">
        <v>196</v>
      </c>
      <c r="C68" s="47" t="s">
        <v>128</v>
      </c>
      <c r="D68" s="48" t="str" cm="1">
        <f t="array" ref="D68">VLOOKUP(B68,'Player Data'!A1:D673,4,FALSE)</f>
        <v>C</v>
      </c>
      <c r="E68" s="49" cm="1">
        <f t="array" ref="E68">VLOOKUP(B68,'C'!A1:C210,3,FALSE)</f>
        <v>19</v>
      </c>
      <c r="F68" s="69" t="str" cm="1">
        <f t="array" ref="F68">VLOOKUP(B68,'Player Data'!A1:B673,2,FALSE)</f>
        <v>N.J</v>
      </c>
      <c r="G68" s="11" cm="1">
        <f t="array" ref="G68">VLOOKUP(B68,'Player Data'!A1:D673,3,FALSE)</f>
        <v>27</v>
      </c>
      <c r="H68" s="51" cm="1">
        <f t="array" ref="H68">IFERROR(VLOOKUP(B68,ADP!A1:F671,6,FALSE)/1000000,VLOOKUP(B68,ADP!A1:F671,6,FALSE))</f>
        <v>7.25</v>
      </c>
      <c r="I68" s="52">
        <f>IF(Settings!$E$15="POINTS",((R68*Q68)*Settings!$B$12)+(S68*Settings!$B$2)+(T68*Settings!$B$3)+(U68*Settings!$B$4)+(V68*Settings!$B$5)+(X68*Settings!$B$9)+(AA68*Settings!$B$6)+(W68*Settings!$B$8)+(AB68*Settings!$B$7)+(AC68*Settings!$B$14)+(AD68*Settings!$B$15)+(AE68*Settings!$B$16)+(AF68*Settings!$B$17)+(AG68*Settings!$B$18)+(Y68*Settings!$B$10)+(Z68*Settings!$B$11),VLOOKUP(B68,'Standard Deviations'!A$1:C$672,3,FALSE))</f>
        <v>388.32024654568772</v>
      </c>
      <c r="J68" s="53" cm="1">
        <f t="array" ref="J68">IF(D68="G",I68/AJ68,I68/Q68)</f>
        <v>4.737490426640897</v>
      </c>
      <c r="K68" s="52" cm="1">
        <f t="array" ref="K68">IF(Settings!$E$18="C/LW/RW",VLOOKUP(B68,'C'!A1:F210,6,FALSE),VLOOKUP(B68,F!A1:F407,6,FALSE))</f>
        <v>1.7850401526047222</v>
      </c>
      <c r="L68" s="54" cm="1">
        <f t="array" ref="L68">IFERROR(K68/H68,"N/A")</f>
        <v>0.24621243484203065</v>
      </c>
      <c r="M68" s="55">
        <v>131.19999999999999</v>
      </c>
      <c r="N68" s="55" cm="1">
        <f t="array" ref="N68">IFERROR(M68-A68,"N/A")</f>
        <v>64.199999999999989</v>
      </c>
      <c r="O68" s="55"/>
      <c r="P68" s="56" t="str" cm="1">
        <f t="array" ref="P68">_xlfn.XLOOKUP($B68,ADP!A2:A671,ADP!G2:G671)</f>
        <v xml:space="preserve"> </v>
      </c>
      <c r="Q68" s="57" cm="1">
        <f t="array" ref="Q68">IF(Settings!$E$12="YES",VLOOKUP(B68,'Player Data'!A1:E673,5,FALSE),84)</f>
        <v>81.967500000000001</v>
      </c>
      <c r="R68" s="55" cm="1">
        <f t="array" ref="R68">VLOOKUP(B68,'Player Data'!$A1:$AE673,6,FALSE)</f>
        <v>21.065630806021399</v>
      </c>
      <c r="S68" s="57" cm="1">
        <f t="array" ref="S68">VLOOKUP(B68,'Player Data'!$A1:$AE673,7,FALSE)*$Q68*IFERROR((VLOOKUP(P68,Settings!$E$28:$F$33,2,FALSE)+1),1)</f>
        <v>32.328455721909904</v>
      </c>
      <c r="T68" s="57" cm="1">
        <f t="array" ref="T68">VLOOKUP(B68,'Player Data'!$A1:$AE673,8,FALSE)*$Q68*IFERROR((VLOOKUP(P68,Settings!$E$28:$F$33,2,FALSE)+1),1)</f>
        <v>41.274551123622004</v>
      </c>
      <c r="U68" s="57" cm="1">
        <f t="array" ref="U68">SUM(S68:T68)</f>
        <v>73.603006845531908</v>
      </c>
      <c r="V68" s="57" cm="1">
        <f t="array" ref="V68">VLOOKUP(B68,'Player Data'!$A1:$AE673,10,FALSE)*$Q68*IFERROR(((VLOOKUP(P68,Settings!$E$28:$F$33,2,FALSE)/2)+1),1)</f>
        <v>217.22401004131106</v>
      </c>
      <c r="W68" s="58" cm="1">
        <f t="array" ref="W68">VLOOKUP(B68,'Player Data'!$A1:$AE673,11,FALSE)*$Q68*IFERROR((VLOOKUP(P68,Settings!$E$28:$F$33,2,FALSE)+1),1)</f>
        <v>11.876637306778774</v>
      </c>
      <c r="X68" s="57" cm="1">
        <f t="array" ref="X68">VLOOKUP(B68,'Player Data'!$A1:$AE673,12,FALSE)*$Q68*IFERROR((VLOOKUP(P68,Settings!$E$28:$F$33,2,FALSE)+1),1)</f>
        <v>26.190988254371494</v>
      </c>
      <c r="Y68" s="57" cm="1">
        <f t="array" ref="Y68">VLOOKUP(B68,'Player Data'!$A1:$AE673,13,FALSE)*$Q68</f>
        <v>0.27590689511573746</v>
      </c>
      <c r="Z68" s="57" cm="1">
        <f t="array" ref="Z68">VLOOKUP(B68,'Player Data'!$A1:$AE673,14,FALSE)*$Q68</f>
        <v>1.4739356697029358</v>
      </c>
      <c r="AA68" s="57" cm="1">
        <f t="array" ref="AA68">VLOOKUP(B68,'Player Data'!$A1:$AE673,15,FALSE)*$Q68</f>
        <v>62.46859412872405</v>
      </c>
      <c r="AB68" s="57" cm="1">
        <f t="array" ref="AB68">VLOOKUP(B68,'Player Data'!$A1:$AE673,16,FALSE)*$Q68</f>
        <v>55.773632086464985</v>
      </c>
      <c r="AC68" s="57" cm="1">
        <f t="array" ref="AC68">VLOOKUP(B68,'Player Data'!$A1:$AE673,17,FALSE)*$Q68*IFERROR((VLOOKUP(P68,Settings!$E$28:$F$33,2,FALSE)+1),1)</f>
        <v>1.9290774522844274</v>
      </c>
      <c r="AD68" s="57" cm="1">
        <f t="array" ref="AD68">VLOOKUP(B68,'Player Data'!$A1:$AE673,18,FALSE)*$Q68</f>
        <v>27.118954459142909</v>
      </c>
      <c r="AE68" s="57" cm="1">
        <f t="array" ref="AE68">VLOOKUP(B68,'Player Data'!$A1:$AE673,19,FALSE)*$Q68*IFERROR((VLOOKUP(P68,Settings!$E$28:$F$33,2,FALSE)+1),1)</f>
        <v>4.8319990463150608</v>
      </c>
      <c r="AF68" s="57" cm="1">
        <f t="array" ref="AF68">VLOOKUP(B68,'Player Data'!$A1:$AE673,20,FALSE)*$Q68</f>
        <v>1032.813180595849</v>
      </c>
      <c r="AG68" s="57" cm="1">
        <f t="array" ref="AG68">VLOOKUP(B68,'Player Data'!$A1:$AE673,21,FALSE)*$Q68</f>
        <v>815.62733161834876</v>
      </c>
      <c r="AH68" s="59" cm="1">
        <f t="array" ref="AH68">VLOOKUP(B68,'Player Data'!$A1:$AE673,22,FALSE)</f>
        <v>0.55874840102842804</v>
      </c>
      <c r="AI68" s="55"/>
      <c r="AJ68" s="57"/>
      <c r="AK68" s="57"/>
      <c r="AL68" s="57"/>
      <c r="AM68" s="57"/>
      <c r="AN68" s="57"/>
      <c r="AO68" s="57"/>
      <c r="AP68" s="57"/>
      <c r="AQ68" s="60"/>
      <c r="AR68" s="61"/>
      <c r="AS68" s="55"/>
    </row>
    <row r="69" spans="1:45" ht="21.25" customHeight="1" x14ac:dyDescent="0.15">
      <c r="A69" s="62">
        <f t="shared" si="1"/>
        <v>68</v>
      </c>
      <c r="B69" s="10" t="s">
        <v>197</v>
      </c>
      <c r="C69" s="47" t="s">
        <v>128</v>
      </c>
      <c r="D69" s="48" t="str" cm="1">
        <f t="array" ref="D69">VLOOKUP(B69,'Player Data'!A1:D673,4,FALSE)</f>
        <v>C</v>
      </c>
      <c r="E69" s="49" cm="1">
        <f t="array" ref="E69">VLOOKUP(B69,'C'!A1:C210,3,FALSE)</f>
        <v>20</v>
      </c>
      <c r="F69" s="65" t="str" cm="1">
        <f t="array" ref="F69">VLOOKUP(B69,'Player Data'!A1:B673,2,FALSE)</f>
        <v>CAR</v>
      </c>
      <c r="G69" s="11" cm="1">
        <f t="array" ref="G69">VLOOKUP(B69,'Player Data'!A1:D673,3,FALSE)</f>
        <v>29</v>
      </c>
      <c r="H69" s="51" cm="1">
        <f t="array" ref="H69">IFERROR(VLOOKUP(B69,ADP!A1:F671,6,FALSE)/1000000,VLOOKUP(B69,ADP!A1:F671,6,FALSE))</f>
        <v>9.75</v>
      </c>
      <c r="I69" s="52">
        <f>IF(Settings!$E$15="POINTS",((R69*Q69)*Settings!$B$12)+(S69*Settings!$B$2)+(T69*Settings!$B$3)+(U69*Settings!$B$4)+(V69*Settings!$B$5)+(X69*Settings!$B$9)+(AA69*Settings!$B$6)+(W69*Settings!$B$8)+(AB69*Settings!$B$7)+(AC69*Settings!$B$14)+(AD69*Settings!$B$15)+(AE69*Settings!$B$16)+(AF69*Settings!$B$17)+(AG69*Settings!$B$18)+(Y69*Settings!$B$10)+(Z69*Settings!$B$11),VLOOKUP(B69,'Standard Deviations'!A$1:C$672,3,FALSE))</f>
        <v>387.90150989274497</v>
      </c>
      <c r="J69" s="53" cm="1">
        <f t="array" ref="J69">IF(D69="G",I69/AJ69,I69/Q69)</f>
        <v>4.6913165615618908</v>
      </c>
      <c r="K69" s="52" cm="1">
        <f t="array" ref="K69">IF(Settings!$E$18="C/LW/RW",VLOOKUP(B69,'C'!A1:F210,6,FALSE),VLOOKUP(B69,F!A1:F407,6,FALSE))</f>
        <v>1.3663034996619672</v>
      </c>
      <c r="L69" s="54" cm="1">
        <f t="array" ref="L69">IFERROR(K69/H69,"N/A")</f>
        <v>0.14013369227302228</v>
      </c>
      <c r="M69" s="55">
        <v>81.400000000000006</v>
      </c>
      <c r="N69" s="55" cm="1">
        <f t="array" ref="N69">IFERROR(M69-A69,"N/A")</f>
        <v>13.400000000000006</v>
      </c>
      <c r="O69" s="55"/>
      <c r="P69" s="56" t="str" cm="1">
        <f t="array" ref="P69">_xlfn.XLOOKUP($B69,ADP!A2:A671,ADP!G2:G671)</f>
        <v xml:space="preserve"> </v>
      </c>
      <c r="Q69" s="57" cm="1">
        <f t="array" ref="Q69">IF(Settings!$E$12="YES",VLOOKUP(B69,'Player Data'!A1:E673,5,FALSE),84)</f>
        <v>82.685000000000002</v>
      </c>
      <c r="R69" s="55" cm="1">
        <f t="array" ref="R69">VLOOKUP(B69,'Player Data'!$A1:$AE673,6,FALSE)</f>
        <v>19.492326552248901</v>
      </c>
      <c r="S69" s="57" cm="1">
        <f t="array" ref="S69">VLOOKUP(B69,'Player Data'!$A1:$AE673,7,FALSE)*$Q69*IFERROR((VLOOKUP(P69,Settings!$E$28:$F$33,2,FALSE)+1),1)</f>
        <v>29.78649443729558</v>
      </c>
      <c r="T69" s="57" cm="1">
        <f t="array" ref="T69">VLOOKUP(B69,'Player Data'!$A1:$AE673,8,FALSE)*$Q69*IFERROR((VLOOKUP(P69,Settings!$E$28:$F$33,2,FALSE)+1),1)</f>
        <v>50.248090788531215</v>
      </c>
      <c r="U69" s="57" cm="1">
        <f t="array" ref="U69">SUM(S69:T69)</f>
        <v>80.034585225826788</v>
      </c>
      <c r="V69" s="57" cm="1">
        <f t="array" ref="V69">VLOOKUP(B69,'Player Data'!$A1:$AE673,10,FALSE)*$Q69*IFERROR(((VLOOKUP(P69,Settings!$E$28:$F$33,2,FALSE)/2)+1),1)</f>
        <v>207.82350755106782</v>
      </c>
      <c r="W69" s="58" cm="1">
        <f t="array" ref="W69">VLOOKUP(B69,'Player Data'!$A1:$AE673,11,FALSE)*$Q69*IFERROR((VLOOKUP(P69,Settings!$E$28:$F$33,2,FALSE)+1),1)</f>
        <v>7.0767387961260964</v>
      </c>
      <c r="X69" s="57" cm="1">
        <f t="array" ref="X69">VLOOKUP(B69,'Player Data'!$A1:$AE673,12,FALSE)*$Q69*IFERROR((VLOOKUP(P69,Settings!$E$28:$F$33,2,FALSE)+1),1)</f>
        <v>25.220644437387534</v>
      </c>
      <c r="Y69" s="57" cm="1">
        <f t="array" ref="Y69">VLOOKUP(B69,'Player Data'!$A1:$AE673,13,FALSE)*$Q69</f>
        <v>1.9775687681537102</v>
      </c>
      <c r="Z69" s="57" cm="1">
        <f t="array" ref="Z69">VLOOKUP(B69,'Player Data'!$A1:$AE673,14,FALSE)*$Q69</f>
        <v>4.6851923076792801</v>
      </c>
      <c r="AA69" s="57" cm="1">
        <f t="array" ref="AA69">VLOOKUP(B69,'Player Data'!$A1:$AE673,15,FALSE)*$Q69</f>
        <v>27.960327389327599</v>
      </c>
      <c r="AB69" s="57" cm="1">
        <f t="array" ref="AB69">VLOOKUP(B69,'Player Data'!$A1:$AE673,16,FALSE)*$Q69</f>
        <v>65.207031011837259</v>
      </c>
      <c r="AC69" s="57" cm="1">
        <f t="array" ref="AC69">VLOOKUP(B69,'Player Data'!$A1:$AE673,17,FALSE)*$Q69*IFERROR((VLOOKUP(P69,Settings!$E$28:$F$33,2,FALSE)+1),1)</f>
        <v>7.6847267012965359</v>
      </c>
      <c r="AD69" s="57" cm="1">
        <f t="array" ref="AD69">VLOOKUP(B69,'Player Data'!$A1:$AE673,18,FALSE)*$Q69</f>
        <v>40.439866570953676</v>
      </c>
      <c r="AE69" s="57" cm="1">
        <f t="array" ref="AE69">VLOOKUP(B69,'Player Data'!$A1:$AE673,19,FALSE)*$Q69*IFERROR((VLOOKUP(P69,Settings!$E$28:$F$33,2,FALSE)+1),1)</f>
        <v>5.1151088100724769</v>
      </c>
      <c r="AF69" s="57" cm="1">
        <f t="array" ref="AF69">VLOOKUP(B69,'Player Data'!$A1:$AE673,20,FALSE)*$Q69</f>
        <v>641.86010994387163</v>
      </c>
      <c r="AG69" s="57" cm="1">
        <f t="array" ref="AG69">VLOOKUP(B69,'Player Data'!$A1:$AE673,21,FALSE)*$Q69</f>
        <v>568.56777618985313</v>
      </c>
      <c r="AH69" s="59" cm="1">
        <f t="array" ref="AH69">VLOOKUP(B69,'Player Data'!$A1:$AE673,22,FALSE)</f>
        <v>0.53027538219898596</v>
      </c>
      <c r="AI69" s="55"/>
      <c r="AJ69" s="57"/>
      <c r="AK69" s="57"/>
      <c r="AL69" s="57"/>
      <c r="AM69" s="57"/>
      <c r="AN69" s="57"/>
      <c r="AO69" s="57"/>
      <c r="AP69" s="57"/>
      <c r="AQ69" s="60"/>
      <c r="AR69" s="61"/>
      <c r="AS69" s="55"/>
    </row>
    <row r="70" spans="1:45" ht="21.25" customHeight="1" x14ac:dyDescent="0.15">
      <c r="A70" s="62">
        <f t="shared" si="1"/>
        <v>69</v>
      </c>
      <c r="B70" s="10" t="s">
        <v>200</v>
      </c>
      <c r="C70" s="47" t="s">
        <v>147</v>
      </c>
      <c r="D70" s="48" t="str" cm="1">
        <f t="array" ref="D70">VLOOKUP(B70,'Player Data'!A1:D673,4,FALSE)</f>
        <v>D</v>
      </c>
      <c r="E70" s="68" cm="1">
        <f t="array" ref="E70">VLOOKUP(B70,D!A1:C204,3,FALSE)</f>
        <v>25</v>
      </c>
      <c r="F70" s="63" t="str" cm="1">
        <f t="array" ref="F70">VLOOKUP(B70,'Player Data'!A1:B673,2,FALSE)</f>
        <v>DAL</v>
      </c>
      <c r="G70" s="11" cm="1">
        <f t="array" ref="G70">VLOOKUP(B70,'Player Data'!A1:D673,3,FALSE)</f>
        <v>25</v>
      </c>
      <c r="H70" s="51" cm="1">
        <f t="array" ref="H70">IFERROR(VLOOKUP(B70,ADP!A1:F671,6,FALSE)/1000000,VLOOKUP(B70,ADP!A1:F671,6,FALSE))</f>
        <v>10.856999999999999</v>
      </c>
      <c r="I70" s="52">
        <f>IF(Settings!$E$15="POINTS",((R70*Q70)*Settings!$B$12)+(S70*Settings!$B$2)+(T70*Settings!$B$3)+(U70*Settings!$B$4)+(V70*Settings!$B$5)+(X70*Settings!$B$9)+(AA70*Settings!$B$6)+(W70*Settings!$B$8)+(AB70*Settings!$B$7)+(AC70*Settings!$B$14)+(AD70*Settings!$B$15)+(AE70*Settings!$B$16)+(AF70*Settings!$B$17)+(AG70*Settings!$B$18)+(U70*Settings!$B$13)+(Y70*Settings!$B$10)+(Z70*Settings!$B$11),VLOOKUP(B70,'Standard Deviations'!A$1:C$672,3,FALSE))</f>
        <v>306.65386734459406</v>
      </c>
      <c r="J70" s="53" cm="1">
        <f t="array" ref="J70">IF(D70="G",I70/AJ70,I70/Q70)</f>
        <v>3.7835147112226291</v>
      </c>
      <c r="K70" s="52" cm="1">
        <f t="array" ref="K70">VLOOKUP(B70,D!A1:F204,6,FALSE)</f>
        <v>0</v>
      </c>
      <c r="L70" s="54" cm="1">
        <f t="array" ref="L70">IFERROR(K70/H70,"N/A")</f>
        <v>0</v>
      </c>
      <c r="M70" s="55">
        <v>115</v>
      </c>
      <c r="N70" s="55" cm="1">
        <f t="array" ref="N70">IFERROR(M70-A70,"N/A")</f>
        <v>46</v>
      </c>
      <c r="O70" s="55"/>
      <c r="P70" s="56" t="str" cm="1">
        <f t="array" ref="P70">_xlfn.XLOOKUP($B70,ADP!A2:A671,ADP!G2:G671)</f>
        <v>+</v>
      </c>
      <c r="Q70" s="57" cm="1">
        <f t="array" ref="Q70">IF(Settings!$E$12="YES",VLOOKUP(B70,'Player Data'!A1:E673,5,FALSE),84)</f>
        <v>81.05</v>
      </c>
      <c r="R70" s="55" cm="1">
        <f t="array" ref="R70">VLOOKUP(B70,'Player Data'!$A1:$AE673,6,FALSE)</f>
        <v>22.6807609252504</v>
      </c>
      <c r="S70" s="57" cm="1">
        <f t="array" ref="S70">VLOOKUP(B70,'Player Data'!$A1:$AE673,7,FALSE)*$Q70*IFERROR((VLOOKUP(P70,Settings!$E$28:$F$33,2,FALSE)+1),1)</f>
        <v>12.797866303594336</v>
      </c>
      <c r="T70" s="57" cm="1">
        <f t="array" ref="T70">VLOOKUP(B70,'Player Data'!$A1:$AE673,8,FALSE)*$Q70*IFERROR((VLOOKUP(P70,Settings!$E$28:$F$33,2,FALSE)+1),1)</f>
        <v>36.698429756299809</v>
      </c>
      <c r="U70" s="57" cm="1">
        <f t="array" ref="U70">SUM(S70:T70)</f>
        <v>49.496296059894149</v>
      </c>
      <c r="V70" s="57" cm="1">
        <f t="array" ref="V70">VLOOKUP(B70,'Player Data'!$A1:$AE673,10,FALSE)*$Q70*IFERROR(((VLOOKUP(P70,Settings!$E$28:$F$33,2,FALSE)/2)+1),1)</f>
        <v>151.99125231708138</v>
      </c>
      <c r="W70" s="57" cm="1">
        <f t="array" ref="W70">VLOOKUP(B70,'Player Data'!$A1:$AE673,11,FALSE)*$Q70*IFERROR((VLOOKUP(P70,Settings!$E$28:$F$33,2,FALSE)+1),1)</f>
        <v>1.1520791189324362</v>
      </c>
      <c r="X70" s="57" cm="1">
        <f t="array" ref="X70">VLOOKUP(B70,'Player Data'!$A1:$AE673,12,FALSE)*$Q70*IFERROR((VLOOKUP(P70,Settings!$E$28:$F$33,2,FALSE)+1),1)</f>
        <v>10.606550378217854</v>
      </c>
      <c r="Y70" s="57" cm="1">
        <f t="array" ref="Y70">VLOOKUP(B70,'Player Data'!$A1:$AE673,13,FALSE)*$Q70</f>
        <v>0.13188456778547092</v>
      </c>
      <c r="Z70" s="57" cm="1">
        <f t="array" ref="Z70">VLOOKUP(B70,'Player Data'!$A1:$AE673,14,FALSE)*$Q70</f>
        <v>0.17713128447464485</v>
      </c>
      <c r="AA70" s="57" cm="1">
        <f t="array" ref="AA70">VLOOKUP(B70,'Player Data'!$A1:$AE673,15,FALSE)*$Q70</f>
        <v>142.77134268735693</v>
      </c>
      <c r="AB70" s="57" cm="1">
        <f t="array" ref="AB70">VLOOKUP(B70,'Player Data'!$A1:$AE673,16,FALSE)*$Q70</f>
        <v>47.226245681894021</v>
      </c>
      <c r="AC70" s="57" cm="1">
        <f t="array" ref="AC70">VLOOKUP(B70,'Player Data'!$A1:$AE673,17,FALSE)*$Q70*IFERROR((VLOOKUP(P70,Settings!$E$28:$F$33,2,FALSE)+1),1)</f>
        <v>6.7601823220876645</v>
      </c>
      <c r="AD70" s="57" cm="1">
        <f t="array" ref="AD70">VLOOKUP(B70,'Player Data'!$A1:$AE673,18,FALSE)*$Q70</f>
        <v>26.149340277684352</v>
      </c>
      <c r="AE70" s="57" cm="1">
        <f t="array" ref="AE70">VLOOKUP(B70,'Player Data'!$A1:$AE673,19,FALSE)*$Q70*IFERROR((VLOOKUP(P70,Settings!$E$28:$F$33,2,FALSE)+1),1)</f>
        <v>2.1644108944987392</v>
      </c>
      <c r="AF70" s="57" cm="1">
        <f t="array" ref="AF70">VLOOKUP(B70,'Player Data'!$A1:$AE673,20,FALSE)*$Q70</f>
        <v>0</v>
      </c>
      <c r="AG70" s="57" cm="1">
        <f t="array" ref="AG70">VLOOKUP(B70,'Player Data'!$A1:$AE673,21,FALSE)*$Q70</f>
        <v>0</v>
      </c>
      <c r="AH70" s="59" cm="1">
        <f t="array" ref="AH70">VLOOKUP(B70,'Player Data'!$A1:$AE673,22,FALSE)</f>
        <v>0</v>
      </c>
      <c r="AI70" s="55"/>
      <c r="AJ70" s="57"/>
      <c r="AK70" s="57"/>
      <c r="AL70" s="57"/>
      <c r="AM70" s="57"/>
      <c r="AN70" s="57"/>
      <c r="AO70" s="57"/>
      <c r="AP70" s="57"/>
      <c r="AQ70" s="60"/>
      <c r="AR70" s="61"/>
      <c r="AS70" s="55"/>
    </row>
    <row r="71" spans="1:45" ht="21.25" customHeight="1" x14ac:dyDescent="0.15">
      <c r="A71" s="62">
        <f t="shared" si="1"/>
        <v>69</v>
      </c>
      <c r="B71" s="10" t="s">
        <v>198</v>
      </c>
      <c r="C71" s="47" t="s">
        <v>128</v>
      </c>
      <c r="D71" s="48" t="str" cm="1">
        <f t="array" ref="D71">VLOOKUP(B71,'Player Data'!A1:D673,4,FALSE)</f>
        <v>C,RW</v>
      </c>
      <c r="E71" s="74" cm="1">
        <f t="array" ref="E71">VLOOKUP(B71,RW!A1:F210,3,FALSE)</f>
        <v>20</v>
      </c>
      <c r="F71" s="56" t="str" cm="1">
        <f t="array" ref="F71">VLOOKUP(B71,'Player Data'!A1:B673,2,FALSE)</f>
        <v>NYR</v>
      </c>
      <c r="G71" s="66" cm="1">
        <f t="array" ref="G71">VLOOKUP(B71,'Player Data'!A1:D673,3,FALSE)</f>
        <v>33</v>
      </c>
      <c r="H71" s="51" cm="1">
        <f t="array" ref="H71">IFERROR(VLOOKUP(B71,ADP!A1:F671,6,FALSE)/1000000,VLOOKUP(B71,ADP!A1:F671,6,FALSE))</f>
        <v>8.5</v>
      </c>
      <c r="I71" s="52">
        <f>IF(Settings!$E$15="POINTS",((R71*Q71)*Settings!$B$12)+(S71*Settings!$B$2)+(T71*Settings!$B$3)+(U71*Settings!$B$4)+(V71*Settings!$B$5)+(X71*Settings!$B$9)+(AA71*Settings!$B$6)+(W71*Settings!$B$8)+(AB71*Settings!$B$7)+(AC71*Settings!$B$14)+(AD71*Settings!$B$15)+(AE71*Settings!$B$16)+(AF71*Settings!$B$17)+(AG71*Settings!$B$18)+(Y71*Settings!$B$10)+(Z71*Settings!$B$11),VLOOKUP(B71,'Standard Deviations'!A$1:C$672,3,FALSE))</f>
        <v>394.94346469355747</v>
      </c>
      <c r="J71" s="53" cm="1">
        <f t="array" ref="J71">IF(D71="G",I71/AJ71,I71/Q71)</f>
        <v>4.7156020977709021</v>
      </c>
      <c r="K71" s="52" cm="1">
        <f t="array" ref="K71">IF(Settings!$E$18="C/LW/RW",VLOOKUP(B71,RW!A1:F210,6,FALSE),VLOOKUP(B71,F!A1:F407,6,FALSE))</f>
        <v>0</v>
      </c>
      <c r="L71" s="54" cm="1">
        <f t="array" ref="L71">IFERROR(K71/H71,"N/A")</f>
        <v>0</v>
      </c>
      <c r="M71" s="55">
        <v>91.9</v>
      </c>
      <c r="N71" s="55" cm="1">
        <f t="array" ref="N71">IFERROR(M71-A71,"N/A")</f>
        <v>22.900000000000006</v>
      </c>
      <c r="O71" s="55"/>
      <c r="P71" s="56" t="str" cm="1">
        <f t="array" ref="P71">_xlfn.XLOOKUP($B71,ADP!A2:A671,ADP!G2:G671)</f>
        <v xml:space="preserve"> </v>
      </c>
      <c r="Q71" s="57" cm="1">
        <f t="array" ref="Q71">IF(Settings!$E$12="YES",VLOOKUP(B71,'Player Data'!A1:E673,5,FALSE),84)</f>
        <v>83.752499999999998</v>
      </c>
      <c r="R71" s="55" cm="1">
        <f t="array" ref="R71">VLOOKUP(B71,'Player Data'!$A1:$AE673,6,FALSE)</f>
        <v>20.994112513667801</v>
      </c>
      <c r="S71" s="57" cm="1">
        <f t="array" ref="S71">VLOOKUP(B71,'Player Data'!$A1:$AE673,7,FALSE)*$Q71*IFERROR((VLOOKUP(P71,Settings!$E$28:$F$33,2,FALSE)+1),1)</f>
        <v>28.832254288547723</v>
      </c>
      <c r="T71" s="57" cm="1">
        <f t="array" ref="T71">VLOOKUP(B71,'Player Data'!$A1:$AE673,8,FALSE)*$Q71*IFERROR((VLOOKUP(P71,Settings!$E$28:$F$33,2,FALSE)+1),1)</f>
        <v>45.786530433937052</v>
      </c>
      <c r="U71" s="57" cm="1">
        <f t="array" ref="U71">SUM(S71:T71)</f>
        <v>74.618784722484776</v>
      </c>
      <c r="V71" s="57" cm="1">
        <f t="array" ref="V71">VLOOKUP(B71,'Player Data'!$A1:$AE673,10,FALSE)*$Q71*IFERROR(((VLOOKUP(P71,Settings!$E$28:$F$33,2,FALSE)/2)+1),1)</f>
        <v>224.05294314387919</v>
      </c>
      <c r="W71" s="58" cm="1">
        <f t="array" ref="W71">VLOOKUP(B71,'Player Data'!$A1:$AE673,11,FALSE)*$Q71*IFERROR((VLOOKUP(P71,Settings!$E$28:$F$33,2,FALSE)+1),1)</f>
        <v>12.238247321714065</v>
      </c>
      <c r="X71" s="57" cm="1">
        <f t="array" ref="X71">VLOOKUP(B71,'Player Data'!$A1:$AE673,12,FALSE)*$Q71*IFERROR((VLOOKUP(P71,Settings!$E$28:$F$33,2,FALSE)+1),1)</f>
        <v>30.153614012201587</v>
      </c>
      <c r="Y71" s="57" cm="1">
        <f t="array" ref="Y71">VLOOKUP(B71,'Player Data'!$A1:$AE673,13,FALSE)*$Q71</f>
        <v>0.66095447427097209</v>
      </c>
      <c r="Z71" s="57" cm="1">
        <f t="array" ref="Z71">VLOOKUP(B71,'Player Data'!$A1:$AE673,14,FALSE)*$Q71</f>
        <v>2.8703864939465085</v>
      </c>
      <c r="AA71" s="57" cm="1">
        <f t="array" ref="AA71">VLOOKUP(B71,'Player Data'!$A1:$AE673,15,FALSE)*$Q71</f>
        <v>52.073276896030954</v>
      </c>
      <c r="AB71" s="57" cm="1">
        <f t="array" ref="AB71">VLOOKUP(B71,'Player Data'!$A1:$AE673,16,FALSE)*$Q71</f>
        <v>87.398083716793437</v>
      </c>
      <c r="AC71" s="57" cm="1">
        <f t="array" ref="AC71">VLOOKUP(B71,'Player Data'!$A1:$AE673,17,FALSE)*$Q71*IFERROR((VLOOKUP(P71,Settings!$E$28:$F$33,2,FALSE)+1),1)</f>
        <v>-0.80030882335730391</v>
      </c>
      <c r="AD71" s="57" cm="1">
        <f t="array" ref="AD71">VLOOKUP(B71,'Player Data'!$A1:$AE673,18,FALSE)*$Q71</f>
        <v>23.385113742485078</v>
      </c>
      <c r="AE71" s="57" cm="1">
        <f t="array" ref="AE71">VLOOKUP(B71,'Player Data'!$A1:$AE673,19,FALSE)*$Q71*IFERROR((VLOOKUP(P71,Settings!$E$28:$F$33,2,FALSE)+1),1)</f>
        <v>4.5296564818184271</v>
      </c>
      <c r="AF71" s="57" cm="1">
        <f t="array" ref="AF71">VLOOKUP(B71,'Player Data'!$A1:$AE673,20,FALSE)*$Q71</f>
        <v>596.48431472871061</v>
      </c>
      <c r="AG71" s="57" cm="1">
        <f t="array" ref="AG71">VLOOKUP(B71,'Player Data'!$A1:$AE673,21,FALSE)*$Q71</f>
        <v>561.62450965206131</v>
      </c>
      <c r="AH71" s="59" cm="1">
        <f t="array" ref="AH71">VLOOKUP(B71,'Player Data'!$A1:$AE673,22,FALSE)</f>
        <v>0.51505031493706499</v>
      </c>
      <c r="AI71" s="55"/>
      <c r="AJ71" s="57"/>
      <c r="AK71" s="57"/>
      <c r="AL71" s="57"/>
      <c r="AM71" s="57"/>
      <c r="AN71" s="57"/>
      <c r="AO71" s="57"/>
      <c r="AP71" s="57"/>
      <c r="AQ71" s="60"/>
      <c r="AR71" s="61"/>
      <c r="AS71" s="55"/>
    </row>
    <row r="72" spans="1:45" ht="21.25" customHeight="1" x14ac:dyDescent="0.15">
      <c r="A72" s="62">
        <f t="shared" si="1"/>
        <v>69</v>
      </c>
      <c r="B72" s="10" t="s">
        <v>199</v>
      </c>
      <c r="C72" s="76"/>
      <c r="D72" s="48" t="str" cm="1">
        <f t="array" ref="D72">VLOOKUP(B72,'Player Data'!A1:D673,4,FALSE)</f>
        <v>G</v>
      </c>
      <c r="E72" s="77" cm="1">
        <f t="array" ref="E72">VLOOKUP(B72,G!A1:D66,3,FALSE)</f>
        <v>9</v>
      </c>
      <c r="F72" s="56" t="str" cm="1">
        <f t="array" ref="F72">VLOOKUP(B72,'Player Data'!A1:B673,2,FALSE)</f>
        <v>CHI</v>
      </c>
      <c r="G72" s="11" cm="1">
        <f t="array" ref="G72">VLOOKUP(B72,'Player Data'!A1:D673,3,FALSE)</f>
        <v>25</v>
      </c>
      <c r="H72" s="51" cm="1">
        <f t="array" ref="H72">IFERROR(VLOOKUP(B72,ADP!A1:F671,6,FALSE)/1000000,VLOOKUP(B72,ADP!A1:F671,6,FALSE))</f>
        <v>5.8330000000000002</v>
      </c>
      <c r="I72" s="52">
        <f>IF(Settings!$E$15="POINTS",(AJ72*Settings!$B$29)+(AK72*Settings!$B$21)+(AL72*Settings!$B$22)+(AN72*Settings!$B$24)+(AO72*Settings!$B$25)+(AP72*Settings!$B$27)+(AM72*Settings!$B$23),VLOOKUP(B72,'Standard Deviations'!A$1:C$672,3,FALSE))</f>
        <v>359.15790793023803</v>
      </c>
      <c r="J72" s="53" cm="1">
        <f t="array" ref="J72">IF(D72="G",I72/AJ72,I72/Q72)</f>
        <v>6.530143780549782</v>
      </c>
      <c r="K72" s="52" cm="1">
        <f t="array" ref="K72">VLOOKUP(B72,G!A1:F66,6,FALSE)</f>
        <v>0</v>
      </c>
      <c r="L72" s="54" cm="1">
        <f t="array" ref="L72">IFERROR(K72/H72,"N/A")</f>
        <v>0</v>
      </c>
      <c r="M72" s="55">
        <v>135.4</v>
      </c>
      <c r="N72" s="55" cm="1">
        <f t="array" ref="N72">IFERROR(M72-A72,"N/A")</f>
        <v>66.400000000000006</v>
      </c>
      <c r="O72" s="55"/>
      <c r="P72" s="56" t="str" cm="1">
        <f t="array" ref="P72">_xlfn.XLOOKUP($B72,ADP!A2:A671,ADP!G2:G671)</f>
        <v xml:space="preserve"> </v>
      </c>
      <c r="Q72" s="57"/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9"/>
      <c r="AI72" s="55"/>
      <c r="AJ72" s="78" cm="1">
        <f t="array" ref="AJ72">VLOOKUP(B72,'Player Data'!$A1:$AE673,24,FALSE)</f>
        <v>55</v>
      </c>
      <c r="AK72" s="57" cm="1">
        <f t="array" ref="AK72">VLOOKUP(B72,'Player Data'!$A1:$AE673,25,FALSE)*$AJ72*IFERROR((VLOOKUP(P72,Settings!$E$28:$F$33,2,FALSE)+1),1)</f>
        <v>21.763104785186876</v>
      </c>
      <c r="AL72" s="57" cm="1">
        <f t="array" ref="AL72">AJ72-AK72-AM72</f>
        <v>24.927671411109827</v>
      </c>
      <c r="AM72" s="57" cm="1">
        <f t="array" ref="AM72">VLOOKUP(B72,'Player Data'!$A1:$AE673,27,FALSE)*$AJ72</f>
        <v>8.3092238037032953</v>
      </c>
      <c r="AN72" s="57" cm="1">
        <f t="array" ref="AN72">VLOOKUP(B72,'Player Data'!$A1:$AE673,28,FALSE)*AJ72</f>
        <v>1.7761981296372005</v>
      </c>
      <c r="AO72" s="57" cm="1">
        <f t="array" ref="AO72">VLOOKUP(B72,'Player Data'!$A1:$AE673,29,FALSE)*$AJ72*IFERROR((VLOOKUP(P72,Settings!$E$28:$F$33,2,FALSE)/4)+1,1)</f>
        <v>1614.3786550546984</v>
      </c>
      <c r="AP72" s="57" cm="1">
        <f t="array" ref="AP72">VLOOKUP(B72,'Player Data'!$A1:$AE673,31,FALSE)*$AJ72*(IFERROR(1-(VLOOKUP(P72,Settings!$E$28:$F$33,2,FALSE)/4),1))</f>
        <v>171.69897736076965</v>
      </c>
      <c r="AQ72" s="60" cm="1">
        <f t="array" ref="AQ72">1-(AP72/(AO72+AP72))</f>
        <v>0.90386813302814495</v>
      </c>
      <c r="AR72" s="61" cm="1">
        <f t="array" ref="AR72">AP72/AJ72</f>
        <v>3.1217995883776299</v>
      </c>
      <c r="AS72" s="55"/>
    </row>
    <row r="73" spans="1:45" ht="21.25" customHeight="1" x14ac:dyDescent="0.15">
      <c r="A73" s="62">
        <f t="shared" si="1"/>
        <v>72</v>
      </c>
      <c r="B73" s="10" t="s">
        <v>201</v>
      </c>
      <c r="C73" s="47" t="s">
        <v>128</v>
      </c>
      <c r="D73" s="48" t="str" cm="1">
        <f t="array" ref="D73">VLOOKUP(B73,'Player Data'!A1:D673,4,FALSE)</f>
        <v>RW</v>
      </c>
      <c r="E73" s="64" cm="1">
        <f t="array" ref="E73">VLOOKUP(B73,RW!A1:F210,3,FALSE)</f>
        <v>21</v>
      </c>
      <c r="F73" s="72" t="str" cm="1">
        <f t="array" ref="F73">VLOOKUP(B73,'Player Data'!A1:B673,2,FALSE)</f>
        <v>FLA</v>
      </c>
      <c r="G73" s="11" cm="1">
        <f t="array" ref="G73">VLOOKUP(B73,'Player Data'!A1:D673,3,FALSE)</f>
        <v>30</v>
      </c>
      <c r="H73" s="51" cm="1">
        <f t="array" ref="H73">IFERROR(VLOOKUP(B73,ADP!A1:F671,6,FALSE)/1000000,VLOOKUP(B73,ADP!A1:F671,6,FALSE))</f>
        <v>8.625</v>
      </c>
      <c r="I73" s="52">
        <f>IF(Settings!$E$15="POINTS",((R73*Q73)*Settings!$B$12)+(S73*Settings!$B$2)+(T73*Settings!$B$3)+(U73*Settings!$B$4)+(V73*Settings!$B$5)+(X73*Settings!$B$9)+(AA73*Settings!$B$6)+(W73*Settings!$B$8)+(AB73*Settings!$B$7)+(AC73*Settings!$B$14)+(AD73*Settings!$B$15)+(AE73*Settings!$B$16)+(AF73*Settings!$B$17)+(AG73*Settings!$B$18)+(Y73*Settings!$B$10)+(Z73*Settings!$B$11),VLOOKUP(B73,'Standard Deviations'!A$1:C$672,3,FALSE))</f>
        <v>392.22670305232941</v>
      </c>
      <c r="J73" s="53" cm="1">
        <f t="array" ref="J73">IF(D73="G",I73/AJ73,I73/Q73)</f>
        <v>4.8770767266912793</v>
      </c>
      <c r="K73" s="52" cm="1">
        <f t="array" ref="K73">IF(Settings!$E$18="C/LW/RW",VLOOKUP(B73,RW!A1:F210,6,FALSE),VLOOKUP(B73,F!A1:F407,6,FALSE))</f>
        <v>-2.7167616412280609</v>
      </c>
      <c r="L73" s="54" cm="1">
        <f t="array" ref="L73">IFERROR(K73/H73,"N/A")</f>
        <v>-0.31498685695397804</v>
      </c>
      <c r="M73" s="55">
        <v>43.1</v>
      </c>
      <c r="N73" s="55" cm="1">
        <f t="array" ref="N73">IFERROR(M73-A73,"N/A")</f>
        <v>-28.9</v>
      </c>
      <c r="O73" s="55"/>
      <c r="P73" s="56" t="str" cm="1">
        <f t="array" ref="P73">_xlfn.XLOOKUP($B73,ADP!A2:A671,ADP!G2:G671)</f>
        <v xml:space="preserve"> </v>
      </c>
      <c r="Q73" s="57" cm="1">
        <f t="array" ref="Q73">IF(Settings!$E$12="YES",VLOOKUP(B73,'Player Data'!A1:E673,5,FALSE),84)</f>
        <v>80.422499999999999</v>
      </c>
      <c r="R73" s="84" cm="1">
        <f t="array" ref="R73">VLOOKUP(B73,'Player Data'!$A1:$AE673,6,FALSE)</f>
        <v>20.191913700457299</v>
      </c>
      <c r="S73" s="57" cm="1">
        <f t="array" ref="S73">VLOOKUP(B73,'Player Data'!$A1:$AE673,7,FALSE)*$Q73*IFERROR((VLOOKUP(P73,Settings!$E$28:$F$33,2,FALSE)+1),1)</f>
        <v>38.262697442378936</v>
      </c>
      <c r="T73" s="57" cm="1">
        <f t="array" ref="T73">VLOOKUP(B73,'Player Data'!$A1:$AE673,8,FALSE)*$Q73*IFERROR((VLOOKUP(P73,Settings!$E$28:$F$33,2,FALSE)+1),1)</f>
        <v>39.050318975027885</v>
      </c>
      <c r="U73" s="57" cm="1">
        <f t="array" ref="U73">SUM(S73:T73)</f>
        <v>77.313016417406828</v>
      </c>
      <c r="V73" s="57" cm="1">
        <f t="array" ref="V73">VLOOKUP(B73,'Player Data'!$A1:$AE673,10,FALSE)*$Q73*IFERROR(((VLOOKUP(P73,Settings!$E$28:$F$33,2,FALSE)/2)+1),1)</f>
        <v>203.89464515346376</v>
      </c>
      <c r="W73" s="58" cm="1">
        <f t="array" ref="W73">VLOOKUP(B73,'Player Data'!$A1:$AE673,11,FALSE)*$Q73*IFERROR((VLOOKUP(P73,Settings!$E$28:$F$33,2,FALSE)+1),1)</f>
        <v>14.441842439128498</v>
      </c>
      <c r="X73" s="57" cm="1">
        <f t="array" ref="X73">VLOOKUP(B73,'Player Data'!$A1:$AE673,12,FALSE)*$Q73*IFERROR((VLOOKUP(P73,Settings!$E$28:$F$33,2,FALSE)+1),1)</f>
        <v>28.448360850633627</v>
      </c>
      <c r="Y73" s="57" cm="1">
        <f t="array" ref="Y73">VLOOKUP(B73,'Player Data'!$A1:$AE673,13,FALSE)*$Q73</f>
        <v>3.1629224825804596</v>
      </c>
      <c r="Z73" s="57" cm="1">
        <f t="array" ref="Z73">VLOOKUP(B73,'Player Data'!$A1:$AE673,14,FALSE)*$Q73</f>
        <v>3.8798481866657593</v>
      </c>
      <c r="AA73" s="57" cm="1">
        <f t="array" ref="AA73">VLOOKUP(B73,'Player Data'!$A1:$AE673,15,FALSE)*$Q73</f>
        <v>52.024244372155408</v>
      </c>
      <c r="AB73" s="57" cm="1">
        <f t="array" ref="AB73">VLOOKUP(B73,'Player Data'!$A1:$AE673,16,FALSE)*$Q73</f>
        <v>81.042769571261545</v>
      </c>
      <c r="AC73" s="57" cm="1">
        <f t="array" ref="AC73">VLOOKUP(B73,'Player Data'!$A1:$AE673,17,FALSE)*$Q73*IFERROR((VLOOKUP(P73,Settings!$E$28:$F$33,2,FALSE)+1),1)</f>
        <v>4.6425200984201966</v>
      </c>
      <c r="AD73" s="57" cm="1">
        <f t="array" ref="AD73">VLOOKUP(B73,'Player Data'!$A1:$AE673,18,FALSE)*$Q73</f>
        <v>22.763642360215822</v>
      </c>
      <c r="AE73" s="57" cm="1">
        <f t="array" ref="AE73">VLOOKUP(B73,'Player Data'!$A1:$AE673,19,FALSE)*$Q73*IFERROR((VLOOKUP(P73,Settings!$E$28:$F$33,2,FALSE)+1),1)</f>
        <v>6.3705771955748629</v>
      </c>
      <c r="AF73" s="57" cm="1">
        <f t="array" ref="AF73">VLOOKUP(B73,'Player Data'!$A1:$AE673,20,FALSE)*$Q73</f>
        <v>117.80007284857678</v>
      </c>
      <c r="AG73" s="57" cm="1">
        <f t="array" ref="AG73">VLOOKUP(B73,'Player Data'!$A1:$AE673,21,FALSE)*$Q73</f>
        <v>170.55230179108676</v>
      </c>
      <c r="AH73" s="59" cm="1">
        <f t="array" ref="AH73">VLOOKUP(B73,'Player Data'!$A1:$AE673,22,FALSE)</f>
        <v>0.40852818706897798</v>
      </c>
      <c r="AI73" s="55"/>
      <c r="AJ73" s="57"/>
      <c r="AK73" s="57"/>
      <c r="AL73" s="57"/>
      <c r="AM73" s="57"/>
      <c r="AN73" s="57"/>
      <c r="AO73" s="57"/>
      <c r="AP73" s="57"/>
      <c r="AQ73" s="60"/>
      <c r="AR73" s="61"/>
      <c r="AS73" s="55"/>
    </row>
    <row r="74" spans="1:45" ht="21.25" customHeight="1" x14ac:dyDescent="0.15">
      <c r="A74" s="62">
        <f t="shared" si="1"/>
        <v>73</v>
      </c>
      <c r="B74" s="10" t="s">
        <v>202</v>
      </c>
      <c r="C74" s="47" t="s">
        <v>147</v>
      </c>
      <c r="D74" s="48" t="str" cm="1">
        <f t="array" ref="D74">VLOOKUP(B74,'Player Data'!A1:D673,4,FALSE)</f>
        <v>D</v>
      </c>
      <c r="E74" s="68" cm="1">
        <f t="array" ref="E74">VLOOKUP(B74,D!A1:C204,3,FALSE)</f>
        <v>26</v>
      </c>
      <c r="F74" s="56" t="str" cm="1">
        <f t="array" ref="F74">VLOOKUP(B74,'Player Data'!A1:B673,2,FALSE)</f>
        <v>CHI</v>
      </c>
      <c r="G74" s="11" cm="1">
        <f t="array" ref="G74">VLOOKUP(B74,'Player Data'!A1:D673,3,FALSE)</f>
        <v>25</v>
      </c>
      <c r="H74" s="51" cm="1">
        <f t="array" ref="H74">IFERROR(VLOOKUP(B74,ADP!A1:F671,6,FALSE)/1000000,VLOOKUP(B74,ADP!A1:F671,6,FALSE))</f>
        <v>6.25</v>
      </c>
      <c r="I74" s="52">
        <f>IF(Settings!$E$15="POINTS",((R74*Q74)*Settings!$B$12)+(S74*Settings!$B$2)+(T74*Settings!$B$3)+(U74*Settings!$B$4)+(V74*Settings!$B$5)+(X74*Settings!$B$9)+(AA74*Settings!$B$6)+(W74*Settings!$B$8)+(AB74*Settings!$B$7)+(AC74*Settings!$B$14)+(AD74*Settings!$B$15)+(AE74*Settings!$B$16)+(AF74*Settings!$B$17)+(AG74*Settings!$B$18)+(U74*Settings!$B$13)+(Y74*Settings!$B$10)+(Z74*Settings!$B$11),VLOOKUP(B74,'Standard Deviations'!A$1:C$672,3,FALSE))</f>
        <v>301.21909601467479</v>
      </c>
      <c r="J74" s="53" cm="1">
        <f t="array" ref="J74">IF(D74="G",I74/AJ74,I74/Q74)</f>
        <v>3.6234704200009</v>
      </c>
      <c r="K74" s="52" cm="1">
        <f t="array" ref="K74">VLOOKUP(B74,D!A1:F204,6,FALSE)</f>
        <v>-5.4347713299192719</v>
      </c>
      <c r="L74" s="54" cm="1">
        <f t="array" ref="L74">IFERROR(K74/H74,"N/A")</f>
        <v>-0.86956341278708349</v>
      </c>
      <c r="M74" s="55">
        <v>112</v>
      </c>
      <c r="N74" s="55" cm="1">
        <f t="array" ref="N74">IFERROR(M74-A74,"N/A")</f>
        <v>39</v>
      </c>
      <c r="O74" s="55"/>
      <c r="P74" s="56" t="str" cm="1">
        <f t="array" ref="P74">_xlfn.XLOOKUP($B74,ADP!A2:A671,ADP!G2:G671)</f>
        <v>+</v>
      </c>
      <c r="Q74" s="57" cm="1">
        <f t="array" ref="Q74">IF(Settings!$E$12="YES",VLOOKUP(B74,'Player Data'!A1:E673,5,FALSE),84)</f>
        <v>83.13</v>
      </c>
      <c r="R74" s="82" cm="1">
        <f t="array" ref="R74">VLOOKUP(B74,'Player Data'!$A1:$AE673,6,FALSE)</f>
        <v>25.518523663252399</v>
      </c>
      <c r="S74" s="57" cm="1">
        <f t="array" ref="S74">VLOOKUP(B74,'Player Data'!$A1:$AE673,7,FALSE)*$Q74*IFERROR((VLOOKUP(P74,Settings!$E$28:$F$33,2,FALSE)+1),1)</f>
        <v>12.575040289235003</v>
      </c>
      <c r="T74" s="57" cm="1">
        <f t="array" ref="T74">VLOOKUP(B74,'Player Data'!$A1:$AE673,8,FALSE)*$Q74*IFERROR((VLOOKUP(P74,Settings!$E$28:$F$33,2,FALSE)+1),1)</f>
        <v>40.936414239583286</v>
      </c>
      <c r="U74" s="57" cm="1">
        <f t="array" ref="U74">SUM(S74:T74)</f>
        <v>53.511454528818291</v>
      </c>
      <c r="V74" s="57" cm="1">
        <f t="array" ref="V74">VLOOKUP(B74,'Player Data'!$A1:$AE673,10,FALSE)*$Q74*IFERROR(((VLOOKUP(P74,Settings!$E$28:$F$33,2,FALSE)/2)+1),1)</f>
        <v>137.41311064502167</v>
      </c>
      <c r="W74" s="58" cm="1">
        <f t="array" ref="W74">VLOOKUP(B74,'Player Data'!$A1:$AE673,11,FALSE)*$Q74*IFERROR((VLOOKUP(P74,Settings!$E$28:$F$33,2,FALSE)+1),1)</f>
        <v>1.8178285500473101</v>
      </c>
      <c r="X74" s="57" cm="1">
        <f t="array" ref="X74">VLOOKUP(B74,'Player Data'!$A1:$AE673,12,FALSE)*$Q74*IFERROR((VLOOKUP(P74,Settings!$E$28:$F$33,2,FALSE)+1),1)</f>
        <v>13.529877685904124</v>
      </c>
      <c r="Y74" s="57" cm="1">
        <f t="array" ref="Y74">VLOOKUP(B74,'Player Data'!$A1:$AE673,13,FALSE)*$Q74</f>
        <v>1.7142939585710011E-2</v>
      </c>
      <c r="Z74" s="57" cm="1">
        <f t="array" ref="Z74">VLOOKUP(B74,'Player Data'!$A1:$AE673,14,FALSE)*$Q74</f>
        <v>0.84330032929684429</v>
      </c>
      <c r="AA74" s="57" cm="1">
        <f t="array" ref="AA74">VLOOKUP(B74,'Player Data'!$A1:$AE673,15,FALSE)*$Q74</f>
        <v>115.20999818101625</v>
      </c>
      <c r="AB74" s="57" cm="1">
        <f t="array" ref="AB74">VLOOKUP(B74,'Player Data'!$A1:$AE673,16,FALSE)*$Q74</f>
        <v>66.38362414788844</v>
      </c>
      <c r="AC74" s="57" cm="1">
        <f t="array" ref="AC74">VLOOKUP(B74,'Player Data'!$A1:$AE673,17,FALSE)*$Q74*IFERROR((VLOOKUP(P74,Settings!$E$28:$F$33,2,FALSE)+1),1)</f>
        <v>-7.8188176551469777</v>
      </c>
      <c r="AD74" s="57" cm="1">
        <f t="array" ref="AD74">VLOOKUP(B74,'Player Data'!$A1:$AE673,18,FALSE)*$Q74</f>
        <v>49.876729051769573</v>
      </c>
      <c r="AE74" s="57" cm="1">
        <f t="array" ref="AE74">VLOOKUP(B74,'Player Data'!$A1:$AE673,19,FALSE)*$Q74*IFERROR((VLOOKUP(P74,Settings!$E$28:$F$33,2,FALSE)+1),1)</f>
        <v>1.551961784845554</v>
      </c>
      <c r="AF74" s="57" cm="1">
        <f t="array" ref="AF74">VLOOKUP(B74,'Player Data'!$A1:$AE673,20,FALSE)*$Q74</f>
        <v>0</v>
      </c>
      <c r="AG74" s="57" cm="1">
        <f t="array" ref="AG74">VLOOKUP(B74,'Player Data'!$A1:$AE673,21,FALSE)*$Q74</f>
        <v>0</v>
      </c>
      <c r="AH74" s="59" cm="1">
        <f t="array" ref="AH74">VLOOKUP(B74,'Player Data'!$A1:$AE673,22,FALSE)</f>
        <v>0</v>
      </c>
      <c r="AI74" s="55"/>
      <c r="AJ74" s="57"/>
      <c r="AK74" s="57"/>
      <c r="AL74" s="57"/>
      <c r="AM74" s="57"/>
      <c r="AN74" s="57"/>
      <c r="AO74" s="57"/>
      <c r="AP74" s="57"/>
      <c r="AQ74" s="60"/>
      <c r="AR74" s="61"/>
      <c r="AS74" s="55"/>
    </row>
    <row r="75" spans="1:45" ht="21.25" customHeight="1" x14ac:dyDescent="0.15">
      <c r="A75" s="62">
        <f t="shared" si="1"/>
        <v>74</v>
      </c>
      <c r="B75" s="10" t="s">
        <v>203</v>
      </c>
      <c r="C75" s="47" t="s">
        <v>128</v>
      </c>
      <c r="D75" s="48" t="str" cm="1">
        <f t="array" ref="D75">VLOOKUP(B75,'Player Data'!A1:D673,4,FALSE)</f>
        <v>C</v>
      </c>
      <c r="E75" s="49" cm="1">
        <f t="array" ref="E75">VLOOKUP(B75,'C'!A1:C210,3,FALSE)</f>
        <v>22</v>
      </c>
      <c r="F75" s="72" t="str" cm="1">
        <f t="array" ref="F75">VLOOKUP(B75,'Player Data'!A1:B673,2,FALSE)</f>
        <v>DET</v>
      </c>
      <c r="G75" s="11" cm="1">
        <f t="array" ref="G75">VLOOKUP(B75,'Player Data'!A1:D673,3,FALSE)</f>
        <v>30</v>
      </c>
      <c r="H75" s="51" cm="1">
        <f t="array" ref="H75">IFERROR(VLOOKUP(B75,ADP!A1:F671,6,FALSE)/1000000,VLOOKUP(B75,ADP!A1:F671,6,FALSE))</f>
        <v>8.6999999999999993</v>
      </c>
      <c r="I75" s="52">
        <f>IF(Settings!$E$15="POINTS",((R75*Q75)*Settings!$B$12)+(S75*Settings!$B$2)+(T75*Settings!$B$3)+(U75*Settings!$B$4)+(V75*Settings!$B$5)+(X75*Settings!$B$9)+(AA75*Settings!$B$6)+(W75*Settings!$B$8)+(AB75*Settings!$B$7)+(AC75*Settings!$B$14)+(AD75*Settings!$B$15)+(AE75*Settings!$B$16)+(AF75*Settings!$B$17)+(AG75*Settings!$B$18)+(Y75*Settings!$B$10)+(Z75*Settings!$B$11),VLOOKUP(B75,'Standard Deviations'!A$1:C$672,3,FALSE))</f>
        <v>380.51614842404416</v>
      </c>
      <c r="J75" s="53" cm="1">
        <f t="array" ref="J75">IF(D75="G",I75/AJ75,I75/Q75)</f>
        <v>4.685582421180202</v>
      </c>
      <c r="K75" s="52" cm="1">
        <f t="array" ref="K75">IF(Settings!$E$18="C/LW/RW",VLOOKUP(B75,'C'!A1:F210,6,FALSE),VLOOKUP(B75,F!A1:F407,6,FALSE))</f>
        <v>-6.0190579690388404</v>
      </c>
      <c r="L75" s="54" cm="1">
        <f t="array" ref="L75">IFERROR(K75/H75,"N/A")</f>
        <v>-0.69184574356768291</v>
      </c>
      <c r="M75" s="55">
        <v>93.3</v>
      </c>
      <c r="N75" s="55" cm="1">
        <f t="array" ref="N75">IFERROR(M75-A75,"N/A")</f>
        <v>19.299999999999997</v>
      </c>
      <c r="O75" s="55"/>
      <c r="P75" s="56" t="str" cm="1">
        <f t="array" ref="P75">_xlfn.XLOOKUP($B75,ADP!A2:A671,ADP!G2:G671)</f>
        <v xml:space="preserve"> </v>
      </c>
      <c r="Q75" s="57" cm="1">
        <f t="array" ref="Q75">IF(Settings!$E$12="YES",VLOOKUP(B75,'Player Data'!A1:E673,5,FALSE),84)</f>
        <v>81.209999999999994</v>
      </c>
      <c r="R75" s="55" cm="1">
        <f t="array" ref="R75">VLOOKUP(B75,'Player Data'!$A1:$AE673,6,FALSE)</f>
        <v>20.294954453433999</v>
      </c>
      <c r="S75" s="57" cm="1">
        <f t="array" ref="S75">VLOOKUP(B75,'Player Data'!$A1:$AE673,7,FALSE)*$Q75*IFERROR((VLOOKUP(P75,Settings!$E$28:$F$33,2,FALSE)+1),1)</f>
        <v>33.269086534944343</v>
      </c>
      <c r="T75" s="57" cm="1">
        <f t="array" ref="T75">VLOOKUP(B75,'Player Data'!$A1:$AE673,8,FALSE)*$Q75*IFERROR((VLOOKUP(P75,Settings!$E$28:$F$33,2,FALSE)+1),1)</f>
        <v>37.997849823068123</v>
      </c>
      <c r="U75" s="57" cm="1">
        <f t="array" ref="U75">SUM(S75:T75)</f>
        <v>71.266936358012458</v>
      </c>
      <c r="V75" s="57" cm="1">
        <f t="array" ref="V75">VLOOKUP(B75,'Player Data'!$A1:$AE673,10,FALSE)*$Q75*IFERROR(((VLOOKUP(P75,Settings!$E$28:$F$33,2,FALSE)/2)+1),1)</f>
        <v>242.95847170217641</v>
      </c>
      <c r="W75" s="58" cm="1">
        <f t="array" ref="W75">VLOOKUP(B75,'Player Data'!$A1:$AE673,11,FALSE)*$Q75*IFERROR((VLOOKUP(P75,Settings!$E$28:$F$33,2,FALSE)+1),1)</f>
        <v>13.241598478362583</v>
      </c>
      <c r="X75" s="57" cm="1">
        <f t="array" ref="X75">VLOOKUP(B75,'Player Data'!$A1:$AE673,12,FALSE)*$Q75*IFERROR((VLOOKUP(P75,Settings!$E$28:$F$33,2,FALSE)+1),1)</f>
        <v>25.515427073577079</v>
      </c>
      <c r="Y75" s="57" cm="1">
        <f t="array" ref="Y75">VLOOKUP(B75,'Player Data'!$A1:$AE673,13,FALSE)*$Q75</f>
        <v>0.85805998999219069</v>
      </c>
      <c r="Z75" s="57" cm="1">
        <f t="array" ref="Z75">VLOOKUP(B75,'Player Data'!$A1:$AE673,14,FALSE)*$Q75</f>
        <v>0.95533269575860802</v>
      </c>
      <c r="AA75" s="57" cm="1">
        <f t="array" ref="AA75">VLOOKUP(B75,'Player Data'!$A1:$AE673,15,FALSE)*$Q75</f>
        <v>37.530687459165691</v>
      </c>
      <c r="AB75" s="57" cm="1">
        <f t="array" ref="AB75">VLOOKUP(B75,'Player Data'!$A1:$AE673,16,FALSE)*$Q75</f>
        <v>51.848901412943697</v>
      </c>
      <c r="AC75" s="57" cm="1">
        <f t="array" ref="AC75">VLOOKUP(B75,'Player Data'!$A1:$AE673,17,FALSE)*$Q75*IFERROR((VLOOKUP(P75,Settings!$E$28:$F$33,2,FALSE)+1),1)</f>
        <v>-1.7991033135553087</v>
      </c>
      <c r="AD75" s="57" cm="1">
        <f t="array" ref="AD75">VLOOKUP(B75,'Player Data'!$A1:$AE673,18,FALSE)*$Q75</f>
        <v>39.53858403965382</v>
      </c>
      <c r="AE75" s="57" cm="1">
        <f t="array" ref="AE75">VLOOKUP(B75,'Player Data'!$A1:$AE673,19,FALSE)*$Q75*IFERROR((VLOOKUP(P75,Settings!$E$28:$F$33,2,FALSE)+1),1)</f>
        <v>5.2135287556634688</v>
      </c>
      <c r="AF75" s="57" cm="1">
        <f t="array" ref="AF75">VLOOKUP(B75,'Player Data'!$A1:$AE673,20,FALSE)*$Q75</f>
        <v>880.18135802567792</v>
      </c>
      <c r="AG75" s="57" cm="1">
        <f t="array" ref="AG75">VLOOKUP(B75,'Player Data'!$A1:$AE673,21,FALSE)*$Q75</f>
        <v>747.06605296894122</v>
      </c>
      <c r="AH75" s="59" cm="1">
        <f t="array" ref="AH75">VLOOKUP(B75,'Player Data'!$A1:$AE673,22,FALSE)</f>
        <v>0.54090198704798298</v>
      </c>
      <c r="AI75" s="55"/>
      <c r="AJ75" s="57"/>
      <c r="AK75" s="57"/>
      <c r="AL75" s="57"/>
      <c r="AM75" s="57"/>
      <c r="AN75" s="57"/>
      <c r="AO75" s="57"/>
      <c r="AP75" s="57"/>
      <c r="AQ75" s="60"/>
      <c r="AR75" s="61"/>
      <c r="AS75" s="55"/>
    </row>
    <row r="76" spans="1:45" ht="21.25" customHeight="1" x14ac:dyDescent="0.15">
      <c r="A76" s="62">
        <f t="shared" si="1"/>
        <v>75</v>
      </c>
      <c r="B76" s="10" t="s">
        <v>204</v>
      </c>
      <c r="C76" s="47" t="s">
        <v>128</v>
      </c>
      <c r="D76" s="48" t="str" cm="1">
        <f t="array" ref="D76">VLOOKUP(B76,'Player Data'!A1:D673,4,FALSE)</f>
        <v>C</v>
      </c>
      <c r="E76" s="49" cm="1">
        <f t="array" ref="E76">VLOOKUP(B76,'C'!A1:C210,3,FALSE)</f>
        <v>23</v>
      </c>
      <c r="F76" s="72" t="str" cm="1">
        <f t="array" ref="F76">VLOOKUP(B76,'Player Data'!A1:B673,2,FALSE)</f>
        <v>NYI</v>
      </c>
      <c r="G76" s="66" cm="1">
        <f t="array" ref="G76">VLOOKUP(B76,'Player Data'!A1:D673,3,FALSE)</f>
        <v>31</v>
      </c>
      <c r="H76" s="51" cm="1">
        <f t="array" ref="H76">IFERROR(VLOOKUP(B76,ADP!A1:F671,6,FALSE)/1000000,VLOOKUP(B76,ADP!A1:F671,6,FALSE))</f>
        <v>8.5</v>
      </c>
      <c r="I76" s="52">
        <f>IF(Settings!$E$15="POINTS",((R76*Q76)*Settings!$B$12)+(S76*Settings!$B$2)+(T76*Settings!$B$3)+(U76*Settings!$B$4)+(V76*Settings!$B$5)+(X76*Settings!$B$9)+(AA76*Settings!$B$6)+(W76*Settings!$B$8)+(AB76*Settings!$B$7)+(AC76*Settings!$B$14)+(AD76*Settings!$B$15)+(AE76*Settings!$B$16)+(AF76*Settings!$B$17)+(AG76*Settings!$B$18)+(Y76*Settings!$B$10)+(Z76*Settings!$B$11),VLOOKUP(B76,'Standard Deviations'!A$1:C$672,3,FALSE))</f>
        <v>378.93996407838853</v>
      </c>
      <c r="J76" s="53" cm="1">
        <f t="array" ref="J76">IF(D76="G",I76/AJ76,I76/Q76)</f>
        <v>4.6604349290171996</v>
      </c>
      <c r="K76" s="52" cm="1">
        <f t="array" ref="K76">IF(Settings!$E$18="C/LW/RW",VLOOKUP(B76,'C'!A1:F210,6,FALSE),VLOOKUP(B76,F!A1:F407,6,FALSE))</f>
        <v>-7.5952423146944739</v>
      </c>
      <c r="L76" s="54" cm="1">
        <f t="array" ref="L76">IFERROR(K76/H76,"N/A")</f>
        <v>-0.89355791937582041</v>
      </c>
      <c r="M76" s="55">
        <v>126.1</v>
      </c>
      <c r="N76" s="55" cm="1">
        <f t="array" ref="N76">IFERROR(M76-A76,"N/A")</f>
        <v>51.099999999999994</v>
      </c>
      <c r="O76" s="55"/>
      <c r="P76" s="56" t="str" cm="1">
        <f t="array" ref="P76">_xlfn.XLOOKUP($B76,ADP!A2:A671,ADP!G2:G671)</f>
        <v xml:space="preserve"> </v>
      </c>
      <c r="Q76" s="57" cm="1">
        <f t="array" ref="Q76">IF(Settings!$E$12="YES",VLOOKUP(B76,'Player Data'!A1:E673,5,FALSE),84)</f>
        <v>81.31</v>
      </c>
      <c r="R76" s="82" cm="1">
        <f t="array" ref="R76">VLOOKUP(B76,'Player Data'!$A1:$AE673,6,FALSE)</f>
        <v>21.984453850891601</v>
      </c>
      <c r="S76" s="57" cm="1">
        <f t="array" ref="S76">VLOOKUP(B76,'Player Data'!$A1:$AE673,7,FALSE)*$Q76*IFERROR((VLOOKUP(P76,Settings!$E$28:$F$33,2,FALSE)+1),1)</f>
        <v>33.410131237954452</v>
      </c>
      <c r="T76" s="57" cm="1">
        <f t="array" ref="T76">VLOOKUP(B76,'Player Data'!$A1:$AE673,8,FALSE)*$Q76*IFERROR((VLOOKUP(P76,Settings!$E$28:$F$33,2,FALSE)+1),1)</f>
        <v>33.596340148838749</v>
      </c>
      <c r="U76" s="57" cm="1">
        <f t="array" ref="U76">SUM(S76:T76)</f>
        <v>67.006471386793208</v>
      </c>
      <c r="V76" s="57" cm="1">
        <f t="array" ref="V76">VLOOKUP(B76,'Player Data'!$A1:$AE673,10,FALSE)*$Q76*IFERROR(((VLOOKUP(P76,Settings!$E$28:$F$33,2,FALSE)/2)+1),1)</f>
        <v>272.74495996845133</v>
      </c>
      <c r="W76" s="58" cm="1">
        <f t="array" ref="W76">VLOOKUP(B76,'Player Data'!$A1:$AE673,11,FALSE)*$Q76*IFERROR((VLOOKUP(P76,Settings!$E$28:$F$33,2,FALSE)+1),1)</f>
        <v>6.8606657715610639</v>
      </c>
      <c r="X76" s="57" cm="1">
        <f t="array" ref="X76">VLOOKUP(B76,'Player Data'!$A1:$AE673,12,FALSE)*$Q76*IFERROR((VLOOKUP(P76,Settings!$E$28:$F$33,2,FALSE)+1),1)</f>
        <v>15.314659949636438</v>
      </c>
      <c r="Y76" s="57" cm="1">
        <f t="array" ref="Y76">VLOOKUP(B76,'Player Data'!$A1:$AE673,13,FALSE)*$Q76</f>
        <v>1.8121630767291406</v>
      </c>
      <c r="Z76" s="57" cm="1">
        <f t="array" ref="Z76">VLOOKUP(B76,'Player Data'!$A1:$AE673,14,FALSE)*$Q76</f>
        <v>2.1712952313417859</v>
      </c>
      <c r="AA76" s="57" cm="1">
        <f t="array" ref="AA76">VLOOKUP(B76,'Player Data'!$A1:$AE673,15,FALSE)*$Q76</f>
        <v>48.124229505610074</v>
      </c>
      <c r="AB76" s="57" cm="1">
        <f t="array" ref="AB76">VLOOKUP(B76,'Player Data'!$A1:$AE673,16,FALSE)*$Q76</f>
        <v>76.136055475120983</v>
      </c>
      <c r="AC76" s="57" cm="1">
        <f t="array" ref="AC76">VLOOKUP(B76,'Player Data'!$A1:$AE673,17,FALSE)*$Q76*IFERROR((VLOOKUP(P76,Settings!$E$28:$F$33,2,FALSE)+1),1)</f>
        <v>-1.9379651538633949</v>
      </c>
      <c r="AD76" s="57" cm="1">
        <f t="array" ref="AD76">VLOOKUP(B76,'Player Data'!$A1:$AE673,18,FALSE)*$Q76</f>
        <v>31.976529622180745</v>
      </c>
      <c r="AE76" s="57" cm="1">
        <f t="array" ref="AE76">VLOOKUP(B76,'Player Data'!$A1:$AE673,19,FALSE)*$Q76*IFERROR((VLOOKUP(P76,Settings!$E$28:$F$33,2,FALSE)+1),1)</f>
        <v>4.8792647936231024</v>
      </c>
      <c r="AF76" s="57" cm="1">
        <f t="array" ref="AF76">VLOOKUP(B76,'Player Data'!$A1:$AE673,20,FALSE)*$Q76</f>
        <v>867.87289692353227</v>
      </c>
      <c r="AG76" s="57" cm="1">
        <f t="array" ref="AG76">VLOOKUP(B76,'Player Data'!$A1:$AE673,21,FALSE)*$Q76</f>
        <v>672.63921334848203</v>
      </c>
      <c r="AH76" s="59" cm="1">
        <f t="array" ref="AH76">VLOOKUP(B76,'Player Data'!$A1:$AE673,22,FALSE)</f>
        <v>0.56336648776509202</v>
      </c>
      <c r="AI76" s="55"/>
      <c r="AJ76" s="57"/>
      <c r="AK76" s="57"/>
      <c r="AL76" s="57"/>
      <c r="AM76" s="57"/>
      <c r="AN76" s="57"/>
      <c r="AO76" s="57"/>
      <c r="AP76" s="57"/>
      <c r="AQ76" s="60"/>
      <c r="AR76" s="61"/>
      <c r="AS76" s="55"/>
    </row>
    <row r="77" spans="1:45" ht="21.25" customHeight="1" x14ac:dyDescent="0.15">
      <c r="A77" s="62">
        <f t="shared" si="1"/>
        <v>76</v>
      </c>
      <c r="B77" s="10" t="s">
        <v>205</v>
      </c>
      <c r="C77" s="76"/>
      <c r="D77" s="48" t="str" cm="1">
        <f t="array" ref="D77">VLOOKUP(B77,'Player Data'!A1:D673,4,FALSE)</f>
        <v>G</v>
      </c>
      <c r="E77" s="77" cm="1">
        <f t="array" ref="E77">VLOOKUP(B77,G!A1:D66,3,FALSE)</f>
        <v>10</v>
      </c>
      <c r="F77" s="18" t="str" cm="1">
        <f t="array" ref="F77">VLOOKUP(B77,'Player Data'!A1:B673,2,FALSE)</f>
        <v>CGY</v>
      </c>
      <c r="G77" s="11" cm="1">
        <f t="array" ref="G77">VLOOKUP(B77,'Player Data'!A1:D673,3,FALSE)</f>
        <v>25</v>
      </c>
      <c r="H77" s="51" cm="1">
        <f t="array" ref="H77">IFERROR(VLOOKUP(B77,ADP!A1:F671,6,FALSE)/1000000,VLOOKUP(B77,ADP!A1:F671,6,FALSE))</f>
        <v>7.5</v>
      </c>
      <c r="I77" s="52">
        <f>IF(Settings!$E$15="POINTS",(AJ77*Settings!$B$29)+(AK77*Settings!$B$21)+(AL77*Settings!$B$22)+(AN77*Settings!$B$24)+(AO77*Settings!$B$25)+(AP77*Settings!$B$27)+(AM77*Settings!$B$23),VLOOKUP(B77,'Standard Deviations'!A$1:C$672,3,FALSE))</f>
        <v>351.52208793321063</v>
      </c>
      <c r="J77" s="53" cm="1">
        <f t="array" ref="J77">IF(D77="G",I77/AJ77,I77/Q77)</f>
        <v>6.3913106896947385</v>
      </c>
      <c r="K77" s="52" cm="1">
        <f t="array" ref="K77">VLOOKUP(B77,G!A1:F66,6,FALSE)</f>
        <v>-7.6358199970273972</v>
      </c>
      <c r="L77" s="54" cm="1">
        <f t="array" ref="L77">IFERROR(K77/H77,"N/A")</f>
        <v>-1.0181093329369864</v>
      </c>
      <c r="M77" s="55">
        <v>139.9</v>
      </c>
      <c r="N77" s="55" cm="1">
        <f t="array" ref="N77">IFERROR(M77-A77,"N/A")</f>
        <v>63.900000000000006</v>
      </c>
      <c r="O77" s="55"/>
      <c r="P77" s="56" t="str" cm="1">
        <f t="array" ref="P77">_xlfn.XLOOKUP($B77,ADP!A2:A671,ADP!G2:G671)</f>
        <v xml:space="preserve"> </v>
      </c>
      <c r="Q77" s="57"/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9"/>
      <c r="AI77" s="55"/>
      <c r="AJ77" s="78" cm="1">
        <f t="array" ref="AJ77">VLOOKUP(B77,'Player Data'!$A1:$AE673,24,FALSE)</f>
        <v>55</v>
      </c>
      <c r="AK77" s="57" cm="1">
        <f t="array" ref="AK77">VLOOKUP(B77,'Player Data'!$A1:$AE673,25,FALSE)*$AJ77*IFERROR((VLOOKUP(P77,Settings!$E$28:$F$33,2,FALSE)+1),1)</f>
        <v>19.942569712542177</v>
      </c>
      <c r="AL77" s="57" cm="1">
        <f t="array" ref="AL77">AJ77-AK77-AM77</f>
        <v>26.293072715593365</v>
      </c>
      <c r="AM77" s="57" cm="1">
        <f t="array" ref="AM77">VLOOKUP(B77,'Player Data'!$A1:$AE673,27,FALSE)*$AJ77</f>
        <v>8.7643575718644549</v>
      </c>
      <c r="AN77" s="57" cm="1">
        <f t="array" ref="AN77">VLOOKUP(B77,'Player Data'!$A1:$AE673,28,FALSE)*AJ77</f>
        <v>2.3323430585576492</v>
      </c>
      <c r="AO77" s="57" cm="1">
        <f t="array" ref="AO77">VLOOKUP(B77,'Player Data'!$A1:$AE673,29,FALSE)*$AJ77*IFERROR((VLOOKUP(P77,Settings!$E$28:$F$33,2,FALSE)/4)+1,1)</f>
        <v>1565.2416323203111</v>
      </c>
      <c r="AP77" s="57" cm="1">
        <f t="array" ref="AP77">VLOOKUP(B77,'Player Data'!$A1:$AE673,31,FALSE)*$AJ77*(IFERROR(1-(VLOOKUP(P77,Settings!$E$28:$F$33,2,FALSE)/4),1))</f>
        <v>164.41959347437637</v>
      </c>
      <c r="AQ77" s="60" cm="1">
        <f t="array" ref="AQ77">1-(AP77/(AO77+AP77))</f>
        <v>0.90494115782769291</v>
      </c>
      <c r="AR77" s="61" cm="1">
        <f t="array" ref="AR77">AP77/AJ77</f>
        <v>2.9894471540795702</v>
      </c>
      <c r="AS77" s="55"/>
    </row>
    <row r="78" spans="1:45" ht="21.25" customHeight="1" x14ac:dyDescent="0.15">
      <c r="A78" s="62">
        <f t="shared" si="1"/>
        <v>77</v>
      </c>
      <c r="B78" s="10" t="s">
        <v>206</v>
      </c>
      <c r="C78" s="47" t="s">
        <v>147</v>
      </c>
      <c r="D78" s="48" t="str" cm="1">
        <f t="array" ref="D78">VLOOKUP(B78,'Player Data'!A1:D673,4,FALSE)</f>
        <v>D</v>
      </c>
      <c r="E78" s="68" cm="1">
        <f t="array" ref="E78">VLOOKUP(B78,D!A1:C204,3,FALSE)</f>
        <v>27</v>
      </c>
      <c r="F78" s="70" t="str" cm="1">
        <f t="array" ref="F78">VLOOKUP(B78,'Player Data'!A1:B673,2,FALSE)</f>
        <v>MIN</v>
      </c>
      <c r="G78" s="71" cm="1">
        <f t="array" ref="G78">VLOOKUP(B78,'Player Data'!A1:D673,3,FALSE)</f>
        <v>24</v>
      </c>
      <c r="H78" s="51" cm="1">
        <f t="array" ref="H78">IFERROR(VLOOKUP(B78,ADP!A1:F671,6,FALSE)/1000000,VLOOKUP(B78,ADP!A1:F671,6,FALSE))</f>
        <v>8.5</v>
      </c>
      <c r="I78" s="52">
        <f>IF(Settings!$E$15="POINTS",((R78*Q78)*Settings!$B$12)+(S78*Settings!$B$2)+(T78*Settings!$B$3)+(U78*Settings!$B$4)+(V78*Settings!$B$5)+(X78*Settings!$B$9)+(AA78*Settings!$B$6)+(W78*Settings!$B$8)+(AB78*Settings!$B$7)+(AC78*Settings!$B$14)+(AD78*Settings!$B$15)+(AE78*Settings!$B$16)+(AF78*Settings!$B$17)+(AG78*Settings!$B$18)+(U78*Settings!$B$13)+(Y78*Settings!$B$10)+(Z78*Settings!$B$11),VLOOKUP(B78,'Standard Deviations'!A$1:C$672,3,FALSE))</f>
        <v>298.21854846288124</v>
      </c>
      <c r="J78" s="53" cm="1">
        <f t="array" ref="J78">IF(D78="G",I78/AJ78,I78/Q78)</f>
        <v>3.587591560455714</v>
      </c>
      <c r="K78" s="52" cm="1">
        <f t="array" ref="K78">VLOOKUP(B78,D!A1:F204,6,FALSE)</f>
        <v>-8.4353188817128171</v>
      </c>
      <c r="L78" s="54" cm="1">
        <f t="array" ref="L78">IFERROR(K78/H78,"N/A")</f>
        <v>-0.99239045667209613</v>
      </c>
      <c r="M78" s="55">
        <v>83.5</v>
      </c>
      <c r="N78" s="55" cm="1">
        <f t="array" ref="N78">IFERROR(M78-A78,"N/A")</f>
        <v>6.5</v>
      </c>
      <c r="O78" s="55"/>
      <c r="P78" s="56" t="str" cm="1">
        <f t="array" ref="P78">_xlfn.XLOOKUP($B78,ADP!A2:A671,ADP!G2:G671)</f>
        <v xml:space="preserve"> </v>
      </c>
      <c r="Q78" s="57" cm="1">
        <f t="array" ref="Q78">IF(Settings!$E$12="YES",VLOOKUP(B78,'Player Data'!A1:E673,5,FALSE),84)</f>
        <v>83.125</v>
      </c>
      <c r="R78" s="55" cm="1">
        <f t="array" ref="R78">VLOOKUP(B78,'Player Data'!$A1:$AE673,6,FALSE)</f>
        <v>24.9432635003811</v>
      </c>
      <c r="S78" s="57" cm="1">
        <f t="array" ref="S78">VLOOKUP(B78,'Player Data'!$A1:$AE673,7,FALSE)*$Q78*IFERROR((VLOOKUP(P78,Settings!$E$28:$F$33,2,FALSE)+1),1)</f>
        <v>12.922574977737426</v>
      </c>
      <c r="T78" s="57" cm="1">
        <f t="array" ref="T78">VLOOKUP(B78,'Player Data'!$A1:$AE673,8,FALSE)*$Q78*IFERROR((VLOOKUP(P78,Settings!$E$28:$F$33,2,FALSE)+1),1)</f>
        <v>31.885933315846454</v>
      </c>
      <c r="U78" s="57" cm="1">
        <f t="array" ref="U78">SUM(S78:T78)</f>
        <v>44.808508293583884</v>
      </c>
      <c r="V78" s="57" cm="1">
        <f t="array" ref="V78">VLOOKUP(B78,'Player Data'!$A1:$AE673,10,FALSE)*$Q78*IFERROR(((VLOOKUP(P78,Settings!$E$28:$F$33,2,FALSE)/2)+1),1)</f>
        <v>161.24283082635705</v>
      </c>
      <c r="W78" s="57" cm="1">
        <f t="array" ref="W78">VLOOKUP(B78,'Player Data'!$A1:$AE673,11,FALSE)*$Q78*IFERROR((VLOOKUP(P78,Settings!$E$28:$F$33,2,FALSE)+1),1)</f>
        <v>1.155796032861508</v>
      </c>
      <c r="X78" s="57" cm="1">
        <f t="array" ref="X78">VLOOKUP(B78,'Player Data'!$A1:$AE673,12,FALSE)*$Q78*IFERROR((VLOOKUP(P78,Settings!$E$28:$F$33,2,FALSE)+1),1)</f>
        <v>8.3621917538772994</v>
      </c>
      <c r="Y78" s="57" cm="1">
        <f t="array" ref="Y78">VLOOKUP(B78,'Player Data'!$A1:$AE673,13,FALSE)*$Q78</f>
        <v>0.54434393038948647</v>
      </c>
      <c r="Z78" s="57" cm="1">
        <f t="array" ref="Z78">VLOOKUP(B78,'Player Data'!$A1:$AE673,14,FALSE)*$Q78</f>
        <v>1.4410124825245472</v>
      </c>
      <c r="AA78" s="57" cm="1">
        <f t="array" ref="AA78">VLOOKUP(B78,'Player Data'!$A1:$AE673,15,FALSE)*$Q78</f>
        <v>146.73680786509837</v>
      </c>
      <c r="AB78" s="57" cm="1">
        <f t="array" ref="AB78">VLOOKUP(B78,'Player Data'!$A1:$AE673,16,FALSE)*$Q78</f>
        <v>42.742664514556857</v>
      </c>
      <c r="AC78" s="57" cm="1">
        <f t="array" ref="AC78">VLOOKUP(B78,'Player Data'!$A1:$AE673,17,FALSE)*$Q78*IFERROR((VLOOKUP(P78,Settings!$E$28:$F$33,2,FALSE)+1),1)</f>
        <v>3.0506784697065563</v>
      </c>
      <c r="AD78" s="57" cm="1">
        <f t="array" ref="AD78">VLOOKUP(B78,'Player Data'!$A1:$AE673,18,FALSE)*$Q78</f>
        <v>31.628964756827688</v>
      </c>
      <c r="AE78" s="57" cm="1">
        <f t="array" ref="AE78">VLOOKUP(B78,'Player Data'!$A1:$AE673,19,FALSE)*$Q78*IFERROR((VLOOKUP(P78,Settings!$E$28:$F$33,2,FALSE)+1),1)</f>
        <v>2.1048870982282013</v>
      </c>
      <c r="AF78" s="57" cm="1">
        <f t="array" ref="AF78">VLOOKUP(B78,'Player Data'!$A1:$AE673,20,FALSE)*$Q78</f>
        <v>0</v>
      </c>
      <c r="AG78" s="57" cm="1">
        <f t="array" ref="AG78">VLOOKUP(B78,'Player Data'!$A1:$AE673,21,FALSE)*$Q78</f>
        <v>0</v>
      </c>
      <c r="AH78" s="59" cm="1">
        <f t="array" ref="AH78">VLOOKUP(B78,'Player Data'!$A1:$AE673,22,FALSE)</f>
        <v>0</v>
      </c>
      <c r="AI78" s="55"/>
      <c r="AJ78" s="57"/>
      <c r="AK78" s="57"/>
      <c r="AL78" s="57"/>
      <c r="AM78" s="57"/>
      <c r="AN78" s="57"/>
      <c r="AO78" s="57"/>
      <c r="AP78" s="57"/>
      <c r="AQ78" s="60"/>
      <c r="AR78" s="61"/>
      <c r="AS78" s="55"/>
    </row>
    <row r="79" spans="1:45" ht="21.25" customHeight="1" x14ac:dyDescent="0.15">
      <c r="A79" s="62">
        <f t="shared" si="1"/>
        <v>78</v>
      </c>
      <c r="B79" s="10" t="s">
        <v>207</v>
      </c>
      <c r="C79" s="47" t="s">
        <v>128</v>
      </c>
      <c r="D79" s="48" t="str" cm="1">
        <f t="array" ref="D79">VLOOKUP(B79,'Player Data'!A1:D673,4,FALSE)</f>
        <v>RW</v>
      </c>
      <c r="E79" s="64" cm="1">
        <f t="array" ref="E79">VLOOKUP(B79,RW!A1:F210,3,FALSE)</f>
        <v>22</v>
      </c>
      <c r="F79" s="69" t="str" cm="1">
        <f t="array" ref="F79">VLOOKUP(B79,'Player Data'!A1:B673,2,FALSE)</f>
        <v>CBJ</v>
      </c>
      <c r="G79" s="11" cm="1">
        <f t="array" ref="G79">VLOOKUP(B79,'Player Data'!A1:D673,3,FALSE)</f>
        <v>26</v>
      </c>
      <c r="H79" s="67" cm="1">
        <f t="array" ref="H79">IFERROR(VLOOKUP(B79,ADP!A1:F671,6,FALSE)/1000000,VLOOKUP(B79,ADP!A1:F671,6,FALSE))</f>
        <v>3.85</v>
      </c>
      <c r="I79" s="52">
        <f>IF(Settings!$E$15="POINTS",((R79*Q79)*Settings!$B$12)+(S79*Settings!$B$2)+(T79*Settings!$B$3)+(U79*Settings!$B$4)+(V79*Settings!$B$5)+(X79*Settings!$B$9)+(AA79*Settings!$B$6)+(W79*Settings!$B$8)+(AB79*Settings!$B$7)+(AC79*Settings!$B$14)+(AD79*Settings!$B$15)+(AE79*Settings!$B$16)+(AF79*Settings!$B$17)+(AG79*Settings!$B$18)+(Y79*Settings!$B$10)+(Z79*Settings!$B$11),VLOOKUP(B79,'Standard Deviations'!A$1:C$672,3,FALSE))</f>
        <v>385.41604058909758</v>
      </c>
      <c r="J79" s="53" cm="1">
        <f t="array" ref="J79">IF(D79="G",I79/AJ79,I79/Q79)</f>
        <v>4.6914706258372849</v>
      </c>
      <c r="K79" s="52" cm="1">
        <f t="array" ref="K79">IF(Settings!$E$18="C/LW/RW",VLOOKUP(B79,RW!A1:F210,6,FALSE),VLOOKUP(B79,F!A1:F407,6,FALSE))</f>
        <v>-9.5274241044598966</v>
      </c>
      <c r="L79" s="54" cm="1">
        <f t="array" ref="L79">IFERROR(K79/H79,"N/A")</f>
        <v>-2.4746556115480249</v>
      </c>
      <c r="M79" s="55">
        <v>60.4</v>
      </c>
      <c r="N79" s="55" cm="1">
        <f t="array" ref="N79">IFERROR(M79-A79,"N/A")</f>
        <v>-17.600000000000001</v>
      </c>
      <c r="O79" s="55"/>
      <c r="P79" s="56" t="str" cm="1">
        <f t="array" ref="P79">_xlfn.XLOOKUP($B79,ADP!A2:A671,ADP!G2:G671)</f>
        <v xml:space="preserve"> </v>
      </c>
      <c r="Q79" s="57" cm="1">
        <f t="array" ref="Q79">IF(Settings!$E$12="YES",VLOOKUP(B79,'Player Data'!A1:E673,5,FALSE),84)</f>
        <v>82.152500000000003</v>
      </c>
      <c r="R79" s="55" cm="1">
        <f t="array" ref="R79">VLOOKUP(B79,'Player Data'!$A1:$AE673,6,FALSE)</f>
        <v>19.1859620115833</v>
      </c>
      <c r="S79" s="57" cm="1">
        <f t="array" ref="S79">VLOOKUP(B79,'Player Data'!$A1:$AE673,7,FALSE)*$Q79*IFERROR((VLOOKUP(P79,Settings!$E$28:$F$33,2,FALSE)+1),1)</f>
        <v>30.556878326033701</v>
      </c>
      <c r="T79" s="57" cm="1">
        <f t="array" ref="T79">VLOOKUP(B79,'Player Data'!$A1:$AE673,8,FALSE)*$Q79*IFERROR((VLOOKUP(P79,Settings!$E$28:$F$33,2,FALSE)+1),1)</f>
        <v>43.456623266156384</v>
      </c>
      <c r="U79" s="57" cm="1">
        <f t="array" ref="U79">SUM(S79:T79)</f>
        <v>74.013501592190082</v>
      </c>
      <c r="V79" s="57" cm="1">
        <f t="array" ref="V79">VLOOKUP(B79,'Player Data'!$A1:$AE673,10,FALSE)*$Q79*IFERROR(((VLOOKUP(P79,Settings!$E$28:$F$33,2,FALSE)/2)+1),1)</f>
        <v>234.33707218717541</v>
      </c>
      <c r="W79" s="58" cm="1">
        <f t="array" ref="W79">VLOOKUP(B79,'Player Data'!$A1:$AE673,11,FALSE)*$Q79*IFERROR((VLOOKUP(P79,Settings!$E$28:$F$33,2,FALSE)+1),1)</f>
        <v>7.0246308497513139</v>
      </c>
      <c r="X79" s="57" cm="1">
        <f t="array" ref="X79">VLOOKUP(B79,'Player Data'!$A1:$AE673,12,FALSE)*$Q79*IFERROR((VLOOKUP(P79,Settings!$E$28:$F$33,2,FALSE)+1),1)</f>
        <v>24.794710881015796</v>
      </c>
      <c r="Y79" s="57" cm="1">
        <f t="array" ref="Y79">VLOOKUP(B79,'Player Data'!$A1:$AE673,13,FALSE)*$Q79</f>
        <v>0.12896935510620955</v>
      </c>
      <c r="Z79" s="57" cm="1">
        <f t="array" ref="Z79">VLOOKUP(B79,'Player Data'!$A1:$AE673,14,FALSE)*$Q79</f>
        <v>0.14419706240530805</v>
      </c>
      <c r="AA79" s="57" cm="1">
        <f t="array" ref="AA79">VLOOKUP(B79,'Player Data'!$A1:$AE673,15,FALSE)*$Q79</f>
        <v>42.53618355103702</v>
      </c>
      <c r="AB79" s="57" cm="1">
        <f t="array" ref="AB79">VLOOKUP(B79,'Player Data'!$A1:$AE673,16,FALSE)*$Q79</f>
        <v>62.546655171374098</v>
      </c>
      <c r="AC79" s="57" cm="1">
        <f t="array" ref="AC79">VLOOKUP(B79,'Player Data'!$A1:$AE673,17,FALSE)*$Q79*IFERROR((VLOOKUP(P79,Settings!$E$28:$F$33,2,FALSE)+1),1)</f>
        <v>4.1669581611173463</v>
      </c>
      <c r="AD79" s="57" cm="1">
        <f t="array" ref="AD79">VLOOKUP(B79,'Player Data'!$A1:$AE673,18,FALSE)*$Q79</f>
        <v>29.396642339394408</v>
      </c>
      <c r="AE79" s="57" cm="1">
        <f t="array" ref="AE79">VLOOKUP(B79,'Player Data'!$A1:$AE673,19,FALSE)*$Q79*IFERROR((VLOOKUP(P79,Settings!$E$28:$F$33,2,FALSE)+1),1)</f>
        <v>4.9239731610555824</v>
      </c>
      <c r="AF79" s="57" cm="1">
        <f t="array" ref="AF79">VLOOKUP(B79,'Player Data'!$A1:$AE673,20,FALSE)*$Q79</f>
        <v>10.203831252925292</v>
      </c>
      <c r="AG79" s="57" cm="1">
        <f t="array" ref="AG79">VLOOKUP(B79,'Player Data'!$A1:$AE673,21,FALSE)*$Q79</f>
        <v>15.501732804342257</v>
      </c>
      <c r="AH79" s="59" cm="1">
        <f t="array" ref="AH79">VLOOKUP(B79,'Player Data'!$A1:$AE673,22,FALSE)</f>
        <v>0.396950295671122</v>
      </c>
      <c r="AI79" s="55"/>
      <c r="AJ79" s="57"/>
      <c r="AK79" s="57"/>
      <c r="AL79" s="57"/>
      <c r="AM79" s="57"/>
      <c r="AN79" s="57"/>
      <c r="AO79" s="57"/>
      <c r="AP79" s="57"/>
      <c r="AQ79" s="60"/>
      <c r="AR79" s="61"/>
      <c r="AS79" s="55"/>
    </row>
    <row r="80" spans="1:45" ht="21.25" customHeight="1" x14ac:dyDescent="0.15">
      <c r="A80" s="62">
        <f t="shared" si="1"/>
        <v>79</v>
      </c>
      <c r="B80" s="10" t="s">
        <v>208</v>
      </c>
      <c r="C80" s="76"/>
      <c r="D80" s="48" t="str" cm="1">
        <f t="array" ref="D80">VLOOKUP(B80,'Player Data'!A1:D673,4,FALSE)</f>
        <v>G</v>
      </c>
      <c r="E80" s="77" cm="1">
        <f t="array" ref="E80">VLOOKUP(B80,G!A1:D66,3,FALSE)</f>
        <v>11</v>
      </c>
      <c r="F80" s="72" t="str" cm="1">
        <f t="array" ref="F80">VLOOKUP(B80,'Player Data'!A1:B673,2,FALSE)</f>
        <v>BOS</v>
      </c>
      <c r="G80" s="11" cm="1">
        <f t="array" ref="G80">VLOOKUP(B80,'Player Data'!A1:D673,3,FALSE)</f>
        <v>27</v>
      </c>
      <c r="H80" s="51" cm="1">
        <f t="array" ref="H80">IFERROR(VLOOKUP(B80,ADP!A1:F671,6,FALSE)/1000000,VLOOKUP(B80,ADP!A1:F671,6,FALSE))</f>
        <v>8.25</v>
      </c>
      <c r="I80" s="52">
        <f>IF(Settings!$E$15="POINTS",(AJ80*Settings!$B$29)+(AK80*Settings!$B$21)+(AL80*Settings!$B$22)+(AN80*Settings!$B$24)+(AO80*Settings!$B$25)+(AP80*Settings!$B$27)+(AM80*Settings!$B$23),VLOOKUP(B80,'Standard Deviations'!A$1:C$672,3,FALSE))</f>
        <v>348.59762629330135</v>
      </c>
      <c r="J80" s="53" cm="1">
        <f t="array" ref="J80">IF(D80="G",I80/AJ80,I80/Q80)</f>
        <v>6.3381386598782061</v>
      </c>
      <c r="K80" s="52" cm="1">
        <f t="array" ref="K80">VLOOKUP(B80,G!A1:F66,6,FALSE)</f>
        <v>-10.560281636936679</v>
      </c>
      <c r="L80" s="54" cm="1">
        <f t="array" ref="L80">IFERROR(K80/H80,"N/A")</f>
        <v>-1.2800341378105067</v>
      </c>
      <c r="M80" s="55">
        <v>64.900000000000006</v>
      </c>
      <c r="N80" s="55" cm="1">
        <f t="array" ref="N80">IFERROR(M80-A80,"N/A")</f>
        <v>-14.099999999999994</v>
      </c>
      <c r="O80" s="55"/>
      <c r="P80" s="56" t="str" cm="1">
        <f t="array" ref="P80">_xlfn.XLOOKUP($B80,ADP!A2:A671,ADP!G2:G671)</f>
        <v xml:space="preserve"> </v>
      </c>
      <c r="Q80" s="57"/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9"/>
      <c r="AI80" s="55"/>
      <c r="AJ80" s="78" cm="1">
        <f t="array" ref="AJ80">VLOOKUP(B80,'Player Data'!$A1:$AE673,24,FALSE)</f>
        <v>55</v>
      </c>
      <c r="AK80" s="57" cm="1">
        <f t="array" ref="AK80">VLOOKUP(B80,'Player Data'!$A1:$AE673,25,FALSE)*$AJ80*IFERROR((VLOOKUP(P80,Settings!$E$28:$F$33,2,FALSE)+1),1)</f>
        <v>26.748164853440084</v>
      </c>
      <c r="AL80" s="57" cm="1">
        <f t="array" ref="AL80">AJ80-AK80-AM80</f>
        <v>21.188876359919952</v>
      </c>
      <c r="AM80" s="57" cm="1">
        <f t="array" ref="AM80">VLOOKUP(B80,'Player Data'!$A1:$AE673,27,FALSE)*$AJ80</f>
        <v>7.0629587866399648</v>
      </c>
      <c r="AN80" s="57" cm="1">
        <f t="array" ref="AN80">VLOOKUP(B80,'Player Data'!$A1:$AE673,28,FALSE)*AJ80</f>
        <v>2.8607664816519525</v>
      </c>
      <c r="AO80" s="57" cm="1">
        <f t="array" ref="AO80">VLOOKUP(B80,'Player Data'!$A1:$AE673,29,FALSE)*$AJ80*IFERROR((VLOOKUP(P80,Settings!$E$28:$F$33,2,FALSE)/4)+1,1)</f>
        <v>1476.0030696399394</v>
      </c>
      <c r="AP80" s="57" cm="1">
        <f t="array" ref="AP80">VLOOKUP(B80,'Player Data'!$A1:$AE673,31,FALSE)*$AJ80*(IFERROR(1-(VLOOKUP(P80,Settings!$E$28:$F$33,2,FALSE)/4),1))</f>
        <v>157.5030565228802</v>
      </c>
      <c r="AQ80" s="60" cm="1">
        <f t="array" ref="AQ80">1-(AP80/(AO80+AP80))</f>
        <v>0.90357975767568011</v>
      </c>
      <c r="AR80" s="61" cm="1">
        <f t="array" ref="AR80">AP80/AJ80</f>
        <v>2.8636919367796398</v>
      </c>
      <c r="AS80" s="55"/>
    </row>
    <row r="81" spans="1:45" ht="21.25" customHeight="1" x14ac:dyDescent="0.15">
      <c r="A81" s="62">
        <f t="shared" si="1"/>
        <v>80</v>
      </c>
      <c r="B81" s="10" t="s">
        <v>209</v>
      </c>
      <c r="C81" s="76"/>
      <c r="D81" s="48" t="str" cm="1">
        <f t="array" ref="D81">VLOOKUP(B81,'Player Data'!A1:D673,4,FALSE)</f>
        <v>G</v>
      </c>
      <c r="E81" s="77" cm="1">
        <f t="array" ref="E81">VLOOKUP(B81,G!A1:D66,3,FALSE)</f>
        <v>12</v>
      </c>
      <c r="F81" s="72" t="str" cm="1">
        <f t="array" ref="F81">VLOOKUP(B81,'Player Data'!A1:B673,2,FALSE)</f>
        <v>DET</v>
      </c>
      <c r="G81" s="66" cm="1">
        <f t="array" ref="G81">VLOOKUP(B81,'Player Data'!A1:D673,3,FALSE)</f>
        <v>33</v>
      </c>
      <c r="H81" s="67" cm="1">
        <f t="array" ref="H81">IFERROR(VLOOKUP(B81,ADP!A1:F671,6,FALSE)/1000000,VLOOKUP(B81,ADP!A1:F671,6,FALSE))</f>
        <v>6.4</v>
      </c>
      <c r="I81" s="52">
        <f>IF(Settings!$E$15="POINTS",(AJ81*Settings!$B$29)+(AK81*Settings!$B$21)+(AL81*Settings!$B$22)+(AN81*Settings!$B$24)+(AO81*Settings!$B$25)+(AP81*Settings!$B$27)+(AM81*Settings!$B$23),VLOOKUP(B81,'Standard Deviations'!A$1:C$672,3,FALSE))</f>
        <v>348.42785409839871</v>
      </c>
      <c r="J81" s="53" cm="1">
        <f t="array" ref="J81">IF(D81="G",I81/AJ81,I81/Q81)</f>
        <v>6.335051892698158</v>
      </c>
      <c r="K81" s="52" cm="1">
        <f t="array" ref="K81">VLOOKUP(B81,G!A1:F66,6,FALSE)</f>
        <v>-10.730053831839314</v>
      </c>
      <c r="L81" s="54" cm="1">
        <f t="array" ref="L81">IFERROR(K81/H81,"N/A")</f>
        <v>-1.6765709112248928</v>
      </c>
      <c r="M81" s="55">
        <v>138.30000000000001</v>
      </c>
      <c r="N81" s="55" cm="1">
        <f t="array" ref="N81">IFERROR(M81-A81,"N/A")</f>
        <v>58.300000000000011</v>
      </c>
      <c r="O81" s="55"/>
      <c r="P81" s="56" t="str" cm="1">
        <f t="array" ref="P81">_xlfn.XLOOKUP($B81,ADP!A2:A671,ADP!G2:G671)</f>
        <v xml:space="preserve"> </v>
      </c>
      <c r="Q81" s="57"/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9"/>
      <c r="AI81" s="55"/>
      <c r="AJ81" s="78" cm="1">
        <f t="array" ref="AJ81">VLOOKUP(B81,'Player Data'!$A1:$AE673,24,FALSE)</f>
        <v>55</v>
      </c>
      <c r="AK81" s="57" cm="1">
        <f t="array" ref="AK81">VLOOKUP(B81,'Player Data'!$A1:$AE673,25,FALSE)*$AJ81*IFERROR((VLOOKUP(P81,Settings!$E$28:$F$33,2,FALSE)+1),1)</f>
        <v>26.660982547554301</v>
      </c>
      <c r="AL81" s="57" cm="1">
        <f t="array" ref="AL81">AJ81-AK81-AM81</f>
        <v>21.254263089334273</v>
      </c>
      <c r="AM81" s="57" cm="1">
        <f t="array" ref="AM81">VLOOKUP(B81,'Player Data'!$A1:$AE673,27,FALSE)*$AJ81</f>
        <v>7.0847543631114256</v>
      </c>
      <c r="AN81" s="57" cm="1">
        <f t="array" ref="AN81">VLOOKUP(B81,'Player Data'!$A1:$AE673,28,FALSE)*AJ81</f>
        <v>3.0433569848978617</v>
      </c>
      <c r="AO81" s="57" cm="1">
        <f t="array" ref="AO81">VLOOKUP(B81,'Player Data'!$A1:$AE673,29,FALSE)*$AJ81*IFERROR((VLOOKUP(P81,Settings!$E$28:$F$33,2,FALSE)/4)+1,1)</f>
        <v>1461.4818697612154</v>
      </c>
      <c r="AP81" s="57" cm="1">
        <f t="array" ref="AP81">VLOOKUP(B81,'Player Data'!$A1:$AE673,31,FALSE)*$AJ81*(IFERROR(1-(VLOOKUP(P81,Settings!$E$28:$F$33,2,FALSE)/4),1))</f>
        <v>155.11312846992325</v>
      </c>
      <c r="AQ81" s="60" cm="1">
        <f t="array" ref="AQ81">1-(AP81/(AO81+AP81))</f>
        <v>0.90404948138547603</v>
      </c>
      <c r="AR81" s="61" cm="1">
        <f t="array" ref="AR81">AP81/AJ81</f>
        <v>2.8202386994531499</v>
      </c>
      <c r="AS81" s="55"/>
    </row>
    <row r="82" spans="1:45" ht="21.25" customHeight="1" x14ac:dyDescent="0.15">
      <c r="A82" s="62">
        <f t="shared" si="1"/>
        <v>81</v>
      </c>
      <c r="B82" s="10" t="s">
        <v>210</v>
      </c>
      <c r="C82" s="47" t="s">
        <v>128</v>
      </c>
      <c r="D82" s="48" t="str" cm="1">
        <f t="array" ref="D82">VLOOKUP(B82,'Player Data'!A1:D673,4,FALSE)</f>
        <v>LW,RW</v>
      </c>
      <c r="E82" s="74" cm="1">
        <f t="array" ref="E82">VLOOKUP(B82,RW!A1:F210,3,FALSE)</f>
        <v>23</v>
      </c>
      <c r="F82" s="69" t="str" cm="1">
        <f t="array" ref="F82">VLOOKUP(B82,'Player Data'!A1:B673,2,FALSE)</f>
        <v>N.J</v>
      </c>
      <c r="G82" s="11" cm="1">
        <f t="array" ref="G82">VLOOKUP(B82,'Player Data'!A1:D673,3,FALSE)</f>
        <v>28</v>
      </c>
      <c r="H82" s="51" cm="1">
        <f t="array" ref="H82">IFERROR(VLOOKUP(B82,ADP!A1:F671,6,FALSE)/1000000,VLOOKUP(B82,ADP!A1:F671,6,FALSE))</f>
        <v>7.875</v>
      </c>
      <c r="I82" s="52">
        <f>IF(Settings!$E$15="POINTS",((R82*Q82)*Settings!$B$12)+(S82*Settings!$B$2)+(T82*Settings!$B$3)+(U82*Settings!$B$4)+(V82*Settings!$B$5)+(X82*Settings!$B$9)+(AA82*Settings!$B$6)+(W82*Settings!$B$8)+(AB82*Settings!$B$7)+(AC82*Settings!$B$14)+(AD82*Settings!$B$15)+(AE82*Settings!$B$16)+(AF82*Settings!$B$17)+(AG82*Settings!$B$18)+(Y82*Settings!$B$10)+(Z82*Settings!$B$11),VLOOKUP(B82,'Standard Deviations'!A$1:C$672,3,FALSE))</f>
        <v>383.46511643154287</v>
      </c>
      <c r="J82" s="53" cm="1">
        <f t="array" ref="J82">IF(D82="G",I82/AJ82,I82/Q82)</f>
        <v>4.5709105871388127</v>
      </c>
      <c r="K82" s="52" cm="1">
        <f t="array" ref="K82">IF(Settings!$E$18="C/LW/RW",VLOOKUP(B82,RW!A1:F210,6,FALSE),VLOOKUP(B82,F!A1:F407,6,FALSE))</f>
        <v>-11.478348262014606</v>
      </c>
      <c r="L82" s="54" cm="1">
        <f t="array" ref="L82">IFERROR(K82/H82,"N/A")</f>
        <v>-1.457568033271696</v>
      </c>
      <c r="M82" s="55">
        <v>75</v>
      </c>
      <c r="N82" s="55" cm="1">
        <f t="array" ref="N82">IFERROR(M82-A82,"N/A")</f>
        <v>-6</v>
      </c>
      <c r="O82" s="81"/>
      <c r="P82" s="56" t="str" cm="1">
        <f t="array" ref="P82">_xlfn.XLOOKUP($B82,ADP!A2:A671,ADP!G2:G671)</f>
        <v xml:space="preserve"> </v>
      </c>
      <c r="Q82" s="57" cm="1">
        <f t="array" ref="Q82">IF(Settings!$E$12="YES",VLOOKUP(B82,'Player Data'!A1:E673,5,FALSE),84)</f>
        <v>83.892499999999998</v>
      </c>
      <c r="R82" s="55" cm="1">
        <f t="array" ref="R82">VLOOKUP(B82,'Player Data'!$A1:$AE673,6,FALSE)</f>
        <v>18.999089639862799</v>
      </c>
      <c r="S82" s="57" cm="1">
        <f t="array" ref="S82">VLOOKUP(B82,'Player Data'!$A1:$AE673,7,FALSE)*$Q82*IFERROR((VLOOKUP(P82,Settings!$E$28:$F$33,2,FALSE)+1),1)</f>
        <v>23.634483074865877</v>
      </c>
      <c r="T82" s="57" cm="1">
        <f t="array" ref="T82">VLOOKUP(B82,'Player Data'!$A1:$AE673,8,FALSE)*$Q82*IFERROR((VLOOKUP(P82,Settings!$E$28:$F$33,2,FALSE)+1),1)</f>
        <v>56.78051087242735</v>
      </c>
      <c r="U82" s="57" cm="1">
        <f t="array" ref="U82">SUM(S82:T82)</f>
        <v>80.414993947293226</v>
      </c>
      <c r="V82" s="57" cm="1">
        <f t="array" ref="V82">VLOOKUP(B82,'Player Data'!$A1:$AE673,10,FALSE)*$Q82*IFERROR(((VLOOKUP(P82,Settings!$E$28:$F$33,2,FALSE)/2)+1),1)</f>
        <v>196.73798749334631</v>
      </c>
      <c r="W82" s="58" cm="1">
        <f t="array" ref="W82">VLOOKUP(B82,'Player Data'!$A1:$AE673,11,FALSE)*$Q82*IFERROR((VLOOKUP(P82,Settings!$E$28:$F$33,2,FALSE)+1),1)</f>
        <v>5.6422530971001166</v>
      </c>
      <c r="X82" s="57" cm="1">
        <f t="array" ref="X82">VLOOKUP(B82,'Player Data'!$A1:$AE673,12,FALSE)*$Q82*IFERROR((VLOOKUP(P82,Settings!$E$28:$F$33,2,FALSE)+1),1)</f>
        <v>26.580532759545829</v>
      </c>
      <c r="Y82" s="57" cm="1">
        <f t="array" ref="Y82">VLOOKUP(B82,'Player Data'!$A1:$AE673,13,FALSE)*$Q82</f>
        <v>0.57647144051817467</v>
      </c>
      <c r="Z82" s="57" cm="1">
        <f t="array" ref="Z82">VLOOKUP(B82,'Player Data'!$A1:$AE673,14,FALSE)*$Q82</f>
        <v>1.448264508598049</v>
      </c>
      <c r="AA82" s="57" cm="1">
        <f t="array" ref="AA82">VLOOKUP(B82,'Player Data'!$A1:$AE673,15,FALSE)*$Q82</f>
        <v>31.644687149692324</v>
      </c>
      <c r="AB82" s="57" cm="1">
        <f t="array" ref="AB82">VLOOKUP(B82,'Player Data'!$A1:$AE673,16,FALSE)*$Q82</f>
        <v>81.760981223751017</v>
      </c>
      <c r="AC82" s="57" cm="1">
        <f t="array" ref="AC82">VLOOKUP(B82,'Player Data'!$A1:$AE673,17,FALSE)*$Q82*IFERROR((VLOOKUP(P82,Settings!$E$28:$F$33,2,FALSE)+1),1)</f>
        <v>2.3080676041842865</v>
      </c>
      <c r="AD82" s="57" cm="1">
        <f t="array" ref="AD82">VLOOKUP(B82,'Player Data'!$A1:$AE673,18,FALSE)*$Q82</f>
        <v>18.509447760717897</v>
      </c>
      <c r="AE82" s="57" cm="1">
        <f t="array" ref="AE82">VLOOKUP(B82,'Player Data'!$A1:$AE673,19,FALSE)*$Q82*IFERROR((VLOOKUP(P82,Settings!$E$28:$F$33,2,FALSE)+1),1)</f>
        <v>3.5325473217857266</v>
      </c>
      <c r="AF82" s="57" cm="1">
        <f t="array" ref="AF82">VLOOKUP(B82,'Player Data'!$A1:$AE673,20,FALSE)*$Q82</f>
        <v>2.3909919179058314</v>
      </c>
      <c r="AG82" s="57" cm="1">
        <f t="array" ref="AG82">VLOOKUP(B82,'Player Data'!$A1:$AE673,21,FALSE)*$Q82</f>
        <v>9.4112440370482915</v>
      </c>
      <c r="AH82" s="59" cm="1">
        <f t="array" ref="AH82">VLOOKUP(B82,'Player Data'!$A1:$AE673,22,FALSE)</f>
        <v>0.20258804577637499</v>
      </c>
      <c r="AI82" s="55"/>
      <c r="AJ82" s="57"/>
      <c r="AK82" s="57"/>
      <c r="AL82" s="57"/>
      <c r="AM82" s="57"/>
      <c r="AN82" s="57"/>
      <c r="AO82" s="57"/>
      <c r="AP82" s="57"/>
      <c r="AQ82" s="60"/>
      <c r="AR82" s="61"/>
      <c r="AS82" s="55"/>
    </row>
    <row r="83" spans="1:45" ht="21.25" customHeight="1" x14ac:dyDescent="0.15">
      <c r="A83" s="62">
        <f t="shared" si="1"/>
        <v>82</v>
      </c>
      <c r="B83" s="10" t="s">
        <v>211</v>
      </c>
      <c r="C83" s="47" t="s">
        <v>128</v>
      </c>
      <c r="D83" s="48" t="str" cm="1">
        <f t="array" ref="D83">VLOOKUP(B83,'Player Data'!A1:D673,4,FALSE)</f>
        <v>C,LW</v>
      </c>
      <c r="E83" s="74" cm="1">
        <f t="array" ref="E83">VLOOKUP(B83,LW!A1:C210,3,FALSE)</f>
        <v>19</v>
      </c>
      <c r="F83" s="18" t="str" cm="1">
        <f t="array" ref="F83">VLOOKUP(B83,'Player Data'!A1:B673,2,FALSE)</f>
        <v>OTT</v>
      </c>
      <c r="G83" s="71" cm="1">
        <f t="array" ref="G83">VLOOKUP(B83,'Player Data'!A1:D673,3,FALSE)</f>
        <v>24</v>
      </c>
      <c r="H83" s="51" cm="1">
        <f t="array" ref="H83">IFERROR(VLOOKUP(B83,ADP!A1:F671,6,FALSE)/1000000,VLOOKUP(B83,ADP!A1:F671,6,FALSE))</f>
        <v>8.35</v>
      </c>
      <c r="I83" s="52">
        <f>IF(Settings!$E$15="POINTS",((R83*Q83)*Settings!$B$12)+(S83*Settings!$B$2)+(T83*Settings!$B$3)+(U83*Settings!$B$4)+(V83*Settings!$B$5)+(X83*Settings!$B$9)+(AA83*Settings!$B$6)+(W83*Settings!$B$8)+(AB83*Settings!$B$7)+(AC83*Settings!$B$14)+(AD83*Settings!$B$15)+(AE83*Settings!$B$16)+(AF83*Settings!$B$17)+(AG83*Settings!$B$18)+(Y83*Settings!$B$10)+(Z83*Settings!$B$11),VLOOKUP(B83,'Standard Deviations'!A$1:C$672,3,FALSE))</f>
        <v>386.535206393083</v>
      </c>
      <c r="J83" s="53" cm="1">
        <f t="array" ref="J83">IF(D83="G",I83/AJ83,I83/Q83)</f>
        <v>4.6584538281781622</v>
      </c>
      <c r="K83" s="52" cm="1">
        <f t="array" ref="K83">IF(Settings!$E$18="C/LW/RW",VLOOKUP(B83,LW!A1:F210,6,FALSE),VLOOKUP(B83,F!A1:F407,6,FALSE))</f>
        <v>-12.777786920637084</v>
      </c>
      <c r="L83" s="54" cm="1">
        <f t="array" ref="L83">IFERROR(K83/H83,"N/A")</f>
        <v>-1.530273882711028</v>
      </c>
      <c r="M83" s="55">
        <v>47.2</v>
      </c>
      <c r="N83" s="55" cm="1">
        <f t="array" ref="N83">IFERROR(M83-A83,"N/A")</f>
        <v>-34.799999999999997</v>
      </c>
      <c r="O83" s="83"/>
      <c r="P83" s="56" t="str" cm="1">
        <f t="array" ref="P83">_xlfn.XLOOKUP($B83,ADP!A2:A671,ADP!G2:G671)</f>
        <v xml:space="preserve"> </v>
      </c>
      <c r="Q83" s="57" cm="1">
        <f t="array" ref="Q83">IF(Settings!$E$12="YES",VLOOKUP(B83,'Player Data'!A1:E673,5,FALSE),84)</f>
        <v>82.974999999999994</v>
      </c>
      <c r="R83" s="55" cm="1">
        <f t="array" ref="R83">VLOOKUP(B83,'Player Data'!$A1:$AE673,6,FALSE)</f>
        <v>19.963259834222601</v>
      </c>
      <c r="S83" s="57" cm="1">
        <f t="array" ref="S83">VLOOKUP(B83,'Player Data'!$A1:$AE673,7,FALSE)*$Q83*IFERROR((VLOOKUP(P83,Settings!$E$28:$F$33,2,FALSE)+1),1)</f>
        <v>28.805669823619141</v>
      </c>
      <c r="T83" s="57" cm="1">
        <f t="array" ref="T83">VLOOKUP(B83,'Player Data'!$A1:$AE673,8,FALSE)*$Q83*IFERROR((VLOOKUP(P83,Settings!$E$28:$F$33,2,FALSE)+1),1)</f>
        <v>50.433971292852519</v>
      </c>
      <c r="U83" s="57" cm="1">
        <f t="array" ref="U83">SUM(S83:T83)</f>
        <v>79.23964111647166</v>
      </c>
      <c r="V83" s="57" cm="1">
        <f t="array" ref="V83">VLOOKUP(B83,'Player Data'!$A1:$AE673,10,FALSE)*$Q83*IFERROR(((VLOOKUP(P83,Settings!$E$28:$F$33,2,FALSE)/2)+1),1)</f>
        <v>194.26025029829987</v>
      </c>
      <c r="W83" s="58" cm="1">
        <f t="array" ref="W83">VLOOKUP(B83,'Player Data'!$A1:$AE673,11,FALSE)*$Q83*IFERROR((VLOOKUP(P83,Settings!$E$28:$F$33,2,FALSE)+1),1)</f>
        <v>6.4050536385170007</v>
      </c>
      <c r="X83" s="57" cm="1">
        <f t="array" ref="X83">VLOOKUP(B83,'Player Data'!$A1:$AE673,12,FALSE)*$Q83*IFERROR((VLOOKUP(P83,Settings!$E$28:$F$33,2,FALSE)+1),1)</f>
        <v>27.671398640059092</v>
      </c>
      <c r="Y83" s="57" cm="1">
        <f t="array" ref="Y83">VLOOKUP(B83,'Player Data'!$A1:$AE673,13,FALSE)*$Q83</f>
        <v>0.892523439589328</v>
      </c>
      <c r="Z83" s="57" cm="1">
        <f t="array" ref="Z83">VLOOKUP(B83,'Player Data'!$A1:$AE673,14,FALSE)*$Q83</f>
        <v>1.0126480799259021</v>
      </c>
      <c r="AA83" s="57" cm="1">
        <f t="array" ref="AA83">VLOOKUP(B83,'Player Data'!$A1:$AE673,15,FALSE)*$Q83</f>
        <v>46.004222349066225</v>
      </c>
      <c r="AB83" s="57" cm="1">
        <f t="array" ref="AB83">VLOOKUP(B83,'Player Data'!$A1:$AE673,16,FALSE)*$Q83</f>
        <v>121.81546894952585</v>
      </c>
      <c r="AC83" s="57" cm="1">
        <f t="array" ref="AC83">VLOOKUP(B83,'Player Data'!$A1:$AE673,17,FALSE)*$Q83*IFERROR((VLOOKUP(P83,Settings!$E$28:$F$33,2,FALSE)+1),1)</f>
        <v>2.5590892908783589</v>
      </c>
      <c r="AD83" s="57" cm="1">
        <f t="array" ref="AD83">VLOOKUP(B83,'Player Data'!$A1:$AE673,18,FALSE)*$Q83</f>
        <v>37.782739912053188</v>
      </c>
      <c r="AE83" s="57" cm="1">
        <f t="array" ref="AE83">VLOOKUP(B83,'Player Data'!$A1:$AE673,19,FALSE)*$Q83*IFERROR((VLOOKUP(P83,Settings!$E$28:$F$33,2,FALSE)+1),1)</f>
        <v>5.1096988924487787</v>
      </c>
      <c r="AF83" s="57" cm="1">
        <f t="array" ref="AF83">VLOOKUP(B83,'Player Data'!$A1:$AE673,20,FALSE)*$Q83</f>
        <v>297.88333229887286</v>
      </c>
      <c r="AG83" s="57" cm="1">
        <f t="array" ref="AG83">VLOOKUP(B83,'Player Data'!$A1:$AE673,21,FALSE)*$Q83</f>
        <v>302.71115557482881</v>
      </c>
      <c r="AH83" s="59" cm="1">
        <f t="array" ref="AH83">VLOOKUP(B83,'Player Data'!$A1:$AE673,22,FALSE)</f>
        <v>0.495980796216556</v>
      </c>
      <c r="AI83" s="55"/>
      <c r="AJ83" s="57"/>
      <c r="AK83" s="57"/>
      <c r="AL83" s="57"/>
      <c r="AM83" s="57"/>
      <c r="AN83" s="57"/>
      <c r="AO83" s="57"/>
      <c r="AP83" s="57"/>
      <c r="AQ83" s="60"/>
      <c r="AR83" s="61"/>
      <c r="AS83" s="55"/>
    </row>
    <row r="84" spans="1:45" ht="21.25" customHeight="1" x14ac:dyDescent="0.15">
      <c r="A84" s="62">
        <f t="shared" si="1"/>
        <v>83</v>
      </c>
      <c r="B84" s="10" t="s">
        <v>212</v>
      </c>
      <c r="C84" s="47" t="s">
        <v>128</v>
      </c>
      <c r="D84" s="48" t="str" cm="1">
        <f t="array" ref="D84">VLOOKUP(B84,'Player Data'!A1:D673,4,FALSE)</f>
        <v>C</v>
      </c>
      <c r="E84" s="49" cm="1">
        <f t="array" ref="E84">VLOOKUP(B84,'C'!A1:C210,3,FALSE)</f>
        <v>25</v>
      </c>
      <c r="F84" s="56" t="str" cm="1">
        <f t="array" ref="F84">VLOOKUP(B84,'Player Data'!A1:B673,2,FALSE)</f>
        <v>UTA</v>
      </c>
      <c r="G84" s="71" cm="1">
        <f t="array" ref="G84">VLOOKUP(B84,'Player Data'!A1:D673,3,FALSE)</f>
        <v>22</v>
      </c>
      <c r="H84" s="51" cm="1">
        <f t="array" ref="H84">IFERROR(VLOOKUP(B84,ADP!A1:F671,6,FALSE)/1000000,VLOOKUP(B84,ADP!A1:F671,6,FALSE))</f>
        <v>10</v>
      </c>
      <c r="I84" s="52">
        <f>IF(Settings!$E$15="POINTS",((R84*Q84)*Settings!$B$12)+(S84*Settings!$B$2)+(T84*Settings!$B$3)+(U84*Settings!$B$4)+(V84*Settings!$B$5)+(X84*Settings!$B$9)+(AA84*Settings!$B$6)+(W84*Settings!$B$8)+(AB84*Settings!$B$7)+(AC84*Settings!$B$14)+(AD84*Settings!$B$15)+(AE84*Settings!$B$16)+(AF84*Settings!$B$17)+(AG84*Settings!$B$18)+(Y84*Settings!$B$10)+(Z84*Settings!$B$11),VLOOKUP(B84,'Standard Deviations'!A$1:C$672,3,FALSE))</f>
        <v>372.79951970062672</v>
      </c>
      <c r="J84" s="53" cm="1">
        <f t="array" ref="J84">IF(D84="G",I84/AJ84,I84/Q84)</f>
        <v>4.7735141291414802</v>
      </c>
      <c r="K84" s="52" cm="1">
        <f t="array" ref="K84">IF(Settings!$E$18="C/LW/RW",VLOOKUP(B84,'C'!A1:F210,6,FALSE),VLOOKUP(B84,F!A1:F407,6,FALSE))</f>
        <v>-13.735686692456284</v>
      </c>
      <c r="L84" s="54" cm="1">
        <f t="array" ref="L84">IFERROR(K84/H84,"N/A")</f>
        <v>-1.3735686692456284</v>
      </c>
      <c r="M84" s="55">
        <v>118.2</v>
      </c>
      <c r="N84" s="55" cm="1">
        <f t="array" ref="N84">IFERROR(M84-A84,"N/A")</f>
        <v>35.200000000000003</v>
      </c>
      <c r="O84" s="55"/>
      <c r="P84" s="56" t="str" cm="1">
        <f t="array" ref="P84">_xlfn.XLOOKUP($B84,ADP!A2:A671,ADP!G2:G671)</f>
        <v>+ +</v>
      </c>
      <c r="Q84" s="57" cm="1">
        <f t="array" ref="Q84">IF(Settings!$E$12="YES",VLOOKUP(B84,'Player Data'!A1:E673,5,FALSE),84)</f>
        <v>78.097499999999997</v>
      </c>
      <c r="R84" s="82" cm="1">
        <f t="array" ref="R84">VLOOKUP(B84,'Player Data'!$A1:$AE673,6,FALSE)</f>
        <v>19.197756402789199</v>
      </c>
      <c r="S84" s="57" cm="1">
        <f t="array" ref="S84">VLOOKUP(B84,'Player Data'!$A1:$AE673,7,FALSE)*$Q84*IFERROR((VLOOKUP(P84,Settings!$E$28:$F$33,2,FALSE)+1),1)</f>
        <v>35.32351147233534</v>
      </c>
      <c r="T84" s="57" cm="1">
        <f t="array" ref="T84">VLOOKUP(B84,'Player Data'!$A1:$AE673,8,FALSE)*$Q84*IFERROR((VLOOKUP(P84,Settings!$E$28:$F$33,2,FALSE)+1),1)</f>
        <v>43.244787300980455</v>
      </c>
      <c r="U84" s="57" cm="1">
        <f t="array" ref="U84">SUM(S84:T84)</f>
        <v>78.568298773315803</v>
      </c>
      <c r="V84" s="57" cm="1">
        <f t="array" ref="V84">VLOOKUP(B84,'Player Data'!$A1:$AE673,10,FALSE)*$Q84*IFERROR(((VLOOKUP(P84,Settings!$E$28:$F$33,2,FALSE)/2)+1),1)</f>
        <v>183.0473777353146</v>
      </c>
      <c r="W84" s="58" cm="1">
        <f t="array" ref="W84">VLOOKUP(B84,'Player Data'!$A1:$AE673,11,FALSE)*$Q84*IFERROR((VLOOKUP(P84,Settings!$E$28:$F$33,2,FALSE)+1),1)</f>
        <v>10.517664621667778</v>
      </c>
      <c r="X84" s="57" cm="1">
        <f t="array" ref="X84">VLOOKUP(B84,'Player Data'!$A1:$AE673,12,FALSE)*$Q84*IFERROR((VLOOKUP(P84,Settings!$E$28:$F$33,2,FALSE)+1),1)</f>
        <v>25.454071669169814</v>
      </c>
      <c r="Y84" s="57" cm="1">
        <f t="array" ref="Y84">VLOOKUP(B84,'Player Data'!$A1:$AE673,13,FALSE)*$Q84</f>
        <v>0.60719975252965674</v>
      </c>
      <c r="Z84" s="57" cm="1">
        <f t="array" ref="Z84">VLOOKUP(B84,'Player Data'!$A1:$AE673,14,FALSE)*$Q84</f>
        <v>0.66622070205524109</v>
      </c>
      <c r="AA84" s="57" cm="1">
        <f t="array" ref="AA84">VLOOKUP(B84,'Player Data'!$A1:$AE673,15,FALSE)*$Q84</f>
        <v>38.901284283593874</v>
      </c>
      <c r="AB84" s="57" cm="1">
        <f t="array" ref="AB84">VLOOKUP(B84,'Player Data'!$A1:$AE673,16,FALSE)*$Q84</f>
        <v>76.53171113036035</v>
      </c>
      <c r="AC84" s="57" cm="1">
        <f t="array" ref="AC84">VLOOKUP(B84,'Player Data'!$A1:$AE673,17,FALSE)*$Q84*IFERROR((VLOOKUP(P84,Settings!$E$28:$F$33,2,FALSE)+1),1)</f>
        <v>2.3818716971216989</v>
      </c>
      <c r="AD84" s="57" cm="1">
        <f t="array" ref="AD84">VLOOKUP(B84,'Player Data'!$A1:$AE673,18,FALSE)*$Q84</f>
        <v>39.756879166220138</v>
      </c>
      <c r="AE84" s="57" cm="1">
        <f t="array" ref="AE84">VLOOKUP(B84,'Player Data'!$A1:$AE673,19,FALSE)*$Q84*IFERROR((VLOOKUP(P84,Settings!$E$28:$F$33,2,FALSE)+1),1)</f>
        <v>5.7098551196332004</v>
      </c>
      <c r="AF84" s="57" cm="1">
        <f t="array" ref="AF84">VLOOKUP(B84,'Player Data'!$A1:$AE673,20,FALSE)*$Q84</f>
        <v>396.6078278605687</v>
      </c>
      <c r="AG84" s="57" cm="1">
        <f t="array" ref="AG84">VLOOKUP(B84,'Player Data'!$A1:$AE673,21,FALSE)*$Q84</f>
        <v>530.57843403589038</v>
      </c>
      <c r="AH84" s="59" cm="1">
        <f t="array" ref="AH84">VLOOKUP(B84,'Player Data'!$A1:$AE673,22,FALSE)</f>
        <v>0.42775421094931898</v>
      </c>
      <c r="AI84" s="55"/>
      <c r="AJ84" s="57"/>
      <c r="AK84" s="57"/>
      <c r="AL84" s="57"/>
      <c r="AM84" s="57"/>
      <c r="AN84" s="57"/>
      <c r="AO84" s="57"/>
      <c r="AP84" s="57"/>
      <c r="AQ84" s="60"/>
      <c r="AR84" s="61"/>
      <c r="AS84" s="55"/>
    </row>
    <row r="85" spans="1:45" ht="21.25" customHeight="1" x14ac:dyDescent="0.15">
      <c r="A85" s="62">
        <f t="shared" si="1"/>
        <v>84</v>
      </c>
      <c r="B85" s="10" t="s">
        <v>213</v>
      </c>
      <c r="C85" s="47" t="s">
        <v>128</v>
      </c>
      <c r="D85" s="48" t="str" cm="1">
        <f t="array" ref="D85">VLOOKUP(B85,'Player Data'!A1:D673,4,FALSE)</f>
        <v>RW</v>
      </c>
      <c r="E85" s="64" cm="1">
        <f t="array" ref="E85">VLOOKUP(B85,RW!A1:F210,3,FALSE)</f>
        <v>24</v>
      </c>
      <c r="F85" s="70" t="str" cm="1">
        <f t="array" ref="F85">VLOOKUP(B85,'Player Data'!A1:B673,2,FALSE)</f>
        <v>L.A</v>
      </c>
      <c r="G85" s="11" cm="1">
        <f t="array" ref="G85">VLOOKUP(B85,'Player Data'!A1:D673,3,FALSE)</f>
        <v>29</v>
      </c>
      <c r="H85" s="51" cm="1">
        <f t="array" ref="H85">IFERROR(VLOOKUP(B85,ADP!A1:F671,6,FALSE)/1000000,VLOOKUP(B85,ADP!A1:F671,6,FALSE))</f>
        <v>10.625</v>
      </c>
      <c r="I85" s="52">
        <f>IF(Settings!$E$15="POINTS",((R85*Q85)*Settings!$B$12)+(S85*Settings!$B$2)+(T85*Settings!$B$3)+(U85*Settings!$B$4)+(V85*Settings!$B$5)+(X85*Settings!$B$9)+(AA85*Settings!$B$6)+(W85*Settings!$B$8)+(AB85*Settings!$B$7)+(AC85*Settings!$B$14)+(AD85*Settings!$B$15)+(AE85*Settings!$B$16)+(AF85*Settings!$B$17)+(AG85*Settings!$B$18)+(Y85*Settings!$B$10)+(Z85*Settings!$B$11),VLOOKUP(B85,'Standard Deviations'!A$1:C$672,3,FALSE))</f>
        <v>381.06922865705565</v>
      </c>
      <c r="J85" s="53" cm="1">
        <f t="array" ref="J85">IF(D85="G",I85/AJ85,I85/Q85)</f>
        <v>4.5793333973088464</v>
      </c>
      <c r="K85" s="52" cm="1">
        <f t="array" ref="K85">IF(Settings!$E$18="C/LW/RW",VLOOKUP(B85,RW!A1:F210,6,FALSE),VLOOKUP(B85,F!A1:F407,6,FALSE))</f>
        <v>-13.874236036501827</v>
      </c>
      <c r="L85" s="54" cm="1">
        <f t="array" ref="L85">IFERROR(K85/H85,"N/A")</f>
        <v>-1.3058104504942896</v>
      </c>
      <c r="M85" s="55">
        <v>52.7</v>
      </c>
      <c r="N85" s="55" cm="1">
        <f t="array" ref="N85">IFERROR(M85-A85,"N/A")</f>
        <v>-31.299999999999997</v>
      </c>
      <c r="O85" s="55"/>
      <c r="P85" s="56" t="str" cm="1">
        <f t="array" ref="P85">_xlfn.XLOOKUP($B85,ADP!A2:A671,ADP!G2:G671)</f>
        <v xml:space="preserve"> </v>
      </c>
      <c r="Q85" s="57" cm="1">
        <f t="array" ref="Q85">IF(Settings!$E$12="YES",VLOOKUP(B85,'Player Data'!A1:E673,5,FALSE),84)</f>
        <v>83.215000000000003</v>
      </c>
      <c r="R85" s="55" cm="1">
        <f t="array" ref="R85">VLOOKUP(B85,'Player Data'!$A1:$AE673,6,FALSE)</f>
        <v>19.244825047401999</v>
      </c>
      <c r="S85" s="57" cm="1">
        <f t="array" ref="S85">VLOOKUP(B85,'Player Data'!$A1:$AE673,7,FALSE)*$Q85*IFERROR((VLOOKUP(P85,Settings!$E$28:$F$33,2,FALSE)+1),1)</f>
        <v>34.09740110284212</v>
      </c>
      <c r="T85" s="57" cm="1">
        <f t="array" ref="T85">VLOOKUP(B85,'Player Data'!$A1:$AE673,8,FALSE)*$Q85*IFERROR((VLOOKUP(P85,Settings!$E$28:$F$33,2,FALSE)+1),1)</f>
        <v>40.733095717693899</v>
      </c>
      <c r="U85" s="57" cm="1">
        <f t="array" ref="U85">SUM(S85:T85)</f>
        <v>74.830496820536013</v>
      </c>
      <c r="V85" s="57" cm="1">
        <f t="array" ref="V85">VLOOKUP(B85,'Player Data'!$A1:$AE673,10,FALSE)*$Q85*IFERROR(((VLOOKUP(P85,Settings!$E$28:$F$33,2,FALSE)/2)+1),1)</f>
        <v>238.91031032414239</v>
      </c>
      <c r="W85" s="58" cm="1">
        <f t="array" ref="W85">VLOOKUP(B85,'Player Data'!$A1:$AE673,11,FALSE)*$Q85*IFERROR((VLOOKUP(P85,Settings!$E$28:$F$33,2,FALSE)+1),1)</f>
        <v>5.5126639187834776</v>
      </c>
      <c r="X85" s="57" cm="1">
        <f t="array" ref="X85">VLOOKUP(B85,'Player Data'!$A1:$AE673,12,FALSE)*$Q85*IFERROR((VLOOKUP(P85,Settings!$E$28:$F$33,2,FALSE)+1),1)</f>
        <v>16.909209875295254</v>
      </c>
      <c r="Y85" s="57" cm="1">
        <f t="array" ref="Y85">VLOOKUP(B85,'Player Data'!$A1:$AE673,13,FALSE)*$Q85</f>
        <v>0.25650412305049586</v>
      </c>
      <c r="Z85" s="57" cm="1">
        <f t="array" ref="Z85">VLOOKUP(B85,'Player Data'!$A1:$AE673,14,FALSE)*$Q85</f>
        <v>0.56466389241177817</v>
      </c>
      <c r="AA85" s="57" cm="1">
        <f t="array" ref="AA85">VLOOKUP(B85,'Player Data'!$A1:$AE673,15,FALSE)*$Q85</f>
        <v>39.297418531338778</v>
      </c>
      <c r="AB85" s="57" cm="1">
        <f t="array" ref="AB85">VLOOKUP(B85,'Player Data'!$A1:$AE673,16,FALSE)*$Q85</f>
        <v>116.14242927609811</v>
      </c>
      <c r="AC85" s="57" cm="1">
        <f t="array" ref="AC85">VLOOKUP(B85,'Player Data'!$A1:$AE673,17,FALSE)*$Q85*IFERROR((VLOOKUP(P85,Settings!$E$28:$F$33,2,FALSE)+1),1)</f>
        <v>0.80278112339987273</v>
      </c>
      <c r="AD85" s="57" cm="1">
        <f t="array" ref="AD85">VLOOKUP(B85,'Player Data'!$A1:$AE673,18,FALSE)*$Q85</f>
        <v>51.438783392669997</v>
      </c>
      <c r="AE85" s="57" cm="1">
        <f t="array" ref="AE85">VLOOKUP(B85,'Player Data'!$A1:$AE673,19,FALSE)*$Q85*IFERROR((VLOOKUP(P85,Settings!$E$28:$F$33,2,FALSE)+1),1)</f>
        <v>5.3861673974246713</v>
      </c>
      <c r="AF85" s="57" cm="1">
        <f t="array" ref="AF85">VLOOKUP(B85,'Player Data'!$A1:$AE673,20,FALSE)*$Q85</f>
        <v>41.9570346503466</v>
      </c>
      <c r="AG85" s="57" cm="1">
        <f t="array" ref="AG85">VLOOKUP(B85,'Player Data'!$A1:$AE673,21,FALSE)*$Q85</f>
        <v>72.912214188856268</v>
      </c>
      <c r="AH85" s="59" cm="1">
        <f t="array" ref="AH85">VLOOKUP(B85,'Player Data'!$A1:$AE673,22,FALSE)</f>
        <v>0.36525906693339</v>
      </c>
      <c r="AI85" s="55"/>
      <c r="AJ85" s="57"/>
      <c r="AK85" s="57"/>
      <c r="AL85" s="57"/>
      <c r="AM85" s="57"/>
      <c r="AN85" s="57"/>
      <c r="AO85" s="57"/>
      <c r="AP85" s="57"/>
      <c r="AQ85" s="60"/>
      <c r="AR85" s="61"/>
      <c r="AS85" s="55"/>
    </row>
    <row r="86" spans="1:45" ht="21.25" customHeight="1" x14ac:dyDescent="0.15">
      <c r="A86" s="62">
        <f t="shared" si="1"/>
        <v>85</v>
      </c>
      <c r="B86" s="10" t="s">
        <v>214</v>
      </c>
      <c r="C86" s="47" t="s">
        <v>128</v>
      </c>
      <c r="D86" s="48" t="str" cm="1">
        <f t="array" ref="D86">VLOOKUP(B86,'Player Data'!A1:D673,4,FALSE)</f>
        <v>D</v>
      </c>
      <c r="E86" s="68" cm="1">
        <f t="array" ref="E86">VLOOKUP(B86,D!A1:C204,3,FALSE)</f>
        <v>28</v>
      </c>
      <c r="F86" s="69" t="str" cm="1">
        <f t="array" ref="F86">VLOOKUP(B86,'Player Data'!A1:B673,2,FALSE)</f>
        <v>N.J</v>
      </c>
      <c r="G86" s="71" cm="1">
        <f t="array" ref="G86">VLOOKUP(B86,'Player Data'!A1:D673,3,FALSE)</f>
        <v>22</v>
      </c>
      <c r="H86" s="51" cm="1">
        <f t="array" ref="H86">IFERROR(VLOOKUP(B86,ADP!A1:F671,6,FALSE)/1000000,VLOOKUP(B86,ADP!A1:F671,6,FALSE))</f>
        <v>9</v>
      </c>
      <c r="I86" s="52">
        <f>IF(Settings!$E$15="POINTS",((R86*Q86)*Settings!$B$12)+(S86*Settings!$B$2)+(T86*Settings!$B$3)+(U86*Settings!$B$4)+(V86*Settings!$B$5)+(X86*Settings!$B$9)+(AA86*Settings!$B$6)+(W86*Settings!$B$8)+(AB86*Settings!$B$7)+(AC86*Settings!$B$14)+(AD86*Settings!$B$15)+(AE86*Settings!$B$16)+(AF86*Settings!$B$17)+(AG86*Settings!$B$18)+(U86*Settings!$B$13)+(Y86*Settings!$B$10)+(Z86*Settings!$B$11),VLOOKUP(B86,'Standard Deviations'!A$1:C$672,3,FALSE))</f>
        <v>291.60595483247135</v>
      </c>
      <c r="J86" s="53" cm="1">
        <f t="array" ref="J86">IF(D86="G",I86/AJ86,I86/Q86)</f>
        <v>3.6435942252518836</v>
      </c>
      <c r="K86" s="52" cm="1">
        <f t="array" ref="K86">VLOOKUP(B86,D!A1:F204,6,FALSE)</f>
        <v>-15.047912512122707</v>
      </c>
      <c r="L86" s="54" cm="1">
        <f t="array" ref="L86">IFERROR(K86/H86,"N/A")</f>
        <v>-1.6719902791247452</v>
      </c>
      <c r="M86" s="55">
        <v>135.19999999999999</v>
      </c>
      <c r="N86" s="55" cm="1">
        <f t="array" ref="N86">IFERROR(M86-A86,"N/A")</f>
        <v>50.199999999999989</v>
      </c>
      <c r="O86" s="55"/>
      <c r="P86" s="56" t="str" cm="1">
        <f t="array" ref="P86">_xlfn.XLOOKUP($B86,ADP!A2:A671,ADP!G2:G671)</f>
        <v>+ +</v>
      </c>
      <c r="Q86" s="57" cm="1">
        <f t="array" ref="Q86">IF(Settings!$E$12="YES",VLOOKUP(B86,'Player Data'!A1:E673,5,FALSE),84)</f>
        <v>80.032499999999999</v>
      </c>
      <c r="R86" s="55" cm="1">
        <f t="array" ref="R86">VLOOKUP(B86,'Player Data'!$A1:$AE673,6,FALSE)</f>
        <v>23.1619522770579</v>
      </c>
      <c r="S86" s="57" cm="1">
        <f t="array" ref="S86">VLOOKUP(B86,'Player Data'!$A1:$AE673,7,FALSE)*$Q86*IFERROR((VLOOKUP(P86,Settings!$E$28:$F$33,2,FALSE)+1),1)</f>
        <v>9.2362877209559482</v>
      </c>
      <c r="T86" s="57" cm="1">
        <f t="array" ref="T86">VLOOKUP(B86,'Player Data'!$A1:$AE673,8,FALSE)*$Q86*IFERROR((VLOOKUP(P86,Settings!$E$28:$F$33,2,FALSE)+1),1)</f>
        <v>40.788036412210836</v>
      </c>
      <c r="U86" s="57" cm="1">
        <f t="array" ref="U86">SUM(S86:T86)</f>
        <v>50.024324133166786</v>
      </c>
      <c r="V86" s="57" cm="1">
        <f t="array" ref="V86">VLOOKUP(B86,'Player Data'!$A1:$AE673,10,FALSE)*$Q86*IFERROR(((VLOOKUP(P86,Settings!$E$28:$F$33,2,FALSE)/2)+1),1)</f>
        <v>169.83993498785412</v>
      </c>
      <c r="W86" s="57" cm="1">
        <f t="array" ref="W86">VLOOKUP(B86,'Player Data'!$A1:$AE673,11,FALSE)*$Q86*IFERROR((VLOOKUP(P86,Settings!$E$28:$F$33,2,FALSE)+1),1)</f>
        <v>1.6112820987509313</v>
      </c>
      <c r="X86" s="57" cm="1">
        <f t="array" ref="X86">VLOOKUP(B86,'Player Data'!$A1:$AE673,12,FALSE)*$Q86*IFERROR((VLOOKUP(P86,Settings!$E$28:$F$33,2,FALSE)+1),1)</f>
        <v>17.30612866571882</v>
      </c>
      <c r="Y86" s="57" cm="1">
        <f t="array" ref="Y86">VLOOKUP(B86,'Player Data'!$A1:$AE673,13,FALSE)*$Q86</f>
        <v>3.9776399926442337E-2</v>
      </c>
      <c r="Z86" s="57" cm="1">
        <f t="array" ref="Z86">VLOOKUP(B86,'Player Data'!$A1:$AE673,14,FALSE)*$Q86</f>
        <v>0.1344468749513574</v>
      </c>
      <c r="AA86" s="57" cm="1">
        <f t="array" ref="AA86">VLOOKUP(B86,'Player Data'!$A1:$AE673,15,FALSE)*$Q86</f>
        <v>78.344878796747452</v>
      </c>
      <c r="AB86" s="57" cm="1">
        <f t="array" ref="AB86">VLOOKUP(B86,'Player Data'!$A1:$AE673,16,FALSE)*$Q86</f>
        <v>31.417441591374502</v>
      </c>
      <c r="AC86" s="57" cm="1">
        <f t="array" ref="AC86">VLOOKUP(B86,'Player Data'!$A1:$AE673,17,FALSE)*$Q86*IFERROR((VLOOKUP(P86,Settings!$E$28:$F$33,2,FALSE)+1),1)</f>
        <v>-0.26521146972256837</v>
      </c>
      <c r="AD86" s="57" cm="1">
        <f t="array" ref="AD86">VLOOKUP(B86,'Player Data'!$A1:$AE673,18,FALSE)*$Q86</f>
        <v>33.196929922170902</v>
      </c>
      <c r="AE86" s="57" cm="1">
        <f t="array" ref="AE86">VLOOKUP(B86,'Player Data'!$A1:$AE673,19,FALSE)*$Q86*IFERROR((VLOOKUP(P86,Settings!$E$28:$F$33,2,FALSE)+1),1)</f>
        <v>1.3805092901144662</v>
      </c>
      <c r="AF86" s="57" cm="1">
        <f t="array" ref="AF86">VLOOKUP(B86,'Player Data'!$A1:$AE673,20,FALSE)*$Q86</f>
        <v>0</v>
      </c>
      <c r="AG86" s="57" cm="1">
        <f t="array" ref="AG86">VLOOKUP(B86,'Player Data'!$A1:$AE673,21,FALSE)*$Q86</f>
        <v>0.17062315745338463</v>
      </c>
      <c r="AH86" s="59" cm="1">
        <f t="array" ref="AH86">VLOOKUP(B86,'Player Data'!$A1:$AE673,22,FALSE)</f>
        <v>0</v>
      </c>
      <c r="AI86" s="55"/>
      <c r="AJ86" s="57"/>
      <c r="AK86" s="57"/>
      <c r="AL86" s="57"/>
      <c r="AM86" s="57"/>
      <c r="AN86" s="57"/>
      <c r="AO86" s="57"/>
      <c r="AP86" s="57"/>
      <c r="AQ86" s="60"/>
      <c r="AR86" s="61"/>
      <c r="AS86" s="55"/>
    </row>
    <row r="87" spans="1:45" ht="21.25" customHeight="1" x14ac:dyDescent="0.15">
      <c r="A87" s="62">
        <f t="shared" si="1"/>
        <v>86</v>
      </c>
      <c r="B87" s="10" t="s">
        <v>215</v>
      </c>
      <c r="C87" s="47" t="s">
        <v>128</v>
      </c>
      <c r="D87" s="48" t="str" cm="1">
        <f t="array" ref="D87">VLOOKUP(B87,'Player Data'!A1:D673,4,FALSE)</f>
        <v>C,RW</v>
      </c>
      <c r="E87" s="74" cm="1">
        <f t="array" ref="E87">VLOOKUP(B87,RW!A1:F210,3,FALSE)</f>
        <v>25</v>
      </c>
      <c r="F87" s="56" t="str" cm="1">
        <f t="array" ref="F87">VLOOKUP(B87,'Player Data'!A1:B673,2,FALSE)</f>
        <v>CHI</v>
      </c>
      <c r="G87" s="71" cm="1">
        <f t="array" ref="G87">VLOOKUP(B87,'Player Data'!A1:D673,3,FALSE)</f>
        <v>21</v>
      </c>
      <c r="H87" s="51" cm="1">
        <f t="array" ref="H87">IFERROR(VLOOKUP(B87,ADP!A1:F671,6,FALSE)/1000000,VLOOKUP(B87,ADP!A1:F671,6,FALSE))</f>
        <v>15</v>
      </c>
      <c r="I87" s="52">
        <f>IF(Settings!$E$15="POINTS",((R87*Q87)*Settings!$B$12)+(S87*Settings!$B$2)+(T87*Settings!$B$3)+(U87*Settings!$B$4)+(V87*Settings!$B$5)+(X87*Settings!$B$9)+(AA87*Settings!$B$6)+(W87*Settings!$B$8)+(AB87*Settings!$B$7)+(AC87*Settings!$B$14)+(AD87*Settings!$B$15)+(AE87*Settings!$B$16)+(AF87*Settings!$B$17)+(AG87*Settings!$B$18)+(Y87*Settings!$B$10)+(Z87*Settings!$B$11),VLOOKUP(B87,'Standard Deviations'!A$1:C$672,3,FALSE))</f>
        <v>378.62916688119009</v>
      </c>
      <c r="J87" s="53" cm="1">
        <f t="array" ref="J87">IF(D87="G",I87/AJ87,I87/Q87)</f>
        <v>5.7368055588059104</v>
      </c>
      <c r="K87" s="52" cm="1">
        <f t="array" ref="K87">IF(Settings!$E$18="C/LW/RW",VLOOKUP(B87,RW!A1:F210,6,FALSE),VLOOKUP(B87,F!A1:F407,6,FALSE))</f>
        <v>-16.314297812367386</v>
      </c>
      <c r="L87" s="54" cm="1">
        <f t="array" ref="L87">IFERROR(K87/H87,"N/A")</f>
        <v>-1.0876198541578257</v>
      </c>
      <c r="M87" s="55">
        <v>62.5</v>
      </c>
      <c r="N87" s="55" cm="1">
        <f t="array" ref="N87">IFERROR(M87-A87,"N/A")</f>
        <v>-23.5</v>
      </c>
      <c r="O87" s="55"/>
      <c r="P87" s="56" t="str" cm="1">
        <f t="array" ref="P87">_xlfn.XLOOKUP($B87,ADP!A2:A671,ADP!G2:G671)</f>
        <v>+ +</v>
      </c>
      <c r="Q87" s="57" cm="1">
        <f t="array" ref="Q87">IF(Settings!$E$12="YES",VLOOKUP(B87,'Player Data'!A1:E673,5,FALSE),84)</f>
        <v>66</v>
      </c>
      <c r="R87" s="55" cm="1">
        <f t="array" ref="R87">VLOOKUP(B87,'Player Data'!$A1:$AE673,6,FALSE)</f>
        <v>20.9134376163016</v>
      </c>
      <c r="S87" s="57" cm="1">
        <f t="array" ref="S87">VLOOKUP(B87,'Player Data'!$A1:$AE673,7,FALSE)*$Q87*IFERROR((VLOOKUP(P87,Settings!$E$28:$F$33,2,FALSE)+1),1)</f>
        <v>28.900766184963388</v>
      </c>
      <c r="T87" s="57" cm="1">
        <f t="array" ref="T87">VLOOKUP(B87,'Player Data'!$A1:$AE673,8,FALSE)*$Q87*IFERROR((VLOOKUP(P87,Settings!$E$28:$F$33,2,FALSE)+1),1)</f>
        <v>47.549040629545416</v>
      </c>
      <c r="U87" s="57" cm="1">
        <f t="array" ref="U87">SUM(S87:T87)</f>
        <v>76.449806814508804</v>
      </c>
      <c r="V87" s="57" cm="1">
        <f t="array" ref="V87">VLOOKUP(B87,'Player Data'!$A1:$AE673,10,FALSE)*$Q87*IFERROR(((VLOOKUP(P87,Settings!$E$28:$F$33,2,FALSE)/2)+1),1)</f>
        <v>215.62683635617256</v>
      </c>
      <c r="W87" s="58" cm="1">
        <f t="array" ref="W87">VLOOKUP(B87,'Player Data'!$A1:$AE673,11,FALSE)*$Q87*IFERROR((VLOOKUP(P87,Settings!$E$28:$F$33,2,FALSE)+1),1)</f>
        <v>9.1374779770314873</v>
      </c>
      <c r="X87" s="57" cm="1">
        <f t="array" ref="X87">VLOOKUP(B87,'Player Data'!$A1:$AE673,12,FALSE)*$Q87*IFERROR((VLOOKUP(P87,Settings!$E$28:$F$33,2,FALSE)+1),1)</f>
        <v>27.316238902283665</v>
      </c>
      <c r="Y87" s="57" cm="1">
        <f t="array" ref="Y87">VLOOKUP(B87,'Player Data'!$A1:$AE673,13,FALSE)*$Q87</f>
        <v>1.21676010140487E-2</v>
      </c>
      <c r="Z87" s="57" cm="1">
        <f t="array" ref="Z87">VLOOKUP(B87,'Player Data'!$A1:$AE673,14,FALSE)*$Q87</f>
        <v>1.9717667374389007E-2</v>
      </c>
      <c r="AA87" s="57" cm="1">
        <f t="array" ref="AA87">VLOOKUP(B87,'Player Data'!$A1:$AE673,15,FALSE)*$Q87</f>
        <v>28.260743379838662</v>
      </c>
      <c r="AB87" s="57" cm="1">
        <f t="array" ref="AB87">VLOOKUP(B87,'Player Data'!$A1:$AE673,16,FALSE)*$Q87</f>
        <v>35.255738251425122</v>
      </c>
      <c r="AC87" s="57" cm="1">
        <f t="array" ref="AC87">VLOOKUP(B87,'Player Data'!$A1:$AE673,17,FALSE)*$Q87*IFERROR((VLOOKUP(P87,Settings!$E$28:$F$33,2,FALSE)+1),1)</f>
        <v>-9.9224299561388261</v>
      </c>
      <c r="AD87" s="57" cm="1">
        <f t="array" ref="AD87">VLOOKUP(B87,'Player Data'!$A1:$AE673,18,FALSE)*$Q87</f>
        <v>40.327325436470161</v>
      </c>
      <c r="AE87" s="57" cm="1">
        <f t="array" ref="AE87">VLOOKUP(B87,'Player Data'!$A1:$AE673,19,FALSE)*$Q87*IFERROR((VLOOKUP(P87,Settings!$E$28:$F$33,2,FALSE)+1),1)</f>
        <v>3.566818367191769</v>
      </c>
      <c r="AF87" s="57" cm="1">
        <f t="array" ref="AF87">VLOOKUP(B87,'Player Data'!$A1:$AE673,20,FALSE)*$Q87</f>
        <v>256.99366061834985</v>
      </c>
      <c r="AG87" s="57" cm="1">
        <f t="array" ref="AG87">VLOOKUP(B87,'Player Data'!$A1:$AE673,21,FALSE)*$Q87</f>
        <v>355.48313220468771</v>
      </c>
      <c r="AH87" s="59" cm="1">
        <f t="array" ref="AH87">VLOOKUP(B87,'Player Data'!$A1:$AE673,22,FALSE)</f>
        <v>0.41959738496182097</v>
      </c>
      <c r="AI87" s="55"/>
      <c r="AJ87" s="57"/>
      <c r="AK87" s="57"/>
      <c r="AL87" s="57"/>
      <c r="AM87" s="57"/>
      <c r="AN87" s="57"/>
      <c r="AO87" s="57"/>
      <c r="AP87" s="57"/>
      <c r="AQ87" s="60"/>
      <c r="AR87" s="61"/>
      <c r="AS87" s="55"/>
    </row>
    <row r="88" spans="1:45" ht="21.25" customHeight="1" x14ac:dyDescent="0.15">
      <c r="A88" s="62">
        <f t="shared" si="1"/>
        <v>87</v>
      </c>
      <c r="B88" s="10" t="s">
        <v>216</v>
      </c>
      <c r="C88" s="47" t="s">
        <v>128</v>
      </c>
      <c r="D88" s="48" t="str" cm="1">
        <f t="array" ref="D88">VLOOKUP(B88,'Player Data'!A1:D673,4,FALSE)</f>
        <v>C</v>
      </c>
      <c r="E88" s="49" cm="1">
        <f t="array" ref="E88">VLOOKUP(B88,'C'!A1:C210,3,FALSE)</f>
        <v>26</v>
      </c>
      <c r="F88" s="69" t="str" cm="1">
        <f t="array" ref="F88">VLOOKUP(B88,'Player Data'!A1:B673,2,FALSE)</f>
        <v>CBJ</v>
      </c>
      <c r="G88" s="71" cm="1">
        <f t="array" ref="G88">VLOOKUP(B88,'Player Data'!A1:D673,3,FALSE)</f>
        <v>21</v>
      </c>
      <c r="H88" s="51" cm="1">
        <f t="array" ref="H88">IFERROR(VLOOKUP(B88,ADP!A1:F671,6,FALSE)/1000000,VLOOKUP(B88,ADP!A1:F671,6,FALSE))</f>
        <v>0</v>
      </c>
      <c r="I88" s="52">
        <f>IF(Settings!$E$15="POINTS",((R88*Q88)*Settings!$B$12)+(S88*Settings!$B$2)+(T88*Settings!$B$3)+(U88*Settings!$B$4)+(V88*Settings!$B$5)+(X88*Settings!$B$9)+(AA88*Settings!$B$6)+(W88*Settings!$B$8)+(AB88*Settings!$B$7)+(AC88*Settings!$B$14)+(AD88*Settings!$B$15)+(AE88*Settings!$B$16)+(AF88*Settings!$B$17)+(AG88*Settings!$B$18)+(Y88*Settings!$B$10)+(Z88*Settings!$B$11),VLOOKUP(B88,'Standard Deviations'!A$1:C$672,3,FALSE))</f>
        <v>368.60383750203829</v>
      </c>
      <c r="J88" s="53" cm="1">
        <f t="array" ref="J88">IF(D88="G",I88/AJ88,I88/Q88)</f>
        <v>4.5658842747682185</v>
      </c>
      <c r="K88" s="52" cm="1">
        <f t="array" ref="K88">IF(Settings!$E$18="C/LW/RW",VLOOKUP(B88,'C'!A1:F210,6,FALSE),VLOOKUP(B88,F!A1:F407,6,FALSE))</f>
        <v>-17.931368891044713</v>
      </c>
      <c r="L88" s="80" t="str" cm="1">
        <f t="array" ref="L88">IFERROR(K88/H88,"N/A")</f>
        <v>N/A</v>
      </c>
      <c r="M88" s="55">
        <v>93.9</v>
      </c>
      <c r="N88" s="55" cm="1">
        <f t="array" ref="N88">IFERROR(M88-A88,"N/A")</f>
        <v>6.9000000000000057</v>
      </c>
      <c r="O88" s="55"/>
      <c r="P88" s="56" t="str" cm="1">
        <f t="array" ref="P88">_xlfn.XLOOKUP($B88,ADP!A2:A671,ADP!G2:G671)</f>
        <v>+</v>
      </c>
      <c r="Q88" s="57" cm="1">
        <f t="array" ref="Q88">IF(Settings!$E$12="YES",VLOOKUP(B88,'Player Data'!A1:E673,5,FALSE),84)</f>
        <v>80.73</v>
      </c>
      <c r="R88" s="55" cm="1">
        <f t="array" ref="R88">VLOOKUP(B88,'Player Data'!$A1:$AE673,6,FALSE)</f>
        <v>19.643366047408598</v>
      </c>
      <c r="S88" s="57" cm="1">
        <f t="array" ref="S88">VLOOKUP(B88,'Player Data'!$A1:$AE673,7,FALSE)*$Q88*IFERROR((VLOOKUP(P88,Settings!$E$28:$F$33,2,FALSE)+1),1)</f>
        <v>31.923450990002841</v>
      </c>
      <c r="T88" s="57" cm="1">
        <f t="array" ref="T88">VLOOKUP(B88,'Player Data'!$A1:$AE673,8,FALSE)*$Q88*IFERROR((VLOOKUP(P88,Settings!$E$28:$F$33,2,FALSE)+1),1)</f>
        <v>38.122349920458191</v>
      </c>
      <c r="U88" s="57" cm="1">
        <f t="array" ref="U88">SUM(S88:T88)</f>
        <v>70.045800910461026</v>
      </c>
      <c r="V88" s="57" cm="1">
        <f t="array" ref="V88">VLOOKUP(B88,'Player Data'!$A1:$AE673,10,FALSE)*$Q88*IFERROR(((VLOOKUP(P88,Settings!$E$28:$F$33,2,FALSE)/2)+1),1)</f>
        <v>231.32497649578013</v>
      </c>
      <c r="W88" s="58" cm="1">
        <f t="array" ref="W88">VLOOKUP(B88,'Player Data'!$A1:$AE673,11,FALSE)*$Q88*IFERROR((VLOOKUP(P88,Settings!$E$28:$F$33,2,FALSE)+1),1)</f>
        <v>5.9103227459945513</v>
      </c>
      <c r="X88" s="57" cm="1">
        <f t="array" ref="X88">VLOOKUP(B88,'Player Data'!$A1:$AE673,12,FALSE)*$Q88*IFERROR((VLOOKUP(P88,Settings!$E$28:$F$33,2,FALSE)+1),1)</f>
        <v>17.127294342935667</v>
      </c>
      <c r="Y88" s="57" cm="1">
        <f t="array" ref="Y88">VLOOKUP(B88,'Player Data'!$A1:$AE673,13,FALSE)*$Q88</f>
        <v>0.16625668546851607</v>
      </c>
      <c r="Z88" s="57" cm="1">
        <f t="array" ref="Z88">VLOOKUP(B88,'Player Data'!$A1:$AE673,14,FALSE)*$Q88</f>
        <v>0.31735198138150383</v>
      </c>
      <c r="AA88" s="57" cm="1">
        <f t="array" ref="AA88">VLOOKUP(B88,'Player Data'!$A1:$AE673,15,FALSE)*$Q88</f>
        <v>50.718600396895923</v>
      </c>
      <c r="AB88" s="57" cm="1">
        <f t="array" ref="AB88">VLOOKUP(B88,'Player Data'!$A1:$AE673,16,FALSE)*$Q88</f>
        <v>123.08526364696361</v>
      </c>
      <c r="AC88" s="57" cm="1">
        <f t="array" ref="AC88">VLOOKUP(B88,'Player Data'!$A1:$AE673,17,FALSE)*$Q88*IFERROR((VLOOKUP(P88,Settings!$E$28:$F$33,2,FALSE)+1),1)</f>
        <v>-6.0775483691336028E-2</v>
      </c>
      <c r="AD88" s="57" cm="1">
        <f t="array" ref="AD88">VLOOKUP(B88,'Player Data'!$A1:$AE673,18,FALSE)*$Q88</f>
        <v>33.06649947498574</v>
      </c>
      <c r="AE88" s="57" cm="1">
        <f t="array" ref="AE88">VLOOKUP(B88,'Player Data'!$A1:$AE673,19,FALSE)*$Q88*IFERROR((VLOOKUP(P88,Settings!$E$28:$F$33,2,FALSE)+1),1)</f>
        <v>5.1441843700743801</v>
      </c>
      <c r="AF88" s="57" cm="1">
        <f t="array" ref="AF88">VLOOKUP(B88,'Player Data'!$A1:$AE673,20,FALSE)*$Q88</f>
        <v>506.96090313269576</v>
      </c>
      <c r="AG88" s="57" cm="1">
        <f t="array" ref="AG88">VLOOKUP(B88,'Player Data'!$A1:$AE673,21,FALSE)*$Q88</f>
        <v>600.83103008433397</v>
      </c>
      <c r="AH88" s="59" cm="1">
        <f t="array" ref="AH88">VLOOKUP(B88,'Player Data'!$A1:$AE673,22,FALSE)</f>
        <v>0.45763187827201501</v>
      </c>
      <c r="AI88" s="55"/>
      <c r="AJ88" s="57"/>
      <c r="AK88" s="57"/>
      <c r="AL88" s="57"/>
      <c r="AM88" s="57"/>
      <c r="AN88" s="57"/>
      <c r="AO88" s="57"/>
      <c r="AP88" s="57"/>
      <c r="AQ88" s="60"/>
      <c r="AR88" s="61"/>
      <c r="AS88" s="55"/>
    </row>
    <row r="89" spans="1:45" ht="21.25" customHeight="1" x14ac:dyDescent="0.15">
      <c r="A89" s="62">
        <f t="shared" si="1"/>
        <v>88</v>
      </c>
      <c r="B89" s="10" t="s">
        <v>217</v>
      </c>
      <c r="C89" s="47" t="s">
        <v>147</v>
      </c>
      <c r="D89" s="48" t="str" cm="1">
        <f t="array" ref="D89">VLOOKUP(B89,'Player Data'!A1:D673,4,FALSE)</f>
        <v>D</v>
      </c>
      <c r="E89" s="68" cm="1">
        <f t="array" ref="E89">VLOOKUP(B89,D!A1:C204,3,FALSE)</f>
        <v>29</v>
      </c>
      <c r="F89" s="65" t="str" cm="1">
        <f t="array" ref="F89">VLOOKUP(B89,'Player Data'!A1:B673,2,FALSE)</f>
        <v>CAR</v>
      </c>
      <c r="G89" s="66" cm="1">
        <f t="array" ref="G89">VLOOKUP(B89,'Player Data'!A1:D673,3,FALSE)</f>
        <v>33</v>
      </c>
      <c r="H89" s="67" cm="1">
        <f t="array" ref="H89">IFERROR(VLOOKUP(B89,ADP!A1:F671,6,FALSE)/1000000,VLOOKUP(B89,ADP!A1:F671,6,FALSE))</f>
        <v>3.2</v>
      </c>
      <c r="I89" s="52">
        <f>IF(Settings!$E$15="POINTS",((R89*Q89)*Settings!$B$12)+(S89*Settings!$B$2)+(T89*Settings!$B$3)+(U89*Settings!$B$4)+(V89*Settings!$B$5)+(X89*Settings!$B$9)+(AA89*Settings!$B$6)+(W89*Settings!$B$8)+(AB89*Settings!$B$7)+(AC89*Settings!$B$14)+(AD89*Settings!$B$15)+(AE89*Settings!$B$16)+(AF89*Settings!$B$17)+(AG89*Settings!$B$18)+(U89*Settings!$B$13)+(Y89*Settings!$B$10)+(Z89*Settings!$B$11),VLOOKUP(B89,'Standard Deviations'!A$1:C$672,3,FALSE))</f>
        <v>285.13310663039476</v>
      </c>
      <c r="J89" s="53" cm="1">
        <f t="array" ref="J89">IF(D89="G",I89/AJ89,I89/Q89)</f>
        <v>3.6797303646445525</v>
      </c>
      <c r="K89" s="52" cm="1">
        <f t="array" ref="K89">VLOOKUP(B89,D!A1:F204,6,FALSE)</f>
        <v>-21.520760714199298</v>
      </c>
      <c r="L89" s="54" cm="1">
        <f t="array" ref="L89">IFERROR(K89/H89,"N/A")</f>
        <v>-6.7252377231872806</v>
      </c>
      <c r="M89" s="55">
        <v>97.2</v>
      </c>
      <c r="N89" s="55" cm="1">
        <f t="array" ref="N89">IFERROR(M89-A89,"N/A")</f>
        <v>9.2000000000000028</v>
      </c>
      <c r="O89" s="55"/>
      <c r="P89" s="56" t="str" cm="1">
        <f t="array" ref="P89">_xlfn.XLOOKUP($B89,ADP!A2:A671,ADP!G2:G671)</f>
        <v xml:space="preserve"> </v>
      </c>
      <c r="Q89" s="57" cm="1">
        <f t="array" ref="Q89">IF(Settings!$E$12="YES",VLOOKUP(B89,'Player Data'!A1:E673,5,FALSE),84)</f>
        <v>77.487499999999997</v>
      </c>
      <c r="R89" s="55" cm="1">
        <f t="array" ref="R89">VLOOKUP(B89,'Player Data'!$A1:$AE673,6,FALSE)</f>
        <v>19.171417781423202</v>
      </c>
      <c r="S89" s="57" cm="1">
        <f t="array" ref="S89">VLOOKUP(B89,'Player Data'!$A1:$AE673,7,FALSE)*$Q89*IFERROR((VLOOKUP(P89,Settings!$E$28:$F$33,2,FALSE)+1),1)</f>
        <v>9.0318486987562565</v>
      </c>
      <c r="T89" s="57" cm="1">
        <f t="array" ref="T89">VLOOKUP(B89,'Player Data'!$A1:$AE673,8,FALSE)*$Q89*IFERROR((VLOOKUP(P89,Settings!$E$28:$F$33,2,FALSE)+1),1)</f>
        <v>40.43889571559172</v>
      </c>
      <c r="U89" s="57" cm="1">
        <f t="array" ref="U89">SUM(S89:T89)</f>
        <v>49.470744414347976</v>
      </c>
      <c r="V89" s="57" cm="1">
        <f t="array" ref="V89">VLOOKUP(B89,'Player Data'!$A1:$AE673,10,FALSE)*$Q89*IFERROR(((VLOOKUP(P89,Settings!$E$28:$F$33,2,FALSE)/2)+1),1)</f>
        <v>139.42341504996961</v>
      </c>
      <c r="W89" s="58" cm="1">
        <f t="array" ref="W89">VLOOKUP(B89,'Player Data'!$A1:$AE673,11,FALSE)*$Q89*IFERROR((VLOOKUP(P89,Settings!$E$28:$F$33,2,FALSE)+1),1)</f>
        <v>3.9025922485055347</v>
      </c>
      <c r="X89" s="57" cm="1">
        <f t="array" ref="X89">VLOOKUP(B89,'Player Data'!$A1:$AE673,12,FALSE)*$Q89*IFERROR((VLOOKUP(P89,Settings!$E$28:$F$33,2,FALSE)+1),1)</f>
        <v>22.679038110274288</v>
      </c>
      <c r="Y89" s="57" cm="1">
        <f t="array" ref="Y89">VLOOKUP(B89,'Player Data'!$A1:$AE673,13,FALSE)*$Q89</f>
        <v>2.8595911292818937E-3</v>
      </c>
      <c r="Z89" s="57" cm="1">
        <f t="array" ref="Z89">VLOOKUP(B89,'Player Data'!$A1:$AE673,14,FALSE)*$Q89</f>
        <v>1.1091206564141884E-2</v>
      </c>
      <c r="AA89" s="57" cm="1">
        <f t="array" ref="AA89">VLOOKUP(B89,'Player Data'!$A1:$AE673,15,FALSE)*$Q89</f>
        <v>88.63807309105519</v>
      </c>
      <c r="AB89" s="57" cm="1">
        <f t="array" ref="AB89">VLOOKUP(B89,'Player Data'!$A1:$AE673,16,FALSE)*$Q89</f>
        <v>55.218136758311914</v>
      </c>
      <c r="AC89" s="57" cm="1">
        <f t="array" ref="AC89">VLOOKUP(B89,'Player Data'!$A1:$AE673,17,FALSE)*$Q89*IFERROR((VLOOKUP(P89,Settings!$E$28:$F$33,2,FALSE)+1),1)</f>
        <v>6.9773400928456049</v>
      </c>
      <c r="AD89" s="57" cm="1">
        <f t="array" ref="AD89">VLOOKUP(B89,'Player Data'!$A1:$AE673,18,FALSE)*$Q89</f>
        <v>28.351098505401236</v>
      </c>
      <c r="AE89" s="57" cm="1">
        <f t="array" ref="AE89">VLOOKUP(B89,'Player Data'!$A1:$AE673,19,FALSE)*$Q89*IFERROR((VLOOKUP(P89,Settings!$E$28:$F$33,2,FALSE)+1),1)</f>
        <v>1.5510012078629893</v>
      </c>
      <c r="AF89" s="57" cm="1">
        <f t="array" ref="AF89">VLOOKUP(B89,'Player Data'!$A1:$AE673,20,FALSE)*$Q89</f>
        <v>0</v>
      </c>
      <c r="AG89" s="57" cm="1">
        <f t="array" ref="AG89">VLOOKUP(B89,'Player Data'!$A1:$AE673,21,FALSE)*$Q89</f>
        <v>0</v>
      </c>
      <c r="AH89" s="59" cm="1">
        <f t="array" ref="AH89">VLOOKUP(B89,'Player Data'!$A1:$AE673,22,FALSE)</f>
        <v>0</v>
      </c>
      <c r="AI89" s="55"/>
      <c r="AJ89" s="57"/>
      <c r="AK89" s="57"/>
      <c r="AL89" s="57"/>
      <c r="AM89" s="57"/>
      <c r="AN89" s="57"/>
      <c r="AO89" s="57"/>
      <c r="AP89" s="57"/>
      <c r="AQ89" s="60"/>
      <c r="AR89" s="61"/>
      <c r="AS89" s="55"/>
    </row>
    <row r="90" spans="1:45" ht="21.25" customHeight="1" x14ac:dyDescent="0.15">
      <c r="A90" s="62">
        <f t="shared" si="1"/>
        <v>89</v>
      </c>
      <c r="B90" s="10" t="s">
        <v>218</v>
      </c>
      <c r="C90" s="47" t="s">
        <v>128</v>
      </c>
      <c r="D90" s="48" t="str" cm="1">
        <f t="array" ref="D90">VLOOKUP(B90,'Player Data'!A1:D673,4,FALSE)</f>
        <v>D</v>
      </c>
      <c r="E90" s="68" cm="1">
        <f t="array" ref="E90">VLOOKUP(B90,D!A1:C204,3,FALSE)</f>
        <v>30</v>
      </c>
      <c r="F90" s="63" t="str" cm="1">
        <f t="array" ref="F90">VLOOKUP(B90,'Player Data'!A1:B673,2,FALSE)</f>
        <v>SEA</v>
      </c>
      <c r="G90" s="11" cm="1">
        <f t="array" ref="G90">VLOOKUP(B90,'Player Data'!A1:D673,3,FALSE)</f>
        <v>29</v>
      </c>
      <c r="H90" s="67" cm="1">
        <f t="array" ref="H90">IFERROR(VLOOKUP(B90,ADP!A1:F671,6,FALSE)/1000000,VLOOKUP(B90,ADP!A1:F671,6,FALSE))</f>
        <v>7.35</v>
      </c>
      <c r="I90" s="52">
        <f>IF(Settings!$E$15="POINTS",((R90*Q90)*Settings!$B$12)+(S90*Settings!$B$2)+(T90*Settings!$B$3)+(U90*Settings!$B$4)+(V90*Settings!$B$5)+(X90*Settings!$B$9)+(AA90*Settings!$B$6)+(W90*Settings!$B$8)+(AB90*Settings!$B$7)+(AC90*Settings!$B$14)+(AD90*Settings!$B$15)+(AE90*Settings!$B$16)+(AF90*Settings!$B$17)+(AG90*Settings!$B$18)+(U90*Settings!$B$13)+(Y90*Settings!$B$10)+(Z90*Settings!$B$11),VLOOKUP(B90,'Standard Deviations'!A$1:C$672,3,FALSE))</f>
        <v>283.74186941613812</v>
      </c>
      <c r="J90" s="53" cm="1">
        <f t="array" ref="J90">IF(D90="G",I90/AJ90,I90/Q90)</f>
        <v>3.6006709103916519</v>
      </c>
      <c r="K90" s="52" cm="1">
        <f t="array" ref="K90">VLOOKUP(B90,D!A1:F204,6,FALSE)</f>
        <v>-22.911997928455946</v>
      </c>
      <c r="L90" s="54" cm="1">
        <f t="array" ref="L90">IFERROR(K90/H90,"N/A")</f>
        <v>-3.1172786297218975</v>
      </c>
      <c r="M90" s="55">
        <v>125.4</v>
      </c>
      <c r="N90" s="55" cm="1">
        <f t="array" ref="N90">IFERROR(M90-A90,"N/A")</f>
        <v>36.400000000000006</v>
      </c>
      <c r="O90" s="55"/>
      <c r="P90" s="56" t="str" cm="1">
        <f t="array" ref="P90">_xlfn.XLOOKUP($B90,ADP!A2:A671,ADP!G2:G671)</f>
        <v xml:space="preserve"> </v>
      </c>
      <c r="Q90" s="57" cm="1">
        <f t="array" ref="Q90">IF(Settings!$E$12="YES",VLOOKUP(B90,'Player Data'!A1:E673,5,FALSE),84)</f>
        <v>78.802499999999995</v>
      </c>
      <c r="R90" s="55" cm="1">
        <f t="array" ref="R90">VLOOKUP(B90,'Player Data'!$A1:$AE673,6,FALSE)</f>
        <v>21.678096999148501</v>
      </c>
      <c r="S90" s="57" cm="1">
        <f t="array" ref="S90">VLOOKUP(B90,'Player Data'!$A1:$AE673,7,FALSE)*$Q90*IFERROR((VLOOKUP(P90,Settings!$E$28:$F$33,2,FALSE)+1),1)</f>
        <v>10.600098609865078</v>
      </c>
      <c r="T90" s="57" cm="1">
        <f t="array" ref="T90">VLOOKUP(B90,'Player Data'!$A1:$AE673,8,FALSE)*$Q90*IFERROR((VLOOKUP(P90,Settings!$E$28:$F$33,2,FALSE)+1),1)</f>
        <v>35.578457749773186</v>
      </c>
      <c r="U90" s="57" cm="1">
        <f t="array" ref="U90">SUM(S90:T90)</f>
        <v>46.178556359638264</v>
      </c>
      <c r="V90" s="57" cm="1">
        <f t="array" ref="V90">VLOOKUP(B90,'Player Data'!$A1:$AE673,10,FALSE)*$Q90*IFERROR(((VLOOKUP(P90,Settings!$E$28:$F$33,2,FALSE)/2)+1),1)</f>
        <v>163.72611018372581</v>
      </c>
      <c r="W90" s="57" cm="1">
        <f t="array" ref="W90">VLOOKUP(B90,'Player Data'!$A1:$AE673,11,FALSE)*$Q90*IFERROR((VLOOKUP(P90,Settings!$E$28:$F$33,2,FALSE)+1),1)</f>
        <v>2.5800068299759227</v>
      </c>
      <c r="X90" s="79" cm="1">
        <f t="array" ref="X90">VLOOKUP(B90,'Player Data'!$A1:$AE673,12,FALSE)*$Q90*IFERROR((VLOOKUP(P90,Settings!$E$28:$F$33,2,FALSE)+1),1)</f>
        <v>17.325822273058908</v>
      </c>
      <c r="Y90" s="57" cm="1">
        <f t="array" ref="Y90">VLOOKUP(B90,'Player Data'!$A1:$AE673,13,FALSE)*$Q90</f>
        <v>3.8902290654231819E-3</v>
      </c>
      <c r="Z90" s="57" cm="1">
        <f t="array" ref="Z90">VLOOKUP(B90,'Player Data'!$A1:$AE673,14,FALSE)*$Q90</f>
        <v>3.8316927922069283E-2</v>
      </c>
      <c r="AA90" s="57" cm="1">
        <f t="array" ref="AA90">VLOOKUP(B90,'Player Data'!$A1:$AE673,15,FALSE)*$Q90</f>
        <v>91.958012088758778</v>
      </c>
      <c r="AB90" s="57" cm="1">
        <f t="array" ref="AB90">VLOOKUP(B90,'Player Data'!$A1:$AE673,16,FALSE)*$Q90</f>
        <v>39.89721783303996</v>
      </c>
      <c r="AC90" s="57" cm="1">
        <f t="array" ref="AC90">VLOOKUP(B90,'Player Data'!$A1:$AE673,17,FALSE)*$Q90*IFERROR((VLOOKUP(P90,Settings!$E$28:$F$33,2,FALSE)+1),1)</f>
        <v>-6.9087411373896961</v>
      </c>
      <c r="AD90" s="57" cm="1">
        <f t="array" ref="AD90">VLOOKUP(B90,'Player Data'!$A1:$AE673,18,FALSE)*$Q90</f>
        <v>49.637817276522526</v>
      </c>
      <c r="AE90" s="57" cm="1">
        <f t="array" ref="AE90">VLOOKUP(B90,'Player Data'!$A1:$AE673,19,FALSE)*$Q90*IFERROR((VLOOKUP(P90,Settings!$E$28:$F$33,2,FALSE)+1),1)</f>
        <v>1.4604305437147245</v>
      </c>
      <c r="AF90" s="57" cm="1">
        <f t="array" ref="AF90">VLOOKUP(B90,'Player Data'!$A1:$AE673,20,FALSE)*$Q90</f>
        <v>0</v>
      </c>
      <c r="AG90" s="57" cm="1">
        <f t="array" ref="AG90">VLOOKUP(B90,'Player Data'!$A1:$AE673,21,FALSE)*$Q90</f>
        <v>0</v>
      </c>
      <c r="AH90" s="59" cm="1">
        <f t="array" ref="AH90">VLOOKUP(B90,'Player Data'!$A1:$AE673,22,FALSE)</f>
        <v>0</v>
      </c>
      <c r="AI90" s="55"/>
      <c r="AJ90" s="57"/>
      <c r="AK90" s="57"/>
      <c r="AL90" s="57"/>
      <c r="AM90" s="57"/>
      <c r="AN90" s="57"/>
      <c r="AO90" s="57"/>
      <c r="AP90" s="57"/>
      <c r="AQ90" s="60"/>
      <c r="AR90" s="61"/>
      <c r="AS90" s="55"/>
    </row>
    <row r="91" spans="1:45" ht="21.25" customHeight="1" x14ac:dyDescent="0.15">
      <c r="A91" s="62">
        <f t="shared" si="1"/>
        <v>90</v>
      </c>
      <c r="B91" s="10" t="s">
        <v>219</v>
      </c>
      <c r="C91" s="76"/>
      <c r="D91" s="48" t="str" cm="1">
        <f t="array" ref="D91">VLOOKUP(B91,'Player Data'!A1:D673,4,FALSE)</f>
        <v>G</v>
      </c>
      <c r="E91" s="77" cm="1">
        <f t="array" ref="E91">VLOOKUP(B91,G!A1:D66,3,FALSE)</f>
        <v>13</v>
      </c>
      <c r="F91" s="50" t="str" cm="1">
        <f t="array" ref="F91">VLOOKUP(B91,'Player Data'!A1:B673,2,FALSE)</f>
        <v>UTA</v>
      </c>
      <c r="G91" s="11" cm="1">
        <f t="array" ref="G91">VLOOKUP(B91,'Player Data'!A1:D673,3,FALSE)</f>
        <v>30</v>
      </c>
      <c r="H91" s="51" cm="1">
        <f t="array" ref="H91">IFERROR(VLOOKUP(B91,ADP!A1:F671,6,FALSE)/1000000,VLOOKUP(B91,ADP!A1:F671,6,FALSE))</f>
        <v>4.75</v>
      </c>
      <c r="I91" s="52">
        <f>IF(Settings!$E$15="POINTS",(AJ91*Settings!$B$29)+(AK91*Settings!$B$21)+(AL91*Settings!$B$22)+(AN91*Settings!$B$24)+(AO91*Settings!$B$25)+(AP91*Settings!$B$27)+(AM91*Settings!$B$23),VLOOKUP(B91,'Standard Deviations'!A$1:C$672,3,FALSE))</f>
        <v>335.41368392520599</v>
      </c>
      <c r="J91" s="53" cm="1">
        <f t="array" ref="J91">IF(D91="G",I91/AJ91,I91/Q91)</f>
        <v>6.0984306168219273</v>
      </c>
      <c r="K91" s="52" cm="1">
        <f t="array" ref="K91">VLOOKUP(B91,G!A1:F66,6,FALSE)</f>
        <v>-23.744224005032038</v>
      </c>
      <c r="L91" s="54" cm="1">
        <f t="array" ref="L91">IFERROR(K91/H91,"N/A")</f>
        <v>-4.9987840010593763</v>
      </c>
      <c r="M91" s="55">
        <v>69.2</v>
      </c>
      <c r="N91" s="55" cm="1">
        <f t="array" ref="N91">IFERROR(M91-A91,"N/A")</f>
        <v>-20.799999999999997</v>
      </c>
      <c r="O91" s="55"/>
      <c r="P91" s="56" t="str" cm="1">
        <f t="array" ref="P91">_xlfn.XLOOKUP($B91,ADP!A2:A671,ADP!G2:G671)</f>
        <v xml:space="preserve"> </v>
      </c>
      <c r="Q91" s="57"/>
      <c r="R91" s="55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9"/>
      <c r="AI91" s="55"/>
      <c r="AJ91" s="78" cm="1">
        <f t="array" ref="AJ91">VLOOKUP(B91,'Player Data'!$A1:$AE673,24,FALSE)</f>
        <v>55</v>
      </c>
      <c r="AK91" s="57" cm="1">
        <f t="array" ref="AK91">VLOOKUP(B91,'Player Data'!$A1:$AE673,25,FALSE)*$AJ91*IFERROR((VLOOKUP(P91,Settings!$E$28:$F$33,2,FALSE)+1),1)</f>
        <v>28.623751289050222</v>
      </c>
      <c r="AL91" s="57" cm="1">
        <f t="array" ref="AL91">AJ91-AK91-AM91</f>
        <v>19.782186533212347</v>
      </c>
      <c r="AM91" s="57" cm="1">
        <f t="array" ref="AM91">VLOOKUP(B91,'Player Data'!$A1:$AE673,27,FALSE)*$AJ91</f>
        <v>6.5940621777374302</v>
      </c>
      <c r="AN91" s="57" cm="1">
        <f t="array" ref="AN91">VLOOKUP(B91,'Player Data'!$A1:$AE673,28,FALSE)*AJ91</f>
        <v>2.958679756322466</v>
      </c>
      <c r="AO91" s="57" cm="1">
        <f t="array" ref="AO91">VLOOKUP(B91,'Player Data'!$A1:$AE673,29,FALSE)*$AJ91*IFERROR((VLOOKUP(P91,Settings!$E$28:$F$33,2,FALSE)/4)+1,1)</f>
        <v>1430.4963155519631</v>
      </c>
      <c r="AP91" s="57" cm="1">
        <f t="array" ref="AP91">VLOOKUP(B91,'Player Data'!$A1:$AE673,31,FALSE)*$AJ91*(IFERROR(1-(VLOOKUP(P91,Settings!$E$28:$F$33,2,FALSE)/4),1))</f>
        <v>156.2214691580829</v>
      </c>
      <c r="AQ91" s="60" cm="1">
        <f t="array" ref="AQ91">1-(AP91/(AO91+AP91))</f>
        <v>0.90154426284026901</v>
      </c>
      <c r="AR91" s="61" cm="1">
        <f t="array" ref="AR91">AP91/AJ91</f>
        <v>2.8403903483287798</v>
      </c>
      <c r="AS91" s="55"/>
    </row>
    <row r="92" spans="1:45" ht="21.25" customHeight="1" x14ac:dyDescent="0.15">
      <c r="A92" s="62">
        <f t="shared" si="1"/>
        <v>91</v>
      </c>
      <c r="B92" s="10" t="s">
        <v>220</v>
      </c>
      <c r="C92" s="47" t="s">
        <v>147</v>
      </c>
      <c r="D92" s="48" t="str" cm="1">
        <f t="array" ref="D92">VLOOKUP(B92,'Player Data'!A1:D673,4,FALSE)</f>
        <v>D</v>
      </c>
      <c r="E92" s="68" cm="1">
        <f t="array" ref="E92">VLOOKUP(B92,D!A1:C204,3,FALSE)</f>
        <v>31</v>
      </c>
      <c r="F92" s="18" t="str" cm="1">
        <f t="array" ref="F92">VLOOKUP(B92,'Player Data'!A1:B673,2,FALSE)</f>
        <v>VAN</v>
      </c>
      <c r="G92" s="11" cm="1">
        <f t="array" ref="G92">VLOOKUP(B92,'Player Data'!A1:D673,3,FALSE)</f>
        <v>28</v>
      </c>
      <c r="H92" s="51" cm="1">
        <f t="array" ref="H92">IFERROR(VLOOKUP(B92,ADP!A1:F671,6,FALSE)/1000000,VLOOKUP(B92,ADP!A1:F671,6,FALSE))</f>
        <v>7.25</v>
      </c>
      <c r="I92" s="52">
        <f>IF(Settings!$E$15="POINTS",((R92*Q92)*Settings!$B$12)+(S92*Settings!$B$2)+(T92*Settings!$B$3)+(U92*Settings!$B$4)+(V92*Settings!$B$5)+(X92*Settings!$B$9)+(AA92*Settings!$B$6)+(W92*Settings!$B$8)+(AB92*Settings!$B$7)+(AC92*Settings!$B$14)+(AD92*Settings!$B$15)+(AE92*Settings!$B$16)+(AF92*Settings!$B$17)+(AG92*Settings!$B$18)+(U92*Settings!$B$13)+(Y92*Settings!$B$10)+(Z92*Settings!$B$11),VLOOKUP(B92,'Standard Deviations'!A$1:C$672,3,FALSE))</f>
        <v>282.72109305361204</v>
      </c>
      <c r="J92" s="53" cm="1">
        <f t="array" ref="J92">IF(D92="G",I92/AJ92,I92/Q92)</f>
        <v>3.4885534510116547</v>
      </c>
      <c r="K92" s="52" cm="1">
        <f t="array" ref="K92">VLOOKUP(B92,D!A1:F204,6,FALSE)</f>
        <v>-23.932774290982024</v>
      </c>
      <c r="L92" s="54" cm="1">
        <f t="array" ref="L92">IFERROR(K92/H92,"N/A")</f>
        <v>-3.3010723159975206</v>
      </c>
      <c r="M92" s="55">
        <v>138.5</v>
      </c>
      <c r="N92" s="55" cm="1">
        <f t="array" ref="N92">IFERROR(M92-A92,"N/A")</f>
        <v>47.5</v>
      </c>
      <c r="O92" s="81"/>
      <c r="P92" s="56" t="str" cm="1">
        <f t="array" ref="P92">_xlfn.XLOOKUP($B92,ADP!A2:A671,ADP!G2:G671)</f>
        <v xml:space="preserve"> </v>
      </c>
      <c r="Q92" s="57" cm="1">
        <f t="array" ref="Q92">IF(Settings!$E$12="YES",VLOOKUP(B92,'Player Data'!A1:E673,5,FALSE),84)</f>
        <v>81.042500000000004</v>
      </c>
      <c r="R92" s="55" cm="1">
        <f t="array" ref="R92">VLOOKUP(B92,'Player Data'!$A1:$AE673,6,FALSE)</f>
        <v>25.215924561737801</v>
      </c>
      <c r="S92" s="57" cm="1">
        <f t="array" ref="S92">VLOOKUP(B92,'Player Data'!$A1:$AE673,7,FALSE)*$Q92*IFERROR((VLOOKUP(P92,Settings!$E$28:$F$33,2,FALSE)+1),1)</f>
        <v>7.4814211852149821</v>
      </c>
      <c r="T92" s="57" cm="1">
        <f t="array" ref="T92">VLOOKUP(B92,'Player Data'!$A1:$AE673,8,FALSE)*$Q92*IFERROR((VLOOKUP(P92,Settings!$E$28:$F$33,2,FALSE)+1),1)</f>
        <v>40.925066384837287</v>
      </c>
      <c r="U92" s="57" cm="1">
        <f t="array" ref="U92">SUM(S92:T92)</f>
        <v>48.406487570052271</v>
      </c>
      <c r="V92" s="57" cm="1">
        <f t="array" ref="V92">VLOOKUP(B92,'Player Data'!$A1:$AE673,10,FALSE)*$Q92*IFERROR(((VLOOKUP(P92,Settings!$E$28:$F$33,2,FALSE)/2)+1),1)</f>
        <v>136.47703744060448</v>
      </c>
      <c r="W92" s="57" cm="1">
        <f t="array" ref="W92">VLOOKUP(B92,'Player Data'!$A1:$AE673,11,FALSE)*$Q92*IFERROR((VLOOKUP(P92,Settings!$E$28:$F$33,2,FALSE)+1),1)</f>
        <v>2.3446494851779085</v>
      </c>
      <c r="X92" s="57" cm="1">
        <f t="array" ref="X92">VLOOKUP(B92,'Player Data'!$A1:$AE673,12,FALSE)*$Q92*IFERROR((VLOOKUP(P92,Settings!$E$28:$F$33,2,FALSE)+1),1)</f>
        <v>14.900566463127117</v>
      </c>
      <c r="Y92" s="57" cm="1">
        <f t="array" ref="Y92">VLOOKUP(B92,'Player Data'!$A1:$AE673,13,FALSE)*$Q92</f>
        <v>2.3624324136672235E-2</v>
      </c>
      <c r="Z92" s="57" cm="1">
        <f t="array" ref="Z92">VLOOKUP(B92,'Player Data'!$A1:$AE673,14,FALSE)*$Q92</f>
        <v>0.12895658825111839</v>
      </c>
      <c r="AA92" s="57" cm="1">
        <f t="array" ref="AA92">VLOOKUP(B92,'Player Data'!$A1:$AE673,15,FALSE)*$Q92</f>
        <v>108.46717714354958</v>
      </c>
      <c r="AB92" s="57" cm="1">
        <f t="array" ref="AB92">VLOOKUP(B92,'Player Data'!$A1:$AE673,16,FALSE)*$Q92</f>
        <v>117.56388243474302</v>
      </c>
      <c r="AC92" s="57" cm="1">
        <f t="array" ref="AC92">VLOOKUP(B92,'Player Data'!$A1:$AE673,17,FALSE)*$Q92*IFERROR((VLOOKUP(P92,Settings!$E$28:$F$33,2,FALSE)+1),1)</f>
        <v>-8.3773556827643407</v>
      </c>
      <c r="AD92" s="57" cm="1">
        <f t="array" ref="AD92">VLOOKUP(B92,'Player Data'!$A1:$AE673,18,FALSE)*$Q92</f>
        <v>39.030623642422704</v>
      </c>
      <c r="AE92" s="57" cm="1">
        <f t="array" ref="AE92">VLOOKUP(B92,'Player Data'!$A1:$AE673,19,FALSE)*$Q92*IFERROR((VLOOKUP(P92,Settings!$E$28:$F$33,2,FALSE)+1),1)</f>
        <v>0.92707918792026678</v>
      </c>
      <c r="AF92" s="57" cm="1">
        <f t="array" ref="AF92">VLOOKUP(B92,'Player Data'!$A1:$AE673,20,FALSE)*$Q92</f>
        <v>4.2401694652977946E-2</v>
      </c>
      <c r="AG92" s="57" cm="1">
        <f t="array" ref="AG92">VLOOKUP(B92,'Player Data'!$A1:$AE673,21,FALSE)*$Q92</f>
        <v>0.1110921476917951</v>
      </c>
      <c r="AH92" s="59" cm="1">
        <f t="array" ref="AH92">VLOOKUP(B92,'Player Data'!$A1:$AE673,22,FALSE)</f>
        <v>0.27624361997360602</v>
      </c>
      <c r="AI92" s="55"/>
      <c r="AJ92" s="57"/>
      <c r="AK92" s="57"/>
      <c r="AL92" s="57"/>
      <c r="AM92" s="57"/>
      <c r="AN92" s="57"/>
      <c r="AO92" s="57"/>
      <c r="AP92" s="57"/>
      <c r="AQ92" s="60"/>
      <c r="AR92" s="61"/>
      <c r="AS92" s="55"/>
    </row>
    <row r="93" spans="1:45" ht="21.25" customHeight="1" x14ac:dyDescent="0.15">
      <c r="A93" s="62">
        <f t="shared" si="1"/>
        <v>92</v>
      </c>
      <c r="B93" s="10" t="s">
        <v>221</v>
      </c>
      <c r="C93" s="47" t="s">
        <v>147</v>
      </c>
      <c r="D93" s="48" t="str" cm="1">
        <f t="array" ref="D93">VLOOKUP(B93,'Player Data'!A1:D673,4,FALSE)</f>
        <v>D</v>
      </c>
      <c r="E93" s="68" cm="1">
        <f t="array" ref="E93">VLOOKUP(B93,D!A1:C204,3,FALSE)</f>
        <v>32</v>
      </c>
      <c r="F93" s="69" t="str" cm="1">
        <f t="array" ref="F93">VLOOKUP(B93,'Player Data'!A1:B673,2,FALSE)</f>
        <v>N.J</v>
      </c>
      <c r="G93" s="66" cm="1">
        <f t="array" ref="G93">VLOOKUP(B93,'Player Data'!A1:D673,3,FALSE)</f>
        <v>33</v>
      </c>
      <c r="H93" s="51" cm="1">
        <f t="array" ref="H93">IFERROR(VLOOKUP(B93,ADP!A1:F671,6,FALSE)/1000000,VLOOKUP(B93,ADP!A1:F671,6,FALSE))</f>
        <v>9</v>
      </c>
      <c r="I93" s="52">
        <f>IF(Settings!$E$15="POINTS",((R93*Q93)*Settings!$B$12)+(S93*Settings!$B$2)+(T93*Settings!$B$3)+(U93*Settings!$B$4)+(V93*Settings!$B$5)+(X93*Settings!$B$9)+(AA93*Settings!$B$6)+(W93*Settings!$B$8)+(AB93*Settings!$B$7)+(AC93*Settings!$B$14)+(AD93*Settings!$B$15)+(AE93*Settings!$B$16)+(AF93*Settings!$B$17)+(AG93*Settings!$B$18)+(U93*Settings!$B$13)+(Y93*Settings!$B$10)+(Z93*Settings!$B$11),VLOOKUP(B93,'Standard Deviations'!A$1:C$672,3,FALSE))</f>
        <v>280.69871620062037</v>
      </c>
      <c r="J93" s="53" cm="1">
        <f t="array" ref="J93">IF(D93="G",I93/AJ93,I93/Q93)</f>
        <v>3.769412377219866</v>
      </c>
      <c r="K93" s="52" cm="1">
        <f t="array" ref="K93">VLOOKUP(B93,D!A1:F204,6,FALSE)</f>
        <v>-25.955151143973694</v>
      </c>
      <c r="L93" s="54" cm="1">
        <f t="array" ref="L93">IFERROR(K93/H93,"N/A")</f>
        <v>-2.8839056826637437</v>
      </c>
      <c r="M93" s="55">
        <v>108.3</v>
      </c>
      <c r="N93" s="55" cm="1">
        <f t="array" ref="N93">IFERROR(M93-A93,"N/A")</f>
        <v>16.299999999999997</v>
      </c>
      <c r="O93" s="83"/>
      <c r="P93" s="56" t="str" cm="1">
        <f t="array" ref="P93">_xlfn.XLOOKUP($B93,ADP!A2:A671,ADP!G2:G671)</f>
        <v xml:space="preserve"> </v>
      </c>
      <c r="Q93" s="57" cm="1">
        <f t="array" ref="Q93">IF(Settings!$E$12="YES",VLOOKUP(B93,'Player Data'!A1:E673,5,FALSE),84)</f>
        <v>74.467500000000001</v>
      </c>
      <c r="R93" s="82" cm="1">
        <f t="array" ref="R93">VLOOKUP(B93,'Player Data'!$A1:$AE673,6,FALSE)</f>
        <v>22.571750996510701</v>
      </c>
      <c r="S93" s="57" cm="1">
        <f t="array" ref="S93">VLOOKUP(B93,'Player Data'!$A1:$AE673,7,FALSE)*$Q93*IFERROR((VLOOKUP(P93,Settings!$E$28:$F$33,2,FALSE)+1),1)</f>
        <v>9.4881146327499852</v>
      </c>
      <c r="T93" s="57" cm="1">
        <f t="array" ref="T93">VLOOKUP(B93,'Player Data'!$A1:$AE673,8,FALSE)*$Q93*IFERROR((VLOOKUP(P93,Settings!$E$28:$F$33,2,FALSE)+1),1)</f>
        <v>30.441735203793272</v>
      </c>
      <c r="U93" s="57" cm="1">
        <f t="array" ref="U93">SUM(S93:T93)</f>
        <v>39.929849836543255</v>
      </c>
      <c r="V93" s="57" cm="1">
        <f t="array" ref="V93">VLOOKUP(B93,'Player Data'!$A1:$AE673,10,FALSE)*$Q93*IFERROR(((VLOOKUP(P93,Settings!$E$28:$F$33,2,FALSE)/2)+1),1)</f>
        <v>198.00044159005319</v>
      </c>
      <c r="W93" s="57" cm="1">
        <f t="array" ref="W93">VLOOKUP(B93,'Player Data'!$A1:$AE673,11,FALSE)*$Q93*IFERROR((VLOOKUP(P93,Settings!$E$28:$F$33,2,FALSE)+1),1)</f>
        <v>4.2681055098403933</v>
      </c>
      <c r="X93" s="79" cm="1">
        <f t="array" ref="X93">VLOOKUP(B93,'Player Data'!$A1:$AE673,12,FALSE)*$Q93*IFERROR((VLOOKUP(P93,Settings!$E$28:$F$33,2,FALSE)+1),1)</f>
        <v>14.851110864202475</v>
      </c>
      <c r="Y93" s="57" cm="1">
        <f t="array" ref="Y93">VLOOKUP(B93,'Player Data'!$A1:$AE673,13,FALSE)*$Q93</f>
        <v>2.5250934626996405E-2</v>
      </c>
      <c r="Z93" s="57" cm="1">
        <f t="array" ref="Z93">VLOOKUP(B93,'Player Data'!$A1:$AE673,14,FALSE)*$Q93</f>
        <v>9.643275177618181E-2</v>
      </c>
      <c r="AA93" s="57" cm="1">
        <f t="array" ref="AA93">VLOOKUP(B93,'Player Data'!$A1:$AE673,15,FALSE)*$Q93</f>
        <v>93.922804559970601</v>
      </c>
      <c r="AB93" s="57" cm="1">
        <f t="array" ref="AB93">VLOOKUP(B93,'Player Data'!$A1:$AE673,16,FALSE)*$Q93</f>
        <v>87.255618492464635</v>
      </c>
      <c r="AC93" s="57" cm="1">
        <f t="array" ref="AC93">VLOOKUP(B93,'Player Data'!$A1:$AE673,17,FALSE)*$Q93*IFERROR((VLOOKUP(P93,Settings!$E$28:$F$33,2,FALSE)+1),1)</f>
        <v>0.90657034981031615</v>
      </c>
      <c r="AD93" s="57" cm="1">
        <f t="array" ref="AD93">VLOOKUP(B93,'Player Data'!$A1:$AE673,18,FALSE)*$Q93</f>
        <v>47.515052682825946</v>
      </c>
      <c r="AE93" s="57" cm="1">
        <f t="array" ref="AE93">VLOOKUP(B93,'Player Data'!$A1:$AE673,19,FALSE)*$Q93*IFERROR((VLOOKUP(P93,Settings!$E$28:$F$33,2,FALSE)+1),1)</f>
        <v>1.4181488052243842</v>
      </c>
      <c r="AF93" s="57" cm="1">
        <f t="array" ref="AF93">VLOOKUP(B93,'Player Data'!$A1:$AE673,20,FALSE)*$Q93</f>
        <v>0</v>
      </c>
      <c r="AG93" s="57" cm="1">
        <f t="array" ref="AG93">VLOOKUP(B93,'Player Data'!$A1:$AE673,21,FALSE)*$Q93</f>
        <v>0</v>
      </c>
      <c r="AH93" s="59" cm="1">
        <f t="array" ref="AH93">VLOOKUP(B93,'Player Data'!$A1:$AE673,22,FALSE)</f>
        <v>0</v>
      </c>
      <c r="AI93" s="55"/>
      <c r="AJ93" s="57"/>
      <c r="AK93" s="57"/>
      <c r="AL93" s="57"/>
      <c r="AM93" s="57"/>
      <c r="AN93" s="57"/>
      <c r="AO93" s="57"/>
      <c r="AP93" s="57"/>
      <c r="AQ93" s="60"/>
      <c r="AR93" s="61"/>
      <c r="AS93" s="55"/>
    </row>
    <row r="94" spans="1:45" ht="21.25" customHeight="1" x14ac:dyDescent="0.15">
      <c r="A94" s="62">
        <f t="shared" si="1"/>
        <v>93</v>
      </c>
      <c r="B94" s="10" t="s">
        <v>222</v>
      </c>
      <c r="C94" s="47" t="s">
        <v>128</v>
      </c>
      <c r="D94" s="48" t="str" cm="1">
        <f t="array" ref="D94">VLOOKUP(B94,'Player Data'!A1:D673,4,FALSE)</f>
        <v>C</v>
      </c>
      <c r="E94" s="49" cm="1">
        <f t="array" ref="E94">VLOOKUP(B94,'C'!A1:C210,3,FALSE)</f>
        <v>28</v>
      </c>
      <c r="F94" s="65" t="str" cm="1">
        <f t="array" ref="F94">VLOOKUP(B94,'Player Data'!A1:B673,2,FALSE)</f>
        <v>STL</v>
      </c>
      <c r="G94" s="11" cm="1">
        <f t="array" ref="G94">VLOOKUP(B94,'Player Data'!A1:D673,3,FALSE)</f>
        <v>27</v>
      </c>
      <c r="H94" s="51" cm="1">
        <f t="array" ref="H94">IFERROR(VLOOKUP(B94,ADP!A1:F671,6,FALSE)/1000000,VLOOKUP(B94,ADP!A1:F671,6,FALSE))</f>
        <v>8.125</v>
      </c>
      <c r="I94" s="52">
        <f>IF(Settings!$E$15="POINTS",((R94*Q94)*Settings!$B$12)+(S94*Settings!$B$2)+(T94*Settings!$B$3)+(U94*Settings!$B$4)+(V94*Settings!$B$5)+(X94*Settings!$B$9)+(AA94*Settings!$B$6)+(W94*Settings!$B$8)+(AB94*Settings!$B$7)+(AC94*Settings!$B$14)+(AD94*Settings!$B$15)+(AE94*Settings!$B$16)+(AF94*Settings!$B$17)+(AG94*Settings!$B$18)+(Y94*Settings!$B$10)+(Z94*Settings!$B$11),VLOOKUP(B94,'Standard Deviations'!A$1:C$672,3,FALSE))</f>
        <v>358.3733405489084</v>
      </c>
      <c r="J94" s="53" cm="1">
        <f t="array" ref="J94">IF(D94="G",I94/AJ94,I94/Q94)</f>
        <v>4.5257730700121028</v>
      </c>
      <c r="K94" s="52" cm="1">
        <f t="array" ref="K94">IF(Settings!$E$18="C/LW/RW",VLOOKUP(B94,'C'!A1:F210,6,FALSE),VLOOKUP(B94,F!A1:F407,6,FALSE))</f>
        <v>-28.161865844174599</v>
      </c>
      <c r="L94" s="54" cm="1">
        <f t="array" ref="L94">IFERROR(K94/H94,"N/A")</f>
        <v>-3.4660757962061046</v>
      </c>
      <c r="M94" s="55">
        <v>74</v>
      </c>
      <c r="N94" s="55" cm="1">
        <f t="array" ref="N94">IFERROR(M94-A94,"N/A")</f>
        <v>-19</v>
      </c>
      <c r="O94" s="55"/>
      <c r="P94" s="56" t="str" cm="1">
        <f t="array" ref="P94">_xlfn.XLOOKUP($B94,ADP!A2:A671,ADP!G2:G671)</f>
        <v xml:space="preserve"> </v>
      </c>
      <c r="Q94" s="57" cm="1">
        <f t="array" ref="Q94">IF(Settings!$E$12="YES",VLOOKUP(B94,'Player Data'!A1:E673,5,FALSE),84)</f>
        <v>79.185000000000002</v>
      </c>
      <c r="R94" s="55" cm="1">
        <f t="array" ref="R94">VLOOKUP(B94,'Player Data'!$A1:$AE673,6,FALSE)</f>
        <v>19.098860766006101</v>
      </c>
      <c r="S94" s="57" cm="1">
        <f t="array" ref="S94">VLOOKUP(B94,'Player Data'!$A1:$AE673,7,FALSE)*$Q94*IFERROR((VLOOKUP(P94,Settings!$E$28:$F$33,2,FALSE)+1),1)</f>
        <v>27.12771831078118</v>
      </c>
      <c r="T94" s="57" cm="1">
        <f t="array" ref="T94">VLOOKUP(B94,'Player Data'!$A1:$AE673,8,FALSE)*$Q94*IFERROR((VLOOKUP(P94,Settings!$E$28:$F$33,2,FALSE)+1),1)</f>
        <v>52.949680819189119</v>
      </c>
      <c r="U94" s="57" cm="1">
        <f t="array" ref="U94">SUM(S94:T94)</f>
        <v>80.077399129970303</v>
      </c>
      <c r="V94" s="57" cm="1">
        <f t="array" ref="V94">VLOOKUP(B94,'Player Data'!$A1:$AE673,10,FALSE)*$Q94*IFERROR(((VLOOKUP(P94,Settings!$E$28:$F$33,2,FALSE)/2)+1),1)</f>
        <v>144.7721212683405</v>
      </c>
      <c r="W94" s="57" cm="1">
        <f t="array" ref="W94">VLOOKUP(B94,'Player Data'!$A1:$AE673,11,FALSE)*$Q94*IFERROR((VLOOKUP(P94,Settings!$E$28:$F$33,2,FALSE)+1),1)</f>
        <v>5.1101629883183231</v>
      </c>
      <c r="X94" s="79" cm="1">
        <f t="array" ref="X94">VLOOKUP(B94,'Player Data'!$A1:$AE673,12,FALSE)*$Q94*IFERROR((VLOOKUP(P94,Settings!$E$28:$F$33,2,FALSE)+1),1)</f>
        <v>20.606679405462433</v>
      </c>
      <c r="Y94" s="57" cm="1">
        <f t="array" ref="Y94">VLOOKUP(B94,'Player Data'!$A1:$AE673,13,FALSE)*$Q94</f>
        <v>0.9136016123066858</v>
      </c>
      <c r="Z94" s="57" cm="1">
        <f t="array" ref="Z94">VLOOKUP(B94,'Player Data'!$A1:$AE673,14,FALSE)*$Q94</f>
        <v>1.7129665378769199</v>
      </c>
      <c r="AA94" s="57" cm="1">
        <f t="array" ref="AA94">VLOOKUP(B94,'Player Data'!$A1:$AE673,15,FALSE)*$Q94</f>
        <v>46.870873162975869</v>
      </c>
      <c r="AB94" s="57" cm="1">
        <f t="array" ref="AB94">VLOOKUP(B94,'Player Data'!$A1:$AE673,16,FALSE)*$Q94</f>
        <v>21.724373817282146</v>
      </c>
      <c r="AC94" s="57" cm="1">
        <f t="array" ref="AC94">VLOOKUP(B94,'Player Data'!$A1:$AE673,17,FALSE)*$Q94*IFERROR((VLOOKUP(P94,Settings!$E$28:$F$33,2,FALSE)+1),1)</f>
        <v>2.4584929077546853</v>
      </c>
      <c r="AD94" s="57" cm="1">
        <f t="array" ref="AD94">VLOOKUP(B94,'Player Data'!$A1:$AE673,18,FALSE)*$Q94</f>
        <v>29.839585304408683</v>
      </c>
      <c r="AE94" s="57" cm="1">
        <f t="array" ref="AE94">VLOOKUP(B94,'Player Data'!$A1:$AE673,19,FALSE)*$Q94*IFERROR((VLOOKUP(P94,Settings!$E$28:$F$33,2,FALSE)+1),1)</f>
        <v>3.9115740332617213</v>
      </c>
      <c r="AF94" s="57" cm="1">
        <f t="array" ref="AF94">VLOOKUP(B94,'Player Data'!$A1:$AE673,20,FALSE)*$Q94</f>
        <v>713.94851813994012</v>
      </c>
      <c r="AG94" s="57" cm="1">
        <f t="array" ref="AG94">VLOOKUP(B94,'Player Data'!$A1:$AE673,21,FALSE)*$Q94</f>
        <v>629.08039414358188</v>
      </c>
      <c r="AH94" s="59" cm="1">
        <f t="array" ref="AH94">VLOOKUP(B94,'Player Data'!$A1:$AE673,22,FALSE)</f>
        <v>0.53159579187765205</v>
      </c>
      <c r="AI94" s="55"/>
      <c r="AJ94" s="57"/>
      <c r="AK94" s="57"/>
      <c r="AL94" s="57"/>
      <c r="AM94" s="57"/>
      <c r="AN94" s="57"/>
      <c r="AO94" s="57"/>
      <c r="AP94" s="57"/>
      <c r="AQ94" s="60"/>
      <c r="AR94" s="61"/>
      <c r="AS94" s="55"/>
    </row>
    <row r="95" spans="1:45" ht="21.25" customHeight="1" x14ac:dyDescent="0.15">
      <c r="A95" s="62">
        <f t="shared" si="1"/>
        <v>94</v>
      </c>
      <c r="B95" s="10" t="s">
        <v>223</v>
      </c>
      <c r="C95" s="47" t="s">
        <v>128</v>
      </c>
      <c r="D95" s="48" t="str" cm="1">
        <f t="array" ref="D95">VLOOKUP(B95,'Player Data'!A1:D673,4,FALSE)</f>
        <v>LW</v>
      </c>
      <c r="E95" s="75" cm="1">
        <f t="array" ref="E95">VLOOKUP(B95,LW!A1:C210,3,FALSE)</f>
        <v>21</v>
      </c>
      <c r="F95" s="65" t="str" cm="1">
        <f t="array" ref="F95">VLOOKUP(B95,'Player Data'!A1:B673,2,FALSE)</f>
        <v>CAR</v>
      </c>
      <c r="G95" s="11" cm="1">
        <f t="array" ref="G95">VLOOKUP(B95,'Player Data'!A1:D673,3,FALSE)</f>
        <v>30</v>
      </c>
      <c r="H95" s="51" cm="1">
        <f t="array" ref="H95">IFERROR(VLOOKUP(B95,ADP!A1:F671,6,FALSE)/1000000,VLOOKUP(B95,ADP!A1:F671,6,FALSE))</f>
        <v>8.5</v>
      </c>
      <c r="I95" s="52">
        <f>IF(Settings!$E$15="POINTS",((R95*Q95)*Settings!$B$12)+(S95*Settings!$B$2)+(T95*Settings!$B$3)+(U95*Settings!$B$4)+(V95*Settings!$B$5)+(X95*Settings!$B$9)+(AA95*Settings!$B$6)+(W95*Settings!$B$8)+(AB95*Settings!$B$7)+(AC95*Settings!$B$14)+(AD95*Settings!$B$15)+(AE95*Settings!$B$16)+(AF95*Settings!$B$17)+(AG95*Settings!$B$18)+(Y95*Settings!$B$10)+(Z95*Settings!$B$11),VLOOKUP(B95,'Standard Deviations'!A$1:C$672,3,FALSE))</f>
        <v>371.05732682391113</v>
      </c>
      <c r="J95" s="53" cm="1">
        <f t="array" ref="J95">IF(D95="G",I95/AJ95,I95/Q95)</f>
        <v>4.5117466860067612</v>
      </c>
      <c r="K95" s="52" cm="1">
        <f t="array" ref="K95">IF(Settings!$E$18="C/LW/RW",VLOOKUP(B95,LW!A1:F210,6,FALSE),VLOOKUP(B95,F!A1:F407,6,FALSE))</f>
        <v>-28.255666489808959</v>
      </c>
      <c r="L95" s="54" cm="1">
        <f t="array" ref="L95">IFERROR(K95/H95,"N/A")</f>
        <v>-3.3241960576245835</v>
      </c>
      <c r="M95" s="55">
        <v>120.3</v>
      </c>
      <c r="N95" s="55" cm="1">
        <f t="array" ref="N95">IFERROR(M95-A95,"N/A")</f>
        <v>26.299999999999997</v>
      </c>
      <c r="O95" s="55"/>
      <c r="P95" s="56" t="str" cm="1">
        <f t="array" ref="P95">_xlfn.XLOOKUP($B95,ADP!A2:A671,ADP!G2:G671)</f>
        <v xml:space="preserve"> </v>
      </c>
      <c r="Q95" s="57" cm="1">
        <f t="array" ref="Q95">IF(Settings!$E$12="YES",VLOOKUP(B95,'Player Data'!A1:E673,5,FALSE),84)</f>
        <v>82.242500000000007</v>
      </c>
      <c r="R95" s="55" cm="1">
        <f t="array" ref="R95">VLOOKUP(B95,'Player Data'!$A1:$AE673,6,FALSE)</f>
        <v>17.242639053097701</v>
      </c>
      <c r="S95" s="57" cm="1">
        <f t="array" ref="S95">VLOOKUP(B95,'Player Data'!$A1:$AE673,7,FALSE)*$Q95*IFERROR((VLOOKUP(P95,Settings!$E$28:$F$33,2,FALSE)+1),1)</f>
        <v>27.829800226826908</v>
      </c>
      <c r="T95" s="57" cm="1">
        <f t="array" ref="T95">VLOOKUP(B95,'Player Data'!$A1:$AE673,8,FALSE)*$Q95*IFERROR((VLOOKUP(P95,Settings!$E$28:$F$33,2,FALSE)+1),1)</f>
        <v>45.505125414658757</v>
      </c>
      <c r="U95" s="57" cm="1">
        <f t="array" ref="U95">SUM(S95:T95)</f>
        <v>73.334925641485668</v>
      </c>
      <c r="V95" s="57" cm="1">
        <f t="array" ref="V95">VLOOKUP(B95,'Player Data'!$A1:$AE673,10,FALSE)*$Q95*IFERROR(((VLOOKUP(P95,Settings!$E$28:$F$33,2,FALSE)/2)+1),1)</f>
        <v>219.573758334221</v>
      </c>
      <c r="W95" s="58" cm="1">
        <f t="array" ref="W95">VLOOKUP(B95,'Player Data'!$A1:$AE673,11,FALSE)*$Q95*IFERROR((VLOOKUP(P95,Settings!$E$28:$F$33,2,FALSE)+1),1)</f>
        <v>7.8490626822641509</v>
      </c>
      <c r="X95" s="57" cm="1">
        <f t="array" ref="X95">VLOOKUP(B95,'Player Data'!$A1:$AE673,12,FALSE)*$Q95*IFERROR((VLOOKUP(P95,Settings!$E$28:$F$33,2,FALSE)+1),1)</f>
        <v>25.747099474746754</v>
      </c>
      <c r="Y95" s="57" cm="1">
        <f t="array" ref="Y95">VLOOKUP(B95,'Player Data'!$A1:$AE673,13,FALSE)*$Q95</f>
        <v>6.1370671760582274E-3</v>
      </c>
      <c r="Z95" s="57" cm="1">
        <f t="array" ref="Z95">VLOOKUP(B95,'Player Data'!$A1:$AE673,14,FALSE)*$Q95</f>
        <v>1.000966749414497E-2</v>
      </c>
      <c r="AA95" s="57" cm="1">
        <f t="array" ref="AA95">VLOOKUP(B95,'Player Data'!$A1:$AE673,15,FALSE)*$Q95</f>
        <v>31.017123180205452</v>
      </c>
      <c r="AB95" s="57" cm="1">
        <f t="array" ref="AB95">VLOOKUP(B95,'Player Data'!$A1:$AE673,16,FALSE)*$Q95</f>
        <v>36.1323086484934</v>
      </c>
      <c r="AC95" s="57" cm="1">
        <f t="array" ref="AC95">VLOOKUP(B95,'Player Data'!$A1:$AE673,17,FALSE)*$Q95*IFERROR((VLOOKUP(P95,Settings!$E$28:$F$33,2,FALSE)+1),1)</f>
        <v>8.6130057764810815</v>
      </c>
      <c r="AD95" s="57" cm="1">
        <f t="array" ref="AD95">VLOOKUP(B95,'Player Data'!$A1:$AE673,18,FALSE)*$Q95</f>
        <v>23.725902495231928</v>
      </c>
      <c r="AE95" s="57" cm="1">
        <f t="array" ref="AE95">VLOOKUP(B95,'Player Data'!$A1:$AE673,19,FALSE)*$Q95*IFERROR((VLOOKUP(P95,Settings!$E$28:$F$33,2,FALSE)+1),1)</f>
        <v>4.7790939824244711</v>
      </c>
      <c r="AF95" s="57" cm="1">
        <f t="array" ref="AF95">VLOOKUP(B95,'Player Data'!$A1:$AE673,20,FALSE)*$Q95</f>
        <v>8.8746198294412384</v>
      </c>
      <c r="AG95" s="57" cm="1">
        <f t="array" ref="AG95">VLOOKUP(B95,'Player Data'!$A1:$AE673,21,FALSE)*$Q95</f>
        <v>20.20233387846692</v>
      </c>
      <c r="AH95" s="59" cm="1">
        <f t="array" ref="AH95">VLOOKUP(B95,'Player Data'!$A1:$AE673,22,FALSE)</f>
        <v>0.30521147155204198</v>
      </c>
      <c r="AI95" s="55"/>
      <c r="AJ95" s="57"/>
      <c r="AK95" s="57"/>
      <c r="AL95" s="57"/>
      <c r="AM95" s="57"/>
      <c r="AN95" s="57"/>
      <c r="AO95" s="57"/>
      <c r="AP95" s="57"/>
      <c r="AQ95" s="60"/>
      <c r="AR95" s="61"/>
      <c r="AS95" s="55"/>
    </row>
    <row r="96" spans="1:45" ht="21.25" customHeight="1" x14ac:dyDescent="0.15">
      <c r="A96" s="62">
        <f t="shared" si="1"/>
        <v>95</v>
      </c>
      <c r="B96" s="10" t="s">
        <v>224</v>
      </c>
      <c r="C96" s="47" t="s">
        <v>128</v>
      </c>
      <c r="D96" s="48" t="str" cm="1">
        <f t="array" ref="D96">VLOOKUP(B96,'Player Data'!A1:D673,4,FALSE)</f>
        <v>LW,RW</v>
      </c>
      <c r="E96" s="74" cm="1">
        <f t="array" ref="E96">VLOOKUP(B96,RW!A1:F210,3,FALSE)</f>
        <v>26</v>
      </c>
      <c r="F96" s="56" t="str" cm="1">
        <f t="array" ref="F96">VLOOKUP(B96,'Player Data'!A1:B673,2,FALSE)</f>
        <v>S.J</v>
      </c>
      <c r="G96" s="71" cm="1">
        <f t="array" ref="G96">VLOOKUP(B96,'Player Data'!A1:D673,3,FALSE)</f>
        <v>21</v>
      </c>
      <c r="H96" s="51" cm="1">
        <f t="array" ref="H96">IFERROR(VLOOKUP(B96,ADP!A1:F671,6,FALSE)/1000000,VLOOKUP(B96,ADP!A1:F671,6,FALSE))</f>
        <v>0.95</v>
      </c>
      <c r="I96" s="52">
        <f>IF(Settings!$E$15="POINTS",((R96*Q96)*Settings!$B$12)+(S96*Settings!$B$2)+(T96*Settings!$B$3)+(U96*Settings!$B$4)+(V96*Settings!$B$5)+(X96*Settings!$B$9)+(AA96*Settings!$B$6)+(W96*Settings!$B$8)+(AB96*Settings!$B$7)+(AC96*Settings!$B$14)+(AD96*Settings!$B$15)+(AE96*Settings!$B$16)+(AF96*Settings!$B$17)+(AG96*Settings!$B$18)+(Y96*Settings!$B$10)+(Z96*Settings!$B$11),VLOOKUP(B96,'Standard Deviations'!A$1:C$672,3,FALSE))</f>
        <v>364.951912718291</v>
      </c>
      <c r="J96" s="53" cm="1">
        <f t="array" ref="J96">IF(D96="G",I96/AJ96,I96/Q96)</f>
        <v>4.583527429034393</v>
      </c>
      <c r="K96" s="52" cm="1">
        <f t="array" ref="K96">IF(Settings!$E$18="C/LW/RW",VLOOKUP(B96,RW!A1:F210,6,FALSE),VLOOKUP(B96,F!A1:F407,6,FALSE))</f>
        <v>-29.991551975266475</v>
      </c>
      <c r="L96" s="54" cm="1">
        <f t="array" ref="L96">IFERROR(K96/H96,"N/A")</f>
        <v>-31.570054710806819</v>
      </c>
      <c r="M96" s="55">
        <v>63.4</v>
      </c>
      <c r="N96" s="55" cm="1">
        <f t="array" ref="N96">IFERROR(M96-A96,"N/A")</f>
        <v>-31.6</v>
      </c>
      <c r="O96" s="55"/>
      <c r="P96" s="56" t="str" cm="1">
        <f t="array" ref="P96">_xlfn.XLOOKUP($B96,ADP!A2:A671,ADP!G2:G671)</f>
        <v>+ +</v>
      </c>
      <c r="Q96" s="57" cm="1">
        <f t="array" ref="Q96">IF(Settings!$E$12="YES",VLOOKUP(B96,'Player Data'!A1:E673,5,FALSE),84)</f>
        <v>79.622500000000002</v>
      </c>
      <c r="R96" s="55" cm="1">
        <f t="array" ref="R96">VLOOKUP(B96,'Player Data'!$A1:$AE673,6,FALSE)</f>
        <v>19.077142194082398</v>
      </c>
      <c r="S96" s="57" cm="1">
        <f t="array" ref="S96">VLOOKUP(B96,'Player Data'!$A1:$AE673,7,FALSE)*$Q96*IFERROR((VLOOKUP(P96,Settings!$E$28:$F$33,2,FALSE)+1),1)</f>
        <v>30.857840322531267</v>
      </c>
      <c r="T96" s="57" cm="1">
        <f t="array" ref="T96">VLOOKUP(B96,'Player Data'!$A1:$AE673,8,FALSE)*$Q96*IFERROR((VLOOKUP(P96,Settings!$E$28:$F$33,2,FALSE)+1),1)</f>
        <v>45.378593791443471</v>
      </c>
      <c r="U96" s="57" cm="1">
        <f t="array" ref="U96">SUM(S96:T96)</f>
        <v>76.236434113974738</v>
      </c>
      <c r="V96" s="57" cm="1">
        <f t="array" ref="V96">VLOOKUP(B96,'Player Data'!$A1:$AE673,10,FALSE)*$Q96*IFERROR(((VLOOKUP(P96,Settings!$E$28:$F$33,2,FALSE)/2)+1),1)</f>
        <v>205.46791012058858</v>
      </c>
      <c r="W96" s="58" cm="1">
        <f t="array" ref="W96">VLOOKUP(B96,'Player Data'!$A1:$AE673,11,FALSE)*$Q96*IFERROR((VLOOKUP(P96,Settings!$E$28:$F$33,2,FALSE)+1),1)</f>
        <v>9.3538549558347945</v>
      </c>
      <c r="X96" s="57" cm="1">
        <f t="array" ref="X96">VLOOKUP(B96,'Player Data'!$A1:$AE673,12,FALSE)*$Q96*IFERROR((VLOOKUP(P96,Settings!$E$28:$F$33,2,FALSE)+1),1)</f>
        <v>23.293806494099329</v>
      </c>
      <c r="Y96" s="57" cm="1">
        <f t="array" ref="Y96">VLOOKUP(B96,'Player Data'!$A1:$AE673,13,FALSE)*$Q96</f>
        <v>0.12206391635570753</v>
      </c>
      <c r="Z96" s="57" cm="1">
        <f t="array" ref="Z96">VLOOKUP(B96,'Player Data'!$A1:$AE673,14,FALSE)*$Q96</f>
        <v>0.20081649045302163</v>
      </c>
      <c r="AA96" s="57" cm="1">
        <f t="array" ref="AA96">VLOOKUP(B96,'Player Data'!$A1:$AE673,15,FALSE)*$Q96</f>
        <v>20.0280646630404</v>
      </c>
      <c r="AB96" s="57" cm="1">
        <f t="array" ref="AB96">VLOOKUP(B96,'Player Data'!$A1:$AE673,16,FALSE)*$Q96</f>
        <v>26.491189364140187</v>
      </c>
      <c r="AC96" s="57" cm="1">
        <f t="array" ref="AC96">VLOOKUP(B96,'Player Data'!$A1:$AE673,17,FALSE)*$Q96*IFERROR((VLOOKUP(P96,Settings!$E$28:$F$33,2,FALSE)+1),1)</f>
        <v>-1.7127862873454749</v>
      </c>
      <c r="AD96" s="57" cm="1">
        <f t="array" ref="AD96">VLOOKUP(B96,'Player Data'!$A1:$AE673,18,FALSE)*$Q96</f>
        <v>25.037469142976235</v>
      </c>
      <c r="AE96" s="57" cm="1">
        <f t="array" ref="AE96">VLOOKUP(B96,'Player Data'!$A1:$AE673,19,FALSE)*$Q96*IFERROR((VLOOKUP(P96,Settings!$E$28:$F$33,2,FALSE)+1),1)</f>
        <v>4.3148375707607345</v>
      </c>
      <c r="AF96" s="57" cm="1">
        <f t="array" ref="AF96">VLOOKUP(B96,'Player Data'!$A1:$AE673,20,FALSE)*$Q96</f>
        <v>27.828909943561346</v>
      </c>
      <c r="AG96" s="57" cm="1">
        <f t="array" ref="AG96">VLOOKUP(B96,'Player Data'!$A1:$AE673,21,FALSE)*$Q96</f>
        <v>58.122795663272804</v>
      </c>
      <c r="AH96" s="59" cm="1">
        <f t="array" ref="AH96">VLOOKUP(B96,'Player Data'!$A1:$AE673,22,FALSE)</f>
        <v>0.32377379537828099</v>
      </c>
      <c r="AI96" s="55"/>
      <c r="AJ96" s="57"/>
      <c r="AK96" s="57"/>
      <c r="AL96" s="57"/>
      <c r="AM96" s="57"/>
      <c r="AN96" s="57"/>
      <c r="AO96" s="57"/>
      <c r="AP96" s="57"/>
      <c r="AQ96" s="60"/>
      <c r="AR96" s="61"/>
      <c r="AS96" s="55"/>
    </row>
    <row r="97" spans="1:45" ht="21.25" customHeight="1" x14ac:dyDescent="0.15">
      <c r="A97" s="62">
        <f t="shared" si="1"/>
        <v>96</v>
      </c>
      <c r="B97" s="10" t="s">
        <v>225</v>
      </c>
      <c r="C97" s="76"/>
      <c r="D97" s="48" t="str" cm="1">
        <f t="array" ref="D97">VLOOKUP(B97,'Player Data'!A1:D673,4,FALSE)</f>
        <v>G</v>
      </c>
      <c r="E97" s="77" cm="1">
        <f t="array" ref="E97">VLOOKUP(B97,G!A1:D66,3,FALSE)</f>
        <v>14</v>
      </c>
      <c r="F97" s="50" t="str" cm="1">
        <f t="array" ref="F97">VLOOKUP(B97,'Player Data'!A1:B673,2,FALSE)</f>
        <v>ANA</v>
      </c>
      <c r="G97" s="11" cm="1">
        <f t="array" ref="G97">VLOOKUP(B97,'Player Data'!A1:D673,3,FALSE)</f>
        <v>26</v>
      </c>
      <c r="H97" s="51" cm="1">
        <f t="array" ref="H97">IFERROR(VLOOKUP(B97,ADP!A1:F671,6,FALSE)/1000000,VLOOKUP(B97,ADP!A1:F671,6,FALSE))</f>
        <v>6.5</v>
      </c>
      <c r="I97" s="52">
        <f>IF(Settings!$E$15="POINTS",(AJ97*Settings!$B$29)+(AK97*Settings!$B$21)+(AL97*Settings!$B$22)+(AN97*Settings!$B$24)+(AO97*Settings!$B$25)+(AP97*Settings!$B$27)+(AM97*Settings!$B$23),VLOOKUP(B97,'Standard Deviations'!A$1:C$672,3,FALSE))</f>
        <v>327.42227493822185</v>
      </c>
      <c r="J97" s="53" cm="1">
        <f t="array" ref="J97">IF(D97="G",I97/AJ97,I97/Q97)</f>
        <v>5.9531322716040336</v>
      </c>
      <c r="K97" s="52" cm="1">
        <f t="array" ref="K97">VLOOKUP(B97,G!A1:F66,6,FALSE)</f>
        <v>-31.735632992016178</v>
      </c>
      <c r="L97" s="54" cm="1">
        <f t="array" ref="L97">IFERROR(K97/H97,"N/A")</f>
        <v>-4.8824050756947965</v>
      </c>
      <c r="M97" s="55">
        <v>139.30000000000001</v>
      </c>
      <c r="N97" s="55" cm="1">
        <f t="array" ref="N97">IFERROR(M97-A97,"N/A")</f>
        <v>43.300000000000011</v>
      </c>
      <c r="O97" s="55"/>
      <c r="P97" s="56" t="str" cm="1">
        <f t="array" ref="P97">_xlfn.XLOOKUP($B97,ADP!A2:A671,ADP!G2:G671)</f>
        <v xml:space="preserve"> </v>
      </c>
      <c r="Q97" s="57"/>
      <c r="R97" s="55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9"/>
      <c r="AI97" s="55"/>
      <c r="AJ97" s="78" cm="1">
        <f t="array" ref="AJ97">VLOOKUP(B97,'Player Data'!$A1:$AE673,24,FALSE)</f>
        <v>55</v>
      </c>
      <c r="AK97" s="57" cm="1">
        <f t="array" ref="AK97">VLOOKUP(B97,'Player Data'!$A1:$AE673,25,FALSE)*$AJ97*IFERROR((VLOOKUP(P97,Settings!$E$28:$F$33,2,FALSE)+1),1)</f>
        <v>25.432891450545974</v>
      </c>
      <c r="AL97" s="57" cm="1">
        <f t="array" ref="AL97">AJ97-AK97-AM97</f>
        <v>22.175331412090507</v>
      </c>
      <c r="AM97" s="57" cm="1">
        <f t="array" ref="AM97">VLOOKUP(B97,'Player Data'!$A1:$AE673,27,FALSE)*$AJ97</f>
        <v>7.3917771373635199</v>
      </c>
      <c r="AN97" s="57" cm="1">
        <f t="array" ref="AN97">VLOOKUP(B97,'Player Data'!$A1:$AE673,28,FALSE)*AJ97</f>
        <v>2.0524696065164667</v>
      </c>
      <c r="AO97" s="57" cm="1">
        <f t="array" ref="AO97">VLOOKUP(B97,'Player Data'!$A1:$AE673,29,FALSE)*$AJ97*IFERROR((VLOOKUP(P97,Settings!$E$28:$F$33,2,FALSE)/4)+1,1)</f>
        <v>1506.6394132808314</v>
      </c>
      <c r="AP97" s="57" cm="1">
        <f t="array" ref="AP97">VLOOKUP(B97,'Player Data'!$A1:$AE673,31,FALSE)*$AJ97*(IFERROR(1-(VLOOKUP(P97,Settings!$E$28:$F$33,2,FALSE)/4),1))</f>
        <v>168.0828585534494</v>
      </c>
      <c r="AQ97" s="60" cm="1">
        <f t="array" ref="AQ97">1-(AP97/(AO97+AP97))</f>
        <v>0.89963538350191485</v>
      </c>
      <c r="AR97" s="61" cm="1">
        <f t="array" ref="AR97">AP97/AJ97</f>
        <v>3.0560519736990801</v>
      </c>
      <c r="AS97" s="55"/>
    </row>
    <row r="98" spans="1:45" ht="21.25" customHeight="1" x14ac:dyDescent="0.15">
      <c r="A98" s="62">
        <f t="shared" si="1"/>
        <v>97</v>
      </c>
      <c r="B98" s="10" t="s">
        <v>226</v>
      </c>
      <c r="C98" s="47" t="s">
        <v>128</v>
      </c>
      <c r="D98" s="48" t="str" cm="1">
        <f t="array" ref="D98">VLOOKUP(B98,'Player Data'!A1:D673,4,FALSE)</f>
        <v>RW</v>
      </c>
      <c r="E98" s="64" cm="1">
        <f t="array" ref="E98">VLOOKUP(B98,RW!A1:F210,3,FALSE)</f>
        <v>27</v>
      </c>
      <c r="F98" s="72" t="str" cm="1">
        <f t="array" ref="F98">VLOOKUP(B98,'Player Data'!A1:B673,2,FALSE)</f>
        <v>PIT</v>
      </c>
      <c r="G98" s="66" cm="1">
        <f t="array" ref="G98">VLOOKUP(B98,'Player Data'!A1:D673,3,FALSE)</f>
        <v>34</v>
      </c>
      <c r="H98" s="51" cm="1">
        <f t="array" ref="H98">IFERROR(VLOOKUP(B98,ADP!A1:F671,6,FALSE)/1000000,VLOOKUP(B98,ADP!A1:F671,6,FALSE))</f>
        <v>5.125</v>
      </c>
      <c r="I98" s="52">
        <f>IF(Settings!$E$15="POINTS",((R98*Q98)*Settings!$B$12)+(S98*Settings!$B$2)+(T98*Settings!$B$3)+(U98*Settings!$B$4)+(V98*Settings!$B$5)+(X98*Settings!$B$9)+(AA98*Settings!$B$6)+(W98*Settings!$B$8)+(AB98*Settings!$B$7)+(AC98*Settings!$B$14)+(AD98*Settings!$B$15)+(AE98*Settings!$B$16)+(AF98*Settings!$B$17)+(AG98*Settings!$B$18)+(Y98*Settings!$B$10)+(Z98*Settings!$B$11),VLOOKUP(B98,'Standard Deviations'!A$1:C$672,3,FALSE))</f>
        <v>362.65275348499102</v>
      </c>
      <c r="J98" s="53" cm="1">
        <f t="array" ref="J98">IF(D98="G",I98/AJ98,I98/Q98)</f>
        <v>4.6055529540590028</v>
      </c>
      <c r="K98" s="52" cm="1">
        <f t="array" ref="K98">IF(Settings!$E$18="C/LW/RW",VLOOKUP(B98,RW!A1:F210,6,FALSE),VLOOKUP(B98,F!A1:F407,6,FALSE))</f>
        <v>-32.290711208566449</v>
      </c>
      <c r="L98" s="54" cm="1">
        <f t="array" ref="L98">IFERROR(K98/H98,"N/A")</f>
        <v>-6.3006265772812586</v>
      </c>
      <c r="M98" s="55">
        <v>123.6</v>
      </c>
      <c r="N98" s="55" cm="1">
        <f t="array" ref="N98">IFERROR(M98-A98,"N/A")</f>
        <v>26.599999999999994</v>
      </c>
      <c r="O98" s="55"/>
      <c r="P98" s="56" t="str" cm="1">
        <f t="array" ref="P98">_xlfn.XLOOKUP($B98,ADP!A2:A671,ADP!G2:G671)</f>
        <v xml:space="preserve"> </v>
      </c>
      <c r="Q98" s="57" cm="1">
        <f t="array" ref="Q98">IF(Settings!$E$12="YES",VLOOKUP(B98,'Player Data'!A1:E673,5,FALSE),84)</f>
        <v>78.742500000000007</v>
      </c>
      <c r="R98" s="55" cm="1">
        <f t="array" ref="R98">VLOOKUP(B98,'Player Data'!$A1:$AE673,6,FALSE)</f>
        <v>19.992658854166699</v>
      </c>
      <c r="S98" s="57" cm="1">
        <f t="array" ref="S98">VLOOKUP(B98,'Player Data'!$A1:$AE673,7,FALSE)*$Q98*IFERROR((VLOOKUP(P98,Settings!$E$28:$F$33,2,FALSE)+1),1)</f>
        <v>29.989710494784376</v>
      </c>
      <c r="T98" s="57" cm="1">
        <f t="array" ref="T98">VLOOKUP(B98,'Player Data'!$A1:$AE673,8,FALSE)*$Q98*IFERROR((VLOOKUP(P98,Settings!$E$28:$F$33,2,FALSE)+1),1)</f>
        <v>37.088544948015063</v>
      </c>
      <c r="U98" s="57" cm="1">
        <f t="array" ref="U98">SUM(S98:T98)</f>
        <v>67.078255442799446</v>
      </c>
      <c r="V98" s="57" cm="1">
        <f t="array" ref="V98">VLOOKUP(B98,'Player Data'!$A1:$AE673,10,FALSE)*$Q98*IFERROR(((VLOOKUP(P98,Settings!$E$28:$F$33,2,FALSE)/2)+1),1)</f>
        <v>207.20234594992621</v>
      </c>
      <c r="W98" s="58" cm="1">
        <f t="array" ref="W98">VLOOKUP(B98,'Player Data'!$A1:$AE673,11,FALSE)*$Q98*IFERROR((VLOOKUP(P98,Settings!$E$28:$F$33,2,FALSE)+1),1)</f>
        <v>7.2554649209236635</v>
      </c>
      <c r="X98" s="57" cm="1">
        <f t="array" ref="X98">VLOOKUP(B98,'Player Data'!$A1:$AE673,12,FALSE)*$Q98*IFERROR((VLOOKUP(P98,Settings!$E$28:$F$33,2,FALSE)+1),1)</f>
        <v>21.741514173136597</v>
      </c>
      <c r="Y98" s="57" cm="1">
        <f t="array" ref="Y98">VLOOKUP(B98,'Player Data'!$A1:$AE673,13,FALSE)*$Q98</f>
        <v>0.64456335080933647</v>
      </c>
      <c r="Z98" s="57" cm="1">
        <f t="array" ref="Z98">VLOOKUP(B98,'Player Data'!$A1:$AE673,14,FALSE)*$Q98</f>
        <v>1.2895385460524886</v>
      </c>
      <c r="AA98" s="57" cm="1">
        <f t="array" ref="AA98">VLOOKUP(B98,'Player Data'!$A1:$AE673,15,FALSE)*$Q98</f>
        <v>69.571522924881023</v>
      </c>
      <c r="AB98" s="57" cm="1">
        <f t="array" ref="AB98">VLOOKUP(B98,'Player Data'!$A1:$AE673,16,FALSE)*$Q98</f>
        <v>50.942953521581067</v>
      </c>
      <c r="AC98" s="57" cm="1">
        <f t="array" ref="AC98">VLOOKUP(B98,'Player Data'!$A1:$AE673,17,FALSE)*$Q98*IFERROR((VLOOKUP(P98,Settings!$E$28:$F$33,2,FALSE)+1),1)</f>
        <v>0.13874987363711763</v>
      </c>
      <c r="AD98" s="57" cm="1">
        <f t="array" ref="AD98">VLOOKUP(B98,'Player Data'!$A1:$AE673,18,FALSE)*$Q98</f>
        <v>27.656163099288886</v>
      </c>
      <c r="AE98" s="57" cm="1">
        <f t="array" ref="AE98">VLOOKUP(B98,'Player Data'!$A1:$AE673,19,FALSE)*$Q98*IFERROR((VLOOKUP(P98,Settings!$E$28:$F$33,2,FALSE)+1),1)</f>
        <v>4.3481268985115795</v>
      </c>
      <c r="AF98" s="57" cm="1">
        <f t="array" ref="AF98">VLOOKUP(B98,'Player Data'!$A1:$AE673,20,FALSE)*$Q98</f>
        <v>4.7788255225555005</v>
      </c>
      <c r="AG98" s="57" cm="1">
        <f t="array" ref="AG98">VLOOKUP(B98,'Player Data'!$A1:$AE673,21,FALSE)*$Q98</f>
        <v>11.283191577603324</v>
      </c>
      <c r="AH98" s="59" cm="1">
        <f t="array" ref="AH98">VLOOKUP(B98,'Player Data'!$A1:$AE673,22,FALSE)</f>
        <v>0.29752337410400698</v>
      </c>
      <c r="AI98" s="55"/>
      <c r="AJ98" s="57"/>
      <c r="AK98" s="57"/>
      <c r="AL98" s="57"/>
      <c r="AM98" s="57"/>
      <c r="AN98" s="57"/>
      <c r="AO98" s="57"/>
      <c r="AP98" s="57"/>
      <c r="AQ98" s="60"/>
      <c r="AR98" s="61"/>
      <c r="AS98" s="55"/>
    </row>
    <row r="99" spans="1:45" ht="21.25" customHeight="1" x14ac:dyDescent="0.15">
      <c r="A99" s="62">
        <f t="shared" si="1"/>
        <v>98</v>
      </c>
      <c r="B99" s="10" t="s">
        <v>227</v>
      </c>
      <c r="C99" s="47" t="s">
        <v>147</v>
      </c>
      <c r="D99" s="48" t="str" cm="1">
        <f t="array" ref="D99">VLOOKUP(B99,'Player Data'!A1:D673,4,FALSE)</f>
        <v>D</v>
      </c>
      <c r="E99" s="68" cm="1">
        <f t="array" ref="E99">VLOOKUP(B99,D!A1:C204,3,FALSE)</f>
        <v>33</v>
      </c>
      <c r="F99" s="56" t="str" cm="1">
        <f t="array" ref="F99">VLOOKUP(B99,'Player Data'!A1:B673,2,FALSE)</f>
        <v>UTA</v>
      </c>
      <c r="G99" s="66" cm="1">
        <f t="array" ref="G99">VLOOKUP(B99,'Player Data'!A1:D673,3,FALSE)</f>
        <v>32</v>
      </c>
      <c r="H99" s="51" cm="1">
        <f t="array" ref="H99">IFERROR(VLOOKUP(B99,ADP!A1:F671,6,FALSE)/1000000,VLOOKUP(B99,ADP!A1:F671,6,FALSE))</f>
        <v>6.25</v>
      </c>
      <c r="I99" s="52">
        <f>IF(Settings!$E$15="POINTS",((R99*Q99)*Settings!$B$12)+(S99*Settings!$B$2)+(T99*Settings!$B$3)+(U99*Settings!$B$4)+(V99*Settings!$B$5)+(X99*Settings!$B$9)+(AA99*Settings!$B$6)+(W99*Settings!$B$8)+(AB99*Settings!$B$7)+(AC99*Settings!$B$14)+(AD99*Settings!$B$15)+(AE99*Settings!$B$16)+(AF99*Settings!$B$17)+(AG99*Settings!$B$18)+(U99*Settings!$B$13)+(Y99*Settings!$B$10)+(Z99*Settings!$B$11),VLOOKUP(B99,'Standard Deviations'!A$1:C$672,3,FALSE))</f>
        <v>274.09767409747053</v>
      </c>
      <c r="J99" s="53" cm="1">
        <f t="array" ref="J99">IF(D99="G",I99/AJ99,I99/Q99)</f>
        <v>3.2881198908045888</v>
      </c>
      <c r="K99" s="52" cm="1">
        <f t="array" ref="K99">VLOOKUP(B99,D!A1:F204,6,FALSE)</f>
        <v>-32.556193247123531</v>
      </c>
      <c r="L99" s="54" cm="1">
        <f t="array" ref="L99">IFERROR(K99/H99,"N/A")</f>
        <v>-5.2089909195397652</v>
      </c>
      <c r="M99" s="55">
        <v>110.3</v>
      </c>
      <c r="N99" s="55" cm="1">
        <f t="array" ref="N99">IFERROR(M99-A99,"N/A")</f>
        <v>12.299999999999997</v>
      </c>
      <c r="O99" s="55"/>
      <c r="P99" s="56" t="str" cm="1">
        <f t="array" ref="P99">_xlfn.XLOOKUP($B99,ADP!A2:A671,ADP!G2:G671)</f>
        <v xml:space="preserve"> </v>
      </c>
      <c r="Q99" s="57" cm="1">
        <f t="array" ref="Q99">IF(Settings!$E$12="YES",VLOOKUP(B99,'Player Data'!A1:E673,5,FALSE),84)</f>
        <v>83.36</v>
      </c>
      <c r="R99" s="55" cm="1">
        <f t="array" ref="R99">VLOOKUP(B99,'Player Data'!$A1:$AE673,6,FALSE)</f>
        <v>22.521005436646199</v>
      </c>
      <c r="S99" s="57" cm="1">
        <f t="array" ref="S99">VLOOKUP(B99,'Player Data'!$A1:$AE673,7,FALSE)*$Q99*IFERROR((VLOOKUP(P99,Settings!$E$28:$F$33,2,FALSE)+1),1)</f>
        <v>6.19441626109393</v>
      </c>
      <c r="T99" s="57" cm="1">
        <f t="array" ref="T99">VLOOKUP(B99,'Player Data'!$A1:$AE673,8,FALSE)*$Q99*IFERROR((VLOOKUP(P99,Settings!$E$28:$F$33,2,FALSE)+1),1)</f>
        <v>26.443104079565565</v>
      </c>
      <c r="U99" s="57" cm="1">
        <f t="array" ref="U99">SUM(S99:T99)</f>
        <v>32.637520340659492</v>
      </c>
      <c r="V99" s="57" cm="1">
        <f t="array" ref="V99">VLOOKUP(B99,'Player Data'!$A1:$AE673,10,FALSE)*$Q99*IFERROR(((VLOOKUP(P99,Settings!$E$28:$F$33,2,FALSE)/2)+1),1)</f>
        <v>153.49103042818848</v>
      </c>
      <c r="W99" s="57" cm="1">
        <f t="array" ref="W99">VLOOKUP(B99,'Player Data'!$A1:$AE673,11,FALSE)*$Q99*IFERROR((VLOOKUP(P99,Settings!$E$28:$F$33,2,FALSE)+1),1)</f>
        <v>0.99173837660865849</v>
      </c>
      <c r="X99" s="57" cm="1">
        <f t="array" ref="X99">VLOOKUP(B99,'Player Data'!$A1:$AE673,12,FALSE)*$Q99*IFERROR((VLOOKUP(P99,Settings!$E$28:$F$33,2,FALSE)+1),1)</f>
        <v>7.9211889186517599</v>
      </c>
      <c r="Y99" s="57" cm="1">
        <f t="array" ref="Y99">VLOOKUP(B99,'Player Data'!$A1:$AE673,13,FALSE)*$Q99</f>
        <v>1.7386172105388977E-2</v>
      </c>
      <c r="Z99" s="57" cm="1">
        <f t="array" ref="Z99">VLOOKUP(B99,'Player Data'!$A1:$AE673,14,FALSE)*$Q99</f>
        <v>1.4159797852078873</v>
      </c>
      <c r="AA99" s="57" cm="1">
        <f t="array" ref="AA99">VLOOKUP(B99,'Player Data'!$A1:$AE673,15,FALSE)*$Q99</f>
        <v>180.20485831507639</v>
      </c>
      <c r="AB99" s="57" cm="1">
        <f t="array" ref="AB99">VLOOKUP(B99,'Player Data'!$A1:$AE673,16,FALSE)*$Q99</f>
        <v>170.24908064772666</v>
      </c>
      <c r="AC99" s="57" cm="1">
        <f t="array" ref="AC99">VLOOKUP(B99,'Player Data'!$A1:$AE673,17,FALSE)*$Q99*IFERROR((VLOOKUP(P99,Settings!$E$28:$F$33,2,FALSE)+1),1)</f>
        <v>-1.0968649218960027</v>
      </c>
      <c r="AD99" s="57" cm="1">
        <f t="array" ref="AD99">VLOOKUP(B99,'Player Data'!$A1:$AE673,18,FALSE)*$Q99</f>
        <v>48.633902888084414</v>
      </c>
      <c r="AE99" s="57" cm="1">
        <f t="array" ref="AE99">VLOOKUP(B99,'Player Data'!$A1:$AE673,19,FALSE)*$Q99*IFERROR((VLOOKUP(P99,Settings!$E$28:$F$33,2,FALSE)+1),1)</f>
        <v>1.0012939803350784</v>
      </c>
      <c r="AF99" s="57" cm="1">
        <f t="array" ref="AF99">VLOOKUP(B99,'Player Data'!$A1:$AE673,20,FALSE)*$Q99</f>
        <v>0</v>
      </c>
      <c r="AG99" s="57" cm="1">
        <f t="array" ref="AG99">VLOOKUP(B99,'Player Data'!$A1:$AE673,21,FALSE)*$Q99</f>
        <v>0.15074264793299269</v>
      </c>
      <c r="AH99" s="59" cm="1">
        <f t="array" ref="AH99">VLOOKUP(B99,'Player Data'!$A1:$AE673,22,FALSE)</f>
        <v>0</v>
      </c>
      <c r="AI99" s="55"/>
      <c r="AJ99" s="57"/>
      <c r="AK99" s="57"/>
      <c r="AL99" s="57"/>
      <c r="AM99" s="57"/>
      <c r="AN99" s="57"/>
      <c r="AO99" s="57"/>
      <c r="AP99" s="57"/>
      <c r="AQ99" s="60"/>
      <c r="AR99" s="61"/>
      <c r="AS99" s="55"/>
    </row>
    <row r="100" spans="1:45" ht="21.25" customHeight="1" x14ac:dyDescent="0.15">
      <c r="A100" s="62">
        <f t="shared" si="1"/>
        <v>99</v>
      </c>
      <c r="B100" s="10" t="s">
        <v>228</v>
      </c>
      <c r="C100" s="47" t="s">
        <v>128</v>
      </c>
      <c r="D100" s="48" t="str" cm="1">
        <f t="array" ref="D100">VLOOKUP(B100,'Player Data'!A1:D673,4,FALSE)</f>
        <v>C</v>
      </c>
      <c r="E100" s="49" cm="1">
        <f t="array" ref="E100">VLOOKUP(B100,'C'!A1:C210,3,FALSE)</f>
        <v>29</v>
      </c>
      <c r="F100" s="65" t="str" cm="1">
        <f t="array" ref="F100">VLOOKUP(B100,'Player Data'!A1:B673,2,FALSE)</f>
        <v>T.B</v>
      </c>
      <c r="G100" s="11" cm="1">
        <f t="array" ref="G100">VLOOKUP(B100,'Player Data'!A1:D673,3,FALSE)</f>
        <v>30</v>
      </c>
      <c r="H100" s="51" cm="1">
        <f t="array" ref="H100">IFERROR(VLOOKUP(B100,ADP!A1:F671,6,FALSE)/1000000,VLOOKUP(B100,ADP!A1:F671,6,FALSE))</f>
        <v>9.5</v>
      </c>
      <c r="I100" s="52">
        <f>IF(Settings!$E$15="POINTS",((R100*Q100)*Settings!$B$12)+(S100*Settings!$B$2)+(T100*Settings!$B$3)+(U100*Settings!$B$4)+(V100*Settings!$B$5)+(X100*Settings!$B$9)+(AA100*Settings!$B$6)+(W100*Settings!$B$8)+(AB100*Settings!$B$7)+(AC100*Settings!$B$14)+(AD100*Settings!$B$15)+(AE100*Settings!$B$16)+(AF100*Settings!$B$17)+(AG100*Settings!$B$18)+(Y100*Settings!$B$10)+(Z100*Settings!$B$11),VLOOKUP(B100,'Standard Deviations'!A$1:C$672,3,FALSE))</f>
        <v>353.32789537965596</v>
      </c>
      <c r="J100" s="53" cm="1">
        <f t="array" ref="J100">IF(D100="G",I100/AJ100,I100/Q100)</f>
        <v>4.4237873466840609</v>
      </c>
      <c r="K100" s="52" cm="1">
        <f t="array" ref="K100">IF(Settings!$E$18="C/LW/RW",VLOOKUP(B100,'C'!A1:F210,6,FALSE),VLOOKUP(B100,F!A1:F407,6,FALSE))</f>
        <v>-33.207311013427045</v>
      </c>
      <c r="L100" s="54" cm="1">
        <f t="array" ref="L100">IFERROR(K100/H100,"N/A")</f>
        <v>-3.4955064224660046</v>
      </c>
      <c r="M100" s="55">
        <v>84.1</v>
      </c>
      <c r="N100" s="55" cm="1">
        <f t="array" ref="N100">IFERROR(M100-A100,"N/A")</f>
        <v>-14.900000000000006</v>
      </c>
      <c r="O100" s="55"/>
      <c r="P100" s="56" t="str" cm="1">
        <f t="array" ref="P100">_xlfn.XLOOKUP($B100,ADP!A2:A671,ADP!G2:G671)</f>
        <v>+</v>
      </c>
      <c r="Q100" s="57" cm="1">
        <f t="array" ref="Q100">IF(Settings!$E$12="YES",VLOOKUP(B100,'Player Data'!A1:E673,5,FALSE),84)</f>
        <v>79.87</v>
      </c>
      <c r="R100" s="55" cm="1">
        <f t="array" ref="R100">VLOOKUP(B100,'Player Data'!$A1:$AE673,6,FALSE)</f>
        <v>18.167937964700101</v>
      </c>
      <c r="S100" s="57" cm="1">
        <f t="array" ref="S100">VLOOKUP(B100,'Player Data'!$A1:$AE673,7,FALSE)*$Q100*IFERROR((VLOOKUP(P100,Settings!$E$28:$F$33,2,FALSE)+1),1)</f>
        <v>32.916183272525281</v>
      </c>
      <c r="T100" s="57" cm="1">
        <f t="array" ref="T100">VLOOKUP(B100,'Player Data'!$A1:$AE673,8,FALSE)*$Q100*IFERROR((VLOOKUP(P100,Settings!$E$28:$F$33,2,FALSE)+1),1)</f>
        <v>40.567104218607469</v>
      </c>
      <c r="U100" s="57" cm="1">
        <f t="array" ref="U100">SUM(S100:T100)</f>
        <v>73.483287491132756</v>
      </c>
      <c r="V100" s="57" cm="1">
        <f t="array" ref="V100">VLOOKUP(B100,'Player Data'!$A1:$AE673,10,FALSE)*$Q100*IFERROR(((VLOOKUP(P100,Settings!$E$28:$F$33,2,FALSE)/2)+1),1)</f>
        <v>182.53156920931391</v>
      </c>
      <c r="W100" s="58" cm="1">
        <f t="array" ref="W100">VLOOKUP(B100,'Player Data'!$A1:$AE673,11,FALSE)*$Q100*IFERROR((VLOOKUP(P100,Settings!$E$28:$F$33,2,FALSE)+1),1)</f>
        <v>12.064806180342785</v>
      </c>
      <c r="X100" s="57" cm="1">
        <f t="array" ref="X100">VLOOKUP(B100,'Player Data'!$A1:$AE673,12,FALSE)*$Q100*IFERROR((VLOOKUP(P100,Settings!$E$28:$F$33,2,FALSE)+1),1)</f>
        <v>24.200567408686339</v>
      </c>
      <c r="Y100" s="57" cm="1">
        <f t="array" ref="Y100">VLOOKUP(B100,'Player Data'!$A1:$AE673,13,FALSE)*$Q100</f>
        <v>1.326863857465181E-2</v>
      </c>
      <c r="Z100" s="57" cm="1">
        <f t="array" ref="Z100">VLOOKUP(B100,'Player Data'!$A1:$AE673,14,FALSE)*$Q100</f>
        <v>2.183297308491906E-2</v>
      </c>
      <c r="AA100" s="57" cm="1">
        <f t="array" ref="AA100">VLOOKUP(B100,'Player Data'!$A1:$AE673,15,FALSE)*$Q100</f>
        <v>34.779695839658942</v>
      </c>
      <c r="AB100" s="57" cm="1">
        <f t="array" ref="AB100">VLOOKUP(B100,'Player Data'!$A1:$AE673,16,FALSE)*$Q100</f>
        <v>22.5669915241957</v>
      </c>
      <c r="AC100" s="57" cm="1">
        <f t="array" ref="AC100">VLOOKUP(B100,'Player Data'!$A1:$AE673,17,FALSE)*$Q100*IFERROR((VLOOKUP(P100,Settings!$E$28:$F$33,2,FALSE)+1),1)</f>
        <v>9.0938848332694402</v>
      </c>
      <c r="AD100" s="57" cm="1">
        <f t="array" ref="AD100">VLOOKUP(B100,'Player Data'!$A1:$AE673,18,FALSE)*$Q100</f>
        <v>16.763869689909708</v>
      </c>
      <c r="AE100" s="57" cm="1">
        <f t="array" ref="AE100">VLOOKUP(B100,'Player Data'!$A1:$AE673,19,FALSE)*$Q100*IFERROR((VLOOKUP(P100,Settings!$E$28:$F$33,2,FALSE)+1),1)</f>
        <v>5.8429332082747543</v>
      </c>
      <c r="AF100" s="57" cm="1">
        <f t="array" ref="AF100">VLOOKUP(B100,'Player Data'!$A1:$AE673,20,FALSE)*$Q100</f>
        <v>366.38990641881821</v>
      </c>
      <c r="AG100" s="57" cm="1">
        <f t="array" ref="AG100">VLOOKUP(B100,'Player Data'!$A1:$AE673,21,FALSE)*$Q100</f>
        <v>417.00842226711438</v>
      </c>
      <c r="AH100" s="59" cm="1">
        <f t="array" ref="AH100">VLOOKUP(B100,'Player Data'!$A1:$AE673,22,FALSE)</f>
        <v>0.46769298963580702</v>
      </c>
      <c r="AI100" s="55"/>
      <c r="AJ100" s="57"/>
      <c r="AK100" s="57"/>
      <c r="AL100" s="57"/>
      <c r="AM100" s="57"/>
      <c r="AN100" s="57"/>
      <c r="AO100" s="57"/>
      <c r="AP100" s="57"/>
      <c r="AQ100" s="60"/>
      <c r="AR100" s="61"/>
      <c r="AS100" s="55"/>
    </row>
    <row r="101" spans="1:45" ht="21.25" customHeight="1" x14ac:dyDescent="0.15">
      <c r="A101" s="62">
        <f t="shared" si="1"/>
        <v>100</v>
      </c>
      <c r="B101" s="10" t="s">
        <v>229</v>
      </c>
      <c r="C101" s="47" t="s">
        <v>128</v>
      </c>
      <c r="D101" s="48" t="str" cm="1">
        <f t="array" ref="D101">VLOOKUP(B101,'Player Data'!A1:D673,4,FALSE)</f>
        <v>C,LW</v>
      </c>
      <c r="E101" s="74" cm="1">
        <f t="array" ref="E101">VLOOKUP(B101,LW!A1:C210,3,FALSE)</f>
        <v>22</v>
      </c>
      <c r="F101" s="72" t="str" cm="1">
        <f t="array" ref="F101">VLOOKUP(B101,'Player Data'!A1:B673,2,FALSE)</f>
        <v>FLA</v>
      </c>
      <c r="G101" s="11" cm="1">
        <f t="array" ref="G101">VLOOKUP(B101,'Player Data'!A1:D673,3,FALSE)</f>
        <v>26</v>
      </c>
      <c r="H101" s="51" cm="1">
        <f t="array" ref="H101">IFERROR(VLOOKUP(B101,ADP!A1:F671,6,FALSE)/1000000,VLOOKUP(B101,ADP!A1:F671,6,FALSE))</f>
        <v>8.2050000000000001</v>
      </c>
      <c r="I101" s="52">
        <f>IF(Settings!$E$15="POINTS",((R101*Q101)*Settings!$B$12)+(S101*Settings!$B$2)+(T101*Settings!$B$3)+(U101*Settings!$B$4)+(V101*Settings!$B$5)+(X101*Settings!$B$9)+(AA101*Settings!$B$6)+(W101*Settings!$B$8)+(AB101*Settings!$B$7)+(AC101*Settings!$B$14)+(AD101*Settings!$B$15)+(AE101*Settings!$B$16)+(AF101*Settings!$B$17)+(AG101*Settings!$B$18)+(Y101*Settings!$B$10)+(Z101*Settings!$B$11),VLOOKUP(B101,'Standard Deviations'!A$1:C$672,3,FALSE))</f>
        <v>366.09111973250168</v>
      </c>
      <c r="J101" s="53" cm="1">
        <f t="array" ref="J101">IF(D101="G",I101/AJ101,I101/Q101)</f>
        <v>4.6546868370311714</v>
      </c>
      <c r="K101" s="52" cm="1">
        <f t="array" ref="K101">IF(Settings!$E$18="C/LW/RW",VLOOKUP(B101,LW!A1:F210,6,FALSE),VLOOKUP(B101,F!A1:F407,6,FALSE))</f>
        <v>-33.221873581218404</v>
      </c>
      <c r="L101" s="54" cm="1">
        <f t="array" ref="L101">IFERROR(K101/H101,"N/A")</f>
        <v>-4.0489791080095552</v>
      </c>
      <c r="M101" s="55">
        <v>24</v>
      </c>
      <c r="N101" s="55" cm="1">
        <f t="array" ref="N101">IFERROR(M101-A101,"N/A")</f>
        <v>-76</v>
      </c>
      <c r="O101" s="55"/>
      <c r="P101" s="56" t="str" cm="1">
        <f t="array" ref="P101">_xlfn.XLOOKUP($B101,ADP!A2:A671,ADP!G2:G671)</f>
        <v xml:space="preserve"> </v>
      </c>
      <c r="Q101" s="57" cm="1">
        <f t="array" ref="Q101">IF(Settings!$E$12="YES",VLOOKUP(B101,'Player Data'!A1:E673,5,FALSE),84)</f>
        <v>78.650000000000006</v>
      </c>
      <c r="R101" s="55" cm="1">
        <f t="array" ref="R101">VLOOKUP(B101,'Player Data'!$A1:$AE673,6,FALSE)</f>
        <v>17.475160234290101</v>
      </c>
      <c r="S101" s="57" cm="1">
        <f t="array" ref="S101">VLOOKUP(B101,'Player Data'!$A1:$AE673,7,FALSE)*$Q101*IFERROR((VLOOKUP(P101,Settings!$E$28:$F$33,2,FALSE)+1),1)</f>
        <v>27.917584286039151</v>
      </c>
      <c r="T101" s="57" cm="1">
        <f t="array" ref="T101">VLOOKUP(B101,'Player Data'!$A1:$AE673,8,FALSE)*$Q101*IFERROR((VLOOKUP(P101,Settings!$E$28:$F$33,2,FALSE)+1),1)</f>
        <v>35.498265376860822</v>
      </c>
      <c r="U101" s="57" cm="1">
        <f t="array" ref="U101">SUM(S101:T101)</f>
        <v>63.415849662899973</v>
      </c>
      <c r="V101" s="57" cm="1">
        <f t="array" ref="V101">VLOOKUP(B101,'Player Data'!$A1:$AE673,10,FALSE)*$Q101*IFERROR(((VLOOKUP(P101,Settings!$E$28:$F$33,2,FALSE)/2)+1),1)</f>
        <v>285.42101377382625</v>
      </c>
      <c r="W101" s="57" cm="1">
        <f t="array" ref="W101">VLOOKUP(B101,'Player Data'!$A1:$AE673,11,FALSE)*$Q101*IFERROR((VLOOKUP(P101,Settings!$E$28:$F$33,2,FALSE)+1),1)</f>
        <v>6.7801928996934002</v>
      </c>
      <c r="X101" s="57" cm="1">
        <f t="array" ref="X101">VLOOKUP(B101,'Player Data'!$A1:$AE673,12,FALSE)*$Q101*IFERROR((VLOOKUP(P101,Settings!$E$28:$F$33,2,FALSE)+1),1)</f>
        <v>16.975921385100936</v>
      </c>
      <c r="Y101" s="57" cm="1">
        <f t="array" ref="Y101">VLOOKUP(B101,'Player Data'!$A1:$AE673,13,FALSE)*$Q101</f>
        <v>0.1894854958840454</v>
      </c>
      <c r="Z101" s="57" cm="1">
        <f t="array" ref="Z101">VLOOKUP(B101,'Player Data'!$A1:$AE673,14,FALSE)*$Q101</f>
        <v>0.21211013935833845</v>
      </c>
      <c r="AA101" s="57" cm="1">
        <f t="array" ref="AA101">VLOOKUP(B101,'Player Data'!$A1:$AE673,15,FALSE)*$Q101</f>
        <v>31.890064664858702</v>
      </c>
      <c r="AB101" s="57" cm="1">
        <f t="array" ref="AB101">VLOOKUP(B101,'Player Data'!$A1:$AE673,16,FALSE)*$Q101</f>
        <v>217.50066012823021</v>
      </c>
      <c r="AC101" s="57" cm="1">
        <f t="array" ref="AC101">VLOOKUP(B101,'Player Data'!$A1:$AE673,17,FALSE)*$Q101*IFERROR((VLOOKUP(P101,Settings!$E$28:$F$33,2,FALSE)+1),1)</f>
        <v>5.9289976259551</v>
      </c>
      <c r="AD101" s="57" cm="1">
        <f t="array" ref="AD101">VLOOKUP(B101,'Player Data'!$A1:$AE673,18,FALSE)*$Q101</f>
        <v>73.566628048992314</v>
      </c>
      <c r="AE101" s="57" cm="1">
        <f t="array" ref="AE101">VLOOKUP(B101,'Player Data'!$A1:$AE673,19,FALSE)*$Q101*IFERROR((VLOOKUP(P101,Settings!$E$28:$F$33,2,FALSE)+1),1)</f>
        <v>4.6481596357918118</v>
      </c>
      <c r="AF101" s="57" cm="1">
        <f t="array" ref="AF101">VLOOKUP(B101,'Player Data'!$A1:$AE673,20,FALSE)*$Q101</f>
        <v>208.78598507199413</v>
      </c>
      <c r="AG101" s="57" cm="1">
        <f t="array" ref="AG101">VLOOKUP(B101,'Player Data'!$A1:$AE673,21,FALSE)*$Q101</f>
        <v>179.19601150585143</v>
      </c>
      <c r="AH101" s="59" cm="1">
        <f t="array" ref="AH101">VLOOKUP(B101,'Player Data'!$A1:$AE673,22,FALSE)</f>
        <v>0.53813317863604204</v>
      </c>
      <c r="AI101" s="55"/>
      <c r="AJ101" s="57"/>
      <c r="AK101" s="57"/>
      <c r="AL101" s="57"/>
      <c r="AM101" s="57"/>
      <c r="AN101" s="57"/>
      <c r="AO101" s="57"/>
      <c r="AP101" s="57"/>
      <c r="AQ101" s="60"/>
      <c r="AR101" s="61"/>
      <c r="AS101" s="55"/>
    </row>
    <row r="102" spans="1:45" ht="21.25" customHeight="1" x14ac:dyDescent="0.15">
      <c r="A102" s="62">
        <f t="shared" si="1"/>
        <v>101</v>
      </c>
      <c r="B102" s="10" t="s">
        <v>230</v>
      </c>
      <c r="C102" s="47" t="s">
        <v>128</v>
      </c>
      <c r="D102" s="48" t="str" cm="1">
        <f t="array" ref="D102">VLOOKUP(B102,'Player Data'!A1:D673,4,FALSE)</f>
        <v>C</v>
      </c>
      <c r="E102" s="49" cm="1">
        <f t="array" ref="E102">VLOOKUP(B102,'C'!A1:C210,3,FALSE)</f>
        <v>31</v>
      </c>
      <c r="F102" s="63" t="str" cm="1">
        <f t="array" ref="F102">VLOOKUP(B102,'Player Data'!A1:B673,2,FALSE)</f>
        <v>DAL</v>
      </c>
      <c r="G102" s="11" cm="1">
        <f t="array" ref="G102">VLOOKUP(B102,'Player Data'!A1:D673,3,FALSE)</f>
        <v>29</v>
      </c>
      <c r="H102" s="51" cm="1">
        <f t="array" ref="H102">IFERROR(VLOOKUP(B102,ADP!A1:F671,6,FALSE)/1000000,VLOOKUP(B102,ADP!A1:F671,6,FALSE))</f>
        <v>8.4499999999999993</v>
      </c>
      <c r="I102" s="52">
        <f>IF(Settings!$E$15="POINTS",((R102*Q102)*Settings!$B$12)+(S102*Settings!$B$2)+(T102*Settings!$B$3)+(U102*Settings!$B$4)+(V102*Settings!$B$5)+(X102*Settings!$B$9)+(AA102*Settings!$B$6)+(W102*Settings!$B$8)+(AB102*Settings!$B$7)+(AC102*Settings!$B$14)+(AD102*Settings!$B$15)+(AE102*Settings!$B$16)+(AF102*Settings!$B$17)+(AG102*Settings!$B$18)+(Y102*Settings!$B$10)+(Z102*Settings!$B$11),VLOOKUP(B102,'Standard Deviations'!A$1:C$672,3,FALSE))</f>
        <v>350.54373990101777</v>
      </c>
      <c r="J102" s="53" cm="1">
        <f t="array" ref="J102">IF(D102="G",I102/AJ102,I102/Q102)</f>
        <v>4.5023760061781815</v>
      </c>
      <c r="K102" s="52" cm="1">
        <f t="array" ref="K102">IF(Settings!$E$18="C/LW/RW",VLOOKUP(B102,'C'!A1:F210,6,FALSE),VLOOKUP(B102,F!A1:F407,6,FALSE))</f>
        <v>-35.991466492065229</v>
      </c>
      <c r="L102" s="54" cm="1">
        <f t="array" ref="L102">IFERROR(K102/H102,"N/A")</f>
        <v>-4.2593451469899684</v>
      </c>
      <c r="M102" s="55">
        <v>116.2</v>
      </c>
      <c r="N102" s="55" cm="1">
        <f t="array" ref="N102">IFERROR(M102-A102,"N/A")</f>
        <v>15.200000000000003</v>
      </c>
      <c r="O102" s="55"/>
      <c r="P102" s="56" t="str" cm="1">
        <f t="array" ref="P102">_xlfn.XLOOKUP($B102,ADP!A2:A671,ADP!G2:G671)</f>
        <v xml:space="preserve"> </v>
      </c>
      <c r="Q102" s="57" cm="1">
        <f t="array" ref="Q102">IF(Settings!$E$12="YES",VLOOKUP(B102,'Player Data'!A1:E673,5,FALSE),84)</f>
        <v>77.857500000000002</v>
      </c>
      <c r="R102" s="55" cm="1">
        <f t="array" ref="R102">VLOOKUP(B102,'Player Data'!$A1:$AE673,6,FALSE)</f>
        <v>18.248448441431499</v>
      </c>
      <c r="S102" s="57" cm="1">
        <f t="array" ref="S102">VLOOKUP(B102,'Player Data'!$A1:$AE673,7,FALSE)*$Q102*IFERROR((VLOOKUP(P102,Settings!$E$28:$F$33,2,FALSE)+1),1)</f>
        <v>27.844113789548768</v>
      </c>
      <c r="T102" s="57" cm="1">
        <f t="array" ref="T102">VLOOKUP(B102,'Player Data'!$A1:$AE673,8,FALSE)*$Q102*IFERROR((VLOOKUP(P102,Settings!$E$28:$F$33,2,FALSE)+1),1)</f>
        <v>42.25083074027701</v>
      </c>
      <c r="U102" s="57" cm="1">
        <f t="array" ref="U102">SUM(S102:T102)</f>
        <v>70.094944529825781</v>
      </c>
      <c r="V102" s="57" cm="1">
        <f t="array" ref="V102">VLOOKUP(B102,'Player Data'!$A1:$AE673,10,FALSE)*$Q102*IFERROR(((VLOOKUP(P102,Settings!$E$28:$F$33,2,FALSE)/2)+1),1)</f>
        <v>191.5581216000557</v>
      </c>
      <c r="W102" s="58" cm="1">
        <f t="array" ref="W102">VLOOKUP(B102,'Player Data'!$A1:$AE673,11,FALSE)*$Q102*IFERROR((VLOOKUP(P102,Settings!$E$28:$F$33,2,FALSE)+1),1)</f>
        <v>8.9323484089160825</v>
      </c>
      <c r="X102" s="57" cm="1">
        <f t="array" ref="X102">VLOOKUP(B102,'Player Data'!$A1:$AE673,12,FALSE)*$Q102*IFERROR((VLOOKUP(P102,Settings!$E$28:$F$33,2,FALSE)+1),1)</f>
        <v>25.606756783510605</v>
      </c>
      <c r="Y102" s="57" cm="1">
        <f t="array" ref="Y102">VLOOKUP(B102,'Player Data'!$A1:$AE673,13,FALSE)*$Q102</f>
        <v>0.24152372380285517</v>
      </c>
      <c r="Z102" s="57" cm="1">
        <f t="array" ref="Z102">VLOOKUP(B102,'Player Data'!$A1:$AE673,14,FALSE)*$Q102</f>
        <v>0.52249810455075663</v>
      </c>
      <c r="AA102" s="57" cm="1">
        <f t="array" ref="AA102">VLOOKUP(B102,'Player Data'!$A1:$AE673,15,FALSE)*$Q102</f>
        <v>36.701181246902337</v>
      </c>
      <c r="AB102" s="57" cm="1">
        <f t="array" ref="AB102">VLOOKUP(B102,'Player Data'!$A1:$AE673,16,FALSE)*$Q102</f>
        <v>76.117652370740728</v>
      </c>
      <c r="AC102" s="57" cm="1">
        <f t="array" ref="AC102">VLOOKUP(B102,'Player Data'!$A1:$AE673,17,FALSE)*$Q102*IFERROR((VLOOKUP(P102,Settings!$E$28:$F$33,2,FALSE)+1),1)</f>
        <v>7.9776763580271197</v>
      </c>
      <c r="AD102" s="57" cm="1">
        <f t="array" ref="AD102">VLOOKUP(B102,'Player Data'!$A1:$AE673,18,FALSE)*$Q102</f>
        <v>29.681482572512191</v>
      </c>
      <c r="AE102" s="57" cm="1">
        <f t="array" ref="AE102">VLOOKUP(B102,'Player Data'!$A1:$AE673,19,FALSE)*$Q102*IFERROR((VLOOKUP(P102,Settings!$E$28:$F$33,2,FALSE)+1),1)</f>
        <v>4.7090742944263928</v>
      </c>
      <c r="AF102" s="57" cm="1">
        <f t="array" ref="AF102">VLOOKUP(B102,'Player Data'!$A1:$AE673,20,FALSE)*$Q102</f>
        <v>554.59555684483382</v>
      </c>
      <c r="AG102" s="57" cm="1">
        <f t="array" ref="AG102">VLOOKUP(B102,'Player Data'!$A1:$AE673,21,FALSE)*$Q102</f>
        <v>431.59291476181932</v>
      </c>
      <c r="AH102" s="59" cm="1">
        <f t="array" ref="AH102">VLOOKUP(B102,'Player Data'!$A1:$AE673,22,FALSE)</f>
        <v>0.56236264447637696</v>
      </c>
      <c r="AI102" s="55"/>
      <c r="AJ102" s="57"/>
      <c r="AK102" s="57"/>
      <c r="AL102" s="57"/>
      <c r="AM102" s="57"/>
      <c r="AN102" s="57"/>
      <c r="AO102" s="57"/>
      <c r="AP102" s="57"/>
      <c r="AQ102" s="60"/>
      <c r="AR102" s="61"/>
      <c r="AS102" s="55"/>
    </row>
    <row r="103" spans="1:45" ht="21.25" customHeight="1" x14ac:dyDescent="0.15">
      <c r="A103" s="62">
        <f t="shared" si="1"/>
        <v>102</v>
      </c>
      <c r="B103" s="10" t="s">
        <v>231</v>
      </c>
      <c r="C103" s="47" t="s">
        <v>128</v>
      </c>
      <c r="D103" s="48" t="str" cm="1">
        <f t="array" ref="D103">VLOOKUP(B103,'Player Data'!A1:D673,4,FALSE)</f>
        <v>LW,RW</v>
      </c>
      <c r="E103" s="74" cm="1">
        <f t="array" ref="E103">VLOOKUP(B103,RW!A1:F210,3,FALSE)</f>
        <v>28</v>
      </c>
      <c r="F103" s="69" t="str" cm="1">
        <f t="array" ref="F103">VLOOKUP(B103,'Player Data'!A1:B673,2,FALSE)</f>
        <v>MTL</v>
      </c>
      <c r="G103" s="71" cm="1">
        <f t="array" ref="G103">VLOOKUP(B103,'Player Data'!A1:D673,3,FALSE)</f>
        <v>22</v>
      </c>
      <c r="H103" s="51" cm="1">
        <f t="array" ref="H103">IFERROR(VLOOKUP(B103,ADP!A1:F671,6,FALSE)/1000000,VLOOKUP(B103,ADP!A1:F671,6,FALSE))</f>
        <v>7.6</v>
      </c>
      <c r="I103" s="52">
        <f>IF(Settings!$E$15="POINTS",((R103*Q103)*Settings!$B$12)+(S103*Settings!$B$2)+(T103*Settings!$B$3)+(U103*Settings!$B$4)+(V103*Settings!$B$5)+(X103*Settings!$B$9)+(AA103*Settings!$B$6)+(W103*Settings!$B$8)+(AB103*Settings!$B$7)+(AC103*Settings!$B$14)+(AD103*Settings!$B$15)+(AE103*Settings!$B$16)+(AF103*Settings!$B$17)+(AG103*Settings!$B$18)+(Y103*Settings!$B$10)+(Z103*Settings!$B$11),VLOOKUP(B103,'Standard Deviations'!A$1:C$672,3,FALSE))</f>
        <v>358.74625324759126</v>
      </c>
      <c r="J103" s="53" cm="1">
        <f t="array" ref="J103">IF(D103="G",I103/AJ103,I103/Q103)</f>
        <v>4.2903250306166916</v>
      </c>
      <c r="K103" s="52" cm="1">
        <f t="array" ref="K103">IF(Settings!$E$18="C/LW/RW",VLOOKUP(B103,RW!A1:F210,6,FALSE),VLOOKUP(B103,F!A1:F407,6,FALSE))</f>
        <v>-36.197211445966218</v>
      </c>
      <c r="L103" s="54" cm="1">
        <f t="array" ref="L103">IFERROR(K103/H103,"N/A")</f>
        <v>-4.7627909797323973</v>
      </c>
      <c r="M103" s="55">
        <v>52.7</v>
      </c>
      <c r="N103" s="55" cm="1">
        <f t="array" ref="N103">IFERROR(M103-A103,"N/A")</f>
        <v>-49.3</v>
      </c>
      <c r="O103" s="55"/>
      <c r="P103" s="56" t="str" cm="1">
        <f t="array" ref="P103">_xlfn.XLOOKUP($B103,ADP!A2:A671,ADP!G2:G671)</f>
        <v xml:space="preserve"> </v>
      </c>
      <c r="Q103" s="57" cm="1">
        <f t="array" ref="Q103">IF(Settings!$E$12="YES",VLOOKUP(B103,'Player Data'!A1:E673,5,FALSE),84)</f>
        <v>83.617500000000007</v>
      </c>
      <c r="R103" s="55" cm="1">
        <f t="array" ref="R103">VLOOKUP(B103,'Player Data'!$A1:$AE673,6,FALSE)</f>
        <v>18.6712304250381</v>
      </c>
      <c r="S103" s="57" cm="1">
        <f t="array" ref="S103">VLOOKUP(B103,'Player Data'!$A1:$AE673,7,FALSE)*$Q103*IFERROR((VLOOKUP(P103,Settings!$E$28:$F$33,2,FALSE)+1),1)</f>
        <v>27.438149254017734</v>
      </c>
      <c r="T103" s="57" cm="1">
        <f t="array" ref="T103">VLOOKUP(B103,'Player Data'!$A1:$AE673,8,FALSE)*$Q103*IFERROR((VLOOKUP(P103,Settings!$E$28:$F$33,2,FALSE)+1),1)</f>
        <v>42.098373664405521</v>
      </c>
      <c r="U103" s="57" cm="1">
        <f t="array" ref="U103">SUM(S103:T103)</f>
        <v>69.536522918423259</v>
      </c>
      <c r="V103" s="57" cm="1">
        <f t="array" ref="V103">VLOOKUP(B103,'Player Data'!$A1:$AE673,10,FALSE)*$Q103*IFERROR(((VLOOKUP(P103,Settings!$E$28:$F$33,2,FALSE)/2)+1),1)</f>
        <v>180.14046549070957</v>
      </c>
      <c r="W103" s="58" cm="1">
        <f t="array" ref="W103">VLOOKUP(B103,'Player Data'!$A1:$AE673,11,FALSE)*$Q103*IFERROR((VLOOKUP(P103,Settings!$E$28:$F$33,2,FALSE)+1),1)</f>
        <v>11.634531681997087</v>
      </c>
      <c r="X103" s="57" cm="1">
        <f t="array" ref="X103">VLOOKUP(B103,'Player Data'!$A1:$AE673,12,FALSE)*$Q103*IFERROR((VLOOKUP(P103,Settings!$E$28:$F$33,2,FALSE)+1),1)</f>
        <v>23.543839560346079</v>
      </c>
      <c r="Y103" s="57" cm="1">
        <f t="array" ref="Y103">VLOOKUP(B103,'Player Data'!$A1:$AE673,13,FALSE)*$Q103</f>
        <v>1.0639645121672375E-2</v>
      </c>
      <c r="Z103" s="57" cm="1">
        <f t="array" ref="Z103">VLOOKUP(B103,'Player Data'!$A1:$AE673,14,FALSE)*$Q103</f>
        <v>1.7494301361887697E-2</v>
      </c>
      <c r="AA103" s="57" cm="1">
        <f t="array" ref="AA103">VLOOKUP(B103,'Player Data'!$A1:$AE673,15,FALSE)*$Q103</f>
        <v>73.010235770517511</v>
      </c>
      <c r="AB103" s="57" cm="1">
        <f t="array" ref="AB103">VLOOKUP(B103,'Player Data'!$A1:$AE673,16,FALSE)*$Q103</f>
        <v>131.2975428713971</v>
      </c>
      <c r="AC103" s="57" cm="1">
        <f t="array" ref="AC103">VLOOKUP(B103,'Player Data'!$A1:$AE673,17,FALSE)*$Q103*IFERROR((VLOOKUP(P103,Settings!$E$28:$F$33,2,FALSE)+1),1)</f>
        <v>4.2918630137575029</v>
      </c>
      <c r="AD103" s="57" cm="1">
        <f t="array" ref="AD103">VLOOKUP(B103,'Player Data'!$A1:$AE673,18,FALSE)*$Q103</f>
        <v>47.535719704669219</v>
      </c>
      <c r="AE103" s="57" cm="1">
        <f t="array" ref="AE103">VLOOKUP(B103,'Player Data'!$A1:$AE673,19,FALSE)*$Q103*IFERROR((VLOOKUP(P103,Settings!$E$28:$F$33,2,FALSE)+1),1)</f>
        <v>4.5681816847431378</v>
      </c>
      <c r="AF103" s="57" cm="1">
        <f t="array" ref="AF103">VLOOKUP(B103,'Player Data'!$A1:$AE673,20,FALSE)*$Q103</f>
        <v>17.740813611873079</v>
      </c>
      <c r="AG103" s="57" cm="1">
        <f t="array" ref="AG103">VLOOKUP(B103,'Player Data'!$A1:$AE673,21,FALSE)*$Q103</f>
        <v>32.713384929194142</v>
      </c>
      <c r="AH103" s="59" cm="1">
        <f t="array" ref="AH103">VLOOKUP(B103,'Player Data'!$A1:$AE673,22,FALSE)</f>
        <v>0.35162214691475002</v>
      </c>
      <c r="AI103" s="55"/>
      <c r="AJ103" s="57"/>
      <c r="AK103" s="57"/>
      <c r="AL103" s="57"/>
      <c r="AM103" s="57"/>
      <c r="AN103" s="57"/>
      <c r="AO103" s="57"/>
      <c r="AP103" s="57"/>
      <c r="AQ103" s="60"/>
      <c r="AR103" s="61"/>
      <c r="AS103" s="55"/>
    </row>
    <row r="104" spans="1:45" ht="21.25" customHeight="1" x14ac:dyDescent="0.15">
      <c r="A104" s="62">
        <f t="shared" si="1"/>
        <v>103</v>
      </c>
      <c r="B104" s="10" t="s">
        <v>232</v>
      </c>
      <c r="C104" s="47" t="s">
        <v>128</v>
      </c>
      <c r="D104" s="48" t="str" cm="1">
        <f t="array" ref="D104">VLOOKUP(B104,'Player Data'!A1:D673,4,FALSE)</f>
        <v>D</v>
      </c>
      <c r="E104" s="68" cm="1">
        <f t="array" ref="E104">VLOOKUP(B104,D!A1:C204,3,FALSE)</f>
        <v>34</v>
      </c>
      <c r="F104" s="73" t="str" cm="1">
        <f t="array" ref="F104">VLOOKUP(B104,'Player Data'!A1:B673,2,FALSE)</f>
        <v>BUF</v>
      </c>
      <c r="G104" s="71" cm="1">
        <f t="array" ref="G104">VLOOKUP(B104,'Player Data'!A1:D673,3,FALSE)</f>
        <v>23</v>
      </c>
      <c r="H104" s="51" cm="1">
        <f t="array" ref="H104">IFERROR(VLOOKUP(B104,ADP!A1:F671,6,FALSE)/1000000,VLOOKUP(B104,ADP!A1:F671,6,FALSE))</f>
        <v>8.35</v>
      </c>
      <c r="I104" s="52">
        <f>IF(Settings!$E$15="POINTS",((R104*Q104)*Settings!$B$12)+(S104*Settings!$B$2)+(T104*Settings!$B$3)+(U104*Settings!$B$4)+(V104*Settings!$B$5)+(X104*Settings!$B$9)+(AA104*Settings!$B$6)+(W104*Settings!$B$8)+(AB104*Settings!$B$7)+(AC104*Settings!$B$14)+(AD104*Settings!$B$15)+(AE104*Settings!$B$16)+(AF104*Settings!$B$17)+(AG104*Settings!$B$18)+(U104*Settings!$B$13)+(Y104*Settings!$B$10)+(Z104*Settings!$B$11),VLOOKUP(B104,'Standard Deviations'!A$1:C$672,3,FALSE))</f>
        <v>270.09076067369153</v>
      </c>
      <c r="J104" s="53" cm="1">
        <f t="array" ref="J104">IF(D104="G",I104/AJ104,I104/Q104)</f>
        <v>3.2603906406771066</v>
      </c>
      <c r="K104" s="52" cm="1">
        <f t="array" ref="K104">VLOOKUP(B104,D!A1:F204,6,FALSE)</f>
        <v>-36.563106670902528</v>
      </c>
      <c r="L104" s="54" cm="1">
        <f t="array" ref="L104">IFERROR(K104/H104,"N/A")</f>
        <v>-4.3788151701679672</v>
      </c>
      <c r="M104" s="55">
        <v>132.5</v>
      </c>
      <c r="N104" s="55" cm="1">
        <f t="array" ref="N104">IFERROR(M104-A104,"N/A")</f>
        <v>29.5</v>
      </c>
      <c r="O104" s="55"/>
      <c r="P104" s="56" t="str" cm="1">
        <f t="array" ref="P104">_xlfn.XLOOKUP($B104,ADP!A2:A671,ADP!G2:G671)</f>
        <v>+</v>
      </c>
      <c r="Q104" s="57" cm="1">
        <f t="array" ref="Q104">IF(Settings!$E$12="YES",VLOOKUP(B104,'Player Data'!A1:E673,5,FALSE),84)</f>
        <v>82.84</v>
      </c>
      <c r="R104" s="82" cm="1">
        <f t="array" ref="R104">VLOOKUP(B104,'Player Data'!$A1:$AE673,6,FALSE)</f>
        <v>23.895102615845701</v>
      </c>
      <c r="S104" s="57" cm="1">
        <f t="array" ref="S104">VLOOKUP(B104,'Player Data'!$A1:$AE673,7,FALSE)*$Q104*IFERROR((VLOOKUP(P104,Settings!$E$28:$F$33,2,FALSE)+1),1)</f>
        <v>9.9473113565741009</v>
      </c>
      <c r="T104" s="57" cm="1">
        <f t="array" ref="T104">VLOOKUP(B104,'Player Data'!$A1:$AE673,8,FALSE)*$Q104*IFERROR((VLOOKUP(P104,Settings!$E$28:$F$33,2,FALSE)+1),1)</f>
        <v>33.354649009025657</v>
      </c>
      <c r="U104" s="57" cm="1">
        <f t="array" ref="U104">SUM(S104:T104)</f>
        <v>43.301960365599754</v>
      </c>
      <c r="V104" s="57" cm="1">
        <f t="array" ref="V104">VLOOKUP(B104,'Player Data'!$A1:$AE673,10,FALSE)*$Q104*IFERROR(((VLOOKUP(P104,Settings!$E$28:$F$33,2,FALSE)/2)+1),1)</f>
        <v>149.84154007621294</v>
      </c>
      <c r="W104" s="57" cm="1">
        <f t="array" ref="W104">VLOOKUP(B104,'Player Data'!$A1:$AE673,11,FALSE)*$Q104*IFERROR((VLOOKUP(P104,Settings!$E$28:$F$33,2,FALSE)+1),1)</f>
        <v>0.57344571520547238</v>
      </c>
      <c r="X104" s="57" cm="1">
        <f t="array" ref="X104">VLOOKUP(B104,'Player Data'!$A1:$AE673,12,FALSE)*$Q104*IFERROR((VLOOKUP(P104,Settings!$E$28:$F$33,2,FALSE)+1),1)</f>
        <v>4.7895048414362309</v>
      </c>
      <c r="Y104" s="57" cm="1">
        <f t="array" ref="Y104">VLOOKUP(B104,'Player Data'!$A1:$AE673,13,FALSE)*$Q104</f>
        <v>2.791117923035881E-2</v>
      </c>
      <c r="Z104" s="57" cm="1">
        <f t="array" ref="Z104">VLOOKUP(B104,'Player Data'!$A1:$AE673,14,FALSE)*$Q104</f>
        <v>1.4816424986833732</v>
      </c>
      <c r="AA104" s="57" cm="1">
        <f t="array" ref="AA104">VLOOKUP(B104,'Player Data'!$A1:$AE673,15,FALSE)*$Q104</f>
        <v>117.9859243973324</v>
      </c>
      <c r="AB104" s="57" cm="1">
        <f t="array" ref="AB104">VLOOKUP(B104,'Player Data'!$A1:$AE673,16,FALSE)*$Q104</f>
        <v>40.341034874794502</v>
      </c>
      <c r="AC104" s="57" cm="1">
        <f t="array" ref="AC104">VLOOKUP(B104,'Player Data'!$A1:$AE673,17,FALSE)*$Q104*IFERROR((VLOOKUP(P104,Settings!$E$28:$F$33,2,FALSE)+1),1)</f>
        <v>0.84626966232862832</v>
      </c>
      <c r="AD104" s="57" cm="1">
        <f t="array" ref="AD104">VLOOKUP(B104,'Player Data'!$A1:$AE673,18,FALSE)*$Q104</f>
        <v>24.325197130385202</v>
      </c>
      <c r="AE104" s="57" cm="1">
        <f t="array" ref="AE104">VLOOKUP(B104,'Player Data'!$A1:$AE673,19,FALSE)*$Q104*IFERROR((VLOOKUP(P104,Settings!$E$28:$F$33,2,FALSE)+1),1)</f>
        <v>1.4997559356491112</v>
      </c>
      <c r="AF104" s="57" cm="1">
        <f t="array" ref="AF104">VLOOKUP(B104,'Player Data'!$A1:$AE673,20,FALSE)*$Q104</f>
        <v>0</v>
      </c>
      <c r="AG104" s="57" cm="1">
        <f t="array" ref="AG104">VLOOKUP(B104,'Player Data'!$A1:$AE673,21,FALSE)*$Q104</f>
        <v>0</v>
      </c>
      <c r="AH104" s="59" cm="1">
        <f t="array" ref="AH104">VLOOKUP(B104,'Player Data'!$A1:$AE673,22,FALSE)</f>
        <v>0</v>
      </c>
      <c r="AI104" s="55"/>
      <c r="AJ104" s="57"/>
      <c r="AK104" s="57"/>
      <c r="AL104" s="57"/>
      <c r="AM104" s="57"/>
      <c r="AN104" s="57"/>
      <c r="AO104" s="57"/>
      <c r="AP104" s="57"/>
      <c r="AQ104" s="60"/>
      <c r="AR104" s="61"/>
      <c r="AS104" s="55"/>
    </row>
    <row r="105" spans="1:45" ht="21.25" customHeight="1" x14ac:dyDescent="0.15">
      <c r="A105" s="62">
        <f t="shared" si="1"/>
        <v>104</v>
      </c>
      <c r="B105" s="10" t="s">
        <v>233</v>
      </c>
      <c r="C105" s="47" t="s">
        <v>147</v>
      </c>
      <c r="D105" s="48" t="str" cm="1">
        <f t="array" ref="D105">VLOOKUP(B105,'Player Data'!A1:D673,4,FALSE)</f>
        <v>D</v>
      </c>
      <c r="E105" s="68" cm="1">
        <f t="array" ref="E105">VLOOKUP(B105,D!A1:C204,3,FALSE)</f>
        <v>35</v>
      </c>
      <c r="F105" s="72" t="str" cm="1">
        <f t="array" ref="F105">VLOOKUP(B105,'Player Data'!A1:B673,2,FALSE)</f>
        <v>FLA</v>
      </c>
      <c r="G105" s="66" cm="1">
        <f t="array" ref="G105">VLOOKUP(B105,'Player Data'!A1:D673,3,FALSE)</f>
        <v>31</v>
      </c>
      <c r="H105" s="51" cm="1">
        <f t="array" ref="H105">IFERROR(VLOOKUP(B105,ADP!A1:F671,6,FALSE)/1000000,VLOOKUP(B105,ADP!A1:F671,6,FALSE))</f>
        <v>7</v>
      </c>
      <c r="I105" s="52">
        <f>IF(Settings!$E$15="POINTS",((R105*Q105)*Settings!$B$12)+(S105*Settings!$B$2)+(T105*Settings!$B$3)+(U105*Settings!$B$4)+(V105*Settings!$B$5)+(X105*Settings!$B$9)+(AA105*Settings!$B$6)+(W105*Settings!$B$8)+(AB105*Settings!$B$7)+(AC105*Settings!$B$14)+(AD105*Settings!$B$15)+(AE105*Settings!$B$16)+(AF105*Settings!$B$17)+(AG105*Settings!$B$18)+(U105*Settings!$B$13)+(Y105*Settings!$B$10)+(Z105*Settings!$B$11),VLOOKUP(B105,'Standard Deviations'!A$1:C$672,3,FALSE))</f>
        <v>264.83671525154909</v>
      </c>
      <c r="J105" s="53" cm="1">
        <f t="array" ref="J105">IF(D105="G",I105/AJ105,I105/Q105)</f>
        <v>3.5504469651982316</v>
      </c>
      <c r="K105" s="52" cm="1">
        <f t="array" ref="K105">VLOOKUP(B105,D!A1:F204,6,FALSE)</f>
        <v>-41.817152093044967</v>
      </c>
      <c r="L105" s="54" cm="1">
        <f t="array" ref="L105">IFERROR(K105/H105,"N/A")</f>
        <v>-5.9738788704349952</v>
      </c>
      <c r="M105" s="55">
        <v>122.8</v>
      </c>
      <c r="N105" s="55" cm="1">
        <f t="array" ref="N105">IFERROR(M105-A105,"N/A")</f>
        <v>18.799999999999997</v>
      </c>
      <c r="O105" s="81"/>
      <c r="P105" s="56" t="str" cm="1">
        <f t="array" ref="P105">_xlfn.XLOOKUP($B105,ADP!A2:A671,ADP!G2:G671)</f>
        <v xml:space="preserve"> </v>
      </c>
      <c r="Q105" s="57" cm="1">
        <f t="array" ref="Q105">IF(Settings!$E$12="YES",VLOOKUP(B105,'Player Data'!A1:E673,5,FALSE),84)</f>
        <v>74.592500000000001</v>
      </c>
      <c r="R105" s="55" cm="1">
        <f t="array" ref="R105">VLOOKUP(B105,'Player Data'!$A1:$AE673,6,FALSE)</f>
        <v>24.567048556984801</v>
      </c>
      <c r="S105" s="57" cm="1">
        <f t="array" ref="S105">VLOOKUP(B105,'Player Data'!$A1:$AE673,7,FALSE)*$Q105*IFERROR((VLOOKUP(P105,Settings!$E$28:$F$33,2,FALSE)+1),1)</f>
        <v>8.5198001738920421</v>
      </c>
      <c r="T105" s="57" cm="1">
        <f t="array" ref="T105">VLOOKUP(B105,'Player Data'!$A1:$AE673,8,FALSE)*$Q105*IFERROR((VLOOKUP(P105,Settings!$E$28:$F$33,2,FALSE)+1),1)</f>
        <v>31.617417865596671</v>
      </c>
      <c r="U105" s="57" cm="1">
        <f t="array" ref="U105">SUM(S105:T105)</f>
        <v>40.137218039488715</v>
      </c>
      <c r="V105" s="57" cm="1">
        <f t="array" ref="V105">VLOOKUP(B105,'Player Data'!$A1:$AE673,10,FALSE)*$Q105*IFERROR(((VLOOKUP(P105,Settings!$E$28:$F$33,2,FALSE)/2)+1),1)</f>
        <v>140.87907036982563</v>
      </c>
      <c r="W105" s="58" cm="1">
        <f t="array" ref="W105">VLOOKUP(B105,'Player Data'!$A1:$AE673,11,FALSE)*$Q105*IFERROR((VLOOKUP(P105,Settings!$E$28:$F$33,2,FALSE)+1),1)</f>
        <v>4.6439313777023816</v>
      </c>
      <c r="X105" s="57" cm="1">
        <f t="array" ref="X105">VLOOKUP(B105,'Player Data'!$A1:$AE673,12,FALSE)*$Q105*IFERROR((VLOOKUP(P105,Settings!$E$28:$F$33,2,FALSE)+1),1)</f>
        <v>18.659138782295098</v>
      </c>
      <c r="Y105" s="57" cm="1">
        <f t="array" ref="Y105">VLOOKUP(B105,'Player Data'!$A1:$AE673,13,FALSE)*$Q105</f>
        <v>1.3659595004824219E-2</v>
      </c>
      <c r="Z105" s="57" cm="1">
        <f t="array" ref="Z105">VLOOKUP(B105,'Player Data'!$A1:$AE673,14,FALSE)*$Q105</f>
        <v>0.10908261701958091</v>
      </c>
      <c r="AA105" s="57" cm="1">
        <f t="array" ref="AA105">VLOOKUP(B105,'Player Data'!$A1:$AE673,15,FALSE)*$Q105</f>
        <v>110.43460909771096</v>
      </c>
      <c r="AB105" s="57" cm="1">
        <f t="array" ref="AB105">VLOOKUP(B105,'Player Data'!$A1:$AE673,16,FALSE)*$Q105</f>
        <v>82.892889043225964</v>
      </c>
      <c r="AC105" s="57" cm="1">
        <f t="array" ref="AC105">VLOOKUP(B105,'Player Data'!$A1:$AE673,17,FALSE)*$Q105*IFERROR((VLOOKUP(P105,Settings!$E$28:$F$33,2,FALSE)+1),1)</f>
        <v>2.676893698579931</v>
      </c>
      <c r="AD105" s="57" cm="1">
        <f t="array" ref="AD105">VLOOKUP(B105,'Player Data'!$A1:$AE673,18,FALSE)*$Q105</f>
        <v>32.044784902669619</v>
      </c>
      <c r="AE105" s="57" cm="1">
        <f t="array" ref="AE105">VLOOKUP(B105,'Player Data'!$A1:$AE673,19,FALSE)*$Q105*IFERROR((VLOOKUP(P105,Settings!$E$28:$F$33,2,FALSE)+1),1)</f>
        <v>1.4185106729703942</v>
      </c>
      <c r="AF105" s="57" cm="1">
        <f t="array" ref="AF105">VLOOKUP(B105,'Player Data'!$A1:$AE673,20,FALSE)*$Q105</f>
        <v>0</v>
      </c>
      <c r="AG105" s="57" cm="1">
        <f t="array" ref="AG105">VLOOKUP(B105,'Player Data'!$A1:$AE673,21,FALSE)*$Q105</f>
        <v>0</v>
      </c>
      <c r="AH105" s="59" cm="1">
        <f t="array" ref="AH105">VLOOKUP(B105,'Player Data'!$A1:$AE673,22,FALSE)</f>
        <v>0</v>
      </c>
      <c r="AI105" s="55"/>
      <c r="AJ105" s="57"/>
      <c r="AK105" s="57"/>
      <c r="AL105" s="57"/>
      <c r="AM105" s="57"/>
      <c r="AN105" s="57"/>
      <c r="AO105" s="57"/>
      <c r="AP105" s="57"/>
      <c r="AQ105" s="60"/>
      <c r="AR105" s="61"/>
      <c r="AS105" s="55"/>
    </row>
    <row r="106" spans="1:45" ht="21.25" customHeight="1" x14ac:dyDescent="0.15">
      <c r="A106" s="62">
        <f t="shared" si="1"/>
        <v>105</v>
      </c>
      <c r="B106" s="10" t="s">
        <v>234</v>
      </c>
      <c r="C106" s="47" t="s">
        <v>128</v>
      </c>
      <c r="D106" s="48" t="str" cm="1">
        <f t="array" ref="D106">VLOOKUP(B106,'Player Data'!A1:D673,4,FALSE)</f>
        <v>D</v>
      </c>
      <c r="E106" s="68" cm="1">
        <f t="array" ref="E106">VLOOKUP(B106,D!A1:C204,3,FALSE)</f>
        <v>36</v>
      </c>
      <c r="F106" s="18" t="str" cm="1">
        <f t="array" ref="F106">VLOOKUP(B106,'Player Data'!A1:B673,2,FALSE)</f>
        <v>OTT</v>
      </c>
      <c r="G106" s="11" cm="1">
        <f t="array" ref="G106">VLOOKUP(B106,'Player Data'!A1:D673,3,FALSE)</f>
        <v>29</v>
      </c>
      <c r="H106" s="51" cm="1">
        <f t="array" ref="H106">IFERROR(VLOOKUP(B106,ADP!A1:F671,6,FALSE)/1000000,VLOOKUP(B106,ADP!A1:F671,6,FALSE))</f>
        <v>8</v>
      </c>
      <c r="I106" s="52">
        <f>IF(Settings!$E$15="POINTS",((R106*Q106)*Settings!$B$12)+(S106*Settings!$B$2)+(T106*Settings!$B$3)+(U106*Settings!$B$4)+(V106*Settings!$B$5)+(X106*Settings!$B$9)+(AA106*Settings!$B$6)+(W106*Settings!$B$8)+(AB106*Settings!$B$7)+(AC106*Settings!$B$14)+(AD106*Settings!$B$15)+(AE106*Settings!$B$16)+(AF106*Settings!$B$17)+(AG106*Settings!$B$18)+(U106*Settings!$B$13)+(Y106*Settings!$B$10)+(Z106*Settings!$B$11),VLOOKUP(B106,'Standard Deviations'!A$1:C$672,3,FALSE))</f>
        <v>264.59663742979939</v>
      </c>
      <c r="J106" s="53" cm="1">
        <f t="array" ref="J106">IF(D106="G",I106/AJ106,I106/Q106)</f>
        <v>3.4715995333066472</v>
      </c>
      <c r="K106" s="52" cm="1">
        <f t="array" ref="K106">VLOOKUP(B106,D!A1:F204,6,FALSE)</f>
        <v>-42.057229914794675</v>
      </c>
      <c r="L106" s="54" cm="1">
        <f t="array" ref="L106">IFERROR(K106/H106,"N/A")</f>
        <v>-5.2571537393493344</v>
      </c>
      <c r="M106" s="55">
        <v>144.1</v>
      </c>
      <c r="N106" s="55" cm="1">
        <f t="array" ref="N106">IFERROR(M106-A106,"N/A")</f>
        <v>39.099999999999994</v>
      </c>
      <c r="O106" s="83"/>
      <c r="P106" s="56" t="str" cm="1">
        <f t="array" ref="P106">_xlfn.XLOOKUP($B106,ADP!A2:A671,ADP!G2:G671)</f>
        <v xml:space="preserve"> </v>
      </c>
      <c r="Q106" s="57" cm="1">
        <f t="array" ref="Q106">IF(Settings!$E$12="YES",VLOOKUP(B106,'Player Data'!A1:E673,5,FALSE),84)</f>
        <v>76.217500000000001</v>
      </c>
      <c r="R106" s="55" cm="1">
        <f t="array" ref="R106">VLOOKUP(B106,'Player Data'!$A1:$AE673,6,FALSE)</f>
        <v>21.995708923700199</v>
      </c>
      <c r="S106" s="57" cm="1">
        <f t="array" ref="S106">VLOOKUP(B106,'Player Data'!$A1:$AE673,7,FALSE)*$Q106*IFERROR((VLOOKUP(P106,Settings!$E$28:$F$33,2,FALSE)+1),1)</f>
        <v>9.0416608792594051</v>
      </c>
      <c r="T106" s="57" cm="1">
        <f t="array" ref="T106">VLOOKUP(B106,'Player Data'!$A1:$AE673,8,FALSE)*$Q106*IFERROR((VLOOKUP(P106,Settings!$E$28:$F$33,2,FALSE)+1),1)</f>
        <v>30.332967792398186</v>
      </c>
      <c r="U106" s="57" cm="1">
        <f t="array" ref="U106">SUM(S106:T106)</f>
        <v>39.37462867165759</v>
      </c>
      <c r="V106" s="57" cm="1">
        <f t="array" ref="V106">VLOOKUP(B106,'Player Data'!$A1:$AE673,10,FALSE)*$Q106*IFERROR(((VLOOKUP(P106,Settings!$E$28:$F$33,2,FALSE)/2)+1),1)</f>
        <v>140.83145213863435</v>
      </c>
      <c r="W106" s="57" cm="1">
        <f t="array" ref="W106">VLOOKUP(B106,'Player Data'!$A1:$AE673,11,FALSE)*$Q106*IFERROR((VLOOKUP(P106,Settings!$E$28:$F$33,2,FALSE)+1),1)</f>
        <v>1.5291553679160659</v>
      </c>
      <c r="X106" s="57" cm="1">
        <f t="array" ref="X106">VLOOKUP(B106,'Player Data'!$A1:$AE673,12,FALSE)*$Q106*IFERROR((VLOOKUP(P106,Settings!$E$28:$F$33,2,FALSE)+1),1)</f>
        <v>7.9240459384461195</v>
      </c>
      <c r="Y106" s="57" cm="1">
        <f t="array" ref="Y106">VLOOKUP(B106,'Player Data'!$A1:$AE673,13,FALSE)*$Q106</f>
        <v>0.43904005200773227</v>
      </c>
      <c r="Z106" s="57" cm="1">
        <f t="array" ref="Z106">VLOOKUP(B106,'Player Data'!$A1:$AE673,14,FALSE)*$Q106</f>
        <v>0.92725765746869837</v>
      </c>
      <c r="AA106" s="57" cm="1">
        <f t="array" ref="AA106">VLOOKUP(B106,'Player Data'!$A1:$AE673,15,FALSE)*$Q106</f>
        <v>134.41144349918918</v>
      </c>
      <c r="AB106" s="57" cm="1">
        <f t="array" ref="AB106">VLOOKUP(B106,'Player Data'!$A1:$AE673,16,FALSE)*$Q106</f>
        <v>57.254199043885038</v>
      </c>
      <c r="AC106" s="57" cm="1">
        <f t="array" ref="AC106">VLOOKUP(B106,'Player Data'!$A1:$AE673,17,FALSE)*$Q106*IFERROR((VLOOKUP(P106,Settings!$E$28:$F$33,2,FALSE)+1),1)</f>
        <v>2.5344556836307319</v>
      </c>
      <c r="AD106" s="57" cm="1">
        <f t="array" ref="AD106">VLOOKUP(B106,'Player Data'!$A1:$AE673,18,FALSE)*$Q106</f>
        <v>29.971513778570301</v>
      </c>
      <c r="AE106" s="57" cm="1">
        <f t="array" ref="AE106">VLOOKUP(B106,'Player Data'!$A1:$AE673,19,FALSE)*$Q106*IFERROR((VLOOKUP(P106,Settings!$E$28:$F$33,2,FALSE)+1),1)</f>
        <v>1.6038566318207099</v>
      </c>
      <c r="AF106" s="57" cm="1">
        <f t="array" ref="AF106">VLOOKUP(B106,'Player Data'!$A1:$AE673,20,FALSE)*$Q106</f>
        <v>0</v>
      </c>
      <c r="AG106" s="57" cm="1">
        <f t="array" ref="AG106">VLOOKUP(B106,'Player Data'!$A1:$AE673,21,FALSE)*$Q106</f>
        <v>0</v>
      </c>
      <c r="AH106" s="59" cm="1">
        <f t="array" ref="AH106">VLOOKUP(B106,'Player Data'!$A1:$AE673,22,FALSE)</f>
        <v>0</v>
      </c>
      <c r="AI106" s="55"/>
      <c r="AJ106" s="57"/>
      <c r="AK106" s="57"/>
      <c r="AL106" s="57"/>
      <c r="AM106" s="57"/>
      <c r="AN106" s="57"/>
      <c r="AO106" s="57"/>
      <c r="AP106" s="57"/>
      <c r="AQ106" s="60"/>
      <c r="AR106" s="61"/>
      <c r="AS106" s="55"/>
    </row>
    <row r="107" spans="1:45" ht="21.25" customHeight="1" x14ac:dyDescent="0.15">
      <c r="A107" s="62">
        <f t="shared" si="1"/>
        <v>106</v>
      </c>
      <c r="B107" s="10" t="s">
        <v>235</v>
      </c>
      <c r="C107" s="47" t="s">
        <v>128</v>
      </c>
      <c r="D107" s="48" t="str" cm="1">
        <f t="array" ref="D107">VLOOKUP(B107,'Player Data'!A1:D673,4,FALSE)</f>
        <v>C</v>
      </c>
      <c r="E107" s="49" cm="1">
        <f t="array" ref="E107">VLOOKUP(B107,'C'!A1:C210,3,FALSE)</f>
        <v>33</v>
      </c>
      <c r="F107" s="18" t="str" cm="1">
        <f t="array" ref="F107">VLOOKUP(B107,'Player Data'!A1:B673,2,FALSE)</f>
        <v>VAN</v>
      </c>
      <c r="G107" s="11" cm="1">
        <f t="array" ref="G107">VLOOKUP(B107,'Player Data'!A1:D673,3,FALSE)</f>
        <v>27</v>
      </c>
      <c r="H107" s="51" cm="1">
        <f t="array" ref="H107">IFERROR(VLOOKUP(B107,ADP!A1:F671,6,FALSE)/1000000,VLOOKUP(B107,ADP!A1:F671,6,FALSE))</f>
        <v>11.6</v>
      </c>
      <c r="I107" s="52">
        <f>IF(Settings!$E$15="POINTS",((R107*Q107)*Settings!$B$12)+(S107*Settings!$B$2)+(T107*Settings!$B$3)+(U107*Settings!$B$4)+(V107*Settings!$B$5)+(X107*Settings!$B$9)+(AA107*Settings!$B$6)+(W107*Settings!$B$8)+(AB107*Settings!$B$7)+(AC107*Settings!$B$14)+(AD107*Settings!$B$15)+(AE107*Settings!$B$16)+(AF107*Settings!$B$17)+(AG107*Settings!$B$18)+(Y107*Settings!$B$10)+(Z107*Settings!$B$11),VLOOKUP(B107,'Standard Deviations'!A$1:C$672,3,FALSE))</f>
        <v>344.26707832414797</v>
      </c>
      <c r="J107" s="53" cm="1">
        <f t="array" ref="J107">IF(D107="G",I107/AJ107,I107/Q107)</f>
        <v>4.2960888291526542</v>
      </c>
      <c r="K107" s="52" cm="1">
        <f t="array" ref="K107">IF(Settings!$E$18="C/LW/RW",VLOOKUP(B107,'C'!A1:F210,6,FALSE),VLOOKUP(B107,F!A1:F407,6,FALSE))</f>
        <v>-42.268128068935027</v>
      </c>
      <c r="L107" s="54" cm="1">
        <f t="array" ref="L107">IFERROR(K107/H107,"N/A")</f>
        <v>-3.6438041438737092</v>
      </c>
      <c r="M107" s="55">
        <v>141.19999999999999</v>
      </c>
      <c r="N107" s="55" cm="1">
        <f t="array" ref="N107">IFERROR(M107-A107,"N/A")</f>
        <v>35.199999999999989</v>
      </c>
      <c r="O107" s="55"/>
      <c r="P107" s="56" t="str" cm="1">
        <f t="array" ref="P107">_xlfn.XLOOKUP($B107,ADP!A2:A671,ADP!G2:G671)</f>
        <v>-</v>
      </c>
      <c r="Q107" s="57" cm="1">
        <f t="array" ref="Q107">IF(Settings!$E$12="YES",VLOOKUP(B107,'Player Data'!A1:E673,5,FALSE),84)</f>
        <v>80.135000000000005</v>
      </c>
      <c r="R107" s="82" cm="1">
        <f t="array" ref="R107">VLOOKUP(B107,'Player Data'!$A1:$AE673,6,FALSE)</f>
        <v>20.301636390606902</v>
      </c>
      <c r="S107" s="57" cm="1">
        <f t="array" ref="S107">VLOOKUP(B107,'Player Data'!$A1:$AE673,7,FALSE)*$Q107*IFERROR((VLOOKUP(P107,Settings!$E$28:$F$33,2,FALSE)+1),1)</f>
        <v>20.937847628988802</v>
      </c>
      <c r="T107" s="57" cm="1">
        <f t="array" ref="T107">VLOOKUP(B107,'Player Data'!$A1:$AE673,8,FALSE)*$Q107*IFERROR((VLOOKUP(P107,Settings!$E$28:$F$33,2,FALSE)+1),1)</f>
        <v>40.89110587413996</v>
      </c>
      <c r="U107" s="57" cm="1">
        <f t="array" ref="U107">SUM(S107:T107)</f>
        <v>61.828953503128758</v>
      </c>
      <c r="V107" s="57" cm="1">
        <f t="array" ref="V107">VLOOKUP(B107,'Player Data'!$A1:$AE673,10,FALSE)*$Q107*IFERROR(((VLOOKUP(P107,Settings!$E$28:$F$33,2,FALSE)/2)+1),1)</f>
        <v>160.50383686871078</v>
      </c>
      <c r="W107" s="58" cm="1">
        <f t="array" ref="W107">VLOOKUP(B107,'Player Data'!$A1:$AE673,11,FALSE)*$Q107*IFERROR((VLOOKUP(P107,Settings!$E$28:$F$33,2,FALSE)+1),1)</f>
        <v>6.8608176645893018</v>
      </c>
      <c r="X107" s="57" cm="1">
        <f t="array" ref="X107">VLOOKUP(B107,'Player Data'!$A1:$AE673,12,FALSE)*$Q107*IFERROR((VLOOKUP(P107,Settings!$E$28:$F$33,2,FALSE)+1),1)</f>
        <v>22.637196607579678</v>
      </c>
      <c r="Y107" s="57" cm="1">
        <f t="array" ref="Y107">VLOOKUP(B107,'Player Data'!$A1:$AE673,13,FALSE)*$Q107</f>
        <v>0.93033235603951869</v>
      </c>
      <c r="Z107" s="57" cm="1">
        <f t="array" ref="Z107">VLOOKUP(B107,'Player Data'!$A1:$AE673,14,FALSE)*$Q107</f>
        <v>1.6221406681090211</v>
      </c>
      <c r="AA107" s="57" cm="1">
        <f t="array" ref="AA107">VLOOKUP(B107,'Player Data'!$A1:$AE673,15,FALSE)*$Q107</f>
        <v>108.53792420943523</v>
      </c>
      <c r="AB107" s="57" cm="1">
        <f t="array" ref="AB107">VLOOKUP(B107,'Player Data'!$A1:$AE673,16,FALSE)*$Q107</f>
        <v>80.871954390388424</v>
      </c>
      <c r="AC107" s="57" cm="1">
        <f t="array" ref="AC107">VLOOKUP(B107,'Player Data'!$A1:$AE673,17,FALSE)*$Q107*IFERROR((VLOOKUP(P107,Settings!$E$28:$F$33,2,FALSE)+1),1)</f>
        <v>-9.2381515257043141</v>
      </c>
      <c r="AD107" s="57" cm="1">
        <f t="array" ref="AD107">VLOOKUP(B107,'Player Data'!$A1:$AE673,18,FALSE)*$Q107</f>
        <v>22.700165197721514</v>
      </c>
      <c r="AE107" s="57" cm="1">
        <f t="array" ref="AE107">VLOOKUP(B107,'Player Data'!$A1:$AE673,19,FALSE)*$Q107*IFERROR((VLOOKUP(P107,Settings!$E$28:$F$33,2,FALSE)+1),1)</f>
        <v>2.594566232287788</v>
      </c>
      <c r="AF107" s="57" cm="1">
        <f t="array" ref="AF107">VLOOKUP(B107,'Player Data'!$A1:$AE673,20,FALSE)*$Q107</f>
        <v>681.73974237172479</v>
      </c>
      <c r="AG107" s="57" cm="1">
        <f t="array" ref="AG107">VLOOKUP(B107,'Player Data'!$A1:$AE673,21,FALSE)*$Q107</f>
        <v>727.09150812820042</v>
      </c>
      <c r="AH107" s="59" cm="1">
        <f t="array" ref="AH107">VLOOKUP(B107,'Player Data'!$A1:$AE673,22,FALSE)</f>
        <v>0.48390447197264302</v>
      </c>
      <c r="AI107" s="55"/>
      <c r="AJ107" s="57"/>
      <c r="AK107" s="57"/>
      <c r="AL107" s="57"/>
      <c r="AM107" s="57"/>
      <c r="AN107" s="57"/>
      <c r="AO107" s="57"/>
      <c r="AP107" s="57"/>
      <c r="AQ107" s="60"/>
      <c r="AR107" s="61"/>
      <c r="AS107" s="55"/>
    </row>
    <row r="108" spans="1:45" ht="21.25" customHeight="1" x14ac:dyDescent="0.15">
      <c r="A108" s="62">
        <f t="shared" si="1"/>
        <v>107</v>
      </c>
      <c r="B108" s="10" t="s">
        <v>236</v>
      </c>
      <c r="C108" s="76"/>
      <c r="D108" s="48" t="str" cm="1">
        <f t="array" ref="D108">VLOOKUP(B108,'Player Data'!A1:D673,4,FALSE)</f>
        <v>G</v>
      </c>
      <c r="E108" s="77" cm="1">
        <f t="array" ref="E108">VLOOKUP(B108,G!A1:D66,3,FALSE)</f>
        <v>15</v>
      </c>
      <c r="F108" s="65" t="str" cm="1">
        <f t="array" ref="F108">VLOOKUP(B108,'Player Data'!A1:B673,2,FALSE)</f>
        <v>MTL</v>
      </c>
      <c r="G108" s="11" cm="1">
        <f t="array" ref="G108">VLOOKUP(B108,'Player Data'!A1:D673,3,FALSE)</f>
        <v>25</v>
      </c>
      <c r="H108" s="51" cm="1">
        <f t="array" ref="H108">IFERROR(VLOOKUP(B108,ADP!A1:F671,6,FALSE)/1000000,VLOOKUP(B108,ADP!A1:F671,6,FALSE))</f>
        <v>0.95</v>
      </c>
      <c r="I108" s="52">
        <f>IF(Settings!$E$15="POINTS",(AJ108*Settings!$B$29)+(AK108*Settings!$B$21)+(AL108*Settings!$B$22)+(AN108*Settings!$B$24)+(AO108*Settings!$B$25)+(AP108*Settings!$B$27)+(AM108*Settings!$B$23),VLOOKUP(B108,'Standard Deviations'!A$1:C$672,3,FALSE))</f>
        <v>316.6119647756837</v>
      </c>
      <c r="J108" s="53" cm="1">
        <f t="array" ref="J108">IF(D108="G",I108/AJ108,I108/Q108)</f>
        <v>6.3322392955136744</v>
      </c>
      <c r="K108" s="52" cm="1">
        <f t="array" ref="K108">VLOOKUP(B108,G!A1:F66,6,FALSE)</f>
        <v>-42.545943154554323</v>
      </c>
      <c r="L108" s="54" cm="1">
        <f t="array" ref="L108">IFERROR(K108/H108,"N/A")</f>
        <v>-44.785203320583499</v>
      </c>
      <c r="M108" s="55">
        <v>81.099999999999994</v>
      </c>
      <c r="N108" s="55" cm="1">
        <f t="array" ref="N108">IFERROR(M108-A108,"N/A")</f>
        <v>-25.900000000000006</v>
      </c>
      <c r="O108" s="55"/>
      <c r="P108" s="56" t="str" cm="1">
        <f t="array" ref="P108">_xlfn.XLOOKUP($B108,ADP!A2:A671,ADP!G2:G671)</f>
        <v xml:space="preserve"> </v>
      </c>
      <c r="Q108" s="57"/>
      <c r="R108" s="55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9"/>
      <c r="AI108" s="55"/>
      <c r="AJ108" s="78" cm="1">
        <f t="array" ref="AJ108">VLOOKUP(B108,'Player Data'!$A1:$AE673,24,FALSE)</f>
        <v>50</v>
      </c>
      <c r="AK108" s="57" cm="1">
        <f t="array" ref="AK108">VLOOKUP(B108,'Player Data'!$A1:$AE673,25,FALSE)*$AJ108*IFERROR((VLOOKUP(P108,Settings!$E$28:$F$33,2,FALSE)+1),1)</f>
        <v>27.654075673658802</v>
      </c>
      <c r="AL108" s="57" cm="1">
        <f t="array" ref="AL108">AJ108-AK108-AM108</f>
        <v>16.7594432447559</v>
      </c>
      <c r="AM108" s="57" cm="1">
        <f t="array" ref="AM108">VLOOKUP(B108,'Player Data'!$A1:$AE673,27,FALSE)*$AJ108</f>
        <v>5.5864810815852994</v>
      </c>
      <c r="AN108" s="57" cm="1">
        <f t="array" ref="AN108">VLOOKUP(B108,'Player Data'!$A1:$AE673,28,FALSE)*AJ108</f>
        <v>2.81787036207032</v>
      </c>
      <c r="AO108" s="57" cm="1">
        <f t="array" ref="AO108">VLOOKUP(B108,'Player Data'!$A1:$AE673,29,FALSE)*$AJ108*IFERROR((VLOOKUP(P108,Settings!$E$28:$F$33,2,FALSE)/4)+1,1)</f>
        <v>1303.71580059127</v>
      </c>
      <c r="AP108" s="57" cm="1">
        <f t="array" ref="AP108">VLOOKUP(B108,'Player Data'!$A1:$AE673,31,FALSE)*$AJ108*(IFERROR(1-(VLOOKUP(P108,Settings!$E$28:$F$33,2,FALSE)/4),1))</f>
        <v>140.342010967666</v>
      </c>
      <c r="AQ108" s="60" cm="1">
        <f t="array" ref="AQ108">1-(AP108/(AO108+AP108))</f>
        <v>0.90281413261692101</v>
      </c>
      <c r="AR108" s="61" cm="1">
        <f t="array" ref="AR108">AP108/AJ108</f>
        <v>2.8068402193533202</v>
      </c>
      <c r="AS108" s="55"/>
    </row>
    <row r="109" spans="1:45" ht="21.25" customHeight="1" x14ac:dyDescent="0.15">
      <c r="A109" s="62">
        <f t="shared" si="1"/>
        <v>108</v>
      </c>
      <c r="B109" s="10" t="s">
        <v>237</v>
      </c>
      <c r="C109" s="76"/>
      <c r="D109" s="48" t="str" cm="1">
        <f t="array" ref="D109">VLOOKUP(B109,'Player Data'!A1:D673,4,FALSE)</f>
        <v>G</v>
      </c>
      <c r="E109" s="77" cm="1">
        <f t="array" ref="E109">VLOOKUP(B109,G!A1:D66,3,FALSE)</f>
        <v>16</v>
      </c>
      <c r="F109" s="50" t="str" cm="1">
        <f t="array" ref="F109">VLOOKUP(B109,'Player Data'!A1:B673,2,FALSE)</f>
        <v>COL</v>
      </c>
      <c r="G109" s="66" cm="1">
        <f t="array" ref="G109">VLOOKUP(B109,'Player Data'!A1:D673,3,FALSE)</f>
        <v>34</v>
      </c>
      <c r="H109" s="67" cm="1">
        <f t="array" ref="H109">IFERROR(VLOOKUP(B109,ADP!A1:F671,6,FALSE)/1000000,VLOOKUP(B109,ADP!A1:F671,6,FALSE))</f>
        <v>2.5</v>
      </c>
      <c r="I109" s="52">
        <f>IF(Settings!$E$15="POINTS",(AJ109*Settings!$B$29)+(AK109*Settings!$B$21)+(AL109*Settings!$B$22)+(AN109*Settings!$B$24)+(AO109*Settings!$B$25)+(AP109*Settings!$B$27)+(AM109*Settings!$B$23),VLOOKUP(B109,'Standard Deviations'!A$1:C$672,3,FALSE))</f>
        <v>316.30041083866593</v>
      </c>
      <c r="J109" s="53" cm="1">
        <f t="array" ref="J109">IF(D109="G",I109/AJ109,I109/Q109)</f>
        <v>7.0288980186370207</v>
      </c>
      <c r="K109" s="52" cm="1">
        <f t="array" ref="K109">VLOOKUP(B109,G!A1:F66,6,FALSE)</f>
        <v>-42.8574970915721</v>
      </c>
      <c r="L109" s="54" cm="1">
        <f t="array" ref="L109">IFERROR(K109/H109,"N/A")</f>
        <v>-17.142998836628841</v>
      </c>
      <c r="M109" s="55">
        <v>52.4</v>
      </c>
      <c r="N109" s="55" cm="1">
        <f t="array" ref="N109">IFERROR(M109-A109,"N/A")</f>
        <v>-55.6</v>
      </c>
      <c r="O109" s="55"/>
      <c r="P109" s="56" t="str" cm="1">
        <f t="array" ref="P109">_xlfn.XLOOKUP($B109,ADP!A2:A671,ADP!G2:G671)</f>
        <v xml:space="preserve"> </v>
      </c>
      <c r="Q109" s="57"/>
      <c r="R109" s="55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9"/>
      <c r="AI109" s="55"/>
      <c r="AJ109" s="78" cm="1">
        <f t="array" ref="AJ109">VLOOKUP(B109,'Player Data'!$A1:$AE673,24,FALSE)</f>
        <v>45</v>
      </c>
      <c r="AK109" s="57" cm="1">
        <f t="array" ref="AK109">VLOOKUP(B109,'Player Data'!$A1:$AE673,25,FALSE)*$AJ109*IFERROR((VLOOKUP(P109,Settings!$E$28:$F$33,2,FALSE)+1),1)</f>
        <v>26.983588351864906</v>
      </c>
      <c r="AL109" s="57" cm="1">
        <f t="array" ref="AL109">AJ109-AK109-AM109</f>
        <v>13.512308736101309</v>
      </c>
      <c r="AM109" s="57" cm="1">
        <f t="array" ref="AM109">VLOOKUP(B109,'Player Data'!$A1:$AE673,27,FALSE)*$AJ109</f>
        <v>4.504102912033785</v>
      </c>
      <c r="AN109" s="57" cm="1">
        <f t="array" ref="AN109">VLOOKUP(B109,'Player Data'!$A1:$AE673,28,FALSE)*AJ109</f>
        <v>3.0467649591535904</v>
      </c>
      <c r="AO109" s="57" cm="1">
        <f t="array" ref="AO109">VLOOKUP(B109,'Player Data'!$A1:$AE673,29,FALSE)*$AJ109*IFERROR((VLOOKUP(P109,Settings!$E$28:$F$33,2,FALSE)/4)+1,1)</f>
        <v>1182.3467334420557</v>
      </c>
      <c r="AP109" s="57" cm="1">
        <f t="array" ref="AP109">VLOOKUP(B109,'Player Data'!$A1:$AE673,31,FALSE)*$AJ109*(IFERROR(1-(VLOOKUP(P109,Settings!$E$28:$F$33,2,FALSE)/4),1))</f>
        <v>119.62349529903675</v>
      </c>
      <c r="AQ109" s="60" cm="1">
        <f t="array" ref="AQ109">1-(AP109/(AO109+AP109))</f>
        <v>0.908121174618022</v>
      </c>
      <c r="AR109" s="61" cm="1">
        <f t="array" ref="AR109">AP109/AJ109</f>
        <v>2.6582998955341499</v>
      </c>
      <c r="AS109" s="55"/>
    </row>
    <row r="110" spans="1:45" ht="21.25" customHeight="1" x14ac:dyDescent="0.15">
      <c r="A110" s="62">
        <f t="shared" si="1"/>
        <v>109</v>
      </c>
      <c r="B110" s="10" t="s">
        <v>238</v>
      </c>
      <c r="C110" s="47" t="s">
        <v>128</v>
      </c>
      <c r="D110" s="48" t="str" cm="1">
        <f t="array" ref="D110">VLOOKUP(B110,'Player Data'!A1:D673,4,FALSE)</f>
        <v>C</v>
      </c>
      <c r="E110" s="49" cm="1">
        <f t="array" ref="E110">VLOOKUP(B110,'C'!A1:C210,3,FALSE)</f>
        <v>34</v>
      </c>
      <c r="F110" s="56" t="str" cm="1">
        <f t="array" ref="F110">VLOOKUP(B110,'Player Data'!A1:B673,2,FALSE)</f>
        <v>CHI</v>
      </c>
      <c r="G110" s="71" cm="1">
        <f t="array" ref="G110">VLOOKUP(B110,'Player Data'!A1:D673,3,FALSE)</f>
        <v>19</v>
      </c>
      <c r="H110" s="51" cm="1">
        <f t="array" ref="H110">IFERROR(VLOOKUP(B110,ADP!A1:F671,6,FALSE)/1000000,VLOOKUP(B110,ADP!A1:F671,6,FALSE))</f>
        <v>0.97499999999999998</v>
      </c>
      <c r="I110" s="52">
        <f>IF(Settings!$E$15="POINTS",((R110*Q110)*Settings!$B$12)+(S110*Settings!$B$2)+(T110*Settings!$B$3)+(U110*Settings!$B$4)+(V110*Settings!$B$5)+(X110*Settings!$B$9)+(AA110*Settings!$B$6)+(W110*Settings!$B$8)+(AB110*Settings!$B$7)+(AC110*Settings!$B$14)+(AD110*Settings!$B$15)+(AE110*Settings!$B$16)+(AF110*Settings!$B$17)+(AG110*Settings!$B$18)+(Y110*Settings!$B$10)+(Z110*Settings!$B$11),VLOOKUP(B110,'Standard Deviations'!A$1:C$672,3,FALSE))</f>
        <v>342.6769573631812</v>
      </c>
      <c r="J110" s="53" cm="1">
        <f t="array" ref="J110">IF(D110="G",I110/AJ110,I110/Q110)</f>
        <v>4.3932943251689895</v>
      </c>
      <c r="K110" s="52" cm="1">
        <f t="array" ref="K110">IF(Settings!$E$18="C/LW/RW",VLOOKUP(B110,'C'!A1:F210,6,FALSE),VLOOKUP(B110,F!A1:F407,6,FALSE))</f>
        <v>-43.858249029901799</v>
      </c>
      <c r="L110" s="54" cm="1">
        <f t="array" ref="L110">IFERROR(K110/H110,"N/A")</f>
        <v>-44.982819517848</v>
      </c>
      <c r="M110" s="55">
        <v>140.4</v>
      </c>
      <c r="N110" s="55" cm="1">
        <f t="array" ref="N110">IFERROR(M110-A110,"N/A")</f>
        <v>31.400000000000006</v>
      </c>
      <c r="O110" s="55"/>
      <c r="P110" s="56" t="str" cm="1">
        <f t="array" ref="P110">_xlfn.XLOOKUP($B110,ADP!A2:A671,ADP!G2:G671)</f>
        <v>-</v>
      </c>
      <c r="Q110" s="57" cm="1">
        <f t="array" ref="Q110">IF(Settings!$E$12="YES",VLOOKUP(B110,'Player Data'!A1:E673,5,FALSE),84)</f>
        <v>78</v>
      </c>
      <c r="R110" s="55" cm="1">
        <f t="array" ref="R110">VLOOKUP(B110,'Player Data'!$A1:$AE673,6,FALSE)</f>
        <v>18.439969208231801</v>
      </c>
      <c r="S110" s="57" cm="1">
        <f t="array" ref="S110">VLOOKUP(B110,'Player Data'!$A1:$AE673,7,FALSE)*$Q110*IFERROR((VLOOKUP(P110,Settings!$E$28:$F$33,2,FALSE)+1),1)</f>
        <v>23.704601251210025</v>
      </c>
      <c r="T110" s="57" cm="1">
        <f t="array" ref="T110">VLOOKUP(B110,'Player Data'!$A1:$AE673,8,FALSE)*$Q110*IFERROR((VLOOKUP(P110,Settings!$E$28:$F$33,2,FALSE)+1),1)</f>
        <v>38.578642123531495</v>
      </c>
      <c r="U110" s="57" cm="1">
        <f t="array" ref="U110">SUM(S110:T110)</f>
        <v>62.283243374741517</v>
      </c>
      <c r="V110" s="57" cm="1">
        <f t="array" ref="V110">VLOOKUP(B110,'Player Data'!$A1:$AE673,10,FALSE)*$Q110*IFERROR(((VLOOKUP(P110,Settings!$E$28:$F$33,2,FALSE)/2)+1),1)</f>
        <v>213.78611162725394</v>
      </c>
      <c r="W110" s="58" cm="1">
        <f t="array" ref="W110">VLOOKUP(B110,'Player Data'!$A1:$AE673,11,FALSE)*$Q110*IFERROR((VLOOKUP(P110,Settings!$E$28:$F$33,2,FALSE)+1),1)</f>
        <v>5.1053544735348444</v>
      </c>
      <c r="X110" s="57" cm="1">
        <f t="array" ref="X110">VLOOKUP(B110,'Player Data'!$A1:$AE673,12,FALSE)*$Q110*IFERROR((VLOOKUP(P110,Settings!$E$28:$F$33,2,FALSE)+1),1)</f>
        <v>18.532349540849296</v>
      </c>
      <c r="Y110" s="57" cm="1">
        <f t="array" ref="Y110">VLOOKUP(B110,'Player Data'!$A1:$AE673,13,FALSE)*$Q110</f>
        <v>0</v>
      </c>
      <c r="Z110" s="57" cm="1">
        <f t="array" ref="Z110">VLOOKUP(B110,'Player Data'!$A1:$AE673,14,FALSE)*$Q110</f>
        <v>0</v>
      </c>
      <c r="AA110" s="57" cm="1">
        <f t="array" ref="AA110">VLOOKUP(B110,'Player Data'!$A1:$AE673,15,FALSE)*$Q110</f>
        <v>60.803643768960768</v>
      </c>
      <c r="AB110" s="57" cm="1">
        <f t="array" ref="AB110">VLOOKUP(B110,'Player Data'!$A1:$AE673,16,FALSE)*$Q110</f>
        <v>66.209398875388857</v>
      </c>
      <c r="AC110" s="57" cm="1">
        <f t="array" ref="AC110">VLOOKUP(B110,'Player Data'!$A1:$AE673,17,FALSE)*$Q110*IFERROR((VLOOKUP(P110,Settings!$E$28:$F$33,2,FALSE)+1),1)</f>
        <v>-6.4967327007314832</v>
      </c>
      <c r="AD110" s="57" cm="1">
        <f t="array" ref="AD110">VLOOKUP(B110,'Player Data'!$A1:$AE673,18,FALSE)*$Q110</f>
        <v>32.595224817562993</v>
      </c>
      <c r="AE110" s="57" cm="1">
        <f t="array" ref="AE110">VLOOKUP(B110,'Player Data'!$A1:$AE673,19,FALSE)*$Q110*IFERROR((VLOOKUP(P110,Settings!$E$28:$F$33,2,FALSE)+1),1)</f>
        <v>2.9255282226311019</v>
      </c>
      <c r="AF110" s="57" cm="1">
        <f t="array" ref="AF110">VLOOKUP(B110,'Player Data'!$A1:$AE673,20,FALSE)*$Q110</f>
        <v>217.54579167058918</v>
      </c>
      <c r="AG110" s="57" cm="1">
        <f t="array" ref="AG110">VLOOKUP(B110,'Player Data'!$A1:$AE673,21,FALSE)*$Q110</f>
        <v>503.07464323823848</v>
      </c>
      <c r="AH110" s="59" cm="1">
        <f t="array" ref="AH110">VLOOKUP(B110,'Player Data'!$A1:$AE673,22,FALSE)</f>
        <v>0.30188679245283001</v>
      </c>
      <c r="AI110" s="55"/>
      <c r="AJ110" s="57"/>
      <c r="AK110" s="57"/>
      <c r="AL110" s="57"/>
      <c r="AM110" s="57"/>
      <c r="AN110" s="57"/>
      <c r="AO110" s="57"/>
      <c r="AP110" s="57"/>
      <c r="AQ110" s="60"/>
      <c r="AR110" s="61"/>
      <c r="AS110" s="55"/>
    </row>
    <row r="111" spans="1:45" ht="21.25" customHeight="1" x14ac:dyDescent="0.15">
      <c r="A111" s="62">
        <f t="shared" si="1"/>
        <v>110</v>
      </c>
      <c r="B111" s="10" t="s">
        <v>239</v>
      </c>
      <c r="C111" s="47" t="s">
        <v>128</v>
      </c>
      <c r="D111" s="48" t="str" cm="1">
        <f t="array" ref="D111">VLOOKUP(B111,'Player Data'!A1:D673,4,FALSE)</f>
        <v>RW</v>
      </c>
      <c r="E111" s="64" cm="1">
        <f t="array" ref="E111">VLOOKUP(B111,RW!A1:F210,3,FALSE)</f>
        <v>29</v>
      </c>
      <c r="F111" s="50" t="str" cm="1">
        <f t="array" ref="F111">VLOOKUP(B111,'Player Data'!A1:B673,2,FALSE)</f>
        <v>ANA</v>
      </c>
      <c r="G111" s="71" cm="1">
        <f t="array" ref="G111">VLOOKUP(B111,'Player Data'!A1:D673,3,FALSE)</f>
        <v>20</v>
      </c>
      <c r="H111" s="51" cm="1">
        <f t="array" ref="H111">IFERROR(VLOOKUP(B111,ADP!A1:F671,6,FALSE)/1000000,VLOOKUP(B111,ADP!A1:F671,6,FALSE))</f>
        <v>0.95374999999999999</v>
      </c>
      <c r="I111" s="52">
        <f>IF(Settings!$E$15="POINTS",((R111*Q111)*Settings!$B$12)+(S111*Settings!$B$2)+(T111*Settings!$B$3)+(U111*Settings!$B$4)+(V111*Settings!$B$5)+(X111*Settings!$B$9)+(AA111*Settings!$B$6)+(W111*Settings!$B$8)+(AB111*Settings!$B$7)+(AC111*Settings!$B$14)+(AD111*Settings!$B$15)+(AE111*Settings!$B$16)+(AF111*Settings!$B$17)+(AG111*Settings!$B$18)+(Y111*Settings!$B$10)+(Z111*Settings!$B$11),VLOOKUP(B111,'Standard Deviations'!A$1:C$672,3,FALSE))</f>
        <v>350.84729448549547</v>
      </c>
      <c r="J111" s="53" cm="1">
        <f t="array" ref="J111">IF(D111="G",I111/AJ111,I111/Q111)</f>
        <v>4.2090731748004977</v>
      </c>
      <c r="K111" s="52" cm="1">
        <f t="array" ref="K111">IF(Settings!$E$18="C/LW/RW",VLOOKUP(B111,RW!A1:F210,6,FALSE),VLOOKUP(B111,F!A1:F407,6,FALSE))</f>
        <v>-44.096170208062006</v>
      </c>
      <c r="L111" s="54" cm="1">
        <f t="array" ref="L111">IFERROR(K111/H111,"N/A")</f>
        <v>-46.234516600851386</v>
      </c>
      <c r="M111" s="55">
        <v>103</v>
      </c>
      <c r="N111" s="55" cm="1">
        <f t="array" ref="N111">IFERROR(M111-A111,"N/A")</f>
        <v>-7</v>
      </c>
      <c r="O111" s="55"/>
      <c r="P111" s="56" t="str" cm="1">
        <f t="array" ref="P111">_xlfn.XLOOKUP($B111,ADP!A2:A671,ADP!G2:G671)</f>
        <v>+</v>
      </c>
      <c r="Q111" s="57" cm="1">
        <f t="array" ref="Q111">IF(Settings!$E$12="YES",VLOOKUP(B111,'Player Data'!A1:E673,5,FALSE),84)</f>
        <v>83.355000000000004</v>
      </c>
      <c r="R111" s="55" cm="1">
        <f t="array" ref="R111">VLOOKUP(B111,'Player Data'!$A1:$AE673,6,FALSE)</f>
        <v>17.856825931173699</v>
      </c>
      <c r="S111" s="57" cm="1">
        <f t="array" ref="S111">VLOOKUP(B111,'Player Data'!$A1:$AE673,7,FALSE)*$Q111*IFERROR((VLOOKUP(P111,Settings!$E$28:$F$33,2,FALSE)+1),1)</f>
        <v>27.340653858716873</v>
      </c>
      <c r="T111" s="57" cm="1">
        <f t="array" ref="T111">VLOOKUP(B111,'Player Data'!$A1:$AE673,8,FALSE)*$Q111*IFERROR((VLOOKUP(P111,Settings!$E$28:$F$33,2,FALSE)+1),1)</f>
        <v>43.637317287902391</v>
      </c>
      <c r="U111" s="57" cm="1">
        <f t="array" ref="U111">SUM(S111:T111)</f>
        <v>70.977971146619268</v>
      </c>
      <c r="V111" s="57" cm="1">
        <f t="array" ref="V111">VLOOKUP(B111,'Player Data'!$A1:$AE673,10,FALSE)*$Q111*IFERROR(((VLOOKUP(P111,Settings!$E$28:$F$33,2,FALSE)/2)+1),1)</f>
        <v>212.42996046924407</v>
      </c>
      <c r="W111" s="57" cm="1">
        <f t="array" ref="W111">VLOOKUP(B111,'Player Data'!$A1:$AE673,11,FALSE)*$Q111*IFERROR((VLOOKUP(P111,Settings!$E$28:$F$33,2,FALSE)+1),1)</f>
        <v>2.9178245471591575</v>
      </c>
      <c r="X111" s="79" cm="1">
        <f t="array" ref="X111">VLOOKUP(B111,'Player Data'!$A1:$AE673,12,FALSE)*$Q111*IFERROR((VLOOKUP(P111,Settings!$E$28:$F$33,2,FALSE)+1),1)</f>
        <v>18.136498553560298</v>
      </c>
      <c r="Y111" s="57" cm="1">
        <f t="array" ref="Y111">VLOOKUP(B111,'Player Data'!$A1:$AE673,13,FALSE)*$Q111</f>
        <v>2.0606307977829648E-2</v>
      </c>
      <c r="Z111" s="57" cm="1">
        <f t="array" ref="Z111">VLOOKUP(B111,'Player Data'!$A1:$AE673,14,FALSE)*$Q111</f>
        <v>3.3390077361160883E-2</v>
      </c>
      <c r="AA111" s="57" cm="1">
        <f t="array" ref="AA111">VLOOKUP(B111,'Player Data'!$A1:$AE673,15,FALSE)*$Q111</f>
        <v>27.0570243601884</v>
      </c>
      <c r="AB111" s="57" cm="1">
        <f t="array" ref="AB111">VLOOKUP(B111,'Player Data'!$A1:$AE673,16,FALSE)*$Q111</f>
        <v>95.935101976060778</v>
      </c>
      <c r="AC111" s="57" cm="1">
        <f t="array" ref="AC111">VLOOKUP(B111,'Player Data'!$A1:$AE673,17,FALSE)*$Q111*IFERROR((VLOOKUP(P111,Settings!$E$28:$F$33,2,FALSE)+1),1)</f>
        <v>-2.8341209568222383</v>
      </c>
      <c r="AD111" s="57" cm="1">
        <f t="array" ref="AD111">VLOOKUP(B111,'Player Data'!$A1:$AE673,18,FALSE)*$Q111</f>
        <v>55.268992363625571</v>
      </c>
      <c r="AE111" s="57" cm="1">
        <f t="array" ref="AE111">VLOOKUP(B111,'Player Data'!$A1:$AE673,19,FALSE)*$Q111*IFERROR((VLOOKUP(P111,Settings!$E$28:$F$33,2,FALSE)+1),1)</f>
        <v>3.9943911409362109</v>
      </c>
      <c r="AF111" s="57" cm="1">
        <f t="array" ref="AF111">VLOOKUP(B111,'Player Data'!$A1:$AE673,20,FALSE)*$Q111</f>
        <v>3.1213683795935556</v>
      </c>
      <c r="AG111" s="57" cm="1">
        <f t="array" ref="AG111">VLOOKUP(B111,'Player Data'!$A1:$AE673,21,FALSE)*$Q111</f>
        <v>2.080912253062376</v>
      </c>
      <c r="AH111" s="59" cm="1">
        <f t="array" ref="AH111">VLOOKUP(B111,'Player Data'!$A1:$AE673,22,FALSE)</f>
        <v>0.6</v>
      </c>
      <c r="AI111" s="55"/>
      <c r="AJ111" s="57"/>
      <c r="AK111" s="57"/>
      <c r="AL111" s="57"/>
      <c r="AM111" s="57"/>
      <c r="AN111" s="57"/>
      <c r="AO111" s="57"/>
      <c r="AP111" s="57"/>
      <c r="AQ111" s="60"/>
      <c r="AR111" s="61"/>
      <c r="AS111" s="55"/>
    </row>
    <row r="112" spans="1:45" ht="21.25" customHeight="1" x14ac:dyDescent="0.15">
      <c r="A112" s="62">
        <f t="shared" si="1"/>
        <v>111</v>
      </c>
      <c r="B112" s="10" t="s">
        <v>240</v>
      </c>
      <c r="C112" s="47" t="s">
        <v>128</v>
      </c>
      <c r="D112" s="48" t="str" cm="1">
        <f t="array" ref="D112">VLOOKUP(B112,'Player Data'!A1:D673,4,FALSE)</f>
        <v>LW,RW</v>
      </c>
      <c r="E112" s="74" cm="1">
        <f t="array" ref="E112">VLOOKUP(B112,RW!A1:F210,3,FALSE)</f>
        <v>30</v>
      </c>
      <c r="F112" s="56" t="str" cm="1">
        <f t="array" ref="F112">VLOOKUP(B112,'Player Data'!A1:B673,2,FALSE)</f>
        <v>NYR</v>
      </c>
      <c r="G112" s="11" cm="1">
        <f t="array" ref="G112">VLOOKUP(B112,'Player Data'!A1:D673,3,FALSE)</f>
        <v>25</v>
      </c>
      <c r="H112" s="51" cm="1">
        <f t="array" ref="H112">IFERROR(VLOOKUP(B112,ADP!A1:F671,6,FALSE)/1000000,VLOOKUP(B112,ADP!A1:F671,6,FALSE))</f>
        <v>11</v>
      </c>
      <c r="I112" s="52">
        <f>IF(Settings!$E$15="POINTS",((R112*Q112)*Settings!$B$12)+(S112*Settings!$B$2)+(T112*Settings!$B$3)+(U112*Settings!$B$4)+(V112*Settings!$B$5)+(X112*Settings!$B$9)+(AA112*Settings!$B$6)+(W112*Settings!$B$8)+(AB112*Settings!$B$7)+(AC112*Settings!$B$14)+(AD112*Settings!$B$15)+(AE112*Settings!$B$16)+(AF112*Settings!$B$17)+(AG112*Settings!$B$18)+(Y112*Settings!$B$10)+(Z112*Settings!$B$11),VLOOKUP(B112,'Standard Deviations'!A$1:C$672,3,FALSE))</f>
        <v>350.73301740046213</v>
      </c>
      <c r="J112" s="53" cm="1">
        <f t="array" ref="J112">IF(D112="G",I112/AJ112,I112/Q112)</f>
        <v>4.3553087967274573</v>
      </c>
      <c r="K112" s="52" cm="1">
        <f t="array" ref="K112">IF(Settings!$E$18="C/LW/RW",VLOOKUP(B112,RW!A1:F210,6,FALSE),VLOOKUP(B112,F!A1:F407,6,FALSE))</f>
        <v>-44.210447293095342</v>
      </c>
      <c r="L112" s="54" cm="1">
        <f t="array" ref="L112">IFERROR(K112/H112,"N/A")</f>
        <v>-4.0191315720995764</v>
      </c>
      <c r="M112" s="55">
        <v>70.599999999999994</v>
      </c>
      <c r="N112" s="55" cm="1">
        <f t="array" ref="N112">IFERROR(M112-A112,"N/A")</f>
        <v>-40.400000000000006</v>
      </c>
      <c r="O112" s="55"/>
      <c r="P112" s="56" t="str" cm="1">
        <f t="array" ref="P112">_xlfn.XLOOKUP($B112,ADP!A2:A671,ADP!G2:G671)</f>
        <v xml:space="preserve"> </v>
      </c>
      <c r="Q112" s="57" cm="1">
        <f t="array" ref="Q112">IF(Settings!$E$12="YES",VLOOKUP(B112,'Player Data'!A1:E673,5,FALSE),84)</f>
        <v>80.53</v>
      </c>
      <c r="R112" s="55" cm="1">
        <f t="array" ref="R112">VLOOKUP(B112,'Player Data'!$A1:$AE673,6,FALSE)</f>
        <v>17.6071687179878</v>
      </c>
      <c r="S112" s="57" cm="1">
        <f t="array" ref="S112">VLOOKUP(B112,'Player Data'!$A1:$AE673,7,FALSE)*$Q112*IFERROR((VLOOKUP(P112,Settings!$E$28:$F$33,2,FALSE)+1),1)</f>
        <v>36.778207485753626</v>
      </c>
      <c r="T112" s="57" cm="1">
        <f t="array" ref="T112">VLOOKUP(B112,'Player Data'!$A1:$AE673,8,FALSE)*$Q112*IFERROR((VLOOKUP(P112,Settings!$E$28:$F$33,2,FALSE)+1),1)</f>
        <v>26.826589521074993</v>
      </c>
      <c r="U112" s="57" cm="1">
        <f t="array" ref="U112">SUM(S112:T112)</f>
        <v>63.604797006828619</v>
      </c>
      <c r="V112" s="57" cm="1">
        <f t="array" ref="V112">VLOOKUP(B112,'Player Data'!$A1:$AE673,10,FALSE)*$Q112*IFERROR(((VLOOKUP(P112,Settings!$E$28:$F$33,2,FALSE)/2)+1),1)</f>
        <v>232.6281926207302</v>
      </c>
      <c r="W112" s="58" cm="1">
        <f t="array" ref="W112">VLOOKUP(B112,'Player Data'!$A1:$AE673,11,FALSE)*$Q112*IFERROR((VLOOKUP(P112,Settings!$E$28:$F$33,2,FALSE)+1),1)</f>
        <v>17.817676689617137</v>
      </c>
      <c r="X112" s="57" cm="1">
        <f t="array" ref="X112">VLOOKUP(B112,'Player Data'!$A1:$AE673,12,FALSE)*$Q112*IFERROR((VLOOKUP(P112,Settings!$E$28:$F$33,2,FALSE)+1),1)</f>
        <v>27.766836862994587</v>
      </c>
      <c r="Y112" s="57" cm="1">
        <f t="array" ref="Y112">VLOOKUP(B112,'Player Data'!$A1:$AE673,13,FALSE)*$Q112</f>
        <v>2.7530889742370564E-3</v>
      </c>
      <c r="Z112" s="57" cm="1">
        <f t="array" ref="Z112">VLOOKUP(B112,'Player Data'!$A1:$AE673,14,FALSE)*$Q112</f>
        <v>4.5180639716507747E-3</v>
      </c>
      <c r="AA112" s="57" cm="1">
        <f t="array" ref="AA112">VLOOKUP(B112,'Player Data'!$A1:$AE673,15,FALSE)*$Q112</f>
        <v>31.666350285289919</v>
      </c>
      <c r="AB112" s="57" cm="1">
        <f t="array" ref="AB112">VLOOKUP(B112,'Player Data'!$A1:$AE673,16,FALSE)*$Q112</f>
        <v>34.330802228179621</v>
      </c>
      <c r="AC112" s="57" cm="1">
        <f t="array" ref="AC112">VLOOKUP(B112,'Player Data'!$A1:$AE673,17,FALSE)*$Q112*IFERROR((VLOOKUP(P112,Settings!$E$28:$F$33,2,FALSE)+1),1)</f>
        <v>1.6526614253982443</v>
      </c>
      <c r="AD112" s="57" cm="1">
        <f t="array" ref="AD112">VLOOKUP(B112,'Player Data'!$A1:$AE673,18,FALSE)*$Q112</f>
        <v>28.544917787800383</v>
      </c>
      <c r="AE112" s="57" cm="1">
        <f t="array" ref="AE112">VLOOKUP(B112,'Player Data'!$A1:$AE673,19,FALSE)*$Q112*IFERROR((VLOOKUP(P112,Settings!$E$28:$F$33,2,FALSE)+1),1)</f>
        <v>5.7779958604790078</v>
      </c>
      <c r="AF112" s="57" cm="1">
        <f t="array" ref="AF112">VLOOKUP(B112,'Player Data'!$A1:$AE673,20,FALSE)*$Q112</f>
        <v>0.52674441064469835</v>
      </c>
      <c r="AG112" s="57" cm="1">
        <f t="array" ref="AG112">VLOOKUP(B112,'Player Data'!$A1:$AE673,21,FALSE)*$Q112</f>
        <v>3.3938023505428379</v>
      </c>
      <c r="AH112" s="59" cm="1">
        <f t="array" ref="AH112">VLOOKUP(B112,'Player Data'!$A1:$AE673,22,FALSE)</f>
        <v>0.13435483434589801</v>
      </c>
      <c r="AI112" s="55"/>
      <c r="AJ112" s="57"/>
      <c r="AK112" s="57"/>
      <c r="AL112" s="57"/>
      <c r="AM112" s="57"/>
      <c r="AN112" s="57"/>
      <c r="AO112" s="57"/>
      <c r="AP112" s="57"/>
      <c r="AQ112" s="60"/>
      <c r="AR112" s="61"/>
      <c r="AS112" s="55"/>
    </row>
    <row r="113" spans="1:45" ht="21.25" customHeight="1" x14ac:dyDescent="0.15">
      <c r="A113" s="62">
        <f t="shared" si="1"/>
        <v>112</v>
      </c>
      <c r="B113" s="10" t="s">
        <v>241</v>
      </c>
      <c r="C113" s="47" t="s">
        <v>147</v>
      </c>
      <c r="D113" s="48" t="str" cm="1">
        <f t="array" ref="D113">VLOOKUP(B113,'Player Data'!A1:D673,4,FALSE)</f>
        <v>D</v>
      </c>
      <c r="E113" s="68" cm="1">
        <f t="array" ref="E113">VLOOKUP(B113,D!A1:C204,3,FALSE)</f>
        <v>37</v>
      </c>
      <c r="F113" s="65" t="str" cm="1">
        <f t="array" ref="F113">VLOOKUP(B113,'Player Data'!A1:B673,2,FALSE)</f>
        <v>STL</v>
      </c>
      <c r="G113" s="11" cm="1">
        <f t="array" ref="G113">VLOOKUP(B113,'Player Data'!A1:D673,3,FALSE)</f>
        <v>25</v>
      </c>
      <c r="H113" s="51" cm="1">
        <f t="array" ref="H113">IFERROR(VLOOKUP(B113,ADP!A1:F671,6,FALSE)/1000000,VLOOKUP(B113,ADP!A1:F671,6,FALSE))</f>
        <v>8</v>
      </c>
      <c r="I113" s="52">
        <f>IF(Settings!$E$15="POINTS",((R113*Q113)*Settings!$B$12)+(S113*Settings!$B$2)+(T113*Settings!$B$3)+(U113*Settings!$B$4)+(V113*Settings!$B$5)+(X113*Settings!$B$9)+(AA113*Settings!$B$6)+(W113*Settings!$B$8)+(AB113*Settings!$B$7)+(AC113*Settings!$B$14)+(AD113*Settings!$B$15)+(AE113*Settings!$B$16)+(AF113*Settings!$B$17)+(AG113*Settings!$B$18)+(U113*Settings!$B$13)+(Y113*Settings!$B$10)+(Z113*Settings!$B$11),VLOOKUP(B113,'Standard Deviations'!A$1:C$672,3,FALSE))</f>
        <v>260.83392947613936</v>
      </c>
      <c r="J113" s="53" cm="1">
        <f t="array" ref="J113">IF(D113="G",I113/AJ113,I113/Q113)</f>
        <v>3.2390665235620051</v>
      </c>
      <c r="K113" s="52" cm="1">
        <f t="array" ref="K113">VLOOKUP(B113,D!A1:F204,6,FALSE)</f>
        <v>-45.819937868454701</v>
      </c>
      <c r="L113" s="54" cm="1">
        <f t="array" ref="L113">IFERROR(K113/H113,"N/A")</f>
        <v>-5.7274922335568377</v>
      </c>
      <c r="M113" s="55">
        <v>133.4</v>
      </c>
      <c r="N113" s="55" cm="1">
        <f t="array" ref="N113">IFERROR(M113-A113,"N/A")</f>
        <v>21.400000000000006</v>
      </c>
      <c r="O113" s="55"/>
      <c r="P113" s="56" t="str" cm="1">
        <f t="array" ref="P113">_xlfn.XLOOKUP($B113,ADP!A2:A671,ADP!G2:G671)</f>
        <v xml:space="preserve"> </v>
      </c>
      <c r="Q113" s="57" cm="1">
        <f t="array" ref="Q113">IF(Settings!$E$12="YES",VLOOKUP(B113,'Player Data'!A1:E673,5,FALSE),84)</f>
        <v>80.527500000000003</v>
      </c>
      <c r="R113" s="82" cm="1">
        <f t="array" ref="R113">VLOOKUP(B113,'Player Data'!$A1:$AE673,6,FALSE)</f>
        <v>24.714642277716599</v>
      </c>
      <c r="S113" s="57" cm="1">
        <f t="array" ref="S113">VLOOKUP(B113,'Player Data'!$A1:$AE673,7,FALSE)*$Q113*IFERROR((VLOOKUP(P113,Settings!$E$28:$F$33,2,FALSE)+1),1)</f>
        <v>9.6593026111153684</v>
      </c>
      <c r="T113" s="57" cm="1">
        <f t="array" ref="T113">VLOOKUP(B113,'Player Data'!$A1:$AE673,8,FALSE)*$Q113*IFERROR((VLOOKUP(P113,Settings!$E$28:$F$33,2,FALSE)+1),1)</f>
        <v>33.050332863970034</v>
      </c>
      <c r="U113" s="57" cm="1">
        <f t="array" ref="U113">SUM(S113:T113)</f>
        <v>42.709635475085406</v>
      </c>
      <c r="V113" s="57" cm="1">
        <f t="array" ref="V113">VLOOKUP(B113,'Player Data'!$A1:$AE673,10,FALSE)*$Q113*IFERROR(((VLOOKUP(P113,Settings!$E$28:$F$33,2,FALSE)/2)+1),1)</f>
        <v>124.67670056238887</v>
      </c>
      <c r="W113" s="57" cm="1">
        <f t="array" ref="W113">VLOOKUP(B113,'Player Data'!$A1:$AE673,11,FALSE)*$Q113*IFERROR((VLOOKUP(P113,Settings!$E$28:$F$33,2,FALSE)+1),1)</f>
        <v>3.5521308002095409</v>
      </c>
      <c r="X113" s="79" cm="1">
        <f t="array" ref="X113">VLOOKUP(B113,'Player Data'!$A1:$AE673,12,FALSE)*$Q113*IFERROR((VLOOKUP(P113,Settings!$E$28:$F$33,2,FALSE)+1),1)</f>
        <v>12.754307405254785</v>
      </c>
      <c r="Y113" s="57" cm="1">
        <f t="array" ref="Y113">VLOOKUP(B113,'Player Data'!$A1:$AE673,13,FALSE)*$Q113</f>
        <v>3.1445264324175874E-2</v>
      </c>
      <c r="Z113" s="57" cm="1">
        <f t="array" ref="Z113">VLOOKUP(B113,'Player Data'!$A1:$AE673,14,FALSE)*$Q113</f>
        <v>0.16573610709023384</v>
      </c>
      <c r="AA113" s="57" cm="1">
        <f t="array" ref="AA113">VLOOKUP(B113,'Player Data'!$A1:$AE673,15,FALSE)*$Q113</f>
        <v>114.89325851468729</v>
      </c>
      <c r="AB113" s="57" cm="1">
        <f t="array" ref="AB113">VLOOKUP(B113,'Player Data'!$A1:$AE673,16,FALSE)*$Q113</f>
        <v>49.03334188513972</v>
      </c>
      <c r="AC113" s="57" cm="1">
        <f t="array" ref="AC113">VLOOKUP(B113,'Player Data'!$A1:$AE673,17,FALSE)*$Q113*IFERROR((VLOOKUP(P113,Settings!$E$28:$F$33,2,FALSE)+1),1)</f>
        <v>0.55718784659473986</v>
      </c>
      <c r="AD113" s="57" cm="1">
        <f t="array" ref="AD113">VLOOKUP(B113,'Player Data'!$A1:$AE673,18,FALSE)*$Q113</f>
        <v>24.387746586043995</v>
      </c>
      <c r="AE113" s="57" cm="1">
        <f t="array" ref="AE113">VLOOKUP(B113,'Player Data'!$A1:$AE673,19,FALSE)*$Q113*IFERROR((VLOOKUP(P113,Settings!$E$28:$F$33,2,FALSE)+1),1)</f>
        <v>1.3927849309036895</v>
      </c>
      <c r="AF113" s="57" cm="1">
        <f t="array" ref="AF113">VLOOKUP(B113,'Player Data'!$A1:$AE673,20,FALSE)*$Q113</f>
        <v>0</v>
      </c>
      <c r="AG113" s="57" cm="1">
        <f t="array" ref="AG113">VLOOKUP(B113,'Player Data'!$A1:$AE673,21,FALSE)*$Q113</f>
        <v>0</v>
      </c>
      <c r="AH113" s="59" cm="1">
        <f t="array" ref="AH113">VLOOKUP(B113,'Player Data'!$A1:$AE673,22,FALSE)</f>
        <v>0</v>
      </c>
      <c r="AI113" s="55"/>
      <c r="AJ113" s="57"/>
      <c r="AK113" s="57"/>
      <c r="AL113" s="57"/>
      <c r="AM113" s="57"/>
      <c r="AN113" s="57"/>
      <c r="AO113" s="57"/>
      <c r="AP113" s="57"/>
      <c r="AQ113" s="60"/>
      <c r="AR113" s="61"/>
      <c r="AS113" s="55"/>
    </row>
    <row r="114" spans="1:45" ht="21.25" customHeight="1" x14ac:dyDescent="0.15">
      <c r="A114" s="62">
        <f t="shared" si="1"/>
        <v>113</v>
      </c>
      <c r="B114" s="10" t="s">
        <v>242</v>
      </c>
      <c r="C114" s="47" t="s">
        <v>128</v>
      </c>
      <c r="D114" s="48" t="str" cm="1">
        <f t="array" ref="D114">VLOOKUP(B114,'Player Data'!A1:D673,4,FALSE)</f>
        <v>D</v>
      </c>
      <c r="E114" s="68" cm="1">
        <f t="array" ref="E114">VLOOKUP(B114,D!A1:C204,3,FALSE)</f>
        <v>38</v>
      </c>
      <c r="F114" s="56" t="str" cm="1">
        <f t="array" ref="F114">VLOOKUP(B114,'Player Data'!A1:B673,2,FALSE)</f>
        <v>WSH</v>
      </c>
      <c r="G114" s="71" cm="1">
        <f t="array" ref="G114">VLOOKUP(B114,'Player Data'!A1:D673,3,FALSE)</f>
        <v>20</v>
      </c>
      <c r="H114" s="51" cm="1">
        <f t="array" ref="H114">IFERROR(VLOOKUP(B114,ADP!A1:F671,6,FALSE)/1000000,VLOOKUP(B114,ADP!A1:F671,6,FALSE))</f>
        <v>0.94083300000000003</v>
      </c>
      <c r="I114" s="52">
        <f>IF(Settings!$E$15="POINTS",((R114*Q114)*Settings!$B$12)+(S114*Settings!$B$2)+(T114*Settings!$B$3)+(U114*Settings!$B$4)+(V114*Settings!$B$5)+(X114*Settings!$B$9)+(AA114*Settings!$B$6)+(W114*Settings!$B$8)+(AB114*Settings!$B$7)+(AC114*Settings!$B$14)+(AD114*Settings!$B$15)+(AE114*Settings!$B$16)+(AF114*Settings!$B$17)+(AG114*Settings!$B$18)+(U114*Settings!$B$13)+(Y114*Settings!$B$10)+(Z114*Settings!$B$11),VLOOKUP(B114,'Standard Deviations'!A$1:C$672,3,FALSE))</f>
        <v>260.32688156754858</v>
      </c>
      <c r="J114" s="53" cm="1">
        <f t="array" ref="J114">IF(D114="G",I114/AJ114,I114/Q114)</f>
        <v>3.5179308319938998</v>
      </c>
      <c r="K114" s="52" cm="1">
        <f t="array" ref="K114">VLOOKUP(B114,D!A1:F204,6,FALSE)</f>
        <v>-46.326985777045479</v>
      </c>
      <c r="L114" s="54" cm="1">
        <f t="array" ref="L114">IFERROR(K114/H114,"N/A")</f>
        <v>-49.240392053685909</v>
      </c>
      <c r="M114" s="55">
        <v>90</v>
      </c>
      <c r="N114" s="55" cm="1">
        <f t="array" ref="N114">IFERROR(M114-A114,"N/A")</f>
        <v>-23</v>
      </c>
      <c r="O114" s="55"/>
      <c r="P114" s="56" t="str" cm="1">
        <f t="array" ref="P114">_xlfn.XLOOKUP($B114,ADP!A2:A671,ADP!G2:G671)</f>
        <v xml:space="preserve"> </v>
      </c>
      <c r="Q114" s="57" cm="1">
        <f t="array" ref="Q114">IF(Settings!$E$12="YES",VLOOKUP(B114,'Player Data'!A1:E673,5,FALSE),84)</f>
        <v>74</v>
      </c>
      <c r="R114" s="82" cm="1">
        <f t="array" ref="R114">VLOOKUP(B114,'Player Data'!$A1:$AE673,6,FALSE)</f>
        <v>19.0846889118646</v>
      </c>
      <c r="S114" s="57" cm="1">
        <f t="array" ref="S114">VLOOKUP(B114,'Player Data'!$A1:$AE673,7,FALSE)*$Q114*IFERROR((VLOOKUP(P114,Settings!$E$28:$F$33,2,FALSE)+1),1)</f>
        <v>11.116165207644375</v>
      </c>
      <c r="T114" s="57" cm="1">
        <f t="array" ref="T114">VLOOKUP(B114,'Player Data'!$A1:$AE673,8,FALSE)*$Q114*IFERROR((VLOOKUP(P114,Settings!$E$28:$F$33,2,FALSE)+1),1)</f>
        <v>36.175881337046484</v>
      </c>
      <c r="U114" s="57" cm="1">
        <f t="array" ref="U114">SUM(S114:T114)</f>
        <v>47.292046544690862</v>
      </c>
      <c r="V114" s="57" cm="1">
        <f t="array" ref="V114">VLOOKUP(B114,'Player Data'!$A1:$AE673,10,FALSE)*$Q114*IFERROR(((VLOOKUP(P114,Settings!$E$28:$F$33,2,FALSE)/2)+1),1)</f>
        <v>112.85842376080257</v>
      </c>
      <c r="W114" s="57" cm="1">
        <f t="array" ref="W114">VLOOKUP(B114,'Player Data'!$A1:$AE673,11,FALSE)*$Q114*IFERROR((VLOOKUP(P114,Settings!$E$28:$F$33,2,FALSE)+1),1)</f>
        <v>1.8921750331637932</v>
      </c>
      <c r="X114" s="79" cm="1">
        <f t="array" ref="X114">VLOOKUP(B114,'Player Data'!$A1:$AE673,12,FALSE)*$Q114*IFERROR((VLOOKUP(P114,Settings!$E$28:$F$33,2,FALSE)+1),1)</f>
        <v>24.07078675381544</v>
      </c>
      <c r="Y114" s="57" cm="1">
        <f t="array" ref="Y114">VLOOKUP(B114,'Player Data'!$A1:$AE673,13,FALSE)*$Q114</f>
        <v>3.1404776729645856E-3</v>
      </c>
      <c r="Z114" s="57" cm="1">
        <f t="array" ref="Z114">VLOOKUP(B114,'Player Data'!$A1:$AE673,14,FALSE)*$Q114</f>
        <v>9.8899212043936924E-3</v>
      </c>
      <c r="AA114" s="57" cm="1">
        <f t="array" ref="AA114">VLOOKUP(B114,'Player Data'!$A1:$AE673,15,FALSE)*$Q114</f>
        <v>75.88170675610985</v>
      </c>
      <c r="AB114" s="57" cm="1">
        <f t="array" ref="AB114">VLOOKUP(B114,'Player Data'!$A1:$AE673,16,FALSE)*$Q114</f>
        <v>89.258418985345685</v>
      </c>
      <c r="AC114" s="57" cm="1">
        <f t="array" ref="AC114">VLOOKUP(B114,'Player Data'!$A1:$AE673,17,FALSE)*$Q114*IFERROR((VLOOKUP(P114,Settings!$E$28:$F$33,2,FALSE)+1),1)</f>
        <v>2.8484535543450327</v>
      </c>
      <c r="AD114" s="57" cm="1">
        <f t="array" ref="AD114">VLOOKUP(B114,'Player Data'!$A1:$AE673,18,FALSE)*$Q114</f>
        <v>37.920866223104952</v>
      </c>
      <c r="AE114" s="57" cm="1">
        <f t="array" ref="AE114">VLOOKUP(B114,'Player Data'!$A1:$AE673,19,FALSE)*$Q114*IFERROR((VLOOKUP(P114,Settings!$E$28:$F$33,2,FALSE)+1),1)</f>
        <v>1.6648604455150458</v>
      </c>
      <c r="AF114" s="57" cm="1">
        <f t="array" ref="AF114">VLOOKUP(B114,'Player Data'!$A1:$AE673,20,FALSE)*$Q114</f>
        <v>0</v>
      </c>
      <c r="AG114" s="57" cm="1">
        <f t="array" ref="AG114">VLOOKUP(B114,'Player Data'!$A1:$AE673,21,FALSE)*$Q114</f>
        <v>0</v>
      </c>
      <c r="AH114" s="59" cm="1">
        <f t="array" ref="AH114">VLOOKUP(B114,'Player Data'!$A1:$AE673,22,FALSE)</f>
        <v>0</v>
      </c>
      <c r="AI114" s="55"/>
      <c r="AJ114" s="57"/>
      <c r="AK114" s="57"/>
      <c r="AL114" s="57"/>
      <c r="AM114" s="57"/>
      <c r="AN114" s="57"/>
      <c r="AO114" s="57"/>
      <c r="AP114" s="57"/>
      <c r="AQ114" s="60"/>
      <c r="AR114" s="61"/>
      <c r="AS114" s="55"/>
    </row>
    <row r="115" spans="1:45" ht="21.25" customHeight="1" x14ac:dyDescent="0.15">
      <c r="A115" s="62">
        <f t="shared" si="1"/>
        <v>114</v>
      </c>
      <c r="B115" s="10" t="s">
        <v>243</v>
      </c>
      <c r="C115" s="47" t="s">
        <v>128</v>
      </c>
      <c r="D115" s="48" t="str" cm="1">
        <f t="array" ref="D115">VLOOKUP(B115,'Player Data'!A1:D673,4,FALSE)</f>
        <v>C,LW</v>
      </c>
      <c r="E115" s="74" cm="1">
        <f t="array" ref="E115">VLOOKUP(B115,LW!A1:C210,3,FALSE)</f>
        <v>25</v>
      </c>
      <c r="F115" s="65" t="str" cm="1">
        <f t="array" ref="F115">VLOOKUP(B115,'Player Data'!A1:B673,2,FALSE)</f>
        <v>STL</v>
      </c>
      <c r="G115" s="71" cm="1">
        <f t="array" ref="G115">VLOOKUP(B115,'Player Data'!A1:D673,3,FALSE)</f>
        <v>24</v>
      </c>
      <c r="H115" s="51" cm="1">
        <f t="array" ref="H115">IFERROR(VLOOKUP(B115,ADP!A1:F671,6,FALSE)/1000000,VLOOKUP(B115,ADP!A1:F671,6,FALSE))</f>
        <v>7.75</v>
      </c>
      <c r="I115" s="52">
        <f>IF(Settings!$E$15="POINTS",((R115*Q115)*Settings!$B$12)+(S115*Settings!$B$2)+(T115*Settings!$B$3)+(U115*Settings!$B$4)+(V115*Settings!$B$5)+(X115*Settings!$B$9)+(AA115*Settings!$B$6)+(W115*Settings!$B$8)+(AB115*Settings!$B$7)+(AC115*Settings!$B$14)+(AD115*Settings!$B$15)+(AE115*Settings!$B$16)+(AF115*Settings!$B$17)+(AG115*Settings!$B$18)+(Y115*Settings!$B$10)+(Z115*Settings!$B$11),VLOOKUP(B115,'Standard Deviations'!A$1:C$672,3,FALSE))</f>
        <v>352.95616804074433</v>
      </c>
      <c r="J115" s="53" cm="1">
        <f t="array" ref="J115">IF(D115="G",I115/AJ115,I115/Q115)</f>
        <v>4.7148833561413888</v>
      </c>
      <c r="K115" s="52" cm="1">
        <f t="array" ref="K115">IF(Settings!$E$18="C/LW/RW",VLOOKUP(B115,LW!A1:F210,6,FALSE),VLOOKUP(B115,F!A1:F407,6,FALSE))</f>
        <v>-46.356825272975755</v>
      </c>
      <c r="L115" s="54" cm="1">
        <f t="array" ref="L115">IFERROR(K115/H115,"N/A")</f>
        <v>-5.9815258416742907</v>
      </c>
      <c r="M115" s="55">
        <v>105.6</v>
      </c>
      <c r="N115" s="55" cm="1">
        <f t="array" ref="N115">IFERROR(M115-A115,"N/A")</f>
        <v>-8.4000000000000057</v>
      </c>
      <c r="O115" s="55"/>
      <c r="P115" s="56" t="str" cm="1">
        <f t="array" ref="P115">_xlfn.XLOOKUP($B115,ADP!A2:A671,ADP!G2:G671)</f>
        <v xml:space="preserve"> </v>
      </c>
      <c r="Q115" s="57" cm="1">
        <f t="array" ref="Q115">IF(Settings!$E$12="YES",VLOOKUP(B115,'Player Data'!A1:E673,5,FALSE),84)</f>
        <v>74.86</v>
      </c>
      <c r="R115" s="55" cm="1">
        <f t="array" ref="R115">VLOOKUP(B115,'Player Data'!$A1:$AE673,6,FALSE)</f>
        <v>18.711433082659401</v>
      </c>
      <c r="S115" s="57" cm="1">
        <f t="array" ref="S115">VLOOKUP(B115,'Player Data'!$A1:$AE673,7,FALSE)*$Q115*IFERROR((VLOOKUP(P115,Settings!$E$28:$F$33,2,FALSE)+1),1)</f>
        <v>29.491920448655641</v>
      </c>
      <c r="T115" s="57" cm="1">
        <f t="array" ref="T115">VLOOKUP(B115,'Player Data'!$A1:$AE673,8,FALSE)*$Q115*IFERROR((VLOOKUP(P115,Settings!$E$28:$F$33,2,FALSE)+1),1)</f>
        <v>40.141252049005658</v>
      </c>
      <c r="U115" s="57" cm="1">
        <f t="array" ref="U115">SUM(S115:T115)</f>
        <v>69.633172497661292</v>
      </c>
      <c r="V115" s="57" cm="1">
        <f t="array" ref="V115">VLOOKUP(B115,'Player Data'!$A1:$AE673,10,FALSE)*$Q115*IFERROR(((VLOOKUP(P115,Settings!$E$28:$F$33,2,FALSE)/2)+1),1)</f>
        <v>206.82607695477509</v>
      </c>
      <c r="W115" s="57" cm="1">
        <f t="array" ref="W115">VLOOKUP(B115,'Player Data'!$A1:$AE673,11,FALSE)*$Q115*IFERROR((VLOOKUP(P115,Settings!$E$28:$F$33,2,FALSE)+1),1)</f>
        <v>6.7370059536243074</v>
      </c>
      <c r="X115" s="79" cm="1">
        <f t="array" ref="X115">VLOOKUP(B115,'Player Data'!$A1:$AE673,12,FALSE)*$Q115*IFERROR((VLOOKUP(P115,Settings!$E$28:$F$33,2,FALSE)+1),1)</f>
        <v>15.508286548008678</v>
      </c>
      <c r="Y115" s="57" cm="1">
        <f t="array" ref="Y115">VLOOKUP(B115,'Player Data'!$A1:$AE673,13,FALSE)*$Q115</f>
        <v>0.11715151120882829</v>
      </c>
      <c r="Z115" s="57" cm="1">
        <f t="array" ref="Z115">VLOOKUP(B115,'Player Data'!$A1:$AE673,14,FALSE)*$Q115</f>
        <v>0.19166580661837826</v>
      </c>
      <c r="AA115" s="57" cm="1">
        <f t="array" ref="AA115">VLOOKUP(B115,'Player Data'!$A1:$AE673,15,FALSE)*$Q115</f>
        <v>49.887319431491498</v>
      </c>
      <c r="AB115" s="57" cm="1">
        <f t="array" ref="AB115">VLOOKUP(B115,'Player Data'!$A1:$AE673,16,FALSE)*$Q115</f>
        <v>152.43954503893616</v>
      </c>
      <c r="AC115" s="57" cm="1">
        <f t="array" ref="AC115">VLOOKUP(B115,'Player Data'!$A1:$AE673,17,FALSE)*$Q115*IFERROR((VLOOKUP(P115,Settings!$E$28:$F$33,2,FALSE)+1),1)</f>
        <v>2.0215185265051296</v>
      </c>
      <c r="AD115" s="57" cm="1">
        <f t="array" ref="AD115">VLOOKUP(B115,'Player Data'!$A1:$AE673,18,FALSE)*$Q115</f>
        <v>26.391778630372354</v>
      </c>
      <c r="AE115" s="57" cm="1">
        <f t="array" ref="AE115">VLOOKUP(B115,'Player Data'!$A1:$AE673,19,FALSE)*$Q115*IFERROR((VLOOKUP(P115,Settings!$E$28:$F$33,2,FALSE)+1),1)</f>
        <v>4.2524708085064118</v>
      </c>
      <c r="AF115" s="57" cm="1">
        <f t="array" ref="AF115">VLOOKUP(B115,'Player Data'!$A1:$AE673,20,FALSE)*$Q115</f>
        <v>41.367092052620961</v>
      </c>
      <c r="AG115" s="57" cm="1">
        <f t="array" ref="AG115">VLOOKUP(B115,'Player Data'!$A1:$AE673,21,FALSE)*$Q115</f>
        <v>43.413226382996697</v>
      </c>
      <c r="AH115" s="59" cm="1">
        <f t="array" ref="AH115">VLOOKUP(B115,'Player Data'!$A1:$AE673,22,FALSE)</f>
        <v>0.48793272797194298</v>
      </c>
      <c r="AI115" s="55"/>
      <c r="AJ115" s="57"/>
      <c r="AK115" s="57"/>
      <c r="AL115" s="57"/>
      <c r="AM115" s="57"/>
      <c r="AN115" s="57"/>
      <c r="AO115" s="57"/>
      <c r="AP115" s="57"/>
      <c r="AQ115" s="60"/>
      <c r="AR115" s="61"/>
      <c r="AS115" s="55"/>
    </row>
    <row r="116" spans="1:45" ht="21.25" customHeight="1" x14ac:dyDescent="0.15">
      <c r="A116" s="62">
        <f t="shared" si="1"/>
        <v>115</v>
      </c>
      <c r="B116" s="10" t="s">
        <v>244</v>
      </c>
      <c r="C116" s="47" t="s">
        <v>147</v>
      </c>
      <c r="D116" s="48" t="str" cm="1">
        <f t="array" ref="D116">VLOOKUP(B116,'Player Data'!A1:D673,4,FALSE)</f>
        <v>D</v>
      </c>
      <c r="E116" s="68" cm="1">
        <f t="array" ref="E116">VLOOKUP(B116,D!A1:C204,3,FALSE)</f>
        <v>39</v>
      </c>
      <c r="F116" s="63" t="str" cm="1">
        <f t="array" ref="F116">VLOOKUP(B116,'Player Data'!A1:B673,2,FALSE)</f>
        <v>SEA</v>
      </c>
      <c r="G116" s="66" cm="1">
        <f t="array" ref="G116">VLOOKUP(B116,'Player Data'!A1:D673,3,FALSE)</f>
        <v>32</v>
      </c>
      <c r="H116" s="51" cm="1">
        <f t="array" ref="H116">IFERROR(VLOOKUP(B116,ADP!A1:F671,6,FALSE)/1000000,VLOOKUP(B116,ADP!A1:F671,6,FALSE))</f>
        <v>7.1420000000000003</v>
      </c>
      <c r="I116" s="52">
        <f>IF(Settings!$E$15="POINTS",((R116*Q116)*Settings!$B$12)+(S116*Settings!$B$2)+(T116*Settings!$B$3)+(U116*Settings!$B$4)+(V116*Settings!$B$5)+(X116*Settings!$B$9)+(AA116*Settings!$B$6)+(W116*Settings!$B$8)+(AB116*Settings!$B$7)+(AC116*Settings!$B$14)+(AD116*Settings!$B$15)+(AE116*Settings!$B$16)+(AF116*Settings!$B$17)+(AG116*Settings!$B$18)+(U116*Settings!$B$13)+(Y116*Settings!$B$10)+(Z116*Settings!$B$11),VLOOKUP(B116,'Standard Deviations'!A$1:C$672,3,FALSE))</f>
        <v>258.39827017854134</v>
      </c>
      <c r="J116" s="53" cm="1">
        <f t="array" ref="J116">IF(D116="G",I116/AJ116,I116/Q116)</f>
        <v>3.2668323294483561</v>
      </c>
      <c r="K116" s="52" cm="1">
        <f t="array" ref="K116">VLOOKUP(B116,D!A1:F204,6,FALSE)</f>
        <v>-48.255597166052723</v>
      </c>
      <c r="L116" s="54" cm="1">
        <f t="array" ref="L116">IFERROR(K116/H116,"N/A")</f>
        <v>-6.75659439457473</v>
      </c>
      <c r="M116" s="55">
        <v>114.8</v>
      </c>
      <c r="N116" s="55" cm="1">
        <f t="array" ref="N116">IFERROR(M116-A116,"N/A")</f>
        <v>-0.20000000000000284</v>
      </c>
      <c r="O116" s="55"/>
      <c r="P116" s="56" t="str" cm="1">
        <f t="array" ref="P116">_xlfn.XLOOKUP($B116,ADP!A2:A671,ADP!G2:G671)</f>
        <v xml:space="preserve"> </v>
      </c>
      <c r="Q116" s="57" cm="1">
        <f t="array" ref="Q116">IF(Settings!$E$12="YES",VLOOKUP(B116,'Player Data'!A1:E673,5,FALSE),84)</f>
        <v>79.097499999999997</v>
      </c>
      <c r="R116" s="55" cm="1">
        <f t="array" ref="R116">VLOOKUP(B116,'Player Data'!$A1:$AE673,6,FALSE)</f>
        <v>22.522137787957298</v>
      </c>
      <c r="S116" s="57" cm="1">
        <f t="array" ref="S116">VLOOKUP(B116,'Player Data'!$A1:$AE673,7,FALSE)*$Q116*IFERROR((VLOOKUP(P116,Settings!$E$28:$F$33,2,FALSE)+1),1)</f>
        <v>10.702323543044789</v>
      </c>
      <c r="T116" s="57" cm="1">
        <f t="array" ref="T116">VLOOKUP(B116,'Player Data'!$A1:$AE673,8,FALSE)*$Q116*IFERROR((VLOOKUP(P116,Settings!$E$28:$F$33,2,FALSE)+1),1)</f>
        <v>22.886957844135633</v>
      </c>
      <c r="U116" s="57" cm="1">
        <f t="array" ref="U116">SUM(S116:T116)</f>
        <v>33.589281387180421</v>
      </c>
      <c r="V116" s="57" cm="1">
        <f t="array" ref="V116">VLOOKUP(B116,'Player Data'!$A1:$AE673,10,FALSE)*$Q116*IFERROR(((VLOOKUP(P116,Settings!$E$28:$F$33,2,FALSE)/2)+1),1)</f>
        <v>199.79750484051749</v>
      </c>
      <c r="W116" s="57" cm="1">
        <f t="array" ref="W116">VLOOKUP(B116,'Player Data'!$A1:$AE673,11,FALSE)*$Q116*IFERROR((VLOOKUP(P116,Settings!$E$28:$F$33,2,FALSE)+1),1)</f>
        <v>1.8194749360717029</v>
      </c>
      <c r="X116" s="57" cm="1">
        <f t="array" ref="X116">VLOOKUP(B116,'Player Data'!$A1:$AE673,12,FALSE)*$Q116*IFERROR((VLOOKUP(P116,Settings!$E$28:$F$33,2,FALSE)+1),1)</f>
        <v>8.0260286598805397</v>
      </c>
      <c r="Y116" s="57" cm="1">
        <f t="array" ref="Y116">VLOOKUP(B116,'Player Data'!$A1:$AE673,13,FALSE)*$Q116</f>
        <v>1.351853177201163E-2</v>
      </c>
      <c r="Z116" s="57" cm="1">
        <f t="array" ref="Z116">VLOOKUP(B116,'Player Data'!$A1:$AE673,14,FALSE)*$Q116</f>
        <v>4.9504450714433122E-2</v>
      </c>
      <c r="AA116" s="57" cm="1">
        <f t="array" ref="AA116">VLOOKUP(B116,'Player Data'!$A1:$AE673,15,FALSE)*$Q116</f>
        <v>99.312280972292655</v>
      </c>
      <c r="AB116" s="57" cm="1">
        <f t="array" ref="AB116">VLOOKUP(B116,'Player Data'!$A1:$AE673,16,FALSE)*$Q116</f>
        <v>84.526734977775035</v>
      </c>
      <c r="AC116" s="57" cm="1">
        <f t="array" ref="AC116">VLOOKUP(B116,'Player Data'!$A1:$AE673,17,FALSE)*$Q116*IFERROR((VLOOKUP(P116,Settings!$E$28:$F$33,2,FALSE)+1),1)</f>
        <v>-8.6881410874359588</v>
      </c>
      <c r="AD116" s="57" cm="1">
        <f t="array" ref="AD116">VLOOKUP(B116,'Player Data'!$A1:$AE673,18,FALSE)*$Q116</f>
        <v>52.998145391707034</v>
      </c>
      <c r="AE116" s="57" cm="1">
        <f t="array" ref="AE116">VLOOKUP(B116,'Player Data'!$A1:$AE673,19,FALSE)*$Q116*IFERROR((VLOOKUP(P116,Settings!$E$28:$F$33,2,FALSE)+1),1)</f>
        <v>1.4745146027635609</v>
      </c>
      <c r="AF116" s="57" cm="1">
        <f t="array" ref="AF116">VLOOKUP(B116,'Player Data'!$A1:$AE673,20,FALSE)*$Q116</f>
        <v>0</v>
      </c>
      <c r="AG116" s="57" cm="1">
        <f t="array" ref="AG116">VLOOKUP(B116,'Player Data'!$A1:$AE673,21,FALSE)*$Q116</f>
        <v>0</v>
      </c>
      <c r="AH116" s="59" cm="1">
        <f t="array" ref="AH116">VLOOKUP(B116,'Player Data'!$A1:$AE673,22,FALSE)</f>
        <v>0</v>
      </c>
      <c r="AI116" s="55"/>
      <c r="AJ116" s="57"/>
      <c r="AK116" s="57"/>
      <c r="AL116" s="57"/>
      <c r="AM116" s="57"/>
      <c r="AN116" s="57"/>
      <c r="AO116" s="57"/>
      <c r="AP116" s="57"/>
      <c r="AQ116" s="60"/>
      <c r="AR116" s="61"/>
      <c r="AS116" s="55"/>
    </row>
    <row r="117" spans="1:45" ht="21.25" customHeight="1" x14ac:dyDescent="0.15">
      <c r="A117" s="62">
        <f t="shared" si="1"/>
        <v>116</v>
      </c>
      <c r="B117" s="10" t="s">
        <v>245</v>
      </c>
      <c r="C117" s="76"/>
      <c r="D117" s="48" t="str" cm="1">
        <f t="array" ref="D117">VLOOKUP(B117,'Player Data'!A1:D673,4,FALSE)</f>
        <v>G</v>
      </c>
      <c r="E117" s="77" cm="1">
        <f t="array" ref="E117">VLOOKUP(B117,G!A1:D66,3,FALSE)</f>
        <v>17</v>
      </c>
      <c r="F117" s="69" t="str" cm="1">
        <f t="array" ref="F117">VLOOKUP(B117,'Player Data'!A1:B673,2,FALSE)</f>
        <v>TOR</v>
      </c>
      <c r="G117" s="66" cm="1">
        <f t="array" ref="G117">VLOOKUP(B117,'Player Data'!A1:D673,3,FALSE)</f>
        <v>37</v>
      </c>
      <c r="H117" s="51" cm="1">
        <f t="array" ref="H117">IFERROR(VLOOKUP(B117,ADP!A1:F671,6,FALSE)/1000000,VLOOKUP(B117,ADP!A1:F671,6,FALSE))</f>
        <v>7</v>
      </c>
      <c r="I117" s="52">
        <f>IF(Settings!$E$15="POINTS",(AJ117*Settings!$B$29)+(AK117*Settings!$B$21)+(AL117*Settings!$B$22)+(AN117*Settings!$B$24)+(AO117*Settings!$B$25)+(AP117*Settings!$B$27)+(AM117*Settings!$B$23),VLOOKUP(B117,'Standard Deviations'!A$1:C$672,3,FALSE))</f>
        <v>310.6194397055109</v>
      </c>
      <c r="J117" s="53" cm="1">
        <f t="array" ref="J117">IF(D117="G",I117/AJ117,I117/Q117)</f>
        <v>5.9734507635675174</v>
      </c>
      <c r="K117" s="52" cm="1">
        <f t="array" ref="K117">VLOOKUP(B117,G!A1:F66,6,FALSE)</f>
        <v>-48.538468224727126</v>
      </c>
      <c r="L117" s="54" cm="1">
        <f t="array" ref="L117">IFERROR(K117/H117,"N/A")</f>
        <v>-6.9340668892467319</v>
      </c>
      <c r="M117" s="55">
        <v>90.6</v>
      </c>
      <c r="N117" s="55" cm="1">
        <f t="array" ref="N117">IFERROR(M117-A117,"N/A")</f>
        <v>-25.400000000000006</v>
      </c>
      <c r="O117" s="55"/>
      <c r="P117" s="56" t="str" cm="1">
        <f t="array" ref="P117">_xlfn.XLOOKUP($B117,ADP!A2:A671,ADP!G2:G671)</f>
        <v>+</v>
      </c>
      <c r="Q117" s="57"/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9"/>
      <c r="AI117" s="55"/>
      <c r="AJ117" s="78" cm="1">
        <f t="array" ref="AJ117">VLOOKUP(B117,'Player Data'!$A1:$AE673,24,FALSE)</f>
        <v>52</v>
      </c>
      <c r="AK117" s="57" cm="1">
        <f t="array" ref="AK117">VLOOKUP(B117,'Player Data'!$A1:$AE673,25,FALSE)*$AJ117*IFERROR((VLOOKUP(P117,Settings!$E$28:$F$33,2,FALSE)+1),1)</f>
        <v>28.219856875754058</v>
      </c>
      <c r="AL117" s="57" cm="1">
        <f t="array" ref="AL117">AJ117-AK117-AM117</f>
        <v>17.499156666092158</v>
      </c>
      <c r="AM117" s="57" cm="1">
        <f t="array" ref="AM117">VLOOKUP(B117,'Player Data'!$A1:$AE673,27,FALSE)*$AJ117</f>
        <v>6.2809864581537838</v>
      </c>
      <c r="AN117" s="57" cm="1">
        <f t="array" ref="AN117">VLOOKUP(B117,'Player Data'!$A1:$AE673,28,FALSE)*AJ117</f>
        <v>2.4063488031582949</v>
      </c>
      <c r="AO117" s="57" cm="1">
        <f t="array" ref="AO117">VLOOKUP(B117,'Player Data'!$A1:$AE673,29,FALSE)*$AJ117*IFERROR((VLOOKUP(P117,Settings!$E$28:$F$33,2,FALSE)/4)+1,1)</f>
        <v>1352.5502780015827</v>
      </c>
      <c r="AP117" s="57" cm="1">
        <f t="array" ref="AP117">VLOOKUP(B117,'Player Data'!$A1:$AE673,31,FALSE)*$AJ117*(IFERROR(1-(VLOOKUP(P117,Settings!$E$28:$F$33,2,FALSE)/4),1))</f>
        <v>150.9072062419003</v>
      </c>
      <c r="AQ117" s="60" cm="1">
        <f t="array" ref="AQ117">1-(AP117/(AO117+AP117))</f>
        <v>0.89962655557377835</v>
      </c>
      <c r="AR117" s="61" cm="1">
        <f t="array" ref="AR117">AP117/AJ117</f>
        <v>2.9020616584980825</v>
      </c>
      <c r="AS117" s="55"/>
    </row>
    <row r="118" spans="1:45" ht="21.25" customHeight="1" x14ac:dyDescent="0.15">
      <c r="A118" s="62">
        <f t="shared" si="1"/>
        <v>117</v>
      </c>
      <c r="B118" s="10" t="s">
        <v>246</v>
      </c>
      <c r="C118" s="47" t="s">
        <v>128</v>
      </c>
      <c r="D118" s="48" t="str" cm="1">
        <f t="array" ref="D118">VLOOKUP(B118,'Player Data'!A1:D673,4,FALSE)</f>
        <v>C,RW</v>
      </c>
      <c r="E118" s="74" cm="1">
        <f t="array" ref="E118">VLOOKUP(B118,RW!A1:F210,3,FALSE)</f>
        <v>31</v>
      </c>
      <c r="F118" s="56" t="str" cm="1">
        <f t="array" ref="F118">VLOOKUP(B118,'Player Data'!A1:B673,2,FALSE)</f>
        <v>UTA</v>
      </c>
      <c r="G118" s="11" cm="1">
        <f t="array" ref="G118">VLOOKUP(B118,'Player Data'!A1:D673,3,FALSE)</f>
        <v>30</v>
      </c>
      <c r="H118" s="51" cm="1">
        <f t="array" ref="H118">IFERROR(VLOOKUP(B118,ADP!A1:F671,6,FALSE)/1000000,VLOOKUP(B118,ADP!A1:F671,6,FALSE))</f>
        <v>8</v>
      </c>
      <c r="I118" s="52">
        <f>IF(Settings!$E$15="POINTS",((R118*Q118)*Settings!$B$12)+(S118*Settings!$B$2)+(T118*Settings!$B$3)+(U118*Settings!$B$4)+(V118*Settings!$B$5)+(X118*Settings!$B$9)+(AA118*Settings!$B$6)+(W118*Settings!$B$8)+(AB118*Settings!$B$7)+(AC118*Settings!$B$14)+(AD118*Settings!$B$15)+(AE118*Settings!$B$16)+(AF118*Settings!$B$17)+(AG118*Settings!$B$18)+(Y118*Settings!$B$10)+(Z118*Settings!$B$11),VLOOKUP(B118,'Standard Deviations'!A$1:C$672,3,FALSE))</f>
        <v>346.28670948103127</v>
      </c>
      <c r="J118" s="53" cm="1">
        <f t="array" ref="J118">IF(D118="G",I118/AJ118,I118/Q118)</f>
        <v>4.1357543231939715</v>
      </c>
      <c r="K118" s="52" cm="1">
        <f t="array" ref="K118">IF(Settings!$E$18="C/LW/RW",VLOOKUP(B118,RW!A1:F210,6,FALSE),VLOOKUP(B118,F!A1:F407,6,FALSE))</f>
        <v>-48.656755212526207</v>
      </c>
      <c r="L118" s="54" cm="1">
        <f t="array" ref="L118">IFERROR(K118/H118,"N/A")</f>
        <v>-6.0820944015657759</v>
      </c>
      <c r="M118" s="55">
        <v>102</v>
      </c>
      <c r="N118" s="55" cm="1">
        <f t="array" ref="N118">IFERROR(M118-A118,"N/A")</f>
        <v>-15</v>
      </c>
      <c r="O118" s="55"/>
      <c r="P118" s="56" t="str" cm="1">
        <f t="array" ref="P118">_xlfn.XLOOKUP($B118,ADP!A2:A671,ADP!G2:G671)</f>
        <v>+</v>
      </c>
      <c r="Q118" s="57" cm="1">
        <f t="array" ref="Q118">IF(Settings!$E$12="YES",VLOOKUP(B118,'Player Data'!A1:E673,5,FALSE),84)</f>
        <v>83.73</v>
      </c>
      <c r="R118" s="55" cm="1">
        <f t="array" ref="R118">VLOOKUP(B118,'Player Data'!$A1:$AE673,6,FALSE)</f>
        <v>18.942084181348399</v>
      </c>
      <c r="S118" s="57" cm="1">
        <f t="array" ref="S118">VLOOKUP(B118,'Player Data'!$A1:$AE673,7,FALSE)*$Q118*IFERROR((VLOOKUP(P118,Settings!$E$28:$F$33,2,FALSE)+1),1)</f>
        <v>26.62446131425753</v>
      </c>
      <c r="T118" s="57" cm="1">
        <f t="array" ref="T118">VLOOKUP(B118,'Player Data'!$A1:$AE673,8,FALSE)*$Q118*IFERROR((VLOOKUP(P118,Settings!$E$28:$F$33,2,FALSE)+1),1)</f>
        <v>40.727279335907134</v>
      </c>
      <c r="U118" s="57" cm="1">
        <f t="array" ref="U118">SUM(S118:T118)</f>
        <v>67.351740650164658</v>
      </c>
      <c r="V118" s="57" cm="1">
        <f t="array" ref="V118">VLOOKUP(B118,'Player Data'!$A1:$AE673,10,FALSE)*$Q118*IFERROR(((VLOOKUP(P118,Settings!$E$28:$F$33,2,FALSE)/2)+1),1)</f>
        <v>194.0685505002661</v>
      </c>
      <c r="W118" s="58" cm="1">
        <f t="array" ref="W118">VLOOKUP(B118,'Player Data'!$A1:$AE673,11,FALSE)*$Q118*IFERROR((VLOOKUP(P118,Settings!$E$28:$F$33,2,FALSE)+1),1)</f>
        <v>9.2834223927806203</v>
      </c>
      <c r="X118" s="57" cm="1">
        <f t="array" ref="X118">VLOOKUP(B118,'Player Data'!$A1:$AE673,12,FALSE)*$Q118*IFERROR((VLOOKUP(P118,Settings!$E$28:$F$33,2,FALSE)+1),1)</f>
        <v>20.471217445108419</v>
      </c>
      <c r="Y118" s="57" cm="1">
        <f t="array" ref="Y118">VLOOKUP(B118,'Player Data'!$A1:$AE673,13,FALSE)*$Q118</f>
        <v>1.6243111844461091</v>
      </c>
      <c r="Z118" s="57" cm="1">
        <f t="array" ref="Z118">VLOOKUP(B118,'Player Data'!$A1:$AE673,14,FALSE)*$Q118</f>
        <v>1.7416898106434384</v>
      </c>
      <c r="AA118" s="57" cm="1">
        <f t="array" ref="AA118">VLOOKUP(B118,'Player Data'!$A1:$AE673,15,FALSE)*$Q118</f>
        <v>49.968610049304658</v>
      </c>
      <c r="AB118" s="57" cm="1">
        <f t="array" ref="AB118">VLOOKUP(B118,'Player Data'!$A1:$AE673,16,FALSE)*$Q118</f>
        <v>26.26199824195832</v>
      </c>
      <c r="AC118" s="57" cm="1">
        <f t="array" ref="AC118">VLOOKUP(B118,'Player Data'!$A1:$AE673,17,FALSE)*$Q118*IFERROR((VLOOKUP(P118,Settings!$E$28:$F$33,2,FALSE)+1),1)</f>
        <v>2.6100257010805685</v>
      </c>
      <c r="AD118" s="57" cm="1">
        <f t="array" ref="AD118">VLOOKUP(B118,'Player Data'!$A1:$AE673,18,FALSE)*$Q118</f>
        <v>23.027271911102691</v>
      </c>
      <c r="AE118" s="57" cm="1">
        <f t="array" ref="AE118">VLOOKUP(B118,'Player Data'!$A1:$AE673,19,FALSE)*$Q118*IFERROR((VLOOKUP(P118,Settings!$E$28:$F$33,2,FALSE)+1),1)</f>
        <v>4.3037005780625721</v>
      </c>
      <c r="AF118" s="57" cm="1">
        <f t="array" ref="AF118">VLOOKUP(B118,'Player Data'!$A1:$AE673,20,FALSE)*$Q118</f>
        <v>367.75332051069603</v>
      </c>
      <c r="AG118" s="57" cm="1">
        <f t="array" ref="AG118">VLOOKUP(B118,'Player Data'!$A1:$AE673,21,FALSE)*$Q118</f>
        <v>434.74127760960658</v>
      </c>
      <c r="AH118" s="59" cm="1">
        <f t="array" ref="AH118">VLOOKUP(B118,'Player Data'!$A1:$AE673,22,FALSE)</f>
        <v>0.45826267413150301</v>
      </c>
      <c r="AI118" s="55"/>
      <c r="AJ118" s="57"/>
      <c r="AK118" s="57"/>
      <c r="AL118" s="57"/>
      <c r="AM118" s="57"/>
      <c r="AN118" s="57"/>
      <c r="AO118" s="57"/>
      <c r="AP118" s="57"/>
      <c r="AQ118" s="60"/>
      <c r="AR118" s="61"/>
      <c r="AS118" s="55"/>
    </row>
    <row r="119" spans="1:45" ht="21.25" customHeight="1" x14ac:dyDescent="0.15">
      <c r="A119" s="62">
        <f t="shared" si="1"/>
        <v>118</v>
      </c>
      <c r="B119" s="10" t="s">
        <v>247</v>
      </c>
      <c r="C119" s="47" t="s">
        <v>147</v>
      </c>
      <c r="D119" s="48" t="str" cm="1">
        <f t="array" ref="D119">VLOOKUP(B119,'Player Data'!A1:D673,4,FALSE)</f>
        <v>D</v>
      </c>
      <c r="E119" s="68" cm="1">
        <f t="array" ref="E119">VLOOKUP(B119,D!A1:C204,3,FALSE)</f>
        <v>40</v>
      </c>
      <c r="F119" s="63" t="str" cm="1">
        <f t="array" ref="F119">VLOOKUP(B119,'Player Data'!A1:B673,2,FALSE)</f>
        <v>VGK</v>
      </c>
      <c r="G119" s="11" cm="1">
        <f t="array" ref="G119">VLOOKUP(B119,'Player Data'!A1:D673,3,FALSE)</f>
        <v>29</v>
      </c>
      <c r="H119" s="51" cm="1">
        <f t="array" ref="H119">IFERROR(VLOOKUP(B119,ADP!A1:F671,6,FALSE)/1000000,VLOOKUP(B119,ADP!A1:F671,6,FALSE))</f>
        <v>8.5</v>
      </c>
      <c r="I119" s="52">
        <f>IF(Settings!$E$15="POINTS",((R119*Q119)*Settings!$B$12)+(S119*Settings!$B$2)+(T119*Settings!$B$3)+(U119*Settings!$B$4)+(V119*Settings!$B$5)+(X119*Settings!$B$9)+(AA119*Settings!$B$6)+(W119*Settings!$B$8)+(AB119*Settings!$B$7)+(AC119*Settings!$B$14)+(AD119*Settings!$B$15)+(AE119*Settings!$B$16)+(AF119*Settings!$B$17)+(AG119*Settings!$B$18)+(U119*Settings!$B$13)+(Y119*Settings!$B$10)+(Z119*Settings!$B$11),VLOOKUP(B119,'Standard Deviations'!A$1:C$672,3,FALSE))</f>
        <v>257.26235089014585</v>
      </c>
      <c r="J119" s="53" cm="1">
        <f t="array" ref="J119">IF(D119="G",I119/AJ119,I119/Q119)</f>
        <v>3.0878275327389528</v>
      </c>
      <c r="K119" s="52" cm="1">
        <f t="array" ref="K119">VLOOKUP(B119,D!A1:F204,6,FALSE)</f>
        <v>-49.391516454448208</v>
      </c>
      <c r="L119" s="54" cm="1">
        <f t="array" ref="L119">IFERROR(K119/H119,"N/A")</f>
        <v>-5.8107666416997894</v>
      </c>
      <c r="M119" s="55">
        <v>111.8</v>
      </c>
      <c r="N119" s="55" cm="1">
        <f t="array" ref="N119">IFERROR(M119-A119,"N/A")</f>
        <v>-6.2000000000000028</v>
      </c>
      <c r="O119" s="55"/>
      <c r="P119" s="56" t="str" cm="1">
        <f t="array" ref="P119">_xlfn.XLOOKUP($B119,ADP!A2:A671,ADP!G2:G671)</f>
        <v xml:space="preserve"> </v>
      </c>
      <c r="Q119" s="57" cm="1">
        <f t="array" ref="Q119">IF(Settings!$E$12="YES",VLOOKUP(B119,'Player Data'!A1:E673,5,FALSE),84)</f>
        <v>83.314999999999998</v>
      </c>
      <c r="R119" s="84" cm="1">
        <f t="array" ref="R119">VLOOKUP(B119,'Player Data'!$A1:$AE673,6,FALSE)</f>
        <v>21.131642476798</v>
      </c>
      <c r="S119" s="57" cm="1">
        <f t="array" ref="S119">VLOOKUP(B119,'Player Data'!$A1:$AE673,7,FALSE)*$Q119*IFERROR((VLOOKUP(P119,Settings!$E$28:$F$33,2,FALSE)+1),1)</f>
        <v>10.426535298055406</v>
      </c>
      <c r="T119" s="57" cm="1">
        <f t="array" ref="T119">VLOOKUP(B119,'Player Data'!$A1:$AE673,8,FALSE)*$Q119*IFERROR((VLOOKUP(P119,Settings!$E$28:$F$33,2,FALSE)+1),1)</f>
        <v>23.185807988956803</v>
      </c>
      <c r="U119" s="57" cm="1">
        <f t="array" ref="U119">SUM(S119:T119)</f>
        <v>33.612343287012209</v>
      </c>
      <c r="V119" s="57" cm="1">
        <f t="array" ref="V119">VLOOKUP(B119,'Player Data'!$A1:$AE673,10,FALSE)*$Q119*IFERROR(((VLOOKUP(P119,Settings!$E$28:$F$33,2,FALSE)/2)+1),1)</f>
        <v>151.19249877469986</v>
      </c>
      <c r="W119" s="57" cm="1">
        <f t="array" ref="W119">VLOOKUP(B119,'Player Data'!$A1:$AE673,11,FALSE)*$Q119*IFERROR((VLOOKUP(P119,Settings!$E$28:$F$33,2,FALSE)+1),1)</f>
        <v>1.9072456836975491</v>
      </c>
      <c r="X119" s="57" cm="1">
        <f t="array" ref="X119">VLOOKUP(B119,'Player Data'!$A1:$AE673,12,FALSE)*$Q119*IFERROR((VLOOKUP(P119,Settings!$E$28:$F$33,2,FALSE)+1),1)</f>
        <v>5.4506151598953823</v>
      </c>
      <c r="Y119" s="57" cm="1">
        <f t="array" ref="Y119">VLOOKUP(B119,'Player Data'!$A1:$AE673,13,FALSE)*$Q119</f>
        <v>0.46952410409275569</v>
      </c>
      <c r="Z119" s="57" cm="1">
        <f t="array" ref="Z119">VLOOKUP(B119,'Player Data'!$A1:$AE673,14,FALSE)*$Q119</f>
        <v>0.55128678778565099</v>
      </c>
      <c r="AA119" s="57" cm="1">
        <f t="array" ref="AA119">VLOOKUP(B119,'Player Data'!$A1:$AE673,15,FALSE)*$Q119</f>
        <v>149.65433938815653</v>
      </c>
      <c r="AB119" s="57" cm="1">
        <f t="array" ref="AB119">VLOOKUP(B119,'Player Data'!$A1:$AE673,16,FALSE)*$Q119</f>
        <v>45.19432201988802</v>
      </c>
      <c r="AC119" s="57" cm="1">
        <f t="array" ref="AC119">VLOOKUP(B119,'Player Data'!$A1:$AE673,17,FALSE)*$Q119*IFERROR((VLOOKUP(P119,Settings!$E$28:$F$33,2,FALSE)+1),1)</f>
        <v>2.9664394754094543</v>
      </c>
      <c r="AD119" s="57" cm="1">
        <f t="array" ref="AD119">VLOOKUP(B119,'Player Data'!$A1:$AE673,18,FALSE)*$Q119</f>
        <v>46.918293440660705</v>
      </c>
      <c r="AE119" s="57" cm="1">
        <f t="array" ref="AE119">VLOOKUP(B119,'Player Data'!$A1:$AE673,19,FALSE)*$Q119*IFERROR((VLOOKUP(P119,Settings!$E$28:$F$33,2,FALSE)+1),1)</f>
        <v>1.9891476325846258</v>
      </c>
      <c r="AF119" s="57" cm="1">
        <f t="array" ref="AF119">VLOOKUP(B119,'Player Data'!$A1:$AE673,20,FALSE)*$Q119</f>
        <v>0</v>
      </c>
      <c r="AG119" s="57" cm="1">
        <f t="array" ref="AG119">VLOOKUP(B119,'Player Data'!$A1:$AE673,21,FALSE)*$Q119</f>
        <v>0</v>
      </c>
      <c r="AH119" s="59" cm="1">
        <f t="array" ref="AH119">VLOOKUP(B119,'Player Data'!$A1:$AE673,22,FALSE)</f>
        <v>0</v>
      </c>
      <c r="AI119" s="55"/>
      <c r="AJ119" s="57"/>
      <c r="AK119" s="57"/>
      <c r="AL119" s="57"/>
      <c r="AM119" s="57"/>
      <c r="AN119" s="57"/>
      <c r="AO119" s="57"/>
      <c r="AP119" s="57"/>
      <c r="AQ119" s="60"/>
      <c r="AR119" s="61"/>
      <c r="AS119" s="55"/>
    </row>
    <row r="120" spans="1:45" ht="21.25" customHeight="1" x14ac:dyDescent="0.15">
      <c r="A120" s="62">
        <f t="shared" si="1"/>
        <v>119</v>
      </c>
      <c r="B120" s="10" t="s">
        <v>248</v>
      </c>
      <c r="C120" s="47" t="s">
        <v>128</v>
      </c>
      <c r="D120" s="48" t="str" cm="1">
        <f t="array" ref="D120">VLOOKUP(B120,'Player Data'!A1:D673,4,FALSE)</f>
        <v>C</v>
      </c>
      <c r="E120" s="49" cm="1">
        <f t="array" ref="E120">VLOOKUP(B120,'C'!A1:C210,3,FALSE)</f>
        <v>39</v>
      </c>
      <c r="F120" s="70" t="str" cm="1">
        <f t="array" ref="F120">VLOOKUP(B120,'Player Data'!A1:B673,2,FALSE)</f>
        <v>MIN</v>
      </c>
      <c r="G120" s="11" cm="1">
        <f t="array" ref="G120">VLOOKUP(B120,'Player Data'!A1:D673,3,FALSE)</f>
        <v>29</v>
      </c>
      <c r="H120" s="51" cm="1">
        <f t="array" ref="H120">IFERROR(VLOOKUP(B120,ADP!A1:F671,6,FALSE)/1000000,VLOOKUP(B120,ADP!A1:F671,6,FALSE))</f>
        <v>5.25</v>
      </c>
      <c r="I120" s="52">
        <f>IF(Settings!$E$15="POINTS",((R120*Q120)*Settings!$B$12)+(S120*Settings!$B$2)+(T120*Settings!$B$3)+(U120*Settings!$B$4)+(V120*Settings!$B$5)+(X120*Settings!$B$9)+(AA120*Settings!$B$6)+(W120*Settings!$B$8)+(AB120*Settings!$B$7)+(AC120*Settings!$B$14)+(AD120*Settings!$B$15)+(AE120*Settings!$B$16)+(AF120*Settings!$B$17)+(AG120*Settings!$B$18)+(Y120*Settings!$B$10)+(Z120*Settings!$B$11),VLOOKUP(B120,'Standard Deviations'!A$1:C$672,3,FALSE))</f>
        <v>336.18301821973074</v>
      </c>
      <c r="J120" s="53" cm="1">
        <f t="array" ref="J120">IF(D120="G",I120/AJ120,I120/Q120)</f>
        <v>4.3974233907093616</v>
      </c>
      <c r="K120" s="52" cm="1">
        <f t="array" ref="K120">IF(Settings!$E$18="C/LW/RW",VLOOKUP(B120,'C'!A1:F210,6,FALSE),VLOOKUP(B120,F!A1:F407,6,FALSE))</f>
        <v>-50.35218817335226</v>
      </c>
      <c r="L120" s="54" cm="1">
        <f t="array" ref="L120">IFERROR(K120/H120,"N/A")</f>
        <v>-9.5908929854004299</v>
      </c>
      <c r="M120" s="55">
        <v>141.80000000000001</v>
      </c>
      <c r="N120" s="55" cm="1">
        <f t="array" ref="N120">IFERROR(M120-A120,"N/A")</f>
        <v>22.800000000000011</v>
      </c>
      <c r="O120" s="55"/>
      <c r="P120" s="56" t="str" cm="1">
        <f t="array" ref="P120">_xlfn.XLOOKUP($B120,ADP!A2:A671,ADP!G2:G671)</f>
        <v>+</v>
      </c>
      <c r="Q120" s="57" cm="1">
        <f t="array" ref="Q120">IF(Settings!$E$12="YES",VLOOKUP(B120,'Player Data'!A1:E673,5,FALSE),84)</f>
        <v>76.45</v>
      </c>
      <c r="R120" s="82" cm="1">
        <f t="array" ref="R120">VLOOKUP(B120,'Player Data'!$A1:$AE673,6,FALSE)</f>
        <v>20.127028835083198</v>
      </c>
      <c r="S120" s="57" cm="1">
        <f t="array" ref="S120">VLOOKUP(B120,'Player Data'!$A1:$AE673,7,FALSE)*$Q120*IFERROR((VLOOKUP(P120,Settings!$E$28:$F$33,2,FALSE)+1),1)</f>
        <v>24.480991227977125</v>
      </c>
      <c r="T120" s="57" cm="1">
        <f t="array" ref="T120">VLOOKUP(B120,'Player Data'!$A1:$AE673,8,FALSE)*$Q120*IFERROR((VLOOKUP(P120,Settings!$E$28:$F$33,2,FALSE)+1),1)</f>
        <v>34.714481881671091</v>
      </c>
      <c r="U120" s="57" cm="1">
        <f t="array" ref="U120">SUM(S120:T120)</f>
        <v>59.195473109648219</v>
      </c>
      <c r="V120" s="57" cm="1">
        <f t="array" ref="V120">VLOOKUP(B120,'Player Data'!$A1:$AE673,10,FALSE)*$Q120*IFERROR(((VLOOKUP(P120,Settings!$E$28:$F$33,2,FALSE)/2)+1),1)</f>
        <v>232.75076472818071</v>
      </c>
      <c r="W120" s="58" cm="1">
        <f t="array" ref="W120">VLOOKUP(B120,'Player Data'!$A1:$AE673,11,FALSE)*$Q120*IFERROR((VLOOKUP(P120,Settings!$E$28:$F$33,2,FALSE)+1),1)</f>
        <v>8.8883576197217167</v>
      </c>
      <c r="X120" s="57" cm="1">
        <f t="array" ref="X120">VLOOKUP(B120,'Player Data'!$A1:$AE673,12,FALSE)*$Q120*IFERROR((VLOOKUP(P120,Settings!$E$28:$F$33,2,FALSE)+1),1)</f>
        <v>19.161335263301879</v>
      </c>
      <c r="Y120" s="57" cm="1">
        <f t="array" ref="Y120">VLOOKUP(B120,'Player Data'!$A1:$AE673,13,FALSE)*$Q120</f>
        <v>0.28049949004514113</v>
      </c>
      <c r="Z120" s="57" cm="1">
        <f t="array" ref="Z120">VLOOKUP(B120,'Player Data'!$A1:$AE673,14,FALSE)*$Q120</f>
        <v>0.36912238016487586</v>
      </c>
      <c r="AA120" s="57" cm="1">
        <f t="array" ref="AA120">VLOOKUP(B120,'Player Data'!$A1:$AE673,15,FALSE)*$Q120</f>
        <v>45.381517766457968</v>
      </c>
      <c r="AB120" s="57" cm="1">
        <f t="array" ref="AB120">VLOOKUP(B120,'Player Data'!$A1:$AE673,16,FALSE)*$Q120</f>
        <v>121.72707209843747</v>
      </c>
      <c r="AC120" s="57" cm="1">
        <f t="array" ref="AC120">VLOOKUP(B120,'Player Data'!$A1:$AE673,17,FALSE)*$Q120*IFERROR((VLOOKUP(P120,Settings!$E$28:$F$33,2,FALSE)+1),1)</f>
        <v>4.8133558885794674</v>
      </c>
      <c r="AD120" s="57" cm="1">
        <f t="array" ref="AD120">VLOOKUP(B120,'Player Data'!$A1:$AE673,18,FALSE)*$Q120</f>
        <v>40.202451428045485</v>
      </c>
      <c r="AE120" s="57" cm="1">
        <f t="array" ref="AE120">VLOOKUP(B120,'Player Data'!$A1:$AE673,19,FALSE)*$Q120*IFERROR((VLOOKUP(P120,Settings!$E$28:$F$33,2,FALSE)+1),1)</f>
        <v>3.987573891146345</v>
      </c>
      <c r="AF120" s="57" cm="1">
        <f t="array" ref="AF120">VLOOKUP(B120,'Player Data'!$A1:$AE673,20,FALSE)*$Q120</f>
        <v>770.19109805639278</v>
      </c>
      <c r="AG120" s="57" cm="1">
        <f t="array" ref="AG120">VLOOKUP(B120,'Player Data'!$A1:$AE673,21,FALSE)*$Q120</f>
        <v>810.09755933480369</v>
      </c>
      <c r="AH120" s="59" cm="1">
        <f t="array" ref="AH120">VLOOKUP(B120,'Player Data'!$A1:$AE673,22,FALSE)</f>
        <v>0.487373679773073</v>
      </c>
      <c r="AI120" s="55"/>
      <c r="AJ120" s="57"/>
      <c r="AK120" s="57"/>
      <c r="AL120" s="57"/>
      <c r="AM120" s="57"/>
      <c r="AN120" s="57"/>
      <c r="AO120" s="57"/>
      <c r="AP120" s="57"/>
      <c r="AQ120" s="60"/>
      <c r="AR120" s="61"/>
      <c r="AS120" s="55"/>
    </row>
    <row r="121" spans="1:45" ht="21.25" customHeight="1" x14ac:dyDescent="0.15">
      <c r="A121" s="62">
        <f t="shared" si="1"/>
        <v>120</v>
      </c>
      <c r="B121" s="10" t="s">
        <v>249</v>
      </c>
      <c r="C121" s="47" t="s">
        <v>128</v>
      </c>
      <c r="D121" s="48" t="str" cm="1">
        <f t="array" ref="D121">VLOOKUP(B121,'Player Data'!A1:D673,4,FALSE)</f>
        <v>LW,RW</v>
      </c>
      <c r="E121" s="74" cm="1">
        <f t="array" ref="E121">VLOOKUP(B121,RW!A1:F210,3,FALSE)</f>
        <v>32</v>
      </c>
      <c r="F121" s="56" t="str" cm="1">
        <f t="array" ref="F121">VLOOKUP(B121,'Player Data'!A1:B673,2,FALSE)</f>
        <v>NYR</v>
      </c>
      <c r="G121" s="71" cm="1">
        <f t="array" ref="G121">VLOOKUP(B121,'Player Data'!A1:D673,3,FALSE)</f>
        <v>24</v>
      </c>
      <c r="H121" s="51" cm="1">
        <f t="array" ref="H121">IFERROR(VLOOKUP(B121,ADP!A1:F671,6,FALSE)/1000000,VLOOKUP(B121,ADP!A1:F671,6,FALSE))</f>
        <v>7.45</v>
      </c>
      <c r="I121" s="52">
        <f>IF(Settings!$E$15="POINTS",((R121*Q121)*Settings!$B$12)+(S121*Settings!$B$2)+(T121*Settings!$B$3)+(U121*Settings!$B$4)+(V121*Settings!$B$5)+(X121*Settings!$B$9)+(AA121*Settings!$B$6)+(W121*Settings!$B$8)+(AB121*Settings!$B$7)+(AC121*Settings!$B$14)+(AD121*Settings!$B$15)+(AE121*Settings!$B$16)+(AF121*Settings!$B$17)+(AG121*Settings!$B$18)+(Y121*Settings!$B$10)+(Z121*Settings!$B$11),VLOOKUP(B121,'Standard Deviations'!A$1:C$672,3,FALSE))</f>
        <v>343.14960212091603</v>
      </c>
      <c r="J121" s="53" cm="1">
        <f t="array" ref="J121">IF(D121="G",I121/AJ121,I121/Q121)</f>
        <v>4.0836558624409856</v>
      </c>
      <c r="K121" s="52" cm="1">
        <f t="array" ref="K121">IF(Settings!$E$18="C/LW/RW",VLOOKUP(B121,RW!A1:F210,6,FALSE),VLOOKUP(B121,F!A1:F407,6,FALSE))</f>
        <v>-51.793862572641444</v>
      </c>
      <c r="L121" s="54" cm="1">
        <f t="array" ref="L121">IFERROR(K121/H121,"N/A")</f>
        <v>-6.9521963184753615</v>
      </c>
      <c r="M121" s="55">
        <v>141.69999999999999</v>
      </c>
      <c r="N121" s="55" cm="1">
        <f t="array" ref="N121">IFERROR(M121-A121,"N/A")</f>
        <v>21.699999999999989</v>
      </c>
      <c r="O121" s="55"/>
      <c r="P121" s="56" t="str" cm="1">
        <f t="array" ref="P121">_xlfn.XLOOKUP($B121,ADP!A2:A671,ADP!G2:G671)</f>
        <v>+</v>
      </c>
      <c r="Q121" s="57" cm="1">
        <f t="array" ref="Q121">IF(Settings!$E$12="YES",VLOOKUP(B121,'Player Data'!A1:E673,5,FALSE),84)</f>
        <v>84.03</v>
      </c>
      <c r="R121" s="82" cm="1">
        <f t="array" ref="R121">VLOOKUP(B121,'Player Data'!$A1:$AE673,6,FALSE)</f>
        <v>18.607553739215</v>
      </c>
      <c r="S121" s="57" cm="1">
        <f t="array" ref="S121">VLOOKUP(B121,'Player Data'!$A1:$AE673,7,FALSE)*$Q121*IFERROR((VLOOKUP(P121,Settings!$E$28:$F$33,2,FALSE)+1),1)</f>
        <v>29.218322637768484</v>
      </c>
      <c r="T121" s="57" cm="1">
        <f t="array" ref="T121">VLOOKUP(B121,'Player Data'!$A1:$AE673,8,FALSE)*$Q121*IFERROR((VLOOKUP(P121,Settings!$E$28:$F$33,2,FALSE)+1),1)</f>
        <v>38.718876070897821</v>
      </c>
      <c r="U121" s="57" cm="1">
        <f t="array" ref="U121">SUM(S121:T121)</f>
        <v>67.937198708666301</v>
      </c>
      <c r="V121" s="57" cm="1">
        <f t="array" ref="V121">VLOOKUP(B121,'Player Data'!$A1:$AE673,10,FALSE)*$Q121*IFERROR(((VLOOKUP(P121,Settings!$E$28:$F$33,2,FALSE)/2)+1),1)</f>
        <v>199.34383372244645</v>
      </c>
      <c r="W121" s="58" cm="1">
        <f t="array" ref="W121">VLOOKUP(B121,'Player Data'!$A1:$AE673,11,FALSE)*$Q121*IFERROR((VLOOKUP(P121,Settings!$E$28:$F$33,2,FALSE)+1),1)</f>
        <v>10.978848380222946</v>
      </c>
      <c r="X121" s="57" cm="1">
        <f t="array" ref="X121">VLOOKUP(B121,'Player Data'!$A1:$AE673,12,FALSE)*$Q121*IFERROR((VLOOKUP(P121,Settings!$E$28:$F$33,2,FALSE)+1),1)</f>
        <v>20.711419967812908</v>
      </c>
      <c r="Y121" s="57" cm="1">
        <f t="array" ref="Y121">VLOOKUP(B121,'Player Data'!$A1:$AE673,13,FALSE)*$Q121</f>
        <v>1.0243983189783E-2</v>
      </c>
      <c r="Z121" s="57" cm="1">
        <f t="array" ref="Z121">VLOOKUP(B121,'Player Data'!$A1:$AE673,14,FALSE)*$Q121</f>
        <v>1.6778410930604528E-2</v>
      </c>
      <c r="AA121" s="57" cm="1">
        <f t="array" ref="AA121">VLOOKUP(B121,'Player Data'!$A1:$AE673,15,FALSE)*$Q121</f>
        <v>37.875781509900747</v>
      </c>
      <c r="AB121" s="57" cm="1">
        <f t="array" ref="AB121">VLOOKUP(B121,'Player Data'!$A1:$AE673,16,FALSE)*$Q121</f>
        <v>93.201222884445883</v>
      </c>
      <c r="AC121" s="57" cm="1">
        <f t="array" ref="AC121">VLOOKUP(B121,'Player Data'!$A1:$AE673,17,FALSE)*$Q121*IFERROR((VLOOKUP(P121,Settings!$E$28:$F$33,2,FALSE)+1),1)</f>
        <v>1.2955265224421506</v>
      </c>
      <c r="AD121" s="57" cm="1">
        <f t="array" ref="AD121">VLOOKUP(B121,'Player Data'!$A1:$AE673,18,FALSE)*$Q121</f>
        <v>29.371504304221141</v>
      </c>
      <c r="AE121" s="57" cm="1">
        <f t="array" ref="AE121">VLOOKUP(B121,'Player Data'!$A1:$AE673,19,FALSE)*$Q121*IFERROR((VLOOKUP(P121,Settings!$E$28:$F$33,2,FALSE)+1),1)</f>
        <v>4.5903092834679757</v>
      </c>
      <c r="AF121" s="57" cm="1">
        <f t="array" ref="AF121">VLOOKUP(B121,'Player Data'!$A1:$AE673,20,FALSE)*$Q121</f>
        <v>12.645268548753657</v>
      </c>
      <c r="AG121" s="57" cm="1">
        <f t="array" ref="AG121">VLOOKUP(B121,'Player Data'!$A1:$AE673,21,FALSE)*$Q121</f>
        <v>33.442268534459807</v>
      </c>
      <c r="AH121" s="59" cm="1">
        <f t="array" ref="AH121">VLOOKUP(B121,'Player Data'!$A1:$AE673,22,FALSE)</f>
        <v>0.274375012184357</v>
      </c>
      <c r="AI121" s="55"/>
      <c r="AJ121" s="57"/>
      <c r="AK121" s="57"/>
      <c r="AL121" s="57"/>
      <c r="AM121" s="57"/>
      <c r="AN121" s="57"/>
      <c r="AO121" s="57"/>
      <c r="AP121" s="57"/>
      <c r="AQ121" s="60"/>
      <c r="AR121" s="61"/>
      <c r="AS121" s="55"/>
    </row>
    <row r="122" spans="1:45" ht="21.25" customHeight="1" x14ac:dyDescent="0.15">
      <c r="A122" s="62">
        <f t="shared" si="1"/>
        <v>121</v>
      </c>
      <c r="B122" s="10" t="s">
        <v>250</v>
      </c>
      <c r="C122" s="47" t="s">
        <v>147</v>
      </c>
      <c r="D122" s="48" t="str" cm="1">
        <f t="array" ref="D122">VLOOKUP(B122,'Player Data'!A1:D673,4,FALSE)</f>
        <v>D</v>
      </c>
      <c r="E122" s="68" cm="1">
        <f t="array" ref="E122">VLOOKUP(B122,D!A1:C204,3,FALSE)</f>
        <v>41</v>
      </c>
      <c r="F122" s="56" t="str" cm="1">
        <f t="array" ref="F122">VLOOKUP(B122,'Player Data'!A1:B673,2,FALSE)</f>
        <v>S.J</v>
      </c>
      <c r="G122" s="66" cm="1">
        <f t="array" ref="G122">VLOOKUP(B122,'Player Data'!A1:D673,3,FALSE)</f>
        <v>35</v>
      </c>
      <c r="H122" s="67" cm="1">
        <f t="array" ref="H122">IFERROR(VLOOKUP(B122,ADP!A1:F671,6,FALSE)/1000000,VLOOKUP(B122,ADP!A1:F671,6,FALSE))</f>
        <v>6.5</v>
      </c>
      <c r="I122" s="52">
        <f>IF(Settings!$E$15="POINTS",((R122*Q122)*Settings!$B$12)+(S122*Settings!$B$2)+(T122*Settings!$B$3)+(U122*Settings!$B$4)+(V122*Settings!$B$5)+(X122*Settings!$B$9)+(AA122*Settings!$B$6)+(W122*Settings!$B$8)+(AB122*Settings!$B$7)+(AC122*Settings!$B$14)+(AD122*Settings!$B$15)+(AE122*Settings!$B$16)+(AF122*Settings!$B$17)+(AG122*Settings!$B$18)+(U122*Settings!$B$13)+(Y122*Settings!$B$10)+(Z122*Settings!$B$11),VLOOKUP(B122,'Standard Deviations'!A$1:C$672,3,FALSE))</f>
        <v>253.71477334724625</v>
      </c>
      <c r="J122" s="53" cm="1">
        <f t="array" ref="J122">IF(D122="G",I122/AJ122,I122/Q122)</f>
        <v>3.0492731608346406</v>
      </c>
      <c r="K122" s="52" cm="1">
        <f t="array" ref="K122">VLOOKUP(B122,D!A1:F204,6,FALSE)</f>
        <v>-52.939093997347811</v>
      </c>
      <c r="L122" s="54" cm="1">
        <f t="array" ref="L122">IFERROR(K122/H122,"N/A")</f>
        <v>-8.1444759995919718</v>
      </c>
      <c r="M122" s="85" t="s">
        <v>832</v>
      </c>
      <c r="N122" s="85" t="str" cm="1">
        <f t="array" ref="N122">IFERROR(M122-A122,"N/A")</f>
        <v>N/A</v>
      </c>
      <c r="O122" s="81"/>
      <c r="P122" s="56" t="str" cm="1">
        <f t="array" ref="P122">_xlfn.XLOOKUP($B122,ADP!A2:A671,ADP!G2:G671)</f>
        <v xml:space="preserve"> </v>
      </c>
      <c r="Q122" s="57" cm="1">
        <f t="array" ref="Q122">IF(Settings!$E$12="YES",VLOOKUP(B122,'Player Data'!A1:E673,5,FALSE),84)</f>
        <v>83.204999999999998</v>
      </c>
      <c r="R122" s="82" cm="1">
        <f t="array" ref="R122">VLOOKUP(B122,'Player Data'!$A1:$AE673,6,FALSE)</f>
        <v>22.643240774434702</v>
      </c>
      <c r="S122" s="57" cm="1">
        <f t="array" ref="S122">VLOOKUP(B122,'Player Data'!$A1:$AE673,7,FALSE)*$Q122*IFERROR((VLOOKUP(P122,Settings!$E$28:$F$33,2,FALSE)+1),1)</f>
        <v>5.7365174373883763</v>
      </c>
      <c r="T122" s="57" cm="1">
        <f t="array" ref="T122">VLOOKUP(B122,'Player Data'!$A1:$AE673,8,FALSE)*$Q122*IFERROR((VLOOKUP(P122,Settings!$E$28:$F$33,2,FALSE)+1),1)</f>
        <v>37.85411255352895</v>
      </c>
      <c r="U122" s="57" cm="1">
        <f t="array" ref="U122">SUM(S122:T122)</f>
        <v>43.590629990917328</v>
      </c>
      <c r="V122" s="57" cm="1">
        <f t="array" ref="V122">VLOOKUP(B122,'Player Data'!$A1:$AE673,10,FALSE)*$Q122*IFERROR(((VLOOKUP(P122,Settings!$E$28:$F$33,2,FALSE)/2)+1),1)</f>
        <v>117.86600887956374</v>
      </c>
      <c r="W122" s="57" cm="1">
        <f t="array" ref="W122">VLOOKUP(B122,'Player Data'!$A1:$AE673,11,FALSE)*$Q122*IFERROR((VLOOKUP(P122,Settings!$E$28:$F$33,2,FALSE)+1),1)</f>
        <v>1.1602431389068386</v>
      </c>
      <c r="X122" s="79" cm="1">
        <f t="array" ref="X122">VLOOKUP(B122,'Player Data'!$A1:$AE673,12,FALSE)*$Q122*IFERROR((VLOOKUP(P122,Settings!$E$28:$F$33,2,FALSE)+1),1)</f>
        <v>19.062525642902692</v>
      </c>
      <c r="Y122" s="57" cm="1">
        <f t="array" ref="Y122">VLOOKUP(B122,'Player Data'!$A1:$AE673,13,FALSE)*$Q122</f>
        <v>2.1256325801396875E-2</v>
      </c>
      <c r="Z122" s="57" cm="1">
        <f t="array" ref="Z122">VLOOKUP(B122,'Player Data'!$A1:$AE673,14,FALSE)*$Q122</f>
        <v>7.9363343142675319E-2</v>
      </c>
      <c r="AA122" s="57" cm="1">
        <f t="array" ref="AA122">VLOOKUP(B122,'Player Data'!$A1:$AE673,15,FALSE)*$Q122</f>
        <v>89.735979897334019</v>
      </c>
      <c r="AB122" s="57" cm="1">
        <f t="array" ref="AB122">VLOOKUP(B122,'Player Data'!$A1:$AE673,16,FALSE)*$Q122</f>
        <v>120.12470143167616</v>
      </c>
      <c r="AC122" s="57" cm="1">
        <f t="array" ref="AC122">VLOOKUP(B122,'Player Data'!$A1:$AE673,17,FALSE)*$Q122*IFERROR((VLOOKUP(P122,Settings!$E$28:$F$33,2,FALSE)+1),1)</f>
        <v>-3.388459930612314</v>
      </c>
      <c r="AD122" s="57" cm="1">
        <f t="array" ref="AD122">VLOOKUP(B122,'Player Data'!$A1:$AE673,18,FALSE)*$Q122</f>
        <v>42.806561221471426</v>
      </c>
      <c r="AE122" s="57" cm="1">
        <f t="array" ref="AE122">VLOOKUP(B122,'Player Data'!$A1:$AE673,19,FALSE)*$Q122*IFERROR((VLOOKUP(P122,Settings!$E$28:$F$33,2,FALSE)+1),1)</f>
        <v>0.80213458574721996</v>
      </c>
      <c r="AF122" s="57" cm="1">
        <f t="array" ref="AF122">VLOOKUP(B122,'Player Data'!$A1:$AE673,20,FALSE)*$Q122</f>
        <v>0</v>
      </c>
      <c r="AG122" s="57" cm="1">
        <f t="array" ref="AG122">VLOOKUP(B122,'Player Data'!$A1:$AE673,21,FALSE)*$Q122</f>
        <v>0</v>
      </c>
      <c r="AH122" s="59" cm="1">
        <f t="array" ref="AH122">VLOOKUP(B122,'Player Data'!$A1:$AE673,22,FALSE)</f>
        <v>0</v>
      </c>
      <c r="AI122" s="55"/>
      <c r="AJ122" s="57"/>
      <c r="AK122" s="57"/>
      <c r="AL122" s="57"/>
      <c r="AM122" s="57"/>
      <c r="AN122" s="57"/>
      <c r="AO122" s="57"/>
      <c r="AP122" s="57"/>
      <c r="AQ122" s="60"/>
      <c r="AR122" s="61"/>
      <c r="AS122" s="55"/>
    </row>
    <row r="123" spans="1:45" ht="21.25" customHeight="1" x14ac:dyDescent="0.15">
      <c r="A123" s="62">
        <f t="shared" si="1"/>
        <v>122</v>
      </c>
      <c r="B123" s="10" t="s">
        <v>251</v>
      </c>
      <c r="C123" s="47" t="s">
        <v>128</v>
      </c>
      <c r="D123" s="48" t="str" cm="1">
        <f t="array" ref="D123">VLOOKUP(B123,'Player Data'!A1:D673,4,FALSE)</f>
        <v>C</v>
      </c>
      <c r="E123" s="49" cm="1">
        <f t="array" ref="E123">VLOOKUP(B123,'C'!A1:C210,3,FALSE)</f>
        <v>40</v>
      </c>
      <c r="F123" s="56" t="str" cm="1">
        <f t="array" ref="F123">VLOOKUP(B123,'Player Data'!A1:B673,2,FALSE)</f>
        <v>WSH</v>
      </c>
      <c r="G123" s="11" cm="1">
        <f t="array" ref="G123">VLOOKUP(B123,'Player Data'!A1:D673,3,FALSE)</f>
        <v>29</v>
      </c>
      <c r="H123" s="51" cm="1">
        <f t="array" ref="H123">IFERROR(VLOOKUP(B123,ADP!A1:F671,6,FALSE)/1000000,VLOOKUP(B123,ADP!A1:F671,6,FALSE))</f>
        <v>5</v>
      </c>
      <c r="I123" s="52">
        <f>IF(Settings!$E$15="POINTS",((R123*Q123)*Settings!$B$12)+(S123*Settings!$B$2)+(T123*Settings!$B$3)+(U123*Settings!$B$4)+(V123*Settings!$B$5)+(X123*Settings!$B$9)+(AA123*Settings!$B$6)+(W123*Settings!$B$8)+(AB123*Settings!$B$7)+(AC123*Settings!$B$14)+(AD123*Settings!$B$15)+(AE123*Settings!$B$16)+(AF123*Settings!$B$17)+(AG123*Settings!$B$18)+(Y123*Settings!$B$10)+(Z123*Settings!$B$11),VLOOKUP(B123,'Standard Deviations'!A$1:C$672,3,FALSE))</f>
        <v>333.28836671128545</v>
      </c>
      <c r="J123" s="53" cm="1">
        <f t="array" ref="J123">IF(D123="G",I123/AJ123,I123/Q123)</f>
        <v>3.98312956930129</v>
      </c>
      <c r="K123" s="52" cm="1">
        <f t="array" ref="K123">IF(Settings!$E$18="C/LW/RW",VLOOKUP(B123,'C'!A1:F210,6,FALSE),VLOOKUP(B123,F!A1:F407,6,FALSE))</f>
        <v>-53.246839681797553</v>
      </c>
      <c r="L123" s="54" cm="1">
        <f t="array" ref="L123">IFERROR(K123/H123,"N/A")</f>
        <v>-10.649367936359511</v>
      </c>
      <c r="M123" s="55">
        <v>144.9</v>
      </c>
      <c r="N123" s="55" cm="1">
        <f t="array" ref="N123">IFERROR(M123-A123,"N/A")</f>
        <v>22.900000000000006</v>
      </c>
      <c r="O123" s="83"/>
      <c r="P123" s="56" t="str" cm="1">
        <f t="array" ref="P123">_xlfn.XLOOKUP($B123,ADP!A2:A671,ADP!G2:G671)</f>
        <v xml:space="preserve"> </v>
      </c>
      <c r="Q123" s="57" cm="1">
        <f t="array" ref="Q123">IF(Settings!$E$12="YES",VLOOKUP(B123,'Player Data'!A1:E673,5,FALSE),84)</f>
        <v>83.674999999999997</v>
      </c>
      <c r="R123" s="55" cm="1">
        <f t="array" ref="R123">VLOOKUP(B123,'Player Data'!$A1:$AE673,6,FALSE)</f>
        <v>17.948207088795701</v>
      </c>
      <c r="S123" s="57" cm="1">
        <f t="array" ref="S123">VLOOKUP(B123,'Player Data'!$A1:$AE673,7,FALSE)*$Q123*IFERROR((VLOOKUP(P123,Settings!$E$28:$F$33,2,FALSE)+1),1)</f>
        <v>23.879591210380202</v>
      </c>
      <c r="T123" s="57" cm="1">
        <f t="array" ref="T123">VLOOKUP(B123,'Player Data'!$A1:$AE673,8,FALSE)*$Q123*IFERROR((VLOOKUP(P123,Settings!$E$28:$F$33,2,FALSE)+1),1)</f>
        <v>43.744336641555726</v>
      </c>
      <c r="U123" s="57" cm="1">
        <f t="array" ref="U123">SUM(S123:T123)</f>
        <v>67.623927851935932</v>
      </c>
      <c r="V123" s="57" cm="1">
        <f t="array" ref="V123">VLOOKUP(B123,'Player Data'!$A1:$AE673,10,FALSE)*$Q123*IFERROR(((VLOOKUP(P123,Settings!$E$28:$F$33,2,FALSE)/2)+1),1)</f>
        <v>156.64902098031342</v>
      </c>
      <c r="W123" s="58" cm="1">
        <f t="array" ref="W123">VLOOKUP(B123,'Player Data'!$A1:$AE673,11,FALSE)*$Q123*IFERROR((VLOOKUP(P123,Settings!$E$28:$F$33,2,FALSE)+1),1)</f>
        <v>6.9234630629987608</v>
      </c>
      <c r="X123" s="57" cm="1">
        <f t="array" ref="X123">VLOOKUP(B123,'Player Data'!$A1:$AE673,12,FALSE)*$Q123*IFERROR((VLOOKUP(P123,Settings!$E$28:$F$33,2,FALSE)+1),1)</f>
        <v>24.720997122771028</v>
      </c>
      <c r="Y123" s="57" cm="1">
        <f t="array" ref="Y123">VLOOKUP(B123,'Player Data'!$A1:$AE673,13,FALSE)*$Q123</f>
        <v>1.9556662560378888E-2</v>
      </c>
      <c r="Z123" s="57" cm="1">
        <f t="array" ref="Z123">VLOOKUP(B123,'Player Data'!$A1:$AE673,14,FALSE)*$Q123</f>
        <v>3.2465906391857438E-2</v>
      </c>
      <c r="AA123" s="57" cm="1">
        <f t="array" ref="AA123">VLOOKUP(B123,'Player Data'!$A1:$AE673,15,FALSE)*$Q123</f>
        <v>54.677219272316179</v>
      </c>
      <c r="AB123" s="57" cm="1">
        <f t="array" ref="AB123">VLOOKUP(B123,'Player Data'!$A1:$AE673,16,FALSE)*$Q123</f>
        <v>22.014575430567582</v>
      </c>
      <c r="AC123" s="57" cm="1">
        <f t="array" ref="AC123">VLOOKUP(B123,'Player Data'!$A1:$AE673,17,FALSE)*$Q123*IFERROR((VLOOKUP(P123,Settings!$E$28:$F$33,2,FALSE)+1),1)</f>
        <v>4.3836355616328477</v>
      </c>
      <c r="AD123" s="57" cm="1">
        <f t="array" ref="AD123">VLOOKUP(B123,'Player Data'!$A1:$AE673,18,FALSE)*$Q123</f>
        <v>34.286912287845375</v>
      </c>
      <c r="AE123" s="57" cm="1">
        <f t="array" ref="AE123">VLOOKUP(B123,'Player Data'!$A1:$AE673,19,FALSE)*$Q123*IFERROR((VLOOKUP(P123,Settings!$E$28:$F$33,2,FALSE)+1),1)</f>
        <v>3.576430011483736</v>
      </c>
      <c r="AF123" s="57" cm="1">
        <f t="array" ref="AF123">VLOOKUP(B123,'Player Data'!$A1:$AE673,20,FALSE)*$Q123</f>
        <v>762.48934076786713</v>
      </c>
      <c r="AG123" s="57" cm="1">
        <f t="array" ref="AG123">VLOOKUP(B123,'Player Data'!$A1:$AE673,21,FALSE)*$Q123</f>
        <v>615.00388313389783</v>
      </c>
      <c r="AH123" s="59" cm="1">
        <f t="array" ref="AH123">VLOOKUP(B123,'Player Data'!$A1:$AE673,22,FALSE)</f>
        <v>0.55353400476853698</v>
      </c>
      <c r="AI123" s="55"/>
      <c r="AJ123" s="57"/>
      <c r="AK123" s="57"/>
      <c r="AL123" s="57"/>
      <c r="AM123" s="57"/>
      <c r="AN123" s="57"/>
      <c r="AO123" s="57"/>
      <c r="AP123" s="57"/>
      <c r="AQ123" s="60"/>
      <c r="AR123" s="61"/>
      <c r="AS123" s="55"/>
    </row>
    <row r="124" spans="1:45" ht="21.25" customHeight="1" x14ac:dyDescent="0.15">
      <c r="A124" s="62">
        <f t="shared" si="1"/>
        <v>123</v>
      </c>
      <c r="B124" s="10" t="s">
        <v>252</v>
      </c>
      <c r="C124" s="47" t="s">
        <v>147</v>
      </c>
      <c r="D124" s="48" t="str" cm="1">
        <f t="array" ref="D124">VLOOKUP(B124,'Player Data'!A1:D673,4,FALSE)</f>
        <v>LW,RW</v>
      </c>
      <c r="E124" s="74" cm="1">
        <f t="array" ref="E124">VLOOKUP(B124,RW!A1:F210,3,FALSE)</f>
        <v>33</v>
      </c>
      <c r="F124" s="56" t="str" cm="1">
        <f t="array" ref="F124">VLOOKUP(B124,'Player Data'!A1:B673,2,FALSE)</f>
        <v>WSH</v>
      </c>
      <c r="G124" s="11" cm="1">
        <f t="array" ref="G124">VLOOKUP(B124,'Player Data'!A1:D673,3,FALSE)</f>
        <v>30</v>
      </c>
      <c r="H124" s="51" cm="1">
        <f t="array" ref="H124">IFERROR(VLOOKUP(B124,ADP!A1:F671,6,FALSE)/1000000,VLOOKUP(B124,ADP!A1:F671,6,FALSE))</f>
        <v>10.5</v>
      </c>
      <c r="I124" s="52">
        <f>IF(Settings!$E$15="POINTS",((R124*Q124)*Settings!$B$12)+(S124*Settings!$B$2)+(T124*Settings!$B$3)+(U124*Settings!$B$4)+(V124*Settings!$B$5)+(X124*Settings!$B$9)+(AA124*Settings!$B$6)+(W124*Settings!$B$8)+(AB124*Settings!$B$7)+(AC124*Settings!$B$14)+(AD124*Settings!$B$15)+(AE124*Settings!$B$16)+(AF124*Settings!$B$17)+(AG124*Settings!$B$18)+(Y124*Settings!$B$10)+(Z124*Settings!$B$11),VLOOKUP(B124,'Standard Deviations'!A$1:C$672,3,FALSE))</f>
        <v>341.64947380082634</v>
      </c>
      <c r="J124" s="53" cm="1">
        <f t="array" ref="J124">IF(D124="G",I124/AJ124,I124/Q124)</f>
        <v>4.1263259615426353</v>
      </c>
      <c r="K124" s="52" cm="1">
        <f t="array" ref="K124">IF(Settings!$E$18="C/LW/RW",VLOOKUP(B124,RW!A1:F210,6,FALSE),VLOOKUP(B124,F!A1:F407,6,FALSE))</f>
        <v>-53.293990892731131</v>
      </c>
      <c r="L124" s="54" cm="1">
        <f t="array" ref="L124">IFERROR(K124/H124,"N/A")</f>
        <v>-5.0756181802601077</v>
      </c>
      <c r="M124" s="55">
        <v>101.3</v>
      </c>
      <c r="N124" s="55" cm="1">
        <f t="array" ref="N124">IFERROR(M124-A124,"N/A")</f>
        <v>-21.700000000000003</v>
      </c>
      <c r="O124" s="55"/>
      <c r="P124" s="56" t="str" cm="1">
        <f t="array" ref="P124">_xlfn.XLOOKUP($B124,ADP!A2:A671,ADP!G2:G671)</f>
        <v xml:space="preserve"> </v>
      </c>
      <c r="Q124" s="57" cm="1">
        <f t="array" ref="Q124">IF(Settings!$E$12="YES",VLOOKUP(B124,'Player Data'!A1:E673,5,FALSE),84)</f>
        <v>82.797499999999999</v>
      </c>
      <c r="R124" s="55" cm="1">
        <f t="array" ref="R124">VLOOKUP(B124,'Player Data'!$A1:$AE673,6,FALSE)</f>
        <v>18.863870099037101</v>
      </c>
      <c r="S124" s="57" cm="1">
        <f t="array" ref="S124">VLOOKUP(B124,'Player Data'!$A1:$AE673,7,FALSE)*$Q124*IFERROR((VLOOKUP(P124,Settings!$E$28:$F$33,2,FALSE)+1),1)</f>
        <v>29.506549680909423</v>
      </c>
      <c r="T124" s="57" cm="1">
        <f t="array" ref="T124">VLOOKUP(B124,'Player Data'!$A1:$AE673,8,FALSE)*$Q124*IFERROR((VLOOKUP(P124,Settings!$E$28:$F$33,2,FALSE)+1),1)</f>
        <v>31.909909484214932</v>
      </c>
      <c r="U124" s="57" cm="1">
        <f t="array" ref="U124">SUM(S124:T124)</f>
        <v>61.416459165124351</v>
      </c>
      <c r="V124" s="57" cm="1">
        <f t="array" ref="V124">VLOOKUP(B124,'Player Data'!$A1:$AE673,10,FALSE)*$Q124*IFERROR(((VLOOKUP(P124,Settings!$E$28:$F$33,2,FALSE)/2)+1),1)</f>
        <v>196.40336763660895</v>
      </c>
      <c r="W124" s="57" cm="1">
        <f t="array" ref="W124">VLOOKUP(B124,'Player Data'!$A1:$AE673,11,FALSE)*$Q124*IFERROR((VLOOKUP(P124,Settings!$E$28:$F$33,2,FALSE)+1),1)</f>
        <v>3.03974549225389</v>
      </c>
      <c r="X124" s="57" cm="1">
        <f t="array" ref="X124">VLOOKUP(B124,'Player Data'!$A1:$AE673,12,FALSE)*$Q124*IFERROR((VLOOKUP(P124,Settings!$E$28:$F$33,2,FALSE)+1),1)</f>
        <v>6.7445613235521105</v>
      </c>
      <c r="Y124" s="57" cm="1">
        <f t="array" ref="Y124">VLOOKUP(B124,'Player Data'!$A1:$AE673,13,FALSE)*$Q124</f>
        <v>3.2124200873385376</v>
      </c>
      <c r="Z124" s="57" cm="1">
        <f t="array" ref="Z124">VLOOKUP(B124,'Player Data'!$A1:$AE673,14,FALSE)*$Q124</f>
        <v>4.4910984050139735</v>
      </c>
      <c r="AA124" s="57" cm="1">
        <f t="array" ref="AA124">VLOOKUP(B124,'Player Data'!$A1:$AE673,15,FALSE)*$Q124</f>
        <v>95.925505517165405</v>
      </c>
      <c r="AB124" s="57" cm="1">
        <f t="array" ref="AB124">VLOOKUP(B124,'Player Data'!$A1:$AE673,16,FALSE)*$Q124</f>
        <v>82.576204126277943</v>
      </c>
      <c r="AC124" s="57" cm="1">
        <f t="array" ref="AC124">VLOOKUP(B124,'Player Data'!$A1:$AE673,17,FALSE)*$Q124*IFERROR((VLOOKUP(P124,Settings!$E$28:$F$33,2,FALSE)+1),1)</f>
        <v>5.7986270598111638</v>
      </c>
      <c r="AD124" s="57" cm="1">
        <f t="array" ref="AD124">VLOOKUP(B124,'Player Data'!$A1:$AE673,18,FALSE)*$Q124</f>
        <v>45.697935134638286</v>
      </c>
      <c r="AE124" s="57" cm="1">
        <f t="array" ref="AE124">VLOOKUP(B124,'Player Data'!$A1:$AE673,19,FALSE)*$Q124*IFERROR((VLOOKUP(P124,Settings!$E$28:$F$33,2,FALSE)+1),1)</f>
        <v>4.419175725599036</v>
      </c>
      <c r="AF124" s="57" cm="1">
        <f t="array" ref="AF124">VLOOKUP(B124,'Player Data'!$A1:$AE673,20,FALSE)*$Q124</f>
        <v>50.206140336493633</v>
      </c>
      <c r="AG124" s="57" cm="1">
        <f t="array" ref="AG124">VLOOKUP(B124,'Player Data'!$A1:$AE673,21,FALSE)*$Q124</f>
        <v>66.070640567583169</v>
      </c>
      <c r="AH124" s="59" cm="1">
        <f t="array" ref="AH124">VLOOKUP(B124,'Player Data'!$A1:$AE673,22,FALSE)</f>
        <v>0.43178130617420102</v>
      </c>
      <c r="AI124" s="55"/>
      <c r="AJ124" s="57"/>
      <c r="AK124" s="57"/>
      <c r="AL124" s="57"/>
      <c r="AM124" s="57"/>
      <c r="AN124" s="57"/>
      <c r="AO124" s="57"/>
      <c r="AP124" s="57"/>
      <c r="AQ124" s="60"/>
      <c r="AR124" s="61"/>
      <c r="AS124" s="55"/>
    </row>
    <row r="125" spans="1:45" ht="21.25" customHeight="1" x14ac:dyDescent="0.15">
      <c r="A125" s="62">
        <f t="shared" si="1"/>
        <v>124</v>
      </c>
      <c r="B125" s="10" t="s">
        <v>253</v>
      </c>
      <c r="C125" s="47" t="s">
        <v>128</v>
      </c>
      <c r="D125" s="48" t="str" cm="1">
        <f t="array" ref="D125">VLOOKUP(B125,'Player Data'!A1:D673,4,FALSE)</f>
        <v>C,RW</v>
      </c>
      <c r="E125" s="74" cm="1">
        <f t="array" ref="E125">VLOOKUP(B125,RW!A1:F210,3,FALSE)</f>
        <v>34</v>
      </c>
      <c r="F125" s="72" t="str" cm="1">
        <f t="array" ref="F125">VLOOKUP(B125,'Player Data'!A1:B673,2,FALSE)</f>
        <v>NYI</v>
      </c>
      <c r="G125" s="11" cm="1">
        <f t="array" ref="G125">VLOOKUP(B125,'Player Data'!A1:D673,3,FALSE)</f>
        <v>29</v>
      </c>
      <c r="H125" s="51" cm="1">
        <f t="array" ref="H125">IFERROR(VLOOKUP(B125,ADP!A1:F671,6,FALSE)/1000000,VLOOKUP(B125,ADP!A1:F671,6,FALSE))</f>
        <v>9.15</v>
      </c>
      <c r="I125" s="52">
        <f>IF(Settings!$E$15="POINTS",((R125*Q125)*Settings!$B$12)+(S125*Settings!$B$2)+(T125*Settings!$B$3)+(U125*Settings!$B$4)+(V125*Settings!$B$5)+(X125*Settings!$B$9)+(AA125*Settings!$B$6)+(W125*Settings!$B$8)+(AB125*Settings!$B$7)+(AC125*Settings!$B$14)+(AD125*Settings!$B$15)+(AE125*Settings!$B$16)+(AF125*Settings!$B$17)+(AG125*Settings!$B$18)+(Y125*Settings!$B$10)+(Z125*Settings!$B$11),VLOOKUP(B125,'Standard Deviations'!A$1:C$672,3,FALSE))</f>
        <v>341.1935946628455</v>
      </c>
      <c r="J125" s="53" cm="1">
        <f t="array" ref="J125">IF(D125="G",I125/AJ125,I125/Q125)</f>
        <v>4.4599012406502467</v>
      </c>
      <c r="K125" s="52" cm="1">
        <f t="array" ref="K125">IF(Settings!$E$18="C/LW/RW",VLOOKUP(B125,RW!A1:F210,6,FALSE),VLOOKUP(B125,F!A1:F407,6,FALSE))</f>
        <v>-53.749870030711975</v>
      </c>
      <c r="L125" s="54" cm="1">
        <f t="array" ref="L125">IFERROR(K125/H125,"N/A")</f>
        <v>-5.8743027355969373</v>
      </c>
      <c r="M125" s="55">
        <v>144.1</v>
      </c>
      <c r="N125" s="55" cm="1">
        <f t="array" ref="N125">IFERROR(M125-A125,"N/A")</f>
        <v>20.099999999999994</v>
      </c>
      <c r="O125" s="55"/>
      <c r="P125" s="56" t="str" cm="1">
        <f t="array" ref="P125">_xlfn.XLOOKUP($B125,ADP!A2:A671,ADP!G2:G671)</f>
        <v xml:space="preserve"> </v>
      </c>
      <c r="Q125" s="57" cm="1">
        <f t="array" ref="Q125">IF(Settings!$E$12="YES",VLOOKUP(B125,'Player Data'!A1:E673,5,FALSE),84)</f>
        <v>76.502499999999998</v>
      </c>
      <c r="R125" s="55" cm="1">
        <f t="array" ref="R125">VLOOKUP(B125,'Player Data'!$A1:$AE673,6,FALSE)</f>
        <v>20.5824112215832</v>
      </c>
      <c r="S125" s="57" cm="1">
        <f t="array" ref="S125">VLOOKUP(B125,'Player Data'!$A1:$AE673,7,FALSE)*$Q125*IFERROR((VLOOKUP(P125,Settings!$E$28:$F$33,2,FALSE)+1),1)</f>
        <v>19.528645280692594</v>
      </c>
      <c r="T125" s="57" cm="1">
        <f t="array" ref="T125">VLOOKUP(B125,'Player Data'!$A1:$AE673,8,FALSE)*$Q125*IFERROR((VLOOKUP(P125,Settings!$E$28:$F$33,2,FALSE)+1),1)</f>
        <v>48.652916980710309</v>
      </c>
      <c r="U125" s="57" cm="1">
        <f t="array" ref="U125">SUM(S125:T125)</f>
        <v>68.181562261402902</v>
      </c>
      <c r="V125" s="57" cm="1">
        <f t="array" ref="V125">VLOOKUP(B125,'Player Data'!$A1:$AE673,10,FALSE)*$Q125*IFERROR(((VLOOKUP(P125,Settings!$E$28:$F$33,2,FALSE)/2)+1),1)</f>
        <v>187.35489480665763</v>
      </c>
      <c r="W125" s="58" cm="1">
        <f t="array" ref="W125">VLOOKUP(B125,'Player Data'!$A1:$AE673,11,FALSE)*$Q125*IFERROR((VLOOKUP(P125,Settings!$E$28:$F$33,2,FALSE)+1),1)</f>
        <v>3.3229136895727529</v>
      </c>
      <c r="X125" s="57" cm="1">
        <f t="array" ref="X125">VLOOKUP(B125,'Player Data'!$A1:$AE673,12,FALSE)*$Q125*IFERROR((VLOOKUP(P125,Settings!$E$28:$F$33,2,FALSE)+1),1)</f>
        <v>18.748437134726384</v>
      </c>
      <c r="Y125" s="57" cm="1">
        <f t="array" ref="Y125">VLOOKUP(B125,'Player Data'!$A1:$AE673,13,FALSE)*$Q125</f>
        <v>1.4007896558356873E-2</v>
      </c>
      <c r="Z125" s="57" cm="1">
        <f t="array" ref="Z125">VLOOKUP(B125,'Player Data'!$A1:$AE673,14,FALSE)*$Q125</f>
        <v>2.3477143000713116E-2</v>
      </c>
      <c r="AA125" s="57" cm="1">
        <f t="array" ref="AA125">VLOOKUP(B125,'Player Data'!$A1:$AE673,15,FALSE)*$Q125</f>
        <v>48.399092395161709</v>
      </c>
      <c r="AB125" s="57" cm="1">
        <f t="array" ref="AB125">VLOOKUP(B125,'Player Data'!$A1:$AE673,16,FALSE)*$Q125</f>
        <v>36.02353303970132</v>
      </c>
      <c r="AC125" s="57" cm="1">
        <f t="array" ref="AC125">VLOOKUP(B125,'Player Data'!$A1:$AE673,17,FALSE)*$Q125*IFERROR((VLOOKUP(P125,Settings!$E$28:$F$33,2,FALSE)+1),1)</f>
        <v>-0.27782694928577367</v>
      </c>
      <c r="AD125" s="57" cm="1">
        <f t="array" ref="AD125">VLOOKUP(B125,'Player Data'!$A1:$AE673,18,FALSE)*$Q125</f>
        <v>33.766300788058295</v>
      </c>
      <c r="AE125" s="57" cm="1">
        <f t="array" ref="AE125">VLOOKUP(B125,'Player Data'!$A1:$AE673,19,FALSE)*$Q125*IFERROR((VLOOKUP(P125,Settings!$E$28:$F$33,2,FALSE)+1),1)</f>
        <v>2.8519921309674952</v>
      </c>
      <c r="AF125" s="57" cm="1">
        <f t="array" ref="AF125">VLOOKUP(B125,'Player Data'!$A1:$AE673,20,FALSE)*$Q125</f>
        <v>171.0383263752918</v>
      </c>
      <c r="AG125" s="57" cm="1">
        <f t="array" ref="AG125">VLOOKUP(B125,'Player Data'!$A1:$AE673,21,FALSE)*$Q125</f>
        <v>244.54789662137111</v>
      </c>
      <c r="AH125" s="59" cm="1">
        <f t="array" ref="AH125">VLOOKUP(B125,'Player Data'!$A1:$AE673,22,FALSE)</f>
        <v>0.41155918293437999</v>
      </c>
      <c r="AI125" s="55"/>
      <c r="AJ125" s="57"/>
      <c r="AK125" s="57"/>
      <c r="AL125" s="57"/>
      <c r="AM125" s="57"/>
      <c r="AN125" s="57"/>
      <c r="AO125" s="57"/>
      <c r="AP125" s="57"/>
      <c r="AQ125" s="60"/>
      <c r="AR125" s="61"/>
      <c r="AS125" s="55"/>
    </row>
    <row r="126" spans="1:45" ht="21.25" customHeight="1" x14ac:dyDescent="0.15">
      <c r="A126" s="62">
        <f t="shared" si="1"/>
        <v>125</v>
      </c>
      <c r="B126" s="10" t="s">
        <v>254</v>
      </c>
      <c r="C126" s="47" t="s">
        <v>128</v>
      </c>
      <c r="D126" s="48" t="str" cm="1">
        <f t="array" ref="D126">VLOOKUP(B126,'Player Data'!A1:D673,4,FALSE)</f>
        <v>C</v>
      </c>
      <c r="E126" s="49" cm="1">
        <f t="array" ref="E126">VLOOKUP(B126,'C'!A1:C210,3,FALSE)</f>
        <v>41</v>
      </c>
      <c r="F126" s="65" t="str" cm="1">
        <f t="array" ref="F126">VLOOKUP(B126,'Player Data'!A1:B673,2,FALSE)</f>
        <v>NSH</v>
      </c>
      <c r="G126" s="66" cm="1">
        <f t="array" ref="G126">VLOOKUP(B126,'Player Data'!A1:D673,3,FALSE)</f>
        <v>35</v>
      </c>
      <c r="H126" s="67" cm="1">
        <f t="array" ref="H126">IFERROR(VLOOKUP(B126,ADP!A1:F671,6,FALSE)/1000000,VLOOKUP(B126,ADP!A1:F671,6,FALSE))</f>
        <v>4.5</v>
      </c>
      <c r="I126" s="52">
        <f>IF(Settings!$E$15="POINTS",((R126*Q126)*Settings!$B$12)+(S126*Settings!$B$2)+(T126*Settings!$B$3)+(U126*Settings!$B$4)+(V126*Settings!$B$5)+(X126*Settings!$B$9)+(AA126*Settings!$B$6)+(W126*Settings!$B$8)+(AB126*Settings!$B$7)+(AC126*Settings!$B$14)+(AD126*Settings!$B$15)+(AE126*Settings!$B$16)+(AF126*Settings!$B$17)+(AG126*Settings!$B$18)+(Y126*Settings!$B$10)+(Z126*Settings!$B$11),VLOOKUP(B126,'Standard Deviations'!A$1:C$672,3,FALSE))</f>
        <v>332.7448311876642</v>
      </c>
      <c r="J126" s="53" cm="1">
        <f t="array" ref="J126">IF(D126="G",I126/AJ126,I126/Q126)</f>
        <v>3.9878335473114119</v>
      </c>
      <c r="K126" s="52" cm="1">
        <f t="array" ref="K126">IF(Settings!$E$18="C/LW/RW",VLOOKUP(B126,'C'!A1:F210,6,FALSE),VLOOKUP(B126,F!A1:F407,6,FALSE))</f>
        <v>-53.790375205418798</v>
      </c>
      <c r="L126" s="54" cm="1">
        <f t="array" ref="L126">IFERROR(K126/H126,"N/A")</f>
        <v>-11.953416712315288</v>
      </c>
      <c r="M126" s="55">
        <v>144.4</v>
      </c>
      <c r="N126" s="55" cm="1">
        <f t="array" ref="N126">IFERROR(M126-A126,"N/A")</f>
        <v>19.400000000000006</v>
      </c>
      <c r="O126" s="55"/>
      <c r="P126" s="56" t="str" cm="1">
        <f t="array" ref="P126">_xlfn.XLOOKUP($B126,ADP!A2:A671,ADP!G2:G671)</f>
        <v xml:space="preserve"> </v>
      </c>
      <c r="Q126" s="57" cm="1">
        <f t="array" ref="Q126">IF(Settings!$E$12="YES",VLOOKUP(B126,'Player Data'!A1:E673,5,FALSE),84)</f>
        <v>83.44</v>
      </c>
      <c r="R126" s="55" cm="1">
        <f t="array" ref="R126">VLOOKUP(B126,'Player Data'!$A1:$AE673,6,FALSE)</f>
        <v>20.4473564481472</v>
      </c>
      <c r="S126" s="57" cm="1">
        <f t="array" ref="S126">VLOOKUP(B126,'Player Data'!$A1:$AE673,7,FALSE)*$Q126*IFERROR((VLOOKUP(P126,Settings!$E$28:$F$33,2,FALSE)+1),1)</f>
        <v>22.98535283271962</v>
      </c>
      <c r="T126" s="57" cm="1">
        <f t="array" ref="T126">VLOOKUP(B126,'Player Data'!$A1:$AE673,8,FALSE)*$Q126*IFERROR((VLOOKUP(P126,Settings!$E$28:$F$33,2,FALSE)+1),1)</f>
        <v>41.598723268323901</v>
      </c>
      <c r="U126" s="57" cm="1">
        <f t="array" ref="U126">SUM(S126:T126)</f>
        <v>64.584076101043522</v>
      </c>
      <c r="V126" s="57" cm="1">
        <f t="array" ref="V126">VLOOKUP(B126,'Player Data'!$A1:$AE673,10,FALSE)*$Q126*IFERROR(((VLOOKUP(P126,Settings!$E$28:$F$33,2,FALSE)/2)+1),1)</f>
        <v>166.54042183478799</v>
      </c>
      <c r="W126" s="58" cm="1">
        <f t="array" ref="W126">VLOOKUP(B126,'Player Data'!$A1:$AE673,11,FALSE)*$Q126*IFERROR((VLOOKUP(P126,Settings!$E$28:$F$33,2,FALSE)+1),1)</f>
        <v>7.0454708128225345</v>
      </c>
      <c r="X126" s="57" cm="1">
        <f t="array" ref="X126">VLOOKUP(B126,'Player Data'!$A1:$AE673,12,FALSE)*$Q126*IFERROR((VLOOKUP(P126,Settings!$E$28:$F$33,2,FALSE)+1),1)</f>
        <v>19.227169621560055</v>
      </c>
      <c r="Y126" s="57" cm="1">
        <f t="array" ref="Y126">VLOOKUP(B126,'Player Data'!$A1:$AE673,13,FALSE)*$Q126</f>
        <v>1.1411226633318166</v>
      </c>
      <c r="Z126" s="57" cm="1">
        <f t="array" ref="Z126">VLOOKUP(B126,'Player Data'!$A1:$AE673,14,FALSE)*$Q126</f>
        <v>1.8121875229358195</v>
      </c>
      <c r="AA126" s="57" cm="1">
        <f t="array" ref="AA126">VLOOKUP(B126,'Player Data'!$A1:$AE673,15,FALSE)*$Q126</f>
        <v>69.366069645287595</v>
      </c>
      <c r="AB126" s="57" cm="1">
        <f t="array" ref="AB126">VLOOKUP(B126,'Player Data'!$A1:$AE673,16,FALSE)*$Q126</f>
        <v>23.561527376350881</v>
      </c>
      <c r="AC126" s="57" cm="1">
        <f t="array" ref="AC126">VLOOKUP(B126,'Player Data'!$A1:$AE673,17,FALSE)*$Q126*IFERROR((VLOOKUP(P126,Settings!$E$28:$F$33,2,FALSE)+1),1)</f>
        <v>-1.2401736673541011</v>
      </c>
      <c r="AD126" s="57" cm="1">
        <f t="array" ref="AD126">VLOOKUP(B126,'Player Data'!$A1:$AE673,18,FALSE)*$Q126</f>
        <v>26.138419254159462</v>
      </c>
      <c r="AE126" s="57" cm="1">
        <f t="array" ref="AE126">VLOOKUP(B126,'Player Data'!$A1:$AE673,19,FALSE)*$Q126*IFERROR((VLOOKUP(P126,Settings!$E$28:$F$33,2,FALSE)+1),1)</f>
        <v>3.1840463819740945</v>
      </c>
      <c r="AF126" s="57" cm="1">
        <f t="array" ref="AF126">VLOOKUP(B126,'Player Data'!$A1:$AE673,20,FALSE)*$Q126</f>
        <v>791.79521685365398</v>
      </c>
      <c r="AG126" s="57" cm="1">
        <f t="array" ref="AG126">VLOOKUP(B126,'Player Data'!$A1:$AE673,21,FALSE)*$Q126</f>
        <v>646.39029219065503</v>
      </c>
      <c r="AH126" s="59" cm="1">
        <f t="array" ref="AH126">VLOOKUP(B126,'Player Data'!$A1:$AE673,22,FALSE)</f>
        <v>0.55055151917071599</v>
      </c>
      <c r="AI126" s="55"/>
      <c r="AJ126" s="57"/>
      <c r="AK126" s="57"/>
      <c r="AL126" s="57"/>
      <c r="AM126" s="57"/>
      <c r="AN126" s="57"/>
      <c r="AO126" s="57"/>
      <c r="AP126" s="57"/>
      <c r="AQ126" s="60"/>
      <c r="AR126" s="61"/>
      <c r="AS126" s="55"/>
    </row>
    <row r="127" spans="1:45" ht="21.25" customHeight="1" x14ac:dyDescent="0.15">
      <c r="A127" s="62">
        <f t="shared" si="1"/>
        <v>126</v>
      </c>
      <c r="B127" s="10" t="s">
        <v>255</v>
      </c>
      <c r="C127" s="47" t="s">
        <v>147</v>
      </c>
      <c r="D127" s="48" t="str" cm="1">
        <f t="array" ref="D127">VLOOKUP(B127,'Player Data'!A1:D673,4,FALSE)</f>
        <v>D</v>
      </c>
      <c r="E127" s="68" cm="1">
        <f t="array" ref="E127">VLOOKUP(B127,D!A1:C204,3,FALSE)</f>
        <v>42</v>
      </c>
      <c r="F127" s="63" t="str" cm="1">
        <f t="array" ref="F127">VLOOKUP(B127,'Player Data'!A1:B673,2,FALSE)</f>
        <v>VGK</v>
      </c>
      <c r="G127" s="11" cm="1">
        <f t="array" ref="G127">VLOOKUP(B127,'Player Data'!A1:D673,3,FALSE)</f>
        <v>29</v>
      </c>
      <c r="H127" s="51" cm="1">
        <f t="array" ref="H127">IFERROR(VLOOKUP(B127,ADP!A1:F671,6,FALSE)/1000000,VLOOKUP(B127,ADP!A1:F671,6,FALSE))</f>
        <v>7.35</v>
      </c>
      <c r="I127" s="52">
        <f>IF(Settings!$E$15="POINTS",((R127*Q127)*Settings!$B$12)+(S127*Settings!$B$2)+(T127*Settings!$B$3)+(U127*Settings!$B$4)+(V127*Settings!$B$5)+(X127*Settings!$B$9)+(AA127*Settings!$B$6)+(W127*Settings!$B$8)+(AB127*Settings!$B$7)+(AC127*Settings!$B$14)+(AD127*Settings!$B$15)+(AE127*Settings!$B$16)+(AF127*Settings!$B$17)+(AG127*Settings!$B$18)+(U127*Settings!$B$13)+(Y127*Settings!$B$10)+(Z127*Settings!$B$11),VLOOKUP(B127,'Standard Deviations'!A$1:C$672,3,FALSE))</f>
        <v>252.75828190852346</v>
      </c>
      <c r="J127" s="53" cm="1">
        <f t="array" ref="J127">IF(D127="G",I127/AJ127,I127/Q127)</f>
        <v>3.0974330677188009</v>
      </c>
      <c r="K127" s="52" cm="1">
        <f t="array" ref="K127">VLOOKUP(B127,D!A1:F204,6,FALSE)</f>
        <v>-53.895585436070604</v>
      </c>
      <c r="L127" s="54" cm="1">
        <f t="array" ref="L127">IFERROR(K127/H127,"N/A")</f>
        <v>-7.332732712390559</v>
      </c>
      <c r="M127" s="55">
        <v>140.5</v>
      </c>
      <c r="N127" s="55" cm="1">
        <f t="array" ref="N127">IFERROR(M127-A127,"N/A")</f>
        <v>14.5</v>
      </c>
      <c r="O127" s="55"/>
      <c r="P127" s="56" t="str" cm="1">
        <f t="array" ref="P127">_xlfn.XLOOKUP($B127,ADP!A2:A671,ADP!G2:G671)</f>
        <v xml:space="preserve"> </v>
      </c>
      <c r="Q127" s="57" cm="1">
        <f t="array" ref="Q127">IF(Settings!$E$12="YES",VLOOKUP(B127,'Player Data'!A1:E673,5,FALSE),84)</f>
        <v>81.602500000000006</v>
      </c>
      <c r="R127" s="55" cm="1">
        <f t="array" ref="R127">VLOOKUP(B127,'Player Data'!$A1:$AE673,6,FALSE)</f>
        <v>22.559549122294801</v>
      </c>
      <c r="S127" s="57" cm="1">
        <f t="array" ref="S127">VLOOKUP(B127,'Player Data'!$A1:$AE673,7,FALSE)*$Q127*IFERROR((VLOOKUP(P127,Settings!$E$28:$F$33,2,FALSE)+1),1)</f>
        <v>7.7758100999206476</v>
      </c>
      <c r="T127" s="57" cm="1">
        <f t="array" ref="T127">VLOOKUP(B127,'Player Data'!$A1:$AE673,8,FALSE)*$Q127*IFERROR((VLOOKUP(P127,Settings!$E$28:$F$33,2,FALSE)+1),1)</f>
        <v>28.026952508190757</v>
      </c>
      <c r="U127" s="57" cm="1">
        <f t="array" ref="U127">SUM(S127:T127)</f>
        <v>35.802762608111408</v>
      </c>
      <c r="V127" s="57" cm="1">
        <f t="array" ref="V127">VLOOKUP(B127,'Player Data'!$A1:$AE673,10,FALSE)*$Q127*IFERROR(((VLOOKUP(P127,Settings!$E$28:$F$33,2,FALSE)/2)+1),1)</f>
        <v>151.24191324843031</v>
      </c>
      <c r="W127" s="57" cm="1">
        <f t="array" ref="W127">VLOOKUP(B127,'Player Data'!$A1:$AE673,11,FALSE)*$Q127*IFERROR((VLOOKUP(P127,Settings!$E$28:$F$33,2,FALSE)+1),1)</f>
        <v>1.1055499082897382</v>
      </c>
      <c r="X127" s="57" cm="1">
        <f t="array" ref="X127">VLOOKUP(B127,'Player Data'!$A1:$AE673,12,FALSE)*$Q127*IFERROR((VLOOKUP(P127,Settings!$E$28:$F$33,2,FALSE)+1),1)</f>
        <v>5.8269548669388014</v>
      </c>
      <c r="Y127" s="57" cm="1">
        <f t="array" ref="Y127">VLOOKUP(B127,'Player Data'!$A1:$AE673,13,FALSE)*$Q127</f>
        <v>1.5795652953505449E-2</v>
      </c>
      <c r="Z127" s="57" cm="1">
        <f t="array" ref="Z127">VLOOKUP(B127,'Player Data'!$A1:$AE673,14,FALSE)*$Q127</f>
        <v>0.41052877778613189</v>
      </c>
      <c r="AA127" s="57" cm="1">
        <f t="array" ref="AA127">VLOOKUP(B127,'Player Data'!$A1:$AE673,15,FALSE)*$Q127</f>
        <v>126.98310763049832</v>
      </c>
      <c r="AB127" s="57" cm="1">
        <f t="array" ref="AB127">VLOOKUP(B127,'Player Data'!$A1:$AE673,16,FALSE)*$Q127</f>
        <v>47.79929595354799</v>
      </c>
      <c r="AC127" s="57" cm="1">
        <f t="array" ref="AC127">VLOOKUP(B127,'Player Data'!$A1:$AE673,17,FALSE)*$Q127*IFERROR((VLOOKUP(P127,Settings!$E$28:$F$33,2,FALSE)+1),1)</f>
        <v>5.8745006567727396</v>
      </c>
      <c r="AD127" s="57" cm="1">
        <f t="array" ref="AD127">VLOOKUP(B127,'Player Data'!$A1:$AE673,18,FALSE)*$Q127</f>
        <v>23.263323236608308</v>
      </c>
      <c r="AE127" s="57" cm="1">
        <f t="array" ref="AE127">VLOOKUP(B127,'Player Data'!$A1:$AE673,19,FALSE)*$Q127*IFERROR((VLOOKUP(P127,Settings!$E$28:$F$33,2,FALSE)+1),1)</f>
        <v>1.4834490853898072</v>
      </c>
      <c r="AF127" s="57" cm="1">
        <f t="array" ref="AF127">VLOOKUP(B127,'Player Data'!$A1:$AE673,20,FALSE)*$Q127</f>
        <v>0</v>
      </c>
      <c r="AG127" s="57" cm="1">
        <f t="array" ref="AG127">VLOOKUP(B127,'Player Data'!$A1:$AE673,21,FALSE)*$Q127</f>
        <v>0</v>
      </c>
      <c r="AH127" s="59" cm="1">
        <f t="array" ref="AH127">VLOOKUP(B127,'Player Data'!$A1:$AE673,22,FALSE)</f>
        <v>0</v>
      </c>
      <c r="AI127" s="55"/>
      <c r="AJ127" s="57"/>
      <c r="AK127" s="57"/>
      <c r="AL127" s="57"/>
      <c r="AM127" s="57"/>
      <c r="AN127" s="57"/>
      <c r="AO127" s="57"/>
      <c r="AP127" s="57"/>
      <c r="AQ127" s="60"/>
      <c r="AR127" s="61"/>
      <c r="AS127" s="55"/>
    </row>
    <row r="128" spans="1:45" ht="21.25" customHeight="1" x14ac:dyDescent="0.15">
      <c r="A128" s="62">
        <f t="shared" si="1"/>
        <v>127</v>
      </c>
      <c r="B128" s="10" t="s">
        <v>256</v>
      </c>
      <c r="C128" s="47" t="s">
        <v>147</v>
      </c>
      <c r="D128" s="48" t="str" cm="1">
        <f t="array" ref="D128">VLOOKUP(B128,'Player Data'!A1:D673,4,FALSE)</f>
        <v>D</v>
      </c>
      <c r="E128" s="68" cm="1">
        <f t="array" ref="E128">VLOOKUP(B128,D!A1:C204,3,FALSE)</f>
        <v>43</v>
      </c>
      <c r="F128" s="63" t="str" cm="1">
        <f t="array" ref="F128">VLOOKUP(B128,'Player Data'!A1:B673,2,FALSE)</f>
        <v>CGY</v>
      </c>
      <c r="G128" s="71" cm="1">
        <f t="array" ref="G128">VLOOKUP(B128,'Player Data'!A1:D673,3,FALSE)</f>
        <v>22</v>
      </c>
      <c r="H128" s="51" cm="1">
        <f t="array" ref="H128">IFERROR(VLOOKUP(B128,ADP!A1:F671,6,FALSE)/1000000,VLOOKUP(B128,ADP!A1:F671,6,FALSE))</f>
        <v>7.25</v>
      </c>
      <c r="I128" s="52">
        <f>IF(Settings!$E$15="POINTS",((R128*Q128)*Settings!$B$12)+(S128*Settings!$B$2)+(T128*Settings!$B$3)+(U128*Settings!$B$4)+(V128*Settings!$B$5)+(X128*Settings!$B$9)+(AA128*Settings!$B$6)+(W128*Settings!$B$8)+(AB128*Settings!$B$7)+(AC128*Settings!$B$14)+(AD128*Settings!$B$15)+(AE128*Settings!$B$16)+(AF128*Settings!$B$17)+(AG128*Settings!$B$18)+(U128*Settings!$B$13)+(Y128*Settings!$B$10)+(Z128*Settings!$B$11),VLOOKUP(B128,'Standard Deviations'!A$1:C$672,3,FALSE))</f>
        <v>252.58600272309661</v>
      </c>
      <c r="J128" s="53" cm="1">
        <f t="array" ref="J128">IF(D128="G",I128/AJ128,I128/Q128)</f>
        <v>3.5187685400076147</v>
      </c>
      <c r="K128" s="52" cm="1">
        <f t="array" ref="K128">VLOOKUP(B128,D!A1:F204,6,FALSE)</f>
        <v>-54.067864621497449</v>
      </c>
      <c r="L128" s="54" cm="1">
        <f t="array" ref="L128">IFERROR(K128/H128,"N/A")</f>
        <v>-7.4576364995168891</v>
      </c>
      <c r="M128" s="55">
        <v>143.19999999999999</v>
      </c>
      <c r="N128" s="55" cm="1">
        <f t="array" ref="N128">IFERROR(M128-A128,"N/A")</f>
        <v>16.199999999999989</v>
      </c>
      <c r="O128" s="55"/>
      <c r="P128" s="56" t="str" cm="1">
        <f t="array" ref="P128">_xlfn.XLOOKUP($B128,ADP!A2:A671,ADP!G2:G671)</f>
        <v>+</v>
      </c>
      <c r="Q128" s="57" cm="1">
        <f t="array" ref="Q128">IF(Settings!$E$12="YES",VLOOKUP(B128,'Player Data'!A1:E673,5,FALSE),84)</f>
        <v>71.782499999999999</v>
      </c>
      <c r="R128" s="82" cm="1">
        <f t="array" ref="R128">VLOOKUP(B128,'Player Data'!$A1:$AE673,6,FALSE)</f>
        <v>23.598076362117698</v>
      </c>
      <c r="S128" s="57" cm="1">
        <f t="array" ref="S128">VLOOKUP(B128,'Player Data'!$A1:$AE673,7,FALSE)*$Q128*IFERROR((VLOOKUP(P128,Settings!$E$28:$F$33,2,FALSE)+1),1)</f>
        <v>11.680507534186219</v>
      </c>
      <c r="T128" s="57" cm="1">
        <f t="array" ref="T128">VLOOKUP(B128,'Player Data'!$A1:$AE673,8,FALSE)*$Q128*IFERROR((VLOOKUP(P128,Settings!$E$28:$F$33,2,FALSE)+1),1)</f>
        <v>26.109753828821496</v>
      </c>
      <c r="U128" s="57" cm="1">
        <f t="array" ref="U128">SUM(S128:T128)</f>
        <v>37.790261363007716</v>
      </c>
      <c r="V128" s="57" cm="1">
        <f t="array" ref="V128">VLOOKUP(B128,'Player Data'!$A1:$AE673,10,FALSE)*$Q128*IFERROR(((VLOOKUP(P128,Settings!$E$28:$F$33,2,FALSE)/2)+1),1)</f>
        <v>139.93568187200395</v>
      </c>
      <c r="W128" s="57" cm="1">
        <f t="array" ref="W128">VLOOKUP(B128,'Player Data'!$A1:$AE673,11,FALSE)*$Q128*IFERROR((VLOOKUP(P128,Settings!$E$28:$F$33,2,FALSE)+1),1)</f>
        <v>2.0166842121804831</v>
      </c>
      <c r="X128" s="79" cm="1">
        <f t="array" ref="X128">VLOOKUP(B128,'Player Data'!$A1:$AE673,12,FALSE)*$Q128*IFERROR((VLOOKUP(P128,Settings!$E$28:$F$33,2,FALSE)+1),1)</f>
        <v>9.7952574285797311</v>
      </c>
      <c r="Y128" s="57" cm="1">
        <f t="array" ref="Y128">VLOOKUP(B128,'Player Data'!$A1:$AE673,13,FALSE)*$Q128</f>
        <v>1.8126133780525199E-2</v>
      </c>
      <c r="Z128" s="57" cm="1">
        <f t="array" ref="Z128">VLOOKUP(B128,'Player Data'!$A1:$AE673,14,FALSE)*$Q128</f>
        <v>6.2262833094184088E-2</v>
      </c>
      <c r="AA128" s="57" cm="1">
        <f t="array" ref="AA128">VLOOKUP(B128,'Player Data'!$A1:$AE673,15,FALSE)*$Q128</f>
        <v>118.77971487279511</v>
      </c>
      <c r="AB128" s="57" cm="1">
        <f t="array" ref="AB128">VLOOKUP(B128,'Player Data'!$A1:$AE673,16,FALSE)*$Q128</f>
        <v>33.226106863583787</v>
      </c>
      <c r="AC128" s="57" cm="1">
        <f t="array" ref="AC128">VLOOKUP(B128,'Player Data'!$A1:$AE673,17,FALSE)*$Q128*IFERROR((VLOOKUP(P128,Settings!$E$28:$F$33,2,FALSE)+1),1)</f>
        <v>-8.8315899646135172</v>
      </c>
      <c r="AD128" s="57" cm="1">
        <f t="array" ref="AD128">VLOOKUP(B128,'Player Data'!$A1:$AE673,18,FALSE)*$Q128</f>
        <v>40.270689998222963</v>
      </c>
      <c r="AE128" s="57" cm="1">
        <f t="array" ref="AE128">VLOOKUP(B128,'Player Data'!$A1:$AE673,19,FALSE)*$Q128*IFERROR((VLOOKUP(P128,Settings!$E$28:$F$33,2,FALSE)+1),1)</f>
        <v>1.6793646068388706</v>
      </c>
      <c r="AF128" s="57" cm="1">
        <f t="array" ref="AF128">VLOOKUP(B128,'Player Data'!$A1:$AE673,20,FALSE)*$Q128</f>
        <v>0</v>
      </c>
      <c r="AG128" s="57" cm="1">
        <f t="array" ref="AG128">VLOOKUP(B128,'Player Data'!$A1:$AE673,21,FALSE)*$Q128</f>
        <v>0</v>
      </c>
      <c r="AH128" s="59" cm="1">
        <f t="array" ref="AH128">VLOOKUP(B128,'Player Data'!$A1:$AE673,22,FALSE)</f>
        <v>0</v>
      </c>
      <c r="AI128" s="55"/>
      <c r="AJ128" s="57"/>
      <c r="AK128" s="57"/>
      <c r="AL128" s="57"/>
      <c r="AM128" s="57"/>
      <c r="AN128" s="57"/>
      <c r="AO128" s="57"/>
      <c r="AP128" s="57"/>
      <c r="AQ128" s="60"/>
      <c r="AR128" s="61"/>
      <c r="AS128" s="55"/>
    </row>
    <row r="129" spans="1:45" ht="21.25" customHeight="1" x14ac:dyDescent="0.15">
      <c r="A129" s="62">
        <f t="shared" si="1"/>
        <v>128</v>
      </c>
      <c r="B129" s="10" t="s">
        <v>257</v>
      </c>
      <c r="C129" s="47" t="s">
        <v>128</v>
      </c>
      <c r="D129" s="48" t="str" cm="1">
        <f t="array" ref="D129">VLOOKUP(B129,'Player Data'!A1:D673,4,FALSE)</f>
        <v>RW</v>
      </c>
      <c r="E129" s="64" cm="1">
        <f t="array" ref="E129">VLOOKUP(B129,RW!A1:F210,3,FALSE)</f>
        <v>35</v>
      </c>
      <c r="F129" s="69" t="str" cm="1">
        <f t="array" ref="F129">VLOOKUP(B129,'Player Data'!A1:B673,2,FALSE)</f>
        <v>MTL</v>
      </c>
      <c r="G129" s="71" cm="1">
        <f t="array" ref="G129">VLOOKUP(B129,'Player Data'!A1:D673,3,FALSE)</f>
        <v>20</v>
      </c>
      <c r="H129" s="51" cm="1">
        <f t="array" ref="H129">IFERROR(VLOOKUP(B129,ADP!A1:F671,6,FALSE)/1000000,VLOOKUP(B129,ADP!A1:F671,6,FALSE))</f>
        <v>0.94083300000000003</v>
      </c>
      <c r="I129" s="52">
        <f>IF(Settings!$E$15="POINTS",((R129*Q129)*Settings!$B$12)+(S129*Settings!$B$2)+(T129*Settings!$B$3)+(U129*Settings!$B$4)+(V129*Settings!$B$5)+(X129*Settings!$B$9)+(AA129*Settings!$B$6)+(W129*Settings!$B$8)+(AB129*Settings!$B$7)+(AC129*Settings!$B$14)+(AD129*Settings!$B$15)+(AE129*Settings!$B$16)+(AF129*Settings!$B$17)+(AG129*Settings!$B$18)+(Y129*Settings!$B$10)+(Z129*Settings!$B$11),VLOOKUP(B129,'Standard Deviations'!A$1:C$672,3,FALSE))</f>
        <v>340.41376305749532</v>
      </c>
      <c r="J129" s="53" cm="1">
        <f t="array" ref="J129">IF(D129="G",I129/AJ129,I129/Q129)</f>
        <v>4.0839033418210704</v>
      </c>
      <c r="K129" s="52" cm="1">
        <f t="array" ref="K129">IF(Settings!$E$18="C/LW/RW",VLOOKUP(B129,RW!A1:F210,6,FALSE),VLOOKUP(B129,F!A1:F407,6,FALSE))</f>
        <v>-54.529701636062157</v>
      </c>
      <c r="L129" s="54" cm="1">
        <f t="array" ref="L129">IFERROR(K129/H129,"N/A")</f>
        <v>-57.958959386056989</v>
      </c>
      <c r="M129" s="55">
        <v>84.8</v>
      </c>
      <c r="N129" s="55" cm="1">
        <f t="array" ref="N129">IFERROR(M129-A129,"N/A")</f>
        <v>-43.2</v>
      </c>
      <c r="O129" s="55"/>
      <c r="P129" s="56" t="str" cm="1">
        <f t="array" ref="P129">_xlfn.XLOOKUP($B129,ADP!A2:A671,ADP!G2:G671)</f>
        <v>+</v>
      </c>
      <c r="Q129" s="57" cm="1">
        <f t="array" ref="Q129">IF(Settings!$E$12="YES",VLOOKUP(B129,'Player Data'!A1:E673,5,FALSE),84)</f>
        <v>83.355000000000004</v>
      </c>
      <c r="R129" s="82" cm="1">
        <f t="array" ref="R129">VLOOKUP(B129,'Player Data'!$A1:$AE673,6,FALSE)</f>
        <v>17.262506797049902</v>
      </c>
      <c r="S129" s="57" cm="1">
        <f t="array" ref="S129">VLOOKUP(B129,'Player Data'!$A1:$AE673,7,FALSE)*$Q129*IFERROR((VLOOKUP(P129,Settings!$E$28:$F$33,2,FALSE)+1),1)</f>
        <v>24.561992413312204</v>
      </c>
      <c r="T129" s="57" cm="1">
        <f t="array" ref="T129">VLOOKUP(B129,'Player Data'!$A1:$AE673,8,FALSE)*$Q129*IFERROR((VLOOKUP(P129,Settings!$E$28:$F$33,2,FALSE)+1),1)</f>
        <v>49.547744397777741</v>
      </c>
      <c r="U129" s="57" cm="1">
        <f t="array" ref="U129">SUM(S129:T129)</f>
        <v>74.109736811089945</v>
      </c>
      <c r="V129" s="57" cm="1">
        <f t="array" ref="V129">VLOOKUP(B129,'Player Data'!$A1:$AE673,10,FALSE)*$Q129*IFERROR(((VLOOKUP(P129,Settings!$E$28:$F$33,2,FALSE)/2)+1),1)</f>
        <v>154.25230507657767</v>
      </c>
      <c r="W129" s="58" cm="1">
        <f t="array" ref="W129">VLOOKUP(B129,'Player Data'!$A1:$AE673,11,FALSE)*$Q129*IFERROR((VLOOKUP(P129,Settings!$E$28:$F$33,2,FALSE)+1),1)</f>
        <v>8.9923449297753333</v>
      </c>
      <c r="X129" s="57" cm="1">
        <f t="array" ref="X129">VLOOKUP(B129,'Player Data'!$A1:$AE673,12,FALSE)*$Q129*IFERROR((VLOOKUP(P129,Settings!$E$28:$F$33,2,FALSE)+1),1)</f>
        <v>25.44506050240846</v>
      </c>
      <c r="Y129" s="57" cm="1">
        <f t="array" ref="Y129">VLOOKUP(B129,'Player Data'!$A1:$AE673,13,FALSE)*$Q129</f>
        <v>4.6151562767049658E-3</v>
      </c>
      <c r="Z129" s="57" cm="1">
        <f t="array" ref="Z129">VLOOKUP(B129,'Player Data'!$A1:$AE673,14,FALSE)*$Q129</f>
        <v>7.5733716231821393E-3</v>
      </c>
      <c r="AA129" s="57" cm="1">
        <f t="array" ref="AA129">VLOOKUP(B129,'Player Data'!$A1:$AE673,15,FALSE)*$Q129</f>
        <v>31.011532423810021</v>
      </c>
      <c r="AB129" s="57" cm="1">
        <f t="array" ref="AB129">VLOOKUP(B129,'Player Data'!$A1:$AE673,16,FALSE)*$Q129</f>
        <v>42.460981508612079</v>
      </c>
      <c r="AC129" s="57" cm="1">
        <f t="array" ref="AC129">VLOOKUP(B129,'Player Data'!$A1:$AE673,17,FALSE)*$Q129*IFERROR((VLOOKUP(P129,Settings!$E$28:$F$33,2,FALSE)+1),1)</f>
        <v>3.122162364991707</v>
      </c>
      <c r="AD129" s="57" cm="1">
        <f t="array" ref="AD129">VLOOKUP(B129,'Player Data'!$A1:$AE673,18,FALSE)*$Q129</f>
        <v>36.454252997939101</v>
      </c>
      <c r="AE129" s="57" cm="1">
        <f t="array" ref="AE129">VLOOKUP(B129,'Player Data'!$A1:$AE673,19,FALSE)*$Q129*IFERROR((VLOOKUP(P129,Settings!$E$28:$F$33,2,FALSE)+1),1)</f>
        <v>4.0893298904576367</v>
      </c>
      <c r="AF129" s="57" cm="1">
        <f t="array" ref="AF129">VLOOKUP(B129,'Player Data'!$A1:$AE673,20,FALSE)*$Q129</f>
        <v>0</v>
      </c>
      <c r="AG129" s="57" cm="1">
        <f t="array" ref="AG129">VLOOKUP(B129,'Player Data'!$A1:$AE673,21,FALSE)*$Q129</f>
        <v>0.23213192313742081</v>
      </c>
      <c r="AH129" s="59" cm="1">
        <f t="array" ref="AH129">VLOOKUP(B129,'Player Data'!$A1:$AE673,22,FALSE)</f>
        <v>0</v>
      </c>
      <c r="AI129" s="55"/>
      <c r="AJ129" s="57"/>
      <c r="AK129" s="57"/>
      <c r="AL129" s="57"/>
      <c r="AM129" s="57"/>
      <c r="AN129" s="57"/>
      <c r="AO129" s="57"/>
      <c r="AP129" s="57"/>
      <c r="AQ129" s="60"/>
      <c r="AR129" s="61"/>
      <c r="AS129" s="55"/>
    </row>
    <row r="130" spans="1:45" ht="21.25" customHeight="1" x14ac:dyDescent="0.15">
      <c r="A130" s="62">
        <f t="shared" ref="A130:A193" si="2">RANK(K130,K$2:K$671)</f>
        <v>129</v>
      </c>
      <c r="B130" s="10" t="s">
        <v>258</v>
      </c>
      <c r="C130" s="47" t="s">
        <v>128</v>
      </c>
      <c r="D130" s="48" t="str" cm="1">
        <f t="array" ref="D130">VLOOKUP(B130,'Player Data'!A1:D673,4,FALSE)</f>
        <v>C,LW,RW</v>
      </c>
      <c r="E130" s="74" cm="1">
        <f t="array" ref="E130">VLOOKUP(B130,RW!A1:F210,3,FALSE)</f>
        <v>36</v>
      </c>
      <c r="F130" s="56" t="str" cm="1">
        <f t="array" ref="F130">VLOOKUP(B130,'Player Data'!A1:B673,2,FALSE)</f>
        <v>NYR</v>
      </c>
      <c r="G130" s="66" cm="1">
        <f t="array" ref="G130">VLOOKUP(B130,'Player Data'!A1:D673,3,FALSE)</f>
        <v>33</v>
      </c>
      <c r="H130" s="51" cm="1">
        <f t="array" ref="H130">IFERROR(VLOOKUP(B130,ADP!A1:F671,6,FALSE)/1000000,VLOOKUP(B130,ADP!A1:F671,6,FALSE))</f>
        <v>8</v>
      </c>
      <c r="I130" s="52">
        <f>IF(Settings!$E$15="POINTS",((R130*Q130)*Settings!$B$12)+(S130*Settings!$B$2)+(T130*Settings!$B$3)+(U130*Settings!$B$4)+(V130*Settings!$B$5)+(X130*Settings!$B$9)+(AA130*Settings!$B$6)+(W130*Settings!$B$8)+(AB130*Settings!$B$7)+(AC130*Settings!$B$14)+(AD130*Settings!$B$15)+(AE130*Settings!$B$16)+(AF130*Settings!$B$17)+(AG130*Settings!$B$18)+(Y130*Settings!$B$10)+(Z130*Settings!$B$11),VLOOKUP(B130,'Standard Deviations'!A$1:C$672,3,FALSE))</f>
        <v>340.14791021061484</v>
      </c>
      <c r="J130" s="53" cm="1">
        <f t="array" ref="J130">IF(D130="G",I130/AJ130,I130/Q130)</f>
        <v>4.2481317623406376</v>
      </c>
      <c r="K130" s="52" cm="1">
        <f t="array" ref="K130">IF(Settings!$E$18="C/LW/RW",VLOOKUP(B130,RW!A1:F210,6,FALSE),VLOOKUP(B130,F!A1:F407,6,FALSE))</f>
        <v>-54.795554482942634</v>
      </c>
      <c r="L130" s="54" cm="1">
        <f t="array" ref="L130">IFERROR(K130/H130,"N/A")</f>
        <v>-6.8494443103678293</v>
      </c>
      <c r="M130" s="55">
        <v>112.2</v>
      </c>
      <c r="N130" s="55" cm="1">
        <f t="array" ref="N130">IFERROR(M130-A130,"N/A")</f>
        <v>-16.799999999999997</v>
      </c>
      <c r="O130" s="55"/>
      <c r="P130" s="56" t="str" cm="1">
        <f t="array" ref="P130">_xlfn.XLOOKUP($B130,ADP!A2:A671,ADP!G2:G671)</f>
        <v xml:space="preserve"> </v>
      </c>
      <c r="Q130" s="57" cm="1">
        <f t="array" ref="Q130">IF(Settings!$E$12="YES",VLOOKUP(B130,'Player Data'!A1:E673,5,FALSE),84)</f>
        <v>80.069999999999993</v>
      </c>
      <c r="R130" s="55" cm="1">
        <f t="array" ref="R130">VLOOKUP(B130,'Player Data'!$A1:$AE673,6,FALSE)</f>
        <v>19.879709160352402</v>
      </c>
      <c r="S130" s="57" cm="1">
        <f t="array" ref="S130">VLOOKUP(B130,'Player Data'!$A1:$AE673,7,FALSE)*$Q130*IFERROR((VLOOKUP(P130,Settings!$E$28:$F$33,2,FALSE)+1),1)</f>
        <v>22.539047176313478</v>
      </c>
      <c r="T130" s="57" cm="1">
        <f t="array" ref="T130">VLOOKUP(B130,'Player Data'!$A1:$AE673,8,FALSE)*$Q130*IFERROR((VLOOKUP(P130,Settings!$E$28:$F$33,2,FALSE)+1),1)</f>
        <v>46.479337680449781</v>
      </c>
      <c r="U130" s="57" cm="1">
        <f t="array" ref="U130">SUM(S130:T130)</f>
        <v>69.018384856763262</v>
      </c>
      <c r="V130" s="57" cm="1">
        <f t="array" ref="V130">VLOOKUP(B130,'Player Data'!$A1:$AE673,10,FALSE)*$Q130*IFERROR(((VLOOKUP(P130,Settings!$E$28:$F$33,2,FALSE)/2)+1),1)</f>
        <v>170.11089416878409</v>
      </c>
      <c r="W130" s="58" cm="1">
        <f t="array" ref="W130">VLOOKUP(B130,'Player Data'!$A1:$AE673,11,FALSE)*$Q130*IFERROR((VLOOKUP(P130,Settings!$E$28:$F$33,2,FALSE)+1),1)</f>
        <v>6.1559366499749775</v>
      </c>
      <c r="X130" s="57" cm="1">
        <f t="array" ref="X130">VLOOKUP(B130,'Player Data'!$A1:$AE673,12,FALSE)*$Q130*IFERROR((VLOOKUP(P130,Settings!$E$28:$F$33,2,FALSE)+1),1)</f>
        <v>22.243489613904803</v>
      </c>
      <c r="Y130" s="57" cm="1">
        <f t="array" ref="Y130">VLOOKUP(B130,'Player Data'!$A1:$AE673,13,FALSE)*$Q130</f>
        <v>0.48145038416134939</v>
      </c>
      <c r="Z130" s="57" cm="1">
        <f t="array" ref="Z130">VLOOKUP(B130,'Player Data'!$A1:$AE673,14,FALSE)*$Q130</f>
        <v>2.1278626581996445</v>
      </c>
      <c r="AA130" s="57" cm="1">
        <f t="array" ref="AA130">VLOOKUP(B130,'Player Data'!$A1:$AE673,15,FALSE)*$Q130</f>
        <v>47.331912567657142</v>
      </c>
      <c r="AB130" s="57" cm="1">
        <f t="array" ref="AB130">VLOOKUP(B130,'Player Data'!$A1:$AE673,16,FALSE)*$Q130</f>
        <v>153.77036412651171</v>
      </c>
      <c r="AC130" s="57" cm="1">
        <f t="array" ref="AC130">VLOOKUP(B130,'Player Data'!$A1:$AE673,17,FALSE)*$Q130*IFERROR((VLOOKUP(P130,Settings!$E$28:$F$33,2,FALSE)+1),1)</f>
        <v>4.5073005671815859E-2</v>
      </c>
      <c r="AD130" s="57" cm="1">
        <f t="array" ref="AD130">VLOOKUP(B130,'Player Data'!$A1:$AE673,18,FALSE)*$Q130</f>
        <v>49.541478441163726</v>
      </c>
      <c r="AE130" s="57" cm="1">
        <f t="array" ref="AE130">VLOOKUP(B130,'Player Data'!$A1:$AE673,19,FALSE)*$Q130*IFERROR((VLOOKUP(P130,Settings!$E$28:$F$33,2,FALSE)+1),1)</f>
        <v>3.5409697803876456</v>
      </c>
      <c r="AF130" s="57" cm="1">
        <f t="array" ref="AF130">VLOOKUP(B130,'Player Data'!$A1:$AE673,20,FALSE)*$Q130</f>
        <v>676.04333773405949</v>
      </c>
      <c r="AG130" s="57" cm="1">
        <f t="array" ref="AG130">VLOOKUP(B130,'Player Data'!$A1:$AE673,21,FALSE)*$Q130</f>
        <v>469.33095442557374</v>
      </c>
      <c r="AH130" s="59" cm="1">
        <f t="array" ref="AH130">VLOOKUP(B130,'Player Data'!$A1:$AE673,22,FALSE)</f>
        <v>0.59023791817377202</v>
      </c>
      <c r="AI130" s="55"/>
      <c r="AJ130" s="57"/>
      <c r="AK130" s="57"/>
      <c r="AL130" s="57"/>
      <c r="AM130" s="57"/>
      <c r="AN130" s="57"/>
      <c r="AO130" s="57"/>
      <c r="AP130" s="57"/>
      <c r="AQ130" s="60"/>
      <c r="AR130" s="61"/>
      <c r="AS130" s="55"/>
    </row>
    <row r="131" spans="1:45" ht="21.25" customHeight="1" x14ac:dyDescent="0.15">
      <c r="A131" s="62">
        <f t="shared" si="2"/>
        <v>130</v>
      </c>
      <c r="B131" s="10" t="s">
        <v>259</v>
      </c>
      <c r="C131" s="47" t="s">
        <v>147</v>
      </c>
      <c r="D131" s="48" t="str" cm="1">
        <f t="array" ref="D131">VLOOKUP(B131,'Player Data'!A1:D673,4,FALSE)</f>
        <v>D</v>
      </c>
      <c r="E131" s="68" cm="1">
        <f t="array" ref="E131">VLOOKUP(B131,D!A1:C204,3,FALSE)</f>
        <v>44</v>
      </c>
      <c r="F131" s="56" t="str" cm="1">
        <f t="array" ref="F131">VLOOKUP(B131,'Player Data'!A1:B673,2,FALSE)</f>
        <v>S.J</v>
      </c>
      <c r="G131" s="66" cm="1">
        <f t="array" ref="G131">VLOOKUP(B131,'Player Data'!A1:D673,3,FALSE)</f>
        <v>31</v>
      </c>
      <c r="H131" s="51" cm="1">
        <f t="array" ref="H131">IFERROR(VLOOKUP(B131,ADP!A1:F671,6,FALSE)/1000000,VLOOKUP(B131,ADP!A1:F671,6,FALSE))</f>
        <v>9.25</v>
      </c>
      <c r="I131" s="52">
        <f>IF(Settings!$E$15="POINTS",((R131*Q131)*Settings!$B$12)+(S131*Settings!$B$2)+(T131*Settings!$B$3)+(U131*Settings!$B$4)+(V131*Settings!$B$5)+(X131*Settings!$B$9)+(AA131*Settings!$B$6)+(W131*Settings!$B$8)+(AB131*Settings!$B$7)+(AC131*Settings!$B$14)+(AD131*Settings!$B$15)+(AE131*Settings!$B$16)+(AF131*Settings!$B$17)+(AG131*Settings!$B$18)+(U131*Settings!$B$13)+(Y131*Settings!$B$10)+(Z131*Settings!$B$11),VLOOKUP(B131,'Standard Deviations'!A$1:C$672,3,FALSE))</f>
        <v>251.72642091330835</v>
      </c>
      <c r="J131" s="53" cm="1">
        <f t="array" ref="J131">IF(D131="G",I131/AJ131,I131/Q131)</f>
        <v>3.0290165563240277</v>
      </c>
      <c r="K131" s="52" cm="1">
        <f t="array" ref="K131">VLOOKUP(B131,D!A1:F204,6,FALSE)</f>
        <v>-54.927446431285716</v>
      </c>
      <c r="L131" s="54" cm="1">
        <f t="array" ref="L131">IFERROR(K131/H131,"N/A")</f>
        <v>-5.938102316895753</v>
      </c>
      <c r="M131" s="55">
        <v>130.1</v>
      </c>
      <c r="N131" s="55" cm="1">
        <f t="array" ref="N131">IFERROR(M131-A131,"N/A")</f>
        <v>9.9999999999994316E-2</v>
      </c>
      <c r="O131" s="55"/>
      <c r="P131" s="56" t="str" cm="1">
        <f t="array" ref="P131">_xlfn.XLOOKUP($B131,ADP!A2:A671,ADP!G2:G671)</f>
        <v xml:space="preserve"> </v>
      </c>
      <c r="Q131" s="57" cm="1">
        <f t="array" ref="Q131">IF(Settings!$E$12="YES",VLOOKUP(B131,'Player Data'!A1:E673,5,FALSE),84)</f>
        <v>83.105000000000004</v>
      </c>
      <c r="R131" s="82" cm="1">
        <f t="array" ref="R131">VLOOKUP(B131,'Player Data'!$A1:$AE673,6,FALSE)</f>
        <v>22.384778458460399</v>
      </c>
      <c r="S131" s="57" cm="1">
        <f t="array" ref="S131">VLOOKUP(B131,'Player Data'!$A1:$AE673,7,FALSE)*$Q131*IFERROR((VLOOKUP(P131,Settings!$E$28:$F$33,2,FALSE)+1),1)</f>
        <v>5.2754520007457844</v>
      </c>
      <c r="T131" s="57" cm="1">
        <f t="array" ref="T131">VLOOKUP(B131,'Player Data'!$A1:$AE673,8,FALSE)*$Q131*IFERROR((VLOOKUP(P131,Settings!$E$28:$F$33,2,FALSE)+1),1)</f>
        <v>21.076870105002381</v>
      </c>
      <c r="U131" s="57" cm="1">
        <f t="array" ref="U131">SUM(S131:T131)</f>
        <v>26.352322105748165</v>
      </c>
      <c r="V131" s="57" cm="1">
        <f t="array" ref="V131">VLOOKUP(B131,'Player Data'!$A1:$AE673,10,FALSE)*$Q131*IFERROR(((VLOOKUP(P131,Settings!$E$28:$F$33,2,FALSE)/2)+1),1)</f>
        <v>163.34849168066017</v>
      </c>
      <c r="W131" s="57" cm="1">
        <f t="array" ref="W131">VLOOKUP(B131,'Player Data'!$A1:$AE673,11,FALSE)*$Q131*IFERROR((VLOOKUP(P131,Settings!$E$28:$F$33,2,FALSE)+1),1)</f>
        <v>6.2723308544151854E-2</v>
      </c>
      <c r="X131" s="57" cm="1">
        <f t="array" ref="X131">VLOOKUP(B131,'Player Data'!$A1:$AE673,12,FALSE)*$Q131*IFERROR((VLOOKUP(P131,Settings!$E$28:$F$33,2,FALSE)+1),1)</f>
        <v>0.65573611485036953</v>
      </c>
      <c r="Y131" s="57" cm="1">
        <f t="array" ref="Y131">VLOOKUP(B131,'Player Data'!$A1:$AE673,13,FALSE)*$Q131</f>
        <v>0.50091341259677491</v>
      </c>
      <c r="Z131" s="57" cm="1">
        <f t="array" ref="Z131">VLOOKUP(B131,'Player Data'!$A1:$AE673,14,FALSE)*$Q131</f>
        <v>1.379304622535471</v>
      </c>
      <c r="AA131" s="57" cm="1">
        <f t="array" ref="AA131">VLOOKUP(B131,'Player Data'!$A1:$AE673,15,FALSE)*$Q131</f>
        <v>177.92033603669586</v>
      </c>
      <c r="AB131" s="57" cm="1">
        <f t="array" ref="AB131">VLOOKUP(B131,'Player Data'!$A1:$AE673,16,FALSE)*$Q131</f>
        <v>141.59356899336385</v>
      </c>
      <c r="AC131" s="57" cm="1">
        <f t="array" ref="AC131">VLOOKUP(B131,'Player Data'!$A1:$AE673,17,FALSE)*$Q131*IFERROR((VLOOKUP(P131,Settings!$E$28:$F$33,2,FALSE)+1),1)</f>
        <v>-2.1860692456231159</v>
      </c>
      <c r="AD131" s="57" cm="1">
        <f t="array" ref="AD131">VLOOKUP(B131,'Player Data'!$A1:$AE673,18,FALSE)*$Q131</f>
        <v>63.712103289669585</v>
      </c>
      <c r="AE131" s="57" cm="1">
        <f t="array" ref="AE131">VLOOKUP(B131,'Player Data'!$A1:$AE673,19,FALSE)*$Q131*IFERROR((VLOOKUP(P131,Settings!$E$28:$F$33,2,FALSE)+1),1)</f>
        <v>0.73766401853283003</v>
      </c>
      <c r="AF131" s="57" cm="1">
        <f t="array" ref="AF131">VLOOKUP(B131,'Player Data'!$A1:$AE673,20,FALSE)*$Q131</f>
        <v>0</v>
      </c>
      <c r="AG131" s="57" cm="1">
        <f t="array" ref="AG131">VLOOKUP(B131,'Player Data'!$A1:$AE673,21,FALSE)*$Q131</f>
        <v>0</v>
      </c>
      <c r="AH131" s="59" cm="1">
        <f t="array" ref="AH131">VLOOKUP(B131,'Player Data'!$A1:$AE673,22,FALSE)</f>
        <v>0</v>
      </c>
      <c r="AI131" s="55"/>
      <c r="AJ131" s="57"/>
      <c r="AK131" s="57"/>
      <c r="AL131" s="57"/>
      <c r="AM131" s="57"/>
      <c r="AN131" s="57"/>
      <c r="AO131" s="57"/>
      <c r="AP131" s="57"/>
      <c r="AQ131" s="60"/>
      <c r="AR131" s="61"/>
      <c r="AS131" s="55"/>
    </row>
    <row r="132" spans="1:45" ht="21.25" customHeight="1" x14ac:dyDescent="0.15">
      <c r="A132" s="62">
        <f t="shared" si="2"/>
        <v>131</v>
      </c>
      <c r="B132" s="10" t="s">
        <v>260</v>
      </c>
      <c r="C132" s="47" t="s">
        <v>128</v>
      </c>
      <c r="D132" s="48" t="str" cm="1">
        <f t="array" ref="D132">VLOOKUP(B132,'Player Data'!A1:D673,4,FALSE)</f>
        <v>RW</v>
      </c>
      <c r="E132" s="64" cm="1">
        <f t="array" ref="E132">VLOOKUP(B132,RW!A1:F210,3,FALSE)</f>
        <v>37</v>
      </c>
      <c r="F132" s="63" t="str" cm="1">
        <f t="array" ref="F132">VLOOKUP(B132,'Player Data'!A1:B673,2,FALSE)</f>
        <v>VGK</v>
      </c>
      <c r="G132" s="66" cm="1">
        <f t="array" ref="G132">VLOOKUP(B132,'Player Data'!A1:D673,3,FALSE)</f>
        <v>34</v>
      </c>
      <c r="H132" s="67" cm="1">
        <f t="array" ref="H132">IFERROR(VLOOKUP(B132,ADP!A1:F671,6,FALSE)/1000000,VLOOKUP(B132,ADP!A1:F671,6,FALSE))</f>
        <v>9.5</v>
      </c>
      <c r="I132" s="52">
        <f>IF(Settings!$E$15="POINTS",((R132*Q132)*Settings!$B$12)+(S132*Settings!$B$2)+(T132*Settings!$B$3)+(U132*Settings!$B$4)+(V132*Settings!$B$5)+(X132*Settings!$B$9)+(AA132*Settings!$B$6)+(W132*Settings!$B$8)+(AB132*Settings!$B$7)+(AC132*Settings!$B$14)+(AD132*Settings!$B$15)+(AE132*Settings!$B$16)+(AF132*Settings!$B$17)+(AG132*Settings!$B$18)+(Y132*Settings!$B$10)+(Z132*Settings!$B$11),VLOOKUP(B132,'Standard Deviations'!A$1:C$672,3,FALSE))</f>
        <v>339.53523389198114</v>
      </c>
      <c r="J132" s="53" cm="1">
        <f t="array" ref="J132">IF(D132="G",I132/AJ132,I132/Q132)</f>
        <v>4.9931652042938399</v>
      </c>
      <c r="K132" s="52" cm="1">
        <f t="array" ref="K132">IF(Settings!$E$18="C/LW/RW",VLOOKUP(B132,RW!A1:F210,6,FALSE),VLOOKUP(B132,F!A1:F407,6,FALSE))</f>
        <v>-55.408230801576337</v>
      </c>
      <c r="L132" s="54" cm="1">
        <f t="array" ref="L132">IFERROR(K132/H132,"N/A")</f>
        <v>-5.8324453475343514</v>
      </c>
      <c r="M132" s="55">
        <v>106.1</v>
      </c>
      <c r="N132" s="55" cm="1">
        <f t="array" ref="N132">IFERROR(M132-A132,"N/A")</f>
        <v>-24.900000000000006</v>
      </c>
      <c r="O132" s="55"/>
      <c r="P132" s="56" t="str" cm="1">
        <f t="array" ref="P132">_xlfn.XLOOKUP($B132,ADP!A2:A671,ADP!G2:G671)</f>
        <v xml:space="preserve"> </v>
      </c>
      <c r="Q132" s="57" cm="1">
        <f t="array" ref="Q132">IF(Settings!$E$12="YES",VLOOKUP(B132,'Player Data'!A1:E673,5,FALSE),84)</f>
        <v>68</v>
      </c>
      <c r="R132" s="55" cm="1">
        <f t="array" ref="R132">VLOOKUP(B132,'Player Data'!$A1:$AE673,6,FALSE)</f>
        <v>19.5374012811229</v>
      </c>
      <c r="S132" s="57" cm="1">
        <f t="array" ref="S132">VLOOKUP(B132,'Player Data'!$A1:$AE673,7,FALSE)*$Q132*IFERROR((VLOOKUP(P132,Settings!$E$28:$F$33,2,FALSE)+1),1)</f>
        <v>24.131767173594874</v>
      </c>
      <c r="T132" s="57" cm="1">
        <f t="array" ref="T132">VLOOKUP(B132,'Player Data'!$A1:$AE673,8,FALSE)*$Q132*IFERROR((VLOOKUP(P132,Settings!$E$28:$F$33,2,FALSE)+1),1)</f>
        <v>46.703028729465672</v>
      </c>
      <c r="U132" s="57" cm="1">
        <f t="array" ref="U132">SUM(S132:T132)</f>
        <v>70.834795903060552</v>
      </c>
      <c r="V132" s="57" cm="1">
        <f t="array" ref="V132">VLOOKUP(B132,'Player Data'!$A1:$AE673,10,FALSE)*$Q132*IFERROR(((VLOOKUP(P132,Settings!$E$28:$F$33,2,FALSE)/2)+1),1)</f>
        <v>146.56532151695376</v>
      </c>
      <c r="W132" s="58" cm="1">
        <f t="array" ref="W132">VLOOKUP(B132,'Player Data'!$A1:$AE673,11,FALSE)*$Q132*IFERROR((VLOOKUP(P132,Settings!$E$28:$F$33,2,FALSE)+1),1)</f>
        <v>7.8717229418525765</v>
      </c>
      <c r="X132" s="57" cm="1">
        <f t="array" ref="X132">VLOOKUP(B132,'Player Data'!$A1:$AE673,12,FALSE)*$Q132*IFERROR((VLOOKUP(P132,Settings!$E$28:$F$33,2,FALSE)+1),1)</f>
        <v>27.298704749784477</v>
      </c>
      <c r="Y132" s="57" cm="1">
        <f t="array" ref="Y132">VLOOKUP(B132,'Player Data'!$A1:$AE673,13,FALSE)*$Q132</f>
        <v>0.92152852896362403</v>
      </c>
      <c r="Z132" s="57" cm="1">
        <f t="array" ref="Z132">VLOOKUP(B132,'Player Data'!$A1:$AE673,14,FALSE)*$Q132</f>
        <v>1.9710870985930868</v>
      </c>
      <c r="AA132" s="57" cm="1">
        <f t="array" ref="AA132">VLOOKUP(B132,'Player Data'!$A1:$AE673,15,FALSE)*$Q132</f>
        <v>48.956787151890175</v>
      </c>
      <c r="AB132" s="57" cm="1">
        <f t="array" ref="AB132">VLOOKUP(B132,'Player Data'!$A1:$AE673,16,FALSE)*$Q132</f>
        <v>38.996568094414357</v>
      </c>
      <c r="AC132" s="57" cm="1">
        <f t="array" ref="AC132">VLOOKUP(B132,'Player Data'!$A1:$AE673,17,FALSE)*$Q132*IFERROR((VLOOKUP(P132,Settings!$E$28:$F$33,2,FALSE)+1),1)</f>
        <v>6.0611032839250498</v>
      </c>
      <c r="AD132" s="57" cm="1">
        <f t="array" ref="AD132">VLOOKUP(B132,'Player Data'!$A1:$AE673,18,FALSE)*$Q132</f>
        <v>19.353297713659224</v>
      </c>
      <c r="AE132" s="57" cm="1">
        <f t="array" ref="AE132">VLOOKUP(B132,'Player Data'!$A1:$AE673,19,FALSE)*$Q132*IFERROR((VLOOKUP(P132,Settings!$E$28:$F$33,2,FALSE)+1),1)</f>
        <v>4.6037965797125544</v>
      </c>
      <c r="AF132" s="57" cm="1">
        <f t="array" ref="AF132">VLOOKUP(B132,'Player Data'!$A1:$AE673,20,FALSE)*$Q132</f>
        <v>3.4740646863032985</v>
      </c>
      <c r="AG132" s="57" cm="1">
        <f t="array" ref="AG132">VLOOKUP(B132,'Player Data'!$A1:$AE673,21,FALSE)*$Q132</f>
        <v>11.05111370820206</v>
      </c>
      <c r="AH132" s="59" cm="1">
        <f t="array" ref="AH132">VLOOKUP(B132,'Player Data'!$A1:$AE673,22,FALSE)</f>
        <v>0.23917535412972801</v>
      </c>
      <c r="AI132" s="55"/>
      <c r="AJ132" s="57"/>
      <c r="AK132" s="57"/>
      <c r="AL132" s="57"/>
      <c r="AM132" s="57"/>
      <c r="AN132" s="57"/>
      <c r="AO132" s="57"/>
      <c r="AP132" s="57"/>
      <c r="AQ132" s="60"/>
      <c r="AR132" s="61"/>
      <c r="AS132" s="55"/>
    </row>
    <row r="133" spans="1:45" ht="21.25" customHeight="1" x14ac:dyDescent="0.15">
      <c r="A133" s="62">
        <f t="shared" si="2"/>
        <v>132</v>
      </c>
      <c r="B133" s="10" t="s">
        <v>261</v>
      </c>
      <c r="C133" s="47" t="s">
        <v>128</v>
      </c>
      <c r="D133" s="48" t="str" cm="1">
        <f t="array" ref="D133">VLOOKUP(B133,'Player Data'!A1:D673,4,FALSE)</f>
        <v>LW,RW</v>
      </c>
      <c r="E133" s="74" cm="1">
        <f t="array" ref="E133">VLOOKUP(B133,RW!A1:F210,3,FALSE)</f>
        <v>38</v>
      </c>
      <c r="F133" s="65" t="str" cm="1">
        <f t="array" ref="F133">VLOOKUP(B133,'Player Data'!A1:B673,2,FALSE)</f>
        <v>CAR</v>
      </c>
      <c r="G133" s="11" cm="1">
        <f t="array" ref="G133">VLOOKUP(B133,'Player Data'!A1:D673,3,FALSE)</f>
        <v>26</v>
      </c>
      <c r="H133" s="51" cm="1">
        <f t="array" ref="H133">IFERROR(VLOOKUP(B133,ADP!A1:F671,6,FALSE)/1000000,VLOOKUP(B133,ADP!A1:F671,6,FALSE))</f>
        <v>7.75</v>
      </c>
      <c r="I133" s="52">
        <f>IF(Settings!$E$15="POINTS",((R133*Q133)*Settings!$B$12)+(S133*Settings!$B$2)+(T133*Settings!$B$3)+(U133*Settings!$B$4)+(V133*Settings!$B$5)+(X133*Settings!$B$9)+(AA133*Settings!$B$6)+(W133*Settings!$B$8)+(AB133*Settings!$B$7)+(AC133*Settings!$B$14)+(AD133*Settings!$B$15)+(AE133*Settings!$B$16)+(AF133*Settings!$B$17)+(AG133*Settings!$B$18)+(Y133*Settings!$B$10)+(Z133*Settings!$B$11),VLOOKUP(B133,'Standard Deviations'!A$1:C$672,3,FALSE))</f>
        <v>339.0866770659722</v>
      </c>
      <c r="J133" s="53" cm="1">
        <f t="array" ref="J133">IF(D133="G",I133/AJ133,I133/Q133)</f>
        <v>4.2480087327003311</v>
      </c>
      <c r="K133" s="52" cm="1">
        <f t="array" ref="K133">IF(Settings!$E$18="C/LW/RW",VLOOKUP(B133,RW!A1:F210,6,FALSE),VLOOKUP(B133,F!A1:F407,6,FALSE))</f>
        <v>-55.856787627585277</v>
      </c>
      <c r="L133" s="54" cm="1">
        <f t="array" ref="L133">IFERROR(K133/H133,"N/A")</f>
        <v>-7.2073274358174553</v>
      </c>
      <c r="M133" s="55">
        <v>118.9</v>
      </c>
      <c r="N133" s="55" cm="1">
        <f t="array" ref="N133">IFERROR(M133-A133,"N/A")</f>
        <v>-13.099999999999994</v>
      </c>
      <c r="O133" s="55"/>
      <c r="P133" s="56" t="str" cm="1">
        <f t="array" ref="P133">_xlfn.XLOOKUP($B133,ADP!A2:A671,ADP!G2:G671)</f>
        <v xml:space="preserve"> </v>
      </c>
      <c r="Q133" s="57" cm="1">
        <f t="array" ref="Q133">IF(Settings!$E$12="YES",VLOOKUP(B133,'Player Data'!A1:E673,5,FALSE),84)</f>
        <v>79.822500000000005</v>
      </c>
      <c r="R133" s="55" cm="1">
        <f t="array" ref="R133">VLOOKUP(B133,'Player Data'!$A1:$AE673,6,FALSE)</f>
        <v>17.472110046768101</v>
      </c>
      <c r="S133" s="57" cm="1">
        <f t="array" ref="S133">VLOOKUP(B133,'Player Data'!$A1:$AE673,7,FALSE)*$Q133*IFERROR((VLOOKUP(P133,Settings!$E$28:$F$33,2,FALSE)+1),1)</f>
        <v>28.08348836493612</v>
      </c>
      <c r="T133" s="57" cm="1">
        <f t="array" ref="T133">VLOOKUP(B133,'Player Data'!$A1:$AE673,8,FALSE)*$Q133*IFERROR((VLOOKUP(P133,Settings!$E$28:$F$33,2,FALSE)+1),1)</f>
        <v>38.847261581507517</v>
      </c>
      <c r="U133" s="57" cm="1">
        <f t="array" ref="U133">SUM(S133:T133)</f>
        <v>66.93074994644364</v>
      </c>
      <c r="V133" s="57" cm="1">
        <f t="array" ref="V133">VLOOKUP(B133,'Player Data'!$A1:$AE673,10,FALSE)*$Q133*IFERROR(((VLOOKUP(P133,Settings!$E$28:$F$33,2,FALSE)/2)+1),1)</f>
        <v>204.71498465956037</v>
      </c>
      <c r="W133" s="58" cm="1">
        <f t="array" ref="W133">VLOOKUP(B133,'Player Data'!$A1:$AE673,11,FALSE)*$Q133*IFERROR((VLOOKUP(P133,Settings!$E$28:$F$33,2,FALSE)+1),1)</f>
        <v>10.365766439833537</v>
      </c>
      <c r="X133" s="57" cm="1">
        <f t="array" ref="X133">VLOOKUP(B133,'Player Data'!$A1:$AE673,12,FALSE)*$Q133*IFERROR((VLOOKUP(P133,Settings!$E$28:$F$33,2,FALSE)+1),1)</f>
        <v>24.936001881333159</v>
      </c>
      <c r="Y133" s="57" cm="1">
        <f t="array" ref="Y133">VLOOKUP(B133,'Player Data'!$A1:$AE673,13,FALSE)*$Q133</f>
        <v>1.2730144059339516E-3</v>
      </c>
      <c r="Z133" s="57" cm="1">
        <f t="array" ref="Z133">VLOOKUP(B133,'Player Data'!$A1:$AE673,14,FALSE)*$Q133</f>
        <v>2.0845970587418179E-3</v>
      </c>
      <c r="AA133" s="57" cm="1">
        <f t="array" ref="AA133">VLOOKUP(B133,'Player Data'!$A1:$AE673,15,FALSE)*$Q133</f>
        <v>21.997696836938417</v>
      </c>
      <c r="AB133" s="57" cm="1">
        <f t="array" ref="AB133">VLOOKUP(B133,'Player Data'!$A1:$AE673,16,FALSE)*$Q133</f>
        <v>150.80642256625737</v>
      </c>
      <c r="AC133" s="57" cm="1">
        <f t="array" ref="AC133">VLOOKUP(B133,'Player Data'!$A1:$AE673,17,FALSE)*$Q133*IFERROR((VLOOKUP(P133,Settings!$E$28:$F$33,2,FALSE)+1),1)</f>
        <v>5.7009113079063836</v>
      </c>
      <c r="AD133" s="57" cm="1">
        <f t="array" ref="AD133">VLOOKUP(B133,'Player Data'!$A1:$AE673,18,FALSE)*$Q133</f>
        <v>63.218794790473098</v>
      </c>
      <c r="AE133" s="57" cm="1">
        <f t="array" ref="AE133">VLOOKUP(B133,'Player Data'!$A1:$AE673,19,FALSE)*$Q133*IFERROR((VLOOKUP(P133,Settings!$E$28:$F$33,2,FALSE)+1),1)</f>
        <v>4.822658774279553</v>
      </c>
      <c r="AF133" s="57" cm="1">
        <f t="array" ref="AF133">VLOOKUP(B133,'Player Data'!$A1:$AE673,20,FALSE)*$Q133</f>
        <v>7.4408911949747827</v>
      </c>
      <c r="AG133" s="57" cm="1">
        <f t="array" ref="AG133">VLOOKUP(B133,'Player Data'!$A1:$AE673,21,FALSE)*$Q133</f>
        <v>11.501903230641339</v>
      </c>
      <c r="AH133" s="59" cm="1">
        <f t="array" ref="AH133">VLOOKUP(B133,'Player Data'!$A1:$AE673,22,FALSE)</f>
        <v>0.392808528023329</v>
      </c>
      <c r="AI133" s="55"/>
      <c r="AJ133" s="57"/>
      <c r="AK133" s="57"/>
      <c r="AL133" s="57"/>
      <c r="AM133" s="57"/>
      <c r="AN133" s="57"/>
      <c r="AO133" s="57"/>
      <c r="AP133" s="57"/>
      <c r="AQ133" s="60"/>
      <c r="AR133" s="61"/>
      <c r="AS133" s="55"/>
    </row>
    <row r="134" spans="1:45" ht="21.25" customHeight="1" x14ac:dyDescent="0.15">
      <c r="A134" s="62">
        <f t="shared" si="2"/>
        <v>133</v>
      </c>
      <c r="B134" s="10" t="s">
        <v>262</v>
      </c>
      <c r="C134" s="47" t="s">
        <v>147</v>
      </c>
      <c r="D134" s="48" t="str" cm="1">
        <f t="array" ref="D134">VLOOKUP(B134,'Player Data'!A1:D673,4,FALSE)</f>
        <v>C</v>
      </c>
      <c r="E134" s="49" cm="1">
        <f t="array" ref="E134">VLOOKUP(B134,'C'!A1:C210,3,FALSE)</f>
        <v>42</v>
      </c>
      <c r="F134" s="70" t="str" cm="1">
        <f t="array" ref="F134">VLOOKUP(B134,'Player Data'!A1:B673,2,FALSE)</f>
        <v>L.A</v>
      </c>
      <c r="G134" s="71" cm="1">
        <f t="array" ref="G134">VLOOKUP(B134,'Player Data'!A1:D673,3,FALSE)</f>
        <v>24</v>
      </c>
      <c r="H134" s="51" cm="1">
        <f t="array" ref="H134">IFERROR(VLOOKUP(B134,ADP!A1:F671,6,FALSE)/1000000,VLOOKUP(B134,ADP!A1:F671,6,FALSE))</f>
        <v>6.25</v>
      </c>
      <c r="I134" s="52">
        <f>IF(Settings!$E$15="POINTS",((R134*Q134)*Settings!$B$12)+(S134*Settings!$B$2)+(T134*Settings!$B$3)+(U134*Settings!$B$4)+(V134*Settings!$B$5)+(X134*Settings!$B$9)+(AA134*Settings!$B$6)+(W134*Settings!$B$8)+(AB134*Settings!$B$7)+(AC134*Settings!$B$14)+(AD134*Settings!$B$15)+(AE134*Settings!$B$16)+(AF134*Settings!$B$17)+(AG134*Settings!$B$18)+(Y134*Settings!$B$10)+(Z134*Settings!$B$11),VLOOKUP(B134,'Standard Deviations'!A$1:C$672,3,FALSE))</f>
        <v>330.22244089162348</v>
      </c>
      <c r="J134" s="53" cm="1">
        <f t="array" ref="J134">IF(D134="G",I134/AJ134,I134/Q134)</f>
        <v>3.970928822650595</v>
      </c>
      <c r="K134" s="52" cm="1">
        <f t="array" ref="K134">IF(Settings!$E$18="C/LW/RW",VLOOKUP(B134,'C'!A1:F210,6,FALSE),VLOOKUP(B134,F!A1:F407,6,FALSE))</f>
        <v>-56.312765501459523</v>
      </c>
      <c r="L134" s="54" cm="1">
        <f t="array" ref="L134">IFERROR(K134/H134,"N/A")</f>
        <v>-9.0100424802335244</v>
      </c>
      <c r="M134" s="55">
        <v>132.6</v>
      </c>
      <c r="N134" s="55" cm="1">
        <f t="array" ref="N134">IFERROR(M134-A134,"N/A")</f>
        <v>-0.40000000000000568</v>
      </c>
      <c r="O134" s="55"/>
      <c r="P134" s="56" t="str" cm="1">
        <f t="array" ref="P134">_xlfn.XLOOKUP($B134,ADP!A2:A671,ADP!G2:G671)</f>
        <v xml:space="preserve"> </v>
      </c>
      <c r="Q134" s="57" cm="1">
        <f t="array" ref="Q134">IF(Settings!$E$12="YES",VLOOKUP(B134,'Player Data'!A1:E673,5,FALSE),84)</f>
        <v>83.16</v>
      </c>
      <c r="R134" s="55" cm="1">
        <f t="array" ref="R134">VLOOKUP(B134,'Player Data'!$A1:$AE673,6,FALSE)</f>
        <v>20.677336644966601</v>
      </c>
      <c r="S134" s="57" cm="1">
        <f t="array" ref="S134">VLOOKUP(B134,'Player Data'!$A1:$AE673,7,FALSE)*$Q134*IFERROR((VLOOKUP(P134,Settings!$E$28:$F$33,2,FALSE)+1),1)</f>
        <v>27.60145606335567</v>
      </c>
      <c r="T134" s="57" cm="1">
        <f t="array" ref="T134">VLOOKUP(B134,'Player Data'!$A1:$AE673,8,FALSE)*$Q134*IFERROR((VLOOKUP(P134,Settings!$E$28:$F$33,2,FALSE)+1),1)</f>
        <v>35.873653986303822</v>
      </c>
      <c r="U134" s="57" cm="1">
        <f t="array" ref="U134">SUM(S134:T134)</f>
        <v>63.475110049659492</v>
      </c>
      <c r="V134" s="57" cm="1">
        <f t="array" ref="V134">VLOOKUP(B134,'Player Data'!$A1:$AE673,10,FALSE)*$Q134*IFERROR(((VLOOKUP(P134,Settings!$E$28:$F$33,2,FALSE)/2)+1),1)</f>
        <v>201.97281682432921</v>
      </c>
      <c r="W134" s="58" cm="1">
        <f t="array" ref="W134">VLOOKUP(B134,'Player Data'!$A1:$AE673,11,FALSE)*$Q134*IFERROR((VLOOKUP(P134,Settings!$E$28:$F$33,2,FALSE)+1),1)</f>
        <v>6.4330411077491982</v>
      </c>
      <c r="X134" s="57" cm="1">
        <f t="array" ref="X134">VLOOKUP(B134,'Player Data'!$A1:$AE673,12,FALSE)*$Q134*IFERROR((VLOOKUP(P134,Settings!$E$28:$F$33,2,FALSE)+1),1)</f>
        <v>16.205216129090491</v>
      </c>
      <c r="Y134" s="57" cm="1">
        <f t="array" ref="Y134">VLOOKUP(B134,'Player Data'!$A1:$AE673,13,FALSE)*$Q134</f>
        <v>0.4309884043220279</v>
      </c>
      <c r="Z134" s="57" cm="1">
        <f t="array" ref="Z134">VLOOKUP(B134,'Player Data'!$A1:$AE673,14,FALSE)*$Q134</f>
        <v>1.0991200143881672</v>
      </c>
      <c r="AA134" s="57" cm="1">
        <f t="array" ref="AA134">VLOOKUP(B134,'Player Data'!$A1:$AE673,15,FALSE)*$Q134</f>
        <v>43.012732374003491</v>
      </c>
      <c r="AB134" s="57" cm="1">
        <f t="array" ref="AB134">VLOOKUP(B134,'Player Data'!$A1:$AE673,16,FALSE)*$Q134</f>
        <v>73.398012264583187</v>
      </c>
      <c r="AC134" s="57" cm="1">
        <f t="array" ref="AC134">VLOOKUP(B134,'Player Data'!$A1:$AE673,17,FALSE)*$Q134*IFERROR((VLOOKUP(P134,Settings!$E$28:$F$33,2,FALSE)+1),1)</f>
        <v>1.4455623522751793</v>
      </c>
      <c r="AD134" s="57" cm="1">
        <f t="array" ref="AD134">VLOOKUP(B134,'Player Data'!$A1:$AE673,18,FALSE)*$Q134</f>
        <v>47.982823992588727</v>
      </c>
      <c r="AE134" s="57" cm="1">
        <f t="array" ref="AE134">VLOOKUP(B134,'Player Data'!$A1:$AE673,19,FALSE)*$Q134*IFERROR((VLOOKUP(P134,Settings!$E$28:$F$33,2,FALSE)+1),1)</f>
        <v>4.3600408817522549</v>
      </c>
      <c r="AF134" s="57" cm="1">
        <f t="array" ref="AF134">VLOOKUP(B134,'Player Data'!$A1:$AE673,20,FALSE)*$Q134</f>
        <v>475.60699003008443</v>
      </c>
      <c r="AG134" s="57" cm="1">
        <f t="array" ref="AG134">VLOOKUP(B134,'Player Data'!$A1:$AE673,21,FALSE)*$Q134</f>
        <v>579.9730886046865</v>
      </c>
      <c r="AH134" s="59" cm="1">
        <f t="array" ref="AH134">VLOOKUP(B134,'Player Data'!$A1:$AE673,22,FALSE)</f>
        <v>0.45056457549408102</v>
      </c>
      <c r="AI134" s="55"/>
      <c r="AJ134" s="57"/>
      <c r="AK134" s="57"/>
      <c r="AL134" s="57"/>
      <c r="AM134" s="57"/>
      <c r="AN134" s="57"/>
      <c r="AO134" s="57"/>
      <c r="AP134" s="57"/>
      <c r="AQ134" s="60"/>
      <c r="AR134" s="61"/>
      <c r="AS134" s="55"/>
    </row>
    <row r="135" spans="1:45" ht="21.25" customHeight="1" x14ac:dyDescent="0.15">
      <c r="A135" s="62">
        <f t="shared" si="2"/>
        <v>134</v>
      </c>
      <c r="B135" s="10" t="s">
        <v>263</v>
      </c>
      <c r="C135" s="76"/>
      <c r="D135" s="48" t="str" cm="1">
        <f t="array" ref="D135">VLOOKUP(B135,'Player Data'!A1:D673,4,FALSE)</f>
        <v>G</v>
      </c>
      <c r="E135" s="77" cm="1">
        <f t="array" ref="E135">VLOOKUP(B135,G!A1:D66,3,FALSE)</f>
        <v>18</v>
      </c>
      <c r="F135" s="70" t="str" cm="1">
        <f t="array" ref="F135">VLOOKUP(B135,'Player Data'!A1:B673,2,FALSE)</f>
        <v>MIN</v>
      </c>
      <c r="G135" s="71" cm="1">
        <f t="array" ref="G135">VLOOKUP(B135,'Player Data'!A1:D673,3,FALSE)</f>
        <v>23</v>
      </c>
      <c r="H135" s="67" cm="1">
        <f t="array" ref="H135">IFERROR(VLOOKUP(B135,ADP!A1:F671,6,FALSE)/1000000,VLOOKUP(B135,ADP!A1:F671,6,FALSE))</f>
        <v>2.2000000000000002</v>
      </c>
      <c r="I135" s="52">
        <f>IF(Settings!$E$15="POINTS",(AJ135*Settings!$B$29)+(AK135*Settings!$B$21)+(AL135*Settings!$B$22)+(AN135*Settings!$B$24)+(AO135*Settings!$B$25)+(AP135*Settings!$B$27)+(AM135*Settings!$B$23),VLOOKUP(B135,'Standard Deviations'!A$1:C$672,3,FALSE))</f>
        <v>302.52879292178943</v>
      </c>
      <c r="J135" s="53" cm="1">
        <f t="array" ref="J135">IF(D135="G",I135/AJ135,I135/Q135)</f>
        <v>6.7228620649286537</v>
      </c>
      <c r="K135" s="52" cm="1">
        <f t="array" ref="K135">VLOOKUP(B135,G!A1:F66,6,FALSE)</f>
        <v>-56.629115008448593</v>
      </c>
      <c r="L135" s="54" cm="1">
        <f t="array" ref="L135">IFERROR(K135/H135,"N/A")</f>
        <v>-25.740506822022088</v>
      </c>
      <c r="M135" s="55">
        <v>58.3</v>
      </c>
      <c r="N135" s="55" cm="1">
        <f t="array" ref="N135">IFERROR(M135-A135,"N/A")</f>
        <v>-75.7</v>
      </c>
      <c r="O135" s="55"/>
      <c r="P135" s="56" t="str" cm="1">
        <f t="array" ref="P135">_xlfn.XLOOKUP($B135,ADP!A2:A671,ADP!G2:G671)</f>
        <v>+</v>
      </c>
      <c r="Q135" s="57"/>
      <c r="R135" s="55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9"/>
      <c r="AI135" s="55"/>
      <c r="AJ135" s="78" cm="1">
        <f t="array" ref="AJ135">VLOOKUP(B135,'Player Data'!$A1:$AE673,24,FALSE)</f>
        <v>45</v>
      </c>
      <c r="AK135" s="57" cm="1">
        <f t="array" ref="AK135">VLOOKUP(B135,'Player Data'!$A1:$AE673,25,FALSE)*$AJ135*IFERROR((VLOOKUP(P135,Settings!$E$28:$F$33,2,FALSE)+1),1)</f>
        <v>25.643467471567558</v>
      </c>
      <c r="AL135" s="57" cm="1">
        <f t="array" ref="AL135">AJ135-AK135-AM135</f>
        <v>14.212120021662813</v>
      </c>
      <c r="AM135" s="57" cm="1">
        <f t="array" ref="AM135">VLOOKUP(B135,'Player Data'!$A1:$AE673,27,FALSE)*$AJ135</f>
        <v>5.1444125067696298</v>
      </c>
      <c r="AN135" s="57" cm="1">
        <f t="array" ref="AN135">VLOOKUP(B135,'Player Data'!$A1:$AE673,28,FALSE)*AJ135</f>
        <v>2.8858851410150339</v>
      </c>
      <c r="AO135" s="57" cm="1">
        <f t="array" ref="AO135">VLOOKUP(B135,'Player Data'!$A1:$AE673,29,FALSE)*$AJ135*IFERROR((VLOOKUP(P135,Settings!$E$28:$F$33,2,FALSE)/4)+1,1)</f>
        <v>1166.6708293118022</v>
      </c>
      <c r="AP135" s="57" cm="1">
        <f t="array" ref="AP135">VLOOKUP(B135,'Player Data'!$A1:$AE673,31,FALSE)*$AJ135*(IFERROR(1-(VLOOKUP(P135,Settings!$E$28:$F$33,2,FALSE)/4),1))</f>
        <v>120.20763642994314</v>
      </c>
      <c r="AQ135" s="60" cm="1">
        <f t="array" ref="AQ135">1-(AP135/(AO135+AP135))</f>
        <v>0.90658975215607751</v>
      </c>
      <c r="AR135" s="61" cm="1">
        <f t="array" ref="AR135">AP135/AJ135</f>
        <v>2.6712808095542919</v>
      </c>
      <c r="AS135" s="55"/>
    </row>
    <row r="136" spans="1:45" ht="21.25" customHeight="1" x14ac:dyDescent="0.15">
      <c r="A136" s="62">
        <f t="shared" si="2"/>
        <v>135</v>
      </c>
      <c r="B136" s="10" t="s">
        <v>264</v>
      </c>
      <c r="C136" s="76"/>
      <c r="D136" s="48" t="str" cm="1">
        <f t="array" ref="D136">VLOOKUP(B136,'Player Data'!A1:D673,4,FALSE)</f>
        <v>G</v>
      </c>
      <c r="E136" s="77" cm="1">
        <f t="array" ref="E136">VLOOKUP(B136,G!A1:D66,3,FALSE)</f>
        <v>19</v>
      </c>
      <c r="F136" s="72" t="str" cm="1">
        <f t="array" ref="F136">VLOOKUP(B136,'Player Data'!A1:B673,2,FALSE)</f>
        <v>OTT</v>
      </c>
      <c r="G136" s="66" cm="1">
        <f t="array" ref="G136">VLOOKUP(B136,'Player Data'!A1:D673,3,FALSE)</f>
        <v>33</v>
      </c>
      <c r="H136" s="51" cm="1">
        <f t="array" ref="H136">IFERROR(VLOOKUP(B136,ADP!A1:F671,6,FALSE)/1000000,VLOOKUP(B136,ADP!A1:F671,6,FALSE))</f>
        <v>8.25</v>
      </c>
      <c r="I136" s="52">
        <f>IF(Settings!$E$15="POINTS",(AJ136*Settings!$B$29)+(AK136*Settings!$B$21)+(AL136*Settings!$B$22)+(AN136*Settings!$B$24)+(AO136*Settings!$B$25)+(AP136*Settings!$B$27)+(AM136*Settings!$B$23),VLOOKUP(B136,'Standard Deviations'!A$1:C$672,3,FALSE))</f>
        <v>302.52274488591956</v>
      </c>
      <c r="J136" s="53" cm="1">
        <f t="array" ref="J136">IF(D136="G",I136/AJ136,I136/Q136)</f>
        <v>6.0504548977183914</v>
      </c>
      <c r="K136" s="52" cm="1">
        <f t="array" ref="K136">VLOOKUP(B136,G!A1:F66,6,FALSE)</f>
        <v>-56.63516304431846</v>
      </c>
      <c r="L136" s="54" cm="1">
        <f t="array" ref="L136">IFERROR(K136/H136,"N/A")</f>
        <v>-6.8648682477961769</v>
      </c>
      <c r="M136" s="55">
        <v>132.5</v>
      </c>
      <c r="N136" s="55" cm="1">
        <f t="array" ref="N136">IFERROR(M136-A136,"N/A")</f>
        <v>-2.5</v>
      </c>
      <c r="O136" s="55"/>
      <c r="P136" s="56" t="str" cm="1">
        <f t="array" ref="P136">_xlfn.XLOOKUP($B136,ADP!A2:A671,ADP!G2:G671)</f>
        <v xml:space="preserve"> </v>
      </c>
      <c r="Q136" s="57"/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9"/>
      <c r="AI136" s="55"/>
      <c r="AJ136" s="78" cm="1">
        <f t="array" ref="AJ136">VLOOKUP(B136,'Player Data'!$A1:$AE673,24,FALSE)</f>
        <v>50</v>
      </c>
      <c r="AK136" s="57" cm="1">
        <f t="array" ref="AK136">VLOOKUP(B136,'Player Data'!$A1:$AE673,25,FALSE)*$AJ136*IFERROR((VLOOKUP(P136,Settings!$E$28:$F$33,2,FALSE)+1),1)</f>
        <v>27.487160326496102</v>
      </c>
      <c r="AL136" s="57" cm="1">
        <f t="array" ref="AL136">AJ136-AK136-AM136</f>
        <v>16.884629755127897</v>
      </c>
      <c r="AM136" s="57" cm="1">
        <f t="array" ref="AM136">VLOOKUP(B136,'Player Data'!$A1:$AE673,27,FALSE)*$AJ136</f>
        <v>5.6282099183760002</v>
      </c>
      <c r="AN136" s="57" cm="1">
        <f t="array" ref="AN136">VLOOKUP(B136,'Player Data'!$A1:$AE673,28,FALSE)*AJ136</f>
        <v>3.4977544369638154</v>
      </c>
      <c r="AO136" s="57" cm="1">
        <f t="array" ref="AO136">VLOOKUP(B136,'Player Data'!$A1:$AE673,29,FALSE)*$AJ136*IFERROR((VLOOKUP(P136,Settings!$E$28:$F$33,2,FALSE)/4)+1,1)</f>
        <v>1221.7850474496299</v>
      </c>
      <c r="AP136" s="57" cm="1">
        <f t="array" ref="AP136">VLOOKUP(B136,'Player Data'!$A1:$AE673,31,FALSE)*$AJ136*(IFERROR(1-(VLOOKUP(P136,Settings!$E$28:$F$33,2,FALSE)/4),1))</f>
        <v>131.4430047517825</v>
      </c>
      <c r="AQ136" s="60" cm="1">
        <f t="array" ref="AQ136">1-(AP136/(AO136+AP136))</f>
        <v>0.9028670706774421</v>
      </c>
      <c r="AR136" s="61" cm="1">
        <f t="array" ref="AR136">AP136/AJ136</f>
        <v>2.62886009503565</v>
      </c>
      <c r="AS136" s="55"/>
    </row>
    <row r="137" spans="1:45" ht="21.25" customHeight="1" x14ac:dyDescent="0.15">
      <c r="A137" s="62">
        <f t="shared" si="2"/>
        <v>136</v>
      </c>
      <c r="B137" s="10" t="s">
        <v>265</v>
      </c>
      <c r="C137" s="47" t="s">
        <v>128</v>
      </c>
      <c r="D137" s="48" t="str" cm="1">
        <f t="array" ref="D137">VLOOKUP(B137,'Player Data'!A1:D673,4,FALSE)</f>
        <v>LW,RW</v>
      </c>
      <c r="E137" s="74" cm="1">
        <f t="array" ref="E137">VLOOKUP(B137,RW!A1:F210,3,FALSE)</f>
        <v>39</v>
      </c>
      <c r="F137" s="56" t="str" cm="1">
        <f t="array" ref="F137">VLOOKUP(B137,'Player Data'!A1:B673,2,FALSE)</f>
        <v>PHI</v>
      </c>
      <c r="G137" s="11" cm="1">
        <f t="array" ref="G137">VLOOKUP(B137,'Player Data'!A1:D673,3,FALSE)</f>
        <v>29</v>
      </c>
      <c r="H137" s="51" cm="1">
        <f t="array" ref="H137">IFERROR(VLOOKUP(B137,ADP!A1:F671,6,FALSE)/1000000,VLOOKUP(B137,ADP!A1:F671,6,FALSE))</f>
        <v>8.75</v>
      </c>
      <c r="I137" s="52">
        <f>IF(Settings!$E$15="POINTS",((R137*Q137)*Settings!$B$12)+(S137*Settings!$B$2)+(T137*Settings!$B$3)+(U137*Settings!$B$4)+(V137*Settings!$B$5)+(X137*Settings!$B$9)+(AA137*Settings!$B$6)+(W137*Settings!$B$8)+(AB137*Settings!$B$7)+(AC137*Settings!$B$14)+(AD137*Settings!$B$15)+(AE137*Settings!$B$16)+(AF137*Settings!$B$17)+(AG137*Settings!$B$18)+(Y137*Settings!$B$10)+(Z137*Settings!$B$11),VLOOKUP(B137,'Standard Deviations'!A$1:C$672,3,FALSE))</f>
        <v>337.69603310818508</v>
      </c>
      <c r="J137" s="53" cm="1">
        <f t="array" ref="J137">IF(D137="G",I137/AJ137,I137/Q137)</f>
        <v>4.0911776734189669</v>
      </c>
      <c r="K137" s="52" cm="1">
        <f t="array" ref="K137">IF(Settings!$E$18="C/LW/RW",VLOOKUP(B137,RW!A1:F210,6,FALSE),VLOOKUP(B137,F!A1:F407,6,FALSE))</f>
        <v>-57.247431585372397</v>
      </c>
      <c r="L137" s="54" cm="1">
        <f t="array" ref="L137">IFERROR(K137/H137,"N/A")</f>
        <v>-6.5425636097568454</v>
      </c>
      <c r="M137" s="55">
        <v>132.19999999999999</v>
      </c>
      <c r="N137" s="55" cm="1">
        <f t="array" ref="N137">IFERROR(M137-A137,"N/A")</f>
        <v>-3.8000000000000114</v>
      </c>
      <c r="O137" s="55"/>
      <c r="P137" s="56" t="str" cm="1">
        <f t="array" ref="P137">_xlfn.XLOOKUP($B137,ADP!A2:A671,ADP!G2:G671)</f>
        <v xml:space="preserve"> </v>
      </c>
      <c r="Q137" s="57" cm="1">
        <f t="array" ref="Q137">IF(Settings!$E$12="YES",VLOOKUP(B137,'Player Data'!A1:E673,5,FALSE),84)</f>
        <v>82.542500000000004</v>
      </c>
      <c r="R137" s="55" cm="1">
        <f t="array" ref="R137">VLOOKUP(B137,'Player Data'!$A1:$AE673,6,FALSE)</f>
        <v>18.788773851757998</v>
      </c>
      <c r="S137" s="57" cm="1">
        <f t="array" ref="S137">VLOOKUP(B137,'Player Data'!$A1:$AE673,7,FALSE)*$Q137*IFERROR((VLOOKUP(P137,Settings!$E$28:$F$33,2,FALSE)+1),1)</f>
        <v>25.991665975624937</v>
      </c>
      <c r="T137" s="57" cm="1">
        <f t="array" ref="T137">VLOOKUP(B137,'Player Data'!$A1:$AE673,8,FALSE)*$Q137*IFERROR((VLOOKUP(P137,Settings!$E$28:$F$33,2,FALSE)+1),1)</f>
        <v>43.151181121510724</v>
      </c>
      <c r="U137" s="57" cm="1">
        <f t="array" ref="U137">SUM(S137:T137)</f>
        <v>69.142847097135657</v>
      </c>
      <c r="V137" s="57" cm="1">
        <f t="array" ref="V137">VLOOKUP(B137,'Player Data'!$A1:$AE673,10,FALSE)*$Q137*IFERROR(((VLOOKUP(P137,Settings!$E$28:$F$33,2,FALSE)/2)+1),1)</f>
        <v>190.23410467156197</v>
      </c>
      <c r="W137" s="57" cm="1">
        <f t="array" ref="W137">VLOOKUP(B137,'Player Data'!$A1:$AE673,11,FALSE)*$Q137*IFERROR((VLOOKUP(P137,Settings!$E$28:$F$33,2,FALSE)+1),1)</f>
        <v>4.367515362406543</v>
      </c>
      <c r="X137" s="79" cm="1">
        <f t="array" ref="X137">VLOOKUP(B137,'Player Data'!$A1:$AE673,12,FALSE)*$Q137*IFERROR((VLOOKUP(P137,Settings!$E$28:$F$33,2,FALSE)+1),1)</f>
        <v>14.661721147168651</v>
      </c>
      <c r="Y137" s="57" cm="1">
        <f t="array" ref="Y137">VLOOKUP(B137,'Player Data'!$A1:$AE673,13,FALSE)*$Q137</f>
        <v>0.76364133132022138</v>
      </c>
      <c r="Z137" s="57" cm="1">
        <f t="array" ref="Z137">VLOOKUP(B137,'Player Data'!$A1:$AE673,14,FALSE)*$Q137</f>
        <v>1.3034284744218541</v>
      </c>
      <c r="AA137" s="57" cm="1">
        <f t="array" ref="AA137">VLOOKUP(B137,'Player Data'!$A1:$AE673,15,FALSE)*$Q137</f>
        <v>38.370579718813246</v>
      </c>
      <c r="AB137" s="57" cm="1">
        <f t="array" ref="AB137">VLOOKUP(B137,'Player Data'!$A1:$AE673,16,FALSE)*$Q137</f>
        <v>101.06524308300297</v>
      </c>
      <c r="AC137" s="57" cm="1">
        <f t="array" ref="AC137">VLOOKUP(B137,'Player Data'!$A1:$AE673,17,FALSE)*$Q137*IFERROR((VLOOKUP(P137,Settings!$E$28:$F$33,2,FALSE)+1),1)</f>
        <v>1.0457078756931237</v>
      </c>
      <c r="AD137" s="57" cm="1">
        <f t="array" ref="AD137">VLOOKUP(B137,'Player Data'!$A1:$AE673,18,FALSE)*$Q137</f>
        <v>47.468370294042209</v>
      </c>
      <c r="AE137" s="57" cm="1">
        <f t="array" ref="AE137">VLOOKUP(B137,'Player Data'!$A1:$AE673,19,FALSE)*$Q137*IFERROR((VLOOKUP(P137,Settings!$E$28:$F$33,2,FALSE)+1),1)</f>
        <v>4.1075918711789638</v>
      </c>
      <c r="AF137" s="57" cm="1">
        <f t="array" ref="AF137">VLOOKUP(B137,'Player Data'!$A1:$AE673,20,FALSE)*$Q137</f>
        <v>26.448292131018516</v>
      </c>
      <c r="AG137" s="57" cm="1">
        <f t="array" ref="AG137">VLOOKUP(B137,'Player Data'!$A1:$AE673,21,FALSE)*$Q137</f>
        <v>41.734540779573436</v>
      </c>
      <c r="AH137" s="59" cm="1">
        <f t="array" ref="AH137">VLOOKUP(B137,'Player Data'!$A1:$AE673,22,FALSE)</f>
        <v>0.38790251155595301</v>
      </c>
      <c r="AI137" s="55"/>
      <c r="AJ137" s="57"/>
      <c r="AK137" s="57"/>
      <c r="AL137" s="57"/>
      <c r="AM137" s="57"/>
      <c r="AN137" s="57"/>
      <c r="AO137" s="57"/>
      <c r="AP137" s="57"/>
      <c r="AQ137" s="60"/>
      <c r="AR137" s="61"/>
      <c r="AS137" s="55"/>
    </row>
    <row r="138" spans="1:45" ht="21.25" customHeight="1" x14ac:dyDescent="0.15">
      <c r="A138" s="62">
        <f t="shared" si="2"/>
        <v>137</v>
      </c>
      <c r="B138" s="10" t="s">
        <v>266</v>
      </c>
      <c r="C138" s="47" t="s">
        <v>147</v>
      </c>
      <c r="D138" s="48" t="str" cm="1">
        <f t="array" ref="D138">VLOOKUP(B138,'Player Data'!A1:D673,4,FALSE)</f>
        <v>C,RW</v>
      </c>
      <c r="E138" s="74" cm="1">
        <f t="array" ref="E138">VLOOKUP(B138,RW!A1:F210,3,FALSE)</f>
        <v>40</v>
      </c>
      <c r="F138" s="65" t="str" cm="1">
        <f t="array" ref="F138">VLOOKUP(B138,'Player Data'!A1:B673,2,FALSE)</f>
        <v>NSH</v>
      </c>
      <c r="G138" s="66" cm="1">
        <f t="array" ref="G138">VLOOKUP(B138,'Player Data'!A1:D673,3,FALSE)</f>
        <v>36</v>
      </c>
      <c r="H138" s="51" cm="1">
        <f t="array" ref="H138">IFERROR(VLOOKUP(B138,ADP!A1:F671,6,FALSE)/1000000,VLOOKUP(B138,ADP!A1:F671,6,FALSE))</f>
        <v>8</v>
      </c>
      <c r="I138" s="52">
        <f>IF(Settings!$E$15="POINTS",((R138*Q138)*Settings!$B$12)+(S138*Settings!$B$2)+(T138*Settings!$B$3)+(U138*Settings!$B$4)+(V138*Settings!$B$5)+(X138*Settings!$B$9)+(AA138*Settings!$B$6)+(W138*Settings!$B$8)+(AB138*Settings!$B$7)+(AC138*Settings!$B$14)+(AD138*Settings!$B$15)+(AE138*Settings!$B$16)+(AF138*Settings!$B$17)+(AG138*Settings!$B$18)+(Y138*Settings!$B$10)+(Z138*Settings!$B$11),VLOOKUP(B138,'Standard Deviations'!A$1:C$672,3,FALSE))</f>
        <v>337.56248988145887</v>
      </c>
      <c r="J138" s="53" cm="1">
        <f t="array" ref="J138">IF(D138="G",I138/AJ138,I138/Q138)</f>
        <v>4.0315596546215078</v>
      </c>
      <c r="K138" s="52" cm="1">
        <f t="array" ref="K138">IF(Settings!$E$18="C/LW/RW",VLOOKUP(B138,RW!A1:F210,6,FALSE),VLOOKUP(B138,F!A1:F407,6,FALSE))</f>
        <v>-57.3809748120986</v>
      </c>
      <c r="L138" s="54" cm="1">
        <f t="array" ref="L138">IFERROR(K138/H138,"N/A")</f>
        <v>-7.172621851512325</v>
      </c>
      <c r="M138" s="55">
        <v>125.8</v>
      </c>
      <c r="N138" s="55" cm="1">
        <f t="array" ref="N138">IFERROR(M138-A138,"N/A")</f>
        <v>-11.200000000000003</v>
      </c>
      <c r="O138" s="55"/>
      <c r="P138" s="56" t="str" cm="1">
        <f t="array" ref="P138">_xlfn.XLOOKUP($B138,ADP!A2:A671,ADP!G2:G671)</f>
        <v xml:space="preserve"> </v>
      </c>
      <c r="Q138" s="57" cm="1">
        <f t="array" ref="Q138">IF(Settings!$E$12="YES",VLOOKUP(B138,'Player Data'!A1:E673,5,FALSE),84)</f>
        <v>83.73</v>
      </c>
      <c r="R138" s="55" cm="1">
        <f t="array" ref="R138">VLOOKUP(B138,'Player Data'!$A1:$AE673,6,FALSE)</f>
        <v>17.816862836852099</v>
      </c>
      <c r="S138" s="57" cm="1">
        <f t="array" ref="S138">VLOOKUP(B138,'Player Data'!$A1:$AE673,7,FALSE)*$Q138*IFERROR((VLOOKUP(P138,Settings!$E$28:$F$33,2,FALSE)+1),1)</f>
        <v>35.199590761520561</v>
      </c>
      <c r="T138" s="57" cm="1">
        <f t="array" ref="T138">VLOOKUP(B138,'Player Data'!$A1:$AE673,8,FALSE)*$Q138*IFERROR((VLOOKUP(P138,Settings!$E$28:$F$33,2,FALSE)+1),1)</f>
        <v>27.399977089676621</v>
      </c>
      <c r="U138" s="57" cm="1">
        <f t="array" ref="U138">SUM(S138:T138)</f>
        <v>62.599567851197179</v>
      </c>
      <c r="V138" s="57" cm="1">
        <f t="array" ref="V138">VLOOKUP(B138,'Player Data'!$A1:$AE673,10,FALSE)*$Q138*IFERROR(((VLOOKUP(P138,Settings!$E$28:$F$33,2,FALSE)/2)+1),1)</f>
        <v>209.92702144444334</v>
      </c>
      <c r="W138" s="58" cm="1">
        <f t="array" ref="W138">VLOOKUP(B138,'Player Data'!$A1:$AE673,11,FALSE)*$Q138*IFERROR((VLOOKUP(P138,Settings!$E$28:$F$33,2,FALSE)+1),1)</f>
        <v>13.630762204177088</v>
      </c>
      <c r="X138" s="57" cm="1">
        <f t="array" ref="X138">VLOOKUP(B138,'Player Data'!$A1:$AE673,12,FALSE)*$Q138*IFERROR((VLOOKUP(P138,Settings!$E$28:$F$33,2,FALSE)+1),1)</f>
        <v>24.7655016189204</v>
      </c>
      <c r="Y138" s="57" cm="1">
        <f t="array" ref="Y138">VLOOKUP(B138,'Player Data'!$A1:$AE673,13,FALSE)*$Q138</f>
        <v>1.2710199954770515E-2</v>
      </c>
      <c r="Z138" s="57" cm="1">
        <f t="array" ref="Z138">VLOOKUP(B138,'Player Data'!$A1:$AE673,14,FALSE)*$Q138</f>
        <v>2.0430199326361483E-2</v>
      </c>
      <c r="AA138" s="57" cm="1">
        <f t="array" ref="AA138">VLOOKUP(B138,'Player Data'!$A1:$AE673,15,FALSE)*$Q138</f>
        <v>40.028687574797807</v>
      </c>
      <c r="AB138" s="57" cm="1">
        <f t="array" ref="AB138">VLOOKUP(B138,'Player Data'!$A1:$AE673,16,FALSE)*$Q138</f>
        <v>82.844244252201904</v>
      </c>
      <c r="AC138" s="57" cm="1">
        <f t="array" ref="AC138">VLOOKUP(B138,'Player Data'!$A1:$AE673,17,FALSE)*$Q138*IFERROR((VLOOKUP(P138,Settings!$E$28:$F$33,2,FALSE)+1),1)</f>
        <v>-3.2945552924303985</v>
      </c>
      <c r="AD138" s="57" cm="1">
        <f t="array" ref="AD138">VLOOKUP(B138,'Player Data'!$A1:$AE673,18,FALSE)*$Q138</f>
        <v>43.929901038686452</v>
      </c>
      <c r="AE138" s="57" cm="1">
        <f t="array" ref="AE138">VLOOKUP(B138,'Player Data'!$A1:$AE673,19,FALSE)*$Q138*IFERROR((VLOOKUP(P138,Settings!$E$28:$F$33,2,FALSE)+1),1)</f>
        <v>4.8760238934268907</v>
      </c>
      <c r="AF138" s="57" cm="1">
        <f t="array" ref="AF138">VLOOKUP(B138,'Player Data'!$A1:$AE673,20,FALSE)*$Q138</f>
        <v>336.26309974077759</v>
      </c>
      <c r="AG138" s="57" cm="1">
        <f t="array" ref="AG138">VLOOKUP(B138,'Player Data'!$A1:$AE673,21,FALSE)*$Q138</f>
        <v>281.80608593450035</v>
      </c>
      <c r="AH138" s="59" cm="1">
        <f t="array" ref="AH138">VLOOKUP(B138,'Player Data'!$A1:$AE673,22,FALSE)</f>
        <v>0.54405414075673397</v>
      </c>
      <c r="AI138" s="55"/>
      <c r="AJ138" s="57"/>
      <c r="AK138" s="57"/>
      <c r="AL138" s="57"/>
      <c r="AM138" s="57"/>
      <c r="AN138" s="57"/>
      <c r="AO138" s="57"/>
      <c r="AP138" s="57"/>
      <c r="AQ138" s="60"/>
      <c r="AR138" s="61"/>
      <c r="AS138" s="55"/>
    </row>
    <row r="139" spans="1:45" ht="21.25" customHeight="1" x14ac:dyDescent="0.15">
      <c r="A139" s="62">
        <f t="shared" si="2"/>
        <v>138</v>
      </c>
      <c r="B139" s="10" t="s">
        <v>267</v>
      </c>
      <c r="C139" s="47" t="s">
        <v>147</v>
      </c>
      <c r="D139" s="48" t="str" cm="1">
        <f t="array" ref="D139">VLOOKUP(B139,'Player Data'!A1:D673,4,FALSE)</f>
        <v>C,LW,RW</v>
      </c>
      <c r="E139" s="74" cm="1">
        <f t="array" ref="E139">VLOOKUP(B139,RW!A1:F210,3,FALSE)</f>
        <v>41</v>
      </c>
      <c r="F139" s="72" t="str" cm="1">
        <f t="array" ref="F139">VLOOKUP(B139,'Player Data'!A1:B673,2,FALSE)</f>
        <v>PIT</v>
      </c>
      <c r="G139" s="66" cm="1">
        <f t="array" ref="G139">VLOOKUP(B139,'Player Data'!A1:D673,3,FALSE)</f>
        <v>33</v>
      </c>
      <c r="H139" s="51" cm="1">
        <f t="array" ref="H139">IFERROR(VLOOKUP(B139,ADP!A1:F671,6,FALSE)/1000000,VLOOKUP(B139,ADP!A1:F671,6,FALSE))</f>
        <v>5</v>
      </c>
      <c r="I139" s="52">
        <f>IF(Settings!$E$15="POINTS",((R139*Q139)*Settings!$B$12)+(S139*Settings!$B$2)+(T139*Settings!$B$3)+(U139*Settings!$B$4)+(V139*Settings!$B$5)+(X139*Settings!$B$9)+(AA139*Settings!$B$6)+(W139*Settings!$B$8)+(AB139*Settings!$B$7)+(AC139*Settings!$B$14)+(AD139*Settings!$B$15)+(AE139*Settings!$B$16)+(AF139*Settings!$B$17)+(AG139*Settings!$B$18)+(Y139*Settings!$B$10)+(Z139*Settings!$B$11),VLOOKUP(B139,'Standard Deviations'!A$1:C$672,3,FALSE))</f>
        <v>336.99772010800154</v>
      </c>
      <c r="J139" s="53" cm="1">
        <f t="array" ref="J139">IF(D139="G",I139/AJ139,I139/Q139)</f>
        <v>4.2772993191559774</v>
      </c>
      <c r="K139" s="52" cm="1">
        <f t="array" ref="K139">IF(Settings!$E$18="C/LW/RW",VLOOKUP(B139,RW!A1:F210,6,FALSE),VLOOKUP(B139,F!A1:F407,6,FALSE))</f>
        <v>-57.945744585555929</v>
      </c>
      <c r="L139" s="54" cm="1">
        <f t="array" ref="L139">IFERROR(K139/H139,"N/A")</f>
        <v>-11.589148917111185</v>
      </c>
      <c r="M139" s="55">
        <v>133.4</v>
      </c>
      <c r="N139" s="55" cm="1">
        <f t="array" ref="N139">IFERROR(M139-A139,"N/A")</f>
        <v>-4.5999999999999943</v>
      </c>
      <c r="O139" s="55"/>
      <c r="P139" s="56" t="str" cm="1">
        <f t="array" ref="P139">_xlfn.XLOOKUP($B139,ADP!A2:A671,ADP!G2:G671)</f>
        <v xml:space="preserve"> </v>
      </c>
      <c r="Q139" s="57" cm="1">
        <f t="array" ref="Q139">IF(Settings!$E$12="YES",VLOOKUP(B139,'Player Data'!A1:E673,5,FALSE),84)</f>
        <v>78.787499999999994</v>
      </c>
      <c r="R139" s="55" cm="1">
        <f t="array" ref="R139">VLOOKUP(B139,'Player Data'!$A1:$AE673,6,FALSE)</f>
        <v>19.142575441438002</v>
      </c>
      <c r="S139" s="57" cm="1">
        <f t="array" ref="S139">VLOOKUP(B139,'Player Data'!$A1:$AE673,7,FALSE)*$Q139*IFERROR((VLOOKUP(P139,Settings!$E$28:$F$33,2,FALSE)+1),1)</f>
        <v>28.882783987438984</v>
      </c>
      <c r="T139" s="57" cm="1">
        <f t="array" ref="T139">VLOOKUP(B139,'Player Data'!$A1:$AE673,8,FALSE)*$Q139*IFERROR((VLOOKUP(P139,Settings!$E$28:$F$33,2,FALSE)+1),1)</f>
        <v>31.619414334331314</v>
      </c>
      <c r="U139" s="57" cm="1">
        <f t="array" ref="U139">SUM(S139:T139)</f>
        <v>60.502198321770294</v>
      </c>
      <c r="V139" s="57" cm="1">
        <f t="array" ref="V139">VLOOKUP(B139,'Player Data'!$A1:$AE673,10,FALSE)*$Q139*IFERROR(((VLOOKUP(P139,Settings!$E$28:$F$33,2,FALSE)/2)+1),1)</f>
        <v>209.12747922524252</v>
      </c>
      <c r="W139" s="58" cm="1">
        <f t="array" ref="W139">VLOOKUP(B139,'Player Data'!$A1:$AE673,11,FALSE)*$Q139*IFERROR((VLOOKUP(P139,Settings!$E$28:$F$33,2,FALSE)+1),1)</f>
        <v>7.858742938221714</v>
      </c>
      <c r="X139" s="57" cm="1">
        <f t="array" ref="X139">VLOOKUP(B139,'Player Data'!$A1:$AE673,12,FALSE)*$Q139*IFERROR((VLOOKUP(P139,Settings!$E$28:$F$33,2,FALSE)+1),1)</f>
        <v>18.250192473700789</v>
      </c>
      <c r="Y139" s="57" cm="1">
        <f t="array" ref="Y139">VLOOKUP(B139,'Player Data'!$A1:$AE673,13,FALSE)*$Q139</f>
        <v>1.103719250091274</v>
      </c>
      <c r="Z139" s="57" cm="1">
        <f t="array" ref="Z139">VLOOKUP(B139,'Player Data'!$A1:$AE673,14,FALSE)*$Q139</f>
        <v>2.1551900927074863</v>
      </c>
      <c r="AA139" s="57" cm="1">
        <f t="array" ref="AA139">VLOOKUP(B139,'Player Data'!$A1:$AE673,15,FALSE)*$Q139</f>
        <v>61.044005927322281</v>
      </c>
      <c r="AB139" s="57" cm="1">
        <f t="array" ref="AB139">VLOOKUP(B139,'Player Data'!$A1:$AE673,16,FALSE)*$Q139</f>
        <v>97.028987530097936</v>
      </c>
      <c r="AC139" s="57" cm="1">
        <f t="array" ref="AC139">VLOOKUP(B139,'Player Data'!$A1:$AE673,17,FALSE)*$Q139*IFERROR((VLOOKUP(P139,Settings!$E$28:$F$33,2,FALSE)+1),1)</f>
        <v>0.57262788026322864</v>
      </c>
      <c r="AD139" s="57" cm="1">
        <f t="array" ref="AD139">VLOOKUP(B139,'Player Data'!$A1:$AE673,18,FALSE)*$Q139</f>
        <v>20.049118849802614</v>
      </c>
      <c r="AE139" s="57" cm="1">
        <f t="array" ref="AE139">VLOOKUP(B139,'Player Data'!$A1:$AE673,19,FALSE)*$Q139*IFERROR((VLOOKUP(P139,Settings!$E$28:$F$33,2,FALSE)+1),1)</f>
        <v>4.1876366222849688</v>
      </c>
      <c r="AF139" s="57" cm="1">
        <f t="array" ref="AF139">VLOOKUP(B139,'Player Data'!$A1:$AE673,20,FALSE)*$Q139</f>
        <v>75.310984354717192</v>
      </c>
      <c r="AG139" s="57" cm="1">
        <f t="array" ref="AG139">VLOOKUP(B139,'Player Data'!$A1:$AE673,21,FALSE)*$Q139</f>
        <v>135.24110351389092</v>
      </c>
      <c r="AH139" s="59" cm="1">
        <f t="array" ref="AH139">VLOOKUP(B139,'Player Data'!$A1:$AE673,22,FALSE)</f>
        <v>0.35768338902302399</v>
      </c>
      <c r="AI139" s="55"/>
      <c r="AJ139" s="57"/>
      <c r="AK139" s="57"/>
      <c r="AL139" s="57"/>
      <c r="AM139" s="57"/>
      <c r="AN139" s="57"/>
      <c r="AO139" s="57"/>
      <c r="AP139" s="57"/>
      <c r="AQ139" s="60"/>
      <c r="AR139" s="61"/>
      <c r="AS139" s="55"/>
    </row>
    <row r="140" spans="1:45" ht="21.25" customHeight="1" x14ac:dyDescent="0.15">
      <c r="A140" s="62">
        <f t="shared" si="2"/>
        <v>139</v>
      </c>
      <c r="B140" s="10" t="s">
        <v>268</v>
      </c>
      <c r="C140" s="47" t="s">
        <v>147</v>
      </c>
      <c r="D140" s="48" t="str" cm="1">
        <f t="array" ref="D140">VLOOKUP(B140,'Player Data'!A1:D673,4,FALSE)</f>
        <v>D</v>
      </c>
      <c r="E140" s="68" cm="1">
        <f t="array" ref="E140">VLOOKUP(B140,D!A1:C204,3,FALSE)</f>
        <v>45</v>
      </c>
      <c r="F140" s="18" t="str" cm="1">
        <f t="array" ref="F140">VLOOKUP(B140,'Player Data'!A1:B673,2,FALSE)</f>
        <v>VAN</v>
      </c>
      <c r="G140" s="71" cm="1">
        <f t="array" ref="G140">VLOOKUP(B140,'Player Data'!A1:D673,3,FALSE)</f>
        <v>20</v>
      </c>
      <c r="H140" s="51" cm="1">
        <f t="array" ref="H140">IFERROR(VLOOKUP(B140,ADP!A1:F671,6,FALSE)/1000000,VLOOKUP(B140,ADP!A1:F671,6,FALSE))</f>
        <v>0.96650000000000003</v>
      </c>
      <c r="I140" s="52">
        <f>IF(Settings!$E$15="POINTS",((R140*Q140)*Settings!$B$12)+(S140*Settings!$B$2)+(T140*Settings!$B$3)+(U140*Settings!$B$4)+(V140*Settings!$B$5)+(X140*Settings!$B$9)+(AA140*Settings!$B$6)+(W140*Settings!$B$8)+(AB140*Settings!$B$7)+(AC140*Settings!$B$14)+(AD140*Settings!$B$15)+(AE140*Settings!$B$16)+(AF140*Settings!$B$17)+(AG140*Settings!$B$18)+(U140*Settings!$B$13)+(Y140*Settings!$B$10)+(Z140*Settings!$B$11),VLOOKUP(B140,'Standard Deviations'!A$1:C$672,3,FALSE))</f>
        <v>248.41104682971672</v>
      </c>
      <c r="J140" s="53" cm="1">
        <f t="array" ref="J140">IF(D140="G",I140/AJ140,I140/Q140)</f>
        <v>3.0464930933249534</v>
      </c>
      <c r="K140" s="52" cm="1">
        <f t="array" ref="K140">VLOOKUP(B140,D!A1:F204,6,FALSE)</f>
        <v>-58.242820514877337</v>
      </c>
      <c r="L140" s="54" cm="1">
        <f t="array" ref="L140">IFERROR(K140/H140,"N/A")</f>
        <v>-60.261583564280741</v>
      </c>
      <c r="M140" s="55">
        <v>132.4</v>
      </c>
      <c r="N140" s="55" cm="1">
        <f t="array" ref="N140">IFERROR(M140-A140,"N/A")</f>
        <v>-6.5999999999999943</v>
      </c>
      <c r="O140" s="81"/>
      <c r="P140" s="56" t="str" cm="1">
        <f t="array" ref="P140">_xlfn.XLOOKUP($B140,ADP!A2:A671,ADP!G2:G671)</f>
        <v xml:space="preserve"> </v>
      </c>
      <c r="Q140" s="57" cm="1">
        <f t="array" ref="Q140">IF(Settings!$E$12="YES",VLOOKUP(B140,'Player Data'!A1:E673,5,FALSE),84)</f>
        <v>81.540000000000006</v>
      </c>
      <c r="R140" s="82" cm="1">
        <f t="array" ref="R140">VLOOKUP(B140,'Player Data'!$A1:$AE673,6,FALSE)</f>
        <v>22.786230257816801</v>
      </c>
      <c r="S140" s="57" cm="1">
        <f t="array" ref="S140">VLOOKUP(B140,'Player Data'!$A1:$AE673,7,FALSE)*$Q140*IFERROR((VLOOKUP(P140,Settings!$E$28:$F$33,2,FALSE)+1),1)</f>
        <v>11.147144542310434</v>
      </c>
      <c r="T140" s="57" cm="1">
        <f t="array" ref="T140">VLOOKUP(B140,'Player Data'!$A1:$AE673,8,FALSE)*$Q140*IFERROR((VLOOKUP(P140,Settings!$E$28:$F$33,2,FALSE)+1),1)</f>
        <v>32.366612973885729</v>
      </c>
      <c r="U140" s="57" cm="1">
        <f t="array" ref="U140">SUM(S140:T140)</f>
        <v>43.513757516196165</v>
      </c>
      <c r="V140" s="57" cm="1">
        <f t="array" ref="V140">VLOOKUP(B140,'Player Data'!$A1:$AE673,10,FALSE)*$Q140*IFERROR(((VLOOKUP(P140,Settings!$E$28:$F$33,2,FALSE)/2)+1),1)</f>
        <v>108.86508992052603</v>
      </c>
      <c r="W140" s="58" cm="1">
        <f t="array" ref="W140">VLOOKUP(B140,'Player Data'!$A1:$AE673,11,FALSE)*$Q140*IFERROR((VLOOKUP(P140,Settings!$E$28:$F$33,2,FALSE)+1),1)</f>
        <v>5.4947118643487753</v>
      </c>
      <c r="X140" s="57" cm="1">
        <f t="array" ref="X140">VLOOKUP(B140,'Player Data'!$A1:$AE673,12,FALSE)*$Q140*IFERROR((VLOOKUP(P140,Settings!$E$28:$F$33,2,FALSE)+1),1)</f>
        <v>21.580158989011007</v>
      </c>
      <c r="Y140" s="57" cm="1">
        <f t="array" ref="Y140">VLOOKUP(B140,'Player Data'!$A1:$AE673,13,FALSE)*$Q140</f>
        <v>3.9228653450929761E-2</v>
      </c>
      <c r="Z140" s="57" cm="1">
        <f t="array" ref="Z140">VLOOKUP(B140,'Player Data'!$A1:$AE673,14,FALSE)*$Q140</f>
        <v>0.12255052484350533</v>
      </c>
      <c r="AA140" s="57" cm="1">
        <f t="array" ref="AA140">VLOOKUP(B140,'Player Data'!$A1:$AE673,15,FALSE)*$Q140</f>
        <v>83.469039614021398</v>
      </c>
      <c r="AB140" s="57" cm="1">
        <f t="array" ref="AB140">VLOOKUP(B140,'Player Data'!$A1:$AE673,16,FALSE)*$Q140</f>
        <v>48.550976237652876</v>
      </c>
      <c r="AC140" s="57" cm="1">
        <f t="array" ref="AC140">VLOOKUP(B140,'Player Data'!$A1:$AE673,17,FALSE)*$Q140*IFERROR((VLOOKUP(P140,Settings!$E$28:$F$33,2,FALSE)+1),1)</f>
        <v>-12.627603430096331</v>
      </c>
      <c r="AD140" s="57" cm="1">
        <f t="array" ref="AD140">VLOOKUP(B140,'Player Data'!$A1:$AE673,18,FALSE)*$Q140</f>
        <v>41.168400719059342</v>
      </c>
      <c r="AE140" s="57" cm="1">
        <f t="array" ref="AE140">VLOOKUP(B140,'Player Data'!$A1:$AE673,19,FALSE)*$Q140*IFERROR((VLOOKUP(P140,Settings!$E$28:$F$33,2,FALSE)+1),1)</f>
        <v>1.381326549337706</v>
      </c>
      <c r="AF140" s="57" cm="1">
        <f t="array" ref="AF140">VLOOKUP(B140,'Player Data'!$A1:$AE673,20,FALSE)*$Q140</f>
        <v>0</v>
      </c>
      <c r="AG140" s="57" cm="1">
        <f t="array" ref="AG140">VLOOKUP(B140,'Player Data'!$A1:$AE673,21,FALSE)*$Q140</f>
        <v>0</v>
      </c>
      <c r="AH140" s="59" cm="1">
        <f t="array" ref="AH140">VLOOKUP(B140,'Player Data'!$A1:$AE673,22,FALSE)</f>
        <v>0</v>
      </c>
      <c r="AI140" s="55"/>
      <c r="AJ140" s="57"/>
      <c r="AK140" s="57"/>
      <c r="AL140" s="57"/>
      <c r="AM140" s="57"/>
      <c r="AN140" s="57"/>
      <c r="AO140" s="57"/>
      <c r="AP140" s="57"/>
      <c r="AQ140" s="60"/>
      <c r="AR140" s="61"/>
      <c r="AS140" s="55"/>
    </row>
    <row r="141" spans="1:45" ht="21.25" customHeight="1" x14ac:dyDescent="0.15">
      <c r="A141" s="62">
        <f t="shared" si="2"/>
        <v>140</v>
      </c>
      <c r="B141" s="10" t="s">
        <v>269</v>
      </c>
      <c r="C141" s="47" t="s">
        <v>128</v>
      </c>
      <c r="D141" s="48" t="str" cm="1">
        <f t="array" ref="D141">VLOOKUP(B141,'Player Data'!A1:D673,4,FALSE)</f>
        <v>C</v>
      </c>
      <c r="E141" s="49" cm="1">
        <f t="array" ref="E141">VLOOKUP(B141,'C'!A1:C210,3,FALSE)</f>
        <v>46</v>
      </c>
      <c r="F141" s="69" t="str" cm="1">
        <f t="array" ref="F141">VLOOKUP(B141,'Player Data'!A1:B673,2,FALSE)</f>
        <v>TOR</v>
      </c>
      <c r="G141" s="66" cm="1">
        <f t="array" ref="G141">VLOOKUP(B141,'Player Data'!A1:D673,3,FALSE)</f>
        <v>35</v>
      </c>
      <c r="H141" s="51" cm="1">
        <f t="array" ref="H141">IFERROR(VLOOKUP(B141,ADP!A1:F671,6,FALSE)/1000000,VLOOKUP(B141,ADP!A1:F671,6,FALSE))</f>
        <v>4.38</v>
      </c>
      <c r="I141" s="52">
        <f>IF(Settings!$E$15="POINTS",((R141*Q141)*Settings!$B$12)+(S141*Settings!$B$2)+(T141*Settings!$B$3)+(U141*Settings!$B$4)+(V141*Settings!$B$5)+(X141*Settings!$B$9)+(AA141*Settings!$B$6)+(W141*Settings!$B$8)+(AB141*Settings!$B$7)+(AC141*Settings!$B$14)+(AD141*Settings!$B$15)+(AE141*Settings!$B$16)+(AF141*Settings!$B$17)+(AG141*Settings!$B$18)+(Y141*Settings!$B$10)+(Z141*Settings!$B$11),VLOOKUP(B141,'Standard Deviations'!A$1:C$672,3,FALSE))</f>
        <v>326.04259365219184</v>
      </c>
      <c r="J141" s="53" cm="1">
        <f t="array" ref="J141">IF(D141="G",I141/AJ141,I141/Q141)</f>
        <v>3.9345050068143941</v>
      </c>
      <c r="K141" s="52" cm="1">
        <f t="array" ref="K141">IF(Settings!$E$18="C/LW/RW",VLOOKUP(B141,'C'!A1:F210,6,FALSE),VLOOKUP(B141,F!A1:F407,6,FALSE))</f>
        <v>-60.492612740891161</v>
      </c>
      <c r="L141" s="54" cm="1">
        <f t="array" ref="L141">IFERROR(K141/H141,"N/A")</f>
        <v>-13.811098799290219</v>
      </c>
      <c r="M141" s="55">
        <v>128.5</v>
      </c>
      <c r="N141" s="55" cm="1">
        <f t="array" ref="N141">IFERROR(M141-A141,"N/A")</f>
        <v>-11.5</v>
      </c>
      <c r="O141" s="83"/>
      <c r="P141" s="56" t="str" cm="1">
        <f t="array" ref="P141">_xlfn.XLOOKUP($B141,ADP!A2:A671,ADP!G2:G671)</f>
        <v xml:space="preserve"> </v>
      </c>
      <c r="Q141" s="57" cm="1">
        <f t="array" ref="Q141">IF(Settings!$E$12="YES",VLOOKUP(B141,'Player Data'!A1:E673,5,FALSE),84)</f>
        <v>82.867500000000007</v>
      </c>
      <c r="R141" s="55" cm="1">
        <f t="array" ref="R141">VLOOKUP(B141,'Player Data'!$A1:$AE673,6,FALSE)</f>
        <v>17.717765226448201</v>
      </c>
      <c r="S141" s="57" cm="1">
        <f t="array" ref="S141">VLOOKUP(B141,'Player Data'!$A1:$AE673,7,FALSE)*$Q141*IFERROR((VLOOKUP(P141,Settings!$E$28:$F$33,2,FALSE)+1),1)</f>
        <v>29.112755897434262</v>
      </c>
      <c r="T141" s="57" cm="1">
        <f t="array" ref="T141">VLOOKUP(B141,'Player Data'!$A1:$AE673,8,FALSE)*$Q141*IFERROR((VLOOKUP(P141,Settings!$E$28:$F$33,2,FALSE)+1),1)</f>
        <v>35.743606997439052</v>
      </c>
      <c r="U141" s="57" cm="1">
        <f t="array" ref="U141">SUM(S141:T141)</f>
        <v>64.856362894873314</v>
      </c>
      <c r="V141" s="57" cm="1">
        <f t="array" ref="V141">VLOOKUP(B141,'Player Data'!$A1:$AE673,10,FALSE)*$Q141*IFERROR(((VLOOKUP(P141,Settings!$E$28:$F$33,2,FALSE)/2)+1),1)</f>
        <v>201.43765101655799</v>
      </c>
      <c r="W141" s="57" cm="1">
        <f t="array" ref="W141">VLOOKUP(B141,'Player Data'!$A1:$AE673,11,FALSE)*$Q141*IFERROR((VLOOKUP(P141,Settings!$E$28:$F$33,2,FALSE)+1),1)</f>
        <v>7.6699218510928793</v>
      </c>
      <c r="X141" s="79" cm="1">
        <f t="array" ref="X141">VLOOKUP(B141,'Player Data'!$A1:$AE673,12,FALSE)*$Q141*IFERROR((VLOOKUP(P141,Settings!$E$28:$F$33,2,FALSE)+1),1)</f>
        <v>14.441692512266179</v>
      </c>
      <c r="Y141" s="57" cm="1">
        <f t="array" ref="Y141">VLOOKUP(B141,'Player Data'!$A1:$AE673,13,FALSE)*$Q141</f>
        <v>9.0794551934158321E-3</v>
      </c>
      <c r="Z141" s="57" cm="1">
        <f t="array" ref="Z141">VLOOKUP(B141,'Player Data'!$A1:$AE673,14,FALSE)*$Q141</f>
        <v>1.4968353239072011E-2</v>
      </c>
      <c r="AA141" s="57" cm="1">
        <f t="array" ref="AA141">VLOOKUP(B141,'Player Data'!$A1:$AE673,15,FALSE)*$Q141</f>
        <v>32.596037187575405</v>
      </c>
      <c r="AB141" s="57" cm="1">
        <f t="array" ref="AB141">VLOOKUP(B141,'Player Data'!$A1:$AE673,16,FALSE)*$Q141</f>
        <v>81.867542569555638</v>
      </c>
      <c r="AC141" s="57" cm="1">
        <f t="array" ref="AC141">VLOOKUP(B141,'Player Data'!$A1:$AE673,17,FALSE)*$Q141*IFERROR((VLOOKUP(P141,Settings!$E$28:$F$33,2,FALSE)+1),1)</f>
        <v>1.579886502542001</v>
      </c>
      <c r="AD141" s="57" cm="1">
        <f t="array" ref="AD141">VLOOKUP(B141,'Player Data'!$A1:$AE673,18,FALSE)*$Q141</f>
        <v>35.191343344739053</v>
      </c>
      <c r="AE141" s="57" cm="1">
        <f t="array" ref="AE141">VLOOKUP(B141,'Player Data'!$A1:$AE673,19,FALSE)*$Q141*IFERROR((VLOOKUP(P141,Settings!$E$28:$F$33,2,FALSE)+1),1)</f>
        <v>3.9756588933533474</v>
      </c>
      <c r="AF141" s="57" cm="1">
        <f t="array" ref="AF141">VLOOKUP(B141,'Player Data'!$A1:$AE673,20,FALSE)*$Q141</f>
        <v>802.63100101736552</v>
      </c>
      <c r="AG141" s="57" cm="1">
        <f t="array" ref="AG141">VLOOKUP(B141,'Player Data'!$A1:$AE673,21,FALSE)*$Q141</f>
        <v>575.79864404426132</v>
      </c>
      <c r="AH141" s="59" cm="1">
        <f t="array" ref="AH141">VLOOKUP(B141,'Player Data'!$A1:$AE673,22,FALSE)</f>
        <v>0.58227926531678798</v>
      </c>
      <c r="AI141" s="55"/>
      <c r="AJ141" s="57"/>
      <c r="AK141" s="57"/>
      <c r="AL141" s="57"/>
      <c r="AM141" s="57"/>
      <c r="AN141" s="57"/>
      <c r="AO141" s="57"/>
      <c r="AP141" s="57"/>
      <c r="AQ141" s="60"/>
      <c r="AR141" s="61"/>
      <c r="AS141" s="55"/>
    </row>
    <row r="142" spans="1:45" ht="21.25" customHeight="1" x14ac:dyDescent="0.15">
      <c r="A142" s="62">
        <f t="shared" si="2"/>
        <v>141</v>
      </c>
      <c r="B142" s="10" t="s">
        <v>270</v>
      </c>
      <c r="C142" s="47" t="s">
        <v>147</v>
      </c>
      <c r="D142" s="48" t="str" cm="1">
        <f t="array" ref="D142">VLOOKUP(B142,'Player Data'!A1:D673,4,FALSE)</f>
        <v>D</v>
      </c>
      <c r="E142" s="68" cm="1">
        <f t="array" ref="E142">VLOOKUP(B142,D!A1:C204,3,FALSE)</f>
        <v>46</v>
      </c>
      <c r="F142" s="72" t="str" cm="1">
        <f t="array" ref="F142">VLOOKUP(B142,'Player Data'!A1:B673,2,FALSE)</f>
        <v>DET</v>
      </c>
      <c r="G142" s="66" cm="1">
        <f t="array" ref="G142">VLOOKUP(B142,'Player Data'!A1:D673,3,FALSE)</f>
        <v>34</v>
      </c>
      <c r="H142" s="67" cm="1">
        <f t="array" ref="H142">IFERROR(VLOOKUP(B142,ADP!A1:F671,6,FALSE)/1000000,VLOOKUP(B142,ADP!A1:F671,6,FALSE))</f>
        <v>6.5</v>
      </c>
      <c r="I142" s="52">
        <f>IF(Settings!$E$15="POINTS",((R142*Q142)*Settings!$B$12)+(S142*Settings!$B$2)+(T142*Settings!$B$3)+(U142*Settings!$B$4)+(V142*Settings!$B$5)+(X142*Settings!$B$9)+(AA142*Settings!$B$6)+(W142*Settings!$B$8)+(AB142*Settings!$B$7)+(AC142*Settings!$B$14)+(AD142*Settings!$B$15)+(AE142*Settings!$B$16)+(AF142*Settings!$B$17)+(AG142*Settings!$B$18)+(U142*Settings!$B$13)+(Y142*Settings!$B$10)+(Z142*Settings!$B$11),VLOOKUP(B142,'Standard Deviations'!A$1:C$672,3,FALSE))</f>
        <v>246.04357017710609</v>
      </c>
      <c r="J142" s="53" cm="1">
        <f t="array" ref="J142">IF(D142="G",I142/AJ142,I142/Q142)</f>
        <v>3.0537863991200958</v>
      </c>
      <c r="K142" s="52" cm="1">
        <f t="array" ref="K142">VLOOKUP(B142,D!A1:F204,6,FALSE)</f>
        <v>-60.610297167487971</v>
      </c>
      <c r="L142" s="54" cm="1">
        <f t="array" ref="L142">IFERROR(K142/H142,"N/A")</f>
        <v>-9.3246611026904578</v>
      </c>
      <c r="M142" s="55">
        <v>140.4</v>
      </c>
      <c r="N142" s="55" cm="1">
        <f t="array" ref="N142">IFERROR(M142-A142,"N/A")</f>
        <v>-0.59999999999999432</v>
      </c>
      <c r="O142" s="55"/>
      <c r="P142" s="56" t="str" cm="1">
        <f t="array" ref="P142">_xlfn.XLOOKUP($B142,ADP!A2:A671,ADP!G2:G671)</f>
        <v xml:space="preserve"> </v>
      </c>
      <c r="Q142" s="57" cm="1">
        <f t="array" ref="Q142">IF(Settings!$E$12="YES",VLOOKUP(B142,'Player Data'!A1:E673,5,FALSE),84)</f>
        <v>80.569999999999993</v>
      </c>
      <c r="R142" s="55" cm="1">
        <f t="array" ref="R142">VLOOKUP(B142,'Player Data'!$A1:$AE673,6,FALSE)</f>
        <v>21.800901973401398</v>
      </c>
      <c r="S142" s="57" cm="1">
        <f t="array" ref="S142">VLOOKUP(B142,'Player Data'!$A1:$AE673,7,FALSE)*$Q142*IFERROR((VLOOKUP(P142,Settings!$E$28:$F$33,2,FALSE)+1),1)</f>
        <v>8.0358193666048869</v>
      </c>
      <c r="T142" s="57" cm="1">
        <f t="array" ref="T142">VLOOKUP(B142,'Player Data'!$A1:$AE673,8,FALSE)*$Q142*IFERROR((VLOOKUP(P142,Settings!$E$28:$F$33,2,FALSE)+1),1)</f>
        <v>26.816076257644827</v>
      </c>
      <c r="U142" s="57" cm="1">
        <f t="array" ref="U142">SUM(S142:T142)</f>
        <v>34.851895624249714</v>
      </c>
      <c r="V142" s="57" cm="1">
        <f t="array" ref="V142">VLOOKUP(B142,'Player Data'!$A1:$AE673,10,FALSE)*$Q142*IFERROR(((VLOOKUP(P142,Settings!$E$28:$F$33,2,FALSE)/2)+1),1)</f>
        <v>137.48097419911687</v>
      </c>
      <c r="W142" s="57" cm="1">
        <f t="array" ref="W142">VLOOKUP(B142,'Player Data'!$A1:$AE673,11,FALSE)*$Q142*IFERROR((VLOOKUP(P142,Settings!$E$28:$F$33,2,FALSE)+1),1)</f>
        <v>1.173639972133939</v>
      </c>
      <c r="X142" s="57" cm="1">
        <f t="array" ref="X142">VLOOKUP(B142,'Player Data'!$A1:$AE673,12,FALSE)*$Q142*IFERROR((VLOOKUP(P142,Settings!$E$28:$F$33,2,FALSE)+1),1)</f>
        <v>6.7173642020800388</v>
      </c>
      <c r="Y142" s="57" cm="1">
        <f t="array" ref="Y142">VLOOKUP(B142,'Player Data'!$A1:$AE673,13,FALSE)*$Q142</f>
        <v>1.9166838344725868E-2</v>
      </c>
      <c r="Z142" s="57" cm="1">
        <f t="array" ref="Z142">VLOOKUP(B142,'Player Data'!$A1:$AE673,14,FALSE)*$Q142</f>
        <v>0.85088446883962987</v>
      </c>
      <c r="AA142" s="57" cm="1">
        <f t="array" ref="AA142">VLOOKUP(B142,'Player Data'!$A1:$AE673,15,FALSE)*$Q142</f>
        <v>130.35829506775764</v>
      </c>
      <c r="AB142" s="57" cm="1">
        <f t="array" ref="AB142">VLOOKUP(B142,'Player Data'!$A1:$AE673,16,FALSE)*$Q142</f>
        <v>77.181688015028485</v>
      </c>
      <c r="AC142" s="57" cm="1">
        <f t="array" ref="AC142">VLOOKUP(B142,'Player Data'!$A1:$AE673,17,FALSE)*$Q142*IFERROR((VLOOKUP(P142,Settings!$E$28:$F$33,2,FALSE)+1),1)</f>
        <v>-3.1442890681148645</v>
      </c>
      <c r="AD142" s="57" cm="1">
        <f t="array" ref="AD142">VLOOKUP(B142,'Player Data'!$A1:$AE673,18,FALSE)*$Q142</f>
        <v>38.406486164341473</v>
      </c>
      <c r="AE142" s="57" cm="1">
        <f t="array" ref="AE142">VLOOKUP(B142,'Player Data'!$A1:$AE673,19,FALSE)*$Q142*IFERROR((VLOOKUP(P142,Settings!$E$28:$F$33,2,FALSE)+1),1)</f>
        <v>1.2592763945925443</v>
      </c>
      <c r="AF142" s="57" cm="1">
        <f t="array" ref="AF142">VLOOKUP(B142,'Player Data'!$A1:$AE673,20,FALSE)*$Q142</f>
        <v>0</v>
      </c>
      <c r="AG142" s="57" cm="1">
        <f t="array" ref="AG142">VLOOKUP(B142,'Player Data'!$A1:$AE673,21,FALSE)*$Q142</f>
        <v>0</v>
      </c>
      <c r="AH142" s="59" cm="1">
        <f t="array" ref="AH142">VLOOKUP(B142,'Player Data'!$A1:$AE673,22,FALSE)</f>
        <v>0</v>
      </c>
      <c r="AI142" s="55"/>
      <c r="AJ142" s="57"/>
      <c r="AK142" s="57"/>
      <c r="AL142" s="57"/>
      <c r="AM142" s="57"/>
      <c r="AN142" s="57"/>
      <c r="AO142" s="57"/>
      <c r="AP142" s="57"/>
      <c r="AQ142" s="60"/>
      <c r="AR142" s="61"/>
      <c r="AS142" s="55"/>
    </row>
    <row r="143" spans="1:45" ht="21.25" customHeight="1" x14ac:dyDescent="0.15">
      <c r="A143" s="62">
        <f t="shared" si="2"/>
        <v>142</v>
      </c>
      <c r="B143" s="10" t="s">
        <v>271</v>
      </c>
      <c r="C143" s="47" t="s">
        <v>128</v>
      </c>
      <c r="D143" s="48" t="str" cm="1">
        <f t="array" ref="D143">VLOOKUP(B143,'Player Data'!A1:D673,4,FALSE)</f>
        <v>LW,RW</v>
      </c>
      <c r="E143" s="74" cm="1">
        <f t="array" ref="E143">VLOOKUP(B143,RW!A1:F210,3,FALSE)</f>
        <v>42</v>
      </c>
      <c r="F143" s="63" t="str" cm="1">
        <f t="array" ref="F143">VLOOKUP(B143,'Player Data'!A1:B673,2,FALSE)</f>
        <v>EDM</v>
      </c>
      <c r="G143" s="66" cm="1">
        <f t="array" ref="G143">VLOOKUP(B143,'Player Data'!A1:D673,3,FALSE)</f>
        <v>34</v>
      </c>
      <c r="H143" s="51" cm="1">
        <f t="array" ref="H143">IFERROR(VLOOKUP(B143,ADP!A1:F671,6,FALSE)/1000000,VLOOKUP(B143,ADP!A1:F671,6,FALSE))</f>
        <v>5.5</v>
      </c>
      <c r="I143" s="52">
        <f>IF(Settings!$E$15="POINTS",((R143*Q143)*Settings!$B$12)+(S143*Settings!$B$2)+(T143*Settings!$B$3)+(U143*Settings!$B$4)+(V143*Settings!$B$5)+(X143*Settings!$B$9)+(AA143*Settings!$B$6)+(W143*Settings!$B$8)+(AB143*Settings!$B$7)+(AC143*Settings!$B$14)+(AD143*Settings!$B$15)+(AE143*Settings!$B$16)+(AF143*Settings!$B$17)+(AG143*Settings!$B$18)+(Y143*Settings!$B$10)+(Z143*Settings!$B$11),VLOOKUP(B143,'Standard Deviations'!A$1:C$672,3,FALSE))</f>
        <v>334.07665101179299</v>
      </c>
      <c r="J143" s="53" cm="1">
        <f t="array" ref="J143">IF(D143="G",I143/AJ143,I143/Q143)</f>
        <v>4.2648536815726938</v>
      </c>
      <c r="K143" s="52" cm="1">
        <f t="array" ref="K143">IF(Settings!$E$18="C/LW/RW",VLOOKUP(B143,RW!A1:F210,6,FALSE),VLOOKUP(B143,F!A1:F407,6,FALSE))</f>
        <v>-60.866813681764484</v>
      </c>
      <c r="L143" s="54" cm="1">
        <f t="array" ref="L143">IFERROR(K143/H143,"N/A")</f>
        <v>-11.066693396684451</v>
      </c>
      <c r="M143" s="55">
        <v>99</v>
      </c>
      <c r="N143" s="55" cm="1">
        <f t="array" ref="N143">IFERROR(M143-A143,"N/A")</f>
        <v>-43</v>
      </c>
      <c r="O143" s="55"/>
      <c r="P143" s="56" t="str" cm="1">
        <f t="array" ref="P143">_xlfn.XLOOKUP($B143,ADP!A2:A671,ADP!G2:G671)</f>
        <v xml:space="preserve"> </v>
      </c>
      <c r="Q143" s="57" cm="1">
        <f t="array" ref="Q143">IF(Settings!$E$12="YES",VLOOKUP(B143,'Player Data'!A1:E673,5,FALSE),84)</f>
        <v>78.332499999999996</v>
      </c>
      <c r="R143" s="55" cm="1">
        <f t="array" ref="R143">VLOOKUP(B143,'Player Data'!$A1:$AE673,6,FALSE)</f>
        <v>19.862491591659101</v>
      </c>
      <c r="S143" s="57" cm="1">
        <f t="array" ref="S143">VLOOKUP(B143,'Player Data'!$A1:$AE673,7,FALSE)*$Q143*IFERROR((VLOOKUP(P143,Settings!$E$28:$F$33,2,FALSE)+1),1)</f>
        <v>36.530202017058521</v>
      </c>
      <c r="T143" s="57" cm="1">
        <f t="array" ref="T143">VLOOKUP(B143,'Player Data'!$A1:$AE673,8,FALSE)*$Q143*IFERROR((VLOOKUP(P143,Settings!$E$28:$F$33,2,FALSE)+1),1)</f>
        <v>25.055340280512894</v>
      </c>
      <c r="U143" s="57" cm="1">
        <f t="array" ref="U143">SUM(S143:T143)</f>
        <v>61.585542297571415</v>
      </c>
      <c r="V143" s="57" cm="1">
        <f t="array" ref="V143">VLOOKUP(B143,'Player Data'!$A1:$AE673,10,FALSE)*$Q143*IFERROR(((VLOOKUP(P143,Settings!$E$28:$F$33,2,FALSE)/2)+1),1)</f>
        <v>230.26615033503265</v>
      </c>
      <c r="W143" s="58" cm="1">
        <f t="array" ref="W143">VLOOKUP(B143,'Player Data'!$A1:$AE673,11,FALSE)*$Q143*IFERROR((VLOOKUP(P143,Settings!$E$28:$F$33,2,FALSE)+1),1)</f>
        <v>11.98796596121786</v>
      </c>
      <c r="X143" s="57" cm="1">
        <f t="array" ref="X143">VLOOKUP(B143,'Player Data'!$A1:$AE673,12,FALSE)*$Q143*IFERROR((VLOOKUP(P143,Settings!$E$28:$F$33,2,FALSE)+1),1)</f>
        <v>19.89605449448689</v>
      </c>
      <c r="Y143" s="57" cm="1">
        <f t="array" ref="Y143">VLOOKUP(B143,'Player Data'!$A1:$AE673,13,FALSE)*$Q143</f>
        <v>0.11045689507445672</v>
      </c>
      <c r="Z143" s="57" cm="1">
        <f t="array" ref="Z143">VLOOKUP(B143,'Player Data'!$A1:$AE673,14,FALSE)*$Q143</f>
        <v>0.1788695379163952</v>
      </c>
      <c r="AA143" s="57" cm="1">
        <f t="array" ref="AA143">VLOOKUP(B143,'Player Data'!$A1:$AE673,15,FALSE)*$Q143</f>
        <v>28.224049838318333</v>
      </c>
      <c r="AB143" s="57" cm="1">
        <f t="array" ref="AB143">VLOOKUP(B143,'Player Data'!$A1:$AE673,16,FALSE)*$Q143</f>
        <v>69.787383824652949</v>
      </c>
      <c r="AC143" s="57" cm="1">
        <f t="array" ref="AC143">VLOOKUP(B143,'Player Data'!$A1:$AE673,17,FALSE)*$Q143*IFERROR((VLOOKUP(P143,Settings!$E$28:$F$33,2,FALSE)+1),1)</f>
        <v>9.6558190006252573</v>
      </c>
      <c r="AD143" s="57" cm="1">
        <f t="array" ref="AD143">VLOOKUP(B143,'Player Data'!$A1:$AE673,18,FALSE)*$Q143</f>
        <v>39.882772976009974</v>
      </c>
      <c r="AE143" s="57" cm="1">
        <f t="array" ref="AE143">VLOOKUP(B143,'Player Data'!$A1:$AE673,19,FALSE)*$Q143*IFERROR((VLOOKUP(P143,Settings!$E$28:$F$33,2,FALSE)+1),1)</f>
        <v>6.4125684417078936</v>
      </c>
      <c r="AF143" s="57" cm="1">
        <f t="array" ref="AF143">VLOOKUP(B143,'Player Data'!$A1:$AE673,20,FALSE)*$Q143</f>
        <v>1.2522283841441069</v>
      </c>
      <c r="AG143" s="57" cm="1">
        <f t="array" ref="AG143">VLOOKUP(B143,'Player Data'!$A1:$AE673,21,FALSE)*$Q143</f>
        <v>3.4432488894336752</v>
      </c>
      <c r="AH143" s="59" cm="1">
        <f t="array" ref="AH143">VLOOKUP(B143,'Player Data'!$A1:$AE673,22,FALSE)</f>
        <v>0.26668820040735802</v>
      </c>
      <c r="AI143" s="55"/>
      <c r="AJ143" s="57"/>
      <c r="AK143" s="57"/>
      <c r="AL143" s="57"/>
      <c r="AM143" s="57"/>
      <c r="AN143" s="57"/>
      <c r="AO143" s="57"/>
      <c r="AP143" s="57"/>
      <c r="AQ143" s="60"/>
      <c r="AR143" s="61"/>
      <c r="AS143" s="55"/>
    </row>
    <row r="144" spans="1:45" ht="21.25" customHeight="1" x14ac:dyDescent="0.15">
      <c r="A144" s="62">
        <f t="shared" si="2"/>
        <v>143</v>
      </c>
      <c r="B144" s="10" t="s">
        <v>272</v>
      </c>
      <c r="C144" s="47" t="s">
        <v>147</v>
      </c>
      <c r="D144" s="48" t="str" cm="1">
        <f t="array" ref="D144">VLOOKUP(B144,'Player Data'!A1:D673,4,FALSE)</f>
        <v>D</v>
      </c>
      <c r="E144" s="68" cm="1">
        <f t="array" ref="E144">VLOOKUP(B144,D!A1:C204,3,FALSE)</f>
        <v>47</v>
      </c>
      <c r="F144" s="65" t="str" cm="1">
        <f t="array" ref="F144">VLOOKUP(B144,'Player Data'!A1:B673,2,FALSE)</f>
        <v>T.B</v>
      </c>
      <c r="G144" s="66" cm="1">
        <f t="array" ref="G144">VLOOKUP(B144,'Player Data'!A1:D673,3,FALSE)</f>
        <v>35</v>
      </c>
      <c r="H144" s="51" cm="1">
        <f t="array" ref="H144">IFERROR(VLOOKUP(B144,ADP!A1:F671,6,FALSE)/1000000,VLOOKUP(B144,ADP!A1:F671,6,FALSE))</f>
        <v>8</v>
      </c>
      <c r="I144" s="52">
        <f>IF(Settings!$E$15="POINTS",((R144*Q144)*Settings!$B$12)+(S144*Settings!$B$2)+(T144*Settings!$B$3)+(U144*Settings!$B$4)+(V144*Settings!$B$5)+(X144*Settings!$B$9)+(AA144*Settings!$B$6)+(W144*Settings!$B$8)+(AB144*Settings!$B$7)+(AC144*Settings!$B$14)+(AD144*Settings!$B$15)+(AE144*Settings!$B$16)+(AF144*Settings!$B$17)+(AG144*Settings!$B$18)+(U144*Settings!$B$13)+(Y144*Settings!$B$10)+(Z144*Settings!$B$11),VLOOKUP(B144,'Standard Deviations'!A$1:C$672,3,FALSE))</f>
        <v>242.30938287559204</v>
      </c>
      <c r="J144" s="53" cm="1">
        <f t="array" ref="J144">IF(D144="G",I144/AJ144,I144/Q144)</f>
        <v>3.2516020246322066</v>
      </c>
      <c r="K144" s="52" cm="1">
        <f t="array" ref="K144">VLOOKUP(B144,D!A1:F204,6,FALSE)</f>
        <v>-64.344484469002026</v>
      </c>
      <c r="L144" s="54" cm="1">
        <f t="array" ref="L144">IFERROR(K144/H144,"N/A")</f>
        <v>-8.0430605586252533</v>
      </c>
      <c r="M144" s="55">
        <v>89.2</v>
      </c>
      <c r="N144" s="55" cm="1">
        <f t="array" ref="N144">IFERROR(M144-A144,"N/A")</f>
        <v>-53.8</v>
      </c>
      <c r="O144" s="55"/>
      <c r="P144" s="56" t="str" cm="1">
        <f t="array" ref="P144">_xlfn.XLOOKUP($B144,ADP!A2:A671,ADP!G2:G671)</f>
        <v xml:space="preserve"> </v>
      </c>
      <c r="Q144" s="57" cm="1">
        <f t="array" ref="Q144">IF(Settings!$E$12="YES",VLOOKUP(B144,'Player Data'!A1:E673,5,FALSE),84)</f>
        <v>74.52</v>
      </c>
      <c r="R144" s="55" cm="1">
        <f t="array" ref="R144">VLOOKUP(B144,'Player Data'!$A1:$AE673,6,FALSE)</f>
        <v>18.9809584770485</v>
      </c>
      <c r="S144" s="57" cm="1">
        <f t="array" ref="S144">VLOOKUP(B144,'Player Data'!$A1:$AE673,7,FALSE)*$Q144*IFERROR((VLOOKUP(P144,Settings!$E$28:$F$33,2,FALSE)+1),1)</f>
        <v>7.5883606782327719</v>
      </c>
      <c r="T144" s="57" cm="1">
        <f t="array" ref="T144">VLOOKUP(B144,'Player Data'!$A1:$AE673,8,FALSE)*$Q144*IFERROR((VLOOKUP(P144,Settings!$E$28:$F$33,2,FALSE)+1),1)</f>
        <v>33.045616619997183</v>
      </c>
      <c r="U144" s="57" cm="1">
        <f t="array" ref="U144">SUM(S144:T144)</f>
        <v>40.633977298229958</v>
      </c>
      <c r="V144" s="57" cm="1">
        <f t="array" ref="V144">VLOOKUP(B144,'Player Data'!$A1:$AE673,10,FALSE)*$Q144*IFERROR(((VLOOKUP(P144,Settings!$E$28:$F$33,2,FALSE)/2)+1),1)</f>
        <v>119.25160764443685</v>
      </c>
      <c r="W144" s="57" cm="1">
        <f t="array" ref="W144">VLOOKUP(B144,'Player Data'!$A1:$AE673,11,FALSE)*$Q144*IFERROR((VLOOKUP(P144,Settings!$E$28:$F$33,2,FALSE)+1),1)</f>
        <v>1.2379522796729381</v>
      </c>
      <c r="X144" s="57" cm="1">
        <f t="array" ref="X144">VLOOKUP(B144,'Player Data'!$A1:$AE673,12,FALSE)*$Q144*IFERROR((VLOOKUP(P144,Settings!$E$28:$F$33,2,FALSE)+1),1)</f>
        <v>10.03273063671349</v>
      </c>
      <c r="Y144" s="57" cm="1">
        <f t="array" ref="Y144">VLOOKUP(B144,'Player Data'!$A1:$AE673,13,FALSE)*$Q144</f>
        <v>1.1161673963042393E-2</v>
      </c>
      <c r="Z144" s="57" cm="1">
        <f t="array" ref="Z144">VLOOKUP(B144,'Player Data'!$A1:$AE673,14,FALSE)*$Q144</f>
        <v>3.9614731829171523E-2</v>
      </c>
      <c r="AA144" s="57" cm="1">
        <f t="array" ref="AA144">VLOOKUP(B144,'Player Data'!$A1:$AE673,15,FALSE)*$Q144</f>
        <v>101.41860358028219</v>
      </c>
      <c r="AB144" s="57" cm="1">
        <f t="array" ref="AB144">VLOOKUP(B144,'Player Data'!$A1:$AE673,16,FALSE)*$Q144</f>
        <v>49.263828009563525</v>
      </c>
      <c r="AC144" s="57" cm="1">
        <f t="array" ref="AC144">VLOOKUP(B144,'Player Data'!$A1:$AE673,17,FALSE)*$Q144*IFERROR((VLOOKUP(P144,Settings!$E$28:$F$33,2,FALSE)+1),1)</f>
        <v>6.7891293339375451</v>
      </c>
      <c r="AD144" s="57" cm="1">
        <f t="array" ref="AD144">VLOOKUP(B144,'Player Data'!$A1:$AE673,18,FALSE)*$Q144</f>
        <v>28.825355652438038</v>
      </c>
      <c r="AE144" s="57" cm="1">
        <f t="array" ref="AE144">VLOOKUP(B144,'Player Data'!$A1:$AE673,19,FALSE)*$Q144*IFERROR((VLOOKUP(P144,Settings!$E$28:$F$33,2,FALSE)+1),1)</f>
        <v>1.3470056426688191</v>
      </c>
      <c r="AF144" s="57" cm="1">
        <f t="array" ref="AF144">VLOOKUP(B144,'Player Data'!$A1:$AE673,20,FALSE)*$Q144</f>
        <v>0</v>
      </c>
      <c r="AG144" s="57" cm="1">
        <f t="array" ref="AG144">VLOOKUP(B144,'Player Data'!$A1:$AE673,21,FALSE)*$Q144</f>
        <v>0</v>
      </c>
      <c r="AH144" s="59" cm="1">
        <f t="array" ref="AH144">VLOOKUP(B144,'Player Data'!$A1:$AE673,22,FALSE)</f>
        <v>0</v>
      </c>
      <c r="AI144" s="55"/>
      <c r="AJ144" s="57"/>
      <c r="AK144" s="57"/>
      <c r="AL144" s="57"/>
      <c r="AM144" s="57"/>
      <c r="AN144" s="57"/>
      <c r="AO144" s="57"/>
      <c r="AP144" s="57"/>
      <c r="AQ144" s="60"/>
      <c r="AR144" s="61"/>
      <c r="AS144" s="55"/>
    </row>
    <row r="145" spans="1:45" ht="21.25" customHeight="1" x14ac:dyDescent="0.15">
      <c r="A145" s="62">
        <f t="shared" si="2"/>
        <v>144</v>
      </c>
      <c r="B145" s="10" t="s">
        <v>273</v>
      </c>
      <c r="C145" s="47" t="s">
        <v>147</v>
      </c>
      <c r="D145" s="48" t="str" cm="1">
        <f t="array" ref="D145">VLOOKUP(B145,'Player Data'!A1:D673,4,FALSE)</f>
        <v>D</v>
      </c>
      <c r="E145" s="68" cm="1">
        <f t="array" ref="E145">VLOOKUP(B145,D!A1:C204,3,FALSE)</f>
        <v>48</v>
      </c>
      <c r="F145" s="50" t="str" cm="1">
        <f t="array" ref="F145">VLOOKUP(B145,'Player Data'!A1:B673,2,FALSE)</f>
        <v>ANA</v>
      </c>
      <c r="G145" s="71" cm="1">
        <f t="array" ref="G145">VLOOKUP(B145,'Player Data'!A1:D673,3,FALSE)</f>
        <v>22</v>
      </c>
      <c r="H145" s="51" cm="1">
        <f t="array" ref="H145">IFERROR(VLOOKUP(B145,ADP!A1:F671,6,FALSE)/1000000,VLOOKUP(B145,ADP!A1:F671,6,FALSE))</f>
        <v>7.2</v>
      </c>
      <c r="I145" s="52">
        <f>IF(Settings!$E$15="POINTS",((R145*Q145)*Settings!$B$12)+(S145*Settings!$B$2)+(T145*Settings!$B$3)+(U145*Settings!$B$4)+(V145*Settings!$B$5)+(X145*Settings!$B$9)+(AA145*Settings!$B$6)+(W145*Settings!$B$8)+(AB145*Settings!$B$7)+(AC145*Settings!$B$14)+(AD145*Settings!$B$15)+(AE145*Settings!$B$16)+(AF145*Settings!$B$17)+(AG145*Settings!$B$18)+(U145*Settings!$B$13)+(Y145*Settings!$B$10)+(Z145*Settings!$B$11),VLOOKUP(B145,'Standard Deviations'!A$1:C$672,3,FALSE))</f>
        <v>241.94417273445006</v>
      </c>
      <c r="J145" s="53" cm="1">
        <f t="array" ref="J145">IF(D145="G",I145/AJ145,I145/Q145)</f>
        <v>3.0778764460700323</v>
      </c>
      <c r="K145" s="52" cm="1">
        <f t="array" ref="K145">VLOOKUP(B145,D!A1:F204,6,FALSE)</f>
        <v>-64.709694610143998</v>
      </c>
      <c r="L145" s="54" cm="1">
        <f t="array" ref="L145">IFERROR(K145/H145,"N/A")</f>
        <v>-8.9874575847422218</v>
      </c>
      <c r="M145" s="85" t="s">
        <v>832</v>
      </c>
      <c r="N145" s="85" t="str" cm="1">
        <f t="array" ref="N145">IFERROR(M145-A145,"N/A")</f>
        <v>N/A</v>
      </c>
      <c r="O145" s="55"/>
      <c r="P145" s="56" t="str" cm="1">
        <f t="array" ref="P145">_xlfn.XLOOKUP($B145,ADP!A2:A671,ADP!G2:G671)</f>
        <v>+</v>
      </c>
      <c r="Q145" s="57" cm="1">
        <f t="array" ref="Q145">IF(Settings!$E$12="YES",VLOOKUP(B145,'Player Data'!A1:E673,5,FALSE),84)</f>
        <v>78.607500000000002</v>
      </c>
      <c r="R145" s="82" cm="1">
        <f t="array" ref="R145">VLOOKUP(B145,'Player Data'!$A1:$AE673,6,FALSE)</f>
        <v>22.1590318520898</v>
      </c>
      <c r="S145" s="57" cm="1">
        <f t="array" ref="S145">VLOOKUP(B145,'Player Data'!$A1:$AE673,7,FALSE)*$Q145*IFERROR((VLOOKUP(P145,Settings!$E$28:$F$33,2,FALSE)+1),1)</f>
        <v>9.8747247965531759</v>
      </c>
      <c r="T145" s="57" cm="1">
        <f t="array" ref="T145">VLOOKUP(B145,'Player Data'!$A1:$AE673,8,FALSE)*$Q145*IFERROR((VLOOKUP(P145,Settings!$E$28:$F$33,2,FALSE)+1),1)</f>
        <v>26.446156346272666</v>
      </c>
      <c r="U145" s="57" cm="1">
        <f t="array" ref="U145">SUM(S145:T145)</f>
        <v>36.32088114282584</v>
      </c>
      <c r="V145" s="57" cm="1">
        <f t="array" ref="V145">VLOOKUP(B145,'Player Data'!$A1:$AE673,10,FALSE)*$Q145*IFERROR(((VLOOKUP(P145,Settings!$E$28:$F$33,2,FALSE)/2)+1),1)</f>
        <v>115.68583678397265</v>
      </c>
      <c r="W145" s="57" cm="1">
        <f t="array" ref="W145">VLOOKUP(B145,'Player Data'!$A1:$AE673,11,FALSE)*$Q145*IFERROR((VLOOKUP(P145,Settings!$E$28:$F$33,2,FALSE)+1),1)</f>
        <v>0.2808044674427061</v>
      </c>
      <c r="X145" s="57" cm="1">
        <f t="array" ref="X145">VLOOKUP(B145,'Player Data'!$A1:$AE673,12,FALSE)*$Q145*IFERROR((VLOOKUP(P145,Settings!$E$28:$F$33,2,FALSE)+1),1)</f>
        <v>6.6990740113684559</v>
      </c>
      <c r="Y145" s="57" cm="1">
        <f t="array" ref="Y145">VLOOKUP(B145,'Player Data'!$A1:$AE673,13,FALSE)*$Q145</f>
        <v>3.3098068945794305E-2</v>
      </c>
      <c r="Z145" s="57" cm="1">
        <f t="array" ref="Z145">VLOOKUP(B145,'Player Data'!$A1:$AE673,14,FALSE)*$Q145</f>
        <v>1.0790103718503505</v>
      </c>
      <c r="AA145" s="57" cm="1">
        <f t="array" ref="AA145">VLOOKUP(B145,'Player Data'!$A1:$AE673,15,FALSE)*$Q145</f>
        <v>134.7210530615348</v>
      </c>
      <c r="AB145" s="57" cm="1">
        <f t="array" ref="AB145">VLOOKUP(B145,'Player Data'!$A1:$AE673,16,FALSE)*$Q145</f>
        <v>75.046806237712318</v>
      </c>
      <c r="AC145" s="57" cm="1">
        <f t="array" ref="AC145">VLOOKUP(B145,'Player Data'!$A1:$AE673,17,FALSE)*$Q145*IFERROR((VLOOKUP(P145,Settings!$E$28:$F$33,2,FALSE)+1),1)</f>
        <v>-4.9013472060133916</v>
      </c>
      <c r="AD145" s="57" cm="1">
        <f t="array" ref="AD145">VLOOKUP(B145,'Player Data'!$A1:$AE673,18,FALSE)*$Q145</f>
        <v>30.2546013978132</v>
      </c>
      <c r="AE145" s="57" cm="1">
        <f t="array" ref="AE145">VLOOKUP(B145,'Player Data'!$A1:$AE673,19,FALSE)*$Q145*IFERROR((VLOOKUP(P145,Settings!$E$28:$F$33,2,FALSE)+1),1)</f>
        <v>1.4426689811575062</v>
      </c>
      <c r="AF145" s="57" cm="1">
        <f t="array" ref="AF145">VLOOKUP(B145,'Player Data'!$A1:$AE673,20,FALSE)*$Q145</f>
        <v>0</v>
      </c>
      <c r="AG145" s="57" cm="1">
        <f t="array" ref="AG145">VLOOKUP(B145,'Player Data'!$A1:$AE673,21,FALSE)*$Q145</f>
        <v>0</v>
      </c>
      <c r="AH145" s="59" cm="1">
        <f t="array" ref="AH145">VLOOKUP(B145,'Player Data'!$A1:$AE673,22,FALSE)</f>
        <v>0</v>
      </c>
      <c r="AI145" s="55"/>
      <c r="AJ145" s="57"/>
      <c r="AK145" s="57"/>
      <c r="AL145" s="57"/>
      <c r="AM145" s="57"/>
      <c r="AN145" s="57"/>
      <c r="AO145" s="57"/>
      <c r="AP145" s="57"/>
      <c r="AQ145" s="60"/>
      <c r="AR145" s="61"/>
      <c r="AS145" s="55"/>
    </row>
    <row r="146" spans="1:45" ht="21.25" customHeight="1" x14ac:dyDescent="0.15">
      <c r="A146" s="62">
        <f t="shared" si="2"/>
        <v>145</v>
      </c>
      <c r="B146" s="10" t="s">
        <v>274</v>
      </c>
      <c r="C146" s="76"/>
      <c r="D146" s="48" t="str" cm="1">
        <f t="array" ref="D146">VLOOKUP(B146,'Player Data'!A1:D673,4,FALSE)</f>
        <v>G</v>
      </c>
      <c r="E146" s="77" cm="1">
        <f t="array" ref="E146">VLOOKUP(B146,G!A1:D66,3,FALSE)</f>
        <v>20</v>
      </c>
      <c r="F146" s="18" t="str" cm="1">
        <f t="array" ref="F146">VLOOKUP(B146,'Player Data'!A1:B673,2,FALSE)</f>
        <v>FLA</v>
      </c>
      <c r="G146" s="66" cm="1">
        <f t="array" ref="G146">VLOOKUP(B146,'Player Data'!A1:D673,3,FALSE)</f>
        <v>36</v>
      </c>
      <c r="H146" s="51" cm="1">
        <f t="array" ref="H146">IFERROR(VLOOKUP(B146,ADP!A1:F671,6,FALSE)/1000000,VLOOKUP(B146,ADP!A1:F671,6,FALSE))</f>
        <v>6</v>
      </c>
      <c r="I146" s="52">
        <f>IF(Settings!$E$15="POINTS",(AJ146*Settings!$B$29)+(AK146*Settings!$B$21)+(AL146*Settings!$B$22)+(AN146*Settings!$B$24)+(AO146*Settings!$B$25)+(AP146*Settings!$B$27)+(AM146*Settings!$B$23),VLOOKUP(B146,'Standard Deviations'!A$1:C$672,3,FALSE))</f>
        <v>293.77449346189644</v>
      </c>
      <c r="J146" s="53" cm="1">
        <f t="array" ref="J146">IF(D146="G",I146/AJ146,I146/Q146)</f>
        <v>5.6495094896518543</v>
      </c>
      <c r="K146" s="52" cm="1">
        <f t="array" ref="K146">VLOOKUP(B146,G!A1:F66,6,FALSE)</f>
        <v>-65.383414468341584</v>
      </c>
      <c r="L146" s="54" cm="1">
        <f t="array" ref="L146">IFERROR(K146/H146,"N/A")</f>
        <v>-10.897235744723597</v>
      </c>
      <c r="M146" s="55">
        <v>72.5</v>
      </c>
      <c r="N146" s="55" cm="1">
        <f t="array" ref="N146">IFERROR(M146-A146,"N/A")</f>
        <v>-72.5</v>
      </c>
      <c r="O146" s="55"/>
      <c r="P146" s="56" t="str" cm="1">
        <f t="array" ref="P146">_xlfn.XLOOKUP($B146,ADP!A2:A671,ADP!G2:G671)</f>
        <v xml:space="preserve"> </v>
      </c>
      <c r="Q146" s="57"/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9"/>
      <c r="AI146" s="55"/>
      <c r="AJ146" s="78" cm="1">
        <f t="array" ref="AJ146">VLOOKUP(B146,'Player Data'!$A1:$AE673,24,FALSE)</f>
        <v>52</v>
      </c>
      <c r="AK146" s="57" cm="1">
        <f t="array" ref="AK146">VLOOKUP(B146,'Player Data'!$A1:$AE673,25,FALSE)*$AJ146*IFERROR((VLOOKUP(P146,Settings!$E$28:$F$33,2,FALSE)+1),1)</f>
        <v>29.129465540625425</v>
      </c>
      <c r="AL146" s="57" cm="1">
        <f t="array" ref="AL146">AJ146-AK146-AM146</f>
        <v>17.152900844530929</v>
      </c>
      <c r="AM146" s="57" cm="1">
        <f t="array" ref="AM146">VLOOKUP(B146,'Player Data'!$A1:$AE673,27,FALSE)*$AJ146</f>
        <v>5.7176336148436446</v>
      </c>
      <c r="AN146" s="57" cm="1">
        <f t="array" ref="AN146">VLOOKUP(B146,'Player Data'!$A1:$AE673,28,FALSE)*AJ146</f>
        <v>3.0377525528582545</v>
      </c>
      <c r="AO146" s="57" cm="1">
        <f t="array" ref="AO146">VLOOKUP(B146,'Player Data'!$A1:$AE673,29,FALSE)*$AJ146*IFERROR((VLOOKUP(P146,Settings!$E$28:$F$33,2,FALSE)/4)+1,1)</f>
        <v>1274.0145509152985</v>
      </c>
      <c r="AP146" s="57" cm="1">
        <f t="array" ref="AP146">VLOOKUP(B146,'Player Data'!$A1:$AE673,31,FALSE)*$AJ146*(IFERROR(1-(VLOOKUP(P146,Settings!$E$28:$F$33,2,FALSE)/4),1))</f>
        <v>144.55297705682912</v>
      </c>
      <c r="AQ146" s="60" cm="1">
        <f t="array" ref="AQ146">1-(AP146/(AO146+AP146))</f>
        <v>0.89809933316077617</v>
      </c>
      <c r="AR146" s="61" cm="1">
        <f t="array" ref="AR146">AP146/AJ146</f>
        <v>2.7798649434005602</v>
      </c>
      <c r="AS146" s="55"/>
    </row>
    <row r="147" spans="1:45" ht="21.25" customHeight="1" x14ac:dyDescent="0.15">
      <c r="A147" s="62">
        <f t="shared" si="2"/>
        <v>146</v>
      </c>
      <c r="B147" s="10" t="s">
        <v>275</v>
      </c>
      <c r="C147" s="47" t="s">
        <v>128</v>
      </c>
      <c r="D147" s="48" t="str" cm="1">
        <f t="array" ref="D147">VLOOKUP(B147,'Player Data'!A1:D673,4,FALSE)</f>
        <v>RW</v>
      </c>
      <c r="E147" s="64" cm="1">
        <f t="array" ref="E147">VLOOKUP(B147,RW!A1:F210,3,FALSE)</f>
        <v>43</v>
      </c>
      <c r="F147" s="65" t="str" cm="1">
        <f t="array" ref="F147">VLOOKUP(B147,'Player Data'!A1:B673,2,FALSE)</f>
        <v>STL</v>
      </c>
      <c r="G147" s="71" cm="1">
        <f t="array" ref="G147">VLOOKUP(B147,'Player Data'!A1:D673,3,FALSE)</f>
        <v>22</v>
      </c>
      <c r="H147" s="51" cm="1">
        <f t="array" ref="H147">IFERROR(VLOOKUP(B147,ADP!A1:F671,6,FALSE)/1000000,VLOOKUP(B147,ADP!A1:F671,6,FALSE))</f>
        <v>0.95</v>
      </c>
      <c r="I147" s="52">
        <f>IF(Settings!$E$15="POINTS",((R147*Q147)*Settings!$B$12)+(S147*Settings!$B$2)+(T147*Settings!$B$3)+(U147*Settings!$B$4)+(V147*Settings!$B$5)+(X147*Settings!$B$9)+(AA147*Settings!$B$6)+(W147*Settings!$B$8)+(AB147*Settings!$B$7)+(AC147*Settings!$B$14)+(AD147*Settings!$B$15)+(AE147*Settings!$B$16)+(AF147*Settings!$B$17)+(AG147*Settings!$B$18)+(Y147*Settings!$B$10)+(Z147*Settings!$B$11),VLOOKUP(B147,'Standard Deviations'!A$1:C$672,3,FALSE))</f>
        <v>329.29480289356565</v>
      </c>
      <c r="J147" s="53" cm="1">
        <f t="array" ref="J147">IF(D147="G",I147/AJ147,I147/Q147)</f>
        <v>4.1656521555163275</v>
      </c>
      <c r="K147" s="52" cm="1">
        <f t="array" ref="K147">IF(Settings!$E$18="C/LW/RW",VLOOKUP(B147,RW!A1:F210,6,FALSE),VLOOKUP(B147,F!A1:F407,6,FALSE))</f>
        <v>-65.648661799991828</v>
      </c>
      <c r="L147" s="54" cm="1">
        <f t="array" ref="L147">IFERROR(K147/H147,"N/A")</f>
        <v>-69.103854526307188</v>
      </c>
      <c r="M147" s="55">
        <v>136.9</v>
      </c>
      <c r="N147" s="55" cm="1">
        <f t="array" ref="N147">IFERROR(M147-A147,"N/A")</f>
        <v>-9.0999999999999943</v>
      </c>
      <c r="O147" s="55"/>
      <c r="P147" s="56" t="str" cm="1">
        <f t="array" ref="P147">_xlfn.XLOOKUP($B147,ADP!A2:A671,ADP!G2:G671)</f>
        <v xml:space="preserve"> </v>
      </c>
      <c r="Q147" s="57" cm="1">
        <f t="array" ref="Q147">IF(Settings!$E$12="YES",VLOOKUP(B147,'Player Data'!A1:E673,5,FALSE),84)</f>
        <v>79.05</v>
      </c>
      <c r="R147" s="82" cm="1">
        <f t="array" ref="R147">VLOOKUP(B147,'Player Data'!$A1:$AE673,6,FALSE)</f>
        <v>17.7291650827277</v>
      </c>
      <c r="S147" s="57" cm="1">
        <f t="array" ref="S147">VLOOKUP(B147,'Player Data'!$A1:$AE673,7,FALSE)*$Q147*IFERROR((VLOOKUP(P147,Settings!$E$28:$F$33,2,FALSE)+1),1)</f>
        <v>26.088953908914657</v>
      </c>
      <c r="T147" s="57" cm="1">
        <f t="array" ref="T147">VLOOKUP(B147,'Player Data'!$A1:$AE673,8,FALSE)*$Q147*IFERROR((VLOOKUP(P147,Settings!$E$28:$F$33,2,FALSE)+1),1)</f>
        <v>37.738934523918907</v>
      </c>
      <c r="U147" s="57" cm="1">
        <f t="array" ref="U147">SUM(S147:T147)</f>
        <v>63.827888432833561</v>
      </c>
      <c r="V147" s="57" cm="1">
        <f t="array" ref="V147">VLOOKUP(B147,'Player Data'!$A1:$AE673,10,FALSE)*$Q147*IFERROR(((VLOOKUP(P147,Settings!$E$28:$F$33,2,FALSE)/2)+1),1)</f>
        <v>201.85977278790574</v>
      </c>
      <c r="W147" s="57" cm="1">
        <f t="array" ref="W147">VLOOKUP(B147,'Player Data'!$A1:$AE673,11,FALSE)*$Q147*IFERROR((VLOOKUP(P147,Settings!$E$28:$F$33,2,FALSE)+1),1)</f>
        <v>7.5181828399553341</v>
      </c>
      <c r="X147" s="79" cm="1">
        <f t="array" ref="X147">VLOOKUP(B147,'Player Data'!$A1:$AE673,12,FALSE)*$Q147*IFERROR((VLOOKUP(P147,Settings!$E$28:$F$33,2,FALSE)+1),1)</f>
        <v>14.612218026054059</v>
      </c>
      <c r="Y147" s="57" cm="1">
        <f t="array" ref="Y147">VLOOKUP(B147,'Player Data'!$A1:$AE673,13,FALSE)*$Q147</f>
        <v>2.170756255864938E-3</v>
      </c>
      <c r="Z147" s="57" cm="1">
        <f t="array" ref="Z147">VLOOKUP(B147,'Player Data'!$A1:$AE673,14,FALSE)*$Q147</f>
        <v>3.536121784398528E-3</v>
      </c>
      <c r="AA147" s="57" cm="1">
        <f t="array" ref="AA147">VLOOKUP(B147,'Player Data'!$A1:$AE673,15,FALSE)*$Q147</f>
        <v>44.530994106547254</v>
      </c>
      <c r="AB147" s="57" cm="1">
        <f t="array" ref="AB147">VLOOKUP(B147,'Player Data'!$A1:$AE673,16,FALSE)*$Q147</f>
        <v>79.616133906030299</v>
      </c>
      <c r="AC147" s="57" cm="1">
        <f t="array" ref="AC147">VLOOKUP(B147,'Player Data'!$A1:$AE673,17,FALSE)*$Q147*IFERROR((VLOOKUP(P147,Settings!$E$28:$F$33,2,FALSE)+1),1)</f>
        <v>-0.39157685907427214</v>
      </c>
      <c r="AD147" s="57" cm="1">
        <f t="array" ref="AD147">VLOOKUP(B147,'Player Data'!$A1:$AE673,18,FALSE)*$Q147</f>
        <v>25.233214153558023</v>
      </c>
      <c r="AE147" s="57" cm="1">
        <f t="array" ref="AE147">VLOOKUP(B147,'Player Data'!$A1:$AE673,19,FALSE)*$Q147*IFERROR((VLOOKUP(P147,Settings!$E$28:$F$33,2,FALSE)+1),1)</f>
        <v>3.7617935093537147</v>
      </c>
      <c r="AF147" s="57" cm="1">
        <f t="array" ref="AF147">VLOOKUP(B147,'Player Data'!$A1:$AE673,20,FALSE)*$Q147</f>
        <v>4.3711805189084032</v>
      </c>
      <c r="AG147" s="57" cm="1">
        <f t="array" ref="AG147">VLOOKUP(B147,'Player Data'!$A1:$AE673,21,FALSE)*$Q147</f>
        <v>9.7500377301652623</v>
      </c>
      <c r="AH147" s="59" cm="1">
        <f t="array" ref="AH147">VLOOKUP(B147,'Player Data'!$A1:$AE673,22,FALSE)</f>
        <v>0.30954698396472602</v>
      </c>
      <c r="AI147" s="55"/>
      <c r="AJ147" s="57"/>
      <c r="AK147" s="57"/>
      <c r="AL147" s="57"/>
      <c r="AM147" s="57"/>
      <c r="AN147" s="57"/>
      <c r="AO147" s="57"/>
      <c r="AP147" s="57"/>
      <c r="AQ147" s="60"/>
      <c r="AR147" s="61"/>
      <c r="AS147" s="55"/>
    </row>
    <row r="148" spans="1:45" ht="21.25" customHeight="1" x14ac:dyDescent="0.15">
      <c r="A148" s="62">
        <f t="shared" si="2"/>
        <v>147</v>
      </c>
      <c r="B148" s="10" t="s">
        <v>276</v>
      </c>
      <c r="C148" s="47" t="s">
        <v>147</v>
      </c>
      <c r="D148" s="48" t="str" cm="1">
        <f t="array" ref="D148">VLOOKUP(B148,'Player Data'!A1:D673,4,FALSE)</f>
        <v>RW</v>
      </c>
      <c r="E148" s="64" cm="1">
        <f t="array" ref="E148">VLOOKUP(B148,RW!A1:F210,3,FALSE)</f>
        <v>44</v>
      </c>
      <c r="F148" s="56" t="str" cm="1">
        <f t="array" ref="F148">VLOOKUP(B148,'Player Data'!A1:B673,2,FALSE)</f>
        <v>WSH</v>
      </c>
      <c r="G148" s="11" cm="1">
        <f t="array" ref="G148">VLOOKUP(B148,'Player Data'!A1:D673,3,FALSE)</f>
        <v>28</v>
      </c>
      <c r="H148" s="51" cm="1">
        <f t="array" ref="H148">IFERROR(VLOOKUP(B148,ADP!A1:F671,6,FALSE)/1000000,VLOOKUP(B148,ADP!A1:F671,6,FALSE))</f>
        <v>8.125</v>
      </c>
      <c r="I148" s="52">
        <f>IF(Settings!$E$15="POINTS",((R148*Q148)*Settings!$B$12)+(S148*Settings!$B$2)+(T148*Settings!$B$3)+(U148*Settings!$B$4)+(V148*Settings!$B$5)+(X148*Settings!$B$9)+(AA148*Settings!$B$6)+(W148*Settings!$B$8)+(AB148*Settings!$B$7)+(AC148*Settings!$B$14)+(AD148*Settings!$B$15)+(AE148*Settings!$B$16)+(AF148*Settings!$B$17)+(AG148*Settings!$B$18)+(Y148*Settings!$B$10)+(Z148*Settings!$B$11),VLOOKUP(B148,'Standard Deviations'!A$1:C$672,3,FALSE))</f>
        <v>328.50587060813558</v>
      </c>
      <c r="J148" s="53" cm="1">
        <f t="array" ref="J148">IF(D148="G",I148/AJ148,I148/Q148)</f>
        <v>3.9937495666906035</v>
      </c>
      <c r="K148" s="52" cm="1">
        <f t="array" ref="K148">IF(Settings!$E$18="C/LW/RW",VLOOKUP(B148,RW!A1:F210,6,FALSE),VLOOKUP(B148,F!A1:F407,6,FALSE))</f>
        <v>-66.437594085421892</v>
      </c>
      <c r="L148" s="54" cm="1">
        <f t="array" ref="L148">IFERROR(K148/H148,"N/A")</f>
        <v>-8.17693465666731</v>
      </c>
      <c r="M148" s="55">
        <v>144.5</v>
      </c>
      <c r="N148" s="55" cm="1">
        <f t="array" ref="N148">IFERROR(M148-A148,"N/A")</f>
        <v>-2.5</v>
      </c>
      <c r="O148" s="55"/>
      <c r="P148" s="56" t="str" cm="1">
        <f t="array" ref="P148">_xlfn.XLOOKUP($B148,ADP!A2:A671,ADP!G2:G671)</f>
        <v>+ +</v>
      </c>
      <c r="Q148" s="57" cm="1">
        <f t="array" ref="Q148">IF(Settings!$E$12="YES",VLOOKUP(B148,'Player Data'!A1:E673,5,FALSE),84)</f>
        <v>82.254999999999995</v>
      </c>
      <c r="R148" s="55" cm="1">
        <f t="array" ref="R148">VLOOKUP(B148,'Player Data'!$A1:$AE673,6,FALSE)</f>
        <v>15.969908440137999</v>
      </c>
      <c r="S148" s="57" cm="1">
        <f t="array" ref="S148">VLOOKUP(B148,'Player Data'!$A1:$AE673,7,FALSE)*$Q148*IFERROR((VLOOKUP(P148,Settings!$E$28:$F$33,2,FALSE)+1),1)</f>
        <v>28.229569901972507</v>
      </c>
      <c r="T148" s="57" cm="1">
        <f t="array" ref="T148">VLOOKUP(B148,'Player Data'!$A1:$AE673,8,FALSE)*$Q148*IFERROR((VLOOKUP(P148,Settings!$E$28:$F$33,2,FALSE)+1),1)</f>
        <v>34.074717268917126</v>
      </c>
      <c r="U148" s="57" cm="1">
        <f t="array" ref="U148">SUM(S148:T148)</f>
        <v>62.304287170889637</v>
      </c>
      <c r="V148" s="57" cm="1">
        <f t="array" ref="V148">VLOOKUP(B148,'Player Data'!$A1:$AE673,10,FALSE)*$Q148*IFERROR(((VLOOKUP(P148,Settings!$E$28:$F$33,2,FALSE)/2)+1),1)</f>
        <v>213.570952613629</v>
      </c>
      <c r="W148" s="57" cm="1">
        <f t="array" ref="W148">VLOOKUP(B148,'Player Data'!$A1:$AE673,11,FALSE)*$Q148*IFERROR((VLOOKUP(P148,Settings!$E$28:$F$33,2,FALSE)+1),1)</f>
        <v>5.9824546602151063</v>
      </c>
      <c r="X148" s="79" cm="1">
        <f t="array" ref="X148">VLOOKUP(B148,'Player Data'!$A1:$AE673,12,FALSE)*$Q148*IFERROR((VLOOKUP(P148,Settings!$E$28:$F$33,2,FALSE)+1),1)</f>
        <v>18.161237507532189</v>
      </c>
      <c r="Y148" s="57" cm="1">
        <f t="array" ref="Y148">VLOOKUP(B148,'Player Data'!$A1:$AE673,13,FALSE)*$Q148</f>
        <v>5.7197553227348692E-3</v>
      </c>
      <c r="Z148" s="57" cm="1">
        <f t="array" ref="Z148">VLOOKUP(B148,'Player Data'!$A1:$AE673,14,FALSE)*$Q148</f>
        <v>9.4013399171229625E-3</v>
      </c>
      <c r="AA148" s="57" cm="1">
        <f t="array" ref="AA148">VLOOKUP(B148,'Player Data'!$A1:$AE673,15,FALSE)*$Q148</f>
        <v>33.273787882405706</v>
      </c>
      <c r="AB148" s="57" cm="1">
        <f t="array" ref="AB148">VLOOKUP(B148,'Player Data'!$A1:$AE673,16,FALSE)*$Q148</f>
        <v>31.038590726400642</v>
      </c>
      <c r="AC148" s="57" cm="1">
        <f t="array" ref="AC148">VLOOKUP(B148,'Player Data'!$A1:$AE673,17,FALSE)*$Q148*IFERROR((VLOOKUP(P148,Settings!$E$28:$F$33,2,FALSE)+1),1)</f>
        <v>7.6820239176472533</v>
      </c>
      <c r="AD148" s="57" cm="1">
        <f t="array" ref="AD148">VLOOKUP(B148,'Player Data'!$A1:$AE673,18,FALSE)*$Q148</f>
        <v>19.160281625496182</v>
      </c>
      <c r="AE148" s="57" cm="1">
        <f t="array" ref="AE148">VLOOKUP(B148,'Player Data'!$A1:$AE673,19,FALSE)*$Q148*IFERROR((VLOOKUP(P148,Settings!$E$28:$F$33,2,FALSE)+1),1)</f>
        <v>4.2279233391904016</v>
      </c>
      <c r="AF148" s="57" cm="1">
        <f t="array" ref="AF148">VLOOKUP(B148,'Player Data'!$A1:$AE673,20,FALSE)*$Q148</f>
        <v>3.5394903368139352</v>
      </c>
      <c r="AG148" s="57" cm="1">
        <f t="array" ref="AG148">VLOOKUP(B148,'Player Data'!$A1:$AE673,21,FALSE)*$Q148</f>
        <v>11.451353738822103</v>
      </c>
      <c r="AH148" s="59" cm="1">
        <f t="array" ref="AH148">VLOOKUP(B148,'Player Data'!$A1:$AE673,22,FALSE)</f>
        <v>0.23611014289492299</v>
      </c>
      <c r="AI148" s="55"/>
      <c r="AJ148" s="57"/>
      <c r="AK148" s="57"/>
      <c r="AL148" s="57"/>
      <c r="AM148" s="57"/>
      <c r="AN148" s="57"/>
      <c r="AO148" s="57"/>
      <c r="AP148" s="57"/>
      <c r="AQ148" s="60"/>
      <c r="AR148" s="61"/>
      <c r="AS148" s="55"/>
    </row>
    <row r="149" spans="1:45" ht="21.25" customHeight="1" x14ac:dyDescent="0.15">
      <c r="A149" s="62">
        <f t="shared" si="2"/>
        <v>148</v>
      </c>
      <c r="B149" s="10" t="s">
        <v>277</v>
      </c>
      <c r="C149" s="47" t="s">
        <v>128</v>
      </c>
      <c r="D149" s="48" t="str" cm="1">
        <f t="array" ref="D149">VLOOKUP(B149,'Player Data'!A1:D673,4,FALSE)</f>
        <v>LW,RW</v>
      </c>
      <c r="E149" s="74" cm="1">
        <f t="array" ref="E149">VLOOKUP(B149,RW!A1:F210,3,FALSE)</f>
        <v>45</v>
      </c>
      <c r="F149" s="69" t="str" cm="1">
        <f t="array" ref="F149">VLOOKUP(B149,'Player Data'!A1:B673,2,FALSE)</f>
        <v>N.J</v>
      </c>
      <c r="G149" s="11" cm="1">
        <f t="array" ref="G149">VLOOKUP(B149,'Player Data'!A1:D673,3,FALSE)</f>
        <v>29</v>
      </c>
      <c r="H149" s="51" cm="1">
        <f t="array" ref="H149">IFERROR(VLOOKUP(B149,ADP!A1:F671,6,FALSE)/1000000,VLOOKUP(B149,ADP!A1:F671,6,FALSE))</f>
        <v>8.8000000000000007</v>
      </c>
      <c r="I149" s="52">
        <f>IF(Settings!$E$15="POINTS",((R149*Q149)*Settings!$B$12)+(S149*Settings!$B$2)+(T149*Settings!$B$3)+(U149*Settings!$B$4)+(V149*Settings!$B$5)+(X149*Settings!$B$9)+(AA149*Settings!$B$6)+(W149*Settings!$B$8)+(AB149*Settings!$B$7)+(AC149*Settings!$B$14)+(AD149*Settings!$B$15)+(AE149*Settings!$B$16)+(AF149*Settings!$B$17)+(AG149*Settings!$B$18)+(Y149*Settings!$B$10)+(Z149*Settings!$B$11),VLOOKUP(B149,'Standard Deviations'!A$1:C$672,3,FALSE))</f>
        <v>328.25462042837142</v>
      </c>
      <c r="J149" s="53" cm="1">
        <f t="array" ref="J149">IF(D149="G",I149/AJ149,I149/Q149)</f>
        <v>4.0243310194424424</v>
      </c>
      <c r="K149" s="52" cm="1">
        <f t="array" ref="K149">IF(Settings!$E$18="C/LW/RW",VLOOKUP(B149,RW!A1:F210,6,FALSE),VLOOKUP(B149,F!A1:F407,6,FALSE))</f>
        <v>-66.688844265186049</v>
      </c>
      <c r="L149" s="54" cm="1">
        <f t="array" ref="L149">IFERROR(K149/H149,"N/A")</f>
        <v>-7.5782777574075046</v>
      </c>
      <c r="M149" s="55">
        <v>96.8</v>
      </c>
      <c r="N149" s="55" cm="1">
        <f t="array" ref="N149">IFERROR(M149-A149,"N/A")</f>
        <v>-51.2</v>
      </c>
      <c r="O149" s="55"/>
      <c r="P149" s="56" t="str" cm="1">
        <f t="array" ref="P149">_xlfn.XLOOKUP($B149,ADP!A2:A671,ADP!G2:G671)</f>
        <v xml:space="preserve"> </v>
      </c>
      <c r="Q149" s="57" cm="1">
        <f t="array" ref="Q149">IF(Settings!$E$12="YES",VLOOKUP(B149,'Player Data'!A1:E673,5,FALSE),84)</f>
        <v>81.567499999999995</v>
      </c>
      <c r="R149" s="55" cm="1">
        <f t="array" ref="R149">VLOOKUP(B149,'Player Data'!$A1:$AE673,6,FALSE)</f>
        <v>17.583915035543601</v>
      </c>
      <c r="S149" s="57" cm="1">
        <f t="array" ref="S149">VLOOKUP(B149,'Player Data'!$A1:$AE673,7,FALSE)*$Q149*IFERROR((VLOOKUP(P149,Settings!$E$28:$F$33,2,FALSE)+1),1)</f>
        <v>26.921357143045736</v>
      </c>
      <c r="T149" s="57" cm="1">
        <f t="array" ref="T149">VLOOKUP(B149,'Player Data'!$A1:$AE673,8,FALSE)*$Q149*IFERROR((VLOOKUP(P149,Settings!$E$28:$F$33,2,FALSE)+1),1)</f>
        <v>25.698284678368218</v>
      </c>
      <c r="U149" s="57" cm="1">
        <f t="array" ref="U149">SUM(S149:T149)</f>
        <v>52.61964182141395</v>
      </c>
      <c r="V149" s="57" cm="1">
        <f t="array" ref="V149">VLOOKUP(B149,'Player Data'!$A1:$AE673,10,FALSE)*$Q149*IFERROR(((VLOOKUP(P149,Settings!$E$28:$F$33,2,FALSE)/2)+1),1)</f>
        <v>256.95665606438325</v>
      </c>
      <c r="W149" s="57" cm="1">
        <f t="array" ref="W149">VLOOKUP(B149,'Player Data'!$A1:$AE673,11,FALSE)*$Q149*IFERROR((VLOOKUP(P149,Settings!$E$28:$F$33,2,FALSE)+1),1)</f>
        <v>8.6505776477668395</v>
      </c>
      <c r="X149" s="79" cm="1">
        <f t="array" ref="X149">VLOOKUP(B149,'Player Data'!$A1:$AE673,12,FALSE)*$Q149*IFERROR((VLOOKUP(P149,Settings!$E$28:$F$33,2,FALSE)+1),1)</f>
        <v>15.497216056155473</v>
      </c>
      <c r="Y149" s="57" cm="1">
        <f t="array" ref="Y149">VLOOKUP(B149,'Player Data'!$A1:$AE673,13,FALSE)*$Q149</f>
        <v>3.6800008209197134E-2</v>
      </c>
      <c r="Z149" s="57" cm="1">
        <f t="array" ref="Z149">VLOOKUP(B149,'Player Data'!$A1:$AE673,14,FALSE)*$Q149</f>
        <v>5.990516515142226E-2</v>
      </c>
      <c r="AA149" s="57" cm="1">
        <f t="array" ref="AA149">VLOOKUP(B149,'Player Data'!$A1:$AE673,15,FALSE)*$Q149</f>
        <v>52.720491421262047</v>
      </c>
      <c r="AB149" s="57" cm="1">
        <f t="array" ref="AB149">VLOOKUP(B149,'Player Data'!$A1:$AE673,16,FALSE)*$Q149</f>
        <v>123.32035971718308</v>
      </c>
      <c r="AC149" s="57" cm="1">
        <f t="array" ref="AC149">VLOOKUP(B149,'Player Data'!$A1:$AE673,17,FALSE)*$Q149*IFERROR((VLOOKUP(P149,Settings!$E$28:$F$33,2,FALSE)+1),1)</f>
        <v>0.29759354302153757</v>
      </c>
      <c r="AD149" s="57" cm="1">
        <f t="array" ref="AD149">VLOOKUP(B149,'Player Data'!$A1:$AE673,18,FALSE)*$Q149</f>
        <v>32.107728178443708</v>
      </c>
      <c r="AE149" s="57" cm="1">
        <f t="array" ref="AE149">VLOOKUP(B149,'Player Data'!$A1:$AE673,19,FALSE)*$Q149*IFERROR((VLOOKUP(P149,Settings!$E$28:$F$33,2,FALSE)+1),1)</f>
        <v>4.0238226397106436</v>
      </c>
      <c r="AF149" s="57" cm="1">
        <f t="array" ref="AF149">VLOOKUP(B149,'Player Data'!$A1:$AE673,20,FALSE)*$Q149</f>
        <v>44.338749754512662</v>
      </c>
      <c r="AG149" s="57" cm="1">
        <f t="array" ref="AG149">VLOOKUP(B149,'Player Data'!$A1:$AE673,21,FALSE)*$Q149</f>
        <v>63.33539124636814</v>
      </c>
      <c r="AH149" s="59" cm="1">
        <f t="array" ref="AH149">VLOOKUP(B149,'Player Data'!$A1:$AE673,22,FALSE)</f>
        <v>0.41178642654924902</v>
      </c>
      <c r="AI149" s="55"/>
      <c r="AJ149" s="57"/>
      <c r="AK149" s="57"/>
      <c r="AL149" s="57"/>
      <c r="AM149" s="57"/>
      <c r="AN149" s="57"/>
      <c r="AO149" s="57"/>
      <c r="AP149" s="57"/>
      <c r="AQ149" s="60"/>
      <c r="AR149" s="61"/>
      <c r="AS149" s="55"/>
    </row>
    <row r="150" spans="1:45" ht="21.25" customHeight="1" x14ac:dyDescent="0.15">
      <c r="A150" s="62">
        <f t="shared" si="2"/>
        <v>149</v>
      </c>
      <c r="B150" s="10" t="s">
        <v>278</v>
      </c>
      <c r="C150" s="47" t="s">
        <v>128</v>
      </c>
      <c r="D150" s="48" t="str" cm="1">
        <f t="array" ref="D150">VLOOKUP(B150,'Player Data'!A1:D673,4,FALSE)</f>
        <v>C,LW,RW</v>
      </c>
      <c r="E150" s="74" cm="1">
        <f t="array" ref="E150">VLOOKUP(B150,RW!A1:F210,3,FALSE)</f>
        <v>46</v>
      </c>
      <c r="F150" s="72" t="str" cm="1">
        <f t="array" ref="F150">VLOOKUP(B150,'Player Data'!A1:B673,2,FALSE)</f>
        <v>BOS</v>
      </c>
      <c r="G150" s="11" cm="1">
        <f t="array" ref="G150">VLOOKUP(B150,'Player Data'!A1:D673,3,FALSE)</f>
        <v>28</v>
      </c>
      <c r="H150" s="51" cm="1">
        <f t="array" ref="H150">IFERROR(VLOOKUP(B150,ADP!A1:F671,6,FALSE)/1000000,VLOOKUP(B150,ADP!A1:F671,6,FALSE))</f>
        <v>5.5</v>
      </c>
      <c r="I150" s="52">
        <f>IF(Settings!$E$15="POINTS",((R150*Q150)*Settings!$B$12)+(S150*Settings!$B$2)+(T150*Settings!$B$3)+(U150*Settings!$B$4)+(V150*Settings!$B$5)+(X150*Settings!$B$9)+(AA150*Settings!$B$6)+(W150*Settings!$B$8)+(AB150*Settings!$B$7)+(AC150*Settings!$B$14)+(AD150*Settings!$B$15)+(AE150*Settings!$B$16)+(AF150*Settings!$B$17)+(AG150*Settings!$B$18)+(Y150*Settings!$B$10)+(Z150*Settings!$B$11),VLOOKUP(B150,'Standard Deviations'!A$1:C$672,3,FALSE))</f>
        <v>327.74700676153907</v>
      </c>
      <c r="J150" s="53" cm="1">
        <f t="array" ref="J150">IF(D150="G",I150/AJ150,I150/Q150)</f>
        <v>3.9695634562046762</v>
      </c>
      <c r="K150" s="52" cm="1">
        <f t="array" ref="K150">IF(Settings!$E$18="C/LW/RW",VLOOKUP(B150,RW!A1:F210,6,FALSE),VLOOKUP(B150,F!A1:F407,6,FALSE))</f>
        <v>-67.196457932018404</v>
      </c>
      <c r="L150" s="54" cm="1">
        <f t="array" ref="L150">IFERROR(K150/H150,"N/A")</f>
        <v>-12.217537805821529</v>
      </c>
      <c r="M150" s="55">
        <v>118.6</v>
      </c>
      <c r="N150" s="55" cm="1">
        <f t="array" ref="N150">IFERROR(M150-A150,"N/A")</f>
        <v>-30.400000000000006</v>
      </c>
      <c r="O150" s="55"/>
      <c r="P150" s="56" t="str" cm="1">
        <f t="array" ref="P150">_xlfn.XLOOKUP($B150,ADP!A2:A671,ADP!G2:G671)</f>
        <v xml:space="preserve"> </v>
      </c>
      <c r="Q150" s="57" cm="1">
        <f t="array" ref="Q150">IF(Settings!$E$12="YES",VLOOKUP(B150,'Player Data'!A1:E673,5,FALSE),84)</f>
        <v>82.564999999999998</v>
      </c>
      <c r="R150" s="55" cm="1">
        <f t="array" ref="R150">VLOOKUP(B150,'Player Data'!$A1:$AE673,6,FALSE)</f>
        <v>17.457431171797399</v>
      </c>
      <c r="S150" s="57" cm="1">
        <f t="array" ref="S150">VLOOKUP(B150,'Player Data'!$A1:$AE673,7,FALSE)*$Q150*IFERROR((VLOOKUP(P150,Settings!$E$28:$F$33,2,FALSE)+1),1)</f>
        <v>35.1455118209063</v>
      </c>
      <c r="T150" s="57" cm="1">
        <f t="array" ref="T150">VLOOKUP(B150,'Player Data'!$A1:$AE673,8,FALSE)*$Q150*IFERROR((VLOOKUP(P150,Settings!$E$28:$F$33,2,FALSE)+1),1)</f>
        <v>30.7170927987193</v>
      </c>
      <c r="U150" s="57" cm="1">
        <f t="array" ref="U150">SUM(S150:T150)</f>
        <v>65.8626046196256</v>
      </c>
      <c r="V150" s="57" cm="1">
        <f t="array" ref="V150">VLOOKUP(B150,'Player Data'!$A1:$AE673,10,FALSE)*$Q150*IFERROR(((VLOOKUP(P150,Settings!$E$28:$F$33,2,FALSE)/2)+1),1)</f>
        <v>181.29902156169837</v>
      </c>
      <c r="W150" s="58" cm="1">
        <f t="array" ref="W150">VLOOKUP(B150,'Player Data'!$A1:$AE673,11,FALSE)*$Q150*IFERROR((VLOOKUP(P150,Settings!$E$28:$F$33,2,FALSE)+1),1)</f>
        <v>10.277675833432198</v>
      </c>
      <c r="X150" s="57" cm="1">
        <f t="array" ref="X150">VLOOKUP(B150,'Player Data'!$A1:$AE673,12,FALSE)*$Q150*IFERROR((VLOOKUP(P150,Settings!$E$28:$F$33,2,FALSE)+1),1)</f>
        <v>21.697447549833189</v>
      </c>
      <c r="Y150" s="57" cm="1">
        <f t="array" ref="Y150">VLOOKUP(B150,'Player Data'!$A1:$AE673,13,FALSE)*$Q150</f>
        <v>1.3832814231318461E-3</v>
      </c>
      <c r="Z150" s="57" cm="1">
        <f t="array" ref="Z150">VLOOKUP(B150,'Player Data'!$A1:$AE673,14,FALSE)*$Q150</f>
        <v>2.2591363983741715E-3</v>
      </c>
      <c r="AA150" s="57" cm="1">
        <f t="array" ref="AA150">VLOOKUP(B150,'Player Data'!$A1:$AE673,15,FALSE)*$Q150</f>
        <v>35.619950871163006</v>
      </c>
      <c r="AB150" s="57" cm="1">
        <f t="array" ref="AB150">VLOOKUP(B150,'Player Data'!$A1:$AE673,16,FALSE)*$Q150</f>
        <v>112.5777142759687</v>
      </c>
      <c r="AC150" s="57" cm="1">
        <f t="array" ref="AC150">VLOOKUP(B150,'Player Data'!$A1:$AE673,17,FALSE)*$Q150*IFERROR((VLOOKUP(P150,Settings!$E$28:$F$33,2,FALSE)+1),1)</f>
        <v>-0.98981776557715817</v>
      </c>
      <c r="AD150" s="57" cm="1">
        <f t="array" ref="AD150">VLOOKUP(B150,'Player Data'!$A1:$AE673,18,FALSE)*$Q150</f>
        <v>27.701717935826565</v>
      </c>
      <c r="AE150" s="57" cm="1">
        <f t="array" ref="AE150">VLOOKUP(B150,'Player Data'!$A1:$AE673,19,FALSE)*$Q150*IFERROR((VLOOKUP(P150,Settings!$E$28:$F$33,2,FALSE)+1),1)</f>
        <v>4.731347863844384</v>
      </c>
      <c r="AF150" s="57" cm="1">
        <f t="array" ref="AF150">VLOOKUP(B150,'Player Data'!$A1:$AE673,20,FALSE)*$Q150</f>
        <v>128.47876049088578</v>
      </c>
      <c r="AG150" s="57" cm="1">
        <f t="array" ref="AG150">VLOOKUP(B150,'Player Data'!$A1:$AE673,21,FALSE)*$Q150</f>
        <v>151.58180812253053</v>
      </c>
      <c r="AH150" s="59" cm="1">
        <f t="array" ref="AH150">VLOOKUP(B150,'Player Data'!$A1:$AE673,22,FALSE)</f>
        <v>0.45875348010248601</v>
      </c>
      <c r="AI150" s="55"/>
      <c r="AJ150" s="57"/>
      <c r="AK150" s="57"/>
      <c r="AL150" s="57"/>
      <c r="AM150" s="57"/>
      <c r="AN150" s="57"/>
      <c r="AO150" s="57"/>
      <c r="AP150" s="57"/>
      <c r="AQ150" s="60"/>
      <c r="AR150" s="61"/>
      <c r="AS150" s="55"/>
    </row>
    <row r="151" spans="1:45" ht="21.25" customHeight="1" x14ac:dyDescent="0.15">
      <c r="A151" s="62">
        <f t="shared" si="2"/>
        <v>150</v>
      </c>
      <c r="B151" s="10" t="s">
        <v>279</v>
      </c>
      <c r="C151" s="47" t="s">
        <v>128</v>
      </c>
      <c r="D151" s="48" t="str" cm="1">
        <f t="array" ref="D151">VLOOKUP(B151,'Player Data'!A1:D673,4,FALSE)</f>
        <v>C,LW,RW</v>
      </c>
      <c r="E151" s="74" cm="1">
        <f t="array" ref="E151">VLOOKUP(B151,RW!A1:F210,3,FALSE)</f>
        <v>47</v>
      </c>
      <c r="F151" s="72" t="str" cm="1">
        <f t="array" ref="F151">VLOOKUP(B151,'Player Data'!A1:B673,2,FALSE)</f>
        <v>PIT</v>
      </c>
      <c r="G151" s="66" cm="1">
        <f t="array" ref="G151">VLOOKUP(B151,'Player Data'!A1:D673,3,FALSE)</f>
        <v>40</v>
      </c>
      <c r="H151" s="67" cm="1">
        <f t="array" ref="H151">IFERROR(VLOOKUP(B151,ADP!A1:F671,6,FALSE)/1000000,VLOOKUP(B151,ADP!A1:F671,6,FALSE))</f>
        <v>5.5</v>
      </c>
      <c r="I151" s="52">
        <f>IF(Settings!$E$15="POINTS",((R151*Q151)*Settings!$B$12)+(S151*Settings!$B$2)+(T151*Settings!$B$3)+(U151*Settings!$B$4)+(V151*Settings!$B$5)+(X151*Settings!$B$9)+(AA151*Settings!$B$6)+(W151*Settings!$B$8)+(AB151*Settings!$B$7)+(AC151*Settings!$B$14)+(AD151*Settings!$B$15)+(AE151*Settings!$B$16)+(AF151*Settings!$B$17)+(AG151*Settings!$B$18)+(Y151*Settings!$B$10)+(Z151*Settings!$B$11),VLOOKUP(B151,'Standard Deviations'!A$1:C$672,3,FALSE))</f>
        <v>326.92211895558961</v>
      </c>
      <c r="J151" s="53" cm="1">
        <f t="array" ref="J151">IF(D151="G",I151/AJ151,I151/Q151)</f>
        <v>4.2188942954650877</v>
      </c>
      <c r="K151" s="52" cm="1">
        <f t="array" ref="K151">IF(Settings!$E$18="C/LW/RW",VLOOKUP(B151,RW!A1:F210,6,FALSE),VLOOKUP(B151,F!A1:F407,6,FALSE))</f>
        <v>-68.021345737967863</v>
      </c>
      <c r="L151" s="54" cm="1">
        <f t="array" ref="L151">IFERROR(K151/H151,"N/A")</f>
        <v>-12.367517406903248</v>
      </c>
      <c r="M151" s="55">
        <v>141.69999999999999</v>
      </c>
      <c r="N151" s="55" cm="1">
        <f t="array" ref="N151">IFERROR(M151-A151,"N/A")</f>
        <v>-8.3000000000000114</v>
      </c>
      <c r="O151" s="55"/>
      <c r="P151" s="56" t="str" cm="1">
        <f t="array" ref="P151">_xlfn.XLOOKUP($B151,ADP!A2:A671,ADP!G2:G671)</f>
        <v xml:space="preserve"> </v>
      </c>
      <c r="Q151" s="57" cm="1">
        <f t="array" ref="Q151">IF(Settings!$E$12="YES",VLOOKUP(B151,'Player Data'!A1:E673,5,FALSE),84)</f>
        <v>77.489999999999995</v>
      </c>
      <c r="R151" s="55" cm="1">
        <f t="array" ref="R151">VLOOKUP(B151,'Player Data'!$A1:$AE673,6,FALSE)</f>
        <v>17.737093365494299</v>
      </c>
      <c r="S151" s="57" cm="1">
        <f t="array" ref="S151">VLOOKUP(B151,'Player Data'!$A1:$AE673,7,FALSE)*$Q151*IFERROR((VLOOKUP(P151,Settings!$E$28:$F$33,2,FALSE)+1),1)</f>
        <v>20.981325881293191</v>
      </c>
      <c r="T151" s="57" cm="1">
        <f t="array" ref="T151">VLOOKUP(B151,'Player Data'!$A1:$AE673,8,FALSE)*$Q151*IFERROR((VLOOKUP(P151,Settings!$E$28:$F$33,2,FALSE)+1),1)</f>
        <v>43.951506184415422</v>
      </c>
      <c r="U151" s="57" cm="1">
        <f t="array" ref="U151">SUM(S151:T151)</f>
        <v>64.93283206570861</v>
      </c>
      <c r="V151" s="57" cm="1">
        <f t="array" ref="V151">VLOOKUP(B151,'Player Data'!$A1:$AE673,10,FALSE)*$Q151*IFERROR(((VLOOKUP(P151,Settings!$E$28:$F$33,2,FALSE)/2)+1),1)</f>
        <v>182.77800883347419</v>
      </c>
      <c r="W151" s="58" cm="1">
        <f t="array" ref="W151">VLOOKUP(B151,'Player Data'!$A1:$AE673,11,FALSE)*$Q151*IFERROR((VLOOKUP(P151,Settings!$E$28:$F$33,2,FALSE)+1),1)</f>
        <v>5.61079202721176</v>
      </c>
      <c r="X151" s="57" cm="1">
        <f t="array" ref="X151">VLOOKUP(B151,'Player Data'!$A1:$AE673,12,FALSE)*$Q151*IFERROR((VLOOKUP(P151,Settings!$E$28:$F$33,2,FALSE)+1),1)</f>
        <v>23.541264942911557</v>
      </c>
      <c r="Y151" s="57" cm="1">
        <f t="array" ref="Y151">VLOOKUP(B151,'Player Data'!$A1:$AE673,13,FALSE)*$Q151</f>
        <v>1.844226314249655E-3</v>
      </c>
      <c r="Z151" s="57" cm="1">
        <f t="array" ref="Z151">VLOOKUP(B151,'Player Data'!$A1:$AE673,14,FALSE)*$Q151</f>
        <v>3.1146623935852475E-3</v>
      </c>
      <c r="AA151" s="57" cm="1">
        <f t="array" ref="AA151">VLOOKUP(B151,'Player Data'!$A1:$AE673,15,FALSE)*$Q151</f>
        <v>34.380477472843118</v>
      </c>
      <c r="AB151" s="57" cm="1">
        <f t="array" ref="AB151">VLOOKUP(B151,'Player Data'!$A1:$AE673,16,FALSE)*$Q151</f>
        <v>40.937638323632235</v>
      </c>
      <c r="AC151" s="57" cm="1">
        <f t="array" ref="AC151">VLOOKUP(B151,'Player Data'!$A1:$AE673,17,FALSE)*$Q151*IFERROR((VLOOKUP(P151,Settings!$E$28:$F$33,2,FALSE)+1),1)</f>
        <v>0.52963711539446123</v>
      </c>
      <c r="AD151" s="57" cm="1">
        <f t="array" ref="AD151">VLOOKUP(B151,'Player Data'!$A1:$AE673,18,FALSE)*$Q151</f>
        <v>54.76938099634134</v>
      </c>
      <c r="AE151" s="57" cm="1">
        <f t="array" ref="AE151">VLOOKUP(B151,'Player Data'!$A1:$AE673,19,FALSE)*$Q151*IFERROR((VLOOKUP(P151,Settings!$E$28:$F$33,2,FALSE)+1),1)</f>
        <v>3.0420256123097329</v>
      </c>
      <c r="AF151" s="57" cm="1">
        <f t="array" ref="AF151">VLOOKUP(B151,'Player Data'!$A1:$AE673,20,FALSE)*$Q151</f>
        <v>221.74731266024818</v>
      </c>
      <c r="AG151" s="57" cm="1">
        <f t="array" ref="AG151">VLOOKUP(B151,'Player Data'!$A1:$AE673,21,FALSE)*$Q151</f>
        <v>258.05438327160977</v>
      </c>
      <c r="AH151" s="59" cm="1">
        <f t="array" ref="AH151">VLOOKUP(B151,'Player Data'!$A1:$AE673,22,FALSE)</f>
        <v>0.46216450366974399</v>
      </c>
      <c r="AI151" s="55"/>
      <c r="AJ151" s="57"/>
      <c r="AK151" s="57"/>
      <c r="AL151" s="57"/>
      <c r="AM151" s="57"/>
      <c r="AN151" s="57"/>
      <c r="AO151" s="57"/>
      <c r="AP151" s="57"/>
      <c r="AQ151" s="60"/>
      <c r="AR151" s="61"/>
      <c r="AS151" s="55"/>
    </row>
    <row r="152" spans="1:45" ht="21.25" customHeight="1" x14ac:dyDescent="0.15">
      <c r="A152" s="62">
        <f t="shared" si="2"/>
        <v>151</v>
      </c>
      <c r="B152" s="10" t="s">
        <v>280</v>
      </c>
      <c r="C152" s="47" t="s">
        <v>128</v>
      </c>
      <c r="D152" s="48" t="str" cm="1">
        <f t="array" ref="D152">VLOOKUP(B152,'Player Data'!A1:D673,4,FALSE)</f>
        <v>LW,RW</v>
      </c>
      <c r="E152" s="74" cm="1">
        <f t="array" ref="E152">VLOOKUP(B152,RW!A1:F210,3,FALSE)</f>
        <v>48</v>
      </c>
      <c r="F152" s="69" t="str" cm="1">
        <f t="array" ref="F152">VLOOKUP(B152,'Player Data'!A1:B673,2,FALSE)</f>
        <v>TOR</v>
      </c>
      <c r="G152" s="71" cm="1">
        <f t="array" ref="G152">VLOOKUP(B152,'Player Data'!A1:D673,3,FALSE)</f>
        <v>23</v>
      </c>
      <c r="H152" s="51" cm="1">
        <f t="array" ref="H152">IFERROR(VLOOKUP(B152,ADP!A1:F671,6,FALSE)/1000000,VLOOKUP(B152,ADP!A1:F671,6,FALSE))</f>
        <v>7.75</v>
      </c>
      <c r="I152" s="52">
        <f>IF(Settings!$E$15="POINTS",((R152*Q152)*Settings!$B$12)+(S152*Settings!$B$2)+(T152*Settings!$B$3)+(U152*Settings!$B$4)+(V152*Settings!$B$5)+(X152*Settings!$B$9)+(AA152*Settings!$B$6)+(W152*Settings!$B$8)+(AB152*Settings!$B$7)+(AC152*Settings!$B$14)+(AD152*Settings!$B$15)+(AE152*Settings!$B$16)+(AF152*Settings!$B$17)+(AG152*Settings!$B$18)+(Y152*Settings!$B$10)+(Z152*Settings!$B$11),VLOOKUP(B152,'Standard Deviations'!A$1:C$672,3,FALSE))</f>
        <v>325.83447150064848</v>
      </c>
      <c r="J152" s="53" cm="1">
        <f t="array" ref="J152">IF(D152="G",I152/AJ152,I152/Q152)</f>
        <v>3.9376956584869447</v>
      </c>
      <c r="K152" s="52" cm="1">
        <f t="array" ref="K152">IF(Settings!$E$18="C/LW/RW",VLOOKUP(B152,RW!A1:F210,6,FALSE),VLOOKUP(B152,F!A1:F407,6,FALSE))</f>
        <v>-69.108993192908997</v>
      </c>
      <c r="L152" s="54" cm="1">
        <f t="array" ref="L152">IFERROR(K152/H152,"N/A")</f>
        <v>-8.9172894442463218</v>
      </c>
      <c r="M152" s="55">
        <v>119</v>
      </c>
      <c r="N152" s="55" cm="1">
        <f t="array" ref="N152">IFERROR(M152-A152,"N/A")</f>
        <v>-32</v>
      </c>
      <c r="O152" s="55"/>
      <c r="P152" s="56" t="str" cm="1">
        <f t="array" ref="P152">_xlfn.XLOOKUP($B152,ADP!A2:A671,ADP!G2:G671)</f>
        <v xml:space="preserve"> </v>
      </c>
      <c r="Q152" s="57" cm="1">
        <f t="array" ref="Q152">IF(Settings!$E$12="YES",VLOOKUP(B152,'Player Data'!A1:E673,5,FALSE),84)</f>
        <v>82.747500000000002</v>
      </c>
      <c r="R152" s="55" cm="1">
        <f t="array" ref="R152">VLOOKUP(B152,'Player Data'!$A1:$AE673,6,FALSE)</f>
        <v>18.961344175261502</v>
      </c>
      <c r="S152" s="57" cm="1">
        <f t="array" ref="S152">VLOOKUP(B152,'Player Data'!$A1:$AE673,7,FALSE)*$Q152*IFERROR((VLOOKUP(P152,Settings!$E$28:$F$33,2,FALSE)+1),1)</f>
        <v>28.093015224898078</v>
      </c>
      <c r="T152" s="57" cm="1">
        <f t="array" ref="T152">VLOOKUP(B152,'Player Data'!$A1:$AE673,8,FALSE)*$Q152*IFERROR((VLOOKUP(P152,Settings!$E$28:$F$33,2,FALSE)+1),1)</f>
        <v>41.08154436652292</v>
      </c>
      <c r="U152" s="57" cm="1">
        <f t="array" ref="U152">SUM(S152:T152)</f>
        <v>69.174559591421001</v>
      </c>
      <c r="V152" s="57" cm="1">
        <f t="array" ref="V152">VLOOKUP(B152,'Player Data'!$A1:$AE673,10,FALSE)*$Q152*IFERROR(((VLOOKUP(P152,Settings!$E$28:$F$33,2,FALSE)/2)+1),1)</f>
        <v>161.91903543468823</v>
      </c>
      <c r="W152" s="58" cm="1">
        <f t="array" ref="W152">VLOOKUP(B152,'Player Data'!$A1:$AE673,11,FALSE)*$Q152*IFERROR((VLOOKUP(P152,Settings!$E$28:$F$33,2,FALSE)+1),1)</f>
        <v>6.2809580921196879</v>
      </c>
      <c r="X152" s="57" cm="1">
        <f t="array" ref="X152">VLOOKUP(B152,'Player Data'!$A1:$AE673,12,FALSE)*$Q152*IFERROR((VLOOKUP(P152,Settings!$E$28:$F$33,2,FALSE)+1),1)</f>
        <v>18.221493030646482</v>
      </c>
      <c r="Y152" s="57" cm="1">
        <f t="array" ref="Y152">VLOOKUP(B152,'Player Data'!$A1:$AE673,13,FALSE)*$Q152</f>
        <v>0.53074030374086434</v>
      </c>
      <c r="Z152" s="57" cm="1">
        <f t="array" ref="Z152">VLOOKUP(B152,'Player Data'!$A1:$AE673,14,FALSE)*$Q152</f>
        <v>0.59103450350939346</v>
      </c>
      <c r="AA152" s="57" cm="1">
        <f t="array" ref="AA152">VLOOKUP(B152,'Player Data'!$A1:$AE673,15,FALSE)*$Q152</f>
        <v>37.077494949771094</v>
      </c>
      <c r="AB152" s="57" cm="1">
        <f t="array" ref="AB152">VLOOKUP(B152,'Player Data'!$A1:$AE673,16,FALSE)*$Q152</f>
        <v>161.4672714865367</v>
      </c>
      <c r="AC152" s="57" cm="1">
        <f t="array" ref="AC152">VLOOKUP(B152,'Player Data'!$A1:$AE673,17,FALSE)*$Q152*IFERROR((VLOOKUP(P152,Settings!$E$28:$F$33,2,FALSE)+1),1)</f>
        <v>-0.62713069263535559</v>
      </c>
      <c r="AD152" s="57" cm="1">
        <f t="array" ref="AD152">VLOOKUP(B152,'Player Data'!$A1:$AE673,18,FALSE)*$Q152</f>
        <v>41.647840448748589</v>
      </c>
      <c r="AE152" s="57" cm="1">
        <f t="array" ref="AE152">VLOOKUP(B152,'Player Data'!$A1:$AE673,19,FALSE)*$Q152*IFERROR((VLOOKUP(P152,Settings!$E$28:$F$33,2,FALSE)+1),1)</f>
        <v>3.8364023733603401</v>
      </c>
      <c r="AF152" s="57" cm="1">
        <f t="array" ref="AF152">VLOOKUP(B152,'Player Data'!$A1:$AE673,20,FALSE)*$Q152</f>
        <v>0.37280743884418421</v>
      </c>
      <c r="AG152" s="57" cm="1">
        <f t="array" ref="AG152">VLOOKUP(B152,'Player Data'!$A1:$AE673,21,FALSE)*$Q152</f>
        <v>4.6373514534501874</v>
      </c>
      <c r="AH152" s="59" cm="1">
        <f t="array" ref="AH152">VLOOKUP(B152,'Player Data'!$A1:$AE673,22,FALSE)</f>
        <v>7.4410302519060403E-2</v>
      </c>
      <c r="AI152" s="55"/>
      <c r="AJ152" s="57"/>
      <c r="AK152" s="57"/>
      <c r="AL152" s="57"/>
      <c r="AM152" s="57"/>
      <c r="AN152" s="57"/>
      <c r="AO152" s="57"/>
      <c r="AP152" s="57"/>
      <c r="AQ152" s="60"/>
      <c r="AR152" s="61"/>
      <c r="AS152" s="55"/>
    </row>
    <row r="153" spans="1:45" ht="21.25" customHeight="1" x14ac:dyDescent="0.15">
      <c r="A153" s="62">
        <f t="shared" si="2"/>
        <v>152</v>
      </c>
      <c r="B153" s="10" t="s">
        <v>281</v>
      </c>
      <c r="C153" s="76"/>
      <c r="D153" s="48" t="str" cm="1">
        <f t="array" ref="D153">VLOOKUP(B153,'Player Data'!A1:D673,4,FALSE)</f>
        <v>G</v>
      </c>
      <c r="E153" s="77" cm="1">
        <f t="array" ref="E153">VLOOKUP(B153,G!A1:D66,3,FALSE)</f>
        <v>21</v>
      </c>
      <c r="F153" s="70" t="str" cm="1">
        <f t="array" ref="F153">VLOOKUP(B153,'Player Data'!A1:B673,2,FALSE)</f>
        <v>STL</v>
      </c>
      <c r="G153" s="11" cm="1">
        <f t="array" ref="G153">VLOOKUP(B153,'Player Data'!A1:D673,3,FALSE)</f>
        <v>26</v>
      </c>
      <c r="H153" s="67" cm="1">
        <f t="array" ref="H153">IFERROR(VLOOKUP(B153,ADP!A1:F671,6,FALSE)/1000000,VLOOKUP(B153,ADP!A1:F671,6,FALSE))</f>
        <v>3.4</v>
      </c>
      <c r="I153" s="52">
        <f>IF(Settings!$E$15="POINTS",(AJ153*Settings!$B$29)+(AK153*Settings!$B$21)+(AL153*Settings!$B$22)+(AN153*Settings!$B$24)+(AO153*Settings!$B$25)+(AP153*Settings!$B$27)+(AM153*Settings!$B$23),VLOOKUP(B153,'Standard Deviations'!A$1:C$672,3,FALSE))</f>
        <v>289.81305822626155</v>
      </c>
      <c r="J153" s="53" cm="1">
        <f t="array" ref="J153">IF(D153="G",I153/AJ153,I153/Q153)</f>
        <v>6.4402901828058123</v>
      </c>
      <c r="K153" s="52" cm="1">
        <f t="array" ref="K153">VLOOKUP(B153,G!A1:F66,6,FALSE)</f>
        <v>-69.344849703976479</v>
      </c>
      <c r="L153" s="54" cm="1">
        <f t="array" ref="L153">IFERROR(K153/H153,"N/A")</f>
        <v>-20.395544030581316</v>
      </c>
      <c r="M153" s="55">
        <v>123.8</v>
      </c>
      <c r="N153" s="55" cm="1">
        <f t="array" ref="N153">IFERROR(M153-A153,"N/A")</f>
        <v>-28.200000000000003</v>
      </c>
      <c r="O153" s="55"/>
      <c r="P153" s="56" t="str" cm="1">
        <f t="array" ref="P153">_xlfn.XLOOKUP($B153,ADP!A2:A671,ADP!G2:G671)</f>
        <v xml:space="preserve"> </v>
      </c>
      <c r="Q153" s="57"/>
      <c r="R153" s="55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9"/>
      <c r="AI153" s="55"/>
      <c r="AJ153" s="78" cm="1">
        <f t="array" ref="AJ153">VLOOKUP(B153,'Player Data'!$A1:$AE673,24,FALSE)</f>
        <v>45</v>
      </c>
      <c r="AK153" s="57" cm="1">
        <f t="array" ref="AK153">VLOOKUP(B153,'Player Data'!$A1:$AE673,25,FALSE)*$AJ153*IFERROR((VLOOKUP(P153,Settings!$E$28:$F$33,2,FALSE)+1),1)</f>
        <v>21.761955818732609</v>
      </c>
      <c r="AL153" s="57" cm="1">
        <f t="array" ref="AL153">AJ153-AK153-AM153</f>
        <v>17.42853313595052</v>
      </c>
      <c r="AM153" s="57" cm="1">
        <f t="array" ref="AM153">VLOOKUP(B153,'Player Data'!$A1:$AE673,27,FALSE)*$AJ153</f>
        <v>5.8095110453168699</v>
      </c>
      <c r="AN153" s="57" cm="1">
        <f t="array" ref="AN153">VLOOKUP(B153,'Player Data'!$A1:$AE673,28,FALSE)*AJ153</f>
        <v>2.3210394665130001</v>
      </c>
      <c r="AO153" s="57" cm="1">
        <f t="array" ref="AO153">VLOOKUP(B153,'Player Data'!$A1:$AE673,29,FALSE)*$AJ153*IFERROR((VLOOKUP(P153,Settings!$E$28:$F$33,2,FALSE)/4)+1,1)</f>
        <v>1219.1474230380179</v>
      </c>
      <c r="AP153" s="57" cm="1">
        <f t="array" ref="AP153">VLOOKUP(B153,'Player Data'!$A1:$AE673,31,FALSE)*$AJ153*(IFERROR(1-(VLOOKUP(P153,Settings!$E$28:$F$33,2,FALSE)/4),1))</f>
        <v>129.12252007181939</v>
      </c>
      <c r="AQ153" s="60" cm="1">
        <f t="array" ref="AQ153">1-(AP153/(AO153+AP153))</f>
        <v>0.90423095854677793</v>
      </c>
      <c r="AR153" s="61" cm="1">
        <f t="array" ref="AR153">AP153/AJ153</f>
        <v>2.8693893349293198</v>
      </c>
      <c r="AS153" s="55"/>
    </row>
    <row r="154" spans="1:45" ht="21.25" customHeight="1" x14ac:dyDescent="0.15">
      <c r="A154" s="62">
        <f t="shared" si="2"/>
        <v>153</v>
      </c>
      <c r="B154" s="10" t="s">
        <v>282</v>
      </c>
      <c r="C154" s="47" t="s">
        <v>128</v>
      </c>
      <c r="D154" s="48" t="str" cm="1">
        <f t="array" ref="D154">VLOOKUP(B154,'Player Data'!A1:D673,4,FALSE)</f>
        <v>LW,RW</v>
      </c>
      <c r="E154" s="74" cm="1">
        <f t="array" ref="E154">VLOOKUP(B154,RW!A1:F210,3,FALSE)</f>
        <v>49</v>
      </c>
      <c r="F154" s="18" t="str" cm="1">
        <f t="array" ref="F154">VLOOKUP(B154,'Player Data'!A1:B673,2,FALSE)</f>
        <v>OTT</v>
      </c>
      <c r="G154" s="11" cm="1">
        <f t="array" ref="G154">VLOOKUP(B154,'Player Data'!A1:D673,3,FALSE)</f>
        <v>28</v>
      </c>
      <c r="H154" s="67" cm="1">
        <f t="array" ref="H154">IFERROR(VLOOKUP(B154,ADP!A1:F671,6,FALSE)/1000000,VLOOKUP(B154,ADP!A1:F671,6,FALSE))</f>
        <v>4.9749999999999996</v>
      </c>
      <c r="I154" s="52">
        <f>IF(Settings!$E$15="POINTS",((R154*Q154)*Settings!$B$12)+(S154*Settings!$B$2)+(T154*Settings!$B$3)+(U154*Settings!$B$4)+(V154*Settings!$B$5)+(X154*Settings!$B$9)+(AA154*Settings!$B$6)+(W154*Settings!$B$8)+(AB154*Settings!$B$7)+(AC154*Settings!$B$14)+(AD154*Settings!$B$15)+(AE154*Settings!$B$16)+(AF154*Settings!$B$17)+(AG154*Settings!$B$18)+(Y154*Settings!$B$10)+(Z154*Settings!$B$11),VLOOKUP(B154,'Standard Deviations'!A$1:C$672,3,FALSE))</f>
        <v>323.29237461671488</v>
      </c>
      <c r="J154" s="53" cm="1">
        <f t="array" ref="J154">IF(D154="G",I154/AJ154,I154/Q154)</f>
        <v>3.8718808900471857</v>
      </c>
      <c r="K154" s="52" cm="1">
        <f t="array" ref="K154">IF(Settings!$E$18="C/LW/RW",VLOOKUP(B154,RW!A1:F210,6,FALSE),VLOOKUP(B154,F!A1:F407,6,FALSE))</f>
        <v>-71.651090076842593</v>
      </c>
      <c r="L154" s="54" cm="1">
        <f t="array" ref="L154">IFERROR(K154/H154,"N/A")</f>
        <v>-14.402229161174391</v>
      </c>
      <c r="M154" s="55">
        <v>81.099999999999994</v>
      </c>
      <c r="N154" s="55" cm="1">
        <f t="array" ref="N154">IFERROR(M154-A154,"N/A")</f>
        <v>-71.900000000000006</v>
      </c>
      <c r="O154" s="55"/>
      <c r="P154" s="56" t="str" cm="1">
        <f t="array" ref="P154">_xlfn.XLOOKUP($B154,ADP!A2:A671,ADP!G2:G671)</f>
        <v xml:space="preserve"> </v>
      </c>
      <c r="Q154" s="57" cm="1">
        <f t="array" ref="Q154">IF(Settings!$E$12="YES",VLOOKUP(B154,'Player Data'!A1:E673,5,FALSE),84)</f>
        <v>83.497500000000002</v>
      </c>
      <c r="R154" s="55" cm="1">
        <f t="array" ref="R154">VLOOKUP(B154,'Player Data'!$A1:$AE673,6,FALSE)</f>
        <v>16.7031391733919</v>
      </c>
      <c r="S154" s="57" cm="1">
        <f t="array" ref="S154">VLOOKUP(B154,'Player Data'!$A1:$AE673,7,FALSE)*$Q154*IFERROR((VLOOKUP(P154,Settings!$E$28:$F$33,2,FALSE)+1),1)</f>
        <v>27.946036830924299</v>
      </c>
      <c r="T154" s="57" cm="1">
        <f t="array" ref="T154">VLOOKUP(B154,'Player Data'!$A1:$AE673,8,FALSE)*$Q154*IFERROR((VLOOKUP(P154,Settings!$E$28:$F$33,2,FALSE)+1),1)</f>
        <v>37.653734764941447</v>
      </c>
      <c r="U154" s="57" cm="1">
        <f t="array" ref="U154">SUM(S154:T154)</f>
        <v>65.599771595865747</v>
      </c>
      <c r="V154" s="57" cm="1">
        <f t="array" ref="V154">VLOOKUP(B154,'Player Data'!$A1:$AE673,10,FALSE)*$Q154*IFERROR(((VLOOKUP(P154,Settings!$E$28:$F$33,2,FALSE)/2)+1),1)</f>
        <v>172.31459412646328</v>
      </c>
      <c r="W154" s="57" cm="1">
        <f t="array" ref="W154">VLOOKUP(B154,'Player Data'!$A1:$AE673,11,FALSE)*$Q154*IFERROR((VLOOKUP(P154,Settings!$E$28:$F$33,2,FALSE)+1),1)</f>
        <v>11.015631738701973</v>
      </c>
      <c r="X154" s="79" cm="1">
        <f t="array" ref="X154">VLOOKUP(B154,'Player Data'!$A1:$AE673,12,FALSE)*$Q154*IFERROR((VLOOKUP(P154,Settings!$E$28:$F$33,2,FALSE)+1),1)</f>
        <v>27.115317760026933</v>
      </c>
      <c r="Y154" s="57" cm="1">
        <f t="array" ref="Y154">VLOOKUP(B154,'Player Data'!$A1:$AE673,13,FALSE)*$Q154</f>
        <v>5.7503878978816978E-3</v>
      </c>
      <c r="Z154" s="57" cm="1">
        <f t="array" ref="Z154">VLOOKUP(B154,'Player Data'!$A1:$AE673,14,FALSE)*$Q154</f>
        <v>9.4574780676723001E-3</v>
      </c>
      <c r="AA154" s="57" cm="1">
        <f t="array" ref="AA154">VLOOKUP(B154,'Player Data'!$A1:$AE673,15,FALSE)*$Q154</f>
        <v>26.421975055582777</v>
      </c>
      <c r="AB154" s="57" cm="1">
        <f t="array" ref="AB154">VLOOKUP(B154,'Player Data'!$A1:$AE673,16,FALSE)*$Q154</f>
        <v>121.88395480238417</v>
      </c>
      <c r="AC154" s="57" cm="1">
        <f t="array" ref="AC154">VLOOKUP(B154,'Player Data'!$A1:$AE673,17,FALSE)*$Q154*IFERROR((VLOOKUP(P154,Settings!$E$28:$F$33,2,FALSE)+1),1)</f>
        <v>1.9158778987852301</v>
      </c>
      <c r="AD154" s="57" cm="1">
        <f t="array" ref="AD154">VLOOKUP(B154,'Player Data'!$A1:$AE673,18,FALSE)*$Q154</f>
        <v>31.270584792295953</v>
      </c>
      <c r="AE154" s="57" cm="1">
        <f t="array" ref="AE154">VLOOKUP(B154,'Player Data'!$A1:$AE673,19,FALSE)*$Q154*IFERROR((VLOOKUP(P154,Settings!$E$28:$F$33,2,FALSE)+1),1)</f>
        <v>4.9572127403273125</v>
      </c>
      <c r="AF154" s="57" cm="1">
        <f t="array" ref="AF154">VLOOKUP(B154,'Player Data'!$A1:$AE673,20,FALSE)*$Q154</f>
        <v>17.233991492958531</v>
      </c>
      <c r="AG154" s="57" cm="1">
        <f t="array" ref="AG154">VLOOKUP(B154,'Player Data'!$A1:$AE673,21,FALSE)*$Q154</f>
        <v>16.571466583875182</v>
      </c>
      <c r="AH154" s="59" cm="1">
        <f t="array" ref="AH154">VLOOKUP(B154,'Player Data'!$A1:$AE673,22,FALSE)</f>
        <v>0.50979908196447998</v>
      </c>
      <c r="AI154" s="55"/>
      <c r="AJ154" s="57"/>
      <c r="AK154" s="57"/>
      <c r="AL154" s="57"/>
      <c r="AM154" s="57"/>
      <c r="AN154" s="57"/>
      <c r="AO154" s="57"/>
      <c r="AP154" s="57"/>
      <c r="AQ154" s="60"/>
      <c r="AR154" s="61"/>
      <c r="AS154" s="55"/>
    </row>
    <row r="155" spans="1:45" ht="21.25" customHeight="1" x14ac:dyDescent="0.15">
      <c r="A155" s="62">
        <f t="shared" si="2"/>
        <v>154</v>
      </c>
      <c r="B155" s="10" t="s">
        <v>283</v>
      </c>
      <c r="C155" s="47" t="s">
        <v>128</v>
      </c>
      <c r="D155" s="48" t="str" cm="1">
        <f t="array" ref="D155">VLOOKUP(B155,'Player Data'!A1:D673,4,FALSE)</f>
        <v>C,LW</v>
      </c>
      <c r="E155" s="74" cm="1">
        <f t="array" ref="E155">VLOOKUP(B155,LW!A1:C210,3,FALSE)</f>
        <v>36</v>
      </c>
      <c r="F155" s="63" t="str" cm="1">
        <f t="array" ref="F155">VLOOKUP(B155,'Player Data'!A1:B673,2,FALSE)</f>
        <v>VGK</v>
      </c>
      <c r="G155" s="66" cm="1">
        <f t="array" ref="G155">VLOOKUP(B155,'Player Data'!A1:D673,3,FALSE)</f>
        <v>32</v>
      </c>
      <c r="H155" s="51" cm="1">
        <f t="array" ref="H155">IFERROR(VLOOKUP(B155,ADP!A1:F671,6,FALSE)/1000000,VLOOKUP(B155,ADP!A1:F671,6,FALSE))</f>
        <v>6.75</v>
      </c>
      <c r="I155" s="52">
        <f>IF(Settings!$E$15="POINTS",((R155*Q155)*Settings!$B$12)+(S155*Settings!$B$2)+(T155*Settings!$B$3)+(U155*Settings!$B$4)+(V155*Settings!$B$5)+(X155*Settings!$B$9)+(AA155*Settings!$B$6)+(W155*Settings!$B$8)+(AB155*Settings!$B$7)+(AC155*Settings!$B$14)+(AD155*Settings!$B$15)+(AE155*Settings!$B$16)+(AF155*Settings!$B$17)+(AG155*Settings!$B$18)+(Y155*Settings!$B$10)+(Z155*Settings!$B$11),VLOOKUP(B155,'Standard Deviations'!A$1:C$672,3,FALSE))</f>
        <v>327.58703595649564</v>
      </c>
      <c r="J155" s="53" cm="1">
        <f t="array" ref="J155">IF(D155="G",I155/AJ155,I155/Q155)</f>
        <v>4.095221876507118</v>
      </c>
      <c r="K155" s="52" cm="1">
        <f t="array" ref="K155">IF(Settings!$E$18="C/LW/RW",VLOOKUP(B155,LW!A1:F210,6,FALSE),VLOOKUP(B155,F!A1:F407,6,FALSE))</f>
        <v>-71.725957357224445</v>
      </c>
      <c r="L155" s="54" cm="1">
        <f t="array" ref="L155">IFERROR(K155/H155,"N/A")</f>
        <v>-10.626067756625844</v>
      </c>
      <c r="M155" s="55">
        <v>145.30000000000001</v>
      </c>
      <c r="N155" s="55" cm="1">
        <f t="array" ref="N155">IFERROR(M155-A155,"N/A")</f>
        <v>-8.6999999999999886</v>
      </c>
      <c r="O155" s="55"/>
      <c r="P155" s="56" t="str" cm="1">
        <f t="array" ref="P155">_xlfn.XLOOKUP($B155,ADP!A2:A671,ADP!G2:G671)</f>
        <v xml:space="preserve"> </v>
      </c>
      <c r="Q155" s="57" cm="1">
        <f t="array" ref="Q155">IF(Settings!$E$12="YES",VLOOKUP(B155,'Player Data'!A1:E673,5,FALSE),84)</f>
        <v>79.992500000000007</v>
      </c>
      <c r="R155" s="55" cm="1">
        <f t="array" ref="R155">VLOOKUP(B155,'Player Data'!$A1:$AE673,6,FALSE)</f>
        <v>17.230940756478599</v>
      </c>
      <c r="S155" s="57" cm="1">
        <f t="array" ref="S155">VLOOKUP(B155,'Player Data'!$A1:$AE673,7,FALSE)*$Q155*IFERROR((VLOOKUP(P155,Settings!$E$28:$F$33,2,FALSE)+1),1)</f>
        <v>27.603027190391266</v>
      </c>
      <c r="T155" s="57" cm="1">
        <f t="array" ref="T155">VLOOKUP(B155,'Player Data'!$A1:$AE673,8,FALSE)*$Q155*IFERROR((VLOOKUP(P155,Settings!$E$28:$F$33,2,FALSE)+1),1)</f>
        <v>32.595125823878874</v>
      </c>
      <c r="U155" s="57" cm="1">
        <f t="array" ref="U155">SUM(S155:T155)</f>
        <v>60.19815301427014</v>
      </c>
      <c r="V155" s="57" cm="1">
        <f t="array" ref="V155">VLOOKUP(B155,'Player Data'!$A1:$AE673,10,FALSE)*$Q155*IFERROR(((VLOOKUP(P155,Settings!$E$28:$F$33,2,FALSE)/2)+1),1)</f>
        <v>194.17934052587455</v>
      </c>
      <c r="W155" s="58" cm="1">
        <f t="array" ref="W155">VLOOKUP(B155,'Player Data'!$A1:$AE673,11,FALSE)*$Q155*IFERROR((VLOOKUP(P155,Settings!$E$28:$F$33,2,FALSE)+1),1)</f>
        <v>13.884450875698857</v>
      </c>
      <c r="X155" s="57" cm="1">
        <f t="array" ref="X155">VLOOKUP(B155,'Player Data'!$A1:$AE673,12,FALSE)*$Q155*IFERROR((VLOOKUP(P155,Settings!$E$28:$F$33,2,FALSE)+1),1)</f>
        <v>26.151847321339456</v>
      </c>
      <c r="Y155" s="57" cm="1">
        <f t="array" ref="Y155">VLOOKUP(B155,'Player Data'!$A1:$AE673,13,FALSE)*$Q155</f>
        <v>0.12338794501885966</v>
      </c>
      <c r="Z155" s="57" cm="1">
        <f t="array" ref="Z155">VLOOKUP(B155,'Player Data'!$A1:$AE673,14,FALSE)*$Q155</f>
        <v>0.15242276421215711</v>
      </c>
      <c r="AA155" s="57" cm="1">
        <f t="array" ref="AA155">VLOOKUP(B155,'Player Data'!$A1:$AE673,15,FALSE)*$Q155</f>
        <v>47.197273130392631</v>
      </c>
      <c r="AB155" s="57" cm="1">
        <f t="array" ref="AB155">VLOOKUP(B155,'Player Data'!$A1:$AE673,16,FALSE)*$Q155</f>
        <v>104.04223342156051</v>
      </c>
      <c r="AC155" s="57" cm="1">
        <f t="array" ref="AC155">VLOOKUP(B155,'Player Data'!$A1:$AE673,17,FALSE)*$Q155*IFERROR((VLOOKUP(P155,Settings!$E$28:$F$33,2,FALSE)+1),1)</f>
        <v>3.3264883021924709</v>
      </c>
      <c r="AD155" s="57" cm="1">
        <f t="array" ref="AD155">VLOOKUP(B155,'Player Data'!$A1:$AE673,18,FALSE)*$Q155</f>
        <v>25.715601278380859</v>
      </c>
      <c r="AE155" s="57" cm="1">
        <f t="array" ref="AE155">VLOOKUP(B155,'Player Data'!$A1:$AE673,19,FALSE)*$Q155*IFERROR((VLOOKUP(P155,Settings!$E$28:$F$33,2,FALSE)+1),1)</f>
        <v>5.2660346527744641</v>
      </c>
      <c r="AF155" s="57" cm="1">
        <f t="array" ref="AF155">VLOOKUP(B155,'Player Data'!$A1:$AE673,20,FALSE)*$Q155</f>
        <v>689.21022840793592</v>
      </c>
      <c r="AG155" s="57" cm="1">
        <f t="array" ref="AG155">VLOOKUP(B155,'Player Data'!$A1:$AE673,21,FALSE)*$Q155</f>
        <v>515.49543851691828</v>
      </c>
      <c r="AH155" s="59" cm="1">
        <f t="array" ref="AH155">VLOOKUP(B155,'Player Data'!$A1:$AE673,22,FALSE)</f>
        <v>0.57209843643154901</v>
      </c>
      <c r="AI155" s="55"/>
      <c r="AJ155" s="57"/>
      <c r="AK155" s="57"/>
      <c r="AL155" s="57"/>
      <c r="AM155" s="57"/>
      <c r="AN155" s="57"/>
      <c r="AO155" s="57"/>
      <c r="AP155" s="57"/>
      <c r="AQ155" s="60"/>
      <c r="AR155" s="61"/>
      <c r="AS155" s="55"/>
    </row>
    <row r="156" spans="1:45" ht="21.25" customHeight="1" x14ac:dyDescent="0.15">
      <c r="A156" s="62">
        <f t="shared" si="2"/>
        <v>155</v>
      </c>
      <c r="B156" s="10" t="s">
        <v>284</v>
      </c>
      <c r="C156" s="47" t="s">
        <v>128</v>
      </c>
      <c r="D156" s="48" t="str" cm="1">
        <f t="array" ref="D156">VLOOKUP(B156,'Player Data'!A1:D673,4,FALSE)</f>
        <v>LW</v>
      </c>
      <c r="E156" s="75" cm="1">
        <f t="array" ref="E156">VLOOKUP(B156,LW!A1:C210,3,FALSE)</f>
        <v>39</v>
      </c>
      <c r="F156" s="73" t="str" cm="1">
        <f t="array" ref="F156">VLOOKUP(B156,'Player Data'!A1:B673,2,FALSE)</f>
        <v>BUF</v>
      </c>
      <c r="G156" s="71" cm="1">
        <f t="array" ref="G156">VLOOKUP(B156,'Player Data'!A1:D673,3,FALSE)</f>
        <v>21</v>
      </c>
      <c r="H156" s="51" cm="1">
        <f t="array" ref="H156">IFERROR(VLOOKUP(B156,ADP!A1:F671,6,FALSE)/1000000,VLOOKUP(B156,ADP!A1:F671,6,FALSE))</f>
        <v>7.5</v>
      </c>
      <c r="I156" s="52">
        <f>IF(Settings!$E$15="POINTS",((R156*Q156)*Settings!$B$12)+(S156*Settings!$B$2)+(T156*Settings!$B$3)+(U156*Settings!$B$4)+(V156*Settings!$B$5)+(X156*Settings!$B$9)+(AA156*Settings!$B$6)+(W156*Settings!$B$8)+(AB156*Settings!$B$7)+(AC156*Settings!$B$14)+(AD156*Settings!$B$15)+(AE156*Settings!$B$16)+(AF156*Settings!$B$17)+(AG156*Settings!$B$18)+(Y156*Settings!$B$10)+(Z156*Settings!$B$11),VLOOKUP(B156,'Standard Deviations'!A$1:C$672,3,FALSE))</f>
        <v>325.29623072030597</v>
      </c>
      <c r="J156" s="53" cm="1">
        <f t="array" ref="J156">IF(D156="G",I156/AJ156,I156/Q156)</f>
        <v>4.1202815797378838</v>
      </c>
      <c r="K156" s="52" cm="1">
        <f t="array" ref="K156">IF(Settings!$E$18="C/LW/RW",VLOOKUP(B156,LW!A1:F210,6,FALSE),VLOOKUP(B156,F!A1:F407,6,FALSE))</f>
        <v>-74.016762593414114</v>
      </c>
      <c r="L156" s="54" cm="1">
        <f t="array" ref="L156">IFERROR(K156/H156,"N/A")</f>
        <v>-9.8689016791218815</v>
      </c>
      <c r="M156" s="55">
        <v>147.69999999999999</v>
      </c>
      <c r="N156" s="55" cm="1">
        <f t="array" ref="N156">IFERROR(M156-A156,"N/A")</f>
        <v>-7.3000000000000114</v>
      </c>
      <c r="O156" s="55"/>
      <c r="P156" s="56" t="str" cm="1">
        <f t="array" ref="P156">_xlfn.XLOOKUP($B156,ADP!A2:A671,ADP!G2:G671)</f>
        <v>+ + +</v>
      </c>
      <c r="Q156" s="57" cm="1">
        <f t="array" ref="Q156">IF(Settings!$E$12="YES",VLOOKUP(B156,'Player Data'!A1:E673,5,FALSE),84)</f>
        <v>78.95</v>
      </c>
      <c r="R156" s="82" cm="1">
        <f t="array" ref="R156">VLOOKUP(B156,'Player Data'!$A1:$AE673,6,FALSE)</f>
        <v>18.7914983560987</v>
      </c>
      <c r="S156" s="57" cm="1">
        <f t="array" ref="S156">VLOOKUP(B156,'Player Data'!$A1:$AE673,7,FALSE)*$Q156*IFERROR((VLOOKUP(P156,Settings!$E$28:$F$33,2,FALSE)+1),1)</f>
        <v>22.322227651315615</v>
      </c>
      <c r="T156" s="57" cm="1">
        <f t="array" ref="T156">VLOOKUP(B156,'Player Data'!$A1:$AE673,8,FALSE)*$Q156*IFERROR((VLOOKUP(P156,Settings!$E$28:$F$33,2,FALSE)+1),1)</f>
        <v>43.421362284611355</v>
      </c>
      <c r="U156" s="57" cm="1">
        <f t="array" ref="U156">SUM(S156:T156)</f>
        <v>65.743589935926963</v>
      </c>
      <c r="V156" s="57" cm="1">
        <f t="array" ref="V156">VLOOKUP(B156,'Player Data'!$A1:$AE673,10,FALSE)*$Q156*IFERROR(((VLOOKUP(P156,Settings!$E$28:$F$33,2,FALSE)/2)+1),1)</f>
        <v>186.24858190125781</v>
      </c>
      <c r="W156" s="58" cm="1">
        <f t="array" ref="W156">VLOOKUP(B156,'Player Data'!$A1:$AE673,11,FALSE)*$Q156*IFERROR((VLOOKUP(P156,Settings!$E$28:$F$33,2,FALSE)+1),1)</f>
        <v>5.5586389526554667</v>
      </c>
      <c r="X156" s="57" cm="1">
        <f t="array" ref="X156">VLOOKUP(B156,'Player Data'!$A1:$AE673,12,FALSE)*$Q156*IFERROR((VLOOKUP(P156,Settings!$E$28:$F$33,2,FALSE)+1),1)</f>
        <v>15.776663508224775</v>
      </c>
      <c r="Y156" s="57" cm="1">
        <f t="array" ref="Y156">VLOOKUP(B156,'Player Data'!$A1:$AE673,13,FALSE)*$Q156</f>
        <v>0.77665282882935549</v>
      </c>
      <c r="Z156" s="57" cm="1">
        <f t="array" ref="Z156">VLOOKUP(B156,'Player Data'!$A1:$AE673,14,FALSE)*$Q156</f>
        <v>1.5178020778662209</v>
      </c>
      <c r="AA156" s="57" cm="1">
        <f t="array" ref="AA156">VLOOKUP(B156,'Player Data'!$A1:$AE673,15,FALSE)*$Q156</f>
        <v>35.293408751610272</v>
      </c>
      <c r="AB156" s="57" cm="1">
        <f t="array" ref="AB156">VLOOKUP(B156,'Player Data'!$A1:$AE673,16,FALSE)*$Q156</f>
        <v>53.448088216016203</v>
      </c>
      <c r="AC156" s="57" cm="1">
        <f t="array" ref="AC156">VLOOKUP(B156,'Player Data'!$A1:$AE673,17,FALSE)*$Q156*IFERROR((VLOOKUP(P156,Settings!$E$28:$F$33,2,FALSE)+1),1)</f>
        <v>4.6291851302027798</v>
      </c>
      <c r="AD156" s="57" cm="1">
        <f t="array" ref="AD156">VLOOKUP(B156,'Player Data'!$A1:$AE673,18,FALSE)*$Q156</f>
        <v>49.596391144018895</v>
      </c>
      <c r="AE156" s="57" cm="1">
        <f t="array" ref="AE156">VLOOKUP(B156,'Player Data'!$A1:$AE673,19,FALSE)*$Q156*IFERROR((VLOOKUP(P156,Settings!$E$28:$F$33,2,FALSE)+1),1)</f>
        <v>3.3655218196066601</v>
      </c>
      <c r="AF156" s="57" cm="1">
        <f t="array" ref="AF156">VLOOKUP(B156,'Player Data'!$A1:$AE673,20,FALSE)*$Q156</f>
        <v>7.4993709774113109</v>
      </c>
      <c r="AG156" s="57" cm="1">
        <f t="array" ref="AG156">VLOOKUP(B156,'Player Data'!$A1:$AE673,21,FALSE)*$Q156</f>
        <v>15.477123616177257</v>
      </c>
      <c r="AH156" s="59" cm="1">
        <f t="array" ref="AH156">VLOOKUP(B156,'Player Data'!$A1:$AE673,22,FALSE)</f>
        <v>0.326393173112837</v>
      </c>
      <c r="AI156" s="55"/>
      <c r="AJ156" s="57"/>
      <c r="AK156" s="57"/>
      <c r="AL156" s="57"/>
      <c r="AM156" s="57"/>
      <c r="AN156" s="57"/>
      <c r="AO156" s="57"/>
      <c r="AP156" s="57"/>
      <c r="AQ156" s="60"/>
      <c r="AR156" s="61"/>
      <c r="AS156" s="55"/>
    </row>
    <row r="157" spans="1:45" ht="21.25" customHeight="1" x14ac:dyDescent="0.15">
      <c r="A157" s="62">
        <f t="shared" si="2"/>
        <v>156</v>
      </c>
      <c r="B157" s="10" t="s">
        <v>285</v>
      </c>
      <c r="C157" s="47" t="s">
        <v>147</v>
      </c>
      <c r="D157" s="48" t="str" cm="1">
        <f t="array" ref="D157">VLOOKUP(B157,'Player Data'!A1:D673,4,FALSE)</f>
        <v>D</v>
      </c>
      <c r="E157" s="68" cm="1">
        <f t="array" ref="E157">VLOOKUP(B157,D!A1:C204,3,FALSE)</f>
        <v>49</v>
      </c>
      <c r="F157" s="63" t="str" cm="1">
        <f t="array" ref="F157">VLOOKUP(B157,'Player Data'!A1:B673,2,FALSE)</f>
        <v>EDM</v>
      </c>
      <c r="G157" s="66" cm="1">
        <f t="array" ref="G157">VLOOKUP(B157,'Player Data'!A1:D673,3,FALSE)</f>
        <v>36</v>
      </c>
      <c r="H157" s="51" cm="1">
        <f t="array" ref="H157">IFERROR(VLOOKUP(B157,ADP!A1:F671,6,FALSE)/1000000,VLOOKUP(B157,ADP!A1:F671,6,FALSE))</f>
        <v>4</v>
      </c>
      <c r="I157" s="52">
        <f>IF(Settings!$E$15="POINTS",((R157*Q157)*Settings!$B$12)+(S157*Settings!$B$2)+(T157*Settings!$B$3)+(U157*Settings!$B$4)+(V157*Settings!$B$5)+(X157*Settings!$B$9)+(AA157*Settings!$B$6)+(W157*Settings!$B$8)+(AB157*Settings!$B$7)+(AC157*Settings!$B$14)+(AD157*Settings!$B$15)+(AE157*Settings!$B$16)+(AF157*Settings!$B$17)+(AG157*Settings!$B$18)+(U157*Settings!$B$13)+(Y157*Settings!$B$10)+(Z157*Settings!$B$11),VLOOKUP(B157,'Standard Deviations'!A$1:C$672,3,FALSE))</f>
        <v>232.50981540421523</v>
      </c>
      <c r="J157" s="53" cm="1">
        <f t="array" ref="J157">IF(D157="G",I157/AJ157,I157/Q157)</f>
        <v>2.8566491434003778</v>
      </c>
      <c r="K157" s="52" cm="1">
        <f t="array" ref="K157">VLOOKUP(B157,D!A1:F204,6,FALSE)</f>
        <v>-74.14405194037883</v>
      </c>
      <c r="L157" s="54" cm="1">
        <f t="array" ref="L157">IFERROR(K157/H157,"N/A")</f>
        <v>-18.536012985094708</v>
      </c>
      <c r="M157" s="55">
        <v>130.1</v>
      </c>
      <c r="N157" s="55" cm="1">
        <f t="array" ref="N157">IFERROR(M157-A157,"N/A")</f>
        <v>-25.900000000000006</v>
      </c>
      <c r="O157" s="55"/>
      <c r="P157" s="56" t="str" cm="1">
        <f t="array" ref="P157">_xlfn.XLOOKUP($B157,ADP!A2:A671,ADP!G2:G671)</f>
        <v>-</v>
      </c>
      <c r="Q157" s="57" cm="1">
        <f t="array" ref="Q157">IF(Settings!$E$12="YES",VLOOKUP(B157,'Player Data'!A1:E673,5,FALSE),84)</f>
        <v>81.392499999999998</v>
      </c>
      <c r="R157" s="55" cm="1">
        <f t="array" ref="R157">VLOOKUP(B157,'Player Data'!$A1:$AE673,6,FALSE)</f>
        <v>20.708944306402401</v>
      </c>
      <c r="S157" s="57" cm="1">
        <f t="array" ref="S157">VLOOKUP(B157,'Player Data'!$A1:$AE673,7,FALSE)*$Q157*IFERROR((VLOOKUP(P157,Settings!$E$28:$F$33,2,FALSE)+1),1)</f>
        <v>6.5877030806715471</v>
      </c>
      <c r="T157" s="57" cm="1">
        <f t="array" ref="T157">VLOOKUP(B157,'Player Data'!$A1:$AE673,8,FALSE)*$Q157*IFERROR((VLOOKUP(P157,Settings!$E$28:$F$33,2,FALSE)+1),1)</f>
        <v>27.084537279263984</v>
      </c>
      <c r="U157" s="57" cm="1">
        <f t="array" ref="U157">SUM(S157:T157)</f>
        <v>33.672240359935529</v>
      </c>
      <c r="V157" s="57" cm="1">
        <f t="array" ref="V157">VLOOKUP(B157,'Player Data'!$A1:$AE673,10,FALSE)*$Q157*IFERROR(((VLOOKUP(P157,Settings!$E$28:$F$33,2,FALSE)/2)+1),1)</f>
        <v>135.99942273552881</v>
      </c>
      <c r="W157" s="57" cm="1">
        <f t="array" ref="W157">VLOOKUP(B157,'Player Data'!$A1:$AE673,11,FALSE)*$Q157*IFERROR((VLOOKUP(P157,Settings!$E$28:$F$33,2,FALSE)+1),1)</f>
        <v>0.7552098427129742</v>
      </c>
      <c r="X157" s="57" cm="1">
        <f t="array" ref="X157">VLOOKUP(B157,'Player Data'!$A1:$AE673,12,FALSE)*$Q157*IFERROR((VLOOKUP(P157,Settings!$E$28:$F$33,2,FALSE)+1),1)</f>
        <v>2.6177028868553851</v>
      </c>
      <c r="Y157" s="57" cm="1">
        <f t="array" ref="Y157">VLOOKUP(B157,'Player Data'!$A1:$AE673,13,FALSE)*$Q157</f>
        <v>0.14677903799050948</v>
      </c>
      <c r="Z157" s="57" cm="1">
        <f t="array" ref="Z157">VLOOKUP(B157,'Player Data'!$A1:$AE673,14,FALSE)*$Q157</f>
        <v>0.24694342877523298</v>
      </c>
      <c r="AA157" s="57" cm="1">
        <f t="array" ref="AA157">VLOOKUP(B157,'Player Data'!$A1:$AE673,15,FALSE)*$Q157</f>
        <v>121.25747328202719</v>
      </c>
      <c r="AB157" s="57" cm="1">
        <f t="array" ref="AB157">VLOOKUP(B157,'Player Data'!$A1:$AE673,16,FALSE)*$Q157</f>
        <v>69.956972910052428</v>
      </c>
      <c r="AC157" s="57" cm="1">
        <f t="array" ref="AC157">VLOOKUP(B157,'Player Data'!$A1:$AE673,17,FALSE)*$Q157*IFERROR((VLOOKUP(P157,Settings!$E$28:$F$33,2,FALSE)+1),1)</f>
        <v>9.0342392995128211</v>
      </c>
      <c r="AD157" s="57" cm="1">
        <f t="array" ref="AD157">VLOOKUP(B157,'Player Data'!$A1:$AE673,18,FALSE)*$Q157</f>
        <v>36.723275459630699</v>
      </c>
      <c r="AE157" s="57" cm="1">
        <f t="array" ref="AE157">VLOOKUP(B157,'Player Data'!$A1:$AE673,19,FALSE)*$Q157*IFERROR((VLOOKUP(P157,Settings!$E$28:$F$33,2,FALSE)+1),1)</f>
        <v>1.1564156381815098</v>
      </c>
      <c r="AF157" s="57" cm="1">
        <f t="array" ref="AF157">VLOOKUP(B157,'Player Data'!$A1:$AE673,20,FALSE)*$Q157</f>
        <v>0</v>
      </c>
      <c r="AG157" s="57" cm="1">
        <f t="array" ref="AG157">VLOOKUP(B157,'Player Data'!$A1:$AE673,21,FALSE)*$Q157</f>
        <v>0</v>
      </c>
      <c r="AH157" s="59" cm="1">
        <f t="array" ref="AH157">VLOOKUP(B157,'Player Data'!$A1:$AE673,22,FALSE)</f>
        <v>0</v>
      </c>
      <c r="AI157" s="55"/>
      <c r="AJ157" s="57"/>
      <c r="AK157" s="57"/>
      <c r="AL157" s="57"/>
      <c r="AM157" s="57"/>
      <c r="AN157" s="57"/>
      <c r="AO157" s="57"/>
      <c r="AP157" s="57"/>
      <c r="AQ157" s="60"/>
      <c r="AR157" s="61"/>
      <c r="AS157" s="55"/>
    </row>
    <row r="158" spans="1:45" ht="21.25" customHeight="1" x14ac:dyDescent="0.15">
      <c r="A158" s="62">
        <f t="shared" si="2"/>
        <v>157</v>
      </c>
      <c r="B158" s="10" t="s">
        <v>286</v>
      </c>
      <c r="C158" s="47" t="s">
        <v>147</v>
      </c>
      <c r="D158" s="48" t="str" cm="1">
        <f t="array" ref="D158">VLOOKUP(B158,'Player Data'!A1:D673,4,FALSE)</f>
        <v>C</v>
      </c>
      <c r="E158" s="49" cm="1">
        <f t="array" ref="E158">VLOOKUP(B158,'C'!A1:C210,3,FALSE)</f>
        <v>48</v>
      </c>
      <c r="F158" s="50" t="str" cm="1">
        <f t="array" ref="F158">VLOOKUP(B158,'Player Data'!A1:B673,2,FALSE)</f>
        <v>COL</v>
      </c>
      <c r="G158" s="66" cm="1">
        <f t="array" ref="G158">VLOOKUP(B158,'Player Data'!A1:D673,3,FALSE)</f>
        <v>34</v>
      </c>
      <c r="H158" s="51" cm="1">
        <f t="array" ref="H158">IFERROR(VLOOKUP(B158,ADP!A1:F671,6,FALSE)/1000000,VLOOKUP(B158,ADP!A1:F671,6,FALSE))</f>
        <v>7.5</v>
      </c>
      <c r="I158" s="52">
        <f>IF(Settings!$E$15="POINTS",((R158*Q158)*Settings!$B$12)+(S158*Settings!$B$2)+(T158*Settings!$B$3)+(U158*Settings!$B$4)+(V158*Settings!$B$5)+(X158*Settings!$B$9)+(AA158*Settings!$B$6)+(W158*Settings!$B$8)+(AB158*Settings!$B$7)+(AC158*Settings!$B$14)+(AD158*Settings!$B$15)+(AE158*Settings!$B$16)+(AF158*Settings!$B$17)+(AG158*Settings!$B$18)+(Y158*Settings!$B$10)+(Z158*Settings!$B$11),VLOOKUP(B158,'Standard Deviations'!A$1:C$672,3,FALSE))</f>
        <v>311.61386414970235</v>
      </c>
      <c r="J158" s="53" cm="1">
        <f t="array" ref="J158">IF(D158="G",I158/AJ158,I158/Q158)</f>
        <v>3.7284420346349476</v>
      </c>
      <c r="K158" s="52" cm="1">
        <f t="array" ref="K158">IF(Settings!$E$18="C/LW/RW",VLOOKUP(B158,'C'!A1:F210,6,FALSE),VLOOKUP(B158,F!A1:F407,6,FALSE))</f>
        <v>-74.92134224338065</v>
      </c>
      <c r="L158" s="54" cm="1">
        <f t="array" ref="L158">IFERROR(K158/H158,"N/A")</f>
        <v>-9.9895122991174201</v>
      </c>
      <c r="M158" s="55">
        <v>136.30000000000001</v>
      </c>
      <c r="N158" s="55" cm="1">
        <f t="array" ref="N158">IFERROR(M158-A158,"N/A")</f>
        <v>-20.699999999999989</v>
      </c>
      <c r="O158" s="55"/>
      <c r="P158" s="56" t="str" cm="1">
        <f t="array" ref="P158">_xlfn.XLOOKUP($B158,ADP!A2:A671,ADP!G2:G671)</f>
        <v xml:space="preserve"> </v>
      </c>
      <c r="Q158" s="57" cm="1">
        <f t="array" ref="Q158">IF(Settings!$E$12="YES",VLOOKUP(B158,'Player Data'!A1:E673,5,FALSE),84)</f>
        <v>83.577500000000001</v>
      </c>
      <c r="R158" s="55" cm="1">
        <f t="array" ref="R158">VLOOKUP(B158,'Player Data'!$A1:$AE673,6,FALSE)</f>
        <v>18.764941463414601</v>
      </c>
      <c r="S158" s="57" cm="1">
        <f t="array" ref="S158">VLOOKUP(B158,'Player Data'!$A1:$AE673,7,FALSE)*$Q158*IFERROR((VLOOKUP(P158,Settings!$E$28:$F$33,2,FALSE)+1),1)</f>
        <v>27.284300237521411</v>
      </c>
      <c r="T158" s="57" cm="1">
        <f t="array" ref="T158">VLOOKUP(B158,'Player Data'!$A1:$AE673,8,FALSE)*$Q158*IFERROR((VLOOKUP(P158,Settings!$E$28:$F$33,2,FALSE)+1),1)</f>
        <v>29.872270112239828</v>
      </c>
      <c r="U158" s="57" cm="1">
        <f t="array" ref="U158">SUM(S158:T158)</f>
        <v>57.156570349761239</v>
      </c>
      <c r="V158" s="57" cm="1">
        <f t="array" ref="V158">VLOOKUP(B158,'Player Data'!$A1:$AE673,10,FALSE)*$Q158*IFERROR(((VLOOKUP(P158,Settings!$E$28:$F$33,2,FALSE)/2)+1),1)</f>
        <v>192.9594835498136</v>
      </c>
      <c r="W158" s="57" cm="1">
        <f t="array" ref="W158">VLOOKUP(B158,'Player Data'!$A1:$AE673,11,FALSE)*$Q158*IFERROR((VLOOKUP(P158,Settings!$E$28:$F$33,2,FALSE)+1),1)</f>
        <v>6.1405377947127846</v>
      </c>
      <c r="X158" s="79" cm="1">
        <f t="array" ref="X158">VLOOKUP(B158,'Player Data'!$A1:$AE673,12,FALSE)*$Q158*IFERROR((VLOOKUP(P158,Settings!$E$28:$F$33,2,FALSE)+1),1)</f>
        <v>12.520536457765356</v>
      </c>
      <c r="Y158" s="57" cm="1">
        <f t="array" ref="Y158">VLOOKUP(B158,'Player Data'!$A1:$AE673,13,FALSE)*$Q158</f>
        <v>1.2530166786420773</v>
      </c>
      <c r="Z158" s="57" cm="1">
        <f t="array" ref="Z158">VLOOKUP(B158,'Player Data'!$A1:$AE673,14,FALSE)*$Q158</f>
        <v>2.1111966565037572</v>
      </c>
      <c r="AA158" s="57" cm="1">
        <f t="array" ref="AA158">VLOOKUP(B158,'Player Data'!$A1:$AE673,15,FALSE)*$Q158</f>
        <v>58.065356422485451</v>
      </c>
      <c r="AB158" s="57" cm="1">
        <f t="array" ref="AB158">VLOOKUP(B158,'Player Data'!$A1:$AE673,16,FALSE)*$Q158</f>
        <v>42.087767726423422</v>
      </c>
      <c r="AC158" s="57" cm="1">
        <f t="array" ref="AC158">VLOOKUP(B158,'Player Data'!$A1:$AE673,17,FALSE)*$Q158*IFERROR((VLOOKUP(P158,Settings!$E$28:$F$33,2,FALSE)+1),1)</f>
        <v>9.8206177316016081</v>
      </c>
      <c r="AD158" s="57" cm="1">
        <f t="array" ref="AD158">VLOOKUP(B158,'Player Data'!$A1:$AE673,18,FALSE)*$Q158</f>
        <v>31.010035551205199</v>
      </c>
      <c r="AE158" s="57" cm="1">
        <f t="array" ref="AE158">VLOOKUP(B158,'Player Data'!$A1:$AE673,19,FALSE)*$Q158*IFERROR((VLOOKUP(P158,Settings!$E$28:$F$33,2,FALSE)+1),1)</f>
        <v>4.9244672634627049</v>
      </c>
      <c r="AF158" s="57" cm="1">
        <f t="array" ref="AF158">VLOOKUP(B158,'Player Data'!$A1:$AE673,20,FALSE)*$Q158</f>
        <v>661.12676121551715</v>
      </c>
      <c r="AG158" s="57" cm="1">
        <f t="array" ref="AG158">VLOOKUP(B158,'Player Data'!$A1:$AE673,21,FALSE)*$Q158</f>
        <v>666.48952860589134</v>
      </c>
      <c r="AH158" s="59" cm="1">
        <f t="array" ref="AH158">VLOOKUP(B158,'Player Data'!$A1:$AE673,22,FALSE)</f>
        <v>0.497980302203472</v>
      </c>
      <c r="AI158" s="55"/>
      <c r="AJ158" s="57"/>
      <c r="AK158" s="57"/>
      <c r="AL158" s="57"/>
      <c r="AM158" s="57"/>
      <c r="AN158" s="57"/>
      <c r="AO158" s="57"/>
      <c r="AP158" s="57"/>
      <c r="AQ158" s="60"/>
      <c r="AR158" s="61"/>
      <c r="AS158" s="55"/>
    </row>
    <row r="159" spans="1:45" ht="21.25" customHeight="1" x14ac:dyDescent="0.15">
      <c r="A159" s="62">
        <f t="shared" si="2"/>
        <v>158</v>
      </c>
      <c r="B159" s="10" t="s">
        <v>287</v>
      </c>
      <c r="C159" s="47" t="s">
        <v>147</v>
      </c>
      <c r="D159" s="48" t="str" cm="1">
        <f t="array" ref="D159">VLOOKUP(B159,'Player Data'!A1:D673,4,FALSE)</f>
        <v>D</v>
      </c>
      <c r="E159" s="68" cm="1">
        <f t="array" ref="E159">VLOOKUP(B159,D!A1:C204,3,FALSE)</f>
        <v>50</v>
      </c>
      <c r="F159" s="56" t="str" cm="1">
        <f t="array" ref="F159">VLOOKUP(B159,'Player Data'!A1:B673,2,FALSE)</f>
        <v>PHI</v>
      </c>
      <c r="G159" s="71" cm="1">
        <f t="array" ref="G159">VLOOKUP(B159,'Player Data'!A1:D673,3,FALSE)</f>
        <v>24</v>
      </c>
      <c r="H159" s="51" cm="1">
        <f t="array" ref="H159">IFERROR(VLOOKUP(B159,ADP!A1:F671,6,FALSE)/1000000,VLOOKUP(B159,ADP!A1:F671,6,FALSE))</f>
        <v>6.5</v>
      </c>
      <c r="I159" s="52">
        <f>IF(Settings!$E$15="POINTS",((R159*Q159)*Settings!$B$12)+(S159*Settings!$B$2)+(T159*Settings!$B$3)+(U159*Settings!$B$4)+(V159*Settings!$B$5)+(X159*Settings!$B$9)+(AA159*Settings!$B$6)+(W159*Settings!$B$8)+(AB159*Settings!$B$7)+(AC159*Settings!$B$14)+(AD159*Settings!$B$15)+(AE159*Settings!$B$16)+(AF159*Settings!$B$17)+(AG159*Settings!$B$18)+(U159*Settings!$B$13)+(Y159*Settings!$B$10)+(Z159*Settings!$B$11),VLOOKUP(B159,'Standard Deviations'!A$1:C$672,3,FALSE))</f>
        <v>231.69336416819803</v>
      </c>
      <c r="J159" s="53" cm="1">
        <f t="array" ref="J159">IF(D159="G",I159/AJ159,I159/Q159)</f>
        <v>3.0140934586730586</v>
      </c>
      <c r="K159" s="52" cm="1">
        <f t="array" ref="K159">VLOOKUP(B159,D!A1:F204,6,FALSE)</f>
        <v>-74.960503176396031</v>
      </c>
      <c r="L159" s="54" cm="1">
        <f t="array" ref="L159">IFERROR(K159/H159,"N/A")</f>
        <v>-11.532385104060928</v>
      </c>
      <c r="M159" s="85" t="s">
        <v>832</v>
      </c>
      <c r="N159" s="85" t="str" cm="1">
        <f t="array" ref="N159">IFERROR(M159-A159,"N/A")</f>
        <v>N/A</v>
      </c>
      <c r="O159" s="55"/>
      <c r="P159" s="56" t="str" cm="1">
        <f t="array" ref="P159">_xlfn.XLOOKUP($B159,ADP!A2:A671,ADP!G2:G671)</f>
        <v>+ +</v>
      </c>
      <c r="Q159" s="57" cm="1">
        <f t="array" ref="Q159">IF(Settings!$E$12="YES",VLOOKUP(B159,'Player Data'!A1:E673,5,FALSE),84)</f>
        <v>76.87</v>
      </c>
      <c r="R159" s="55" cm="1">
        <f t="array" ref="R159">VLOOKUP(B159,'Player Data'!$A1:$AE673,6,FALSE)</f>
        <v>22.029978598244998</v>
      </c>
      <c r="S159" s="57" cm="1">
        <f t="array" ref="S159">VLOOKUP(B159,'Player Data'!$A1:$AE673,7,FALSE)*$Q159*IFERROR((VLOOKUP(P159,Settings!$E$28:$F$33,2,FALSE)+1),1)</f>
        <v>10.172221390881584</v>
      </c>
      <c r="T159" s="57" cm="1">
        <f t="array" ref="T159">VLOOKUP(B159,'Player Data'!$A1:$AE673,8,FALSE)*$Q159*IFERROR((VLOOKUP(P159,Settings!$E$28:$F$33,2,FALSE)+1),1)</f>
        <v>27.279865437540352</v>
      </c>
      <c r="U159" s="57" cm="1">
        <f t="array" ref="U159">SUM(S159:T159)</f>
        <v>37.452086828421933</v>
      </c>
      <c r="V159" s="57" cm="1">
        <f t="array" ref="V159">VLOOKUP(B159,'Player Data'!$A1:$AE673,10,FALSE)*$Q159*IFERROR(((VLOOKUP(P159,Settings!$E$28:$F$33,2,FALSE)/2)+1),1)</f>
        <v>112.21643436905505</v>
      </c>
      <c r="W159" s="57" cm="1">
        <f t="array" ref="W159">VLOOKUP(B159,'Player Data'!$A1:$AE673,11,FALSE)*$Q159*IFERROR((VLOOKUP(P159,Settings!$E$28:$F$33,2,FALSE)+1),1)</f>
        <v>2.5059122382904011</v>
      </c>
      <c r="X159" s="79" cm="1">
        <f t="array" ref="X159">VLOOKUP(B159,'Player Data'!$A1:$AE673,12,FALSE)*$Q159*IFERROR((VLOOKUP(P159,Settings!$E$28:$F$33,2,FALSE)+1),1)</f>
        <v>12.761215119369435</v>
      </c>
      <c r="Y159" s="57" cm="1">
        <f t="array" ref="Y159">VLOOKUP(B159,'Player Data'!$A1:$AE673,13,FALSE)*$Q159</f>
        <v>2.8909167500952297E-3</v>
      </c>
      <c r="Z159" s="57" cm="1">
        <f t="array" ref="Z159">VLOOKUP(B159,'Player Data'!$A1:$AE673,14,FALSE)*$Q159</f>
        <v>2.6005797007004637E-2</v>
      </c>
      <c r="AA159" s="57" cm="1">
        <f t="array" ref="AA159">VLOOKUP(B159,'Player Data'!$A1:$AE673,15,FALSE)*$Q159</f>
        <v>100.88333116405656</v>
      </c>
      <c r="AB159" s="57" cm="1">
        <f t="array" ref="AB159">VLOOKUP(B159,'Player Data'!$A1:$AE673,16,FALSE)*$Q159</f>
        <v>30.211327714011741</v>
      </c>
      <c r="AC159" s="57" cm="1">
        <f t="array" ref="AC159">VLOOKUP(B159,'Player Data'!$A1:$AE673,17,FALSE)*$Q159*IFERROR((VLOOKUP(P159,Settings!$E$28:$F$33,2,FALSE)+1),1)</f>
        <v>0.20331358032007965</v>
      </c>
      <c r="AD159" s="57" cm="1">
        <f t="array" ref="AD159">VLOOKUP(B159,'Player Data'!$A1:$AE673,18,FALSE)*$Q159</f>
        <v>27.244555922225867</v>
      </c>
      <c r="AE159" s="57" cm="1">
        <f t="array" ref="AE159">VLOOKUP(B159,'Player Data'!$A1:$AE673,19,FALSE)*$Q159*IFERROR((VLOOKUP(P159,Settings!$E$28:$F$33,2,FALSE)+1),1)</f>
        <v>1.6075665921608262</v>
      </c>
      <c r="AF159" s="57" cm="1">
        <f t="array" ref="AF159">VLOOKUP(B159,'Player Data'!$A1:$AE673,20,FALSE)*$Q159</f>
        <v>0</v>
      </c>
      <c r="AG159" s="57" cm="1">
        <f t="array" ref="AG159">VLOOKUP(B159,'Player Data'!$A1:$AE673,21,FALSE)*$Q159</f>
        <v>0</v>
      </c>
      <c r="AH159" s="59" cm="1">
        <f t="array" ref="AH159">VLOOKUP(B159,'Player Data'!$A1:$AE673,22,FALSE)</f>
        <v>0</v>
      </c>
      <c r="AI159" s="55"/>
      <c r="AJ159" s="57"/>
      <c r="AK159" s="57"/>
      <c r="AL159" s="57"/>
      <c r="AM159" s="57"/>
      <c r="AN159" s="57"/>
      <c r="AO159" s="57"/>
      <c r="AP159" s="57"/>
      <c r="AQ159" s="60"/>
      <c r="AR159" s="61"/>
      <c r="AS159" s="55"/>
    </row>
    <row r="160" spans="1:45" ht="21.25" customHeight="1" x14ac:dyDescent="0.15">
      <c r="A160" s="62">
        <f t="shared" si="2"/>
        <v>159</v>
      </c>
      <c r="B160" s="10" t="s">
        <v>288</v>
      </c>
      <c r="C160" s="47" t="s">
        <v>128</v>
      </c>
      <c r="D160" s="48" t="str" cm="1">
        <f t="array" ref="D160">VLOOKUP(B160,'Player Data'!A1:D673,4,FALSE)</f>
        <v>C</v>
      </c>
      <c r="E160" s="49" cm="1">
        <f t="array" ref="E160">VLOOKUP(B160,'C'!A1:C210,3,FALSE)</f>
        <v>49</v>
      </c>
      <c r="F160" s="56" t="str" cm="1">
        <f t="array" ref="F160">VLOOKUP(B160,'Player Data'!A1:B673,2,FALSE)</f>
        <v>S.J</v>
      </c>
      <c r="G160" s="71" cm="1">
        <f t="array" ref="G160">VLOOKUP(B160,'Player Data'!A1:D673,3,FALSE)</f>
        <v>19</v>
      </c>
      <c r="H160" s="51" cm="1">
        <f t="array" ref="H160">IFERROR(VLOOKUP(B160,ADP!A1:F671,6,FALSE)/1000000,VLOOKUP(B160,ADP!A1:F671,6,FALSE))</f>
        <v>0.97499999999999998</v>
      </c>
      <c r="I160" s="52">
        <f>IF(Settings!$E$15="POINTS",((R160*Q160)*Settings!$B$12)+(S160*Settings!$B$2)+(T160*Settings!$B$3)+(U160*Settings!$B$4)+(V160*Settings!$B$5)+(X160*Settings!$B$9)+(AA160*Settings!$B$6)+(W160*Settings!$B$8)+(AB160*Settings!$B$7)+(AC160*Settings!$B$14)+(AD160*Settings!$B$15)+(AE160*Settings!$B$16)+(AF160*Settings!$B$17)+(AG160*Settings!$B$18)+(Y160*Settings!$B$10)+(Z160*Settings!$B$11),VLOOKUP(B160,'Standard Deviations'!A$1:C$672,3,FALSE))</f>
        <v>311.53167000840961</v>
      </c>
      <c r="J160" s="53" cm="1">
        <f t="array" ref="J160">IF(D160="G",I160/AJ160,I160/Q160)</f>
        <v>4.0458658442650597</v>
      </c>
      <c r="K160" s="52" cm="1">
        <f t="array" ref="K160">IF(Settings!$E$18="C/LW/RW",VLOOKUP(B160,'C'!A1:F210,6,FALSE),VLOOKUP(B160,F!A1:F407,6,FALSE))</f>
        <v>-75.003536384673396</v>
      </c>
      <c r="L160" s="54" cm="1">
        <f t="array" ref="L160">IFERROR(K160/H160,"N/A")</f>
        <v>-76.926703984280408</v>
      </c>
      <c r="M160" s="55">
        <v>138.69999999999999</v>
      </c>
      <c r="N160" s="55" cm="1">
        <f t="array" ref="N160">IFERROR(M160-A160,"N/A")</f>
        <v>-20.300000000000011</v>
      </c>
      <c r="O160" s="55"/>
      <c r="P160" s="56" t="str" cm="1">
        <f t="array" ref="P160">_xlfn.XLOOKUP($B160,ADP!A2:A671,ADP!G2:G671)</f>
        <v>+ +</v>
      </c>
      <c r="Q160" s="57" cm="1">
        <f t="array" ref="Q160">IF(Settings!$E$12="YES",VLOOKUP(B160,'Player Data'!A1:E673,5,FALSE),84)</f>
        <v>77</v>
      </c>
      <c r="R160" s="82" cm="1">
        <f t="array" ref="R160">VLOOKUP(B160,'Player Data'!$A1:$AE673,6,FALSE)</f>
        <v>16.687080003024299</v>
      </c>
      <c r="S160" s="57" cm="1">
        <f t="array" ref="S160">VLOOKUP(B160,'Player Data'!$A1:$AE673,7,FALSE)*$Q160*IFERROR((VLOOKUP(P160,Settings!$E$28:$F$33,2,FALSE)+1),1)</f>
        <v>26.894007904760922</v>
      </c>
      <c r="T160" s="57" cm="1">
        <f t="array" ref="T160">VLOOKUP(B160,'Player Data'!$A1:$AE673,8,FALSE)*$Q160*IFERROR((VLOOKUP(P160,Settings!$E$28:$F$33,2,FALSE)+1),1)</f>
        <v>36.608606497504297</v>
      </c>
      <c r="U160" s="57" cm="1">
        <f t="array" ref="U160">SUM(S160:T160)</f>
        <v>63.502614402265223</v>
      </c>
      <c r="V160" s="57" cm="1">
        <f t="array" ref="V160">VLOOKUP(B160,'Player Data'!$A1:$AE673,10,FALSE)*$Q160*IFERROR(((VLOOKUP(P160,Settings!$E$28:$F$33,2,FALSE)/2)+1),1)</f>
        <v>150.80702702578625</v>
      </c>
      <c r="W160" s="58" cm="1">
        <f t="array" ref="W160">VLOOKUP(B160,'Player Data'!$A1:$AE673,11,FALSE)*$Q160*IFERROR((VLOOKUP(P160,Settings!$E$28:$F$33,2,FALSE)+1),1)</f>
        <v>10.382844145501151</v>
      </c>
      <c r="X160" s="57" cm="1">
        <f t="array" ref="X160">VLOOKUP(B160,'Player Data'!$A1:$AE673,12,FALSE)*$Q160*IFERROR((VLOOKUP(P160,Settings!$E$28:$F$33,2,FALSE)+1),1)</f>
        <v>24.13899462374825</v>
      </c>
      <c r="Y160" s="57" cm="1">
        <f t="array" ref="Y160">VLOOKUP(B160,'Player Data'!$A1:$AE673,13,FALSE)*$Q160</f>
        <v>5.1201253047663186E-3</v>
      </c>
      <c r="Z160" s="57" cm="1">
        <f t="array" ref="Z160">VLOOKUP(B160,'Player Data'!$A1:$AE673,14,FALSE)*$Q160</f>
        <v>8.3470437282858016E-3</v>
      </c>
      <c r="AA160" s="57" cm="1">
        <f t="array" ref="AA160">VLOOKUP(B160,'Player Data'!$A1:$AE673,15,FALSE)*$Q160</f>
        <v>42.945943242488518</v>
      </c>
      <c r="AB160" s="57" cm="1">
        <f t="array" ref="AB160">VLOOKUP(B160,'Player Data'!$A1:$AE673,16,FALSE)*$Q160</f>
        <v>44.060324367285844</v>
      </c>
      <c r="AC160" s="57" cm="1">
        <f t="array" ref="AC160">VLOOKUP(B160,'Player Data'!$A1:$AE673,17,FALSE)*$Q160*IFERROR((VLOOKUP(P160,Settings!$E$28:$F$33,2,FALSE)+1),1)</f>
        <v>-1.7426555704744751</v>
      </c>
      <c r="AD160" s="57" cm="1">
        <f t="array" ref="AD160">VLOOKUP(B160,'Player Data'!$A1:$AE673,18,FALSE)*$Q160</f>
        <v>27.666794558868389</v>
      </c>
      <c r="AE160" s="57" cm="1">
        <f t="array" ref="AE160">VLOOKUP(B160,'Player Data'!$A1:$AE673,19,FALSE)*$Q160*IFERROR((VLOOKUP(P160,Settings!$E$28:$F$33,2,FALSE)+1),1)</f>
        <v>3.7605767131754866</v>
      </c>
      <c r="AF160" s="57" cm="1">
        <f t="array" ref="AF160">VLOOKUP(B160,'Player Data'!$A1:$AE673,20,FALSE)*$Q160</f>
        <v>361.07867741764744</v>
      </c>
      <c r="AG160" s="57" cm="1">
        <f t="array" ref="AG160">VLOOKUP(B160,'Player Data'!$A1:$AE673,21,FALSE)*$Q160</f>
        <v>427.94509916165543</v>
      </c>
      <c r="AH160" s="59" cm="1">
        <f t="array" ref="AH160">VLOOKUP(B160,'Player Data'!$A1:$AE673,22,FALSE)</f>
        <v>0.45762711864406802</v>
      </c>
      <c r="AI160" s="55"/>
      <c r="AJ160" s="57"/>
      <c r="AK160" s="57"/>
      <c r="AL160" s="57"/>
      <c r="AM160" s="57"/>
      <c r="AN160" s="57"/>
      <c r="AO160" s="57"/>
      <c r="AP160" s="57"/>
      <c r="AQ160" s="60"/>
      <c r="AR160" s="61"/>
      <c r="AS160" s="55"/>
    </row>
    <row r="161" spans="1:45" ht="21.25" customHeight="1" x14ac:dyDescent="0.15">
      <c r="A161" s="62">
        <f t="shared" si="2"/>
        <v>160</v>
      </c>
      <c r="B161" s="10" t="s">
        <v>289</v>
      </c>
      <c r="C161" s="47" t="s">
        <v>128</v>
      </c>
      <c r="D161" s="48" t="str" cm="1">
        <f t="array" ref="D161">VLOOKUP(B161,'Player Data'!A1:D673,4,FALSE)</f>
        <v>D</v>
      </c>
      <c r="E161" s="68" cm="1">
        <f t="array" ref="E161">VLOOKUP(B161,D!A1:C204,3,FALSE)</f>
        <v>51</v>
      </c>
      <c r="F161" s="56" t="str" cm="1">
        <f t="array" ref="F161">VLOOKUP(B161,'Player Data'!A1:B673,2,FALSE)</f>
        <v>PHI</v>
      </c>
      <c r="G161" s="11" cm="1">
        <f t="array" ref="G161">VLOOKUP(B161,'Player Data'!A1:D673,3,FALSE)</f>
        <v>30</v>
      </c>
      <c r="H161" s="51" cm="1">
        <f t="array" ref="H161">IFERROR(VLOOKUP(B161,ADP!A1:F671,6,FALSE)/1000000,VLOOKUP(B161,ADP!A1:F671,6,FALSE))</f>
        <v>6.25</v>
      </c>
      <c r="I161" s="52">
        <f>IF(Settings!$E$15="POINTS",((R161*Q161)*Settings!$B$12)+(S161*Settings!$B$2)+(T161*Settings!$B$3)+(U161*Settings!$B$4)+(V161*Settings!$B$5)+(X161*Settings!$B$9)+(AA161*Settings!$B$6)+(W161*Settings!$B$8)+(AB161*Settings!$B$7)+(AC161*Settings!$B$14)+(AD161*Settings!$B$15)+(AE161*Settings!$B$16)+(AF161*Settings!$B$17)+(AG161*Settings!$B$18)+(U161*Settings!$B$13)+(Y161*Settings!$B$10)+(Z161*Settings!$B$11),VLOOKUP(B161,'Standard Deviations'!A$1:C$672,3,FALSE))</f>
        <v>231.29657229995951</v>
      </c>
      <c r="J161" s="53" cm="1">
        <f t="array" ref="J161">IF(D161="G",I161/AJ161,I161/Q161)</f>
        <v>2.7616676791732724</v>
      </c>
      <c r="K161" s="52" cm="1">
        <f t="array" ref="K161">VLOOKUP(B161,D!A1:F204,6,FALSE)</f>
        <v>-75.357295044634554</v>
      </c>
      <c r="L161" s="54" cm="1">
        <f t="array" ref="L161">IFERROR(K161/H161,"N/A")</f>
        <v>-12.057167207141529</v>
      </c>
      <c r="M161" s="55">
        <v>139.9</v>
      </c>
      <c r="N161" s="55" cm="1">
        <f t="array" ref="N161">IFERROR(M161-A161,"N/A")</f>
        <v>-20.099999999999994</v>
      </c>
      <c r="O161" s="55"/>
      <c r="P161" s="56" t="str" cm="1">
        <f t="array" ref="P161">_xlfn.XLOOKUP($B161,ADP!A2:A671,ADP!G2:G671)</f>
        <v xml:space="preserve"> </v>
      </c>
      <c r="Q161" s="57" cm="1">
        <f t="array" ref="Q161">IF(Settings!$E$12="YES",VLOOKUP(B161,'Player Data'!A1:E673,5,FALSE),84)</f>
        <v>83.752499999999998</v>
      </c>
      <c r="R161" s="55" cm="1">
        <f t="array" ref="R161">VLOOKUP(B161,'Player Data'!$A1:$AE673,6,FALSE)</f>
        <v>23.358043512637298</v>
      </c>
      <c r="S161" s="57" cm="1">
        <f t="array" ref="S161">VLOOKUP(B161,'Player Data'!$A1:$AE673,7,FALSE)*$Q161*IFERROR((VLOOKUP(P161,Settings!$E$28:$F$33,2,FALSE)+1),1)</f>
        <v>7.7438445121098356</v>
      </c>
      <c r="T161" s="57" cm="1">
        <f t="array" ref="T161">VLOOKUP(B161,'Player Data'!$A1:$AE673,8,FALSE)*$Q161*IFERROR((VLOOKUP(P161,Settings!$E$28:$F$33,2,FALSE)+1),1)</f>
        <v>24.294868197924714</v>
      </c>
      <c r="U161" s="57" cm="1">
        <f t="array" ref="U161">SUM(S161:T161)</f>
        <v>32.038712710034552</v>
      </c>
      <c r="V161" s="57" cm="1">
        <f t="array" ref="V161">VLOOKUP(B161,'Player Data'!$A1:$AE673,10,FALSE)*$Q161*IFERROR(((VLOOKUP(P161,Settings!$E$28:$F$33,2,FALSE)/2)+1),1)</f>
        <v>109.14984884515923</v>
      </c>
      <c r="W161" s="57" cm="1">
        <f t="array" ref="W161">VLOOKUP(B161,'Player Data'!$A1:$AE673,11,FALSE)*$Q161*IFERROR((VLOOKUP(P161,Settings!$E$28:$F$33,2,FALSE)+1),1)</f>
        <v>0.17155990217910061</v>
      </c>
      <c r="X161" s="57" cm="1">
        <f t="array" ref="X161">VLOOKUP(B161,'Player Data'!$A1:$AE673,12,FALSE)*$Q161*IFERROR((VLOOKUP(P161,Settings!$E$28:$F$33,2,FALSE)+1),1)</f>
        <v>1.3242487869602244</v>
      </c>
      <c r="Y161" s="57" cm="1">
        <f t="array" ref="Y161">VLOOKUP(B161,'Player Data'!$A1:$AE673,13,FALSE)*$Q161</f>
        <v>0.5437215944878524</v>
      </c>
      <c r="Z161" s="57" cm="1">
        <f t="array" ref="Z161">VLOOKUP(B161,'Player Data'!$A1:$AE673,14,FALSE)*$Q161</f>
        <v>2.5344217780747602</v>
      </c>
      <c r="AA161" s="57" cm="1">
        <f t="array" ref="AA161">VLOOKUP(B161,'Player Data'!$A1:$AE673,15,FALSE)*$Q161</f>
        <v>153.49367836448246</v>
      </c>
      <c r="AB161" s="57" cm="1">
        <f t="array" ref="AB161">VLOOKUP(B161,'Player Data'!$A1:$AE673,16,FALSE)*$Q161</f>
        <v>60.198455591058767</v>
      </c>
      <c r="AC161" s="57" cm="1">
        <f t="array" ref="AC161">VLOOKUP(B161,'Player Data'!$A1:$AE673,17,FALSE)*$Q161*IFERROR((VLOOKUP(P161,Settings!$E$28:$F$33,2,FALSE)+1),1)</f>
        <v>1.1861046795121575</v>
      </c>
      <c r="AD161" s="57" cm="1">
        <f t="array" ref="AD161">VLOOKUP(B161,'Player Data'!$A1:$AE673,18,FALSE)*$Q161</f>
        <v>35.277928009719183</v>
      </c>
      <c r="AE161" s="57" cm="1">
        <f t="array" ref="AE161">VLOOKUP(B161,'Player Data'!$A1:$AE673,19,FALSE)*$Q161*IFERROR((VLOOKUP(P161,Settings!$E$28:$F$33,2,FALSE)+1),1)</f>
        <v>1.2237981512784279</v>
      </c>
      <c r="AF161" s="57" cm="1">
        <f t="array" ref="AF161">VLOOKUP(B161,'Player Data'!$A1:$AE673,20,FALSE)*$Q161</f>
        <v>0</v>
      </c>
      <c r="AG161" s="57" cm="1">
        <f t="array" ref="AG161">VLOOKUP(B161,'Player Data'!$A1:$AE673,21,FALSE)*$Q161</f>
        <v>0</v>
      </c>
      <c r="AH161" s="59" cm="1">
        <f t="array" ref="AH161">VLOOKUP(B161,'Player Data'!$A1:$AE673,22,FALSE)</f>
        <v>0</v>
      </c>
      <c r="AI161" s="55"/>
      <c r="AJ161" s="57"/>
      <c r="AK161" s="57"/>
      <c r="AL161" s="57"/>
      <c r="AM161" s="57"/>
      <c r="AN161" s="57"/>
      <c r="AO161" s="57"/>
      <c r="AP161" s="57"/>
      <c r="AQ161" s="60"/>
      <c r="AR161" s="61"/>
      <c r="AS161" s="55"/>
    </row>
    <row r="162" spans="1:45" ht="21.25" customHeight="1" x14ac:dyDescent="0.15">
      <c r="A162" s="62">
        <f t="shared" si="2"/>
        <v>161</v>
      </c>
      <c r="B162" s="10" t="s">
        <v>290</v>
      </c>
      <c r="C162" s="47" t="s">
        <v>147</v>
      </c>
      <c r="D162" s="48" t="str" cm="1">
        <f t="array" ref="D162">VLOOKUP(B162,'Player Data'!A1:D673,4,FALSE)</f>
        <v>D</v>
      </c>
      <c r="E162" s="68" cm="1">
        <f t="array" ref="E162">VLOOKUP(B162,D!A1:C204,3,FALSE)</f>
        <v>52</v>
      </c>
      <c r="F162" s="72" t="str" cm="1">
        <f t="array" ref="F162">VLOOKUP(B162,'Player Data'!A1:B673,2,FALSE)</f>
        <v>DET</v>
      </c>
      <c r="G162" s="71" cm="1">
        <f t="array" ref="G162">VLOOKUP(B162,'Player Data'!A1:D673,3,FALSE)</f>
        <v>23</v>
      </c>
      <c r="H162" s="51" cm="1">
        <f t="array" ref="H162">IFERROR(VLOOKUP(B162,ADP!A1:F671,6,FALSE)/1000000,VLOOKUP(B162,ADP!A1:F671,6,FALSE))</f>
        <v>0</v>
      </c>
      <c r="I162" s="52">
        <f>IF(Settings!$E$15="POINTS",((R162*Q162)*Settings!$B$12)+(S162*Settings!$B$2)+(T162*Settings!$B$3)+(U162*Settings!$B$4)+(V162*Settings!$B$5)+(X162*Settings!$B$9)+(AA162*Settings!$B$6)+(W162*Settings!$B$8)+(AB162*Settings!$B$7)+(AC162*Settings!$B$14)+(AD162*Settings!$B$15)+(AE162*Settings!$B$16)+(AF162*Settings!$B$17)+(AG162*Settings!$B$18)+(U162*Settings!$B$13)+(Y162*Settings!$B$10)+(Z162*Settings!$B$11),VLOOKUP(B162,'Standard Deviations'!A$1:C$672,3,FALSE))</f>
        <v>231.27531901137024</v>
      </c>
      <c r="J162" s="53" cm="1">
        <f t="array" ref="J162">IF(D162="G",I162/AJ162,I162/Q162)</f>
        <v>2.8728068941229767</v>
      </c>
      <c r="K162" s="52" cm="1">
        <f t="array" ref="K162">VLOOKUP(B162,D!A1:F204,6,FALSE)</f>
        <v>-75.378548333223819</v>
      </c>
      <c r="L162" s="80" t="str" cm="1">
        <f t="array" ref="L162">IFERROR(K162/H162,"N/A")</f>
        <v>N/A</v>
      </c>
      <c r="M162" s="55">
        <v>134</v>
      </c>
      <c r="N162" s="55" cm="1">
        <f t="array" ref="N162">IFERROR(M162-A162,"N/A")</f>
        <v>-27</v>
      </c>
      <c r="O162" s="55"/>
      <c r="P162" s="56" t="str" cm="1">
        <f t="array" ref="P162">_xlfn.XLOOKUP($B162,ADP!A2:A671,ADP!G2:G671)</f>
        <v xml:space="preserve"> </v>
      </c>
      <c r="Q162" s="57" cm="1">
        <f t="array" ref="Q162">IF(Settings!$E$12="YES",VLOOKUP(B162,'Player Data'!A1:E673,5,FALSE),84)</f>
        <v>80.504999999999995</v>
      </c>
      <c r="R162" s="55" cm="1">
        <f t="array" ref="R162">VLOOKUP(B162,'Player Data'!$A1:$AE673,6,FALSE)</f>
        <v>22.552208649855999</v>
      </c>
      <c r="S162" s="57" cm="1">
        <f t="array" ref="S162">VLOOKUP(B162,'Player Data'!$A1:$AE673,7,FALSE)*$Q162*IFERROR((VLOOKUP(P162,Settings!$E$28:$F$33,2,FALSE)+1),1)</f>
        <v>9.9606258397605139</v>
      </c>
      <c r="T162" s="57" cm="1">
        <f t="array" ref="T162">VLOOKUP(B162,'Player Data'!$A1:$AE673,8,FALSE)*$Q162*IFERROR((VLOOKUP(P162,Settings!$E$28:$F$33,2,FALSE)+1),1)</f>
        <v>22.779243430400761</v>
      </c>
      <c r="U162" s="57" cm="1">
        <f t="array" ref="U162">SUM(S162:T162)</f>
        <v>32.739869270161279</v>
      </c>
      <c r="V162" s="57" cm="1">
        <f t="array" ref="V162">VLOOKUP(B162,'Player Data'!$A1:$AE673,10,FALSE)*$Q162*IFERROR(((VLOOKUP(P162,Settings!$E$28:$F$33,2,FALSE)/2)+1),1)</f>
        <v>105.47345801396021</v>
      </c>
      <c r="W162" s="57" cm="1">
        <f t="array" ref="W162">VLOOKUP(B162,'Player Data'!$A1:$AE673,11,FALSE)*$Q162*IFERROR((VLOOKUP(P162,Settings!$E$28:$F$33,2,FALSE)+1),1)</f>
        <v>4.567206974515297E-2</v>
      </c>
      <c r="X162" s="57" cm="1">
        <f t="array" ref="X162">VLOOKUP(B162,'Player Data'!$A1:$AE673,12,FALSE)*$Q162*IFERROR((VLOOKUP(P162,Settings!$E$28:$F$33,2,FALSE)+1),1)</f>
        <v>0.57335371268424773</v>
      </c>
      <c r="Y162" s="57" cm="1">
        <f t="array" ref="Y162">VLOOKUP(B162,'Player Data'!$A1:$AE673,13,FALSE)*$Q162</f>
        <v>2.3274174846890802E-2</v>
      </c>
      <c r="Z162" s="57" cm="1">
        <f t="array" ref="Z162">VLOOKUP(B162,'Player Data'!$A1:$AE673,14,FALSE)*$Q162</f>
        <v>1.1097935223406097</v>
      </c>
      <c r="AA162" s="57" cm="1">
        <f t="array" ref="AA162">VLOOKUP(B162,'Player Data'!$A1:$AE673,15,FALSE)*$Q162</f>
        <v>157.27166991776284</v>
      </c>
      <c r="AB162" s="57" cm="1">
        <f t="array" ref="AB162">VLOOKUP(B162,'Player Data'!$A1:$AE673,16,FALSE)*$Q162</f>
        <v>94.490702764081931</v>
      </c>
      <c r="AC162" s="57" cm="1">
        <f t="array" ref="AC162">VLOOKUP(B162,'Player Data'!$A1:$AE673,17,FALSE)*$Q162*IFERROR((VLOOKUP(P162,Settings!$E$28:$F$33,2,FALSE)+1),1)</f>
        <v>4.4889029597318213E-2</v>
      </c>
      <c r="AD162" s="57" cm="1">
        <f t="array" ref="AD162">VLOOKUP(B162,'Player Data'!$A1:$AE673,18,FALSE)*$Q162</f>
        <v>59.597203494568916</v>
      </c>
      <c r="AE162" s="57" cm="1">
        <f t="array" ref="AE162">VLOOKUP(B162,'Player Data'!$A1:$AE673,19,FALSE)*$Q162*IFERROR((VLOOKUP(P162,Settings!$E$28:$F$33,2,FALSE)+1),1)</f>
        <v>1.560908778948624</v>
      </c>
      <c r="AF162" s="57" cm="1">
        <f t="array" ref="AF162">VLOOKUP(B162,'Player Data'!$A1:$AE673,20,FALSE)*$Q162</f>
        <v>0</v>
      </c>
      <c r="AG162" s="57" cm="1">
        <f t="array" ref="AG162">VLOOKUP(B162,'Player Data'!$A1:$AE673,21,FALSE)*$Q162</f>
        <v>0</v>
      </c>
      <c r="AH162" s="59" cm="1">
        <f t="array" ref="AH162">VLOOKUP(B162,'Player Data'!$A1:$AE673,22,FALSE)</f>
        <v>0</v>
      </c>
      <c r="AI162" s="55"/>
      <c r="AJ162" s="57"/>
      <c r="AK162" s="57"/>
      <c r="AL162" s="57"/>
      <c r="AM162" s="57"/>
      <c r="AN162" s="57"/>
      <c r="AO162" s="57"/>
      <c r="AP162" s="57"/>
      <c r="AQ162" s="60"/>
      <c r="AR162" s="61"/>
      <c r="AS162" s="55"/>
    </row>
    <row r="163" spans="1:45" ht="21.25" customHeight="1" x14ac:dyDescent="0.15">
      <c r="A163" s="62">
        <f t="shared" si="2"/>
        <v>162</v>
      </c>
      <c r="B163" s="10" t="s">
        <v>291</v>
      </c>
      <c r="C163" s="47" t="s">
        <v>147</v>
      </c>
      <c r="D163" s="48" t="str" cm="1">
        <f t="array" ref="D163">VLOOKUP(B163,'Player Data'!A1:D673,4,FALSE)</f>
        <v>D</v>
      </c>
      <c r="E163" s="68" cm="1">
        <f t="array" ref="E163">VLOOKUP(B163,D!A1:C204,3,FALSE)</f>
        <v>53</v>
      </c>
      <c r="F163" s="65" t="str" cm="1">
        <f t="array" ref="F163">VLOOKUP(B163,'Player Data'!A1:B673,2,FALSE)</f>
        <v>CAR</v>
      </c>
      <c r="G163" s="71" cm="1">
        <f t="array" ref="G163">VLOOKUP(B163,'Player Data'!A1:D673,3,FALSE)</f>
        <v>24</v>
      </c>
      <c r="H163" s="51" cm="1">
        <f t="array" ref="H163">IFERROR(VLOOKUP(B163,ADP!A1:F671,6,FALSE)/1000000,VLOOKUP(B163,ADP!A1:F671,6,FALSE))</f>
        <v>0</v>
      </c>
      <c r="I163" s="52">
        <f>IF(Settings!$E$15="POINTS",((R163*Q163)*Settings!$B$12)+(S163*Settings!$B$2)+(T163*Settings!$B$3)+(U163*Settings!$B$4)+(V163*Settings!$B$5)+(X163*Settings!$B$9)+(AA163*Settings!$B$6)+(W163*Settings!$B$8)+(AB163*Settings!$B$7)+(AC163*Settings!$B$14)+(AD163*Settings!$B$15)+(AE163*Settings!$B$16)+(AF163*Settings!$B$17)+(AG163*Settings!$B$18)+(U163*Settings!$B$13)+(Y163*Settings!$B$10)+(Z163*Settings!$B$11),VLOOKUP(B163,'Standard Deviations'!A$1:C$672,3,FALSE))</f>
        <v>231.20677357951885</v>
      </c>
      <c r="J163" s="53" cm="1">
        <f t="array" ref="J163">IF(D163="G",I163/AJ163,I163/Q163)</f>
        <v>2.7763414317134743</v>
      </c>
      <c r="K163" s="52" cm="1">
        <f t="array" ref="K163">VLOOKUP(B163,D!A1:F204,6,FALSE)</f>
        <v>-75.447093765075209</v>
      </c>
      <c r="L163" s="80" t="str" cm="1">
        <f t="array" ref="L163">IFERROR(K163/H163,"N/A")</f>
        <v>N/A</v>
      </c>
      <c r="M163" s="85" t="s">
        <v>832</v>
      </c>
      <c r="N163" s="85" t="str" cm="1">
        <f t="array" ref="N163">IFERROR(M163-A163,"N/A")</f>
        <v>N/A</v>
      </c>
      <c r="O163" s="55"/>
      <c r="P163" s="56" t="str" cm="1">
        <f t="array" ref="P163">_xlfn.XLOOKUP($B163,ADP!A2:A671,ADP!G2:G671)</f>
        <v xml:space="preserve"> </v>
      </c>
      <c r="Q163" s="57" cm="1">
        <f t="array" ref="Q163">IF(Settings!$E$12="YES",VLOOKUP(B163,'Player Data'!A1:E673,5,FALSE),84)</f>
        <v>83.277500000000003</v>
      </c>
      <c r="R163" s="82" cm="1">
        <f t="array" ref="R163">VLOOKUP(B163,'Player Data'!$A1:$AE673,6,FALSE)</f>
        <v>19.195055660445298</v>
      </c>
      <c r="S163" s="57" cm="1">
        <f t="array" ref="S163">VLOOKUP(B163,'Player Data'!$A1:$AE673,7,FALSE)*$Q163*IFERROR((VLOOKUP(P163,Settings!$E$28:$F$33,2,FALSE)+1),1)</f>
        <v>10.43111197855797</v>
      </c>
      <c r="T163" s="57" cm="1">
        <f t="array" ref="T163">VLOOKUP(B163,'Player Data'!$A1:$AE673,8,FALSE)*$Q163*IFERROR((VLOOKUP(P163,Settings!$E$28:$F$33,2,FALSE)+1),1)</f>
        <v>24.290468029223085</v>
      </c>
      <c r="U163" s="57" cm="1">
        <f t="array" ref="U163">SUM(S163:T163)</f>
        <v>34.721580007781057</v>
      </c>
      <c r="V163" s="57" cm="1">
        <f t="array" ref="V163">VLOOKUP(B163,'Player Data'!$A1:$AE673,10,FALSE)*$Q163*IFERROR(((VLOOKUP(P163,Settings!$E$28:$F$33,2,FALSE)/2)+1),1)</f>
        <v>130.25081575365297</v>
      </c>
      <c r="W163" s="57" cm="1">
        <f t="array" ref="W163">VLOOKUP(B163,'Player Data'!$A1:$AE673,11,FALSE)*$Q163*IFERROR((VLOOKUP(P163,Settings!$E$28:$F$33,2,FALSE)+1),1)</f>
        <v>3.381123114458032</v>
      </c>
      <c r="X163" s="57" cm="1">
        <f t="array" ref="X163">VLOOKUP(B163,'Player Data'!$A1:$AE673,12,FALSE)*$Q163*IFERROR((VLOOKUP(P163,Settings!$E$28:$F$33,2,FALSE)+1),1)</f>
        <v>9.3960215315141991</v>
      </c>
      <c r="Y163" s="57" cm="1">
        <f t="array" ref="Y163">VLOOKUP(B163,'Player Data'!$A1:$AE673,13,FALSE)*$Q163</f>
        <v>0.55950634783341635</v>
      </c>
      <c r="Z163" s="57" cm="1">
        <f t="array" ref="Z163">VLOOKUP(B163,'Player Data'!$A1:$AE673,14,FALSE)*$Q163</f>
        <v>0.63340586690648371</v>
      </c>
      <c r="AA163" s="57" cm="1">
        <f t="array" ref="AA163">VLOOKUP(B163,'Player Data'!$A1:$AE673,15,FALSE)*$Q163</f>
        <v>103.77439656185702</v>
      </c>
      <c r="AB163" s="57" cm="1">
        <f t="array" ref="AB163">VLOOKUP(B163,'Player Data'!$A1:$AE673,16,FALSE)*$Q163</f>
        <v>124.68993299117274</v>
      </c>
      <c r="AC163" s="57" cm="1">
        <f t="array" ref="AC163">VLOOKUP(B163,'Player Data'!$A1:$AE673,17,FALSE)*$Q163*IFERROR((VLOOKUP(P163,Settings!$E$28:$F$33,2,FALSE)+1),1)</f>
        <v>7.6673387114150904</v>
      </c>
      <c r="AD163" s="57" cm="1">
        <f t="array" ref="AD163">VLOOKUP(B163,'Player Data'!$A1:$AE673,18,FALSE)*$Q163</f>
        <v>36.519496116677864</v>
      </c>
      <c r="AE163" s="57" cm="1">
        <f t="array" ref="AE163">VLOOKUP(B163,'Player Data'!$A1:$AE673,19,FALSE)*$Q163*IFERROR((VLOOKUP(P163,Settings!$E$28:$F$33,2,FALSE)+1),1)</f>
        <v>1.7912907775265785</v>
      </c>
      <c r="AF163" s="57" cm="1">
        <f t="array" ref="AF163">VLOOKUP(B163,'Player Data'!$A1:$AE673,20,FALSE)*$Q163</f>
        <v>0</v>
      </c>
      <c r="AG163" s="57" cm="1">
        <f t="array" ref="AG163">VLOOKUP(B163,'Player Data'!$A1:$AE673,21,FALSE)*$Q163</f>
        <v>0</v>
      </c>
      <c r="AH163" s="59" cm="1">
        <f t="array" ref="AH163">VLOOKUP(B163,'Player Data'!$A1:$AE673,22,FALSE)</f>
        <v>0</v>
      </c>
      <c r="AI163" s="55"/>
      <c r="AJ163" s="57"/>
      <c r="AK163" s="57"/>
      <c r="AL163" s="57"/>
      <c r="AM163" s="57"/>
      <c r="AN163" s="57"/>
      <c r="AO163" s="57"/>
      <c r="AP163" s="57"/>
      <c r="AQ163" s="60"/>
      <c r="AR163" s="61"/>
      <c r="AS163" s="55"/>
    </row>
    <row r="164" spans="1:45" ht="21.25" customHeight="1" x14ac:dyDescent="0.15">
      <c r="A164" s="62">
        <f t="shared" si="2"/>
        <v>163</v>
      </c>
      <c r="B164" s="10" t="s">
        <v>292</v>
      </c>
      <c r="C164" s="47" t="s">
        <v>147</v>
      </c>
      <c r="D164" s="48" t="str" cm="1">
        <f t="array" ref="D164">VLOOKUP(B164,'Player Data'!A1:D673,4,FALSE)</f>
        <v>D</v>
      </c>
      <c r="E164" s="68" cm="1">
        <f t="array" ref="E164">VLOOKUP(B164,D!A1:C204,3,FALSE)</f>
        <v>54</v>
      </c>
      <c r="F164" s="69" t="str" cm="1">
        <f t="array" ref="F164">VLOOKUP(B164,'Player Data'!A1:B673,2,FALSE)</f>
        <v>CBJ</v>
      </c>
      <c r="G164" s="11" cm="1">
        <f t="array" ref="G164">VLOOKUP(B164,'Player Data'!A1:D673,3,FALSE)</f>
        <v>29</v>
      </c>
      <c r="H164" s="51" cm="1">
        <f t="array" ref="H164">IFERROR(VLOOKUP(B164,ADP!A1:F671,6,FALSE)/1000000,VLOOKUP(B164,ADP!A1:F671,6,FALSE))</f>
        <v>8.5</v>
      </c>
      <c r="I164" s="52">
        <f>IF(Settings!$E$15="POINTS",((R164*Q164)*Settings!$B$12)+(S164*Settings!$B$2)+(T164*Settings!$B$3)+(U164*Settings!$B$4)+(V164*Settings!$B$5)+(X164*Settings!$B$9)+(AA164*Settings!$B$6)+(W164*Settings!$B$8)+(AB164*Settings!$B$7)+(AC164*Settings!$B$14)+(AD164*Settings!$B$15)+(AE164*Settings!$B$16)+(AF164*Settings!$B$17)+(AG164*Settings!$B$18)+(U164*Settings!$B$13)+(Y164*Settings!$B$10)+(Z164*Settings!$B$11),VLOOKUP(B164,'Standard Deviations'!A$1:C$672,3,FALSE))</f>
        <v>230.45568844020895</v>
      </c>
      <c r="J164" s="53" cm="1">
        <f t="array" ref="J164">IF(D164="G",I164/AJ164,I164/Q164)</f>
        <v>2.7425406216852188</v>
      </c>
      <c r="K164" s="52" cm="1">
        <f t="array" ref="K164">VLOOKUP(B164,D!A1:F204,6,FALSE)</f>
        <v>-76.198178904385117</v>
      </c>
      <c r="L164" s="54" cm="1">
        <f t="array" ref="L164">IFERROR(K164/H164,"N/A")</f>
        <v>-8.9644916358100133</v>
      </c>
      <c r="M164" s="55">
        <v>144.19999999999999</v>
      </c>
      <c r="N164" s="55" cm="1">
        <f t="array" ref="N164">IFERROR(M164-A164,"N/A")</f>
        <v>-18.800000000000011</v>
      </c>
      <c r="O164" s="55"/>
      <c r="P164" s="56" t="str" cm="1">
        <f t="array" ref="P164">_xlfn.XLOOKUP($B164,ADP!A2:A671,ADP!G2:G671)</f>
        <v xml:space="preserve"> </v>
      </c>
      <c r="Q164" s="57" cm="1">
        <f t="array" ref="Q164">IF(Settings!$E$12="YES",VLOOKUP(B164,'Player Data'!A1:E673,5,FALSE),84)</f>
        <v>84.03</v>
      </c>
      <c r="R164" s="55" cm="1">
        <f t="array" ref="R164">VLOOKUP(B164,'Player Data'!$A1:$AE673,6,FALSE)</f>
        <v>24.3576304782775</v>
      </c>
      <c r="S164" s="57" cm="1">
        <f t="array" ref="S164">VLOOKUP(B164,'Player Data'!$A1:$AE673,7,FALSE)*$Q164*IFERROR((VLOOKUP(P164,Settings!$E$28:$F$33,2,FALSE)+1),1)</f>
        <v>6.1977886972719647</v>
      </c>
      <c r="T164" s="57" cm="1">
        <f t="array" ref="T164">VLOOKUP(B164,'Player Data'!$A1:$AE673,8,FALSE)*$Q164*IFERROR((VLOOKUP(P164,Settings!$E$28:$F$33,2,FALSE)+1),1)</f>
        <v>24.335437524763488</v>
      </c>
      <c r="U164" s="57" cm="1">
        <f t="array" ref="U164">SUM(S164:T164)</f>
        <v>30.533226222035452</v>
      </c>
      <c r="V164" s="57" cm="1">
        <f t="array" ref="V164">VLOOKUP(B164,'Player Data'!$A1:$AE673,10,FALSE)*$Q164*IFERROR(((VLOOKUP(P164,Settings!$E$28:$F$33,2,FALSE)/2)+1),1)</f>
        <v>130.32312336127646</v>
      </c>
      <c r="W164" s="57" cm="1">
        <f t="array" ref="W164">VLOOKUP(B164,'Player Data'!$A1:$AE673,11,FALSE)*$Q164*IFERROR((VLOOKUP(P164,Settings!$E$28:$F$33,2,FALSE)+1),1)</f>
        <v>0.34722300386826799</v>
      </c>
      <c r="X164" s="57" cm="1">
        <f t="array" ref="X164">VLOOKUP(B164,'Player Data'!$A1:$AE673,12,FALSE)*$Q164*IFERROR((VLOOKUP(P164,Settings!$E$28:$F$33,2,FALSE)+1),1)</f>
        <v>2.522874018417617</v>
      </c>
      <c r="Y164" s="57" cm="1">
        <f t="array" ref="Y164">VLOOKUP(B164,'Player Data'!$A1:$AE673,13,FALSE)*$Q164</f>
        <v>0.24399810043786307</v>
      </c>
      <c r="Z164" s="57" cm="1">
        <f t="array" ref="Z164">VLOOKUP(B164,'Player Data'!$A1:$AE673,14,FALSE)*$Q164</f>
        <v>0.89314411176371644</v>
      </c>
      <c r="AA164" s="57" cm="1">
        <f t="array" ref="AA164">VLOOKUP(B164,'Player Data'!$A1:$AE673,15,FALSE)*$Q164</f>
        <v>140.55685992656606</v>
      </c>
      <c r="AB164" s="57" cm="1">
        <f t="array" ref="AB164">VLOOKUP(B164,'Player Data'!$A1:$AE673,16,FALSE)*$Q164</f>
        <v>38.471954833623784</v>
      </c>
      <c r="AC164" s="57" cm="1">
        <f t="array" ref="AC164">VLOOKUP(B164,'Player Data'!$A1:$AE673,17,FALSE)*$Q164*IFERROR((VLOOKUP(P164,Settings!$E$28:$F$33,2,FALSE)+1),1)</f>
        <v>1.7765269696380297</v>
      </c>
      <c r="AD164" s="57" cm="1">
        <f t="array" ref="AD164">VLOOKUP(B164,'Player Data'!$A1:$AE673,18,FALSE)*$Q164</f>
        <v>32.915774487464837</v>
      </c>
      <c r="AE164" s="57" cm="1">
        <f t="array" ref="AE164">VLOOKUP(B164,'Player Data'!$A1:$AE673,19,FALSE)*$Q164*IFERROR((VLOOKUP(P164,Settings!$E$28:$F$33,2,FALSE)+1),1)</f>
        <v>0.99871933505918353</v>
      </c>
      <c r="AF164" s="57" cm="1">
        <f t="array" ref="AF164">VLOOKUP(B164,'Player Data'!$A1:$AE673,20,FALSE)*$Q164</f>
        <v>0</v>
      </c>
      <c r="AG164" s="57" cm="1">
        <f t="array" ref="AG164">VLOOKUP(B164,'Player Data'!$A1:$AE673,21,FALSE)*$Q164</f>
        <v>0</v>
      </c>
      <c r="AH164" s="59" cm="1">
        <f t="array" ref="AH164">VLOOKUP(B164,'Player Data'!$A1:$AE673,22,FALSE)</f>
        <v>0</v>
      </c>
      <c r="AI164" s="55"/>
      <c r="AJ164" s="57"/>
      <c r="AK164" s="57"/>
      <c r="AL164" s="57"/>
      <c r="AM164" s="57"/>
      <c r="AN164" s="57"/>
      <c r="AO164" s="57"/>
      <c r="AP164" s="57"/>
      <c r="AQ164" s="60"/>
      <c r="AR164" s="61"/>
      <c r="AS164" s="55"/>
    </row>
    <row r="165" spans="1:45" ht="21.25" customHeight="1" x14ac:dyDescent="0.15">
      <c r="A165" s="62">
        <f t="shared" si="2"/>
        <v>164</v>
      </c>
      <c r="B165" s="10" t="s">
        <v>293</v>
      </c>
      <c r="C165" s="47" t="s">
        <v>128</v>
      </c>
      <c r="D165" s="48" t="str" cm="1">
        <f t="array" ref="D165">VLOOKUP(B165,'Player Data'!A1:D673,4,FALSE)</f>
        <v>C</v>
      </c>
      <c r="E165" s="49" cm="1">
        <f t="array" ref="E165">VLOOKUP(B165,'C'!A1:C210,3,FALSE)</f>
        <v>51</v>
      </c>
      <c r="F165" s="18" t="str" cm="1">
        <f t="array" ref="F165">VLOOKUP(B165,'Player Data'!A1:B673,2,FALSE)</f>
        <v>OTT</v>
      </c>
      <c r="G165" s="11" cm="1">
        <f t="array" ref="G165">VLOOKUP(B165,'Player Data'!A1:D673,3,FALSE)</f>
        <v>25</v>
      </c>
      <c r="H165" s="51" cm="1">
        <f t="array" ref="H165">IFERROR(VLOOKUP(B165,ADP!A1:F671,6,FALSE)/1000000,VLOOKUP(B165,ADP!A1:F671,6,FALSE))</f>
        <v>7.1</v>
      </c>
      <c r="I165" s="52">
        <f>IF(Settings!$E$15="POINTS",((R165*Q165)*Settings!$B$12)+(S165*Settings!$B$2)+(T165*Settings!$B$3)+(U165*Settings!$B$4)+(V165*Settings!$B$5)+(X165*Settings!$B$9)+(AA165*Settings!$B$6)+(W165*Settings!$B$8)+(AB165*Settings!$B$7)+(AC165*Settings!$B$14)+(AD165*Settings!$B$15)+(AE165*Settings!$B$16)+(AF165*Settings!$B$17)+(AG165*Settings!$B$18)+(Y165*Settings!$B$10)+(Z165*Settings!$B$11),VLOOKUP(B165,'Standard Deviations'!A$1:C$672,3,FALSE))</f>
        <v>310.19204103301007</v>
      </c>
      <c r="J165" s="53" cm="1">
        <f t="array" ref="J165">IF(D165="G",I165/AJ165,I165/Q165)</f>
        <v>3.7046702619492424</v>
      </c>
      <c r="K165" s="52" cm="1">
        <f t="array" ref="K165">IF(Settings!$E$18="C/LW/RW",VLOOKUP(B165,'C'!A1:F210,6,FALSE),VLOOKUP(B165,F!A1:F407,6,FALSE))</f>
        <v>-76.343165360072931</v>
      </c>
      <c r="L165" s="54" cm="1">
        <f t="array" ref="L165">IFERROR(K165/H165,"N/A")</f>
        <v>-10.752558501418724</v>
      </c>
      <c r="M165" s="55">
        <v>135.9</v>
      </c>
      <c r="N165" s="55" cm="1">
        <f t="array" ref="N165">IFERROR(M165-A165,"N/A")</f>
        <v>-28.099999999999994</v>
      </c>
      <c r="O165" s="55"/>
      <c r="P165" s="56" t="str" cm="1">
        <f t="array" ref="P165">_xlfn.XLOOKUP($B165,ADP!A2:A671,ADP!G2:G671)</f>
        <v xml:space="preserve"> </v>
      </c>
      <c r="Q165" s="57" cm="1">
        <f t="array" ref="Q165">IF(Settings!$E$12="YES",VLOOKUP(B165,'Player Data'!A1:E673,5,FALSE),84)</f>
        <v>83.73</v>
      </c>
      <c r="R165" s="55" cm="1">
        <f t="array" ref="R165">VLOOKUP(B165,'Player Data'!$A1:$AE673,6,FALSE)</f>
        <v>16.856069670007599</v>
      </c>
      <c r="S165" s="57" cm="1">
        <f t="array" ref="S165">VLOOKUP(B165,'Player Data'!$A1:$AE673,7,FALSE)*$Q165*IFERROR((VLOOKUP(P165,Settings!$E$28:$F$33,2,FALSE)+1),1)</f>
        <v>23.641907084777696</v>
      </c>
      <c r="T165" s="57" cm="1">
        <f t="array" ref="T165">VLOOKUP(B165,'Player Data'!$A1:$AE673,8,FALSE)*$Q165*IFERROR((VLOOKUP(P165,Settings!$E$28:$F$33,2,FALSE)+1),1)</f>
        <v>33.419992105956474</v>
      </c>
      <c r="U165" s="57" cm="1">
        <f t="array" ref="U165">SUM(S165:T165)</f>
        <v>57.061899190734167</v>
      </c>
      <c r="V165" s="57" cm="1">
        <f t="array" ref="V165">VLOOKUP(B165,'Player Data'!$A1:$AE673,10,FALSE)*$Q165*IFERROR(((VLOOKUP(P165,Settings!$E$28:$F$33,2,FALSE)/2)+1),1)</f>
        <v>201.82028504946786</v>
      </c>
      <c r="W165" s="57" cm="1">
        <f t="array" ref="W165">VLOOKUP(B165,'Player Data'!$A1:$AE673,11,FALSE)*$Q165*IFERROR((VLOOKUP(P165,Settings!$E$28:$F$33,2,FALSE)+1),1)</f>
        <v>9.4617852710437305</v>
      </c>
      <c r="X165" s="79" cm="1">
        <f t="array" ref="X165">VLOOKUP(B165,'Player Data'!$A1:$AE673,12,FALSE)*$Q165*IFERROR((VLOOKUP(P165,Settings!$E$28:$F$33,2,FALSE)+1),1)</f>
        <v>22.212827810281375</v>
      </c>
      <c r="Y165" s="57" cm="1">
        <f t="array" ref="Y165">VLOOKUP(B165,'Player Data'!$A1:$AE673,13,FALSE)*$Q165</f>
        <v>8.3744937943432893E-2</v>
      </c>
      <c r="Z165" s="57" cm="1">
        <f t="array" ref="Z165">VLOOKUP(B165,'Player Data'!$A1:$AE673,14,FALSE)*$Q165</f>
        <v>9.343664273658385E-2</v>
      </c>
      <c r="AA165" s="57" cm="1">
        <f t="array" ref="AA165">VLOOKUP(B165,'Player Data'!$A1:$AE673,15,FALSE)*$Q165</f>
        <v>31.579872966111243</v>
      </c>
      <c r="AB165" s="57" cm="1">
        <f t="array" ref="AB165">VLOOKUP(B165,'Player Data'!$A1:$AE673,16,FALSE)*$Q165</f>
        <v>195.19980127052648</v>
      </c>
      <c r="AC165" s="57" cm="1">
        <f t="array" ref="AC165">VLOOKUP(B165,'Player Data'!$A1:$AE673,17,FALSE)*$Q165*IFERROR((VLOOKUP(P165,Settings!$E$28:$F$33,2,FALSE)+1),1)</f>
        <v>3.1251262877409292</v>
      </c>
      <c r="AD165" s="57" cm="1">
        <f t="array" ref="AD165">VLOOKUP(B165,'Player Data'!$A1:$AE673,18,FALSE)*$Q165</f>
        <v>42.809806192803144</v>
      </c>
      <c r="AE165" s="57" cm="1">
        <f t="array" ref="AE165">VLOOKUP(B165,'Player Data'!$A1:$AE673,19,FALSE)*$Q165*IFERROR((VLOOKUP(P165,Settings!$E$28:$F$33,2,FALSE)+1),1)</f>
        <v>4.1937239156790422</v>
      </c>
      <c r="AF165" s="57" cm="1">
        <f t="array" ref="AF165">VLOOKUP(B165,'Player Data'!$A1:$AE673,20,FALSE)*$Q165</f>
        <v>468.52645482007171</v>
      </c>
      <c r="AG165" s="57" cm="1">
        <f t="array" ref="AG165">VLOOKUP(B165,'Player Data'!$A1:$AE673,21,FALSE)*$Q165</f>
        <v>459.79631418569397</v>
      </c>
      <c r="AH165" s="59" cm="1">
        <f t="array" ref="AH165">VLOOKUP(B165,'Player Data'!$A1:$AE673,22,FALSE)</f>
        <v>0.50470210412038496</v>
      </c>
      <c r="AI165" s="55"/>
      <c r="AJ165" s="57"/>
      <c r="AK165" s="57"/>
      <c r="AL165" s="57"/>
      <c r="AM165" s="57"/>
      <c r="AN165" s="57"/>
      <c r="AO165" s="57"/>
      <c r="AP165" s="57"/>
      <c r="AQ165" s="60"/>
      <c r="AR165" s="61"/>
      <c r="AS165" s="55"/>
    </row>
    <row r="166" spans="1:45" ht="21.25" customHeight="1" x14ac:dyDescent="0.15">
      <c r="A166" s="62">
        <f t="shared" si="2"/>
        <v>165</v>
      </c>
      <c r="B166" s="10" t="s">
        <v>294</v>
      </c>
      <c r="C166" s="47" t="s">
        <v>128</v>
      </c>
      <c r="D166" s="48" t="str" cm="1">
        <f t="array" ref="D166">VLOOKUP(B166,'Player Data'!A1:D673,4,FALSE)</f>
        <v>RW</v>
      </c>
      <c r="E166" s="64" cm="1">
        <f t="array" ref="E166">VLOOKUP(B166,RW!A1:F210,3,FALSE)</f>
        <v>50</v>
      </c>
      <c r="F166" s="56" t="str" cm="1">
        <f t="array" ref="F166">VLOOKUP(B166,'Player Data'!A1:B673,2,FALSE)</f>
        <v>WSH</v>
      </c>
      <c r="G166" s="66" cm="1">
        <f t="array" ref="G166">VLOOKUP(B166,'Player Data'!A1:D673,3,FALSE)</f>
        <v>32</v>
      </c>
      <c r="H166" s="51" cm="1">
        <f t="array" ref="H166">IFERROR(VLOOKUP(B166,ADP!A1:F671,6,FALSE)/1000000,VLOOKUP(B166,ADP!A1:F671,6,FALSE))</f>
        <v>6.5</v>
      </c>
      <c r="I166" s="52">
        <f>IF(Settings!$E$15="POINTS",((R166*Q166)*Settings!$B$12)+(S166*Settings!$B$2)+(T166*Settings!$B$3)+(U166*Settings!$B$4)+(V166*Settings!$B$5)+(X166*Settings!$B$9)+(AA166*Settings!$B$6)+(W166*Settings!$B$8)+(AB166*Settings!$B$7)+(AC166*Settings!$B$14)+(AD166*Settings!$B$15)+(AE166*Settings!$B$16)+(AF166*Settings!$B$17)+(AG166*Settings!$B$18)+(Y166*Settings!$B$10)+(Z166*Settings!$B$11),VLOOKUP(B166,'Standard Deviations'!A$1:C$672,3,FALSE))</f>
        <v>318.12187800701668</v>
      </c>
      <c r="J166" s="53" cm="1">
        <f t="array" ref="J166">IF(D166="G",I166/AJ166,I166/Q166)</f>
        <v>3.9120961417532105</v>
      </c>
      <c r="K166" s="52" cm="1">
        <f t="array" ref="K166">IF(Settings!$E$18="C/LW/RW",VLOOKUP(B166,RW!A1:F210,6,FALSE),VLOOKUP(B166,F!A1:F407,6,FALSE))</f>
        <v>-76.821586686540797</v>
      </c>
      <c r="L166" s="54" cm="1">
        <f t="array" ref="L166">IFERROR(K166/H166,"N/A")</f>
        <v>-11.818705644083199</v>
      </c>
      <c r="M166" s="55">
        <v>126.1</v>
      </c>
      <c r="N166" s="55" cm="1">
        <f t="array" ref="N166">IFERROR(M166-A166,"N/A")</f>
        <v>-38.900000000000006</v>
      </c>
      <c r="O166" s="55"/>
      <c r="P166" s="56" t="str" cm="1">
        <f t="array" ref="P166">_xlfn.XLOOKUP($B166,ADP!A2:A671,ADP!G2:G671)</f>
        <v xml:space="preserve"> </v>
      </c>
      <c r="Q166" s="57" cm="1">
        <f t="array" ref="Q166">IF(Settings!$E$12="YES",VLOOKUP(B166,'Player Data'!A1:E673,5,FALSE),84)</f>
        <v>81.317499999999995</v>
      </c>
      <c r="R166" s="55" cm="1">
        <f t="array" ref="R166">VLOOKUP(B166,'Player Data'!$A1:$AE673,6,FALSE)</f>
        <v>19.287934779598601</v>
      </c>
      <c r="S166" s="57" cm="1">
        <f t="array" ref="S166">VLOOKUP(B166,'Player Data'!$A1:$AE673,7,FALSE)*$Q166*IFERROR((VLOOKUP(P166,Settings!$E$28:$F$33,2,FALSE)+1),1)</f>
        <v>29.174247189901266</v>
      </c>
      <c r="T166" s="57" cm="1">
        <f t="array" ref="T166">VLOOKUP(B166,'Player Data'!$A1:$AE673,8,FALSE)*$Q166*IFERROR((VLOOKUP(P166,Settings!$E$28:$F$33,2,FALSE)+1),1)</f>
        <v>31.501211089972067</v>
      </c>
      <c r="U166" s="57" cm="1">
        <f t="array" ref="U166">SUM(S166:T166)</f>
        <v>60.675458279873332</v>
      </c>
      <c r="V166" s="57" cm="1">
        <f t="array" ref="V166">VLOOKUP(B166,'Player Data'!$A1:$AE673,10,FALSE)*$Q166*IFERROR(((VLOOKUP(P166,Settings!$E$28:$F$33,2,FALSE)/2)+1),1)</f>
        <v>176.39084810403133</v>
      </c>
      <c r="W166" s="57" cm="1">
        <f t="array" ref="W166">VLOOKUP(B166,'Player Data'!$A1:$AE673,11,FALSE)*$Q166*IFERROR((VLOOKUP(P166,Settings!$E$28:$F$33,2,FALSE)+1),1)</f>
        <v>7.8122712507409675</v>
      </c>
      <c r="X166" s="79" cm="1">
        <f t="array" ref="X166">VLOOKUP(B166,'Player Data'!$A1:$AE673,12,FALSE)*$Q166*IFERROR((VLOOKUP(P166,Settings!$E$28:$F$33,2,FALSE)+1),1)</f>
        <v>14.033637161188247</v>
      </c>
      <c r="Y166" s="57" cm="1">
        <f t="array" ref="Y166">VLOOKUP(B166,'Player Data'!$A1:$AE673,13,FALSE)*$Q166</f>
        <v>1.5876492973140248</v>
      </c>
      <c r="Z166" s="57" cm="1">
        <f t="array" ref="Z166">VLOOKUP(B166,'Player Data'!$A1:$AE673,14,FALSE)*$Q166</f>
        <v>2.5905481667689818</v>
      </c>
      <c r="AA166" s="57" cm="1">
        <f t="array" ref="AA166">VLOOKUP(B166,'Player Data'!$A1:$AE673,15,FALSE)*$Q166</f>
        <v>62.551787574847445</v>
      </c>
      <c r="AB166" s="57" cm="1">
        <f t="array" ref="AB166">VLOOKUP(B166,'Player Data'!$A1:$AE673,16,FALSE)*$Q166</f>
        <v>199.06792440943593</v>
      </c>
      <c r="AC166" s="57" cm="1">
        <f t="array" ref="AC166">VLOOKUP(B166,'Player Data'!$A1:$AE673,17,FALSE)*$Q166*IFERROR((VLOOKUP(P166,Settings!$E$28:$F$33,2,FALSE)+1),1)</f>
        <v>6.1998961847160121</v>
      </c>
      <c r="AD166" s="57" cm="1">
        <f t="array" ref="AD166">VLOOKUP(B166,'Player Data'!$A1:$AE673,18,FALSE)*$Q166</f>
        <v>83.431991033168373</v>
      </c>
      <c r="AE166" s="57" cm="1">
        <f t="array" ref="AE166">VLOOKUP(B166,'Player Data'!$A1:$AE673,19,FALSE)*$Q166*IFERROR((VLOOKUP(P166,Settings!$E$28:$F$33,2,FALSE)+1),1)</f>
        <v>4.3694070092394481</v>
      </c>
      <c r="AF166" s="57" cm="1">
        <f t="array" ref="AF166">VLOOKUP(B166,'Player Data'!$A1:$AE673,20,FALSE)*$Q166</f>
        <v>15.477088758152879</v>
      </c>
      <c r="AG166" s="57" cm="1">
        <f t="array" ref="AG166">VLOOKUP(B166,'Player Data'!$A1:$AE673,21,FALSE)*$Q166</f>
        <v>27.314711916656744</v>
      </c>
      <c r="AH166" s="59" cm="1">
        <f t="array" ref="AH166">VLOOKUP(B166,'Player Data'!$A1:$AE673,22,FALSE)</f>
        <v>0.36168351212347699</v>
      </c>
      <c r="AI166" s="55"/>
      <c r="AJ166" s="57"/>
      <c r="AK166" s="57"/>
      <c r="AL166" s="57"/>
      <c r="AM166" s="57"/>
      <c r="AN166" s="57"/>
      <c r="AO166" s="57"/>
      <c r="AP166" s="57"/>
      <c r="AQ166" s="60"/>
      <c r="AR166" s="61"/>
      <c r="AS166" s="55"/>
    </row>
    <row r="167" spans="1:45" ht="21.25" customHeight="1" x14ac:dyDescent="0.15">
      <c r="A167" s="62">
        <f t="shared" si="2"/>
        <v>166</v>
      </c>
      <c r="B167" s="10" t="s">
        <v>295</v>
      </c>
      <c r="C167" s="47" t="s">
        <v>128</v>
      </c>
      <c r="D167" s="48" t="str" cm="1">
        <f t="array" ref="D167">VLOOKUP(B167,'Player Data'!A1:D673,4,FALSE)</f>
        <v>RW</v>
      </c>
      <c r="E167" s="64" cm="1">
        <f t="array" ref="E167">VLOOKUP(B167,RW!A1:F210,3,FALSE)</f>
        <v>51</v>
      </c>
      <c r="F167" s="56" t="str" cm="1">
        <f t="array" ref="F167">VLOOKUP(B167,'Player Data'!A1:B673,2,FALSE)</f>
        <v>PHI</v>
      </c>
      <c r="G167" s="71" cm="1">
        <f t="array" ref="G167">VLOOKUP(B167,'Player Data'!A1:D673,3,FALSE)</f>
        <v>19</v>
      </c>
      <c r="H167" s="51" cm="1">
        <f t="array" ref="H167">IFERROR(VLOOKUP(B167,ADP!A1:F671,6,FALSE)/1000000,VLOOKUP(B167,ADP!A1:F671,6,FALSE))</f>
        <v>0.96666700000000005</v>
      </c>
      <c r="I167" s="52">
        <f>IF(Settings!$E$15="POINTS",((R167*Q167)*Settings!$B$12)+(S167*Settings!$B$2)+(T167*Settings!$B$3)+(U167*Settings!$B$4)+(V167*Settings!$B$5)+(X167*Settings!$B$9)+(AA167*Settings!$B$6)+(W167*Settings!$B$8)+(AB167*Settings!$B$7)+(AC167*Settings!$B$14)+(AD167*Settings!$B$15)+(AE167*Settings!$B$16)+(AF167*Settings!$B$17)+(AG167*Settings!$B$18)+(Y167*Settings!$B$10)+(Z167*Settings!$B$11),VLOOKUP(B167,'Standard Deviations'!A$1:C$672,3,FALSE))</f>
        <v>317.90454739863992</v>
      </c>
      <c r="J167" s="53" cm="1">
        <f t="array" ref="J167">IF(D167="G",I167/AJ167,I167/Q167)</f>
        <v>4.0756993256235887</v>
      </c>
      <c r="K167" s="52" cm="1">
        <f t="array" ref="K167">IF(Settings!$E$18="C/LW/RW",VLOOKUP(B167,RW!A1:F210,6,FALSE),VLOOKUP(B167,F!A1:F407,6,FALSE))</f>
        <v>-77.038917294917553</v>
      </c>
      <c r="L167" s="54" cm="1">
        <f t="array" ref="L167">IFERROR(K167/H167,"N/A")</f>
        <v>-79.695404203223603</v>
      </c>
      <c r="M167" s="55">
        <v>69.099999999999994</v>
      </c>
      <c r="N167" s="55" cm="1">
        <f t="array" ref="N167">IFERROR(M167-A167,"N/A")</f>
        <v>-96.9</v>
      </c>
      <c r="O167" s="55"/>
      <c r="P167" s="56" t="str" cm="1">
        <f t="array" ref="P167">_xlfn.XLOOKUP($B167,ADP!A2:A671,ADP!G2:G671)</f>
        <v>- -</v>
      </c>
      <c r="Q167" s="57" cm="1">
        <f t="array" ref="Q167">IF(Settings!$E$12="YES",VLOOKUP(B167,'Player Data'!A1:E673,5,FALSE),84)</f>
        <v>78</v>
      </c>
      <c r="R167" s="55" cm="1">
        <f t="array" ref="R167">VLOOKUP(B167,'Player Data'!$A1:$AE673,6,FALSE)</f>
        <v>16.899274935919401</v>
      </c>
      <c r="S167" s="57" cm="1">
        <f t="array" ref="S167">VLOOKUP(B167,'Player Data'!$A1:$AE673,7,FALSE)*$Q167*IFERROR((VLOOKUP(P167,Settings!$E$28:$F$33,2,FALSE)+1),1)</f>
        <v>24.946273314235683</v>
      </c>
      <c r="T167" s="57" cm="1">
        <f t="array" ref="T167">VLOOKUP(B167,'Player Data'!$A1:$AE673,8,FALSE)*$Q167*IFERROR((VLOOKUP(P167,Settings!$E$28:$F$33,2,FALSE)+1),1)</f>
        <v>35.494745761959493</v>
      </c>
      <c r="U167" s="57" cm="1">
        <f t="array" ref="U167">SUM(S167:T167)</f>
        <v>60.441019076195175</v>
      </c>
      <c r="V167" s="57" cm="1">
        <f t="array" ref="V167">VLOOKUP(B167,'Player Data'!$A1:$AE673,10,FALSE)*$Q167*IFERROR(((VLOOKUP(P167,Settings!$E$28:$F$33,2,FALSE)/2)+1),1)</f>
        <v>199.96936169028882</v>
      </c>
      <c r="W167" s="57" cm="1">
        <f t="array" ref="W167">VLOOKUP(B167,'Player Data'!$A1:$AE673,11,FALSE)*$Q167*IFERROR((VLOOKUP(P167,Settings!$E$28:$F$33,2,FALSE)+1),1)</f>
        <v>9.2951182425534036</v>
      </c>
      <c r="X167" s="79" cm="1">
        <f t="array" ref="X167">VLOOKUP(B167,'Player Data'!$A1:$AE673,12,FALSE)*$Q167*IFERROR((VLOOKUP(P167,Settings!$E$28:$F$33,2,FALSE)+1),1)</f>
        <v>21.230689187594532</v>
      </c>
      <c r="Y167" s="57" cm="1">
        <f t="array" ref="Y167">VLOOKUP(B167,'Player Data'!$A1:$AE673,13,FALSE)*$Q167</f>
        <v>2.8262155916185309E-2</v>
      </c>
      <c r="Z167" s="57" cm="1">
        <f t="array" ref="Z167">VLOOKUP(B167,'Player Data'!$A1:$AE673,14,FALSE)*$Q167</f>
        <v>4.5995232524653623E-2</v>
      </c>
      <c r="AA167" s="57" cm="1">
        <f t="array" ref="AA167">VLOOKUP(B167,'Player Data'!$A1:$AE673,15,FALSE)*$Q167</f>
        <v>30.640249809581643</v>
      </c>
      <c r="AB167" s="57" cm="1">
        <f t="array" ref="AB167">VLOOKUP(B167,'Player Data'!$A1:$AE673,16,FALSE)*$Q167</f>
        <v>104.54637463528128</v>
      </c>
      <c r="AC167" s="57" cm="1">
        <f t="array" ref="AC167">VLOOKUP(B167,'Player Data'!$A1:$AE673,17,FALSE)*$Q167*IFERROR((VLOOKUP(P167,Settings!$E$28:$F$33,2,FALSE)+1),1)</f>
        <v>0.97535038288649378</v>
      </c>
      <c r="AD167" s="57" cm="1">
        <f t="array" ref="AD167">VLOOKUP(B167,'Player Data'!$A1:$AE673,18,FALSE)*$Q167</f>
        <v>34.535580193542167</v>
      </c>
      <c r="AE167" s="57" cm="1">
        <f t="array" ref="AE167">VLOOKUP(B167,'Player Data'!$A1:$AE673,19,FALSE)*$Q167*IFERROR((VLOOKUP(P167,Settings!$E$28:$F$33,2,FALSE)+1),1)</f>
        <v>3.9423832846212741</v>
      </c>
      <c r="AF167" s="57" cm="1">
        <f t="array" ref="AF167">VLOOKUP(B167,'Player Data'!$A1:$AE673,20,FALSE)*$Q167</f>
        <v>8.5945324705073336</v>
      </c>
      <c r="AG167" s="57" cm="1">
        <f t="array" ref="AG167">VLOOKUP(B167,'Player Data'!$A1:$AE673,21,FALSE)*$Q167</f>
        <v>17.189064941014667</v>
      </c>
      <c r="AH167" s="59" cm="1">
        <f t="array" ref="AH167">VLOOKUP(B167,'Player Data'!$A1:$AE673,22,FALSE)</f>
        <v>0.33333333333333298</v>
      </c>
      <c r="AI167" s="55"/>
      <c r="AJ167" s="57"/>
      <c r="AK167" s="57"/>
      <c r="AL167" s="57"/>
      <c r="AM167" s="57"/>
      <c r="AN167" s="57"/>
      <c r="AO167" s="57"/>
      <c r="AP167" s="57"/>
      <c r="AQ167" s="60"/>
      <c r="AR167" s="61"/>
      <c r="AS167" s="55"/>
    </row>
    <row r="168" spans="1:45" ht="21.25" customHeight="1" x14ac:dyDescent="0.15">
      <c r="A168" s="62">
        <f t="shared" si="2"/>
        <v>167</v>
      </c>
      <c r="B168" s="10" t="s">
        <v>296</v>
      </c>
      <c r="C168" s="47" t="s">
        <v>128</v>
      </c>
      <c r="D168" s="48" t="str" cm="1">
        <f t="array" ref="D168">VLOOKUP(B168,'Player Data'!A1:D673,4,FALSE)</f>
        <v>LW,RW</v>
      </c>
      <c r="E168" s="74" cm="1">
        <f t="array" ref="E168">VLOOKUP(B168,RW!A1:F210,3,FALSE)</f>
        <v>52</v>
      </c>
      <c r="F168" s="18" t="str" cm="1">
        <f t="array" ref="F168">VLOOKUP(B168,'Player Data'!A1:B673,2,FALSE)</f>
        <v>OTT</v>
      </c>
      <c r="G168" s="71" cm="1">
        <f t="array" ref="G168">VLOOKUP(B168,'Player Data'!A1:D673,3,FALSE)</f>
        <v>23</v>
      </c>
      <c r="H168" s="51" cm="1">
        <f t="array" ref="H168">IFERROR(VLOOKUP(B168,ADP!A1:F671,6,FALSE)/1000000,VLOOKUP(B168,ADP!A1:F671,6,FALSE))</f>
        <v>5.6</v>
      </c>
      <c r="I168" s="52">
        <f>IF(Settings!$E$15="POINTS",((R168*Q168)*Settings!$B$12)+(S168*Settings!$B$2)+(T168*Settings!$B$3)+(U168*Settings!$B$4)+(V168*Settings!$B$5)+(X168*Settings!$B$9)+(AA168*Settings!$B$6)+(W168*Settings!$B$8)+(AB168*Settings!$B$7)+(AC168*Settings!$B$14)+(AD168*Settings!$B$15)+(AE168*Settings!$B$16)+(AF168*Settings!$B$17)+(AG168*Settings!$B$18)+(Y168*Settings!$B$10)+(Z168*Settings!$B$11),VLOOKUP(B168,'Standard Deviations'!A$1:C$672,3,FALSE))</f>
        <v>317.50763970741735</v>
      </c>
      <c r="J168" s="53" cm="1">
        <f t="array" ref="J168">IF(D168="G",I168/AJ168,I168/Q168)</f>
        <v>3.8517288655253368</v>
      </c>
      <c r="K168" s="52" cm="1">
        <f t="array" ref="K168">IF(Settings!$E$18="C/LW/RW",VLOOKUP(B168,RW!A1:F210,6,FALSE),VLOOKUP(B168,F!A1:F407,6,FALSE))</f>
        <v>-77.435824986140119</v>
      </c>
      <c r="L168" s="54" cm="1">
        <f t="array" ref="L168">IFERROR(K168/H168,"N/A")</f>
        <v>-13.827825890382165</v>
      </c>
      <c r="M168" s="55">
        <v>142.1</v>
      </c>
      <c r="N168" s="55" cm="1">
        <f t="array" ref="N168">IFERROR(M168-A168,"N/A")</f>
        <v>-24.900000000000006</v>
      </c>
      <c r="O168" s="55"/>
      <c r="P168" s="56" t="str" cm="1">
        <f t="array" ref="P168">_xlfn.XLOOKUP($B168,ADP!A2:A671,ADP!G2:G671)</f>
        <v>+</v>
      </c>
      <c r="Q168" s="57" cm="1">
        <f t="array" ref="Q168">IF(Settings!$E$12="YES",VLOOKUP(B168,'Player Data'!A1:E673,5,FALSE),84)</f>
        <v>82.432500000000005</v>
      </c>
      <c r="R168" s="55" cm="1">
        <f t="array" ref="R168">VLOOKUP(B168,'Player Data'!$A1:$AE673,6,FALSE)</f>
        <v>17.9708644504619</v>
      </c>
      <c r="S168" s="57" cm="1">
        <f t="array" ref="S168">VLOOKUP(B168,'Player Data'!$A1:$AE673,7,FALSE)*$Q168*IFERROR((VLOOKUP(P168,Settings!$E$28:$F$33,2,FALSE)+1),1)</f>
        <v>19.450913287600937</v>
      </c>
      <c r="T168" s="57" cm="1">
        <f t="array" ref="T168">VLOOKUP(B168,'Player Data'!$A1:$AE673,8,FALSE)*$Q168*IFERROR((VLOOKUP(P168,Settings!$E$28:$F$33,2,FALSE)+1),1)</f>
        <v>42.288700525628769</v>
      </c>
      <c r="U168" s="57" cm="1">
        <f t="array" ref="U168">SUM(S168:T168)</f>
        <v>61.73961381322971</v>
      </c>
      <c r="V168" s="57" cm="1">
        <f t="array" ref="V168">VLOOKUP(B168,'Player Data'!$A1:$AE673,10,FALSE)*$Q168*IFERROR(((VLOOKUP(P168,Settings!$E$28:$F$33,2,FALSE)/2)+1),1)</f>
        <v>175.57719846326356</v>
      </c>
      <c r="W168" s="57" cm="1">
        <f t="array" ref="W168">VLOOKUP(B168,'Player Data'!$A1:$AE673,11,FALSE)*$Q168*IFERROR((VLOOKUP(P168,Settings!$E$28:$F$33,2,FALSE)+1),1)</f>
        <v>6.3402982661272578</v>
      </c>
      <c r="X168" s="79" cm="1">
        <f t="array" ref="X168">VLOOKUP(B168,'Player Data'!$A1:$AE673,12,FALSE)*$Q168*IFERROR((VLOOKUP(P168,Settings!$E$28:$F$33,2,FALSE)+1),1)</f>
        <v>19.57465053758623</v>
      </c>
      <c r="Y168" s="57" cm="1">
        <f t="array" ref="Y168">VLOOKUP(B168,'Player Data'!$A1:$AE673,13,FALSE)*$Q168</f>
        <v>0.11598207971118578</v>
      </c>
      <c r="Z168" s="57" cm="1">
        <f t="array" ref="Z168">VLOOKUP(B168,'Player Data'!$A1:$AE673,14,FALSE)*$Q168</f>
        <v>0.35345938146096439</v>
      </c>
      <c r="AA168" s="57" cm="1">
        <f t="array" ref="AA168">VLOOKUP(B168,'Player Data'!$A1:$AE673,15,FALSE)*$Q168</f>
        <v>49.144178234098511</v>
      </c>
      <c r="AB168" s="57" cm="1">
        <f t="array" ref="AB168">VLOOKUP(B168,'Player Data'!$A1:$AE673,16,FALSE)*$Q168</f>
        <v>66.831123208678335</v>
      </c>
      <c r="AC168" s="57" cm="1">
        <f t="array" ref="AC168">VLOOKUP(B168,'Player Data'!$A1:$AE673,17,FALSE)*$Q168*IFERROR((VLOOKUP(P168,Settings!$E$28:$F$33,2,FALSE)+1),1)</f>
        <v>1.1713524213790116</v>
      </c>
      <c r="AD168" s="57" cm="1">
        <f t="array" ref="AD168">VLOOKUP(B168,'Player Data'!$A1:$AE673,18,FALSE)*$Q168</f>
        <v>29.145604736374167</v>
      </c>
      <c r="AE168" s="57" cm="1">
        <f t="array" ref="AE168">VLOOKUP(B168,'Player Data'!$A1:$AE673,19,FALSE)*$Q168*IFERROR((VLOOKUP(P168,Settings!$E$28:$F$33,2,FALSE)+1),1)</f>
        <v>3.4503037315687943</v>
      </c>
      <c r="AF168" s="57" cm="1">
        <f t="array" ref="AF168">VLOOKUP(B168,'Player Data'!$A1:$AE673,20,FALSE)*$Q168</f>
        <v>20.154224642919282</v>
      </c>
      <c r="AG168" s="57" cm="1">
        <f t="array" ref="AG168">VLOOKUP(B168,'Player Data'!$A1:$AE673,21,FALSE)*$Q168</f>
        <v>41.414961483426914</v>
      </c>
      <c r="AH168" s="59" cm="1">
        <f t="array" ref="AH168">VLOOKUP(B168,'Player Data'!$A1:$AE673,22,FALSE)</f>
        <v>0.32734271655890901</v>
      </c>
      <c r="AI168" s="55"/>
      <c r="AJ168" s="57"/>
      <c r="AK168" s="57"/>
      <c r="AL168" s="57"/>
      <c r="AM168" s="57"/>
      <c r="AN168" s="57"/>
      <c r="AO168" s="57"/>
      <c r="AP168" s="57"/>
      <c r="AQ168" s="60"/>
      <c r="AR168" s="61"/>
      <c r="AS168" s="55"/>
    </row>
    <row r="169" spans="1:45" ht="21.25" customHeight="1" x14ac:dyDescent="0.15">
      <c r="A169" s="62">
        <f t="shared" si="2"/>
        <v>168</v>
      </c>
      <c r="B169" s="10" t="s">
        <v>297</v>
      </c>
      <c r="C169" s="47" t="s">
        <v>128</v>
      </c>
      <c r="D169" s="48" t="str" cm="1">
        <f t="array" ref="D169">VLOOKUP(B169,'Player Data'!A1:D673,4,FALSE)</f>
        <v>D</v>
      </c>
      <c r="E169" s="68" cm="1">
        <f t="array" ref="E169">VLOOKUP(B169,D!A1:C204,3,FALSE)</f>
        <v>55</v>
      </c>
      <c r="F169" s="65" t="str" cm="1">
        <f t="array" ref="F169">VLOOKUP(B169,'Player Data'!A1:B673,2,FALSE)</f>
        <v>CAR</v>
      </c>
      <c r="G169" s="11" cm="1">
        <f t="array" ref="G169">VLOOKUP(B169,'Player Data'!A1:D673,3,FALSE)</f>
        <v>26</v>
      </c>
      <c r="H169" s="51" cm="1">
        <f t="array" ref="H169">IFERROR(VLOOKUP(B169,ADP!A1:F671,6,FALSE)/1000000,VLOOKUP(B169,ADP!A1:F671,6,FALSE))</f>
        <v>7.5</v>
      </c>
      <c r="I169" s="52">
        <f>IF(Settings!$E$15="POINTS",((R169*Q169)*Settings!$B$12)+(S169*Settings!$B$2)+(T169*Settings!$B$3)+(U169*Settings!$B$4)+(V169*Settings!$B$5)+(X169*Settings!$B$9)+(AA169*Settings!$B$6)+(W169*Settings!$B$8)+(AB169*Settings!$B$7)+(AC169*Settings!$B$14)+(AD169*Settings!$B$15)+(AE169*Settings!$B$16)+(AF169*Settings!$B$17)+(AG169*Settings!$B$18)+(U169*Settings!$B$13)+(Y169*Settings!$B$10)+(Z169*Settings!$B$11),VLOOKUP(B169,'Standard Deviations'!A$1:C$672,3,FALSE))</f>
        <v>228.92366545856788</v>
      </c>
      <c r="J169" s="53" cm="1">
        <f t="array" ref="J169">IF(D169="G",I169/AJ169,I169/Q169)</f>
        <v>2.8277890860177615</v>
      </c>
      <c r="K169" s="52" cm="1">
        <f t="array" ref="K169">VLOOKUP(B169,D!A1:F204,6,FALSE)</f>
        <v>-77.73020188602618</v>
      </c>
      <c r="L169" s="54" cm="1">
        <f t="array" ref="L169">IFERROR(K169/H169,"N/A")</f>
        <v>-10.364026918136824</v>
      </c>
      <c r="M169" s="55">
        <v>133</v>
      </c>
      <c r="N169" s="55" cm="1">
        <f t="array" ref="N169">IFERROR(M169-A169,"N/A")</f>
        <v>-35</v>
      </c>
      <c r="O169" s="55"/>
      <c r="P169" s="56" t="str" cm="1">
        <f t="array" ref="P169">_xlfn.XLOOKUP($B169,ADP!A2:A671,ADP!G2:G671)</f>
        <v xml:space="preserve"> </v>
      </c>
      <c r="Q169" s="57" cm="1">
        <f t="array" ref="Q169">IF(Settings!$E$12="YES",VLOOKUP(B169,'Player Data'!A1:E673,5,FALSE),84)</f>
        <v>80.954999999999998</v>
      </c>
      <c r="R169" s="55" cm="1">
        <f t="array" ref="R169">VLOOKUP(B169,'Player Data'!$A1:$AE673,6,FALSE)</f>
        <v>22.5729270939194</v>
      </c>
      <c r="S169" s="57" cm="1">
        <f t="array" ref="S169">VLOOKUP(B169,'Player Data'!$A1:$AE673,7,FALSE)*$Q169*IFERROR((VLOOKUP(P169,Settings!$E$28:$F$33,2,FALSE)+1),1)</f>
        <v>8.4887863810868751</v>
      </c>
      <c r="T169" s="57" cm="1">
        <f t="array" ref="T169">VLOOKUP(B169,'Player Data'!$A1:$AE673,8,FALSE)*$Q169*IFERROR((VLOOKUP(P169,Settings!$E$28:$F$33,2,FALSE)+1),1)</f>
        <v>27.129961369228347</v>
      </c>
      <c r="U169" s="57" cm="1">
        <f t="array" ref="U169">SUM(S169:T169)</f>
        <v>35.618747750315222</v>
      </c>
      <c r="V169" s="57" cm="1">
        <f t="array" ref="V169">VLOOKUP(B169,'Player Data'!$A1:$AE673,10,FALSE)*$Q169*IFERROR(((VLOOKUP(P169,Settings!$E$28:$F$33,2,FALSE)/2)+1),1)</f>
        <v>127.96089161178681</v>
      </c>
      <c r="W169" s="57" cm="1">
        <f t="array" ref="W169">VLOOKUP(B169,'Player Data'!$A1:$AE673,11,FALSE)*$Q169*IFERROR((VLOOKUP(P169,Settings!$E$28:$F$33,2,FALSE)+1),1)</f>
        <v>0.57425030182576442</v>
      </c>
      <c r="X169" s="57" cm="1">
        <f t="array" ref="X169">VLOOKUP(B169,'Player Data'!$A1:$AE673,12,FALSE)*$Q169*IFERROR((VLOOKUP(P169,Settings!$E$28:$F$33,2,FALSE)+1),1)</f>
        <v>3.0358194824852687</v>
      </c>
      <c r="Y169" s="57" cm="1">
        <f t="array" ref="Y169">VLOOKUP(B169,'Player Data'!$A1:$AE673,13,FALSE)*$Q169</f>
        <v>0.50330123007631911</v>
      </c>
      <c r="Z169" s="57" cm="1">
        <f t="array" ref="Z169">VLOOKUP(B169,'Player Data'!$A1:$AE673,14,FALSE)*$Q169</f>
        <v>1.2794063763952914</v>
      </c>
      <c r="AA169" s="57" cm="1">
        <f t="array" ref="AA169">VLOOKUP(B169,'Player Data'!$A1:$AE673,15,FALSE)*$Q169</f>
        <v>107.54350108569649</v>
      </c>
      <c r="AB169" s="57" cm="1">
        <f t="array" ref="AB169">VLOOKUP(B169,'Player Data'!$A1:$AE673,16,FALSE)*$Q169</f>
        <v>110.8327226140494</v>
      </c>
      <c r="AC169" s="57" cm="1">
        <f t="array" ref="AC169">VLOOKUP(B169,'Player Data'!$A1:$AE673,17,FALSE)*$Q169*IFERROR((VLOOKUP(P169,Settings!$E$28:$F$33,2,FALSE)+1),1)</f>
        <v>5.2302829750788291</v>
      </c>
      <c r="AD169" s="57" cm="1">
        <f t="array" ref="AD169">VLOOKUP(B169,'Player Data'!$A1:$AE673,18,FALSE)*$Q169</f>
        <v>45.210670475437198</v>
      </c>
      <c r="AE169" s="57" cm="1">
        <f t="array" ref="AE169">VLOOKUP(B169,'Player Data'!$A1:$AE673,19,FALSE)*$Q169*IFERROR((VLOOKUP(P169,Settings!$E$28:$F$33,2,FALSE)+1),1)</f>
        <v>1.4577434110659655</v>
      </c>
      <c r="AF169" s="57" cm="1">
        <f t="array" ref="AF169">VLOOKUP(B169,'Player Data'!$A1:$AE673,20,FALSE)*$Q169</f>
        <v>0</v>
      </c>
      <c r="AG169" s="57" cm="1">
        <f t="array" ref="AG169">VLOOKUP(B169,'Player Data'!$A1:$AE673,21,FALSE)*$Q169</f>
        <v>0.7938483581514344</v>
      </c>
      <c r="AH169" s="59" cm="1">
        <f t="array" ref="AH169">VLOOKUP(B169,'Player Data'!$A1:$AE673,22,FALSE)</f>
        <v>0</v>
      </c>
      <c r="AI169" s="55"/>
      <c r="AJ169" s="57"/>
      <c r="AK169" s="57"/>
      <c r="AL169" s="57"/>
      <c r="AM169" s="57"/>
      <c r="AN169" s="57"/>
      <c r="AO169" s="57"/>
      <c r="AP169" s="57"/>
      <c r="AQ169" s="60"/>
      <c r="AR169" s="61"/>
      <c r="AS169" s="55"/>
    </row>
    <row r="170" spans="1:45" ht="21.25" customHeight="1" x14ac:dyDescent="0.15">
      <c r="A170" s="62">
        <f t="shared" si="2"/>
        <v>169</v>
      </c>
      <c r="B170" s="10" t="s">
        <v>298</v>
      </c>
      <c r="C170" s="76"/>
      <c r="D170" s="48" t="str" cm="1">
        <f t="array" ref="D170">VLOOKUP(B170,'Player Data'!A1:D673,4,FALSE)</f>
        <v>G</v>
      </c>
      <c r="E170" s="77" cm="1">
        <f t="array" ref="E170">VLOOKUP(B170,G!A1:D66,3,FALSE)</f>
        <v>22</v>
      </c>
      <c r="F170" s="70" t="str" cm="1">
        <f t="array" ref="F170">VLOOKUP(B170,'Player Data'!A1:B673,2,FALSE)</f>
        <v>L.A</v>
      </c>
      <c r="G170" s="66" cm="1">
        <f t="array" ref="G170">VLOOKUP(B170,'Player Data'!A1:D673,3,FALSE)</f>
        <v>33</v>
      </c>
      <c r="H170" s="67" cm="1">
        <f t="array" ref="H170">IFERROR(VLOOKUP(B170,ADP!A1:F671,6,FALSE)/1000000,VLOOKUP(B170,ADP!A1:F671,6,FALSE))</f>
        <v>2.25</v>
      </c>
      <c r="I170" s="52">
        <f>IF(Settings!$E$15="POINTS",(AJ170*Settings!$B$29)+(AK170*Settings!$B$21)+(AL170*Settings!$B$22)+(AN170*Settings!$B$24)+(AO170*Settings!$B$25)+(AP170*Settings!$B$27)+(AM170*Settings!$B$23),VLOOKUP(B170,'Standard Deviations'!A$1:C$672,3,FALSE))</f>
        <v>280.569170639839</v>
      </c>
      <c r="J170" s="53" cm="1">
        <f t="array" ref="J170">IF(D170="G",I170/AJ170,I170/Q170)</f>
        <v>6.2348704586630888</v>
      </c>
      <c r="K170" s="52" cm="1">
        <f t="array" ref="K170">VLOOKUP(B170,G!A1:F66,6,FALSE)</f>
        <v>-78.588737290399024</v>
      </c>
      <c r="L170" s="54" cm="1">
        <f t="array" ref="L170">IFERROR(K170/H170,"N/A")</f>
        <v>-34.928327684621792</v>
      </c>
      <c r="M170" s="85" t="s">
        <v>832</v>
      </c>
      <c r="N170" s="85" t="str" cm="1">
        <f t="array" ref="N170">IFERROR(M170-A170,"N/A")</f>
        <v>N/A</v>
      </c>
      <c r="O170" s="55"/>
      <c r="P170" s="56" t="str" cm="1">
        <f t="array" ref="P170">_xlfn.XLOOKUP($B170,ADP!A2:A671,ADP!G2:G671)</f>
        <v xml:space="preserve"> </v>
      </c>
      <c r="Q170" s="57"/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9"/>
      <c r="AI170" s="55"/>
      <c r="AJ170" s="78" cm="1">
        <f t="array" ref="AJ170">VLOOKUP(B170,'Player Data'!$A1:$AE673,24,FALSE)</f>
        <v>45</v>
      </c>
      <c r="AK170" s="57" cm="1">
        <f t="array" ref="AK170">VLOOKUP(B170,'Player Data'!$A1:$AE673,25,FALSE)*$AJ170*IFERROR((VLOOKUP(P170,Settings!$E$28:$F$33,2,FALSE)+1),1)</f>
        <v>22.037338395735478</v>
      </c>
      <c r="AL170" s="57" cm="1">
        <f t="array" ref="AL170">AJ170-AK170-AM170</f>
        <v>17.221996203198394</v>
      </c>
      <c r="AM170" s="57" cm="1">
        <f t="array" ref="AM170">VLOOKUP(B170,'Player Data'!$A1:$AE673,27,FALSE)*$AJ170</f>
        <v>5.7406654010661295</v>
      </c>
      <c r="AN170" s="57" cm="1">
        <f t="array" ref="AN170">VLOOKUP(B170,'Player Data'!$A1:$AE673,28,FALSE)*AJ170</f>
        <v>2.5973319743777519</v>
      </c>
      <c r="AO170" s="57" cm="1">
        <f t="array" ref="AO170">VLOOKUP(B170,'Player Data'!$A1:$AE673,29,FALSE)*$AJ170*IFERROR((VLOOKUP(P170,Settings!$E$28:$F$33,2,FALSE)/4)+1,1)</f>
        <v>1176.7564028954296</v>
      </c>
      <c r="AP170" s="57" cm="1">
        <f t="array" ref="AP170">VLOOKUP(B170,'Player Data'!$A1:$AE673,31,FALSE)*$AJ170*(IFERROR(1-(VLOOKUP(P170,Settings!$E$28:$F$33,2,FALSE)/4),1))</f>
        <v>125.50612598982001</v>
      </c>
      <c r="AQ170" s="60" cm="1">
        <f t="array" ref="AQ170">1-(AP170/(AO170+AP170))</f>
        <v>0.90362455863852997</v>
      </c>
      <c r="AR170" s="61" cm="1">
        <f t="array" ref="AR170">AP170/AJ170</f>
        <v>2.7890250219960002</v>
      </c>
      <c r="AS170" s="55"/>
    </row>
    <row r="171" spans="1:45" ht="21.25" customHeight="1" x14ac:dyDescent="0.15">
      <c r="A171" s="62">
        <f t="shared" si="2"/>
        <v>170</v>
      </c>
      <c r="B171" s="10" t="s">
        <v>299</v>
      </c>
      <c r="C171" s="47" t="s">
        <v>128</v>
      </c>
      <c r="D171" s="48" t="str" cm="1">
        <f t="array" ref="D171">VLOOKUP(B171,'Player Data'!A1:D673,4,FALSE)</f>
        <v>LW,RW</v>
      </c>
      <c r="E171" s="74" cm="1">
        <f t="array" ref="E171">VLOOKUP(B171,RW!A1:F210,3,FALSE)</f>
        <v>53</v>
      </c>
      <c r="F171" s="72" t="str" cm="1">
        <f t="array" ref="F171">VLOOKUP(B171,'Player Data'!A1:B673,2,FALSE)</f>
        <v>BOS</v>
      </c>
      <c r="G171" s="71" cm="1">
        <f t="array" ref="G171">VLOOKUP(B171,'Player Data'!A1:D673,3,FALSE)</f>
        <v>24</v>
      </c>
      <c r="H171" s="51" cm="1">
        <f t="array" ref="H171">IFERROR(VLOOKUP(B171,ADP!A1:F671,6,FALSE)/1000000,VLOOKUP(B171,ADP!A1:F671,6,FALSE))</f>
        <v>7.7</v>
      </c>
      <c r="I171" s="52">
        <f>IF(Settings!$E$15="POINTS",((R171*Q171)*Settings!$B$12)+(S171*Settings!$B$2)+(T171*Settings!$B$3)+(U171*Settings!$B$4)+(V171*Settings!$B$5)+(X171*Settings!$B$9)+(AA171*Settings!$B$6)+(W171*Settings!$B$8)+(AB171*Settings!$B$7)+(AC171*Settings!$B$14)+(AD171*Settings!$B$15)+(AE171*Settings!$B$16)+(AF171*Settings!$B$17)+(AG171*Settings!$B$18)+(Y171*Settings!$B$10)+(Z171*Settings!$B$11),VLOOKUP(B171,'Standard Deviations'!A$1:C$672,3,FALSE))</f>
        <v>315.68046648720946</v>
      </c>
      <c r="J171" s="53" cm="1">
        <f t="array" ref="J171">IF(D171="G",I171/AJ171,I171/Q171)</f>
        <v>3.7877489454625124</v>
      </c>
      <c r="K171" s="52" cm="1">
        <f t="array" ref="K171">IF(Settings!$E$18="C/LW/RW",VLOOKUP(B171,RW!A1:F210,6,FALSE),VLOOKUP(B171,F!A1:F407,6,FALSE))</f>
        <v>-79.262998206348016</v>
      </c>
      <c r="L171" s="54" cm="1">
        <f t="array" ref="L171">IFERROR(K171/H171,"N/A")</f>
        <v>-10.293895870954287</v>
      </c>
      <c r="M171" s="55">
        <v>139.4</v>
      </c>
      <c r="N171" s="55" cm="1">
        <f t="array" ref="N171">IFERROR(M171-A171,"N/A")</f>
        <v>-30.599999999999994</v>
      </c>
      <c r="O171" s="55"/>
      <c r="P171" s="56" t="str" cm="1">
        <f t="array" ref="P171">_xlfn.XLOOKUP($B171,ADP!A2:A671,ADP!G2:G671)</f>
        <v>+</v>
      </c>
      <c r="Q171" s="57" cm="1">
        <f t="array" ref="Q171">IF(Settings!$E$12="YES",VLOOKUP(B171,'Player Data'!A1:E673,5,FALSE),84)</f>
        <v>83.342500000000001</v>
      </c>
      <c r="R171" s="82" cm="1">
        <f t="array" ref="R171">VLOOKUP(B171,'Player Data'!$A1:$AE673,6,FALSE)</f>
        <v>17.7117936922727</v>
      </c>
      <c r="S171" s="57" cm="1">
        <f t="array" ref="S171">VLOOKUP(B171,'Player Data'!$A1:$AE673,7,FALSE)*$Q171*IFERROR((VLOOKUP(P171,Settings!$E$28:$F$33,2,FALSE)+1),1)</f>
        <v>29.746861064118338</v>
      </c>
      <c r="T171" s="57" cm="1">
        <f t="array" ref="T171">VLOOKUP(B171,'Player Data'!$A1:$AE673,8,FALSE)*$Q171*IFERROR((VLOOKUP(P171,Settings!$E$28:$F$33,2,FALSE)+1),1)</f>
        <v>34.306717159031045</v>
      </c>
      <c r="U171" s="57" cm="1">
        <f t="array" ref="U171">SUM(S171:T171)</f>
        <v>64.053578223149387</v>
      </c>
      <c r="V171" s="57" cm="1">
        <f t="array" ref="V171">VLOOKUP(B171,'Player Data'!$A1:$AE673,10,FALSE)*$Q171*IFERROR(((VLOOKUP(P171,Settings!$E$28:$F$33,2,FALSE)/2)+1),1)</f>
        <v>194.25473911932042</v>
      </c>
      <c r="W171" s="57" cm="1">
        <f t="array" ref="W171">VLOOKUP(B171,'Player Data'!$A1:$AE673,11,FALSE)*$Q171*IFERROR((VLOOKUP(P171,Settings!$E$28:$F$33,2,FALSE)+1),1)</f>
        <v>5.8708645983473291</v>
      </c>
      <c r="X171" s="79" cm="1">
        <f t="array" ref="X171">VLOOKUP(B171,'Player Data'!$A1:$AE673,12,FALSE)*$Q171*IFERROR((VLOOKUP(P171,Settings!$E$28:$F$33,2,FALSE)+1),1)</f>
        <v>13.946101763294067</v>
      </c>
      <c r="Y171" s="57" cm="1">
        <f t="array" ref="Y171">VLOOKUP(B171,'Player Data'!$A1:$AE673,13,FALSE)*$Q171</f>
        <v>0.29207328315009684</v>
      </c>
      <c r="Z171" s="57" cm="1">
        <f t="array" ref="Z171">VLOOKUP(B171,'Player Data'!$A1:$AE673,14,FALSE)*$Q171</f>
        <v>0.47891190182954213</v>
      </c>
      <c r="AA171" s="57" cm="1">
        <f t="array" ref="AA171">VLOOKUP(B171,'Player Data'!$A1:$AE673,15,FALSE)*$Q171</f>
        <v>23.934697185955059</v>
      </c>
      <c r="AB171" s="57" cm="1">
        <f t="array" ref="AB171">VLOOKUP(B171,'Player Data'!$A1:$AE673,16,FALSE)*$Q171</f>
        <v>30.506376953506159</v>
      </c>
      <c r="AC171" s="57" cm="1">
        <f t="array" ref="AC171">VLOOKUP(B171,'Player Data'!$A1:$AE673,17,FALSE)*$Q171*IFERROR((VLOOKUP(P171,Settings!$E$28:$F$33,2,FALSE)+1),1)</f>
        <v>-0.35384698353272259</v>
      </c>
      <c r="AD171" s="57" cm="1">
        <f t="array" ref="AD171">VLOOKUP(B171,'Player Data'!$A1:$AE673,18,FALSE)*$Q171</f>
        <v>28.456538372307961</v>
      </c>
      <c r="AE171" s="57" cm="1">
        <f t="array" ref="AE171">VLOOKUP(B171,'Player Data'!$A1:$AE673,19,FALSE)*$Q171*IFERROR((VLOOKUP(P171,Settings!$E$28:$F$33,2,FALSE)+1),1)</f>
        <v>4.0045724264590525</v>
      </c>
      <c r="AF171" s="57" cm="1">
        <f t="array" ref="AF171">VLOOKUP(B171,'Player Data'!$A1:$AE673,20,FALSE)*$Q171</f>
        <v>5.6220958336191797</v>
      </c>
      <c r="AG171" s="57" cm="1">
        <f t="array" ref="AG171">VLOOKUP(B171,'Player Data'!$A1:$AE673,21,FALSE)*$Q171</f>
        <v>17.638604892977</v>
      </c>
      <c r="AH171" s="59" cm="1">
        <f t="array" ref="AH171">VLOOKUP(B171,'Player Data'!$A1:$AE673,22,FALSE)</f>
        <v>0.24169933226435</v>
      </c>
      <c r="AI171" s="55"/>
      <c r="AJ171" s="57"/>
      <c r="AK171" s="57"/>
      <c r="AL171" s="57"/>
      <c r="AM171" s="57"/>
      <c r="AN171" s="57"/>
      <c r="AO171" s="57"/>
      <c r="AP171" s="57"/>
      <c r="AQ171" s="60"/>
      <c r="AR171" s="61"/>
      <c r="AS171" s="55"/>
    </row>
    <row r="172" spans="1:45" ht="21.25" customHeight="1" x14ac:dyDescent="0.15">
      <c r="A172" s="62">
        <f t="shared" si="2"/>
        <v>171</v>
      </c>
      <c r="B172" s="10" t="s">
        <v>300</v>
      </c>
      <c r="C172" s="47" t="s">
        <v>147</v>
      </c>
      <c r="D172" s="48" t="str" cm="1">
        <f t="array" ref="D172">VLOOKUP(B172,'Player Data'!A1:D673,4,FALSE)</f>
        <v>LW</v>
      </c>
      <c r="E172" s="75" cm="1">
        <f t="array" ref="E172">VLOOKUP(B172,LW!A1:C210,3,FALSE)</f>
        <v>42</v>
      </c>
      <c r="F172" s="69" t="str" cm="1">
        <f t="array" ref="F172">VLOOKUP(B172,'Player Data'!A1:B673,2,FALSE)</f>
        <v>TOR</v>
      </c>
      <c r="G172" s="71" cm="1">
        <f t="array" ref="G172">VLOOKUP(B172,'Player Data'!A1:D673,3,FALSE)</f>
        <v>18</v>
      </c>
      <c r="H172" s="51" cm="1">
        <f t="array" ref="H172">IFERROR(VLOOKUP(B172,ADP!A1:F671,6,FALSE)/1000000,VLOOKUP(B172,ADP!A1:F671,6,FALSE))</f>
        <v>1.075</v>
      </c>
      <c r="I172" s="52">
        <f>IF(Settings!$E$15="POINTS",((R172*Q172)*Settings!$B$12)+(S172*Settings!$B$2)+(T172*Settings!$B$3)+(U172*Settings!$B$4)+(V172*Settings!$B$5)+(X172*Settings!$B$9)+(AA172*Settings!$B$6)+(W172*Settings!$B$8)+(AB172*Settings!$B$7)+(AC172*Settings!$B$14)+(AD172*Settings!$B$15)+(AE172*Settings!$B$16)+(AF172*Settings!$B$17)+(AG172*Settings!$B$18)+(Y172*Settings!$B$10)+(Z172*Settings!$B$11),VLOOKUP(B172,'Standard Deviations'!A$1:C$672,3,FALSE))</f>
        <v>317.42328549235407</v>
      </c>
      <c r="J172" s="53" cm="1">
        <f t="array" ref="J172">IF(D172="G",I172/AJ172,I172/Q172)</f>
        <v>3.9677910686544258</v>
      </c>
      <c r="K172" s="52" cm="1">
        <f t="array" ref="K172">IF(Settings!$E$18="C/LW/RW",VLOOKUP(B172,LW!A1:F210,6,FALSE),VLOOKUP(B172,F!A1:F407,6,FALSE))</f>
        <v>-81.889707821366017</v>
      </c>
      <c r="L172" s="54" cm="1">
        <f t="array" ref="L172">IFERROR(K172/H172,"N/A")</f>
        <v>-76.176472391968389</v>
      </c>
      <c r="M172" s="55">
        <v>93.6</v>
      </c>
      <c r="N172" s="55" cm="1">
        <f t="array" ref="N172">IFERROR(M172-A172,"N/A")</f>
        <v>-77.400000000000006</v>
      </c>
      <c r="O172" s="55"/>
      <c r="P172" s="56" t="str" cm="1">
        <f t="array" ref="P172">_xlfn.XLOOKUP($B172,ADP!A2:A671,ADP!G2:G671)</f>
        <v>- -</v>
      </c>
      <c r="Q172" s="57" cm="1">
        <f t="array" ref="Q172">IF(Settings!$E$12="YES",VLOOKUP(B172,'Player Data'!A1:E673,5,FALSE),84)</f>
        <v>80</v>
      </c>
      <c r="R172" s="55" cm="1">
        <f t="array" ref="R172">VLOOKUP(B172,'Player Data'!$A1:$AE673,6,FALSE)</f>
        <v>17</v>
      </c>
      <c r="S172" s="57" cm="1">
        <f t="array" ref="S172">VLOOKUP(B172,'Player Data'!$A1:$AE673,7,FALSE)*$Q172*IFERROR((VLOOKUP(P172,Settings!$E$28:$F$33,2,FALSE)+1),1)</f>
        <v>22.66175178518537</v>
      </c>
      <c r="T172" s="57" cm="1">
        <f t="array" ref="T172">VLOOKUP(B172,'Player Data'!$A1:$AE673,8,FALSE)*$Q172*IFERROR((VLOOKUP(P172,Settings!$E$28:$F$33,2,FALSE)+1),1)</f>
        <v>42.191846488291318</v>
      </c>
      <c r="U172" s="57" cm="1">
        <f t="array" ref="U172">SUM(S172:T172)</f>
        <v>64.853598273476692</v>
      </c>
      <c r="V172" s="57" cm="1">
        <f t="array" ref="V172">VLOOKUP(B172,'Player Data'!$A1:$AE673,10,FALSE)*$Q172*IFERROR(((VLOOKUP(P172,Settings!$E$28:$F$33,2,FALSE)/2)+1),1)</f>
        <v>170.81771248116431</v>
      </c>
      <c r="W172" s="57" cm="1">
        <f t="array" ref="W172">VLOOKUP(B172,'Player Data'!$A1:$AE673,11,FALSE)*$Q172*IFERROR((VLOOKUP(P172,Settings!$E$28:$F$33,2,FALSE)+1),1)</f>
        <v>6.9169885078285516</v>
      </c>
      <c r="X172" s="57" cm="1">
        <f t="array" ref="X172">VLOOKUP(B172,'Player Data'!$A1:$AE673,12,FALSE)*$Q172*IFERROR((VLOOKUP(P172,Settings!$E$28:$F$33,2,FALSE)+1),1)</f>
        <v>19.795097845976038</v>
      </c>
      <c r="Y172" s="57" cm="1">
        <f t="array" ref="Y172">VLOOKUP(B172,'Player Data'!$A1:$AE673,13,FALSE)*$Q172</f>
        <v>0</v>
      </c>
      <c r="Z172" s="57" cm="1">
        <f t="array" ref="Z172">VLOOKUP(B172,'Player Data'!$A1:$AE673,14,FALSE)*$Q172</f>
        <v>0</v>
      </c>
      <c r="AA172" s="57" cm="1">
        <f t="array" ref="AA172">VLOOKUP(B172,'Player Data'!$A1:$AE673,15,FALSE)*$Q172</f>
        <v>35.317073170731682</v>
      </c>
      <c r="AB172" s="57" cm="1">
        <f t="array" ref="AB172">VLOOKUP(B172,'Player Data'!$A1:$AE673,16,FALSE)*$Q172</f>
        <v>94.647392261380801</v>
      </c>
      <c r="AC172" s="57" cm="1">
        <f t="array" ref="AC172">VLOOKUP(B172,'Player Data'!$A1:$AE673,17,FALSE)*$Q172*IFERROR((VLOOKUP(P172,Settings!$E$28:$F$33,2,FALSE)+1),1)</f>
        <v>0.2897560975609757</v>
      </c>
      <c r="AD172" s="57" cm="1">
        <f t="array" ref="AD172">VLOOKUP(B172,'Player Data'!$A1:$AE673,18,FALSE)*$Q172</f>
        <v>32.325351870680322</v>
      </c>
      <c r="AE172" s="57" cm="1">
        <f t="array" ref="AE172">VLOOKUP(B172,'Player Data'!$A1:$AE673,19,FALSE)*$Q172*IFERROR((VLOOKUP(P172,Settings!$E$28:$F$33,2,FALSE)+1),1)</f>
        <v>3.094705129983192</v>
      </c>
      <c r="AF172" s="57" cm="1">
        <f t="array" ref="AF172">VLOOKUP(B172,'Player Data'!$A1:$AE673,20,FALSE)*$Q172</f>
        <v>0</v>
      </c>
      <c r="AG172" s="57" cm="1">
        <f t="array" ref="AG172">VLOOKUP(B172,'Player Data'!$A1:$AE673,21,FALSE)*$Q172</f>
        <v>0</v>
      </c>
      <c r="AH172" s="59" cm="1">
        <f t="array" ref="AH172">VLOOKUP(B172,'Player Data'!$A1:$AE673,22,FALSE)</f>
        <v>0.4</v>
      </c>
      <c r="AI172" s="55"/>
      <c r="AJ172" s="57"/>
      <c r="AK172" s="57"/>
      <c r="AL172" s="57"/>
      <c r="AM172" s="57"/>
      <c r="AN172" s="57"/>
      <c r="AO172" s="57"/>
      <c r="AP172" s="57"/>
      <c r="AQ172" s="60"/>
      <c r="AR172" s="61"/>
      <c r="AS172" s="55"/>
    </row>
    <row r="173" spans="1:45" ht="21.25" customHeight="1" x14ac:dyDescent="0.15">
      <c r="A173" s="62">
        <f t="shared" si="2"/>
        <v>172</v>
      </c>
      <c r="B173" s="10" t="s">
        <v>301</v>
      </c>
      <c r="C173" s="47" t="s">
        <v>128</v>
      </c>
      <c r="D173" s="48" t="str" cm="1">
        <f t="array" ref="D173">VLOOKUP(B173,'Player Data'!A1:D673,4,FALSE)</f>
        <v>C,LW</v>
      </c>
      <c r="E173" s="74" cm="1">
        <f t="array" ref="E173">VLOOKUP(B173,LW!A1:C210,3,FALSE)</f>
        <v>43</v>
      </c>
      <c r="F173" s="50" t="str" cm="1">
        <f t="array" ref="F173">VLOOKUP(B173,'Player Data'!A1:B673,2,FALSE)</f>
        <v>COL</v>
      </c>
      <c r="G173" s="66" cm="1">
        <f t="array" ref="G173">VLOOKUP(B173,'Player Data'!A1:D673,3,FALSE)</f>
        <v>35</v>
      </c>
      <c r="H173" s="51" cm="1">
        <f t="array" ref="H173">IFERROR(VLOOKUP(B173,ADP!A1:F671,6,FALSE)/1000000,VLOOKUP(B173,ADP!A1:F671,6,FALSE))</f>
        <v>5.6</v>
      </c>
      <c r="I173" s="52">
        <f>IF(Settings!$E$15="POINTS",((R173*Q173)*Settings!$B$12)+(S173*Settings!$B$2)+(T173*Settings!$B$3)+(U173*Settings!$B$4)+(V173*Settings!$B$5)+(X173*Settings!$B$9)+(AA173*Settings!$B$6)+(W173*Settings!$B$8)+(AB173*Settings!$B$7)+(AC173*Settings!$B$14)+(AD173*Settings!$B$15)+(AE173*Settings!$B$16)+(AF173*Settings!$B$17)+(AG173*Settings!$B$18)+(Y173*Settings!$B$10)+(Z173*Settings!$B$11),VLOOKUP(B173,'Standard Deviations'!A$1:C$672,3,FALSE))</f>
        <v>316.74830561317731</v>
      </c>
      <c r="J173" s="53" cm="1">
        <f t="array" ref="J173">IF(D173="G",I173/AJ173,I173/Q173)</f>
        <v>3.8097038892645436</v>
      </c>
      <c r="K173" s="52" cm="1">
        <f t="array" ref="K173">IF(Settings!$E$18="C/LW/RW",VLOOKUP(B173,LW!A1:F210,6,FALSE),VLOOKUP(B173,F!A1:F407,6,FALSE))</f>
        <v>-82.564687700542777</v>
      </c>
      <c r="L173" s="54" cm="1">
        <f t="array" ref="L173">IFERROR(K173/H173,"N/A")</f>
        <v>-14.743694232239783</v>
      </c>
      <c r="M173" s="55">
        <v>145.9</v>
      </c>
      <c r="N173" s="55" cm="1">
        <f t="array" ref="N173">IFERROR(M173-A173,"N/A")</f>
        <v>-26.099999999999994</v>
      </c>
      <c r="O173" s="55"/>
      <c r="P173" s="56" t="str" cm="1">
        <f t="array" ref="P173">_xlfn.XLOOKUP($B173,ADP!A2:A671,ADP!G2:G671)</f>
        <v xml:space="preserve"> </v>
      </c>
      <c r="Q173" s="57" cm="1">
        <f t="array" ref="Q173">IF(Settings!$E$12="YES",VLOOKUP(B173,'Player Data'!A1:E673,5,FALSE),84)</f>
        <v>83.142499999999998</v>
      </c>
      <c r="R173" s="84" cm="1">
        <f t="array" ref="R173">VLOOKUP(B173,'Player Data'!$A1:$AE673,6,FALSE)</f>
        <v>17.421970831389601</v>
      </c>
      <c r="S173" s="57" cm="1">
        <f t="array" ref="S173">VLOOKUP(B173,'Player Data'!$A1:$AE673,7,FALSE)*$Q173*IFERROR((VLOOKUP(P173,Settings!$E$28:$F$33,2,FALSE)+1),1)</f>
        <v>22.014558598295512</v>
      </c>
      <c r="T173" s="57" cm="1">
        <f t="array" ref="T173">VLOOKUP(B173,'Player Data'!$A1:$AE673,8,FALSE)*$Q173*IFERROR((VLOOKUP(P173,Settings!$E$28:$F$33,2,FALSE)+1),1)</f>
        <v>33.458383804028337</v>
      </c>
      <c r="U173" s="57" cm="1">
        <f t="array" ref="U173">SUM(S173:T173)</f>
        <v>55.472942402323852</v>
      </c>
      <c r="V173" s="57" cm="1">
        <f t="array" ref="V173">VLOOKUP(B173,'Player Data'!$A1:$AE673,10,FALSE)*$Q173*IFERROR(((VLOOKUP(P173,Settings!$E$28:$F$33,2,FALSE)/2)+1),1)</f>
        <v>225.48317509258021</v>
      </c>
      <c r="W173" s="58" cm="1">
        <f t="array" ref="W173">VLOOKUP(B173,'Player Data'!$A1:$AE673,11,FALSE)*$Q173*IFERROR((VLOOKUP(P173,Settings!$E$28:$F$33,2,FALSE)+1),1)</f>
        <v>7.7857056790714925</v>
      </c>
      <c r="X173" s="57" cm="1">
        <f t="array" ref="X173">VLOOKUP(B173,'Player Data'!$A1:$AE673,12,FALSE)*$Q173*IFERROR((VLOOKUP(P173,Settings!$E$28:$F$33,2,FALSE)+1),1)</f>
        <v>22.761084059905659</v>
      </c>
      <c r="Y173" s="57" cm="1">
        <f t="array" ref="Y173">VLOOKUP(B173,'Player Data'!$A1:$AE673,13,FALSE)*$Q173</f>
        <v>2.0121911549997529E-2</v>
      </c>
      <c r="Z173" s="57" cm="1">
        <f t="array" ref="Z173">VLOOKUP(B173,'Player Data'!$A1:$AE673,14,FALSE)*$Q173</f>
        <v>3.3631954278090452E-2</v>
      </c>
      <c r="AA173" s="57" cm="1">
        <f t="array" ref="AA173">VLOOKUP(B173,'Player Data'!$A1:$AE673,15,FALSE)*$Q173</f>
        <v>29.586349691463887</v>
      </c>
      <c r="AB173" s="57" cm="1">
        <f t="array" ref="AB173">VLOOKUP(B173,'Player Data'!$A1:$AE673,16,FALSE)*$Q173</f>
        <v>53.0490495749114</v>
      </c>
      <c r="AC173" s="57" cm="1">
        <f t="array" ref="AC173">VLOOKUP(B173,'Player Data'!$A1:$AE673,17,FALSE)*$Q173*IFERROR((VLOOKUP(P173,Settings!$E$28:$F$33,2,FALSE)+1),1)</f>
        <v>5.7405771564306063</v>
      </c>
      <c r="AD173" s="57" cm="1">
        <f t="array" ref="AD173">VLOOKUP(B173,'Player Data'!$A1:$AE673,18,FALSE)*$Q173</f>
        <v>38.004540455368698</v>
      </c>
      <c r="AE173" s="57" cm="1">
        <f t="array" ref="AE173">VLOOKUP(B173,'Player Data'!$A1:$AE673,19,FALSE)*$Q173*IFERROR((VLOOKUP(P173,Settings!$E$28:$F$33,2,FALSE)+1),1)</f>
        <v>3.973346290472286</v>
      </c>
      <c r="AF173" s="57" cm="1">
        <f t="array" ref="AF173">VLOOKUP(B173,'Player Data'!$A1:$AE673,20,FALSE)*$Q173</f>
        <v>500.33210179984127</v>
      </c>
      <c r="AG173" s="57" cm="1">
        <f t="array" ref="AG173">VLOOKUP(B173,'Player Data'!$A1:$AE673,21,FALSE)*$Q173</f>
        <v>559.91832521408071</v>
      </c>
      <c r="AH173" s="59" cm="1">
        <f t="array" ref="AH173">VLOOKUP(B173,'Player Data'!$A1:$AE673,22,FALSE)</f>
        <v>0.47189992953737497</v>
      </c>
      <c r="AI173" s="55"/>
      <c r="AJ173" s="57"/>
      <c r="AK173" s="57"/>
      <c r="AL173" s="57"/>
      <c r="AM173" s="57"/>
      <c r="AN173" s="57"/>
      <c r="AO173" s="57"/>
      <c r="AP173" s="57"/>
      <c r="AQ173" s="60"/>
      <c r="AR173" s="61"/>
      <c r="AS173" s="55"/>
    </row>
    <row r="174" spans="1:45" ht="21.25" customHeight="1" x14ac:dyDescent="0.15">
      <c r="A174" s="62">
        <f t="shared" si="2"/>
        <v>173</v>
      </c>
      <c r="B174" s="10" t="s">
        <v>302</v>
      </c>
      <c r="C174" s="47" t="s">
        <v>147</v>
      </c>
      <c r="D174" s="48" t="str" cm="1">
        <f t="array" ref="D174">VLOOKUP(B174,'Player Data'!A1:D673,4,FALSE)</f>
        <v>D</v>
      </c>
      <c r="E174" s="68" cm="1">
        <f t="array" ref="E174">VLOOKUP(B174,D!A1:C204,3,FALSE)</f>
        <v>56</v>
      </c>
      <c r="F174" s="56" t="str" cm="1">
        <f t="array" ref="F174">VLOOKUP(B174,'Player Data'!A1:B673,2,FALSE)</f>
        <v>S.J</v>
      </c>
      <c r="G174" s="66" cm="1">
        <f t="array" ref="G174">VLOOKUP(B174,'Player Data'!A1:D673,3,FALSE)</f>
        <v>32</v>
      </c>
      <c r="H174" s="51" cm="1">
        <f t="array" ref="H174">IFERROR(VLOOKUP(B174,ADP!A1:F671,6,FALSE)/1000000,VLOOKUP(B174,ADP!A1:F671,6,FALSE))</f>
        <v>8.25</v>
      </c>
      <c r="I174" s="52">
        <f>IF(Settings!$E$15="POINTS",((R174*Q174)*Settings!$B$12)+(S174*Settings!$B$2)+(T174*Settings!$B$3)+(U174*Settings!$B$4)+(V174*Settings!$B$5)+(X174*Settings!$B$9)+(AA174*Settings!$B$6)+(W174*Settings!$B$8)+(AB174*Settings!$B$7)+(AC174*Settings!$B$14)+(AD174*Settings!$B$15)+(AE174*Settings!$B$16)+(AF174*Settings!$B$17)+(AG174*Settings!$B$18)+(U174*Settings!$B$13)+(Y174*Settings!$B$10)+(Z174*Settings!$B$11),VLOOKUP(B174,'Standard Deviations'!A$1:C$672,3,FALSE))</f>
        <v>223.2081003755213</v>
      </c>
      <c r="J174" s="53" cm="1">
        <f t="array" ref="J174">IF(D174="G",I174/AJ174,I174/Q174)</f>
        <v>2.7265388184880144</v>
      </c>
      <c r="K174" s="52" cm="1">
        <f t="array" ref="K174">VLOOKUP(B174,D!A1:F204,6,FALSE)</f>
        <v>-83.445766969072764</v>
      </c>
      <c r="L174" s="54" cm="1">
        <f t="array" ref="L174">IFERROR(K174/H174,"N/A")</f>
        <v>-10.114638420493668</v>
      </c>
      <c r="M174" s="55">
        <v>138.6</v>
      </c>
      <c r="N174" s="55" cm="1">
        <f t="array" ref="N174">IFERROR(M174-A174,"N/A")</f>
        <v>-34.400000000000006</v>
      </c>
      <c r="O174" s="55"/>
      <c r="P174" s="56" t="str" cm="1">
        <f t="array" ref="P174">_xlfn.XLOOKUP($B174,ADP!A2:A671,ADP!G2:G671)</f>
        <v xml:space="preserve"> </v>
      </c>
      <c r="Q174" s="57" cm="1">
        <f t="array" ref="Q174">IF(Settings!$E$12="YES",VLOOKUP(B174,'Player Data'!A1:E673,5,FALSE),84)</f>
        <v>81.864999999999995</v>
      </c>
      <c r="R174" s="55" cm="1">
        <f t="array" ref="R174">VLOOKUP(B174,'Player Data'!$A1:$AE673,6,FALSE)</f>
        <v>22.467631136258799</v>
      </c>
      <c r="S174" s="57" cm="1">
        <f t="array" ref="S174">VLOOKUP(B174,'Player Data'!$A1:$AE673,7,FALSE)*$Q174*IFERROR((VLOOKUP(P174,Settings!$E$28:$F$33,2,FALSE)+1),1)</f>
        <v>3.4424286735982053</v>
      </c>
      <c r="T174" s="57" cm="1">
        <f t="array" ref="T174">VLOOKUP(B174,'Player Data'!$A1:$AE673,8,FALSE)*$Q174*IFERROR((VLOOKUP(P174,Settings!$E$28:$F$33,2,FALSE)+1),1)</f>
        <v>19.47489218927462</v>
      </c>
      <c r="U174" s="57" cm="1">
        <f t="array" ref="U174">SUM(S174:T174)</f>
        <v>22.917320862872824</v>
      </c>
      <c r="V174" s="57" cm="1">
        <f t="array" ref="V174">VLOOKUP(B174,'Player Data'!$A1:$AE673,10,FALSE)*$Q174*IFERROR(((VLOOKUP(P174,Settings!$E$28:$F$33,2,FALSE)/2)+1),1)</f>
        <v>136.27449529960478</v>
      </c>
      <c r="W174" s="57" cm="1">
        <f t="array" ref="W174">VLOOKUP(B174,'Player Data'!$A1:$AE673,11,FALSE)*$Q174*IFERROR((VLOOKUP(P174,Settings!$E$28:$F$33,2,FALSE)+1),1)</f>
        <v>1.7397125765015099E-2</v>
      </c>
      <c r="X174" s="57" cm="1">
        <f t="array" ref="X174">VLOOKUP(B174,'Player Data'!$A1:$AE673,12,FALSE)*$Q174*IFERROR((VLOOKUP(P174,Settings!$E$28:$F$33,2,FALSE)+1),1)</f>
        <v>0.39188103668526986</v>
      </c>
      <c r="Y174" s="57" cm="1">
        <f t="array" ref="Y174">VLOOKUP(B174,'Player Data'!$A1:$AE673,13,FALSE)*$Q174</f>
        <v>1.4388923789431258E-2</v>
      </c>
      <c r="Z174" s="57" cm="1">
        <f t="array" ref="Z174">VLOOKUP(B174,'Player Data'!$A1:$AE673,14,FALSE)*$Q174</f>
        <v>0.701610354251198</v>
      </c>
      <c r="AA174" s="57" cm="1">
        <f t="array" ref="AA174">VLOOKUP(B174,'Player Data'!$A1:$AE673,15,FALSE)*$Q174</f>
        <v>170.45079749232792</v>
      </c>
      <c r="AB174" s="57" cm="1">
        <f t="array" ref="AB174">VLOOKUP(B174,'Player Data'!$A1:$AE673,16,FALSE)*$Q174</f>
        <v>145.31597837752142</v>
      </c>
      <c r="AC174" s="57" cm="1">
        <f t="array" ref="AC174">VLOOKUP(B174,'Player Data'!$A1:$AE673,17,FALSE)*$Q174*IFERROR((VLOOKUP(P174,Settings!$E$28:$F$33,2,FALSE)+1),1)</f>
        <v>-3.8683030814071162</v>
      </c>
      <c r="AD174" s="57" cm="1">
        <f t="array" ref="AD174">VLOOKUP(B174,'Player Data'!$A1:$AE673,18,FALSE)*$Q174</f>
        <v>51.705276355423997</v>
      </c>
      <c r="AE174" s="57" cm="1">
        <f t="array" ref="AE174">VLOOKUP(B174,'Player Data'!$A1:$AE673,19,FALSE)*$Q174*IFERROR((VLOOKUP(P174,Settings!$E$28:$F$33,2,FALSE)+1),1)</f>
        <v>0.48135321267639347</v>
      </c>
      <c r="AF174" s="57" cm="1">
        <f t="array" ref="AF174">VLOOKUP(B174,'Player Data'!$A1:$AE673,20,FALSE)*$Q174</f>
        <v>0</v>
      </c>
      <c r="AG174" s="57" cm="1">
        <f t="array" ref="AG174">VLOOKUP(B174,'Player Data'!$A1:$AE673,21,FALSE)*$Q174</f>
        <v>2.8397037822882548E-5</v>
      </c>
      <c r="AH174" s="59" cm="1">
        <f t="array" ref="AH174">VLOOKUP(B174,'Player Data'!$A1:$AE673,22,FALSE)</f>
        <v>0</v>
      </c>
      <c r="AI174" s="55"/>
      <c r="AJ174" s="57"/>
      <c r="AK174" s="57"/>
      <c r="AL174" s="57"/>
      <c r="AM174" s="57"/>
      <c r="AN174" s="57"/>
      <c r="AO174" s="57"/>
      <c r="AP174" s="57"/>
      <c r="AQ174" s="60"/>
      <c r="AR174" s="61"/>
      <c r="AS174" s="55"/>
    </row>
    <row r="175" spans="1:45" ht="21.25" customHeight="1" x14ac:dyDescent="0.15">
      <c r="A175" s="62">
        <f t="shared" si="2"/>
        <v>174</v>
      </c>
      <c r="B175" s="10" t="s">
        <v>303</v>
      </c>
      <c r="C175" s="47" t="s">
        <v>147</v>
      </c>
      <c r="D175" s="48" t="str" cm="1">
        <f t="array" ref="D175">VLOOKUP(B175,'Player Data'!A1:D673,4,FALSE)</f>
        <v>D</v>
      </c>
      <c r="E175" s="68" cm="1">
        <f t="array" ref="E175">VLOOKUP(B175,D!A1:C204,3,FALSE)</f>
        <v>57</v>
      </c>
      <c r="F175" s="72" t="str" cm="1">
        <f t="array" ref="F175">VLOOKUP(B175,'Player Data'!A1:B673,2,FALSE)</f>
        <v>FLA</v>
      </c>
      <c r="G175" s="11" cm="1">
        <f t="array" ref="G175">VLOOKUP(B175,'Player Data'!A1:D673,3,FALSE)</f>
        <v>30</v>
      </c>
      <c r="H175" s="51" cm="1">
        <f t="array" ref="H175">IFERROR(VLOOKUP(B175,ADP!A1:F671,6,FALSE)/1000000,VLOOKUP(B175,ADP!A1:F671,6,FALSE))</f>
        <v>5.75</v>
      </c>
      <c r="I175" s="52">
        <f>IF(Settings!$E$15="POINTS",((R175*Q175)*Settings!$B$12)+(S175*Settings!$B$2)+(T175*Settings!$B$3)+(U175*Settings!$B$4)+(V175*Settings!$B$5)+(X175*Settings!$B$9)+(AA175*Settings!$B$6)+(W175*Settings!$B$8)+(AB175*Settings!$B$7)+(AC175*Settings!$B$14)+(AD175*Settings!$B$15)+(AE175*Settings!$B$16)+(AF175*Settings!$B$17)+(AG175*Settings!$B$18)+(U175*Settings!$B$13)+(Y175*Settings!$B$10)+(Z175*Settings!$B$11),VLOOKUP(B175,'Standard Deviations'!A$1:C$672,3,FALSE))</f>
        <v>222.77215611815311</v>
      </c>
      <c r="J175" s="53" cm="1">
        <f t="array" ref="J175">IF(D175="G",I175/AJ175,I175/Q175)</f>
        <v>2.6807720351161626</v>
      </c>
      <c r="K175" s="52" cm="1">
        <f t="array" ref="K175">VLOOKUP(B175,D!A1:F204,6,FALSE)</f>
        <v>-83.881711226440956</v>
      </c>
      <c r="L175" s="54" cm="1">
        <f t="array" ref="L175">IFERROR(K175/H175,"N/A")</f>
        <v>-14.58812369155495</v>
      </c>
      <c r="M175" s="85" t="s">
        <v>832</v>
      </c>
      <c r="N175" s="85" t="str" cm="1">
        <f t="array" ref="N175">IFERROR(M175-A175,"N/A")</f>
        <v>N/A</v>
      </c>
      <c r="O175" s="55"/>
      <c r="P175" s="56" t="str" cm="1">
        <f t="array" ref="P175">_xlfn.XLOOKUP($B175,ADP!A2:A671,ADP!G2:G671)</f>
        <v xml:space="preserve"> </v>
      </c>
      <c r="Q175" s="57" cm="1">
        <f t="array" ref="Q175">IF(Settings!$E$12="YES",VLOOKUP(B175,'Player Data'!A1:E673,5,FALSE),84)</f>
        <v>83.1</v>
      </c>
      <c r="R175" s="55" cm="1">
        <f t="array" ref="R175">VLOOKUP(B175,'Player Data'!$A1:$AE673,6,FALSE)</f>
        <v>23.431048825218902</v>
      </c>
      <c r="S175" s="57" cm="1">
        <f t="array" ref="S175">VLOOKUP(B175,'Player Data'!$A1:$AE673,7,FALSE)*$Q175*IFERROR((VLOOKUP(P175,Settings!$E$28:$F$33,2,FALSE)+1),1)</f>
        <v>6.4211627766488517</v>
      </c>
      <c r="T175" s="57" cm="1">
        <f t="array" ref="T175">VLOOKUP(B175,'Player Data'!$A1:$AE673,8,FALSE)*$Q175*IFERROR((VLOOKUP(P175,Settings!$E$28:$F$33,2,FALSE)+1),1)</f>
        <v>25.407751205393986</v>
      </c>
      <c r="U175" s="57" cm="1">
        <f t="array" ref="U175">SUM(S175:T175)</f>
        <v>31.828913982042838</v>
      </c>
      <c r="V175" s="57" cm="1">
        <f t="array" ref="V175">VLOOKUP(B175,'Player Data'!$A1:$AE673,10,FALSE)*$Q175*IFERROR(((VLOOKUP(P175,Settings!$E$28:$F$33,2,FALSE)/2)+1),1)</f>
        <v>144.3401668427409</v>
      </c>
      <c r="W175" s="57" cm="1">
        <f t="array" ref="W175">VLOOKUP(B175,'Player Data'!$A1:$AE673,11,FALSE)*$Q175*IFERROR((VLOOKUP(P175,Settings!$E$28:$F$33,2,FALSE)+1),1)</f>
        <v>8.6553034010567423E-2</v>
      </c>
      <c r="X175" s="57" cm="1">
        <f t="array" ref="X175">VLOOKUP(B175,'Player Data'!$A1:$AE673,12,FALSE)*$Q175*IFERROR((VLOOKUP(P175,Settings!$E$28:$F$33,2,FALSE)+1),1)</f>
        <v>0.72151682589126986</v>
      </c>
      <c r="Y175" s="57" cm="1">
        <f t="array" ref="Y175">VLOOKUP(B175,'Player Data'!$A1:$AE673,13,FALSE)*$Q175</f>
        <v>1.6045771615998006E-2</v>
      </c>
      <c r="Z175" s="57" cm="1">
        <f t="array" ref="Z175">VLOOKUP(B175,'Player Data'!$A1:$AE673,14,FALSE)*$Q175</f>
        <v>0.32716468683733313</v>
      </c>
      <c r="AA175" s="57" cm="1">
        <f t="array" ref="AA175">VLOOKUP(B175,'Player Data'!$A1:$AE673,15,FALSE)*$Q175</f>
        <v>108.13329847585109</v>
      </c>
      <c r="AB175" s="57" cm="1">
        <f t="array" ref="AB175">VLOOKUP(B175,'Player Data'!$A1:$AE673,16,FALSE)*$Q175</f>
        <v>68.636620536240116</v>
      </c>
      <c r="AC175" s="57" cm="1">
        <f t="array" ref="AC175">VLOOKUP(B175,'Player Data'!$A1:$AE673,17,FALSE)*$Q175*IFERROR((VLOOKUP(P175,Settings!$E$28:$F$33,2,FALSE)+1),1)</f>
        <v>4.6965533640995618</v>
      </c>
      <c r="AD175" s="57" cm="1">
        <f t="array" ref="AD175">VLOOKUP(B175,'Player Data'!$A1:$AE673,18,FALSE)*$Q175</f>
        <v>35.616769887640665</v>
      </c>
      <c r="AE175" s="57" cm="1">
        <f t="array" ref="AE175">VLOOKUP(B175,'Player Data'!$A1:$AE673,19,FALSE)*$Q175*IFERROR((VLOOKUP(P175,Settings!$E$28:$F$33,2,FALSE)+1),1)</f>
        <v>1.0690964278092465</v>
      </c>
      <c r="AF175" s="57" cm="1">
        <f t="array" ref="AF175">VLOOKUP(B175,'Player Data'!$A1:$AE673,20,FALSE)*$Q175</f>
        <v>0</v>
      </c>
      <c r="AG175" s="57" cm="1">
        <f t="array" ref="AG175">VLOOKUP(B175,'Player Data'!$A1:$AE673,21,FALSE)*$Q175</f>
        <v>0</v>
      </c>
      <c r="AH175" s="59" cm="1">
        <f t="array" ref="AH175">VLOOKUP(B175,'Player Data'!$A1:$AE673,22,FALSE)</f>
        <v>0</v>
      </c>
      <c r="AI175" s="55"/>
      <c r="AJ175" s="57"/>
      <c r="AK175" s="57"/>
      <c r="AL175" s="57"/>
      <c r="AM175" s="57"/>
      <c r="AN175" s="57"/>
      <c r="AO175" s="57"/>
      <c r="AP175" s="57"/>
      <c r="AQ175" s="60"/>
      <c r="AR175" s="61"/>
      <c r="AS175" s="55"/>
    </row>
    <row r="176" spans="1:45" ht="21.25" customHeight="1" x14ac:dyDescent="0.15">
      <c r="A176" s="62">
        <f t="shared" si="2"/>
        <v>175</v>
      </c>
      <c r="B176" s="10" t="s">
        <v>304</v>
      </c>
      <c r="C176" s="47" t="s">
        <v>128</v>
      </c>
      <c r="D176" s="48" t="str" cm="1">
        <f t="array" ref="D176">VLOOKUP(B176,'Player Data'!A1:D673,4,FALSE)</f>
        <v>C,RW</v>
      </c>
      <c r="E176" s="74" cm="1">
        <f t="array" ref="E176">VLOOKUP(B176,RW!A1:F210,3,FALSE)</f>
        <v>54</v>
      </c>
      <c r="F176" s="63" t="str" cm="1">
        <f t="array" ref="F176">VLOOKUP(B176,'Player Data'!A1:B673,2,FALSE)</f>
        <v>WPG</v>
      </c>
      <c r="G176" s="11" cm="1">
        <f t="array" ref="G176">VLOOKUP(B176,'Player Data'!A1:D673,3,FALSE)</f>
        <v>27</v>
      </c>
      <c r="H176" s="51" cm="1">
        <f t="array" ref="H176">IFERROR(VLOOKUP(B176,ADP!A1:F671,6,FALSE)/1000000,VLOOKUP(B176,ADP!A1:F671,6,FALSE))</f>
        <v>7.5</v>
      </c>
      <c r="I176" s="52">
        <f>IF(Settings!$E$15="POINTS",((R176*Q176)*Settings!$B$12)+(S176*Settings!$B$2)+(T176*Settings!$B$3)+(U176*Settings!$B$4)+(V176*Settings!$B$5)+(X176*Settings!$B$9)+(AA176*Settings!$B$6)+(W176*Settings!$B$8)+(AB176*Settings!$B$7)+(AC176*Settings!$B$14)+(AD176*Settings!$B$15)+(AE176*Settings!$B$16)+(AF176*Settings!$B$17)+(AG176*Settings!$B$18)+(Y176*Settings!$B$10)+(Z176*Settings!$B$11),VLOOKUP(B176,'Standard Deviations'!A$1:C$672,3,FALSE))</f>
        <v>310.75112999982042</v>
      </c>
      <c r="J176" s="53" cm="1">
        <f t="array" ref="J176">IF(D176="G",I176/AJ176,I176/Q176)</f>
        <v>3.9326874426528353</v>
      </c>
      <c r="K176" s="52" cm="1">
        <f t="array" ref="K176">IF(Settings!$E$18="C/LW/RW",VLOOKUP(B176,RW!A1:F210,6,FALSE),VLOOKUP(B176,F!A1:F407,6,FALSE))</f>
        <v>-84.192334693737052</v>
      </c>
      <c r="L176" s="54" cm="1">
        <f t="array" ref="L176">IFERROR(K176/H176,"N/A")</f>
        <v>-11.225644625831608</v>
      </c>
      <c r="M176" s="55">
        <v>146</v>
      </c>
      <c r="N176" s="55" cm="1">
        <f t="array" ref="N176">IFERROR(M176-A176,"N/A")</f>
        <v>-29</v>
      </c>
      <c r="O176" s="55"/>
      <c r="P176" s="56" t="str" cm="1">
        <f t="array" ref="P176">_xlfn.XLOOKUP($B176,ADP!A2:A671,ADP!G2:G671)</f>
        <v>-</v>
      </c>
      <c r="Q176" s="57" cm="1">
        <f t="array" ref="Q176">IF(Settings!$E$12="YES",VLOOKUP(B176,'Player Data'!A1:E673,5,FALSE),84)</f>
        <v>79.017499999999998</v>
      </c>
      <c r="R176" s="55" cm="1">
        <f t="array" ref="R176">VLOOKUP(B176,'Player Data'!$A1:$AE673,6,FALSE)</f>
        <v>18.757221458384201</v>
      </c>
      <c r="S176" s="57" cm="1">
        <f t="array" ref="S176">VLOOKUP(B176,'Player Data'!$A1:$AE673,7,FALSE)*$Q176*IFERROR((VLOOKUP(P176,Settings!$E$28:$F$33,2,FALSE)+1),1)</f>
        <v>28.832071966043831</v>
      </c>
      <c r="T176" s="57" cm="1">
        <f t="array" ref="T176">VLOOKUP(B176,'Player Data'!$A1:$AE673,8,FALSE)*$Q176*IFERROR((VLOOKUP(P176,Settings!$E$28:$F$33,2,FALSE)+1),1)</f>
        <v>35.009703470717078</v>
      </c>
      <c r="U176" s="57" cm="1">
        <f t="array" ref="U176">SUM(S176:T176)</f>
        <v>63.841775436760912</v>
      </c>
      <c r="V176" s="57" cm="1">
        <f t="array" ref="V176">VLOOKUP(B176,'Player Data'!$A1:$AE673,10,FALSE)*$Q176*IFERROR(((VLOOKUP(P176,Settings!$E$28:$F$33,2,FALSE)/2)+1),1)</f>
        <v>152.0558654866451</v>
      </c>
      <c r="W176" s="58" cm="1">
        <f t="array" ref="W176">VLOOKUP(B176,'Player Data'!$A1:$AE673,11,FALSE)*$Q176*IFERROR((VLOOKUP(P176,Settings!$E$28:$F$33,2,FALSE)+1),1)</f>
        <v>11.883958048325548</v>
      </c>
      <c r="X176" s="57" cm="1">
        <f t="array" ref="X176">VLOOKUP(B176,'Player Data'!$A1:$AE673,12,FALSE)*$Q176*IFERROR((VLOOKUP(P176,Settings!$E$28:$F$33,2,FALSE)+1),1)</f>
        <v>23.204121798762728</v>
      </c>
      <c r="Y176" s="57" cm="1">
        <f t="array" ref="Y176">VLOOKUP(B176,'Player Data'!$A1:$AE673,13,FALSE)*$Q176</f>
        <v>1.0239814657051004E-2</v>
      </c>
      <c r="Z176" s="57" cm="1">
        <f t="array" ref="Z176">VLOOKUP(B176,'Player Data'!$A1:$AE673,14,FALSE)*$Q176</f>
        <v>1.6805259421687674E-2</v>
      </c>
      <c r="AA176" s="57" cm="1">
        <f t="array" ref="AA176">VLOOKUP(B176,'Player Data'!$A1:$AE673,15,FALSE)*$Q176</f>
        <v>39.953887776061435</v>
      </c>
      <c r="AB176" s="57" cm="1">
        <f t="array" ref="AB176">VLOOKUP(B176,'Player Data'!$A1:$AE673,16,FALSE)*$Q176</f>
        <v>24.445050401713083</v>
      </c>
      <c r="AC176" s="57" cm="1">
        <f t="array" ref="AC176">VLOOKUP(B176,'Player Data'!$A1:$AE673,17,FALSE)*$Q176*IFERROR((VLOOKUP(P176,Settings!$E$28:$F$33,2,FALSE)+1),1)</f>
        <v>2.0509862859541439</v>
      </c>
      <c r="AD176" s="57" cm="1">
        <f t="array" ref="AD176">VLOOKUP(B176,'Player Data'!$A1:$AE673,18,FALSE)*$Q176</f>
        <v>24.261861301161723</v>
      </c>
      <c r="AE176" s="57" cm="1">
        <f t="array" ref="AE176">VLOOKUP(B176,'Player Data'!$A1:$AE673,19,FALSE)*$Q176*IFERROR((VLOOKUP(P176,Settings!$E$28:$F$33,2,FALSE)+1),1)</f>
        <v>5.0101420693308922</v>
      </c>
      <c r="AF176" s="57" cm="1">
        <f t="array" ref="AF176">VLOOKUP(B176,'Player Data'!$A1:$AE673,20,FALSE)*$Q176</f>
        <v>48.679075969258641</v>
      </c>
      <c r="AG176" s="57" cm="1">
        <f t="array" ref="AG176">VLOOKUP(B176,'Player Data'!$A1:$AE673,21,FALSE)*$Q176</f>
        <v>58.691078414873644</v>
      </c>
      <c r="AH176" s="59" cm="1">
        <f t="array" ref="AH176">VLOOKUP(B176,'Player Data'!$A1:$AE673,22,FALSE)</f>
        <v>0.45337623149075701</v>
      </c>
      <c r="AI176" s="55"/>
      <c r="AJ176" s="57"/>
      <c r="AK176" s="57"/>
      <c r="AL176" s="57"/>
      <c r="AM176" s="57"/>
      <c r="AN176" s="57"/>
      <c r="AO176" s="57"/>
      <c r="AP176" s="57"/>
      <c r="AQ176" s="60"/>
      <c r="AR176" s="61"/>
      <c r="AS176" s="55"/>
    </row>
    <row r="177" spans="1:45" ht="21.25" customHeight="1" x14ac:dyDescent="0.15">
      <c r="A177" s="62">
        <f t="shared" si="2"/>
        <v>176</v>
      </c>
      <c r="B177" s="10" t="s">
        <v>305</v>
      </c>
      <c r="C177" s="47" t="s">
        <v>147</v>
      </c>
      <c r="D177" s="48" t="str" cm="1">
        <f t="array" ref="D177">VLOOKUP(B177,'Player Data'!A1:D673,4,FALSE)</f>
        <v>D</v>
      </c>
      <c r="E177" s="68" cm="1">
        <f t="array" ref="E177">VLOOKUP(B177,D!A1:C204,3,FALSE)</f>
        <v>58</v>
      </c>
      <c r="F177" s="69" t="str" cm="1">
        <f t="array" ref="F177">VLOOKUP(B177,'Player Data'!A1:B673,2,FALSE)</f>
        <v>TOR</v>
      </c>
      <c r="G177" s="66" cm="1">
        <f t="array" ref="G177">VLOOKUP(B177,'Player Data'!A1:D673,3,FALSE)</f>
        <v>32</v>
      </c>
      <c r="H177" s="51" cm="1">
        <f t="array" ref="H177">IFERROR(VLOOKUP(B177,ADP!A1:F671,6,FALSE)/1000000,VLOOKUP(B177,ADP!A1:F671,6,FALSE))</f>
        <v>7.5</v>
      </c>
      <c r="I177" s="52">
        <f>IF(Settings!$E$15="POINTS",((R177*Q177)*Settings!$B$12)+(S177*Settings!$B$2)+(T177*Settings!$B$3)+(U177*Settings!$B$4)+(V177*Settings!$B$5)+(X177*Settings!$B$9)+(AA177*Settings!$B$6)+(W177*Settings!$B$8)+(AB177*Settings!$B$7)+(AC177*Settings!$B$14)+(AD177*Settings!$B$15)+(AE177*Settings!$B$16)+(AF177*Settings!$B$17)+(AG177*Settings!$B$18)+(U177*Settings!$B$13)+(Y177*Settings!$B$10)+(Z177*Settings!$B$11),VLOOKUP(B177,'Standard Deviations'!A$1:C$672,3,FALSE))</f>
        <v>221.59152833045579</v>
      </c>
      <c r="J177" s="53" cm="1">
        <f t="array" ref="J177">IF(D177="G",I177/AJ177,I177/Q177)</f>
        <v>2.6918310049861005</v>
      </c>
      <c r="K177" s="52" cm="1">
        <f t="array" ref="K177">VLOOKUP(B177,D!A1:F204,6,FALSE)</f>
        <v>-85.062339014138274</v>
      </c>
      <c r="L177" s="54" cm="1">
        <f t="array" ref="L177">IFERROR(K177/H177,"N/A")</f>
        <v>-11.341645201885104</v>
      </c>
      <c r="M177" s="55">
        <v>130.30000000000001</v>
      </c>
      <c r="N177" s="55" cm="1">
        <f t="array" ref="N177">IFERROR(M177-A177,"N/A")</f>
        <v>-45.699999999999989</v>
      </c>
      <c r="O177" s="55"/>
      <c r="P177" s="56" t="str" cm="1">
        <f t="array" ref="P177">_xlfn.XLOOKUP($B177,ADP!A2:A671,ADP!G2:G671)</f>
        <v xml:space="preserve"> </v>
      </c>
      <c r="Q177" s="57" cm="1">
        <f t="array" ref="Q177">IF(Settings!$E$12="YES",VLOOKUP(B177,'Player Data'!A1:E673,5,FALSE),84)</f>
        <v>82.32</v>
      </c>
      <c r="R177" s="84" cm="1">
        <f t="array" ref="R177">VLOOKUP(B177,'Player Data'!$A1:$AE673,6,FALSE)</f>
        <v>18.902960383619401</v>
      </c>
      <c r="S177" s="57" cm="1">
        <f t="array" ref="S177">VLOOKUP(B177,'Player Data'!$A1:$AE673,7,FALSE)*$Q177*IFERROR((VLOOKUP(P177,Settings!$E$28:$F$33,2,FALSE)+1),1)</f>
        <v>6.8416109581642486</v>
      </c>
      <c r="T177" s="57" cm="1">
        <f t="array" ref="T177">VLOOKUP(B177,'Player Data'!$A1:$AE673,8,FALSE)*$Q177*IFERROR((VLOOKUP(P177,Settings!$E$28:$F$33,2,FALSE)+1),1)</f>
        <v>25.975477792023717</v>
      </c>
      <c r="U177" s="57" cm="1">
        <f t="array" ref="U177">SUM(S177:T177)</f>
        <v>32.817088750187963</v>
      </c>
      <c r="V177" s="57" cm="1">
        <f t="array" ref="V177">VLOOKUP(B177,'Player Data'!$A1:$AE673,10,FALSE)*$Q177*IFERROR(((VLOOKUP(P177,Settings!$E$28:$F$33,2,FALSE)/2)+1),1)</f>
        <v>121.25818207556723</v>
      </c>
      <c r="W177" s="57" cm="1">
        <f t="array" ref="W177">VLOOKUP(B177,'Player Data'!$A1:$AE673,11,FALSE)*$Q177*IFERROR((VLOOKUP(P177,Settings!$E$28:$F$33,2,FALSE)+1),1)</f>
        <v>0.50872594976564167</v>
      </c>
      <c r="X177" s="57" cm="1">
        <f t="array" ref="X177">VLOOKUP(B177,'Player Data'!$A1:$AE673,12,FALSE)*$Q177*IFERROR((VLOOKUP(P177,Settings!$E$28:$F$33,2,FALSE)+1),1)</f>
        <v>5.4378512713157425</v>
      </c>
      <c r="Y177" s="57" cm="1">
        <f t="array" ref="Y177">VLOOKUP(B177,'Player Data'!$A1:$AE673,13,FALSE)*$Q177</f>
        <v>2.2543310998815562E-2</v>
      </c>
      <c r="Z177" s="57" cm="1">
        <f t="array" ref="Z177">VLOOKUP(B177,'Player Data'!$A1:$AE673,14,FALSE)*$Q177</f>
        <v>0.30054979286430555</v>
      </c>
      <c r="AA177" s="57" cm="1">
        <f t="array" ref="AA177">VLOOKUP(B177,'Player Data'!$A1:$AE673,15,FALSE)*$Q177</f>
        <v>113.5455399558565</v>
      </c>
      <c r="AB177" s="57" cm="1">
        <f t="array" ref="AB177">VLOOKUP(B177,'Player Data'!$A1:$AE673,16,FALSE)*$Q177</f>
        <v>43.126470257132134</v>
      </c>
      <c r="AC177" s="57" cm="1">
        <f t="array" ref="AC177">VLOOKUP(B177,'Player Data'!$A1:$AE673,17,FALSE)*$Q177*IFERROR((VLOOKUP(P177,Settings!$E$28:$F$33,2,FALSE)+1),1)</f>
        <v>0.19977292141038722</v>
      </c>
      <c r="AD177" s="57" cm="1">
        <f t="array" ref="AD177">VLOOKUP(B177,'Player Data'!$A1:$AE673,18,FALSE)*$Q177</f>
        <v>25.120329847611057</v>
      </c>
      <c r="AE177" s="57" cm="1">
        <f t="array" ref="AE177">VLOOKUP(B177,'Player Data'!$A1:$AE673,19,FALSE)*$Q177*IFERROR((VLOOKUP(P177,Settings!$E$28:$F$33,2,FALSE)+1),1)</f>
        <v>0.93429531530838494</v>
      </c>
      <c r="AF177" s="57" cm="1">
        <f t="array" ref="AF177">VLOOKUP(B177,'Player Data'!$A1:$AE673,20,FALSE)*$Q177</f>
        <v>0</v>
      </c>
      <c r="AG177" s="57" cm="1">
        <f t="array" ref="AG177">VLOOKUP(B177,'Player Data'!$A1:$AE673,21,FALSE)*$Q177</f>
        <v>0</v>
      </c>
      <c r="AH177" s="59" cm="1">
        <f t="array" ref="AH177">VLOOKUP(B177,'Player Data'!$A1:$AE673,22,FALSE)</f>
        <v>0</v>
      </c>
      <c r="AI177" s="55"/>
      <c r="AJ177" s="57"/>
      <c r="AK177" s="57"/>
      <c r="AL177" s="57"/>
      <c r="AM177" s="57"/>
      <c r="AN177" s="57"/>
      <c r="AO177" s="57"/>
      <c r="AP177" s="57"/>
      <c r="AQ177" s="60"/>
      <c r="AR177" s="61"/>
      <c r="AS177" s="55"/>
    </row>
    <row r="178" spans="1:45" ht="21.25" customHeight="1" x14ac:dyDescent="0.15">
      <c r="A178" s="62">
        <f t="shared" si="2"/>
        <v>177</v>
      </c>
      <c r="B178" s="10" t="s">
        <v>306</v>
      </c>
      <c r="C178" s="47" t="s">
        <v>147</v>
      </c>
      <c r="D178" s="48" t="str" cm="1">
        <f t="array" ref="D178">VLOOKUP(B178,'Player Data'!A1:D673,4,FALSE)</f>
        <v>D</v>
      </c>
      <c r="E178" s="68" cm="1">
        <f t="array" ref="E178">VLOOKUP(B178,D!A1:C204,3,FALSE)</f>
        <v>59</v>
      </c>
      <c r="F178" s="56" t="str" cm="1">
        <f t="array" ref="F178">VLOOKUP(B178,'Player Data'!A1:B673,2,FALSE)</f>
        <v>PHI</v>
      </c>
      <c r="G178" s="11" cm="1">
        <f t="array" ref="G178">VLOOKUP(B178,'Player Data'!A1:D673,3,FALSE)</f>
        <v>25</v>
      </c>
      <c r="H178" s="51" cm="1">
        <f t="array" ref="H178">IFERROR(VLOOKUP(B178,ADP!A1:F671,6,FALSE)/1000000,VLOOKUP(B178,ADP!A1:F671,6,FALSE))</f>
        <v>5.15</v>
      </c>
      <c r="I178" s="52">
        <f>IF(Settings!$E$15="POINTS",((R178*Q178)*Settings!$B$12)+(S178*Settings!$B$2)+(T178*Settings!$B$3)+(U178*Settings!$B$4)+(V178*Settings!$B$5)+(X178*Settings!$B$9)+(AA178*Settings!$B$6)+(W178*Settings!$B$8)+(AB178*Settings!$B$7)+(AC178*Settings!$B$14)+(AD178*Settings!$B$15)+(AE178*Settings!$B$16)+(AF178*Settings!$B$17)+(AG178*Settings!$B$18)+(U178*Settings!$B$13)+(Y178*Settings!$B$10)+(Z178*Settings!$B$11),VLOOKUP(B178,'Standard Deviations'!A$1:C$672,3,FALSE))</f>
        <v>221.53659605143395</v>
      </c>
      <c r="J178" s="53" cm="1">
        <f t="array" ref="J178">IF(D178="G",I178/AJ178,I178/Q178)</f>
        <v>2.7550876265568207</v>
      </c>
      <c r="K178" s="52" cm="1">
        <f t="array" ref="K178">VLOOKUP(B178,D!A1:F204,6,FALSE)</f>
        <v>-85.117271293160115</v>
      </c>
      <c r="L178" s="54" cm="1">
        <f t="array" ref="L178">IFERROR(K178/H178,"N/A")</f>
        <v>-16.527625493817496</v>
      </c>
      <c r="M178" s="85" t="s">
        <v>832</v>
      </c>
      <c r="N178" s="85" t="str" cm="1">
        <f t="array" ref="N178">IFERROR(M178-A178,"N/A")</f>
        <v>N/A</v>
      </c>
      <c r="O178" s="55"/>
      <c r="P178" s="56" t="str" cm="1">
        <f t="array" ref="P178">_xlfn.XLOOKUP($B178,ADP!A2:A671,ADP!G2:G671)</f>
        <v xml:space="preserve"> </v>
      </c>
      <c r="Q178" s="57" cm="1">
        <f t="array" ref="Q178">IF(Settings!$E$12="YES",VLOOKUP(B178,'Player Data'!A1:E673,5,FALSE),84)</f>
        <v>80.41</v>
      </c>
      <c r="R178" s="55" cm="1">
        <f t="array" ref="R178">VLOOKUP(B178,'Player Data'!$A1:$AE673,6,FALSE)</f>
        <v>22.190730934049601</v>
      </c>
      <c r="S178" s="57" cm="1">
        <f t="array" ref="S178">VLOOKUP(B178,'Player Data'!$A1:$AE673,7,FALSE)*$Q178*IFERROR((VLOOKUP(P178,Settings!$E$28:$F$33,2,FALSE)+1),1)</f>
        <v>6.5539954468977424</v>
      </c>
      <c r="T178" s="57" cm="1">
        <f t="array" ref="T178">VLOOKUP(B178,'Player Data'!$A1:$AE673,8,FALSE)*$Q178*IFERROR((VLOOKUP(P178,Settings!$E$28:$F$33,2,FALSE)+1),1)</f>
        <v>22.570364858470967</v>
      </c>
      <c r="U178" s="57" cm="1">
        <f t="array" ref="U178">SUM(S178:T178)</f>
        <v>29.124360305368711</v>
      </c>
      <c r="V178" s="57" cm="1">
        <f t="array" ref="V178">VLOOKUP(B178,'Player Data'!$A1:$AE673,10,FALSE)*$Q178*IFERROR(((VLOOKUP(P178,Settings!$E$28:$F$33,2,FALSE)/2)+1),1)</f>
        <v>104.2664155106114</v>
      </c>
      <c r="W178" s="57" cm="1">
        <f t="array" ref="W178">VLOOKUP(B178,'Player Data'!$A1:$AE673,11,FALSE)*$Q178*IFERROR((VLOOKUP(P178,Settings!$E$28:$F$33,2,FALSE)+1),1)</f>
        <v>0.74576242588643959</v>
      </c>
      <c r="X178" s="57" cm="1">
        <f t="array" ref="X178">VLOOKUP(B178,'Player Data'!$A1:$AE673,12,FALSE)*$Q178*IFERROR((VLOOKUP(P178,Settings!$E$28:$F$33,2,FALSE)+1),1)</f>
        <v>6.603039150161643</v>
      </c>
      <c r="Y178" s="57" cm="1">
        <f t="array" ref="Y178">VLOOKUP(B178,'Player Data'!$A1:$AE673,13,FALSE)*$Q178</f>
        <v>2.2387063735724366E-2</v>
      </c>
      <c r="Z178" s="57" cm="1">
        <f t="array" ref="Z178">VLOOKUP(B178,'Player Data'!$A1:$AE673,14,FALSE)*$Q178</f>
        <v>0.45762654270630349</v>
      </c>
      <c r="AA178" s="57" cm="1">
        <f t="array" ref="AA178">VLOOKUP(B178,'Player Data'!$A1:$AE673,15,FALSE)*$Q178</f>
        <v>149.93928337430839</v>
      </c>
      <c r="AB178" s="57" cm="1">
        <f t="array" ref="AB178">VLOOKUP(B178,'Player Data'!$A1:$AE673,16,FALSE)*$Q178</f>
        <v>50.368444612114168</v>
      </c>
      <c r="AC178" s="57" cm="1">
        <f t="array" ref="AC178">VLOOKUP(B178,'Player Data'!$A1:$AE673,17,FALSE)*$Q178*IFERROR((VLOOKUP(P178,Settings!$E$28:$F$33,2,FALSE)+1),1)</f>
        <v>0.30889328861638049</v>
      </c>
      <c r="AD178" s="57" cm="1">
        <f t="array" ref="AD178">VLOOKUP(B178,'Player Data'!$A1:$AE673,18,FALSE)*$Q178</f>
        <v>36.723737547264612</v>
      </c>
      <c r="AE178" s="57" cm="1">
        <f t="array" ref="AE178">VLOOKUP(B178,'Player Data'!$A1:$AE673,19,FALSE)*$Q178*IFERROR((VLOOKUP(P178,Settings!$E$28:$F$33,2,FALSE)+1),1)</f>
        <v>1.0357604028409624</v>
      </c>
      <c r="AF178" s="57" cm="1">
        <f t="array" ref="AF178">VLOOKUP(B178,'Player Data'!$A1:$AE673,20,FALSE)*$Q178</f>
        <v>0</v>
      </c>
      <c r="AG178" s="57" cm="1">
        <f t="array" ref="AG178">VLOOKUP(B178,'Player Data'!$A1:$AE673,21,FALSE)*$Q178</f>
        <v>0</v>
      </c>
      <c r="AH178" s="59" cm="1">
        <f t="array" ref="AH178">VLOOKUP(B178,'Player Data'!$A1:$AE673,22,FALSE)</f>
        <v>0</v>
      </c>
      <c r="AI178" s="55"/>
      <c r="AJ178" s="57"/>
      <c r="AK178" s="57"/>
      <c r="AL178" s="57"/>
      <c r="AM178" s="57"/>
      <c r="AN178" s="57"/>
      <c r="AO178" s="57"/>
      <c r="AP178" s="57"/>
      <c r="AQ178" s="60"/>
      <c r="AR178" s="61"/>
      <c r="AS178" s="55"/>
    </row>
    <row r="179" spans="1:45" ht="21.25" customHeight="1" x14ac:dyDescent="0.15">
      <c r="A179" s="62">
        <f t="shared" si="2"/>
        <v>178</v>
      </c>
      <c r="B179" s="10" t="s">
        <v>307</v>
      </c>
      <c r="C179" s="47" t="s">
        <v>147</v>
      </c>
      <c r="D179" s="48" t="str" cm="1">
        <f t="array" ref="D179">VLOOKUP(B179,'Player Data'!A1:D673,4,FALSE)</f>
        <v>D</v>
      </c>
      <c r="E179" s="68" cm="1">
        <f t="array" ref="E179">VLOOKUP(B179,D!A1:C204,3,FALSE)</f>
        <v>60</v>
      </c>
      <c r="F179" s="65" t="str" cm="1">
        <f t="array" ref="F179">VLOOKUP(B179,'Player Data'!A1:B673,2,FALSE)</f>
        <v>NSH</v>
      </c>
      <c r="G179" s="66" cm="1">
        <f t="array" ref="G179">VLOOKUP(B179,'Player Data'!A1:D673,3,FALSE)</f>
        <v>32</v>
      </c>
      <c r="H179" s="51" cm="1">
        <f t="array" ref="H179">IFERROR(VLOOKUP(B179,ADP!A1:F671,6,FALSE)/1000000,VLOOKUP(B179,ADP!A1:F671,6,FALSE))</f>
        <v>7</v>
      </c>
      <c r="I179" s="52">
        <f>IF(Settings!$E$15="POINTS",((R179*Q179)*Settings!$B$12)+(S179*Settings!$B$2)+(T179*Settings!$B$3)+(U179*Settings!$B$4)+(V179*Settings!$B$5)+(X179*Settings!$B$9)+(AA179*Settings!$B$6)+(W179*Settings!$B$8)+(AB179*Settings!$B$7)+(AC179*Settings!$B$14)+(AD179*Settings!$B$15)+(AE179*Settings!$B$16)+(AF179*Settings!$B$17)+(AG179*Settings!$B$18)+(U179*Settings!$B$13)+(Y179*Settings!$B$10)+(Z179*Settings!$B$11),VLOOKUP(B179,'Standard Deviations'!A$1:C$672,3,FALSE))</f>
        <v>220.74736470877309</v>
      </c>
      <c r="J179" s="53" cm="1">
        <f t="array" ref="J179">IF(D179="G",I179/AJ179,I179/Q179)</f>
        <v>2.633274063089265</v>
      </c>
      <c r="K179" s="52" cm="1">
        <f t="array" ref="K179">VLOOKUP(B179,D!A1:F204,6,FALSE)</f>
        <v>-85.906502635820971</v>
      </c>
      <c r="L179" s="54" cm="1">
        <f t="array" ref="L179">IFERROR(K179/H179,"N/A")</f>
        <v>-12.272357519402997</v>
      </c>
      <c r="M179" s="85" t="s">
        <v>832</v>
      </c>
      <c r="N179" s="85" t="str" cm="1">
        <f t="array" ref="N179">IFERROR(M179-A179,"N/A")</f>
        <v>N/A</v>
      </c>
      <c r="O179" s="55"/>
      <c r="P179" s="56" t="str" cm="1">
        <f t="array" ref="P179">_xlfn.XLOOKUP($B179,ADP!A2:A671,ADP!G2:G671)</f>
        <v xml:space="preserve"> </v>
      </c>
      <c r="Q179" s="57" cm="1">
        <f t="array" ref="Q179">IF(Settings!$E$12="YES",VLOOKUP(B179,'Player Data'!A1:E673,5,FALSE),84)</f>
        <v>83.83</v>
      </c>
      <c r="R179" s="55" cm="1">
        <f t="array" ref="R179">VLOOKUP(B179,'Player Data'!$A1:$AE673,6,FALSE)</f>
        <v>22.9898475038109</v>
      </c>
      <c r="S179" s="57" cm="1">
        <f t="array" ref="S179">VLOOKUP(B179,'Player Data'!$A1:$AE673,7,FALSE)*$Q179*IFERROR((VLOOKUP(P179,Settings!$E$28:$F$33,2,FALSE)+1),1)</f>
        <v>6.0819356530105715</v>
      </c>
      <c r="T179" s="57" cm="1">
        <f t="array" ref="T179">VLOOKUP(B179,'Player Data'!$A1:$AE673,8,FALSE)*$Q179*IFERROR((VLOOKUP(P179,Settings!$E$28:$F$33,2,FALSE)+1),1)</f>
        <v>25.766917857407403</v>
      </c>
      <c r="U179" s="57" cm="1">
        <f t="array" ref="U179">SUM(S179:T179)</f>
        <v>31.848853510417975</v>
      </c>
      <c r="V179" s="57" cm="1">
        <f t="array" ref="V179">VLOOKUP(B179,'Player Data'!$A1:$AE673,10,FALSE)*$Q179*IFERROR(((VLOOKUP(P179,Settings!$E$28:$F$33,2,FALSE)/2)+1),1)</f>
        <v>130.57700994528983</v>
      </c>
      <c r="W179" s="57" cm="1">
        <f t="array" ref="W179">VLOOKUP(B179,'Player Data'!$A1:$AE673,11,FALSE)*$Q179*IFERROR((VLOOKUP(P179,Settings!$E$28:$F$33,2,FALSE)+1),1)</f>
        <v>0.75712778422481264</v>
      </c>
      <c r="X179" s="57" cm="1">
        <f t="array" ref="X179">VLOOKUP(B179,'Player Data'!$A1:$AE673,12,FALSE)*$Q179*IFERROR((VLOOKUP(P179,Settings!$E$28:$F$33,2,FALSE)+1),1)</f>
        <v>7.5007566339573222</v>
      </c>
      <c r="Y179" s="57" cm="1">
        <f t="array" ref="Y179">VLOOKUP(B179,'Player Data'!$A1:$AE673,13,FALSE)*$Q179</f>
        <v>0.51037117378581831</v>
      </c>
      <c r="Z179" s="57" cm="1">
        <f t="array" ref="Z179">VLOOKUP(B179,'Player Data'!$A1:$AE673,14,FALSE)*$Q179</f>
        <v>1.6440101469583583</v>
      </c>
      <c r="AA179" s="57" cm="1">
        <f t="array" ref="AA179">VLOOKUP(B179,'Player Data'!$A1:$AE673,15,FALSE)*$Q179</f>
        <v>101.5350648479172</v>
      </c>
      <c r="AB179" s="57" cm="1">
        <f t="array" ref="AB179">VLOOKUP(B179,'Player Data'!$A1:$AE673,16,FALSE)*$Q179</f>
        <v>72.4535817274773</v>
      </c>
      <c r="AC179" s="57" cm="1">
        <f t="array" ref="AC179">VLOOKUP(B179,'Player Data'!$A1:$AE673,17,FALSE)*$Q179*IFERROR((VLOOKUP(P179,Settings!$E$28:$F$33,2,FALSE)+1),1)</f>
        <v>-4.3100760497181252</v>
      </c>
      <c r="AD179" s="57" cm="1">
        <f t="array" ref="AD179">VLOOKUP(B179,'Player Data'!$A1:$AE673,18,FALSE)*$Q179</f>
        <v>43.89550343659478</v>
      </c>
      <c r="AE179" s="57" cm="1">
        <f t="array" ref="AE179">VLOOKUP(B179,'Player Data'!$A1:$AE673,19,FALSE)*$Q179*IFERROR((VLOOKUP(P179,Settings!$E$28:$F$33,2,FALSE)+1),1)</f>
        <v>0.84250023709887567</v>
      </c>
      <c r="AF179" s="57" cm="1">
        <f t="array" ref="AF179">VLOOKUP(B179,'Player Data'!$A1:$AE673,20,FALSE)*$Q179</f>
        <v>0</v>
      </c>
      <c r="AG179" s="57" cm="1">
        <f t="array" ref="AG179">VLOOKUP(B179,'Player Data'!$A1:$AE673,21,FALSE)*$Q179</f>
        <v>0</v>
      </c>
      <c r="AH179" s="59" cm="1">
        <f t="array" ref="AH179">VLOOKUP(B179,'Player Data'!$A1:$AE673,22,FALSE)</f>
        <v>0</v>
      </c>
      <c r="AI179" s="55"/>
      <c r="AJ179" s="57"/>
      <c r="AK179" s="57"/>
      <c r="AL179" s="57"/>
      <c r="AM179" s="57"/>
      <c r="AN179" s="57"/>
      <c r="AO179" s="57"/>
      <c r="AP179" s="57"/>
      <c r="AQ179" s="60"/>
      <c r="AR179" s="61"/>
      <c r="AS179" s="55"/>
    </row>
    <row r="180" spans="1:45" ht="21.25" customHeight="1" x14ac:dyDescent="0.15">
      <c r="A180" s="62">
        <f t="shared" si="2"/>
        <v>179</v>
      </c>
      <c r="B180" s="10" t="s">
        <v>308</v>
      </c>
      <c r="C180" s="76"/>
      <c r="D180" s="48" t="str" cm="1">
        <f t="array" ref="D180">VLOOKUP(B180,'Player Data'!A1:D673,4,FALSE)</f>
        <v>G</v>
      </c>
      <c r="E180" s="77" cm="1">
        <f t="array" ref="E180">VLOOKUP(B180,G!A1:D66,3,FALSE)</f>
        <v>23</v>
      </c>
      <c r="F180" s="69" t="str" cm="1">
        <f t="array" ref="F180">VLOOKUP(B180,'Player Data'!A1:B673,2,FALSE)</f>
        <v>N.J</v>
      </c>
      <c r="G180" s="66" cm="1">
        <f t="array" ref="G180">VLOOKUP(B180,'Player Data'!A1:D673,3,FALSE)</f>
        <v>36</v>
      </c>
      <c r="H180" s="51" cm="1">
        <f t="array" ref="H180">IFERROR(VLOOKUP(B180,ADP!A1:F671,6,FALSE)/1000000,VLOOKUP(B180,ADP!A1:F671,6,FALSE))</f>
        <v>1.8</v>
      </c>
      <c r="I180" s="52">
        <f>IF(Settings!$E$15="POINTS",(AJ180*Settings!$B$29)+(AK180*Settings!$B$21)+(AL180*Settings!$B$22)+(AN180*Settings!$B$24)+(AO180*Settings!$B$25)+(AP180*Settings!$B$27)+(AM180*Settings!$B$23),VLOOKUP(B180,'Standard Deviations'!A$1:C$672,3,FALSE))</f>
        <v>272.84098791053702</v>
      </c>
      <c r="J180" s="53" cm="1">
        <f t="array" ref="J180">IF(D180="G",I180/AJ180,I180/Q180)</f>
        <v>6.0631330646786008</v>
      </c>
      <c r="K180" s="52" cm="1">
        <f t="array" ref="K180">VLOOKUP(B180,G!A1:F66,6,FALSE)</f>
        <v>-86.316920019701001</v>
      </c>
      <c r="L180" s="54" cm="1">
        <f t="array" ref="L180">IFERROR(K180/H180,"N/A")</f>
        <v>-47.953844455389444</v>
      </c>
      <c r="M180" s="55">
        <v>138.4</v>
      </c>
      <c r="N180" s="55" cm="1">
        <f t="array" ref="N180">IFERROR(M180-A180,"N/A")</f>
        <v>-40.599999999999994</v>
      </c>
      <c r="O180" s="55"/>
      <c r="P180" s="56" t="str" cm="1">
        <f t="array" ref="P180">_xlfn.XLOOKUP($B180,ADP!A2:A671,ADP!G2:G671)</f>
        <v xml:space="preserve"> </v>
      </c>
      <c r="Q180" s="57"/>
      <c r="R180" s="55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9"/>
      <c r="AI180" s="55"/>
      <c r="AJ180" s="78" cm="1">
        <f t="array" ref="AJ180">VLOOKUP(B180,'Player Data'!$A1:$AE673,24,FALSE)</f>
        <v>45</v>
      </c>
      <c r="AK180" s="57" cm="1">
        <f t="array" ref="AK180">VLOOKUP(B180,'Player Data'!$A1:$AE673,25,FALSE)*$AJ180*IFERROR((VLOOKUP(P180,Settings!$E$28:$F$33,2,FALSE)+1),1)</f>
        <v>22.73722380505809</v>
      </c>
      <c r="AL180" s="57" cm="1">
        <f t="array" ref="AL180">AJ180-AK180-AM180</f>
        <v>16.697082146206412</v>
      </c>
      <c r="AM180" s="57" cm="1">
        <f t="array" ref="AM180">VLOOKUP(B180,'Player Data'!$A1:$AE673,27,FALSE)*$AJ180</f>
        <v>5.5656940487354998</v>
      </c>
      <c r="AN180" s="57" cm="1">
        <f t="array" ref="AN180">VLOOKUP(B180,'Player Data'!$A1:$AE673,28,FALSE)*AJ180</f>
        <v>2.6190790051627304</v>
      </c>
      <c r="AO180" s="57" cm="1">
        <f t="array" ref="AO180">VLOOKUP(B180,'Player Data'!$A1:$AE673,29,FALSE)*$AJ180*IFERROR((VLOOKUP(P180,Settings!$E$28:$F$33,2,FALSE)/4)+1,1)</f>
        <v>1155.3493489204996</v>
      </c>
      <c r="AP180" s="57" cm="1">
        <f t="array" ref="AP180">VLOOKUP(B180,'Player Data'!$A1:$AE673,31,FALSE)*$AJ180*(IFERROR(1-(VLOOKUP(P180,Settings!$E$28:$F$33,2,FALSE)/4),1))</f>
        <v>125.22147899001659</v>
      </c>
      <c r="AQ180" s="60" cm="1">
        <f t="array" ref="AQ180">1-(AP180/(AO180+AP180))</f>
        <v>0.90221432796939616</v>
      </c>
      <c r="AR180" s="61" cm="1">
        <f t="array" ref="AR180">AP180/AJ180</f>
        <v>2.7826995331114799</v>
      </c>
      <c r="AS180" s="55"/>
    </row>
    <row r="181" spans="1:45" ht="21.25" customHeight="1" x14ac:dyDescent="0.15">
      <c r="A181" s="62">
        <f t="shared" si="2"/>
        <v>180</v>
      </c>
      <c r="B181" s="10" t="s">
        <v>309</v>
      </c>
      <c r="C181" s="47" t="s">
        <v>147</v>
      </c>
      <c r="D181" s="48" t="str" cm="1">
        <f t="array" ref="D181">VLOOKUP(B181,'Player Data'!A1:D673,4,FALSE)</f>
        <v>C,RW</v>
      </c>
      <c r="E181" s="74" cm="1">
        <f t="array" ref="E181">VLOOKUP(B181,RW!A1:F210,3,FALSE)</f>
        <v>55</v>
      </c>
      <c r="F181" s="70" t="str" cm="1">
        <f t="array" ref="F181">VLOOKUP(B181,'Player Data'!A1:B673,2,FALSE)</f>
        <v>MIN</v>
      </c>
      <c r="G181" s="66" cm="1">
        <f t="array" ref="G181">VLOOKUP(B181,'Player Data'!A1:D673,3,FALSE)</f>
        <v>31</v>
      </c>
      <c r="H181" s="67" cm="1">
        <f t="array" ref="H181">IFERROR(VLOOKUP(B181,ADP!A1:F671,6,FALSE)/1000000,VLOOKUP(B181,ADP!A1:F671,6,FALSE))</f>
        <v>4</v>
      </c>
      <c r="I181" s="52">
        <f>IF(Settings!$E$15="POINTS",((R181*Q181)*Settings!$B$12)+(S181*Settings!$B$2)+(T181*Settings!$B$3)+(U181*Settings!$B$4)+(V181*Settings!$B$5)+(X181*Settings!$B$9)+(AA181*Settings!$B$6)+(W181*Settings!$B$8)+(AB181*Settings!$B$7)+(AC181*Settings!$B$14)+(AD181*Settings!$B$15)+(AE181*Settings!$B$16)+(AF181*Settings!$B$17)+(AG181*Settings!$B$18)+(Y181*Settings!$B$10)+(Z181*Settings!$B$11),VLOOKUP(B181,'Standard Deviations'!A$1:C$672,3,FALSE))</f>
        <v>307.88463396228008</v>
      </c>
      <c r="J181" s="53" cm="1">
        <f t="array" ref="J181">IF(D181="G",I181/AJ181,I181/Q181)</f>
        <v>3.8304828336571815</v>
      </c>
      <c r="K181" s="52" cm="1">
        <f t="array" ref="K181">IF(Settings!$E$18="C/LW/RW",VLOOKUP(B181,RW!A1:F210,6,FALSE),VLOOKUP(B181,F!A1:F407,6,FALSE))</f>
        <v>-87.058830731277396</v>
      </c>
      <c r="L181" s="54" cm="1">
        <f t="array" ref="L181">IFERROR(K181/H181,"N/A")</f>
        <v>-21.764707682819349</v>
      </c>
      <c r="M181" s="85" t="s">
        <v>832</v>
      </c>
      <c r="N181" s="85" t="str" cm="1">
        <f t="array" ref="N181">IFERROR(M181-A181,"N/A")</f>
        <v>N/A</v>
      </c>
      <c r="O181" s="55"/>
      <c r="P181" s="56" t="str" cm="1">
        <f t="array" ref="P181">_xlfn.XLOOKUP($B181,ADP!A2:A671,ADP!G2:G671)</f>
        <v xml:space="preserve"> </v>
      </c>
      <c r="Q181" s="57" cm="1">
        <f t="array" ref="Q181">IF(Settings!$E$12="YES",VLOOKUP(B181,'Player Data'!A1:E673,5,FALSE),84)</f>
        <v>80.377499999999998</v>
      </c>
      <c r="R181" s="55" cm="1">
        <f t="array" ref="R181">VLOOKUP(B181,'Player Data'!$A1:$AE673,6,FALSE)</f>
        <v>17.6427489925135</v>
      </c>
      <c r="S181" s="57" cm="1">
        <f t="array" ref="S181">VLOOKUP(B181,'Player Data'!$A1:$AE673,7,FALSE)*$Q181*IFERROR((VLOOKUP(P181,Settings!$E$28:$F$33,2,FALSE)+1),1)</f>
        <v>25.080934943630318</v>
      </c>
      <c r="T181" s="57" cm="1">
        <f t="array" ref="T181">VLOOKUP(B181,'Player Data'!$A1:$AE673,8,FALSE)*$Q181*IFERROR((VLOOKUP(P181,Settings!$E$28:$F$33,2,FALSE)+1),1)</f>
        <v>25.036825909094144</v>
      </c>
      <c r="U181" s="57" cm="1">
        <f t="array" ref="U181">SUM(S181:T181)</f>
        <v>50.117760852724459</v>
      </c>
      <c r="V181" s="57" cm="1">
        <f t="array" ref="V181">VLOOKUP(B181,'Player Data'!$A1:$AE673,10,FALSE)*$Q181*IFERROR(((VLOOKUP(P181,Settings!$E$28:$F$33,2,FALSE)/2)+1),1)</f>
        <v>202.24772518420247</v>
      </c>
      <c r="W181" s="58" cm="1">
        <f t="array" ref="W181">VLOOKUP(B181,'Player Data'!$A1:$AE673,11,FALSE)*$Q181*IFERROR((VLOOKUP(P181,Settings!$E$28:$F$33,2,FALSE)+1),1)</f>
        <v>9.9406482852928075</v>
      </c>
      <c r="X181" s="57" cm="1">
        <f t="array" ref="X181">VLOOKUP(B181,'Player Data'!$A1:$AE673,12,FALSE)*$Q181*IFERROR((VLOOKUP(P181,Settings!$E$28:$F$33,2,FALSE)+1),1)</f>
        <v>16.799051429200432</v>
      </c>
      <c r="Y181" s="57" cm="1">
        <f t="array" ref="Y181">VLOOKUP(B181,'Player Data'!$A1:$AE673,13,FALSE)*$Q181</f>
        <v>1.2563110368106811E-2</v>
      </c>
      <c r="Z181" s="57" cm="1">
        <f t="array" ref="Z181">VLOOKUP(B181,'Player Data'!$A1:$AE673,14,FALSE)*$Q181</f>
        <v>2.0363400110011583E-2</v>
      </c>
      <c r="AA181" s="57" cm="1">
        <f t="array" ref="AA181">VLOOKUP(B181,'Player Data'!$A1:$AE673,15,FALSE)*$Q181</f>
        <v>79.176147965390072</v>
      </c>
      <c r="AB181" s="57" cm="1">
        <f t="array" ref="AB181">VLOOKUP(B181,'Player Data'!$A1:$AE673,16,FALSE)*$Q181</f>
        <v>75.504216030428566</v>
      </c>
      <c r="AC181" s="57" cm="1">
        <f t="array" ref="AC181">VLOOKUP(B181,'Player Data'!$A1:$AE673,17,FALSE)*$Q181*IFERROR((VLOOKUP(P181,Settings!$E$28:$F$33,2,FALSE)+1),1)</f>
        <v>2.9606754569645819</v>
      </c>
      <c r="AD181" s="57" cm="1">
        <f t="array" ref="AD181">VLOOKUP(B181,'Player Data'!$A1:$AE673,18,FALSE)*$Q181</f>
        <v>55.837874389883602</v>
      </c>
      <c r="AE181" s="57" cm="1">
        <f t="array" ref="AE181">VLOOKUP(B181,'Player Data'!$A1:$AE673,19,FALSE)*$Q181*IFERROR((VLOOKUP(P181,Settings!$E$28:$F$33,2,FALSE)+1),1)</f>
        <v>4.08529542024693</v>
      </c>
      <c r="AF181" s="57" cm="1">
        <f t="array" ref="AF181">VLOOKUP(B181,'Player Data'!$A1:$AE673,20,FALSE)*$Q181</f>
        <v>519.49602201442019</v>
      </c>
      <c r="AG181" s="57" cm="1">
        <f t="array" ref="AG181">VLOOKUP(B181,'Player Data'!$A1:$AE673,21,FALSE)*$Q181</f>
        <v>598.50461378627472</v>
      </c>
      <c r="AH181" s="59" cm="1">
        <f t="array" ref="AH181">VLOOKUP(B181,'Player Data'!$A1:$AE673,22,FALSE)</f>
        <v>0.46466522949905598</v>
      </c>
      <c r="AI181" s="55"/>
      <c r="AJ181" s="57"/>
      <c r="AK181" s="57"/>
      <c r="AL181" s="57"/>
      <c r="AM181" s="57"/>
      <c r="AN181" s="57"/>
      <c r="AO181" s="57"/>
      <c r="AP181" s="57"/>
      <c r="AQ181" s="60"/>
      <c r="AR181" s="61"/>
      <c r="AS181" s="55"/>
    </row>
    <row r="182" spans="1:45" ht="21.25" customHeight="1" x14ac:dyDescent="0.15">
      <c r="A182" s="62">
        <f t="shared" si="2"/>
        <v>181</v>
      </c>
      <c r="B182" s="10" t="s">
        <v>310</v>
      </c>
      <c r="C182" s="47" t="s">
        <v>147</v>
      </c>
      <c r="D182" s="48" t="str" cm="1">
        <f t="array" ref="D182">VLOOKUP(B182,'Player Data'!A1:D673,4,FALSE)</f>
        <v>D</v>
      </c>
      <c r="E182" s="68" cm="1">
        <f t="array" ref="E182">VLOOKUP(B182,D!A1:C204,3,FALSE)</f>
        <v>61</v>
      </c>
      <c r="F182" s="50" t="str" cm="1">
        <f t="array" ref="F182">VLOOKUP(B182,'Player Data'!A1:B673,2,FALSE)</f>
        <v>COL</v>
      </c>
      <c r="G182" s="66" cm="1">
        <f t="array" ref="G182">VLOOKUP(B182,'Player Data'!A1:D673,3,FALSE)</f>
        <v>32</v>
      </c>
      <c r="H182" s="51" cm="1">
        <f t="array" ref="H182">IFERROR(VLOOKUP(B182,ADP!A1:F671,6,FALSE)/1000000,VLOOKUP(B182,ADP!A1:F671,6,FALSE))</f>
        <v>7.25</v>
      </c>
      <c r="I182" s="52">
        <f>IF(Settings!$E$15="POINTS",((R182*Q182)*Settings!$B$12)+(S182*Settings!$B$2)+(T182*Settings!$B$3)+(U182*Settings!$B$4)+(V182*Settings!$B$5)+(X182*Settings!$B$9)+(AA182*Settings!$B$6)+(W182*Settings!$B$8)+(AB182*Settings!$B$7)+(AC182*Settings!$B$14)+(AD182*Settings!$B$15)+(AE182*Settings!$B$16)+(AF182*Settings!$B$17)+(AG182*Settings!$B$18)+(U182*Settings!$B$13)+(Y182*Settings!$B$10)+(Z182*Settings!$B$11),VLOOKUP(B182,'Standard Deviations'!A$1:C$672,3,FALSE))</f>
        <v>216.99720779713971</v>
      </c>
      <c r="J182" s="53" cm="1">
        <f t="array" ref="J182">IF(D182="G",I182/AJ182,I182/Q182)</f>
        <v>2.6882706615106504</v>
      </c>
      <c r="K182" s="52" cm="1">
        <f t="array" ref="K182">VLOOKUP(B182,D!A1:F204,6,FALSE)</f>
        <v>-89.656659547454353</v>
      </c>
      <c r="L182" s="54" cm="1">
        <f t="array" ref="L182">IFERROR(K182/H182,"N/A")</f>
        <v>-12.366435799648876</v>
      </c>
      <c r="M182" s="55">
        <v>130.9</v>
      </c>
      <c r="N182" s="55" cm="1">
        <f t="array" ref="N182">IFERROR(M182-A182,"N/A")</f>
        <v>-50.099999999999994</v>
      </c>
      <c r="O182" s="55"/>
      <c r="P182" s="56" t="str" cm="1">
        <f t="array" ref="P182">_xlfn.XLOOKUP($B182,ADP!A2:A671,ADP!G2:G671)</f>
        <v xml:space="preserve"> </v>
      </c>
      <c r="Q182" s="57" cm="1">
        <f t="array" ref="Q182">IF(Settings!$E$12="YES",VLOOKUP(B182,'Player Data'!A1:E673,5,FALSE),84)</f>
        <v>80.72</v>
      </c>
      <c r="R182" s="55" cm="1">
        <f t="array" ref="R182">VLOOKUP(B182,'Player Data'!$A1:$AE673,6,FALSE)</f>
        <v>22.088133384258398</v>
      </c>
      <c r="S182" s="57" cm="1">
        <f t="array" ref="S182">VLOOKUP(B182,'Player Data'!$A1:$AE673,7,FALSE)*$Q182*IFERROR((VLOOKUP(P182,Settings!$E$28:$F$33,2,FALSE)+1),1)</f>
        <v>5.524547801705074</v>
      </c>
      <c r="T182" s="57" cm="1">
        <f t="array" ref="T182">VLOOKUP(B182,'Player Data'!$A1:$AE673,8,FALSE)*$Q182*IFERROR((VLOOKUP(P182,Settings!$E$28:$F$33,2,FALSE)+1),1)</f>
        <v>27.574001805226398</v>
      </c>
      <c r="U182" s="57" cm="1">
        <f t="array" ref="U182">SUM(S182:T182)</f>
        <v>33.098549606931471</v>
      </c>
      <c r="V182" s="57" cm="1">
        <f t="array" ref="V182">VLOOKUP(B182,'Player Data'!$A1:$AE673,10,FALSE)*$Q182*IFERROR(((VLOOKUP(P182,Settings!$E$28:$F$33,2,FALSE)/2)+1),1)</f>
        <v>125.09900558977034</v>
      </c>
      <c r="W182" s="57" cm="1">
        <f t="array" ref="W182">VLOOKUP(B182,'Player Data'!$A1:$AE673,11,FALSE)*$Q182*IFERROR((VLOOKUP(P182,Settings!$E$28:$F$33,2,FALSE)+1),1)</f>
        <v>0.50722109089011835</v>
      </c>
      <c r="X182" s="57" cm="1">
        <f t="array" ref="X182">VLOOKUP(B182,'Player Data'!$A1:$AE673,12,FALSE)*$Q182*IFERROR((VLOOKUP(P182,Settings!$E$28:$F$33,2,FALSE)+1),1)</f>
        <v>2.1854448288456525</v>
      </c>
      <c r="Y182" s="57" cm="1">
        <f t="array" ref="Y182">VLOOKUP(B182,'Player Data'!$A1:$AE673,13,FALSE)*$Q182</f>
        <v>1.5373307430243672E-2</v>
      </c>
      <c r="Z182" s="57" cm="1">
        <f t="array" ref="Z182">VLOOKUP(B182,'Player Data'!$A1:$AE673,14,FALSE)*$Q182</f>
        <v>0.24740524415052159</v>
      </c>
      <c r="AA182" s="57" cm="1">
        <f t="array" ref="AA182">VLOOKUP(B182,'Player Data'!$A1:$AE673,15,FALSE)*$Q182</f>
        <v>105.43841221692796</v>
      </c>
      <c r="AB182" s="57" cm="1">
        <f t="array" ref="AB182">VLOOKUP(B182,'Player Data'!$A1:$AE673,16,FALSE)*$Q182</f>
        <v>46.561441394366966</v>
      </c>
      <c r="AC182" s="57" cm="1">
        <f t="array" ref="AC182">VLOOKUP(B182,'Player Data'!$A1:$AE673,17,FALSE)*$Q182*IFERROR((VLOOKUP(P182,Settings!$E$28:$F$33,2,FALSE)+1),1)</f>
        <v>9.5886624730266838</v>
      </c>
      <c r="AD182" s="57" cm="1">
        <f t="array" ref="AD182">VLOOKUP(B182,'Player Data'!$A1:$AE673,18,FALSE)*$Q182</f>
        <v>29.810182457295099</v>
      </c>
      <c r="AE182" s="57" cm="1">
        <f t="array" ref="AE182">VLOOKUP(B182,'Player Data'!$A1:$AE673,19,FALSE)*$Q182*IFERROR((VLOOKUP(P182,Settings!$E$28:$F$33,2,FALSE)+1),1)</f>
        <v>0.9971102266906825</v>
      </c>
      <c r="AF182" s="57" cm="1">
        <f t="array" ref="AF182">VLOOKUP(B182,'Player Data'!$A1:$AE673,20,FALSE)*$Q182</f>
        <v>0</v>
      </c>
      <c r="AG182" s="57" cm="1">
        <f t="array" ref="AG182">VLOOKUP(B182,'Player Data'!$A1:$AE673,21,FALSE)*$Q182</f>
        <v>0</v>
      </c>
      <c r="AH182" s="59" cm="1">
        <f t="array" ref="AH182">VLOOKUP(B182,'Player Data'!$A1:$AE673,22,FALSE)</f>
        <v>0</v>
      </c>
      <c r="AI182" s="55"/>
      <c r="AJ182" s="57"/>
      <c r="AK182" s="57"/>
      <c r="AL182" s="57"/>
      <c r="AM182" s="57"/>
      <c r="AN182" s="57"/>
      <c r="AO182" s="57"/>
      <c r="AP182" s="57"/>
      <c r="AQ182" s="60"/>
      <c r="AR182" s="61"/>
      <c r="AS182" s="55"/>
    </row>
    <row r="183" spans="1:45" ht="21.25" customHeight="1" x14ac:dyDescent="0.15">
      <c r="A183" s="62">
        <f t="shared" si="2"/>
        <v>182</v>
      </c>
      <c r="B183" s="10" t="s">
        <v>311</v>
      </c>
      <c r="C183" s="76"/>
      <c r="D183" s="48" t="str" cm="1">
        <f t="array" ref="D183">VLOOKUP(B183,'Player Data'!A1:D673,4,FALSE)</f>
        <v>G</v>
      </c>
      <c r="E183" s="77" cm="1">
        <f t="array" ref="E183">VLOOKUP(B183,G!A1:D66,3,FALSE)</f>
        <v>24</v>
      </c>
      <c r="F183" s="18" t="str" cm="1">
        <f t="array" ref="F183">VLOOKUP(B183,'Player Data'!A1:B673,2,FALSE)</f>
        <v>SEA</v>
      </c>
      <c r="G183" s="11" cm="1">
        <f t="array" ref="G183">VLOOKUP(B183,'Player Data'!A1:D673,3,FALSE)</f>
        <v>30</v>
      </c>
      <c r="H183" s="51" cm="1">
        <f t="array" ref="H183">IFERROR(VLOOKUP(B183,ADP!A1:F671,6,FALSE)/1000000,VLOOKUP(B183,ADP!A1:F671,6,FALSE))</f>
        <v>5</v>
      </c>
      <c r="I183" s="52">
        <f>IF(Settings!$E$15="POINTS",(AJ183*Settings!$B$29)+(AK183*Settings!$B$21)+(AL183*Settings!$B$22)+(AN183*Settings!$B$24)+(AO183*Settings!$B$25)+(AP183*Settings!$B$27)+(AM183*Settings!$B$23),VLOOKUP(B183,'Standard Deviations'!A$1:C$672,3,FALSE))</f>
        <v>269.46537950276235</v>
      </c>
      <c r="J183" s="53" cm="1">
        <f t="array" ref="J183">IF(D183="G",I183/AJ183,I183/Q183)</f>
        <v>5.9881195445058299</v>
      </c>
      <c r="K183" s="52" cm="1">
        <f t="array" ref="K183">VLOOKUP(B183,G!A1:F66,6,FALSE)</f>
        <v>-89.692528427475679</v>
      </c>
      <c r="L183" s="54" cm="1">
        <f t="array" ref="L183">IFERROR(K183/H183,"N/A")</f>
        <v>-17.938505685495137</v>
      </c>
      <c r="M183" s="55">
        <v>149.1</v>
      </c>
      <c r="N183" s="55" cm="1">
        <f t="array" ref="N183">IFERROR(M183-A183,"N/A")</f>
        <v>-32.900000000000006</v>
      </c>
      <c r="O183" s="55"/>
      <c r="P183" s="56" t="str" cm="1">
        <f t="array" ref="P183">_xlfn.XLOOKUP($B183,ADP!A2:A671,ADP!G2:G671)</f>
        <v xml:space="preserve"> </v>
      </c>
      <c r="Q183" s="57"/>
      <c r="R183" s="55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9"/>
      <c r="AI183" s="55"/>
      <c r="AJ183" s="78" cm="1">
        <f t="array" ref="AJ183">VLOOKUP(B183,'Player Data'!$A1:$AE673,24,FALSE)</f>
        <v>45</v>
      </c>
      <c r="AK183" s="57" cm="1">
        <f t="array" ref="AK183">VLOOKUP(B183,'Player Data'!$A1:$AE673,25,FALSE)*$AJ183*IFERROR((VLOOKUP(P183,Settings!$E$28:$F$33,2,FALSE)+1),1)</f>
        <v>17.560720615458781</v>
      </c>
      <c r="AL183" s="57" cm="1">
        <f t="array" ref="AL183">AJ183-AK183-AM183</f>
        <v>20.579459538405914</v>
      </c>
      <c r="AM183" s="57" cm="1">
        <f t="array" ref="AM183">VLOOKUP(B183,'Player Data'!$A1:$AE673,27,FALSE)*$AJ183</f>
        <v>6.8598198461353048</v>
      </c>
      <c r="AN183" s="57" cm="1">
        <f t="array" ref="AN183">VLOOKUP(B183,'Player Data'!$A1:$AE673,28,FALSE)*AJ183</f>
        <v>1.758015405343224</v>
      </c>
      <c r="AO183" s="57" cm="1">
        <f t="array" ref="AO183">VLOOKUP(B183,'Player Data'!$A1:$AE673,29,FALSE)*$AJ183*IFERROR((VLOOKUP(P183,Settings!$E$28:$F$33,2,FALSE)/4)+1,1)</f>
        <v>1249.0020742395286</v>
      </c>
      <c r="AP183" s="57" cm="1">
        <f t="array" ref="AP183">VLOOKUP(B183,'Player Data'!$A1:$AE673,31,FALSE)*$AJ183*(IFERROR(1-(VLOOKUP(P183,Settings!$E$28:$F$33,2,FALSE)/4),1))</f>
        <v>136.4919449562405</v>
      </c>
      <c r="AQ183" s="60" cm="1">
        <f t="array" ref="AQ183">1-(AP183/(AO183+AP183))</f>
        <v>0.90148499880535804</v>
      </c>
      <c r="AR183" s="61" cm="1">
        <f t="array" ref="AR183">AP183/AJ183</f>
        <v>3.0331543323609003</v>
      </c>
      <c r="AS183" s="55"/>
    </row>
    <row r="184" spans="1:45" ht="21.25" customHeight="1" x14ac:dyDescent="0.15">
      <c r="A184" s="62">
        <f t="shared" si="2"/>
        <v>183</v>
      </c>
      <c r="B184" s="10" t="s">
        <v>312</v>
      </c>
      <c r="C184" s="47" t="s">
        <v>147</v>
      </c>
      <c r="D184" s="48" t="str" cm="1">
        <f t="array" ref="D184">VLOOKUP(B184,'Player Data'!A1:D673,4,FALSE)</f>
        <v>D</v>
      </c>
      <c r="E184" s="68" cm="1">
        <f t="array" ref="E184">VLOOKUP(B184,D!A1:C204,3,FALSE)</f>
        <v>62</v>
      </c>
      <c r="F184" s="73" t="str" cm="1">
        <f t="array" ref="F184">VLOOKUP(B184,'Player Data'!A1:B673,2,FALSE)</f>
        <v>BUF</v>
      </c>
      <c r="G184" s="11" cm="1">
        <f t="array" ref="G184">VLOOKUP(B184,'Player Data'!A1:D673,3,FALSE)</f>
        <v>26</v>
      </c>
      <c r="H184" s="51" cm="1">
        <f t="array" ref="H184">IFERROR(VLOOKUP(B184,ADP!A1:F671,6,FALSE)/1000000,VLOOKUP(B184,ADP!A1:F671,6,FALSE))</f>
        <v>4.2850000000000001</v>
      </c>
      <c r="I184" s="52">
        <f>IF(Settings!$E$15="POINTS",((R184*Q184)*Settings!$B$12)+(S184*Settings!$B$2)+(T184*Settings!$B$3)+(U184*Settings!$B$4)+(V184*Settings!$B$5)+(X184*Settings!$B$9)+(AA184*Settings!$B$6)+(W184*Settings!$B$8)+(AB184*Settings!$B$7)+(AC184*Settings!$B$14)+(AD184*Settings!$B$15)+(AE184*Settings!$B$16)+(AF184*Settings!$B$17)+(AG184*Settings!$B$18)+(U184*Settings!$B$13)+(Y184*Settings!$B$10)+(Z184*Settings!$B$11),VLOOKUP(B184,'Standard Deviations'!A$1:C$672,3,FALSE))</f>
        <v>216.86527822269292</v>
      </c>
      <c r="J184" s="53" cm="1">
        <f t="array" ref="J184">IF(D184="G",I184/AJ184,I184/Q184)</f>
        <v>2.8359523763919565</v>
      </c>
      <c r="K184" s="52" cm="1">
        <f t="array" ref="K184">VLOOKUP(B184,D!A1:F204,6,FALSE)</f>
        <v>-89.78858912190114</v>
      </c>
      <c r="L184" s="54" cm="1">
        <f t="array" ref="L184">IFERROR(K184/H184,"N/A")</f>
        <v>-20.954163155636206</v>
      </c>
      <c r="M184" s="55">
        <v>127.9</v>
      </c>
      <c r="N184" s="55" cm="1">
        <f t="array" ref="N184">IFERROR(M184-A184,"N/A")</f>
        <v>-55.099999999999994</v>
      </c>
      <c r="O184" s="55"/>
      <c r="P184" s="56" t="str" cm="1">
        <f t="array" ref="P184">_xlfn.XLOOKUP($B184,ADP!A2:A671,ADP!G2:G671)</f>
        <v xml:space="preserve"> </v>
      </c>
      <c r="Q184" s="57" cm="1">
        <f t="array" ref="Q184">IF(Settings!$E$12="YES",VLOOKUP(B184,'Player Data'!A1:E673,5,FALSE),84)</f>
        <v>76.47</v>
      </c>
      <c r="R184" s="55" cm="1">
        <f t="array" ref="R184">VLOOKUP(B184,'Player Data'!$A1:$AE673,6,FALSE)</f>
        <v>22.9272605376818</v>
      </c>
      <c r="S184" s="57" cm="1">
        <f t="array" ref="S184">VLOOKUP(B184,'Player Data'!$A1:$AE673,7,FALSE)*$Q184*IFERROR((VLOOKUP(P184,Settings!$E$28:$F$33,2,FALSE)+1),1)</f>
        <v>8.7481450710919724</v>
      </c>
      <c r="T184" s="57" cm="1">
        <f t="array" ref="T184">VLOOKUP(B184,'Player Data'!$A1:$AE673,8,FALSE)*$Q184*IFERROR((VLOOKUP(P184,Settings!$E$28:$F$33,2,FALSE)+1),1)</f>
        <v>21.828512853018854</v>
      </c>
      <c r="U184" s="57" cm="1">
        <f t="array" ref="U184">SUM(S184:T184)</f>
        <v>30.576657924110826</v>
      </c>
      <c r="V184" s="57" cm="1">
        <f t="array" ref="V184">VLOOKUP(B184,'Player Data'!$A1:$AE673,10,FALSE)*$Q184*IFERROR(((VLOOKUP(P184,Settings!$E$28:$F$33,2,FALSE)/2)+1),1)</f>
        <v>102.76172298496095</v>
      </c>
      <c r="W184" s="57" cm="1">
        <f t="array" ref="W184">VLOOKUP(B184,'Player Data'!$A1:$AE673,11,FALSE)*$Q184*IFERROR((VLOOKUP(P184,Settings!$E$28:$F$33,2,FALSE)+1),1)</f>
        <v>9.7455516299074802E-3</v>
      </c>
      <c r="X184" s="57" cm="1">
        <f t="array" ref="X184">VLOOKUP(B184,'Player Data'!$A1:$AE673,12,FALSE)*$Q184*IFERROR((VLOOKUP(P184,Settings!$E$28:$F$33,2,FALSE)+1),1)</f>
        <v>0.12517804286279918</v>
      </c>
      <c r="Y184" s="57" cm="1">
        <f t="array" ref="Y184">VLOOKUP(B184,'Player Data'!$A1:$AE673,13,FALSE)*$Q184</f>
        <v>0.55458324322581865</v>
      </c>
      <c r="Z184" s="57" cm="1">
        <f t="array" ref="Z184">VLOOKUP(B184,'Player Data'!$A1:$AE673,14,FALSE)*$Q184</f>
        <v>1.7450434730372721</v>
      </c>
      <c r="AA184" s="57" cm="1">
        <f t="array" ref="AA184">VLOOKUP(B184,'Player Data'!$A1:$AE673,15,FALSE)*$Q184</f>
        <v>143.76844288395975</v>
      </c>
      <c r="AB184" s="57" cm="1">
        <f t="array" ref="AB184">VLOOKUP(B184,'Player Data'!$A1:$AE673,16,FALSE)*$Q184</f>
        <v>121.64752295175866</v>
      </c>
      <c r="AC184" s="57" cm="1">
        <f t="array" ref="AC184">VLOOKUP(B184,'Player Data'!$A1:$AE673,17,FALSE)*$Q184*IFERROR((VLOOKUP(P184,Settings!$E$28:$F$33,2,FALSE)+1),1)</f>
        <v>2.3412764212299768</v>
      </c>
      <c r="AD184" s="57" cm="1">
        <f t="array" ref="AD184">VLOOKUP(B184,'Player Data'!$A1:$AE673,18,FALSE)*$Q184</f>
        <v>31.494644622888973</v>
      </c>
      <c r="AE184" s="57" cm="1">
        <f t="array" ref="AE184">VLOOKUP(B184,'Player Data'!$A1:$AE673,19,FALSE)*$Q184*IFERROR((VLOOKUP(P184,Settings!$E$28:$F$33,2,FALSE)+1),1)</f>
        <v>1.3189576586057856</v>
      </c>
      <c r="AF184" s="57" cm="1">
        <f t="array" ref="AF184">VLOOKUP(B184,'Player Data'!$A1:$AE673,20,FALSE)*$Q184</f>
        <v>0</v>
      </c>
      <c r="AG184" s="57" cm="1">
        <f t="array" ref="AG184">VLOOKUP(B184,'Player Data'!$A1:$AE673,21,FALSE)*$Q184</f>
        <v>0</v>
      </c>
      <c r="AH184" s="59" cm="1">
        <f t="array" ref="AH184">VLOOKUP(B184,'Player Data'!$A1:$AE673,22,FALSE)</f>
        <v>0</v>
      </c>
      <c r="AI184" s="55"/>
      <c r="AJ184" s="57"/>
      <c r="AK184" s="57"/>
      <c r="AL184" s="57"/>
      <c r="AM184" s="57"/>
      <c r="AN184" s="57"/>
      <c r="AO184" s="57"/>
      <c r="AP184" s="57"/>
      <c r="AQ184" s="60"/>
      <c r="AR184" s="61"/>
      <c r="AS184" s="55"/>
    </row>
    <row r="185" spans="1:45" ht="21.25" customHeight="1" x14ac:dyDescent="0.15">
      <c r="A185" s="62">
        <f t="shared" si="2"/>
        <v>184</v>
      </c>
      <c r="B185" s="10" t="s">
        <v>313</v>
      </c>
      <c r="C185" s="47" t="s">
        <v>128</v>
      </c>
      <c r="D185" s="48" t="str" cm="1">
        <f t="array" ref="D185">VLOOKUP(B185,'Player Data'!A1:D673,4,FALSE)</f>
        <v>C</v>
      </c>
      <c r="E185" s="49" cm="1">
        <f t="array" ref="E185">VLOOKUP(B185,'C'!A1:C210,3,FALSE)</f>
        <v>54</v>
      </c>
      <c r="F185" s="18" t="str" cm="1">
        <f t="array" ref="F185">VLOOKUP(B185,'Player Data'!A1:B673,2,FALSE)</f>
        <v>VAN</v>
      </c>
      <c r="G185" s="71" cm="1">
        <f t="array" ref="G185">VLOOKUP(B185,'Player Data'!A1:D673,3,FALSE)</f>
        <v>24</v>
      </c>
      <c r="H185" s="51" cm="1">
        <f t="array" ref="H185">IFERROR(VLOOKUP(B185,ADP!A1:F671,6,FALSE)/1000000,VLOOKUP(B185,ADP!A1:F671,6,FALSE))</f>
        <v>5</v>
      </c>
      <c r="I185" s="52">
        <f>IF(Settings!$E$15="POINTS",((R185*Q185)*Settings!$B$12)+(S185*Settings!$B$2)+(T185*Settings!$B$3)+(U185*Settings!$B$4)+(V185*Settings!$B$5)+(X185*Settings!$B$9)+(AA185*Settings!$B$6)+(W185*Settings!$B$8)+(AB185*Settings!$B$7)+(AC185*Settings!$B$14)+(AD185*Settings!$B$15)+(AE185*Settings!$B$16)+(AF185*Settings!$B$17)+(AG185*Settings!$B$18)+(Y185*Settings!$B$10)+(Z185*Settings!$B$11),VLOOKUP(B185,'Standard Deviations'!A$1:C$672,3,FALSE))</f>
        <v>296.51389000362656</v>
      </c>
      <c r="J185" s="53" cm="1">
        <f t="array" ref="J185">IF(D185="G",I185/AJ185,I185/Q185)</f>
        <v>3.7844784939837468</v>
      </c>
      <c r="K185" s="52" cm="1">
        <f t="array" ref="K185">IF(Settings!$E$18="C/LW/RW",VLOOKUP(B185,'C'!A1:F210,6,FALSE),VLOOKUP(B185,F!A1:F407,6,FALSE))</f>
        <v>-90.021316389456445</v>
      </c>
      <c r="L185" s="54" cm="1">
        <f t="array" ref="L185">IFERROR(K185/H185,"N/A")</f>
        <v>-18.00426327789129</v>
      </c>
      <c r="M185" s="85" t="s">
        <v>832</v>
      </c>
      <c r="N185" s="85" t="str" cm="1">
        <f t="array" ref="N185">IFERROR(M185-A185,"N/A")</f>
        <v>N/A</v>
      </c>
      <c r="O185" s="55"/>
      <c r="P185" s="56" t="str" cm="1">
        <f t="array" ref="P185">_xlfn.XLOOKUP($B185,ADP!A2:A671,ADP!G2:G671)</f>
        <v xml:space="preserve"> </v>
      </c>
      <c r="Q185" s="57" cm="1">
        <f t="array" ref="Q185">IF(Settings!$E$12="YES",VLOOKUP(B185,'Player Data'!A1:E673,5,FALSE),84)</f>
        <v>78.349999999999994</v>
      </c>
      <c r="R185" s="82" cm="1">
        <f t="array" ref="R185">VLOOKUP(B185,'Player Data'!$A1:$AE673,6,FALSE)</f>
        <v>19.1195428175083</v>
      </c>
      <c r="S185" s="57" cm="1">
        <f t="array" ref="S185">VLOOKUP(B185,'Player Data'!$A1:$AE673,7,FALSE)*$Q185*IFERROR((VLOOKUP(P185,Settings!$E$28:$F$33,2,FALSE)+1),1)</f>
        <v>23.51002310445034</v>
      </c>
      <c r="T185" s="57" cm="1">
        <f t="array" ref="T185">VLOOKUP(B185,'Player Data'!$A1:$AE673,8,FALSE)*$Q185*IFERROR((VLOOKUP(P185,Settings!$E$28:$F$33,2,FALSE)+1),1)</f>
        <v>37.033137741412872</v>
      </c>
      <c r="U185" s="57" cm="1">
        <f t="array" ref="U185">SUM(S185:T185)</f>
        <v>60.543160845863213</v>
      </c>
      <c r="V185" s="57" cm="1">
        <f t="array" ref="V185">VLOOKUP(B185,'Player Data'!$A1:$AE673,10,FALSE)*$Q185*IFERROR(((VLOOKUP(P185,Settings!$E$28:$F$33,2,FALSE)/2)+1),1)</f>
        <v>141.8252963721107</v>
      </c>
      <c r="W185" s="58" cm="1">
        <f t="array" ref="W185">VLOOKUP(B185,'Player Data'!$A1:$AE673,11,FALSE)*$Q185*IFERROR((VLOOKUP(P185,Settings!$E$28:$F$33,2,FALSE)+1),1)</f>
        <v>6.6774635266661448</v>
      </c>
      <c r="X185" s="57" cm="1">
        <f t="array" ref="X185">VLOOKUP(B185,'Player Data'!$A1:$AE673,12,FALSE)*$Q185*IFERROR((VLOOKUP(P185,Settings!$E$28:$F$33,2,FALSE)+1),1)</f>
        <v>21.089238428096127</v>
      </c>
      <c r="Y185" s="57" cm="1">
        <f t="array" ref="Y185">VLOOKUP(B185,'Player Data'!$A1:$AE673,13,FALSE)*$Q185</f>
        <v>0.27074724781778442</v>
      </c>
      <c r="Z185" s="57" cm="1">
        <f t="array" ref="Z185">VLOOKUP(B185,'Player Data'!$A1:$AE673,14,FALSE)*$Q185</f>
        <v>0.44275039824405549</v>
      </c>
      <c r="AA185" s="57" cm="1">
        <f t="array" ref="AA185">VLOOKUP(B185,'Player Data'!$A1:$AE673,15,FALSE)*$Q185</f>
        <v>44.879540907282745</v>
      </c>
      <c r="AB185" s="57" cm="1">
        <f t="array" ref="AB185">VLOOKUP(B185,'Player Data'!$A1:$AE673,16,FALSE)*$Q185</f>
        <v>67.919071987099016</v>
      </c>
      <c r="AC185" s="57" cm="1">
        <f t="array" ref="AC185">VLOOKUP(B185,'Player Data'!$A1:$AE673,17,FALSE)*$Q185*IFERROR((VLOOKUP(P185,Settings!$E$28:$F$33,2,FALSE)+1),1)</f>
        <v>-8.7865968922290616</v>
      </c>
      <c r="AD185" s="57" cm="1">
        <f t="array" ref="AD185">VLOOKUP(B185,'Player Data'!$A1:$AE673,18,FALSE)*$Q185</f>
        <v>29.178721060834643</v>
      </c>
      <c r="AE185" s="57" cm="1">
        <f t="array" ref="AE185">VLOOKUP(B185,'Player Data'!$A1:$AE673,19,FALSE)*$Q185*IFERROR((VLOOKUP(P185,Settings!$E$28:$F$33,2,FALSE)+1),1)</f>
        <v>2.9133038480354254</v>
      </c>
      <c r="AF185" s="57" cm="1">
        <f t="array" ref="AF185">VLOOKUP(B185,'Player Data'!$A1:$AE673,20,FALSE)*$Q185</f>
        <v>448.2622811437223</v>
      </c>
      <c r="AG185" s="57" cm="1">
        <f t="array" ref="AG185">VLOOKUP(B185,'Player Data'!$A1:$AE673,21,FALSE)*$Q185</f>
        <v>506.72241378037029</v>
      </c>
      <c r="AH185" s="59" cm="1">
        <f t="array" ref="AH185">VLOOKUP(B185,'Player Data'!$A1:$AE673,22,FALSE)</f>
        <v>0.469392110183873</v>
      </c>
      <c r="AI185" s="55"/>
      <c r="AJ185" s="57"/>
      <c r="AK185" s="57"/>
      <c r="AL185" s="57"/>
      <c r="AM185" s="57"/>
      <c r="AN185" s="57"/>
      <c r="AO185" s="57"/>
      <c r="AP185" s="57"/>
      <c r="AQ185" s="60"/>
      <c r="AR185" s="61"/>
      <c r="AS185" s="55"/>
    </row>
    <row r="186" spans="1:45" ht="21.25" customHeight="1" x14ac:dyDescent="0.15">
      <c r="A186" s="62">
        <f t="shared" si="2"/>
        <v>185</v>
      </c>
      <c r="B186" s="10" t="s">
        <v>314</v>
      </c>
      <c r="C186" s="47" t="s">
        <v>147</v>
      </c>
      <c r="D186" s="48" t="str" cm="1">
        <f t="array" ref="D186">VLOOKUP(B186,'Player Data'!A1:D673,4,FALSE)</f>
        <v>D</v>
      </c>
      <c r="E186" s="68" cm="1">
        <f t="array" ref="E186">VLOOKUP(B186,D!A1:C204,3,FALSE)</f>
        <v>63</v>
      </c>
      <c r="F186" s="72" t="str" cm="1">
        <f t="array" ref="F186">VLOOKUP(B186,'Player Data'!A1:B673,2,FALSE)</f>
        <v>PIT</v>
      </c>
      <c r="G186" s="66" cm="1">
        <f t="array" ref="G186">VLOOKUP(B186,'Player Data'!A1:D673,3,FALSE)</f>
        <v>39</v>
      </c>
      <c r="H186" s="51" cm="1">
        <f t="array" ref="H186">IFERROR(VLOOKUP(B186,ADP!A1:F671,6,FALSE)/1000000,VLOOKUP(B186,ADP!A1:F671,6,FALSE))</f>
        <v>6.1</v>
      </c>
      <c r="I186" s="52">
        <f>IF(Settings!$E$15="POINTS",((R186*Q186)*Settings!$B$12)+(S186*Settings!$B$2)+(T186*Settings!$B$3)+(U186*Settings!$B$4)+(V186*Settings!$B$5)+(X186*Settings!$B$9)+(AA186*Settings!$B$6)+(W186*Settings!$B$8)+(AB186*Settings!$B$7)+(AC186*Settings!$B$14)+(AD186*Settings!$B$15)+(AE186*Settings!$B$16)+(AF186*Settings!$B$17)+(AG186*Settings!$B$18)+(U186*Settings!$B$13)+(Y186*Settings!$B$10)+(Z186*Settings!$B$11),VLOOKUP(B186,'Standard Deviations'!A$1:C$672,3,FALSE))</f>
        <v>216.35083305140631</v>
      </c>
      <c r="J186" s="53" cm="1">
        <f t="array" ref="J186">IF(D186="G",I186/AJ186,I186/Q186)</f>
        <v>2.6542857692480224</v>
      </c>
      <c r="K186" s="52" cm="1">
        <f t="array" ref="K186">VLOOKUP(B186,D!A1:F204,6,FALSE)</f>
        <v>-90.30303429318775</v>
      </c>
      <c r="L186" s="54" cm="1">
        <f t="array" ref="L186">IFERROR(K186/H186,"N/A")</f>
        <v>-14.803776113637337</v>
      </c>
      <c r="M186" s="55">
        <v>128.30000000000001</v>
      </c>
      <c r="N186" s="55" cm="1">
        <f t="array" ref="N186">IFERROR(M186-A186,"N/A")</f>
        <v>-56.699999999999989</v>
      </c>
      <c r="O186" s="55"/>
      <c r="P186" s="56" t="str" cm="1">
        <f t="array" ref="P186">_xlfn.XLOOKUP($B186,ADP!A2:A671,ADP!G2:G671)</f>
        <v>-</v>
      </c>
      <c r="Q186" s="57" cm="1">
        <f t="array" ref="Q186">IF(Settings!$E$12="YES",VLOOKUP(B186,'Player Data'!A1:E673,5,FALSE),84)</f>
        <v>81.510000000000005</v>
      </c>
      <c r="R186" s="55" cm="1">
        <f t="array" ref="R186">VLOOKUP(B186,'Player Data'!$A1:$AE673,6,FALSE)</f>
        <v>21.8570841293466</v>
      </c>
      <c r="S186" s="57" cm="1">
        <f t="array" ref="S186">VLOOKUP(B186,'Player Data'!$A1:$AE673,7,FALSE)*$Q186*IFERROR((VLOOKUP(P186,Settings!$E$28:$F$33,2,FALSE)+1),1)</f>
        <v>5.3541165559343114</v>
      </c>
      <c r="T186" s="57" cm="1">
        <f t="array" ref="T186">VLOOKUP(B186,'Player Data'!$A1:$AE673,8,FALSE)*$Q186*IFERROR((VLOOKUP(P186,Settings!$E$28:$F$33,2,FALSE)+1),1)</f>
        <v>25.739334301574402</v>
      </c>
      <c r="U186" s="57" cm="1">
        <f t="array" ref="U186">SUM(S186:T186)</f>
        <v>31.093450857508714</v>
      </c>
      <c r="V186" s="57" cm="1">
        <f t="array" ref="V186">VLOOKUP(B186,'Player Data'!$A1:$AE673,10,FALSE)*$Q186*IFERROR(((VLOOKUP(P186,Settings!$E$28:$F$33,2,FALSE)/2)+1),1)</f>
        <v>124.34512765608258</v>
      </c>
      <c r="W186" s="57" cm="1">
        <f t="array" ref="W186">VLOOKUP(B186,'Player Data'!$A1:$AE673,11,FALSE)*$Q186*IFERROR((VLOOKUP(P186,Settings!$E$28:$F$33,2,FALSE)+1),1)</f>
        <v>1.0808241202619051</v>
      </c>
      <c r="X186" s="57" cm="1">
        <f t="array" ref="X186">VLOOKUP(B186,'Player Data'!$A1:$AE673,12,FALSE)*$Q186*IFERROR((VLOOKUP(P186,Settings!$E$28:$F$33,2,FALSE)+1),1)</f>
        <v>6.4520294423250588</v>
      </c>
      <c r="Y186" s="57" cm="1">
        <f t="array" ref="Y186">VLOOKUP(B186,'Player Data'!$A1:$AE673,13,FALSE)*$Q186</f>
        <v>1.8177992826009445E-2</v>
      </c>
      <c r="Z186" s="57" cm="1">
        <f t="array" ref="Z186">VLOOKUP(B186,'Player Data'!$A1:$AE673,14,FALSE)*$Q186</f>
        <v>6.898827532762182E-2</v>
      </c>
      <c r="AA186" s="57" cm="1">
        <f t="array" ref="AA186">VLOOKUP(B186,'Player Data'!$A1:$AE673,15,FALSE)*$Q186</f>
        <v>108.75379786637241</v>
      </c>
      <c r="AB186" s="57" cm="1">
        <f t="array" ref="AB186">VLOOKUP(B186,'Player Data'!$A1:$AE673,16,FALSE)*$Q186</f>
        <v>105.36726659138206</v>
      </c>
      <c r="AC186" s="57" cm="1">
        <f t="array" ref="AC186">VLOOKUP(B186,'Player Data'!$A1:$AE673,17,FALSE)*$Q186*IFERROR((VLOOKUP(P186,Settings!$E$28:$F$33,2,FALSE)+1),1)</f>
        <v>-1.6583253130112432</v>
      </c>
      <c r="AD186" s="57" cm="1">
        <f t="array" ref="AD186">VLOOKUP(B186,'Player Data'!$A1:$AE673,18,FALSE)*$Q186</f>
        <v>46.368689636680685</v>
      </c>
      <c r="AE186" s="57" cm="1">
        <f t="array" ref="AE186">VLOOKUP(B186,'Player Data'!$A1:$AE673,19,FALSE)*$Q186*IFERROR((VLOOKUP(P186,Settings!$E$28:$F$33,2,FALSE)+1),1)</f>
        <v>0.7762788579994121</v>
      </c>
      <c r="AF186" s="57" cm="1">
        <f t="array" ref="AF186">VLOOKUP(B186,'Player Data'!$A1:$AE673,20,FALSE)*$Q186</f>
        <v>0</v>
      </c>
      <c r="AG186" s="57" cm="1">
        <f t="array" ref="AG186">VLOOKUP(B186,'Player Data'!$A1:$AE673,21,FALSE)*$Q186</f>
        <v>0</v>
      </c>
      <c r="AH186" s="59" cm="1">
        <f t="array" ref="AH186">VLOOKUP(B186,'Player Data'!$A1:$AE673,22,FALSE)</f>
        <v>0</v>
      </c>
      <c r="AI186" s="55"/>
      <c r="AJ186" s="57"/>
      <c r="AK186" s="57"/>
      <c r="AL186" s="57"/>
      <c r="AM186" s="57"/>
      <c r="AN186" s="57"/>
      <c r="AO186" s="57"/>
      <c r="AP186" s="57"/>
      <c r="AQ186" s="60"/>
      <c r="AR186" s="61"/>
      <c r="AS186" s="55"/>
    </row>
    <row r="187" spans="1:45" ht="21.25" customHeight="1" x14ac:dyDescent="0.15">
      <c r="A187" s="62">
        <f t="shared" si="2"/>
        <v>186</v>
      </c>
      <c r="B187" s="10" t="s">
        <v>315</v>
      </c>
      <c r="C187" s="47" t="s">
        <v>147</v>
      </c>
      <c r="D187" s="48" t="str" cm="1">
        <f t="array" ref="D187">VLOOKUP(B187,'Player Data'!A1:D673,4,FALSE)</f>
        <v>LW</v>
      </c>
      <c r="E187" s="75" cm="1">
        <f t="array" ref="E187">VLOOKUP(B187,LW!A1:C210,3,FALSE)</f>
        <v>45</v>
      </c>
      <c r="F187" s="70" t="str" cm="1">
        <f t="array" ref="F187">VLOOKUP(B187,'Player Data'!A1:B673,2,FALSE)</f>
        <v>L.A</v>
      </c>
      <c r="G187" s="11" cm="1">
        <f t="array" ref="G187">VLOOKUP(B187,'Player Data'!A1:D673,3,FALSE)</f>
        <v>30</v>
      </c>
      <c r="H187" s="51" cm="1">
        <f t="array" ref="H187">IFERROR(VLOOKUP(B187,ADP!A1:F671,6,FALSE)/1000000,VLOOKUP(B187,ADP!A1:F671,6,FALSE))</f>
        <v>7.875</v>
      </c>
      <c r="I187" s="52">
        <f>IF(Settings!$E$15="POINTS",((R187*Q187)*Settings!$B$12)+(S187*Settings!$B$2)+(T187*Settings!$B$3)+(U187*Settings!$B$4)+(V187*Settings!$B$5)+(X187*Settings!$B$9)+(AA187*Settings!$B$6)+(W187*Settings!$B$8)+(AB187*Settings!$B$7)+(AC187*Settings!$B$14)+(AD187*Settings!$B$15)+(AE187*Settings!$B$16)+(AF187*Settings!$B$17)+(AG187*Settings!$B$18)+(Y187*Settings!$B$10)+(Z187*Settings!$B$11),VLOOKUP(B187,'Standard Deviations'!A$1:C$672,3,FALSE))</f>
        <v>308.16643618859064</v>
      </c>
      <c r="J187" s="53" cm="1">
        <f t="array" ref="J187">IF(D187="G",I187/AJ187,I187/Q187)</f>
        <v>3.8871866063964005</v>
      </c>
      <c r="K187" s="52" cm="1">
        <f t="array" ref="K187">IF(Settings!$E$18="C/LW/RW",VLOOKUP(B187,LW!A1:F210,6,FALSE),VLOOKUP(B187,F!A1:F407,6,FALSE))</f>
        <v>-91.146557125129448</v>
      </c>
      <c r="L187" s="54" cm="1">
        <f t="array" ref="L187">IFERROR(K187/H187,"N/A")</f>
        <v>-11.574165984143422</v>
      </c>
      <c r="M187" s="55">
        <v>146.1</v>
      </c>
      <c r="N187" s="55" cm="1">
        <f t="array" ref="N187">IFERROR(M187-A187,"N/A")</f>
        <v>-39.900000000000006</v>
      </c>
      <c r="O187" s="55"/>
      <c r="P187" s="56" t="str" cm="1">
        <f t="array" ref="P187">_xlfn.XLOOKUP($B187,ADP!A2:A671,ADP!G2:G671)</f>
        <v>+</v>
      </c>
      <c r="Q187" s="57" cm="1">
        <f t="array" ref="Q187">IF(Settings!$E$12="YES",VLOOKUP(B187,'Player Data'!A1:E673,5,FALSE),84)</f>
        <v>79.277500000000003</v>
      </c>
      <c r="R187" s="84" cm="1">
        <f t="array" ref="R187">VLOOKUP(B187,'Player Data'!$A1:$AE673,6,FALSE)</f>
        <v>17.830975623770001</v>
      </c>
      <c r="S187" s="57" cm="1">
        <f t="array" ref="S187">VLOOKUP(B187,'Player Data'!$A1:$AE673,7,FALSE)*$Q187*IFERROR((VLOOKUP(P187,Settings!$E$28:$F$33,2,FALSE)+1),1)</f>
        <v>26.836838346570371</v>
      </c>
      <c r="T187" s="57" cm="1">
        <f t="array" ref="T187">VLOOKUP(B187,'Player Data'!$A1:$AE673,8,FALSE)*$Q187*IFERROR((VLOOKUP(P187,Settings!$E$28:$F$33,2,FALSE)+1),1)</f>
        <v>29.886793527892689</v>
      </c>
      <c r="U187" s="57" cm="1">
        <f t="array" ref="U187">SUM(S187:T187)</f>
        <v>56.723631874463059</v>
      </c>
      <c r="V187" s="57" cm="1">
        <f t="array" ref="V187">VLOOKUP(B187,'Player Data'!$A1:$AE673,10,FALSE)*$Q187*IFERROR(((VLOOKUP(P187,Settings!$E$28:$F$33,2,FALSE)/2)+1),1)</f>
        <v>206.00896055032942</v>
      </c>
      <c r="W187" s="57" cm="1">
        <f t="array" ref="W187">VLOOKUP(B187,'Player Data'!$A1:$AE673,11,FALSE)*$Q187*IFERROR((VLOOKUP(P187,Settings!$E$28:$F$33,2,FALSE)+1),1)</f>
        <v>7.6510770495477667</v>
      </c>
      <c r="X187" s="79" cm="1">
        <f t="array" ref="X187">VLOOKUP(B187,'Player Data'!$A1:$AE673,12,FALSE)*$Q187*IFERROR((VLOOKUP(P187,Settings!$E$28:$F$33,2,FALSE)+1),1)</f>
        <v>19.947858934409403</v>
      </c>
      <c r="Y187" s="57" cm="1">
        <f t="array" ref="Y187">VLOOKUP(B187,'Player Data'!$A1:$AE673,13,FALSE)*$Q187</f>
        <v>1.4303665050543365E-2</v>
      </c>
      <c r="Z187" s="57" cm="1">
        <f t="array" ref="Z187">VLOOKUP(B187,'Player Data'!$A1:$AE673,14,FALSE)*$Q187</f>
        <v>2.3530178398245654E-2</v>
      </c>
      <c r="AA187" s="57" cm="1">
        <f t="array" ref="AA187">VLOOKUP(B187,'Player Data'!$A1:$AE673,15,FALSE)*$Q187</f>
        <v>30.039342354458213</v>
      </c>
      <c r="AB187" s="57" cm="1">
        <f t="array" ref="AB187">VLOOKUP(B187,'Player Data'!$A1:$AE673,16,FALSE)*$Q187</f>
        <v>57.796340740357877</v>
      </c>
      <c r="AC187" s="57" cm="1">
        <f t="array" ref="AC187">VLOOKUP(B187,'Player Data'!$A1:$AE673,17,FALSE)*$Q187*IFERROR((VLOOKUP(P187,Settings!$E$28:$F$33,2,FALSE)+1),1)</f>
        <v>0.36017077311967416</v>
      </c>
      <c r="AD187" s="57" cm="1">
        <f t="array" ref="AD187">VLOOKUP(B187,'Player Data'!$A1:$AE673,18,FALSE)*$Q187</f>
        <v>41.484582680501809</v>
      </c>
      <c r="AE187" s="57" cm="1">
        <f t="array" ref="AE187">VLOOKUP(B187,'Player Data'!$A1:$AE673,19,FALSE)*$Q187*IFERROR((VLOOKUP(P187,Settings!$E$28:$F$33,2,FALSE)+1),1)</f>
        <v>4.2392586847390312</v>
      </c>
      <c r="AF187" s="57" cm="1">
        <f t="array" ref="AF187">VLOOKUP(B187,'Player Data'!$A1:$AE673,20,FALSE)*$Q187</f>
        <v>11.011405475957659</v>
      </c>
      <c r="AG187" s="57" cm="1">
        <f t="array" ref="AG187">VLOOKUP(B187,'Player Data'!$A1:$AE673,21,FALSE)*$Q187</f>
        <v>22.933726973066193</v>
      </c>
      <c r="AH187" s="59" cm="1">
        <f t="array" ref="AH187">VLOOKUP(B187,'Player Data'!$A1:$AE673,22,FALSE)</f>
        <v>0.324388349124686</v>
      </c>
      <c r="AI187" s="55"/>
      <c r="AJ187" s="57"/>
      <c r="AK187" s="57"/>
      <c r="AL187" s="57"/>
      <c r="AM187" s="57"/>
      <c r="AN187" s="57"/>
      <c r="AO187" s="57"/>
      <c r="AP187" s="57"/>
      <c r="AQ187" s="60"/>
      <c r="AR187" s="61"/>
      <c r="AS187" s="55"/>
    </row>
    <row r="188" spans="1:45" ht="21.25" customHeight="1" x14ac:dyDescent="0.15">
      <c r="A188" s="62">
        <f t="shared" si="2"/>
        <v>187</v>
      </c>
      <c r="B188" s="10" t="s">
        <v>316</v>
      </c>
      <c r="C188" s="47" t="s">
        <v>128</v>
      </c>
      <c r="D188" s="48" t="str" cm="1">
        <f t="array" ref="D188">VLOOKUP(B188,'Player Data'!A1:D673,4,FALSE)</f>
        <v>LW,RW</v>
      </c>
      <c r="E188" s="74" cm="1">
        <f t="array" ref="E188">VLOOKUP(B188,RW!A1:F210,3,FALSE)</f>
        <v>56</v>
      </c>
      <c r="F188" s="18" t="str" cm="1">
        <f t="array" ref="F188">VLOOKUP(B188,'Player Data'!A1:B673,2,FALSE)</f>
        <v>VAN</v>
      </c>
      <c r="G188" s="11" cm="1">
        <f t="array" ref="G188">VLOOKUP(B188,'Player Data'!A1:D673,3,FALSE)</f>
        <v>29</v>
      </c>
      <c r="H188" s="51" cm="1">
        <f t="array" ref="H188">IFERROR(VLOOKUP(B188,ADP!A1:F671,6,FALSE)/1000000,VLOOKUP(B188,ADP!A1:F671,6,FALSE))</f>
        <v>7.25</v>
      </c>
      <c r="I188" s="52">
        <f>IF(Settings!$E$15="POINTS",((R188*Q188)*Settings!$B$12)+(S188*Settings!$B$2)+(T188*Settings!$B$3)+(U188*Settings!$B$4)+(V188*Settings!$B$5)+(X188*Settings!$B$9)+(AA188*Settings!$B$6)+(W188*Settings!$B$8)+(AB188*Settings!$B$7)+(AC188*Settings!$B$14)+(AD188*Settings!$B$15)+(AE188*Settings!$B$16)+(AF188*Settings!$B$17)+(AG188*Settings!$B$18)+(Y188*Settings!$B$10)+(Z188*Settings!$B$11),VLOOKUP(B188,'Standard Deviations'!A$1:C$672,3,FALSE))</f>
        <v>302.83381827747519</v>
      </c>
      <c r="J188" s="53" cm="1">
        <f t="array" ref="J188">IF(D188="G",I188/AJ188,I188/Q188)</f>
        <v>3.7055224016821682</v>
      </c>
      <c r="K188" s="52" cm="1">
        <f t="array" ref="K188">IF(Settings!$E$18="C/LW/RW",VLOOKUP(B188,RW!A1:F210,6,FALSE),VLOOKUP(B188,F!A1:F407,6,FALSE))</f>
        <v>-92.109646416082285</v>
      </c>
      <c r="L188" s="54" cm="1">
        <f t="array" ref="L188">IFERROR(K188/H188,"N/A")</f>
        <v>-12.70477881601135</v>
      </c>
      <c r="M188" s="55">
        <v>140.19999999999999</v>
      </c>
      <c r="N188" s="55" cm="1">
        <f t="array" ref="N188">IFERROR(M188-A188,"N/A")</f>
        <v>-46.800000000000011</v>
      </c>
      <c r="O188" s="55"/>
      <c r="P188" s="56" t="str" cm="1">
        <f t="array" ref="P188">_xlfn.XLOOKUP($B188,ADP!A2:A671,ADP!G2:G671)</f>
        <v xml:space="preserve"> </v>
      </c>
      <c r="Q188" s="57" cm="1">
        <f t="array" ref="Q188">IF(Settings!$E$12="YES",VLOOKUP(B188,'Player Data'!A1:E673,5,FALSE),84)</f>
        <v>81.724999999999994</v>
      </c>
      <c r="R188" s="55" cm="1">
        <f t="array" ref="R188">VLOOKUP(B188,'Player Data'!$A1:$AE673,6,FALSE)</f>
        <v>19.3284759654472</v>
      </c>
      <c r="S188" s="57" cm="1">
        <f t="array" ref="S188">VLOOKUP(B188,'Player Data'!$A1:$AE673,7,FALSE)*$Q188*IFERROR((VLOOKUP(P188,Settings!$E$28:$F$33,2,FALSE)+1),1)</f>
        <v>27.573981000225377</v>
      </c>
      <c r="T188" s="57" cm="1">
        <f t="array" ref="T188">VLOOKUP(B188,'Player Data'!$A1:$AE673,8,FALSE)*$Q188*IFERROR((VLOOKUP(P188,Settings!$E$28:$F$33,2,FALSE)+1),1)</f>
        <v>29.810308659585278</v>
      </c>
      <c r="U188" s="57" cm="1">
        <f t="array" ref="U188">SUM(S188:T188)</f>
        <v>57.384289659810655</v>
      </c>
      <c r="V188" s="57" cm="1">
        <f t="array" ref="V188">VLOOKUP(B188,'Player Data'!$A1:$AE673,10,FALSE)*$Q188*IFERROR(((VLOOKUP(P188,Settings!$E$28:$F$33,2,FALSE)/2)+1),1)</f>
        <v>183.31831379238182</v>
      </c>
      <c r="W188" s="58" cm="1">
        <f t="array" ref="W188">VLOOKUP(B188,'Player Data'!$A1:$AE673,11,FALSE)*$Q188*IFERROR((VLOOKUP(P188,Settings!$E$28:$F$33,2,FALSE)+1),1)</f>
        <v>8.5875251167800233</v>
      </c>
      <c r="X188" s="57" cm="1">
        <f t="array" ref="X188">VLOOKUP(B188,'Player Data'!$A1:$AE673,12,FALSE)*$Q188*IFERROR((VLOOKUP(P188,Settings!$E$28:$F$33,2,FALSE)+1),1)</f>
        <v>20.818724167255517</v>
      </c>
      <c r="Y188" s="57" cm="1">
        <f t="array" ref="Y188">VLOOKUP(B188,'Player Data'!$A1:$AE673,13,FALSE)*$Q188</f>
        <v>1.1033684384657283</v>
      </c>
      <c r="Z188" s="57" cm="1">
        <f t="array" ref="Z188">VLOOKUP(B188,'Player Data'!$A1:$AE673,14,FALSE)*$Q188</f>
        <v>1.2375867427931135</v>
      </c>
      <c r="AA188" s="57" cm="1">
        <f t="array" ref="AA188">VLOOKUP(B188,'Player Data'!$A1:$AE673,15,FALSE)*$Q188</f>
        <v>33.930962983607429</v>
      </c>
      <c r="AB188" s="57" cm="1">
        <f t="array" ref="AB188">VLOOKUP(B188,'Player Data'!$A1:$AE673,16,FALSE)*$Q188</f>
        <v>67.024309378693729</v>
      </c>
      <c r="AC188" s="57" cm="1">
        <f t="array" ref="AC188">VLOOKUP(B188,'Player Data'!$A1:$AE673,17,FALSE)*$Q188*IFERROR((VLOOKUP(P188,Settings!$E$28:$F$33,2,FALSE)+1),1)</f>
        <v>-11.921798493130314</v>
      </c>
      <c r="AD188" s="57" cm="1">
        <f t="array" ref="AD188">VLOOKUP(B188,'Player Data'!$A1:$AE673,18,FALSE)*$Q188</f>
        <v>17.941255208644737</v>
      </c>
      <c r="AE188" s="57" cm="1">
        <f t="array" ref="AE188">VLOOKUP(B188,'Player Data'!$A1:$AE673,19,FALSE)*$Q188*IFERROR((VLOOKUP(P188,Settings!$E$28:$F$33,2,FALSE)+1),1)</f>
        <v>3.4168994473853145</v>
      </c>
      <c r="AF188" s="57" cm="1">
        <f t="array" ref="AF188">VLOOKUP(B188,'Player Data'!$A1:$AE673,20,FALSE)*$Q188</f>
        <v>48.424043308534031</v>
      </c>
      <c r="AG188" s="57" cm="1">
        <f t="array" ref="AG188">VLOOKUP(B188,'Player Data'!$A1:$AE673,21,FALSE)*$Q188</f>
        <v>70.824156391136768</v>
      </c>
      <c r="AH188" s="59" cm="1">
        <f t="array" ref="AH188">VLOOKUP(B188,'Player Data'!$A1:$AE673,22,FALSE)</f>
        <v>0.40607777249879701</v>
      </c>
      <c r="AI188" s="55"/>
      <c r="AJ188" s="57"/>
      <c r="AK188" s="57"/>
      <c r="AL188" s="57"/>
      <c r="AM188" s="57"/>
      <c r="AN188" s="57"/>
      <c r="AO188" s="57"/>
      <c r="AP188" s="57"/>
      <c r="AQ188" s="60"/>
      <c r="AR188" s="61"/>
      <c r="AS188" s="55"/>
    </row>
    <row r="189" spans="1:45" ht="21.25" customHeight="1" x14ac:dyDescent="0.15">
      <c r="A189" s="62">
        <f t="shared" si="2"/>
        <v>188</v>
      </c>
      <c r="B189" s="10" t="s">
        <v>317</v>
      </c>
      <c r="C189" s="47" t="s">
        <v>147</v>
      </c>
      <c r="D189" s="48" t="str" cm="1">
        <f t="array" ref="D189">VLOOKUP(B189,'Player Data'!A1:D673,4,FALSE)</f>
        <v>D</v>
      </c>
      <c r="E189" s="68" cm="1">
        <f t="array" ref="E189">VLOOKUP(B189,D!A1:C204,3,FALSE)</f>
        <v>64</v>
      </c>
      <c r="F189" s="69" t="str" cm="1">
        <f t="array" ref="F189">VLOOKUP(B189,'Player Data'!A1:B673,2,FALSE)</f>
        <v>MTL</v>
      </c>
      <c r="G189" s="66" cm="1">
        <f t="array" ref="G189">VLOOKUP(B189,'Player Data'!A1:D673,3,FALSE)</f>
        <v>32</v>
      </c>
      <c r="H189" s="51" cm="1">
        <f t="array" ref="H189">IFERROR(VLOOKUP(B189,ADP!A1:F671,6,FALSE)/1000000,VLOOKUP(B189,ADP!A1:F671,6,FALSE))</f>
        <v>6</v>
      </c>
      <c r="I189" s="52">
        <f>IF(Settings!$E$15="POINTS",((R189*Q189)*Settings!$B$12)+(S189*Settings!$B$2)+(T189*Settings!$B$3)+(U189*Settings!$B$4)+(V189*Settings!$B$5)+(X189*Settings!$B$9)+(AA189*Settings!$B$6)+(W189*Settings!$B$8)+(AB189*Settings!$B$7)+(AC189*Settings!$B$14)+(AD189*Settings!$B$15)+(AE189*Settings!$B$16)+(AF189*Settings!$B$17)+(AG189*Settings!$B$18)+(U189*Settings!$B$13)+(Y189*Settings!$B$10)+(Z189*Settings!$B$11),VLOOKUP(B189,'Standard Deviations'!A$1:C$672,3,FALSE))</f>
        <v>214.46205997988471</v>
      </c>
      <c r="J189" s="53" cm="1">
        <f t="array" ref="J189">IF(D189="G",I189/AJ189,I189/Q189)</f>
        <v>2.5824801009077571</v>
      </c>
      <c r="K189" s="52" cm="1">
        <f t="array" ref="K189">VLOOKUP(B189,D!A1:F204,6,FALSE)</f>
        <v>-92.191807364709348</v>
      </c>
      <c r="L189" s="54" cm="1">
        <f t="array" ref="L189">IFERROR(K189/H189,"N/A")</f>
        <v>-15.365301227451559</v>
      </c>
      <c r="M189" s="55">
        <v>135.4</v>
      </c>
      <c r="N189" s="55" cm="1">
        <f t="array" ref="N189">IFERROR(M189-A189,"N/A")</f>
        <v>-52.599999999999994</v>
      </c>
      <c r="O189" s="55"/>
      <c r="P189" s="56" t="str" cm="1">
        <f t="array" ref="P189">_xlfn.XLOOKUP($B189,ADP!A2:A671,ADP!G2:G671)</f>
        <v xml:space="preserve"> </v>
      </c>
      <c r="Q189" s="57" cm="1">
        <f t="array" ref="Q189">IF(Settings!$E$12="YES",VLOOKUP(B189,'Player Data'!A1:E673,5,FALSE),84)</f>
        <v>83.045000000000002</v>
      </c>
      <c r="R189" s="84" cm="1">
        <f t="array" ref="R189">VLOOKUP(B189,'Player Data'!$A1:$AE673,6,FALSE)</f>
        <v>22.423260570790401</v>
      </c>
      <c r="S189" s="57" cm="1">
        <f t="array" ref="S189">VLOOKUP(B189,'Player Data'!$A1:$AE673,7,FALSE)*$Q189*IFERROR((VLOOKUP(P189,Settings!$E$28:$F$33,2,FALSE)+1),1)</f>
        <v>3.987873079845996</v>
      </c>
      <c r="T189" s="57" cm="1">
        <f t="array" ref="T189">VLOOKUP(B189,'Player Data'!$A1:$AE673,8,FALSE)*$Q189*IFERROR((VLOOKUP(P189,Settings!$E$28:$F$33,2,FALSE)+1),1)</f>
        <v>22.707560558503289</v>
      </c>
      <c r="U189" s="57" cm="1">
        <f t="array" ref="U189">SUM(S189:T189)</f>
        <v>26.695433638349286</v>
      </c>
      <c r="V189" s="57" cm="1">
        <f t="array" ref="V189">VLOOKUP(B189,'Player Data'!$A1:$AE673,10,FALSE)*$Q189*IFERROR(((VLOOKUP(P189,Settings!$E$28:$F$33,2,FALSE)/2)+1),1)</f>
        <v>110.22750860378325</v>
      </c>
      <c r="W189" s="57" cm="1">
        <f t="array" ref="W189">VLOOKUP(B189,'Player Data'!$A1:$AE673,11,FALSE)*$Q189*IFERROR((VLOOKUP(P189,Settings!$E$28:$F$33,2,FALSE)+1),1)</f>
        <v>0.11173705218917744</v>
      </c>
      <c r="X189" s="57" cm="1">
        <f t="array" ref="X189">VLOOKUP(B189,'Player Data'!$A1:$AE673,12,FALSE)*$Q189*IFERROR((VLOOKUP(P189,Settings!$E$28:$F$33,2,FALSE)+1),1)</f>
        <v>1.2152884085693536</v>
      </c>
      <c r="Y189" s="57" cm="1">
        <f t="array" ref="Y189">VLOOKUP(B189,'Player Data'!$A1:$AE673,13,FALSE)*$Q189</f>
        <v>0.22712061855202553</v>
      </c>
      <c r="Z189" s="57" cm="1">
        <f t="array" ref="Z189">VLOOKUP(B189,'Player Data'!$A1:$AE673,14,FALSE)*$Q189</f>
        <v>1.0642522125716658</v>
      </c>
      <c r="AA189" s="57" cm="1">
        <f t="array" ref="AA189">VLOOKUP(B189,'Player Data'!$A1:$AE673,15,FALSE)*$Q189</f>
        <v>153.96492828360843</v>
      </c>
      <c r="AB189" s="57" cm="1">
        <f t="array" ref="AB189">VLOOKUP(B189,'Player Data'!$A1:$AE673,16,FALSE)*$Q189</f>
        <v>64.643561162827694</v>
      </c>
      <c r="AC189" s="57" cm="1">
        <f t="array" ref="AC189">VLOOKUP(B189,'Player Data'!$A1:$AE673,17,FALSE)*$Q189*IFERROR((VLOOKUP(P189,Settings!$E$28:$F$33,2,FALSE)+1),1)</f>
        <v>0.37863820626189487</v>
      </c>
      <c r="AD189" s="57" cm="1">
        <f t="array" ref="AD189">VLOOKUP(B189,'Player Data'!$A1:$AE673,18,FALSE)*$Q189</f>
        <v>40.714489396867982</v>
      </c>
      <c r="AE189" s="57" cm="1">
        <f t="array" ref="AE189">VLOOKUP(B189,'Player Data'!$A1:$AE673,19,FALSE)*$Q189*IFERROR((VLOOKUP(P189,Settings!$E$28:$F$33,2,FALSE)+1),1)</f>
        <v>0.66394160173777572</v>
      </c>
      <c r="AF189" s="57" cm="1">
        <f t="array" ref="AF189">VLOOKUP(B189,'Player Data'!$A1:$AE673,20,FALSE)*$Q189</f>
        <v>0</v>
      </c>
      <c r="AG189" s="57" cm="1">
        <f t="array" ref="AG189">VLOOKUP(B189,'Player Data'!$A1:$AE673,21,FALSE)*$Q189</f>
        <v>0</v>
      </c>
      <c r="AH189" s="59" cm="1">
        <f t="array" ref="AH189">VLOOKUP(B189,'Player Data'!$A1:$AE673,22,FALSE)</f>
        <v>0</v>
      </c>
      <c r="AI189" s="55"/>
      <c r="AJ189" s="57"/>
      <c r="AK189" s="57"/>
      <c r="AL189" s="57"/>
      <c r="AM189" s="57"/>
      <c r="AN189" s="57"/>
      <c r="AO189" s="57"/>
      <c r="AP189" s="57"/>
      <c r="AQ189" s="60"/>
      <c r="AR189" s="61"/>
      <c r="AS189" s="55"/>
    </row>
    <row r="190" spans="1:45" ht="21.25" customHeight="1" x14ac:dyDescent="0.15">
      <c r="A190" s="62">
        <f t="shared" si="2"/>
        <v>189</v>
      </c>
      <c r="B190" s="10" t="s">
        <v>318</v>
      </c>
      <c r="C190" s="76"/>
      <c r="D190" s="48" t="str" cm="1">
        <f t="array" ref="D190">VLOOKUP(B190,'Player Data'!A1:D673,4,FALSE)</f>
        <v>G</v>
      </c>
      <c r="E190" s="77" cm="1">
        <f t="array" ref="E190">VLOOKUP(B190,G!A1:D66,3,FALSE)</f>
        <v>25</v>
      </c>
      <c r="F190" s="73" t="str" cm="1">
        <f t="array" ref="F190">VLOOKUP(B190,'Player Data'!A1:B673,2,FALSE)</f>
        <v>PHI</v>
      </c>
      <c r="G190" s="11" cm="1">
        <f t="array" ref="G190">VLOOKUP(B190,'Player Data'!A1:D673,3,FALSE)</f>
        <v>29</v>
      </c>
      <c r="H190" s="51" cm="1">
        <f t="array" ref="H190">IFERROR(VLOOKUP(B190,ADP!A1:F671,6,FALSE)/1000000,VLOOKUP(B190,ADP!A1:F671,6,FALSE))</f>
        <v>3.35</v>
      </c>
      <c r="I190" s="52">
        <f>IF(Settings!$E$15="POINTS",(AJ190*Settings!$B$29)+(AK190*Settings!$B$21)+(AL190*Settings!$B$22)+(AN190*Settings!$B$24)+(AO190*Settings!$B$25)+(AP190*Settings!$B$27)+(AM190*Settings!$B$23),VLOOKUP(B190,'Standard Deviations'!A$1:C$672,3,FALSE))</f>
        <v>266.70201510405201</v>
      </c>
      <c r="J190" s="53" cm="1">
        <f t="array" ref="J190">IF(D190="G",I190/AJ190,I190/Q190)</f>
        <v>5.9267114467567117</v>
      </c>
      <c r="K190" s="52" cm="1">
        <f t="array" ref="K190">VLOOKUP(B190,G!A1:F66,6,FALSE)</f>
        <v>-92.455892826186016</v>
      </c>
      <c r="L190" s="54" cm="1">
        <f t="array" ref="L190">IFERROR(K190/H190,"N/A")</f>
        <v>-27.598773977965973</v>
      </c>
      <c r="M190" s="55">
        <v>137.30000000000001</v>
      </c>
      <c r="N190" s="55" cm="1">
        <f t="array" ref="N190">IFERROR(M190-A190,"N/A")</f>
        <v>-51.699999999999989</v>
      </c>
      <c r="O190" s="55"/>
      <c r="P190" s="56" t="str" cm="1">
        <f t="array" ref="P190">_xlfn.XLOOKUP($B190,ADP!A2:A671,ADP!G2:G671)</f>
        <v xml:space="preserve"> </v>
      </c>
      <c r="Q190" s="57"/>
      <c r="R190" s="55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9"/>
      <c r="AI190" s="55"/>
      <c r="AJ190" s="78" cm="1">
        <f t="array" ref="AJ190">VLOOKUP(B190,'Player Data'!$A1:$AE673,24,FALSE)</f>
        <v>45</v>
      </c>
      <c r="AK190" s="57" cm="1">
        <f t="array" ref="AK190">VLOOKUP(B190,'Player Data'!$A1:$AE673,25,FALSE)*$AJ190*IFERROR((VLOOKUP(P190,Settings!$E$28:$F$33,2,FALSE)+1),1)</f>
        <v>23.151964022011981</v>
      </c>
      <c r="AL190" s="57" cm="1">
        <f t="array" ref="AL190">AJ190-AK190-AM190</f>
        <v>16.386026983491014</v>
      </c>
      <c r="AM190" s="57" cm="1">
        <f t="array" ref="AM190">VLOOKUP(B190,'Player Data'!$A1:$AE673,27,FALSE)*$AJ190</f>
        <v>5.4620089944970047</v>
      </c>
      <c r="AN190" s="57" cm="1">
        <f t="array" ref="AN190">VLOOKUP(B190,'Player Data'!$A1:$AE673,28,FALSE)*AJ190</f>
        <v>2.8880393714766495</v>
      </c>
      <c r="AO190" s="57" cm="1">
        <f t="array" ref="AO190">VLOOKUP(B190,'Player Data'!$A1:$AE673,29,FALSE)*$AJ190*IFERROR((VLOOKUP(P190,Settings!$E$28:$F$33,2,FALSE)/4)+1,1)</f>
        <v>1118.9224994160645</v>
      </c>
      <c r="AP190" s="57" cm="1">
        <f t="array" ref="AP190">VLOOKUP(B190,'Player Data'!$A1:$AE673,31,FALSE)*$AJ190*(IFERROR(1-(VLOOKUP(P190,Settings!$E$28:$F$33,2,FALSE)/4),1))</f>
        <v>121.70105534716426</v>
      </c>
      <c r="AQ190" s="60" cm="1">
        <f t="array" ref="AQ190">1-(AP190/(AO190+AP190))</f>
        <v>0.90190331718279304</v>
      </c>
      <c r="AR190" s="61" cm="1">
        <f t="array" ref="AR190">AP190/AJ190</f>
        <v>2.7044678966036502</v>
      </c>
      <c r="AS190" s="55"/>
    </row>
    <row r="191" spans="1:45" ht="21.25" customHeight="1" x14ac:dyDescent="0.15">
      <c r="A191" s="62">
        <f t="shared" si="2"/>
        <v>190</v>
      </c>
      <c r="B191" s="10" t="s">
        <v>319</v>
      </c>
      <c r="C191" s="47" t="s">
        <v>128</v>
      </c>
      <c r="D191" s="48" t="str" cm="1">
        <f t="array" ref="D191">VLOOKUP(B191,'Player Data'!A1:D673,4,FALSE)</f>
        <v>LW,RW</v>
      </c>
      <c r="E191" s="74" cm="1">
        <f t="array" ref="E191">VLOOKUP(B191,RW!A1:F210,3,FALSE)</f>
        <v>57</v>
      </c>
      <c r="F191" s="65" t="str" cm="1">
        <f t="array" ref="F191">VLOOKUP(B191,'Player Data'!A1:B673,2,FALSE)</f>
        <v>CAR</v>
      </c>
      <c r="G191" s="71" cm="1">
        <f t="array" ref="G191">VLOOKUP(B191,'Player Data'!A1:D673,3,FALSE)</f>
        <v>24</v>
      </c>
      <c r="H191" s="51" cm="1">
        <f t="array" ref="H191">IFERROR(VLOOKUP(B191,ADP!A1:F671,6,FALSE)/1000000,VLOOKUP(B191,ADP!A1:F671,6,FALSE))</f>
        <v>7.42</v>
      </c>
      <c r="I191" s="52">
        <f>IF(Settings!$E$15="POINTS",((R191*Q191)*Settings!$B$12)+(S191*Settings!$B$2)+(T191*Settings!$B$3)+(U191*Settings!$B$4)+(V191*Settings!$B$5)+(X191*Settings!$B$9)+(AA191*Settings!$B$6)+(W191*Settings!$B$8)+(AB191*Settings!$B$7)+(AC191*Settings!$B$14)+(AD191*Settings!$B$15)+(AE191*Settings!$B$16)+(AF191*Settings!$B$17)+(AG191*Settings!$B$18)+(Y191*Settings!$B$10)+(Z191*Settings!$B$11),VLOOKUP(B191,'Standard Deviations'!A$1:C$672,3,FALSE))</f>
        <v>301.13824094420426</v>
      </c>
      <c r="J191" s="53" cm="1">
        <f t="array" ref="J191">IF(D191="G",I191/AJ191,I191/Q191)</f>
        <v>5.0189706824034044</v>
      </c>
      <c r="K191" s="52" cm="1">
        <f t="array" ref="K191">IF(Settings!$E$18="C/LW/RW",VLOOKUP(B191,RW!A1:F210,6,FALSE),VLOOKUP(B191,F!A1:F407,6,FALSE))</f>
        <v>-93.805223749353217</v>
      </c>
      <c r="L191" s="54" cm="1">
        <f t="array" ref="L191">IFERROR(K191/H191,"N/A")</f>
        <v>-12.642213443309059</v>
      </c>
      <c r="M191" s="55">
        <v>125.6</v>
      </c>
      <c r="N191" s="55" cm="1">
        <f t="array" ref="N191">IFERROR(M191-A191,"N/A")</f>
        <v>-64.400000000000006</v>
      </c>
      <c r="O191" s="55"/>
      <c r="P191" s="56" t="str" cm="1">
        <f t="array" ref="P191">_xlfn.XLOOKUP($B191,ADP!A2:A671,ADP!G2:G671)</f>
        <v>+</v>
      </c>
      <c r="Q191" s="57" cm="1">
        <f t="array" ref="Q191">IF(Settings!$E$12="YES",VLOOKUP(B191,'Player Data'!A1:E673,5,FALSE),84)</f>
        <v>60</v>
      </c>
      <c r="R191" s="55" cm="1">
        <f t="array" ref="R191">VLOOKUP(B191,'Player Data'!$A1:$AE673,6,FALSE)</f>
        <v>19.4456250762947</v>
      </c>
      <c r="S191" s="57" cm="1">
        <f t="array" ref="S191">VLOOKUP(B191,'Player Data'!$A1:$AE673,7,FALSE)*$Q191*IFERROR((VLOOKUP(P191,Settings!$E$28:$F$33,2,FALSE)+1),1)</f>
        <v>27.635502971253366</v>
      </c>
      <c r="T191" s="57" cm="1">
        <f t="array" ref="T191">VLOOKUP(B191,'Player Data'!$A1:$AE673,8,FALSE)*$Q191*IFERROR((VLOOKUP(P191,Settings!$E$28:$F$33,2,FALSE)+1),1)</f>
        <v>30.669545100733622</v>
      </c>
      <c r="U191" s="57" cm="1">
        <f t="array" ref="U191">SUM(S191:T191)</f>
        <v>58.305048071986988</v>
      </c>
      <c r="V191" s="57" cm="1">
        <f t="array" ref="V191">VLOOKUP(B191,'Player Data'!$A1:$AE673,10,FALSE)*$Q191*IFERROR(((VLOOKUP(P191,Settings!$E$28:$F$33,2,FALSE)/2)+1),1)</f>
        <v>180.29613612234203</v>
      </c>
      <c r="W191" s="58" cm="1">
        <f t="array" ref="W191">VLOOKUP(B191,'Player Data'!$A1:$AE673,11,FALSE)*$Q191*IFERROR((VLOOKUP(P191,Settings!$E$28:$F$33,2,FALSE)+1),1)</f>
        <v>5.7909904829512673</v>
      </c>
      <c r="X191" s="57" cm="1">
        <f t="array" ref="X191">VLOOKUP(B191,'Player Data'!$A1:$AE673,12,FALSE)*$Q191*IFERROR((VLOOKUP(P191,Settings!$E$28:$F$33,2,FALSE)+1),1)</f>
        <v>17.053143679121195</v>
      </c>
      <c r="Y191" s="57" cm="1">
        <f t="array" ref="Y191">VLOOKUP(B191,'Player Data'!$A1:$AE673,13,FALSE)*$Q191</f>
        <v>2.4346302607705259</v>
      </c>
      <c r="Z191" s="57" cm="1">
        <f t="array" ref="Z191">VLOOKUP(B191,'Player Data'!$A1:$AE673,14,FALSE)*$Q191</f>
        <v>3.7754169776141877</v>
      </c>
      <c r="AA191" s="57" cm="1">
        <f t="array" ref="AA191">VLOOKUP(B191,'Player Data'!$A1:$AE673,15,FALSE)*$Q191</f>
        <v>30.49293602067366</v>
      </c>
      <c r="AB191" s="57" cm="1">
        <f t="array" ref="AB191">VLOOKUP(B191,'Player Data'!$A1:$AE673,16,FALSE)*$Q191</f>
        <v>72.040383983530802</v>
      </c>
      <c r="AC191" s="57" cm="1">
        <f t="array" ref="AC191">VLOOKUP(B191,'Player Data'!$A1:$AE673,17,FALSE)*$Q191*IFERROR((VLOOKUP(P191,Settings!$E$28:$F$33,2,FALSE)+1),1)</f>
        <v>5.4790286100294088</v>
      </c>
      <c r="AD191" s="57" cm="1">
        <f t="array" ref="AD191">VLOOKUP(B191,'Player Data'!$A1:$AE673,18,FALSE)*$Q191</f>
        <v>17.842382185078137</v>
      </c>
      <c r="AE191" s="57" cm="1">
        <f t="array" ref="AE191">VLOOKUP(B191,'Player Data'!$A1:$AE673,19,FALSE)*$Q191*IFERROR((VLOOKUP(P191,Settings!$E$28:$F$33,2,FALSE)+1),1)</f>
        <v>4.7457281358375463</v>
      </c>
      <c r="AF191" s="57" cm="1">
        <f t="array" ref="AF191">VLOOKUP(B191,'Player Data'!$A1:$AE673,20,FALSE)*$Q191</f>
        <v>43.219951956747778</v>
      </c>
      <c r="AG191" s="57" cm="1">
        <f t="array" ref="AG191">VLOOKUP(B191,'Player Data'!$A1:$AE673,21,FALSE)*$Q191</f>
        <v>65.870069950919401</v>
      </c>
      <c r="AH191" s="59" cm="1">
        <f t="array" ref="AH191">VLOOKUP(B191,'Player Data'!$A1:$AE673,22,FALSE)</f>
        <v>0.39618611492560402</v>
      </c>
      <c r="AI191" s="55"/>
      <c r="AJ191" s="57"/>
      <c r="AK191" s="57"/>
      <c r="AL191" s="57"/>
      <c r="AM191" s="57"/>
      <c r="AN191" s="57"/>
      <c r="AO191" s="57"/>
      <c r="AP191" s="57"/>
      <c r="AQ191" s="60"/>
      <c r="AR191" s="61"/>
      <c r="AS191" s="55"/>
    </row>
    <row r="192" spans="1:45" ht="21.25" customHeight="1" x14ac:dyDescent="0.15">
      <c r="A192" s="62">
        <f t="shared" si="2"/>
        <v>191</v>
      </c>
      <c r="B192" s="10" t="s">
        <v>320</v>
      </c>
      <c r="C192" s="47" t="s">
        <v>128</v>
      </c>
      <c r="D192" s="48" t="str" cm="1">
        <f t="array" ref="D192">VLOOKUP(B192,'Player Data'!A1:D673,4,FALSE)</f>
        <v>C</v>
      </c>
      <c r="E192" s="49" cm="1">
        <f t="array" ref="E192">VLOOKUP(B192,'C'!A1:C210,3,FALSE)</f>
        <v>57</v>
      </c>
      <c r="F192" s="63" t="str" cm="1">
        <f t="array" ref="F192">VLOOKUP(B192,'Player Data'!A1:B673,2,FALSE)</f>
        <v>SEA</v>
      </c>
      <c r="G192" s="71" cm="1">
        <f t="array" ref="G192">VLOOKUP(B192,'Player Data'!A1:D673,3,FALSE)</f>
        <v>23</v>
      </c>
      <c r="H192" s="51" cm="1">
        <f t="array" ref="H192">IFERROR(VLOOKUP(B192,ADP!A1:F671,6,FALSE)/1000000,VLOOKUP(B192,ADP!A1:F671,6,FALSE))</f>
        <v>7.1420000000000003</v>
      </c>
      <c r="I192" s="52">
        <f>IF(Settings!$E$15="POINTS",((R192*Q192)*Settings!$B$12)+(S192*Settings!$B$2)+(T192*Settings!$B$3)+(U192*Settings!$B$4)+(V192*Settings!$B$5)+(X192*Settings!$B$9)+(AA192*Settings!$B$6)+(W192*Settings!$B$8)+(AB192*Settings!$B$7)+(AC192*Settings!$B$14)+(AD192*Settings!$B$15)+(AE192*Settings!$B$16)+(AF192*Settings!$B$17)+(AG192*Settings!$B$18)+(Y192*Settings!$B$10)+(Z192*Settings!$B$11),VLOOKUP(B192,'Standard Deviations'!A$1:C$672,3,FALSE))</f>
        <v>292.5794372024348</v>
      </c>
      <c r="J192" s="53" cm="1">
        <f t="array" ref="J192">IF(D192="G",I192/AJ192,I192/Q192)</f>
        <v>3.5026869053326326</v>
      </c>
      <c r="K192" s="52" cm="1">
        <f t="array" ref="K192">IF(Settings!$E$18="C/LW/RW",VLOOKUP(B192,'C'!A1:F210,6,FALSE),VLOOKUP(B192,F!A1:F407,6,FALSE))</f>
        <v>-93.955769190648198</v>
      </c>
      <c r="L192" s="54" cm="1">
        <f t="array" ref="L192">IFERROR(K192/H192,"N/A")</f>
        <v>-13.155386333050712</v>
      </c>
      <c r="M192" s="85" t="s">
        <v>832</v>
      </c>
      <c r="N192" s="85" t="str" cm="1">
        <f t="array" ref="N192">IFERROR(M192-A192,"N/A")</f>
        <v>N/A</v>
      </c>
      <c r="O192" s="55"/>
      <c r="P192" s="56" t="str" cm="1">
        <f t="array" ref="P192">_xlfn.XLOOKUP($B192,ADP!A2:A671,ADP!G2:G671)</f>
        <v xml:space="preserve"> </v>
      </c>
      <c r="Q192" s="57" cm="1">
        <f t="array" ref="Q192">IF(Settings!$E$12="YES",VLOOKUP(B192,'Player Data'!A1:E673,5,FALSE),84)</f>
        <v>83.53</v>
      </c>
      <c r="R192" s="55" cm="1">
        <f t="array" ref="R192">VLOOKUP(B192,'Player Data'!$A1:$AE673,6,FALSE)</f>
        <v>20.163686509146299</v>
      </c>
      <c r="S192" s="57" cm="1">
        <f t="array" ref="S192">VLOOKUP(B192,'Player Data'!$A1:$AE673,7,FALSE)*$Q192*IFERROR((VLOOKUP(P192,Settings!$E$28:$F$33,2,FALSE)+1),1)</f>
        <v>22.879588015454157</v>
      </c>
      <c r="T192" s="57" cm="1">
        <f t="array" ref="T192">VLOOKUP(B192,'Player Data'!$A1:$AE673,8,FALSE)*$Q192*IFERROR((VLOOKUP(P192,Settings!$E$28:$F$33,2,FALSE)+1),1)</f>
        <v>31.289481478201054</v>
      </c>
      <c r="U192" s="57" cm="1">
        <f t="array" ref="U192">SUM(S192:T192)</f>
        <v>54.169069493655215</v>
      </c>
      <c r="V192" s="57" cm="1">
        <f t="array" ref="V192">VLOOKUP(B192,'Player Data'!$A1:$AE673,10,FALSE)*$Q192*IFERROR(((VLOOKUP(P192,Settings!$E$28:$F$33,2,FALSE)/2)+1),1)</f>
        <v>161.54423068925124</v>
      </c>
      <c r="W192" s="57" cm="1">
        <f t="array" ref="W192">VLOOKUP(B192,'Player Data'!$A1:$AE673,11,FALSE)*$Q192*IFERROR((VLOOKUP(P192,Settings!$E$28:$F$33,2,FALSE)+1),1)</f>
        <v>5.9030223005472733</v>
      </c>
      <c r="X192" s="79" cm="1">
        <f t="array" ref="X192">VLOOKUP(B192,'Player Data'!$A1:$AE673,12,FALSE)*$Q192*IFERROR((VLOOKUP(P192,Settings!$E$28:$F$33,2,FALSE)+1),1)</f>
        <v>12.465017809349082</v>
      </c>
      <c r="Y192" s="57" cm="1">
        <f t="array" ref="Y192">VLOOKUP(B192,'Player Data'!$A1:$AE673,13,FALSE)*$Q192</f>
        <v>0.23867634740662419</v>
      </c>
      <c r="Z192" s="57" cm="1">
        <f t="array" ref="Z192">VLOOKUP(B192,'Player Data'!$A1:$AE673,14,FALSE)*$Q192</f>
        <v>0.39060079655105112</v>
      </c>
      <c r="AA192" s="57" cm="1">
        <f t="array" ref="AA192">VLOOKUP(B192,'Player Data'!$A1:$AE673,15,FALSE)*$Q192</f>
        <v>72.888989541886929</v>
      </c>
      <c r="AB192" s="57" cm="1">
        <f t="array" ref="AB192">VLOOKUP(B192,'Player Data'!$A1:$AE673,16,FALSE)*$Q192</f>
        <v>41.140711169407794</v>
      </c>
      <c r="AC192" s="57" cm="1">
        <f t="array" ref="AC192">VLOOKUP(B192,'Player Data'!$A1:$AE673,17,FALSE)*$Q192*IFERROR((VLOOKUP(P192,Settings!$E$28:$F$33,2,FALSE)+1),1)</f>
        <v>-6.7255780822363214</v>
      </c>
      <c r="AD192" s="57" cm="1">
        <f t="array" ref="AD192">VLOOKUP(B192,'Player Data'!$A1:$AE673,18,FALSE)*$Q192</f>
        <v>24.937664832665586</v>
      </c>
      <c r="AE192" s="57" cm="1">
        <f t="array" ref="AE192">VLOOKUP(B192,'Player Data'!$A1:$AE673,19,FALSE)*$Q192*IFERROR((VLOOKUP(P192,Settings!$E$28:$F$33,2,FALSE)+1),1)</f>
        <v>3.152239464478328</v>
      </c>
      <c r="AF192" s="57" cm="1">
        <f t="array" ref="AF192">VLOOKUP(B192,'Player Data'!$A1:$AE673,20,FALSE)*$Q192</f>
        <v>568.83465009821975</v>
      </c>
      <c r="AG192" s="57" cm="1">
        <f t="array" ref="AG192">VLOOKUP(B192,'Player Data'!$A1:$AE673,21,FALSE)*$Q192</f>
        <v>625.20823613322352</v>
      </c>
      <c r="AH192" s="59" cm="1">
        <f t="array" ref="AH192">VLOOKUP(B192,'Player Data'!$A1:$AE673,22,FALSE)</f>
        <v>0.476393818561691</v>
      </c>
      <c r="AI192" s="55"/>
      <c r="AJ192" s="57"/>
      <c r="AK192" s="57"/>
      <c r="AL192" s="57"/>
      <c r="AM192" s="57"/>
      <c r="AN192" s="57"/>
      <c r="AO192" s="57"/>
      <c r="AP192" s="57"/>
      <c r="AQ192" s="60"/>
      <c r="AR192" s="61"/>
      <c r="AS192" s="55"/>
    </row>
    <row r="193" spans="1:45" ht="21.25" customHeight="1" x14ac:dyDescent="0.15">
      <c r="A193" s="62">
        <f t="shared" si="2"/>
        <v>192</v>
      </c>
      <c r="B193" s="10" t="s">
        <v>321</v>
      </c>
      <c r="C193" s="47" t="s">
        <v>128</v>
      </c>
      <c r="D193" s="48" t="str" cm="1">
        <f t="array" ref="D193">VLOOKUP(B193,'Player Data'!A1:D673,4,FALSE)</f>
        <v>C,LW</v>
      </c>
      <c r="E193" s="74" cm="1">
        <f t="array" ref="E193">VLOOKUP(B193,LW!A1:C210,3,FALSE)</f>
        <v>46</v>
      </c>
      <c r="F193" s="63" t="str" cm="1">
        <f t="array" ref="F193">VLOOKUP(B193,'Player Data'!A1:B673,2,FALSE)</f>
        <v>SEA</v>
      </c>
      <c r="G193" s="11" cm="1">
        <f t="array" ref="G193">VLOOKUP(B193,'Player Data'!A1:D673,3,FALSE)</f>
        <v>30</v>
      </c>
      <c r="H193" s="67" cm="1">
        <f t="array" ref="H193">IFERROR(VLOOKUP(B193,ADP!A1:F671,6,FALSE)/1000000,VLOOKUP(B193,ADP!A1:F671,6,FALSE))</f>
        <v>5</v>
      </c>
      <c r="I193" s="52">
        <f>IF(Settings!$E$15="POINTS",((R193*Q193)*Settings!$B$12)+(S193*Settings!$B$2)+(T193*Settings!$B$3)+(U193*Settings!$B$4)+(V193*Settings!$B$5)+(X193*Settings!$B$9)+(AA193*Settings!$B$6)+(W193*Settings!$B$8)+(AB193*Settings!$B$7)+(AC193*Settings!$B$14)+(AD193*Settings!$B$15)+(AE193*Settings!$B$16)+(AF193*Settings!$B$17)+(AG193*Settings!$B$18)+(Y193*Settings!$B$10)+(Z193*Settings!$B$11),VLOOKUP(B193,'Standard Deviations'!A$1:C$672,3,FALSE))</f>
        <v>304.58235299228926</v>
      </c>
      <c r="J193" s="53" cm="1">
        <f t="array" ref="J193">IF(D193="G",I193/AJ193,I193/Q193)</f>
        <v>3.8797828544970292</v>
      </c>
      <c r="K193" s="52" cm="1">
        <f t="array" ref="K193">IF(Settings!$E$18="C/LW/RW",VLOOKUP(B193,LW!A1:F210,6,FALSE),VLOOKUP(B193,F!A1:F407,6,FALSE))</f>
        <v>-94.730640321430826</v>
      </c>
      <c r="L193" s="54" cm="1">
        <f t="array" ref="L193">IFERROR(K193/H193,"N/A")</f>
        <v>-18.946128064286164</v>
      </c>
      <c r="M193" s="85" t="s">
        <v>832</v>
      </c>
      <c r="N193" s="85" t="str" cm="1">
        <f t="array" ref="N193">IFERROR(M193-A193,"N/A")</f>
        <v>N/A</v>
      </c>
      <c r="O193" s="55"/>
      <c r="P193" s="56" t="str" cm="1">
        <f t="array" ref="P193">_xlfn.XLOOKUP($B193,ADP!A2:A671,ADP!G2:G671)</f>
        <v xml:space="preserve"> </v>
      </c>
      <c r="Q193" s="57" cm="1">
        <f t="array" ref="Q193">IF(Settings!$E$12="YES",VLOOKUP(B193,'Player Data'!A1:E673,5,FALSE),84)</f>
        <v>78.504999999999995</v>
      </c>
      <c r="R193" s="55" cm="1">
        <f t="array" ref="R193">VLOOKUP(B193,'Player Data'!$A1:$AE673,6,FALSE)</f>
        <v>16.369055894597199</v>
      </c>
      <c r="S193" s="57" cm="1">
        <f t="array" ref="S193">VLOOKUP(B193,'Player Data'!$A1:$AE673,7,FALSE)*$Q193*IFERROR((VLOOKUP(P193,Settings!$E$28:$F$33,2,FALSE)+1),1)</f>
        <v>25.57541903411207</v>
      </c>
      <c r="T193" s="57" cm="1">
        <f t="array" ref="T193">VLOOKUP(B193,'Player Data'!$A1:$AE673,8,FALSE)*$Q193*IFERROR((VLOOKUP(P193,Settings!$E$28:$F$33,2,FALSE)+1),1)</f>
        <v>33.043688397722256</v>
      </c>
      <c r="U193" s="57" cm="1">
        <f t="array" ref="U193">SUM(S193:T193)</f>
        <v>58.619107431834323</v>
      </c>
      <c r="V193" s="57" cm="1">
        <f t="array" ref="V193">VLOOKUP(B193,'Player Data'!$A1:$AE673,10,FALSE)*$Q193*IFERROR(((VLOOKUP(P193,Settings!$E$28:$F$33,2,FALSE)/2)+1),1)</f>
        <v>181.5896147753854</v>
      </c>
      <c r="W193" s="57" cm="1">
        <f t="array" ref="W193">VLOOKUP(B193,'Player Data'!$A1:$AE673,11,FALSE)*$Q193*IFERROR((VLOOKUP(P193,Settings!$E$28:$F$33,2,FALSE)+1),1)</f>
        <v>7.5973160227383003</v>
      </c>
      <c r="X193" s="79" cm="1">
        <f t="array" ref="X193">VLOOKUP(B193,'Player Data'!$A1:$AE673,12,FALSE)*$Q193*IFERROR((VLOOKUP(P193,Settings!$E$28:$F$33,2,FALSE)+1),1)</f>
        <v>18.596495057632971</v>
      </c>
      <c r="Y193" s="57" cm="1">
        <f t="array" ref="Y193">VLOOKUP(B193,'Player Data'!$A1:$AE673,13,FALSE)*$Q193</f>
        <v>5.3895618122562446E-2</v>
      </c>
      <c r="Z193" s="57" cm="1">
        <f t="array" ref="Z193">VLOOKUP(B193,'Player Data'!$A1:$AE673,14,FALSE)*$Q193</f>
        <v>9.584147794860455E-2</v>
      </c>
      <c r="AA193" s="57" cm="1">
        <f t="array" ref="AA193">VLOOKUP(B193,'Player Data'!$A1:$AE673,15,FALSE)*$Q193</f>
        <v>38.475773547024019</v>
      </c>
      <c r="AB193" s="57" cm="1">
        <f t="array" ref="AB193">VLOOKUP(B193,'Player Data'!$A1:$AE673,16,FALSE)*$Q193</f>
        <v>58.24032445309318</v>
      </c>
      <c r="AC193" s="57" cm="1">
        <f t="array" ref="AC193">VLOOKUP(B193,'Player Data'!$A1:$AE673,17,FALSE)*$Q193*IFERROR((VLOOKUP(P193,Settings!$E$28:$F$33,2,FALSE)+1),1)</f>
        <v>-5.3835775184513688</v>
      </c>
      <c r="AD193" s="57" cm="1">
        <f t="array" ref="AD193">VLOOKUP(B193,'Player Data'!$A1:$AE673,18,FALSE)*$Q193</f>
        <v>22.655880575866046</v>
      </c>
      <c r="AE193" s="57" cm="1">
        <f t="array" ref="AE193">VLOOKUP(B193,'Player Data'!$A1:$AE673,19,FALSE)*$Q193*IFERROR((VLOOKUP(P193,Settings!$E$28:$F$33,2,FALSE)+1),1)</f>
        <v>3.5236580809690752</v>
      </c>
      <c r="AF193" s="57" cm="1">
        <f t="array" ref="AF193">VLOOKUP(B193,'Player Data'!$A1:$AE673,20,FALSE)*$Q193</f>
        <v>59.83402521063072</v>
      </c>
      <c r="AG193" s="57" cm="1">
        <f t="array" ref="AG193">VLOOKUP(B193,'Player Data'!$A1:$AE673,21,FALSE)*$Q193</f>
        <v>65.34822372114381</v>
      </c>
      <c r="AH193" s="59" cm="1">
        <f t="array" ref="AH193">VLOOKUP(B193,'Player Data'!$A1:$AE673,22,FALSE)</f>
        <v>0.47797531775643998</v>
      </c>
      <c r="AI193" s="55"/>
      <c r="AJ193" s="57"/>
      <c r="AK193" s="57"/>
      <c r="AL193" s="57"/>
      <c r="AM193" s="57"/>
      <c r="AN193" s="57"/>
      <c r="AO193" s="57"/>
      <c r="AP193" s="57"/>
      <c r="AQ193" s="60"/>
      <c r="AR193" s="61"/>
      <c r="AS193" s="55"/>
    </row>
    <row r="194" spans="1:45" ht="21.25" customHeight="1" x14ac:dyDescent="0.15">
      <c r="A194" s="62">
        <f t="shared" ref="A194:A257" si="3">RANK(K194,K$2:K$671)</f>
        <v>193</v>
      </c>
      <c r="B194" s="10" t="s">
        <v>322</v>
      </c>
      <c r="C194" s="47" t="s">
        <v>128</v>
      </c>
      <c r="D194" s="48" t="str" cm="1">
        <f t="array" ref="D194">VLOOKUP(B194,'Player Data'!A1:D673,4,FALSE)</f>
        <v>LW,RW</v>
      </c>
      <c r="E194" s="74" cm="1">
        <f t="array" ref="E194">VLOOKUP(B194,RW!A1:F210,3,FALSE)</f>
        <v>58</v>
      </c>
      <c r="F194" s="18" t="str" cm="1">
        <f t="array" ref="F194">VLOOKUP(B194,'Player Data'!A1:B673,2,FALSE)</f>
        <v>VAN</v>
      </c>
      <c r="G194" s="11" cm="1">
        <f t="array" ref="G194">VLOOKUP(B194,'Player Data'!A1:D673,3,FALSE)</f>
        <v>29</v>
      </c>
      <c r="H194" s="51" cm="1">
        <f t="array" ref="H194">IFERROR(VLOOKUP(B194,ADP!A1:F671,6,FALSE)/1000000,VLOOKUP(B194,ADP!A1:F671,6,FALSE))</f>
        <v>5.5</v>
      </c>
      <c r="I194" s="52">
        <f>IF(Settings!$E$15="POINTS",((R194*Q194)*Settings!$B$12)+(S194*Settings!$B$2)+(T194*Settings!$B$3)+(U194*Settings!$B$4)+(V194*Settings!$B$5)+(X194*Settings!$B$9)+(AA194*Settings!$B$6)+(W194*Settings!$B$8)+(AB194*Settings!$B$7)+(AC194*Settings!$B$14)+(AD194*Settings!$B$15)+(AE194*Settings!$B$16)+(AF194*Settings!$B$17)+(AG194*Settings!$B$18)+(Y194*Settings!$B$10)+(Z194*Settings!$B$11),VLOOKUP(B194,'Standard Deviations'!A$1:C$672,3,FALSE))</f>
        <v>300.20840133334292</v>
      </c>
      <c r="J194" s="53" cm="1">
        <f t="array" ref="J194">IF(D194="G",I194/AJ194,I194/Q194)</f>
        <v>3.588755880975977</v>
      </c>
      <c r="K194" s="52" cm="1">
        <f t="array" ref="K194">IF(Settings!$E$18="C/LW/RW",VLOOKUP(B194,RW!A1:F210,6,FALSE),VLOOKUP(B194,F!A1:F407,6,FALSE))</f>
        <v>-94.735063360214554</v>
      </c>
      <c r="L194" s="54" cm="1">
        <f t="array" ref="L194">IFERROR(K194/H194,"N/A")</f>
        <v>-17.224556974584463</v>
      </c>
      <c r="M194" s="55">
        <v>140</v>
      </c>
      <c r="N194" s="55" cm="1">
        <f t="array" ref="N194">IFERROR(M194-A194,"N/A")</f>
        <v>-53</v>
      </c>
      <c r="O194" s="55"/>
      <c r="P194" s="56" t="str" cm="1">
        <f t="array" ref="P194">_xlfn.XLOOKUP($B194,ADP!A2:A671,ADP!G2:G671)</f>
        <v xml:space="preserve"> </v>
      </c>
      <c r="Q194" s="57" cm="1">
        <f t="array" ref="Q194">IF(Settings!$E$12="YES",VLOOKUP(B194,'Player Data'!A1:E673,5,FALSE),84)</f>
        <v>83.652500000000003</v>
      </c>
      <c r="R194" s="82" cm="1">
        <f t="array" ref="R194">VLOOKUP(B194,'Player Data'!$A1:$AE673,6,FALSE)</f>
        <v>17.9167752268032</v>
      </c>
      <c r="S194" s="57" cm="1">
        <f t="array" ref="S194">VLOOKUP(B194,'Player Data'!$A1:$AE673,7,FALSE)*$Q194*IFERROR((VLOOKUP(P194,Settings!$E$28:$F$33,2,FALSE)+1),1)</f>
        <v>25.756754183623617</v>
      </c>
      <c r="T194" s="57" cm="1">
        <f t="array" ref="T194">VLOOKUP(B194,'Player Data'!$A1:$AE673,8,FALSE)*$Q194*IFERROR((VLOOKUP(P194,Settings!$E$28:$F$33,2,FALSE)+1),1)</f>
        <v>22.801112997733458</v>
      </c>
      <c r="U194" s="57" cm="1">
        <f t="array" ref="U194">SUM(S194:T194)</f>
        <v>48.557867181357075</v>
      </c>
      <c r="V194" s="57" cm="1">
        <f t="array" ref="V194">VLOOKUP(B194,'Player Data'!$A1:$AE673,10,FALSE)*$Q194*IFERROR(((VLOOKUP(P194,Settings!$E$28:$F$33,2,FALSE)/2)+1),1)</f>
        <v>218.44071899245273</v>
      </c>
      <c r="W194" s="58" cm="1">
        <f t="array" ref="W194">VLOOKUP(B194,'Player Data'!$A1:$AE673,11,FALSE)*$Q194*IFERROR((VLOOKUP(P194,Settings!$E$28:$F$33,2,FALSE)+1),1)</f>
        <v>15.160162219382677</v>
      </c>
      <c r="X194" s="57" cm="1">
        <f t="array" ref="X194">VLOOKUP(B194,'Player Data'!$A1:$AE673,12,FALSE)*$Q194*IFERROR((VLOOKUP(P194,Settings!$E$28:$F$33,2,FALSE)+1),1)</f>
        <v>22.890004825396296</v>
      </c>
      <c r="Y194" s="57" cm="1">
        <f t="array" ref="Y194">VLOOKUP(B194,'Player Data'!$A1:$AE673,13,FALSE)*$Q194</f>
        <v>0.4533446854999264</v>
      </c>
      <c r="Z194" s="57" cm="1">
        <f t="array" ref="Z194">VLOOKUP(B194,'Player Data'!$A1:$AE673,14,FALSE)*$Q194</f>
        <v>0.56569571450038014</v>
      </c>
      <c r="AA194" s="57" cm="1">
        <f t="array" ref="AA194">VLOOKUP(B194,'Player Data'!$A1:$AE673,15,FALSE)*$Q194</f>
        <v>43.717479506297231</v>
      </c>
      <c r="AB194" s="57" cm="1">
        <f t="array" ref="AB194">VLOOKUP(B194,'Player Data'!$A1:$AE673,16,FALSE)*$Q194</f>
        <v>82.928696993762983</v>
      </c>
      <c r="AC194" s="57" cm="1">
        <f t="array" ref="AC194">VLOOKUP(B194,'Player Data'!$A1:$AE673,17,FALSE)*$Q194*IFERROR((VLOOKUP(P194,Settings!$E$28:$F$33,2,FALSE)+1),1)</f>
        <v>-10.673047650712759</v>
      </c>
      <c r="AD194" s="57" cm="1">
        <f t="array" ref="AD194">VLOOKUP(B194,'Player Data'!$A1:$AE673,18,FALSE)*$Q194</f>
        <v>20.662975601252235</v>
      </c>
      <c r="AE194" s="57" cm="1">
        <f t="array" ref="AE194">VLOOKUP(B194,'Player Data'!$A1:$AE673,19,FALSE)*$Q194*IFERROR((VLOOKUP(P194,Settings!$E$28:$F$33,2,FALSE)+1),1)</f>
        <v>3.1917132000541977</v>
      </c>
      <c r="AF194" s="57" cm="1">
        <f t="array" ref="AF194">VLOOKUP(B194,'Player Data'!$A1:$AE673,20,FALSE)*$Q194</f>
        <v>12.930910858965699</v>
      </c>
      <c r="AG194" s="57" cm="1">
        <f t="array" ref="AG194">VLOOKUP(B194,'Player Data'!$A1:$AE673,21,FALSE)*$Q194</f>
        <v>21.104822984520176</v>
      </c>
      <c r="AH194" s="59" cm="1">
        <f t="array" ref="AH194">VLOOKUP(B194,'Player Data'!$A1:$AE673,22,FALSE)</f>
        <v>0.379921611751602</v>
      </c>
      <c r="AI194" s="55"/>
      <c r="AJ194" s="57"/>
      <c r="AK194" s="57"/>
      <c r="AL194" s="57"/>
      <c r="AM194" s="57"/>
      <c r="AN194" s="57"/>
      <c r="AO194" s="57"/>
      <c r="AP194" s="57"/>
      <c r="AQ194" s="60"/>
      <c r="AR194" s="61"/>
      <c r="AS194" s="55"/>
    </row>
    <row r="195" spans="1:45" ht="21.25" customHeight="1" x14ac:dyDescent="0.15">
      <c r="A195" s="62">
        <f t="shared" si="3"/>
        <v>194</v>
      </c>
      <c r="B195" s="10" t="s">
        <v>323</v>
      </c>
      <c r="C195" s="47" t="s">
        <v>147</v>
      </c>
      <c r="D195" s="48" t="str" cm="1">
        <f t="array" ref="D195">VLOOKUP(B195,'Player Data'!A1:D673,4,FALSE)</f>
        <v>D</v>
      </c>
      <c r="E195" s="68" cm="1">
        <f t="array" ref="E195">VLOOKUP(B195,D!A1:C204,3,FALSE)</f>
        <v>65</v>
      </c>
      <c r="F195" s="65" t="str" cm="1">
        <f t="array" ref="F195">VLOOKUP(B195,'Player Data'!A1:B673,2,FALSE)</f>
        <v>STL</v>
      </c>
      <c r="G195" s="66" cm="1">
        <f t="array" ref="G195">VLOOKUP(B195,'Player Data'!A1:D673,3,FALSE)</f>
        <v>33</v>
      </c>
      <c r="H195" s="51" cm="1">
        <f t="array" ref="H195">IFERROR(VLOOKUP(B195,ADP!A1:F671,6,FALSE)/1000000,VLOOKUP(B195,ADP!A1:F671,6,FALSE))</f>
        <v>6.5</v>
      </c>
      <c r="I195" s="52">
        <f>IF(Settings!$E$15="POINTS",((R195*Q195)*Settings!$B$12)+(S195*Settings!$B$2)+(T195*Settings!$B$3)+(U195*Settings!$B$4)+(V195*Settings!$B$5)+(X195*Settings!$B$9)+(AA195*Settings!$B$6)+(W195*Settings!$B$8)+(AB195*Settings!$B$7)+(AC195*Settings!$B$14)+(AD195*Settings!$B$15)+(AE195*Settings!$B$16)+(AF195*Settings!$B$17)+(AG195*Settings!$B$18)+(U195*Settings!$B$13)+(Y195*Settings!$B$10)+(Z195*Settings!$B$11),VLOOKUP(B195,'Standard Deviations'!A$1:C$672,3,FALSE))</f>
        <v>211.51759850586421</v>
      </c>
      <c r="J195" s="53" cm="1">
        <f t="array" ref="J195">IF(D195="G",I195/AJ195,I195/Q195)</f>
        <v>2.6220919020158577</v>
      </c>
      <c r="K195" s="52" cm="1">
        <f t="array" ref="K195">VLOOKUP(B195,D!A1:F204,6,FALSE)</f>
        <v>-95.136268838729848</v>
      </c>
      <c r="L195" s="54" cm="1">
        <f t="array" ref="L195">IFERROR(K195/H195,"N/A")</f>
        <v>-14.636349052112283</v>
      </c>
      <c r="M195" s="55">
        <v>129</v>
      </c>
      <c r="N195" s="55" cm="1">
        <f t="array" ref="N195">IFERROR(M195-A195,"N/A")</f>
        <v>-65</v>
      </c>
      <c r="O195" s="55"/>
      <c r="P195" s="56" t="str" cm="1">
        <f t="array" ref="P195">_xlfn.XLOOKUP($B195,ADP!A2:A671,ADP!G2:G671)</f>
        <v xml:space="preserve"> </v>
      </c>
      <c r="Q195" s="57" cm="1">
        <f t="array" ref="Q195">IF(Settings!$E$12="YES",VLOOKUP(B195,'Player Data'!A1:E673,5,FALSE),84)</f>
        <v>80.667500000000004</v>
      </c>
      <c r="R195" s="55" cm="1">
        <f t="array" ref="R195">VLOOKUP(B195,'Player Data'!$A1:$AE673,6,FALSE)</f>
        <v>22.115375914658902</v>
      </c>
      <c r="S195" s="57" cm="1">
        <f t="array" ref="S195">VLOOKUP(B195,'Player Data'!$A1:$AE673,7,FALSE)*$Q195*IFERROR((VLOOKUP(P195,Settings!$E$28:$F$33,2,FALSE)+1),1)</f>
        <v>7.075166955813053</v>
      </c>
      <c r="T195" s="57" cm="1">
        <f t="array" ref="T195">VLOOKUP(B195,'Player Data'!$A1:$AE673,8,FALSE)*$Q195*IFERROR((VLOOKUP(P195,Settings!$E$28:$F$33,2,FALSE)+1),1)</f>
        <v>15.697598506941349</v>
      </c>
      <c r="U195" s="57" cm="1">
        <f t="array" ref="U195">SUM(S195:T195)</f>
        <v>22.7727654627544</v>
      </c>
      <c r="V195" s="57" cm="1">
        <f t="array" ref="V195">VLOOKUP(B195,'Player Data'!$A1:$AE673,10,FALSE)*$Q195*IFERROR(((VLOOKUP(P195,Settings!$E$28:$F$33,2,FALSE)/2)+1),1)</f>
        <v>114.0550155440083</v>
      </c>
      <c r="W195" s="57" cm="1">
        <f t="array" ref="W195">VLOOKUP(B195,'Player Data'!$A1:$AE673,11,FALSE)*$Q195*IFERROR((VLOOKUP(P195,Settings!$E$28:$F$33,2,FALSE)+1),1)</f>
        <v>4.2647466799613397E-3</v>
      </c>
      <c r="X195" s="57" cm="1">
        <f t="array" ref="X195">VLOOKUP(B195,'Player Data'!$A1:$AE673,12,FALSE)*$Q195*IFERROR((VLOOKUP(P195,Settings!$E$28:$F$33,2,FALSE)+1),1)</f>
        <v>5.4653124076340945E-2</v>
      </c>
      <c r="Y195" s="57" cm="1">
        <f t="array" ref="Y195">VLOOKUP(B195,'Player Data'!$A1:$AE673,13,FALSE)*$Q195</f>
        <v>0.15514691481954768</v>
      </c>
      <c r="Z195" s="57" cm="1">
        <f t="array" ref="Z195">VLOOKUP(B195,'Player Data'!$A1:$AE673,14,FALSE)*$Q195</f>
        <v>0.6744581606860327</v>
      </c>
      <c r="AA195" s="57" cm="1">
        <f t="array" ref="AA195">VLOOKUP(B195,'Player Data'!$A1:$AE673,15,FALSE)*$Q195</f>
        <v>170.88536612166894</v>
      </c>
      <c r="AB195" s="57" cm="1">
        <f t="array" ref="AB195">VLOOKUP(B195,'Player Data'!$A1:$AE673,16,FALSE)*$Q195</f>
        <v>97.225631585157998</v>
      </c>
      <c r="AC195" s="57" cm="1">
        <f t="array" ref="AC195">VLOOKUP(B195,'Player Data'!$A1:$AE673,17,FALSE)*$Q195*IFERROR((VLOOKUP(P195,Settings!$E$28:$F$33,2,FALSE)+1),1)</f>
        <v>-1.5667050631804327</v>
      </c>
      <c r="AD195" s="57" cm="1">
        <f t="array" ref="AD195">VLOOKUP(B195,'Player Data'!$A1:$AE673,18,FALSE)*$Q195</f>
        <v>22.906142136127315</v>
      </c>
      <c r="AE195" s="57" cm="1">
        <f t="array" ref="AE195">VLOOKUP(B195,'Player Data'!$A1:$AE673,19,FALSE)*$Q195*IFERROR((VLOOKUP(P195,Settings!$E$28:$F$33,2,FALSE)+1),1)</f>
        <v>1.0201757121000115</v>
      </c>
      <c r="AF195" s="57" cm="1">
        <f t="array" ref="AF195">VLOOKUP(B195,'Player Data'!$A1:$AE673,20,FALSE)*$Q195</f>
        <v>0</v>
      </c>
      <c r="AG195" s="57" cm="1">
        <f t="array" ref="AG195">VLOOKUP(B195,'Player Data'!$A1:$AE673,21,FALSE)*$Q195</f>
        <v>0</v>
      </c>
      <c r="AH195" s="59" cm="1">
        <f t="array" ref="AH195">VLOOKUP(B195,'Player Data'!$A1:$AE673,22,FALSE)</f>
        <v>0</v>
      </c>
      <c r="AI195" s="55"/>
      <c r="AJ195" s="57"/>
      <c r="AK195" s="57"/>
      <c r="AL195" s="57"/>
      <c r="AM195" s="57"/>
      <c r="AN195" s="57"/>
      <c r="AO195" s="57"/>
      <c r="AP195" s="57"/>
      <c r="AQ195" s="60"/>
      <c r="AR195" s="61"/>
      <c r="AS195" s="55"/>
    </row>
    <row r="196" spans="1:45" ht="21.25" customHeight="1" x14ac:dyDescent="0.15">
      <c r="A196" s="62">
        <f t="shared" si="3"/>
        <v>195</v>
      </c>
      <c r="B196" s="10" t="s">
        <v>324</v>
      </c>
      <c r="C196" s="47" t="s">
        <v>147</v>
      </c>
      <c r="D196" s="48" t="str" cm="1">
        <f t="array" ref="D196">VLOOKUP(B196,'Player Data'!A1:D673,4,FALSE)</f>
        <v>D</v>
      </c>
      <c r="E196" s="68" cm="1">
        <f t="array" ref="E196">VLOOKUP(B196,D!A1:C204,3,FALSE)</f>
        <v>66</v>
      </c>
      <c r="F196" s="63" t="str" cm="1">
        <f t="array" ref="F196">VLOOKUP(B196,'Player Data'!A1:B673,2,FALSE)</f>
        <v>EDM</v>
      </c>
      <c r="G196" s="11" cm="1">
        <f t="array" ref="G196">VLOOKUP(B196,'Player Data'!A1:D673,3,FALSE)</f>
        <v>30</v>
      </c>
      <c r="H196" s="51" cm="1">
        <f t="array" ref="H196">IFERROR(VLOOKUP(B196,ADP!A1:F671,6,FALSE)/1000000,VLOOKUP(B196,ADP!A1:F671,6,FALSE))</f>
        <v>7</v>
      </c>
      <c r="I196" s="52">
        <f>IF(Settings!$E$15="POINTS",((R196*Q196)*Settings!$B$12)+(S196*Settings!$B$2)+(T196*Settings!$B$3)+(U196*Settings!$B$4)+(V196*Settings!$B$5)+(X196*Settings!$B$9)+(AA196*Settings!$B$6)+(W196*Settings!$B$8)+(AB196*Settings!$B$7)+(AC196*Settings!$B$14)+(AD196*Settings!$B$15)+(AE196*Settings!$B$16)+(AF196*Settings!$B$17)+(AG196*Settings!$B$18)+(U196*Settings!$B$13)+(Y196*Settings!$B$10)+(Z196*Settings!$B$11),VLOOKUP(B196,'Standard Deviations'!A$1:C$672,3,FALSE))</f>
        <v>210.74270527275525</v>
      </c>
      <c r="J196" s="53" cm="1">
        <f t="array" ref="J196">IF(D196="G",I196/AJ196,I196/Q196)</f>
        <v>2.8232661969690569</v>
      </c>
      <c r="K196" s="52" cm="1">
        <f t="array" ref="K196">VLOOKUP(B196,D!A1:F204,6,FALSE)</f>
        <v>-95.911162071838817</v>
      </c>
      <c r="L196" s="54" cm="1">
        <f t="array" ref="L196">IFERROR(K196/H196,"N/A")</f>
        <v>-13.701594581691259</v>
      </c>
      <c r="M196" s="55">
        <v>127.6</v>
      </c>
      <c r="N196" s="55" cm="1">
        <f t="array" ref="N196">IFERROR(M196-A196,"N/A")</f>
        <v>-67.400000000000006</v>
      </c>
      <c r="O196" s="55"/>
      <c r="P196" s="56" t="str" cm="1">
        <f t="array" ref="P196">_xlfn.XLOOKUP($B196,ADP!A2:A671,ADP!G2:G671)</f>
        <v xml:space="preserve"> </v>
      </c>
      <c r="Q196" s="57" cm="1">
        <f t="array" ref="Q196">IF(Settings!$E$12="YES",VLOOKUP(B196,'Player Data'!A1:E673,5,FALSE),84)</f>
        <v>74.644999999999996</v>
      </c>
      <c r="R196" s="55" cm="1">
        <f t="array" ref="R196">VLOOKUP(B196,'Player Data'!$A1:$AE673,6,FALSE)</f>
        <v>18.650069941648901</v>
      </c>
      <c r="S196" s="57" cm="1">
        <f t="array" ref="S196">VLOOKUP(B196,'Player Data'!$A1:$AE673,7,FALSE)*$Q196*IFERROR((VLOOKUP(P196,Settings!$E$28:$F$33,2,FALSE)+1),1)</f>
        <v>7.7629136534576091</v>
      </c>
      <c r="T196" s="57" cm="1">
        <f t="array" ref="T196">VLOOKUP(B196,'Player Data'!$A1:$AE673,8,FALSE)*$Q196*IFERROR((VLOOKUP(P196,Settings!$E$28:$F$33,2,FALSE)+1),1)</f>
        <v>19.218971956977263</v>
      </c>
      <c r="U196" s="57" cm="1">
        <f t="array" ref="U196">SUM(S196:T196)</f>
        <v>26.981885610434873</v>
      </c>
      <c r="V196" s="57" cm="1">
        <f t="array" ref="V196">VLOOKUP(B196,'Player Data'!$A1:$AE673,10,FALSE)*$Q196*IFERROR(((VLOOKUP(P196,Settings!$E$28:$F$33,2,FALSE)/2)+1),1)</f>
        <v>129.24591424208487</v>
      </c>
      <c r="W196" s="57" cm="1">
        <f t="array" ref="W196">VLOOKUP(B196,'Player Data'!$A1:$AE673,11,FALSE)*$Q196*IFERROR((VLOOKUP(P196,Settings!$E$28:$F$33,2,FALSE)+1),1)</f>
        <v>0.3597386357693943</v>
      </c>
      <c r="X196" s="57" cm="1">
        <f t="array" ref="X196">VLOOKUP(B196,'Player Data'!$A1:$AE673,12,FALSE)*$Q196*IFERROR((VLOOKUP(P196,Settings!$E$28:$F$33,2,FALSE)+1),1)</f>
        <v>2.1892105233640993</v>
      </c>
      <c r="Y196" s="57" cm="1">
        <f t="array" ref="Y196">VLOOKUP(B196,'Player Data'!$A1:$AE673,13,FALSE)*$Q196</f>
        <v>0.45053618179422067</v>
      </c>
      <c r="Z196" s="57" cm="1">
        <f t="array" ref="Z196">VLOOKUP(B196,'Player Data'!$A1:$AE673,14,FALSE)*$Q196</f>
        <v>0.60192110605949178</v>
      </c>
      <c r="AA196" s="57" cm="1">
        <f t="array" ref="AA196">VLOOKUP(B196,'Player Data'!$A1:$AE673,15,FALSE)*$Q196</f>
        <v>124.76591938196925</v>
      </c>
      <c r="AB196" s="57" cm="1">
        <f t="array" ref="AB196">VLOOKUP(B196,'Player Data'!$A1:$AE673,16,FALSE)*$Q196</f>
        <v>44.538912342170292</v>
      </c>
      <c r="AC196" s="57" cm="1">
        <f t="array" ref="AC196">VLOOKUP(B196,'Player Data'!$A1:$AE673,17,FALSE)*$Q196*IFERROR((VLOOKUP(P196,Settings!$E$28:$F$33,2,FALSE)+1),1)</f>
        <v>2.7380928625766505</v>
      </c>
      <c r="AD196" s="57" cm="1">
        <f t="array" ref="AD196">VLOOKUP(B196,'Player Data'!$A1:$AE673,18,FALSE)*$Q196</f>
        <v>31.12023257587898</v>
      </c>
      <c r="AE196" s="57" cm="1">
        <f t="array" ref="AE196">VLOOKUP(B196,'Player Data'!$A1:$AE673,19,FALSE)*$Q196*IFERROR((VLOOKUP(P196,Settings!$E$28:$F$33,2,FALSE)+1),1)</f>
        <v>1.3627139287819898</v>
      </c>
      <c r="AF196" s="57" cm="1">
        <f t="array" ref="AF196">VLOOKUP(B196,'Player Data'!$A1:$AE673,20,FALSE)*$Q196</f>
        <v>0</v>
      </c>
      <c r="AG196" s="57" cm="1">
        <f t="array" ref="AG196">VLOOKUP(B196,'Player Data'!$A1:$AE673,21,FALSE)*$Q196</f>
        <v>0</v>
      </c>
      <c r="AH196" s="59" cm="1">
        <f t="array" ref="AH196">VLOOKUP(B196,'Player Data'!$A1:$AE673,22,FALSE)</f>
        <v>0</v>
      </c>
      <c r="AI196" s="55"/>
      <c r="AJ196" s="57"/>
      <c r="AK196" s="57"/>
      <c r="AL196" s="57"/>
      <c r="AM196" s="57"/>
      <c r="AN196" s="57"/>
      <c r="AO196" s="57"/>
      <c r="AP196" s="57"/>
      <c r="AQ196" s="60"/>
      <c r="AR196" s="61"/>
      <c r="AS196" s="55"/>
    </row>
    <row r="197" spans="1:45" ht="21.25" customHeight="1" x14ac:dyDescent="0.15">
      <c r="A197" s="62">
        <f t="shared" si="3"/>
        <v>196</v>
      </c>
      <c r="B197" s="10" t="s">
        <v>325</v>
      </c>
      <c r="C197" s="47" t="s">
        <v>147</v>
      </c>
      <c r="D197" s="48" t="str" cm="1">
        <f t="array" ref="D197">VLOOKUP(B197,'Player Data'!A1:D673,4,FALSE)</f>
        <v>D</v>
      </c>
      <c r="E197" s="68" cm="1">
        <f t="array" ref="E197">VLOOKUP(B197,D!A1:C204,3,FALSE)</f>
        <v>67</v>
      </c>
      <c r="F197" s="69" t="str" cm="1">
        <f t="array" ref="F197">VLOOKUP(B197,'Player Data'!A1:B673,2,FALSE)</f>
        <v>CBJ</v>
      </c>
      <c r="G197" s="71" cm="1">
        <f t="array" ref="G197">VLOOKUP(B197,'Player Data'!A1:D673,3,FALSE)</f>
        <v>22</v>
      </c>
      <c r="H197" s="51" cm="1">
        <f t="array" ref="H197">IFERROR(VLOOKUP(B197,ADP!A1:F671,6,FALSE)/1000000,VLOOKUP(B197,ADP!A1:F671,6,FALSE))</f>
        <v>0.88666699999999998</v>
      </c>
      <c r="I197" s="52">
        <f>IF(Settings!$E$15="POINTS",((R197*Q197)*Settings!$B$12)+(S197*Settings!$B$2)+(T197*Settings!$B$3)+(U197*Settings!$B$4)+(V197*Settings!$B$5)+(X197*Settings!$B$9)+(AA197*Settings!$B$6)+(W197*Settings!$B$8)+(AB197*Settings!$B$7)+(AC197*Settings!$B$14)+(AD197*Settings!$B$15)+(AE197*Settings!$B$16)+(AF197*Settings!$B$17)+(AG197*Settings!$B$18)+(U197*Settings!$B$13)+(Y197*Settings!$B$10)+(Z197*Settings!$B$11),VLOOKUP(B197,'Standard Deviations'!A$1:C$672,3,FALSE))</f>
        <v>209.77088302058536</v>
      </c>
      <c r="J197" s="53" cm="1">
        <f t="array" ref="J197">IF(D197="G",I197/AJ197,I197/Q197)</f>
        <v>2.7784222916633823</v>
      </c>
      <c r="K197" s="52" cm="1">
        <f t="array" ref="K197">VLOOKUP(B197,D!A1:F204,6,FALSE)</f>
        <v>-96.882984324008703</v>
      </c>
      <c r="L197" s="54" cm="1">
        <f t="array" ref="L197">IFERROR(K197/H197,"N/A")</f>
        <v>-109.266482596069</v>
      </c>
      <c r="M197" s="85" t="s">
        <v>832</v>
      </c>
      <c r="N197" s="85" t="str" cm="1">
        <f t="array" ref="N197">IFERROR(M197-A197,"N/A")</f>
        <v>N/A</v>
      </c>
      <c r="O197" s="55"/>
      <c r="P197" s="56" t="str" cm="1">
        <f t="array" ref="P197">_xlfn.XLOOKUP($B197,ADP!A2:A671,ADP!G2:G671)</f>
        <v>+</v>
      </c>
      <c r="Q197" s="57" cm="1">
        <f t="array" ref="Q197">IF(Settings!$E$12="YES",VLOOKUP(B197,'Player Data'!A1:E673,5,FALSE),84)</f>
        <v>75.5</v>
      </c>
      <c r="R197" s="82" cm="1">
        <f t="array" ref="R197">VLOOKUP(B197,'Player Data'!$A1:$AE673,6,FALSE)</f>
        <v>20.6560979414079</v>
      </c>
      <c r="S197" s="57" cm="1">
        <f t="array" ref="S197">VLOOKUP(B197,'Player Data'!$A1:$AE673,7,FALSE)*$Q197*IFERROR((VLOOKUP(P197,Settings!$E$28:$F$33,2,FALSE)+1),1)</f>
        <v>12.518851666183442</v>
      </c>
      <c r="T197" s="57" cm="1">
        <f t="array" ref="T197">VLOOKUP(B197,'Player Data'!$A1:$AE673,8,FALSE)*$Q197*IFERROR((VLOOKUP(P197,Settings!$E$28:$F$33,2,FALSE)+1),1)</f>
        <v>21.879549187677917</v>
      </c>
      <c r="U197" s="57" cm="1">
        <f t="array" ref="U197">SUM(S197:T197)</f>
        <v>34.398400853861361</v>
      </c>
      <c r="V197" s="57" cm="1">
        <f t="array" ref="V197">VLOOKUP(B197,'Player Data'!$A1:$AE673,10,FALSE)*$Q197*IFERROR(((VLOOKUP(P197,Settings!$E$28:$F$33,2,FALSE)/2)+1),1)</f>
        <v>99.730046977458628</v>
      </c>
      <c r="W197" s="57" cm="1">
        <f t="array" ref="W197">VLOOKUP(B197,'Player Data'!$A1:$AE673,11,FALSE)*$Q197*IFERROR((VLOOKUP(P197,Settings!$E$28:$F$33,2,FALSE)+1),1)</f>
        <v>0.68714152719723343</v>
      </c>
      <c r="X197" s="57" cm="1">
        <f t="array" ref="X197">VLOOKUP(B197,'Player Data'!$A1:$AE673,12,FALSE)*$Q197*IFERROR((VLOOKUP(P197,Settings!$E$28:$F$33,2,FALSE)+1),1)</f>
        <v>2.4797292847284775</v>
      </c>
      <c r="Y197" s="57" cm="1">
        <f t="array" ref="Y197">VLOOKUP(B197,'Player Data'!$A1:$AE673,13,FALSE)*$Q197</f>
        <v>2.8622864627716918E-2</v>
      </c>
      <c r="Z197" s="57" cm="1">
        <f t="array" ref="Z197">VLOOKUP(B197,'Player Data'!$A1:$AE673,14,FALSE)*$Q197</f>
        <v>0.19686572666654278</v>
      </c>
      <c r="AA197" s="57" cm="1">
        <f t="array" ref="AA197">VLOOKUP(B197,'Player Data'!$A1:$AE673,15,FALSE)*$Q197</f>
        <v>108.06812391775392</v>
      </c>
      <c r="AB197" s="57" cm="1">
        <f t="array" ref="AB197">VLOOKUP(B197,'Player Data'!$A1:$AE673,16,FALSE)*$Q197</f>
        <v>44.262467778417111</v>
      </c>
      <c r="AC197" s="57" cm="1">
        <f t="array" ref="AC197">VLOOKUP(B197,'Player Data'!$A1:$AE673,17,FALSE)*$Q197*IFERROR((VLOOKUP(P197,Settings!$E$28:$F$33,2,FALSE)+1),1)</f>
        <v>2.338529196484616</v>
      </c>
      <c r="AD197" s="57" cm="1">
        <f t="array" ref="AD197">VLOOKUP(B197,'Player Data'!$A1:$AE673,18,FALSE)*$Q197</f>
        <v>22.950379713579004</v>
      </c>
      <c r="AE197" s="57" cm="1">
        <f t="array" ref="AE197">VLOOKUP(B197,'Player Data'!$A1:$AE673,19,FALSE)*$Q197*IFERROR((VLOOKUP(P197,Settings!$E$28:$F$33,2,FALSE)+1),1)</f>
        <v>2.0173032386952103</v>
      </c>
      <c r="AF197" s="57" cm="1">
        <f t="array" ref="AF197">VLOOKUP(B197,'Player Data'!$A1:$AE673,20,FALSE)*$Q197</f>
        <v>0</v>
      </c>
      <c r="AG197" s="57" cm="1">
        <f t="array" ref="AG197">VLOOKUP(B197,'Player Data'!$A1:$AE673,21,FALSE)*$Q197</f>
        <v>0</v>
      </c>
      <c r="AH197" s="59" cm="1">
        <f t="array" ref="AH197">VLOOKUP(B197,'Player Data'!$A1:$AE673,22,FALSE)</f>
        <v>0</v>
      </c>
      <c r="AI197" s="55"/>
      <c r="AJ197" s="57"/>
      <c r="AK197" s="57"/>
      <c r="AL197" s="57"/>
      <c r="AM197" s="57"/>
      <c r="AN197" s="57"/>
      <c r="AO197" s="57"/>
      <c r="AP197" s="57"/>
      <c r="AQ197" s="60"/>
      <c r="AR197" s="61"/>
      <c r="AS197" s="55"/>
    </row>
    <row r="198" spans="1:45" ht="21.25" customHeight="1" x14ac:dyDescent="0.15">
      <c r="A198" s="62">
        <f t="shared" si="3"/>
        <v>197</v>
      </c>
      <c r="B198" s="10" t="s">
        <v>326</v>
      </c>
      <c r="C198" s="47" t="s">
        <v>147</v>
      </c>
      <c r="D198" s="48" t="str" cm="1">
        <f t="array" ref="D198">VLOOKUP(B198,'Player Data'!A1:D673,4,FALSE)</f>
        <v>D</v>
      </c>
      <c r="E198" s="68" cm="1">
        <f t="array" ref="E198">VLOOKUP(B198,D!A1:C204,3,FALSE)</f>
        <v>68</v>
      </c>
      <c r="F198" s="56" t="str" cm="1">
        <f t="array" ref="F198">VLOOKUP(B198,'Player Data'!A1:B673,2,FALSE)</f>
        <v>CHI</v>
      </c>
      <c r="G198" s="71" cm="1">
        <f t="array" ref="G198">VLOOKUP(B198,'Player Data'!A1:D673,3,FALSE)</f>
        <v>20</v>
      </c>
      <c r="H198" s="51" cm="1">
        <f t="array" ref="H198">IFERROR(VLOOKUP(B198,ADP!A1:F671,6,FALSE)/1000000,VLOOKUP(B198,ADP!A1:F671,6,FALSE))</f>
        <v>0.97499999999999998</v>
      </c>
      <c r="I198" s="52">
        <f>IF(Settings!$E$15="POINTS",((R198*Q198)*Settings!$B$12)+(S198*Settings!$B$2)+(T198*Settings!$B$3)+(U198*Settings!$B$4)+(V198*Settings!$B$5)+(X198*Settings!$B$9)+(AA198*Settings!$B$6)+(W198*Settings!$B$8)+(AB198*Settings!$B$7)+(AC198*Settings!$B$14)+(AD198*Settings!$B$15)+(AE198*Settings!$B$16)+(AF198*Settings!$B$17)+(AG198*Settings!$B$18)+(U198*Settings!$B$13)+(Y198*Settings!$B$10)+(Z198*Settings!$B$11),VLOOKUP(B198,'Standard Deviations'!A$1:C$672,3,FALSE))</f>
        <v>209.55266742852132</v>
      </c>
      <c r="J198" s="53" cm="1">
        <f t="array" ref="J198">IF(D198="G",I198/AJ198,I198/Q198)</f>
        <v>2.679016459070843</v>
      </c>
      <c r="K198" s="52" cm="1">
        <f t="array" ref="K198">VLOOKUP(B198,D!A1:F204,6,FALSE)</f>
        <v>-97.101199916072744</v>
      </c>
      <c r="L198" s="54" cm="1">
        <f t="array" ref="L198">IFERROR(K198/H198,"N/A")</f>
        <v>-99.590974272895124</v>
      </c>
      <c r="M198" s="85" t="s">
        <v>832</v>
      </c>
      <c r="N198" s="85" t="str" cm="1">
        <f t="array" ref="N198">IFERROR(M198-A198,"N/A")</f>
        <v>N/A</v>
      </c>
      <c r="O198" s="55"/>
      <c r="P198" s="56" t="str" cm="1">
        <f t="array" ref="P198">_xlfn.XLOOKUP($B198,ADP!A2:A671,ADP!G2:G671)</f>
        <v xml:space="preserve"> </v>
      </c>
      <c r="Q198" s="57" cm="1">
        <f t="array" ref="Q198">IF(Settings!$E$12="YES",VLOOKUP(B198,'Player Data'!A1:E673,5,FALSE),84)</f>
        <v>78.22</v>
      </c>
      <c r="R198" s="82" cm="1">
        <f t="array" ref="R198">VLOOKUP(B198,'Player Data'!$A1:$AE673,6,FALSE)</f>
        <v>20.779301530995301</v>
      </c>
      <c r="S198" s="57" cm="1">
        <f t="array" ref="S198">VLOOKUP(B198,'Player Data'!$A1:$AE673,7,FALSE)*$Q198*IFERROR((VLOOKUP(P198,Settings!$E$28:$F$33,2,FALSE)+1),1)</f>
        <v>5.006707247294667</v>
      </c>
      <c r="T198" s="57" cm="1">
        <f t="array" ref="T198">VLOOKUP(B198,'Player Data'!$A1:$AE673,8,FALSE)*$Q198*IFERROR((VLOOKUP(P198,Settings!$E$28:$F$33,2,FALSE)+1),1)</f>
        <v>26.020941949368666</v>
      </c>
      <c r="U198" s="57" cm="1">
        <f t="array" ref="U198">SUM(S198:T198)</f>
        <v>31.027649196663333</v>
      </c>
      <c r="V198" s="57" cm="1">
        <f t="array" ref="V198">VLOOKUP(B198,'Player Data'!$A1:$AE673,10,FALSE)*$Q198*IFERROR(((VLOOKUP(P198,Settings!$E$28:$F$33,2,FALSE)/2)+1),1)</f>
        <v>115.23341730760076</v>
      </c>
      <c r="W198" s="57" cm="1">
        <f t="array" ref="W198">VLOOKUP(B198,'Player Data'!$A1:$AE673,11,FALSE)*$Q198*IFERROR((VLOOKUP(P198,Settings!$E$28:$F$33,2,FALSE)+1),1)</f>
        <v>1.1321086065419117</v>
      </c>
      <c r="X198" s="57" cm="1">
        <f t="array" ref="X198">VLOOKUP(B198,'Player Data'!$A1:$AE673,12,FALSE)*$Q198*IFERROR((VLOOKUP(P198,Settings!$E$28:$F$33,2,FALSE)+1),1)</f>
        <v>8.9038347822749397</v>
      </c>
      <c r="Y198" s="57" cm="1">
        <f t="array" ref="Y198">VLOOKUP(B198,'Player Data'!$A1:$AE673,13,FALSE)*$Q198</f>
        <v>6.5490088668183344E-2</v>
      </c>
      <c r="Z198" s="57" cm="1">
        <f t="array" ref="Z198">VLOOKUP(B198,'Player Data'!$A1:$AE673,14,FALSE)*$Q198</f>
        <v>0.1681125118636376</v>
      </c>
      <c r="AA198" s="57" cm="1">
        <f t="array" ref="AA198">VLOOKUP(B198,'Player Data'!$A1:$AE673,15,FALSE)*$Q198</f>
        <v>99.562127781184756</v>
      </c>
      <c r="AB198" s="57" cm="1">
        <f t="array" ref="AB198">VLOOKUP(B198,'Player Data'!$A1:$AE673,16,FALSE)*$Q198</f>
        <v>107.39075214945285</v>
      </c>
      <c r="AC198" s="57" cm="1">
        <f t="array" ref="AC198">VLOOKUP(B198,'Player Data'!$A1:$AE673,17,FALSE)*$Q198*IFERROR((VLOOKUP(P198,Settings!$E$28:$F$33,2,FALSE)+1),1)</f>
        <v>-11.434957147361926</v>
      </c>
      <c r="AD198" s="57" cm="1">
        <f t="array" ref="AD198">VLOOKUP(B198,'Player Data'!$A1:$AE673,18,FALSE)*$Q198</f>
        <v>46.659298423134778</v>
      </c>
      <c r="AE198" s="57" cm="1">
        <f t="array" ref="AE198">VLOOKUP(B198,'Player Data'!$A1:$AE673,19,FALSE)*$Q198*IFERROR((VLOOKUP(P198,Settings!$E$28:$F$33,2,FALSE)+1),1)</f>
        <v>0.61790802550051427</v>
      </c>
      <c r="AF198" s="57" cm="1">
        <f t="array" ref="AF198">VLOOKUP(B198,'Player Data'!$A1:$AE673,20,FALSE)*$Q198</f>
        <v>0</v>
      </c>
      <c r="AG198" s="57" cm="1">
        <f t="array" ref="AG198">VLOOKUP(B198,'Player Data'!$A1:$AE673,21,FALSE)*$Q198</f>
        <v>0</v>
      </c>
      <c r="AH198" s="59" cm="1">
        <f t="array" ref="AH198">VLOOKUP(B198,'Player Data'!$A1:$AE673,22,FALSE)</f>
        <v>0</v>
      </c>
      <c r="AI198" s="55"/>
      <c r="AJ198" s="57"/>
      <c r="AK198" s="57"/>
      <c r="AL198" s="57"/>
      <c r="AM198" s="57"/>
      <c r="AN198" s="57"/>
      <c r="AO198" s="57"/>
      <c r="AP198" s="57"/>
      <c r="AQ198" s="60"/>
      <c r="AR198" s="61"/>
      <c r="AS198" s="55"/>
    </row>
    <row r="199" spans="1:45" ht="21.25" customHeight="1" x14ac:dyDescent="0.15">
      <c r="A199" s="62">
        <f t="shared" si="3"/>
        <v>198</v>
      </c>
      <c r="B199" s="10" t="s">
        <v>327</v>
      </c>
      <c r="C199" s="76"/>
      <c r="D199" s="48" t="str" cm="1">
        <f t="array" ref="D199">VLOOKUP(B199,'Player Data'!A1:D673,4,FALSE)</f>
        <v>G</v>
      </c>
      <c r="E199" s="77" cm="1">
        <f t="array" ref="E199">VLOOKUP(B199,G!A1:D66,3,FALSE)</f>
        <v>26</v>
      </c>
      <c r="F199" s="18" t="str" cm="1">
        <f t="array" ref="F199">VLOOKUP(B199,'Player Data'!A1:B673,2,FALSE)</f>
        <v>VAN</v>
      </c>
      <c r="G199" s="11" cm="1">
        <f t="array" ref="G199">VLOOKUP(B199,'Player Data'!A1:D673,3,FALSE)</f>
        <v>30</v>
      </c>
      <c r="H199" s="51" cm="1">
        <f t="array" ref="H199">IFERROR(VLOOKUP(B199,ADP!A1:F671,6,FALSE)/1000000,VLOOKUP(B199,ADP!A1:F671,6,FALSE))</f>
        <v>8.5</v>
      </c>
      <c r="I199" s="52">
        <f>IF(Settings!$E$15="POINTS",(AJ199*Settings!$B$29)+(AK199*Settings!$B$21)+(AL199*Settings!$B$22)+(AN199*Settings!$B$24)+(AO199*Settings!$B$25)+(AP199*Settings!$B$27)+(AM199*Settings!$B$23),VLOOKUP(B199,'Standard Deviations'!A$1:C$672,3,FALSE))</f>
        <v>261.9174031086194</v>
      </c>
      <c r="J199" s="53" cm="1">
        <f t="array" ref="J199">IF(D199="G",I199/AJ199,I199/Q199)</f>
        <v>5.820386735747098</v>
      </c>
      <c r="K199" s="52" cm="1">
        <f t="array" ref="K199">VLOOKUP(B199,G!A1:F66,6,FALSE)</f>
        <v>-97.240504821618629</v>
      </c>
      <c r="L199" s="54" cm="1">
        <f t="array" ref="L199">IFERROR(K199/H199,"N/A")</f>
        <v>-11.440059390778663</v>
      </c>
      <c r="M199" s="55">
        <v>151</v>
      </c>
      <c r="N199" s="55" cm="1">
        <f t="array" ref="N199">IFERROR(M199-A199,"N/A")</f>
        <v>-47</v>
      </c>
      <c r="O199" s="55"/>
      <c r="P199" s="56" t="str" cm="1">
        <f t="array" ref="P199">_xlfn.XLOOKUP($B199,ADP!A2:A671,ADP!G2:G671)</f>
        <v xml:space="preserve"> </v>
      </c>
      <c r="Q199" s="57"/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9"/>
      <c r="AI199" s="55"/>
      <c r="AJ199" s="78" cm="1">
        <f t="array" ref="AJ199">VLOOKUP(B199,'Player Data'!$A1:$AE673,24,FALSE)</f>
        <v>45</v>
      </c>
      <c r="AK199" s="57" cm="1">
        <f t="array" ref="AK199">VLOOKUP(B199,'Player Data'!$A1:$AE673,25,FALSE)*$AJ199*IFERROR((VLOOKUP(P199,Settings!$E$28:$F$33,2,FALSE)+1),1)</f>
        <v>16.012374949918215</v>
      </c>
      <c r="AL199" s="57" cm="1">
        <f t="array" ref="AL199">AJ199-AK199-AM199</f>
        <v>21.740718787561349</v>
      </c>
      <c r="AM199" s="57" cm="1">
        <f t="array" ref="AM199">VLOOKUP(B199,'Player Data'!$A1:$AE673,27,FALSE)*$AJ199</f>
        <v>7.2469062625204348</v>
      </c>
      <c r="AN199" s="57" cm="1">
        <f t="array" ref="AN199">VLOOKUP(B199,'Player Data'!$A1:$AE673,28,FALSE)*AJ199</f>
        <v>1.226001221801883</v>
      </c>
      <c r="AO199" s="57" cm="1">
        <f t="array" ref="AO199">VLOOKUP(B199,'Player Data'!$A1:$AE673,29,FALSE)*$AJ199*IFERROR((VLOOKUP(P199,Settings!$E$28:$F$33,2,FALSE)/4)+1,1)</f>
        <v>1286.0414424142921</v>
      </c>
      <c r="AP199" s="57" cm="1">
        <f t="array" ref="AP199">VLOOKUP(B199,'Player Data'!$A1:$AE673,31,FALSE)*$AJ199*(IFERROR(1-(VLOOKUP(P199,Settings!$E$28:$F$33,2,FALSE)/4),1))</f>
        <v>143.4554813900277</v>
      </c>
      <c r="AQ199" s="60" cm="1">
        <f t="array" ref="AQ199">1-(AP199/(AO199+AP199))</f>
        <v>0.89964617691638704</v>
      </c>
      <c r="AR199" s="61" cm="1">
        <f t="array" ref="AR199">AP199/AJ199</f>
        <v>3.1878995864450599</v>
      </c>
      <c r="AS199" s="55"/>
    </row>
    <row r="200" spans="1:45" ht="21.25" customHeight="1" x14ac:dyDescent="0.15">
      <c r="A200" s="62">
        <f t="shared" si="3"/>
        <v>199</v>
      </c>
      <c r="B200" s="10" t="s">
        <v>328</v>
      </c>
      <c r="C200" s="47" t="s">
        <v>128</v>
      </c>
      <c r="D200" s="48" t="str" cm="1">
        <f t="array" ref="D200">VLOOKUP(B200,'Player Data'!A1:D673,4,FALSE)</f>
        <v>LW,RW</v>
      </c>
      <c r="E200" s="74" cm="1">
        <f t="array" ref="E200">VLOOKUP(B200,RW!A1:F210,3,FALSE)</f>
        <v>59</v>
      </c>
      <c r="F200" s="65" t="str" cm="1">
        <f t="array" ref="F200">VLOOKUP(B200,'Player Data'!A1:B673,2,FALSE)</f>
        <v>NSH</v>
      </c>
      <c r="G200" s="71" cm="1">
        <f t="array" ref="G200">VLOOKUP(B200,'Player Data'!A1:D673,3,FALSE)</f>
        <v>24</v>
      </c>
      <c r="H200" s="67" cm="1">
        <f t="array" ref="H200">IFERROR(VLOOKUP(B200,ADP!A1:F671,6,FALSE)/1000000,VLOOKUP(B200,ADP!A1:F671,6,FALSE))</f>
        <v>3</v>
      </c>
      <c r="I200" s="52">
        <f>IF(Settings!$E$15="POINTS",((R200*Q200)*Settings!$B$12)+(S200*Settings!$B$2)+(T200*Settings!$B$3)+(U200*Settings!$B$4)+(V200*Settings!$B$5)+(X200*Settings!$B$9)+(AA200*Settings!$B$6)+(W200*Settings!$B$8)+(AB200*Settings!$B$7)+(AC200*Settings!$B$14)+(AD200*Settings!$B$15)+(AE200*Settings!$B$16)+(AF200*Settings!$B$17)+(AG200*Settings!$B$18)+(Y200*Settings!$B$10)+(Z200*Settings!$B$11),VLOOKUP(B200,'Standard Deviations'!A$1:C$672,3,FALSE))</f>
        <v>296.86095603321098</v>
      </c>
      <c r="J200" s="53" cm="1">
        <f t="array" ref="J200">IF(D200="G",I200/AJ200,I200/Q200)</f>
        <v>3.632326402168315</v>
      </c>
      <c r="K200" s="52" cm="1">
        <f t="array" ref="K200">IF(Settings!$E$18="C/LW/RW",VLOOKUP(B200,RW!A1:F210,6,FALSE),VLOOKUP(B200,F!A1:F407,6,FALSE))</f>
        <v>-98.082508660346491</v>
      </c>
      <c r="L200" s="54" cm="1">
        <f t="array" ref="L200">IFERROR(K200/H200,"N/A")</f>
        <v>-32.69416955344883</v>
      </c>
      <c r="M200" s="85" t="s">
        <v>832</v>
      </c>
      <c r="N200" s="85" t="str" cm="1">
        <f t="array" ref="N200">IFERROR(M200-A200,"N/A")</f>
        <v>N/A</v>
      </c>
      <c r="O200" s="55"/>
      <c r="P200" s="56" t="str" cm="1">
        <f t="array" ref="P200">_xlfn.XLOOKUP($B200,ADP!A2:A671,ADP!G2:G671)</f>
        <v xml:space="preserve"> </v>
      </c>
      <c r="Q200" s="57" cm="1">
        <f t="array" ref="Q200">IF(Settings!$E$12="YES",VLOOKUP(B200,'Player Data'!A1:E673,5,FALSE),84)</f>
        <v>81.727500000000006</v>
      </c>
      <c r="R200" s="55" cm="1">
        <f t="array" ref="R200">VLOOKUP(B200,'Player Data'!$A1:$AE673,6,FALSE)</f>
        <v>17.359515652246699</v>
      </c>
      <c r="S200" s="57" cm="1">
        <f t="array" ref="S200">VLOOKUP(B200,'Player Data'!$A1:$AE673,7,FALSE)*$Q200*IFERROR((VLOOKUP(P200,Settings!$E$28:$F$33,2,FALSE)+1),1)</f>
        <v>16.501149669762292</v>
      </c>
      <c r="T200" s="57" cm="1">
        <f t="array" ref="T200">VLOOKUP(B200,'Player Data'!$A1:$AE673,8,FALSE)*$Q200*IFERROR((VLOOKUP(P200,Settings!$E$28:$F$33,2,FALSE)+1),1)</f>
        <v>41.031351602323987</v>
      </c>
      <c r="U200" s="57" cm="1">
        <f t="array" ref="U200">SUM(S200:T200)</f>
        <v>57.532501272086279</v>
      </c>
      <c r="V200" s="57" cm="1">
        <f t="array" ref="V200">VLOOKUP(B200,'Player Data'!$A1:$AE673,10,FALSE)*$Q200*IFERROR(((VLOOKUP(P200,Settings!$E$28:$F$33,2,FALSE)/2)+1),1)</f>
        <v>192.5551510372803</v>
      </c>
      <c r="W200" s="57" cm="1">
        <f t="array" ref="W200">VLOOKUP(B200,'Player Data'!$A1:$AE673,11,FALSE)*$Q200*IFERROR((VLOOKUP(P200,Settings!$E$28:$F$33,2,FALSE)+1),1)</f>
        <v>2.5047385357361889</v>
      </c>
      <c r="X200" s="79" cm="1">
        <f t="array" ref="X200">VLOOKUP(B200,'Player Data'!$A1:$AE673,12,FALSE)*$Q200*IFERROR((VLOOKUP(P200,Settings!$E$28:$F$33,2,FALSE)+1),1)</f>
        <v>16.001519003395106</v>
      </c>
      <c r="Y200" s="57" cm="1">
        <f t="array" ref="Y200">VLOOKUP(B200,'Player Data'!$A1:$AE673,13,FALSE)*$Q200</f>
        <v>5.2025395804739024E-3</v>
      </c>
      <c r="Z200" s="57" cm="1">
        <f t="array" ref="Z200">VLOOKUP(B200,'Player Data'!$A1:$AE673,14,FALSE)*$Q200</f>
        <v>8.4265483364914621E-3</v>
      </c>
      <c r="AA200" s="57" cm="1">
        <f t="array" ref="AA200">VLOOKUP(B200,'Player Data'!$A1:$AE673,15,FALSE)*$Q200</f>
        <v>23.951862293160776</v>
      </c>
      <c r="AB200" s="57" cm="1">
        <f t="array" ref="AB200">VLOOKUP(B200,'Player Data'!$A1:$AE673,16,FALSE)*$Q200</f>
        <v>33.01664790310803</v>
      </c>
      <c r="AC200" s="57" cm="1">
        <f t="array" ref="AC200">VLOOKUP(B200,'Player Data'!$A1:$AE673,17,FALSE)*$Q200*IFERROR((VLOOKUP(P200,Settings!$E$28:$F$33,2,FALSE)+1),1)</f>
        <v>-0.26451499782776644</v>
      </c>
      <c r="AD200" s="57" cm="1">
        <f t="array" ref="AD200">VLOOKUP(B200,'Player Data'!$A1:$AE673,18,FALSE)*$Q200</f>
        <v>25.791921890134464</v>
      </c>
      <c r="AE200" s="57" cm="1">
        <f t="array" ref="AE200">VLOOKUP(B200,'Player Data'!$A1:$AE673,19,FALSE)*$Q200*IFERROR((VLOOKUP(P200,Settings!$E$28:$F$33,2,FALSE)+1),1)</f>
        <v>2.2858220313950737</v>
      </c>
      <c r="AF200" s="57" cm="1">
        <f t="array" ref="AF200">VLOOKUP(B200,'Player Data'!$A1:$AE673,20,FALSE)*$Q200</f>
        <v>0.11530269009306797</v>
      </c>
      <c r="AG200" s="57" cm="1">
        <f t="array" ref="AG200">VLOOKUP(B200,'Player Data'!$A1:$AE673,21,FALSE)*$Q200</f>
        <v>1.8409483480993063</v>
      </c>
      <c r="AH200" s="59" cm="1">
        <f t="array" ref="AH200">VLOOKUP(B200,'Player Data'!$A1:$AE673,22,FALSE)</f>
        <v>5.8940640971933002E-2</v>
      </c>
      <c r="AI200" s="55"/>
      <c r="AJ200" s="57"/>
      <c r="AK200" s="57"/>
      <c r="AL200" s="57"/>
      <c r="AM200" s="57"/>
      <c r="AN200" s="57"/>
      <c r="AO200" s="57"/>
      <c r="AP200" s="57"/>
      <c r="AQ200" s="60"/>
      <c r="AR200" s="61"/>
      <c r="AS200" s="55"/>
    </row>
    <row r="201" spans="1:45" ht="21.25" customHeight="1" x14ac:dyDescent="0.15">
      <c r="A201" s="62">
        <f t="shared" si="3"/>
        <v>200</v>
      </c>
      <c r="B201" s="10" t="s">
        <v>329</v>
      </c>
      <c r="C201" s="47" t="s">
        <v>147</v>
      </c>
      <c r="D201" s="48" t="str" cm="1">
        <f t="array" ref="D201">VLOOKUP(B201,'Player Data'!A1:D673,4,FALSE)</f>
        <v>D</v>
      </c>
      <c r="E201" s="68" cm="1">
        <f t="array" ref="E201">VLOOKUP(B201,D!A1:C204,3,FALSE)</f>
        <v>69</v>
      </c>
      <c r="F201" s="65" t="str" cm="1">
        <f t="array" ref="F201">VLOOKUP(B201,'Player Data'!A1:B673,2,FALSE)</f>
        <v>CAR</v>
      </c>
      <c r="G201" s="66" cm="1">
        <f t="array" ref="G201">VLOOKUP(B201,'Player Data'!A1:D673,3,FALSE)</f>
        <v>31</v>
      </c>
      <c r="H201" s="51" cm="1">
        <f t="array" ref="H201">IFERROR(VLOOKUP(B201,ADP!A1:F671,6,FALSE)/1000000,VLOOKUP(B201,ADP!A1:F671,6,FALSE))</f>
        <v>3.6150000000000002</v>
      </c>
      <c r="I201" s="52">
        <f>IF(Settings!$E$15="POINTS",((R201*Q201)*Settings!$B$12)+(S201*Settings!$B$2)+(T201*Settings!$B$3)+(U201*Settings!$B$4)+(V201*Settings!$B$5)+(X201*Settings!$B$9)+(AA201*Settings!$B$6)+(W201*Settings!$B$8)+(AB201*Settings!$B$7)+(AC201*Settings!$B$14)+(AD201*Settings!$B$15)+(AE201*Settings!$B$16)+(AF201*Settings!$B$17)+(AG201*Settings!$B$18)+(U201*Settings!$B$13)+(Y201*Settings!$B$10)+(Z201*Settings!$B$11),VLOOKUP(B201,'Standard Deviations'!A$1:C$672,3,FALSE))</f>
        <v>208.35539778682423</v>
      </c>
      <c r="J201" s="53" cm="1">
        <f t="array" ref="J201">IF(D201="G",I201/AJ201,I201/Q201)</f>
        <v>2.487751383980469</v>
      </c>
      <c r="K201" s="52" cm="1">
        <f t="array" ref="K201">VLOOKUP(B201,D!A1:F204,6,FALSE)</f>
        <v>-98.298469557769835</v>
      </c>
      <c r="L201" s="54" cm="1">
        <f t="array" ref="L201">IFERROR(K201/H201,"N/A")</f>
        <v>-27.19183113631254</v>
      </c>
      <c r="M201" s="85" t="s">
        <v>832</v>
      </c>
      <c r="N201" s="85" t="str" cm="1">
        <f t="array" ref="N201">IFERROR(M201-A201,"N/A")</f>
        <v>N/A</v>
      </c>
      <c r="O201" s="55"/>
      <c r="P201" s="56" t="str" cm="1">
        <f t="array" ref="P201">_xlfn.XLOOKUP($B201,ADP!A2:A671,ADP!G2:G671)</f>
        <v xml:space="preserve"> </v>
      </c>
      <c r="Q201" s="57" cm="1">
        <f t="array" ref="Q201">IF(Settings!$E$12="YES",VLOOKUP(B201,'Player Data'!A1:E673,5,FALSE),84)</f>
        <v>83.752499999999998</v>
      </c>
      <c r="R201" s="84" cm="1">
        <f t="array" ref="R201">VLOOKUP(B201,'Player Data'!$A1:$AE673,6,FALSE)</f>
        <v>20.011130235567901</v>
      </c>
      <c r="S201" s="57" cm="1">
        <f t="array" ref="S201">VLOOKUP(B201,'Player Data'!$A1:$AE673,7,FALSE)*$Q201*IFERROR((VLOOKUP(P201,Settings!$E$28:$F$33,2,FALSE)+1),1)</f>
        <v>6.1162406079882814</v>
      </c>
      <c r="T201" s="57" cm="1">
        <f t="array" ref="T201">VLOOKUP(B201,'Player Data'!$A1:$AE673,8,FALSE)*$Q201*IFERROR((VLOOKUP(P201,Settings!$E$28:$F$33,2,FALSE)+1),1)</f>
        <v>17.446239890549073</v>
      </c>
      <c r="U201" s="57" cm="1">
        <f t="array" ref="U201">SUM(S201:T201)</f>
        <v>23.562480498537354</v>
      </c>
      <c r="V201" s="57" cm="1">
        <f t="array" ref="V201">VLOOKUP(B201,'Player Data'!$A1:$AE673,10,FALSE)*$Q201*IFERROR(((VLOOKUP(P201,Settings!$E$28:$F$33,2,FALSE)/2)+1),1)</f>
        <v>154.15674585872947</v>
      </c>
      <c r="W201" s="57" cm="1">
        <f t="array" ref="W201">VLOOKUP(B201,'Player Data'!$A1:$AE673,11,FALSE)*$Q201*IFERROR((VLOOKUP(P201,Settings!$E$28:$F$33,2,FALSE)+1),1)</f>
        <v>1.6041539012040893E-2</v>
      </c>
      <c r="X201" s="57" cm="1">
        <f t="array" ref="X201">VLOOKUP(B201,'Player Data'!$A1:$AE673,12,FALSE)*$Q201*IFERROR((VLOOKUP(P201,Settings!$E$28:$F$33,2,FALSE)+1),1)</f>
        <v>0.2940523965855743</v>
      </c>
      <c r="Y201" s="57" cm="1">
        <f t="array" ref="Y201">VLOOKUP(B201,'Player Data'!$A1:$AE673,13,FALSE)*$Q201</f>
        <v>0.21142809607639401</v>
      </c>
      <c r="Z201" s="57" cm="1">
        <f t="array" ref="Z201">VLOOKUP(B201,'Player Data'!$A1:$AE673,14,FALSE)*$Q201</f>
        <v>0.40186155092972925</v>
      </c>
      <c r="AA201" s="57" cm="1">
        <f t="array" ref="AA201">VLOOKUP(B201,'Player Data'!$A1:$AE673,15,FALSE)*$Q201</f>
        <v>119.78733882866423</v>
      </c>
      <c r="AB201" s="57" cm="1">
        <f t="array" ref="AB201">VLOOKUP(B201,'Player Data'!$A1:$AE673,16,FALSE)*$Q201</f>
        <v>119.47276297429951</v>
      </c>
      <c r="AC201" s="57" cm="1">
        <f t="array" ref="AC201">VLOOKUP(B201,'Player Data'!$A1:$AE673,17,FALSE)*$Q201*IFERROR((VLOOKUP(P201,Settings!$E$28:$F$33,2,FALSE)+1),1)</f>
        <v>6.654188715440867</v>
      </c>
      <c r="AD201" s="57" cm="1">
        <f t="array" ref="AD201">VLOOKUP(B201,'Player Data'!$A1:$AE673,18,FALSE)*$Q201</f>
        <v>53.177101461299024</v>
      </c>
      <c r="AE201" s="57" cm="1">
        <f t="array" ref="AE201">VLOOKUP(B201,'Player Data'!$A1:$AE673,19,FALSE)*$Q201*IFERROR((VLOOKUP(P201,Settings!$E$28:$F$33,2,FALSE)+1),1)</f>
        <v>1.0503161519830198</v>
      </c>
      <c r="AF201" s="57" cm="1">
        <f t="array" ref="AF201">VLOOKUP(B201,'Player Data'!$A1:$AE673,20,FALSE)*$Q201</f>
        <v>0</v>
      </c>
      <c r="AG201" s="57" cm="1">
        <f t="array" ref="AG201">VLOOKUP(B201,'Player Data'!$A1:$AE673,21,FALSE)*$Q201</f>
        <v>0</v>
      </c>
      <c r="AH201" s="59" cm="1">
        <f t="array" ref="AH201">VLOOKUP(B201,'Player Data'!$A1:$AE673,22,FALSE)</f>
        <v>0</v>
      </c>
      <c r="AI201" s="55"/>
      <c r="AJ201" s="57"/>
      <c r="AK201" s="57"/>
      <c r="AL201" s="57"/>
      <c r="AM201" s="57"/>
      <c r="AN201" s="57"/>
      <c r="AO201" s="57"/>
      <c r="AP201" s="57"/>
      <c r="AQ201" s="60"/>
      <c r="AR201" s="61"/>
      <c r="AS201" s="55"/>
    </row>
    <row r="202" spans="1:45" ht="21.25" customHeight="1" x14ac:dyDescent="0.15">
      <c r="A202" s="62">
        <f t="shared" si="3"/>
        <v>201</v>
      </c>
      <c r="B202" s="10" t="s">
        <v>330</v>
      </c>
      <c r="C202" s="47" t="s">
        <v>128</v>
      </c>
      <c r="D202" s="48" t="str" cm="1">
        <f t="array" ref="D202">VLOOKUP(B202,'Player Data'!A1:D673,4,FALSE)</f>
        <v>C,LW,RW</v>
      </c>
      <c r="E202" s="74" cm="1">
        <f t="array" ref="E202">VLOOKUP(B202,RW!A1:F210,3,FALSE)</f>
        <v>60</v>
      </c>
      <c r="F202" s="56" t="str" cm="1">
        <f t="array" ref="F202">VLOOKUP(B202,'Player Data'!A1:B673,2,FALSE)</f>
        <v>PHI</v>
      </c>
      <c r="G202" s="11" cm="1">
        <f t="array" ref="G202">VLOOKUP(B202,'Player Data'!A1:D673,3,FALSE)</f>
        <v>25</v>
      </c>
      <c r="H202" s="51" cm="1">
        <f t="array" ref="H202">IFERROR(VLOOKUP(B202,ADP!A1:F671,6,FALSE)/1000000,VLOOKUP(B202,ADP!A1:F671,6,FALSE))</f>
        <v>9.125</v>
      </c>
      <c r="I202" s="52">
        <f>IF(Settings!$E$15="POINTS",((R202*Q202)*Settings!$B$12)+(S202*Settings!$B$2)+(T202*Settings!$B$3)+(U202*Settings!$B$4)+(V202*Settings!$B$5)+(X202*Settings!$B$9)+(AA202*Settings!$B$6)+(W202*Settings!$B$8)+(AB202*Settings!$B$7)+(AC202*Settings!$B$14)+(AD202*Settings!$B$15)+(AE202*Settings!$B$16)+(AF202*Settings!$B$17)+(AG202*Settings!$B$18)+(Y202*Settings!$B$10)+(Z202*Settings!$B$11),VLOOKUP(B202,'Standard Deviations'!A$1:C$672,3,FALSE))</f>
        <v>296.03676603353699</v>
      </c>
      <c r="J202" s="53" cm="1">
        <f t="array" ref="J202">IF(D202="G",I202/AJ202,I202/Q202)</f>
        <v>3.9306481581827923</v>
      </c>
      <c r="K202" s="52" cm="1">
        <f t="array" ref="K202">IF(Settings!$E$18="C/LW/RW",VLOOKUP(B202,RW!A1:F210,6,FALSE),VLOOKUP(B202,F!A1:F407,6,FALSE))</f>
        <v>-98.906698660020481</v>
      </c>
      <c r="L202" s="54" cm="1">
        <f t="array" ref="L202">IFERROR(K202/H202,"N/A")</f>
        <v>-10.839090264111833</v>
      </c>
      <c r="M202" s="55">
        <v>136.19999999999999</v>
      </c>
      <c r="N202" s="55" cm="1">
        <f t="array" ref="N202">IFERROR(M202-A202,"N/A")</f>
        <v>-64.800000000000011</v>
      </c>
      <c r="O202" s="55"/>
      <c r="P202" s="56" t="str" cm="1">
        <f t="array" ref="P202">_xlfn.XLOOKUP($B202,ADP!A2:A671,ADP!G2:G671)</f>
        <v>+</v>
      </c>
      <c r="Q202" s="57" cm="1">
        <f t="array" ref="Q202">IF(Settings!$E$12="YES",VLOOKUP(B202,'Player Data'!A1:E673,5,FALSE),84)</f>
        <v>75.314999999999998</v>
      </c>
      <c r="R202" s="55" cm="1">
        <f t="array" ref="R202">VLOOKUP(B202,'Player Data'!$A1:$AE673,6,FALSE)</f>
        <v>18.627369353115601</v>
      </c>
      <c r="S202" s="57" cm="1">
        <f t="array" ref="S202">VLOOKUP(B202,'Player Data'!$A1:$AE673,7,FALSE)*$Q202*IFERROR((VLOOKUP(P202,Settings!$E$28:$F$33,2,FALSE)+1),1)</f>
        <v>23.737980089508728</v>
      </c>
      <c r="T202" s="57" cm="1">
        <f t="array" ref="T202">VLOOKUP(B202,'Player Data'!$A1:$AE673,8,FALSE)*$Q202*IFERROR((VLOOKUP(P202,Settings!$E$28:$F$33,2,FALSE)+1),1)</f>
        <v>37.245960528689373</v>
      </c>
      <c r="U202" s="57" cm="1">
        <f t="array" ref="U202">SUM(S202:T202)</f>
        <v>60.983940618198105</v>
      </c>
      <c r="V202" s="57" cm="1">
        <f t="array" ref="V202">VLOOKUP(B202,'Player Data'!$A1:$AE673,10,FALSE)*$Q202*IFERROR(((VLOOKUP(P202,Settings!$E$28:$F$33,2,FALSE)/2)+1),1)</f>
        <v>163.22881865658474</v>
      </c>
      <c r="W202" s="57" cm="1">
        <f t="array" ref="W202">VLOOKUP(B202,'Player Data'!$A1:$AE673,11,FALSE)*$Q202*IFERROR((VLOOKUP(P202,Settings!$E$28:$F$33,2,FALSE)+1),1)</f>
        <v>7.1743952649134428</v>
      </c>
      <c r="X202" s="79" cm="1">
        <f t="array" ref="X202">VLOOKUP(B202,'Player Data'!$A1:$AE673,12,FALSE)*$Q202*IFERROR((VLOOKUP(P202,Settings!$E$28:$F$33,2,FALSE)+1),1)</f>
        <v>16.692848199898933</v>
      </c>
      <c r="Y202" s="57" cm="1">
        <f t="array" ref="Y202">VLOOKUP(B202,'Player Data'!$A1:$AE673,13,FALSE)*$Q202</f>
        <v>1.4005613659138822E-2</v>
      </c>
      <c r="Z202" s="57" cm="1">
        <f t="array" ref="Z202">VLOOKUP(B202,'Player Data'!$A1:$AE673,14,FALSE)*$Q202</f>
        <v>2.2977807819037438E-2</v>
      </c>
      <c r="AA202" s="57" cm="1">
        <f t="array" ref="AA202">VLOOKUP(B202,'Player Data'!$A1:$AE673,15,FALSE)*$Q202</f>
        <v>29.509417685864737</v>
      </c>
      <c r="AB202" s="57" cm="1">
        <f t="array" ref="AB202">VLOOKUP(B202,'Player Data'!$A1:$AE673,16,FALSE)*$Q202</f>
        <v>48.908601943507122</v>
      </c>
      <c r="AC202" s="57" cm="1">
        <f t="array" ref="AC202">VLOOKUP(B202,'Player Data'!$A1:$AE673,17,FALSE)*$Q202*IFERROR((VLOOKUP(P202,Settings!$E$28:$F$33,2,FALSE)+1),1)</f>
        <v>2.1935727981374966</v>
      </c>
      <c r="AD202" s="57" cm="1">
        <f t="array" ref="AD202">VLOOKUP(B202,'Player Data'!$A1:$AE673,18,FALSE)*$Q202</f>
        <v>42.41654977904745</v>
      </c>
      <c r="AE202" s="57" cm="1">
        <f t="array" ref="AE202">VLOOKUP(B202,'Player Data'!$A1:$AE673,19,FALSE)*$Q202*IFERROR((VLOOKUP(P202,Settings!$E$28:$F$33,2,FALSE)+1),1)</f>
        <v>3.7514307141879808</v>
      </c>
      <c r="AF202" s="57" cm="1">
        <f t="array" ref="AF202">VLOOKUP(B202,'Player Data'!$A1:$AE673,20,FALSE)*$Q202</f>
        <v>122.47880695344838</v>
      </c>
      <c r="AG202" s="57" cm="1">
        <f t="array" ref="AG202">VLOOKUP(B202,'Player Data'!$A1:$AE673,21,FALSE)*$Q202</f>
        <v>224.1183191286317</v>
      </c>
      <c r="AH202" s="59" cm="1">
        <f t="array" ref="AH202">VLOOKUP(B202,'Player Data'!$A1:$AE673,22,FALSE)</f>
        <v>0.35337513711652502</v>
      </c>
      <c r="AI202" s="55"/>
      <c r="AJ202" s="57"/>
      <c r="AK202" s="57"/>
      <c r="AL202" s="57"/>
      <c r="AM202" s="57"/>
      <c r="AN202" s="57"/>
      <c r="AO202" s="57"/>
      <c r="AP202" s="57"/>
      <c r="AQ202" s="60"/>
      <c r="AR202" s="61"/>
      <c r="AS202" s="55"/>
    </row>
    <row r="203" spans="1:45" ht="21.25" customHeight="1" x14ac:dyDescent="0.15">
      <c r="A203" s="62">
        <f t="shared" si="3"/>
        <v>202</v>
      </c>
      <c r="B203" s="10" t="s">
        <v>331</v>
      </c>
      <c r="C203" s="47" t="s">
        <v>147</v>
      </c>
      <c r="D203" s="48" t="str" cm="1">
        <f t="array" ref="D203">VLOOKUP(B203,'Player Data'!A1:D673,4,FALSE)</f>
        <v>D</v>
      </c>
      <c r="E203" s="68" cm="1">
        <f t="array" ref="E203">VLOOKUP(B203,D!A1:C204,3,FALSE)</f>
        <v>70</v>
      </c>
      <c r="F203" s="63" t="str" cm="1">
        <f t="array" ref="F203">VLOOKUP(B203,'Player Data'!A1:B673,2,FALSE)</f>
        <v>DAL</v>
      </c>
      <c r="G203" s="66" cm="1">
        <f t="array" ref="G203">VLOOKUP(B203,'Player Data'!A1:D673,3,FALSE)</f>
        <v>32</v>
      </c>
      <c r="H203" s="51" cm="1">
        <f t="array" ref="H203">IFERROR(VLOOKUP(B203,ADP!A1:F671,6,FALSE)/1000000,VLOOKUP(B203,ADP!A1:F671,6,FALSE))</f>
        <v>5.25</v>
      </c>
      <c r="I203" s="52">
        <f>IF(Settings!$E$15="POINTS",((R203*Q203)*Settings!$B$12)+(S203*Settings!$B$2)+(T203*Settings!$B$3)+(U203*Settings!$B$4)+(V203*Settings!$B$5)+(X203*Settings!$B$9)+(AA203*Settings!$B$6)+(W203*Settings!$B$8)+(AB203*Settings!$B$7)+(AC203*Settings!$B$14)+(AD203*Settings!$B$15)+(AE203*Settings!$B$16)+(AF203*Settings!$B$17)+(AG203*Settings!$B$18)+(U203*Settings!$B$13)+(Y203*Settings!$B$10)+(Z203*Settings!$B$11),VLOOKUP(B203,'Standard Deviations'!A$1:C$672,3,FALSE))</f>
        <v>207.59243281584691</v>
      </c>
      <c r="J203" s="53" cm="1">
        <f t="array" ref="J203">IF(D203="G",I203/AJ203,I203/Q203)</f>
        <v>2.4785676415240512</v>
      </c>
      <c r="K203" s="52" cm="1">
        <f t="array" ref="K203">VLOOKUP(B203,D!A1:F204,6,FALSE)</f>
        <v>-99.061434528747156</v>
      </c>
      <c r="L203" s="54" cm="1">
        <f t="array" ref="L203">IFERROR(K203/H203,"N/A")</f>
        <v>-18.868844672142316</v>
      </c>
      <c r="M203" s="55">
        <v>139.6</v>
      </c>
      <c r="N203" s="55" cm="1">
        <f t="array" ref="N203">IFERROR(M203-A203,"N/A")</f>
        <v>-62.400000000000006</v>
      </c>
      <c r="O203" s="55"/>
      <c r="P203" s="56" t="str" cm="1">
        <f t="array" ref="P203">_xlfn.XLOOKUP($B203,ADP!A2:A671,ADP!G2:G671)</f>
        <v xml:space="preserve"> </v>
      </c>
      <c r="Q203" s="57" cm="1">
        <f t="array" ref="Q203">IF(Settings!$E$12="YES",VLOOKUP(B203,'Player Data'!A1:E673,5,FALSE),84)</f>
        <v>83.754999999999995</v>
      </c>
      <c r="R203" s="55" cm="1">
        <f t="array" ref="R203">VLOOKUP(B203,'Player Data'!$A1:$AE673,6,FALSE)</f>
        <v>22.463356192835398</v>
      </c>
      <c r="S203" s="57" cm="1">
        <f t="array" ref="S203">VLOOKUP(B203,'Player Data'!$A1:$AE673,7,FALSE)*$Q203*IFERROR((VLOOKUP(P203,Settings!$E$28:$F$33,2,FALSE)+1),1)</f>
        <v>3.5051581811506751</v>
      </c>
      <c r="T203" s="57" cm="1">
        <f t="array" ref="T203">VLOOKUP(B203,'Player Data'!$A1:$AE673,8,FALSE)*$Q203*IFERROR((VLOOKUP(P203,Settings!$E$28:$F$33,2,FALSE)+1),1)</f>
        <v>22.513451955784376</v>
      </c>
      <c r="U203" s="57" cm="1">
        <f t="array" ref="U203">SUM(S203:T203)</f>
        <v>26.018610136935052</v>
      </c>
      <c r="V203" s="57" cm="1">
        <f t="array" ref="V203">VLOOKUP(B203,'Player Data'!$A1:$AE673,10,FALSE)*$Q203*IFERROR(((VLOOKUP(P203,Settings!$E$28:$F$33,2,FALSE)/2)+1),1)</f>
        <v>83.962284615067603</v>
      </c>
      <c r="W203" s="57" cm="1">
        <f t="array" ref="W203">VLOOKUP(B203,'Player Data'!$A1:$AE673,11,FALSE)*$Q203*IFERROR((VLOOKUP(P203,Settings!$E$28:$F$33,2,FALSE)+1),1)</f>
        <v>0.37546047822890227</v>
      </c>
      <c r="X203" s="57" cm="1">
        <f t="array" ref="X203">VLOOKUP(B203,'Player Data'!$A1:$AE673,12,FALSE)*$Q203*IFERROR((VLOOKUP(P203,Settings!$E$28:$F$33,2,FALSE)+1),1)</f>
        <v>1.1611262806806044</v>
      </c>
      <c r="Y203" s="57" cm="1">
        <f t="array" ref="Y203">VLOOKUP(B203,'Player Data'!$A1:$AE673,13,FALSE)*$Q203</f>
        <v>1.2324308287117881E-2</v>
      </c>
      <c r="Z203" s="57" cm="1">
        <f t="array" ref="Z203">VLOOKUP(B203,'Player Data'!$A1:$AE673,14,FALSE)*$Q203</f>
        <v>0.98720782366605142</v>
      </c>
      <c r="AA203" s="57" cm="1">
        <f t="array" ref="AA203">VLOOKUP(B203,'Player Data'!$A1:$AE673,15,FALSE)*$Q203</f>
        <v>170.81425198632257</v>
      </c>
      <c r="AB203" s="57" cm="1">
        <f t="array" ref="AB203">VLOOKUP(B203,'Player Data'!$A1:$AE673,16,FALSE)*$Q203</f>
        <v>50.328143697625556</v>
      </c>
      <c r="AC203" s="57" cm="1">
        <f t="array" ref="AC203">VLOOKUP(B203,'Player Data'!$A1:$AE673,17,FALSE)*$Q203*IFERROR((VLOOKUP(P203,Settings!$E$28:$F$33,2,FALSE)+1),1)</f>
        <v>8.1636304913369599</v>
      </c>
      <c r="AD203" s="57" cm="1">
        <f t="array" ref="AD203">VLOOKUP(B203,'Player Data'!$A1:$AE673,18,FALSE)*$Q203</f>
        <v>21.16318984826151</v>
      </c>
      <c r="AE203" s="57" cm="1">
        <f t="array" ref="AE203">VLOOKUP(B203,'Player Data'!$A1:$AE673,19,FALSE)*$Q203*IFERROR((VLOOKUP(P203,Settings!$E$28:$F$33,2,FALSE)+1),1)</f>
        <v>0.59280214172054357</v>
      </c>
      <c r="AF203" s="57" cm="1">
        <f t="array" ref="AF203">VLOOKUP(B203,'Player Data'!$A1:$AE673,20,FALSE)*$Q203</f>
        <v>0</v>
      </c>
      <c r="AG203" s="57" cm="1">
        <f t="array" ref="AG203">VLOOKUP(B203,'Player Data'!$A1:$AE673,21,FALSE)*$Q203</f>
        <v>0</v>
      </c>
      <c r="AH203" s="59" cm="1">
        <f t="array" ref="AH203">VLOOKUP(B203,'Player Data'!$A1:$AE673,22,FALSE)</f>
        <v>0</v>
      </c>
      <c r="AI203" s="55"/>
      <c r="AJ203" s="57"/>
      <c r="AK203" s="57"/>
      <c r="AL203" s="57"/>
      <c r="AM203" s="57"/>
      <c r="AN203" s="57"/>
      <c r="AO203" s="57"/>
      <c r="AP203" s="57"/>
      <c r="AQ203" s="60"/>
      <c r="AR203" s="61"/>
      <c r="AS203" s="55"/>
    </row>
    <row r="204" spans="1:45" ht="21.25" customHeight="1" x14ac:dyDescent="0.15">
      <c r="A204" s="62">
        <f t="shared" si="3"/>
        <v>203</v>
      </c>
      <c r="B204" s="10" t="s">
        <v>332</v>
      </c>
      <c r="C204" s="47" t="s">
        <v>128</v>
      </c>
      <c r="D204" s="48" t="str" cm="1">
        <f t="array" ref="D204">VLOOKUP(B204,'Player Data'!A1:D673,4,FALSE)</f>
        <v>RW</v>
      </c>
      <c r="E204" s="64" cm="1">
        <f t="array" ref="E204">VLOOKUP(B204,RW!A1:F210,3,FALSE)</f>
        <v>61</v>
      </c>
      <c r="F204" s="65" t="str" cm="1">
        <f t="array" ref="F204">VLOOKUP(B204,'Player Data'!A1:B673,2,FALSE)</f>
        <v>CAR</v>
      </c>
      <c r="G204" s="71" cm="1">
        <f t="array" ref="G204">VLOOKUP(B204,'Player Data'!A1:D673,3,FALSE)</f>
        <v>23</v>
      </c>
      <c r="H204" s="51" cm="1">
        <f t="array" ref="H204">IFERROR(VLOOKUP(B204,ADP!A1:F671,6,FALSE)/1000000,VLOOKUP(B204,ADP!A1:F671,6,FALSE))</f>
        <v>5.0999999999999996</v>
      </c>
      <c r="I204" s="52">
        <f>IF(Settings!$E$15="POINTS",((R204*Q204)*Settings!$B$12)+(S204*Settings!$B$2)+(T204*Settings!$B$3)+(U204*Settings!$B$4)+(V204*Settings!$B$5)+(X204*Settings!$B$9)+(AA204*Settings!$B$6)+(W204*Settings!$B$8)+(AB204*Settings!$B$7)+(AC204*Settings!$B$14)+(AD204*Settings!$B$15)+(AE204*Settings!$B$16)+(AF204*Settings!$B$17)+(AG204*Settings!$B$18)+(Y204*Settings!$B$10)+(Z204*Settings!$B$11),VLOOKUP(B204,'Standard Deviations'!A$1:C$672,3,FALSE))</f>
        <v>295.70254172098731</v>
      </c>
      <c r="J204" s="53" cm="1">
        <f t="array" ref="J204">IF(D204="G",I204/AJ204,I204/Q204)</f>
        <v>3.5508095430456881</v>
      </c>
      <c r="K204" s="52" cm="1">
        <f t="array" ref="K204">IF(Settings!$E$18="C/LW/RW",VLOOKUP(B204,RW!A1:F210,6,FALSE),VLOOKUP(B204,F!A1:F407,6,FALSE))</f>
        <v>-99.240922972570161</v>
      </c>
      <c r="L204" s="54" cm="1">
        <f t="array" ref="L204">IFERROR(K204/H204,"N/A")</f>
        <v>-19.459004504425522</v>
      </c>
      <c r="M204" s="55">
        <v>141.69999999999999</v>
      </c>
      <c r="N204" s="55" cm="1">
        <f t="array" ref="N204">IFERROR(M204-A204,"N/A")</f>
        <v>-61.300000000000011</v>
      </c>
      <c r="O204" s="55"/>
      <c r="P204" s="56" t="str" cm="1">
        <f t="array" ref="P204">_xlfn.XLOOKUP($B204,ADP!A2:A671,ADP!G2:G671)</f>
        <v>+ +</v>
      </c>
      <c r="Q204" s="57" cm="1">
        <f t="array" ref="Q204">IF(Settings!$E$12="YES",VLOOKUP(B204,'Player Data'!A1:E673,5,FALSE),84)</f>
        <v>83.277500000000003</v>
      </c>
      <c r="R204" s="55" cm="1">
        <f t="array" ref="R204">VLOOKUP(B204,'Player Data'!$A1:$AE673,6,FALSE)</f>
        <v>16.463234377311601</v>
      </c>
      <c r="S204" s="57" cm="1">
        <f t="array" ref="S204">VLOOKUP(B204,'Player Data'!$A1:$AE673,7,FALSE)*$Q204*IFERROR((VLOOKUP(P204,Settings!$E$28:$F$33,2,FALSE)+1),1)</f>
        <v>25.006656612789854</v>
      </c>
      <c r="T204" s="57" cm="1">
        <f t="array" ref="T204">VLOOKUP(B204,'Player Data'!$A1:$AE673,8,FALSE)*$Q204*IFERROR((VLOOKUP(P204,Settings!$E$28:$F$33,2,FALSE)+1),1)</f>
        <v>32.671352809943201</v>
      </c>
      <c r="U204" s="57" cm="1">
        <f t="array" ref="U204">SUM(S204:T204)</f>
        <v>57.678009422733055</v>
      </c>
      <c r="V204" s="57" cm="1">
        <f t="array" ref="V204">VLOOKUP(B204,'Player Data'!$A1:$AE673,10,FALSE)*$Q204*IFERROR(((VLOOKUP(P204,Settings!$E$28:$F$33,2,FALSE)/2)+1),1)</f>
        <v>184.02827637743272</v>
      </c>
      <c r="W204" s="57" cm="1">
        <f t="array" ref="W204">VLOOKUP(B204,'Player Data'!$A1:$AE673,11,FALSE)*$Q204*IFERROR((VLOOKUP(P204,Settings!$E$28:$F$33,2,FALSE)+1),1)</f>
        <v>4.5759282252112765</v>
      </c>
      <c r="X204" s="57" cm="1">
        <f t="array" ref="X204">VLOOKUP(B204,'Player Data'!$A1:$AE673,12,FALSE)*$Q204*IFERROR((VLOOKUP(P204,Settings!$E$28:$F$33,2,FALSE)+1),1)</f>
        <v>12.385405015249564</v>
      </c>
      <c r="Y204" s="57" cm="1">
        <f t="array" ref="Y204">VLOOKUP(B204,'Player Data'!$A1:$AE673,13,FALSE)*$Q204</f>
        <v>1.8342153832474464E-2</v>
      </c>
      <c r="Z204" s="57" cm="1">
        <f t="array" ref="Z204">VLOOKUP(B204,'Player Data'!$A1:$AE673,14,FALSE)*$Q204</f>
        <v>2.9994938119173933E-2</v>
      </c>
      <c r="AA204" s="57" cm="1">
        <f t="array" ref="AA204">VLOOKUP(B204,'Player Data'!$A1:$AE673,15,FALSE)*$Q204</f>
        <v>36.477950621406222</v>
      </c>
      <c r="AB204" s="57" cm="1">
        <f t="array" ref="AB204">VLOOKUP(B204,'Player Data'!$A1:$AE673,16,FALSE)*$Q204</f>
        <v>25.823083780326868</v>
      </c>
      <c r="AC204" s="57" cm="1">
        <f t="array" ref="AC204">VLOOKUP(B204,'Player Data'!$A1:$AE673,17,FALSE)*$Q204*IFERROR((VLOOKUP(P204,Settings!$E$28:$F$33,2,FALSE)+1),1)</f>
        <v>9.3902774394741026</v>
      </c>
      <c r="AD204" s="57" cm="1">
        <f t="array" ref="AD204">VLOOKUP(B204,'Player Data'!$A1:$AE673,18,FALSE)*$Q204</f>
        <v>38.067295416457654</v>
      </c>
      <c r="AE204" s="57" cm="1">
        <f t="array" ref="AE204">VLOOKUP(B204,'Player Data'!$A1:$AE673,19,FALSE)*$Q204*IFERROR((VLOOKUP(P204,Settings!$E$28:$F$33,2,FALSE)+1),1)</f>
        <v>4.2942874603726597</v>
      </c>
      <c r="AF204" s="57" cm="1">
        <f t="array" ref="AF204">VLOOKUP(B204,'Player Data'!$A1:$AE673,20,FALSE)*$Q204</f>
        <v>2.8705184973096163</v>
      </c>
      <c r="AG204" s="57" cm="1">
        <f t="array" ref="AG204">VLOOKUP(B204,'Player Data'!$A1:$AE673,21,FALSE)*$Q204</f>
        <v>11.277809574583006</v>
      </c>
      <c r="AH204" s="59" cm="1">
        <f t="array" ref="AH204">VLOOKUP(B204,'Player Data'!$A1:$AE673,22,FALSE)</f>
        <v>0.20288747071198099</v>
      </c>
      <c r="AI204" s="55"/>
      <c r="AJ204" s="57"/>
      <c r="AK204" s="57"/>
      <c r="AL204" s="57"/>
      <c r="AM204" s="57"/>
      <c r="AN204" s="57"/>
      <c r="AO204" s="57"/>
      <c r="AP204" s="57"/>
      <c r="AQ204" s="60"/>
      <c r="AR204" s="61"/>
      <c r="AS204" s="55"/>
    </row>
    <row r="205" spans="1:45" ht="21.25" customHeight="1" x14ac:dyDescent="0.15">
      <c r="A205" s="62">
        <f t="shared" si="3"/>
        <v>204</v>
      </c>
      <c r="B205" s="10" t="s">
        <v>333</v>
      </c>
      <c r="C205" s="47" t="s">
        <v>147</v>
      </c>
      <c r="D205" s="48" t="str" cm="1">
        <f t="array" ref="D205">VLOOKUP(B205,'Player Data'!A1:D673,4,FALSE)</f>
        <v>RW</v>
      </c>
      <c r="E205" s="64" cm="1">
        <f t="array" ref="E205">VLOOKUP(B205,RW!A1:F210,3,FALSE)</f>
        <v>62</v>
      </c>
      <c r="F205" s="56" t="str" cm="1">
        <f t="array" ref="F205">VLOOKUP(B205,'Player Data'!A1:B673,2,FALSE)</f>
        <v>CHI</v>
      </c>
      <c r="G205" s="11" cm="1">
        <f t="array" ref="G205">VLOOKUP(B205,'Player Data'!A1:D673,3,FALSE)</f>
        <v>26</v>
      </c>
      <c r="H205" s="51" cm="1">
        <f t="array" ref="H205">IFERROR(VLOOKUP(B205,ADP!A1:F671,6,FALSE)/1000000,VLOOKUP(B205,ADP!A1:F671,6,FALSE))</f>
        <v>8</v>
      </c>
      <c r="I205" s="52">
        <f>IF(Settings!$E$15="POINTS",((R205*Q205)*Settings!$B$12)+(S205*Settings!$B$2)+(T205*Settings!$B$3)+(U205*Settings!$B$4)+(V205*Settings!$B$5)+(X205*Settings!$B$9)+(AA205*Settings!$B$6)+(W205*Settings!$B$8)+(AB205*Settings!$B$7)+(AC205*Settings!$B$14)+(AD205*Settings!$B$15)+(AE205*Settings!$B$16)+(AF205*Settings!$B$17)+(AG205*Settings!$B$18)+(Y205*Settings!$B$10)+(Z205*Settings!$B$11),VLOOKUP(B205,'Standard Deviations'!A$1:C$672,3,FALSE))</f>
        <v>295.69466214682234</v>
      </c>
      <c r="J205" s="53" cm="1">
        <f t="array" ref="J205">IF(D205="G",I205/AJ205,I205/Q205)</f>
        <v>3.850566945298334</v>
      </c>
      <c r="K205" s="52" cm="1">
        <f t="array" ref="K205">IF(Settings!$E$18="C/LW/RW",VLOOKUP(B205,RW!A1:F210,6,FALSE),VLOOKUP(B205,F!A1:F407,6,FALSE))</f>
        <v>-99.248802546735135</v>
      </c>
      <c r="L205" s="54" cm="1">
        <f t="array" ref="L205">IFERROR(K205/H205,"N/A")</f>
        <v>-12.406100318341892</v>
      </c>
      <c r="M205" s="55">
        <v>132</v>
      </c>
      <c r="N205" s="55" cm="1">
        <f t="array" ref="N205">IFERROR(M205-A205,"N/A")</f>
        <v>-72</v>
      </c>
      <c r="O205" s="55"/>
      <c r="P205" s="56" t="str" cm="1">
        <f t="array" ref="P205">_xlfn.XLOOKUP($B205,ADP!A2:A671,ADP!G2:G671)</f>
        <v xml:space="preserve"> </v>
      </c>
      <c r="Q205" s="57" cm="1">
        <f t="array" ref="Q205">IF(Settings!$E$12="YES",VLOOKUP(B205,'Player Data'!A1:E673,5,FALSE),84)</f>
        <v>76.792500000000004</v>
      </c>
      <c r="R205" s="55" cm="1">
        <f t="array" ref="R205">VLOOKUP(B205,'Player Data'!$A1:$AE673,6,FALSE)</f>
        <v>17.383654857003101</v>
      </c>
      <c r="S205" s="57" cm="1">
        <f t="array" ref="S205">VLOOKUP(B205,'Player Data'!$A1:$AE673,7,FALSE)*$Q205*IFERROR((VLOOKUP(P205,Settings!$E$28:$F$33,2,FALSE)+1),1)</f>
        <v>17.835010174240743</v>
      </c>
      <c r="T205" s="57" cm="1">
        <f t="array" ref="T205">VLOOKUP(B205,'Player Data'!$A1:$AE673,8,FALSE)*$Q205*IFERROR((VLOOKUP(P205,Settings!$E$28:$F$33,2,FALSE)+1),1)</f>
        <v>38.583724167287791</v>
      </c>
      <c r="U205" s="57" cm="1">
        <f t="array" ref="U205">SUM(S205:T205)</f>
        <v>56.418734341528534</v>
      </c>
      <c r="V205" s="57" cm="1">
        <f t="array" ref="V205">VLOOKUP(B205,'Player Data'!$A1:$AE673,10,FALSE)*$Q205*IFERROR(((VLOOKUP(P205,Settings!$E$28:$F$33,2,FALSE)/2)+1),1)</f>
        <v>185.27211854820541</v>
      </c>
      <c r="W205" s="57" cm="1">
        <f t="array" ref="W205">VLOOKUP(B205,'Player Data'!$A1:$AE673,11,FALSE)*$Q205*IFERROR((VLOOKUP(P205,Settings!$E$28:$F$33,2,FALSE)+1),1)</f>
        <v>4.9246885045879427</v>
      </c>
      <c r="X205" s="79" cm="1">
        <f t="array" ref="X205">VLOOKUP(B205,'Player Data'!$A1:$AE673,12,FALSE)*$Q205*IFERROR((VLOOKUP(P205,Settings!$E$28:$F$33,2,FALSE)+1),1)</f>
        <v>20.476760748148646</v>
      </c>
      <c r="Y205" s="57" cm="1">
        <f t="array" ref="Y205">VLOOKUP(B205,'Player Data'!$A1:$AE673,13,FALSE)*$Q205</f>
        <v>0</v>
      </c>
      <c r="Z205" s="57" cm="1">
        <f t="array" ref="Z205">VLOOKUP(B205,'Player Data'!$A1:$AE673,14,FALSE)*$Q205</f>
        <v>0</v>
      </c>
      <c r="AA205" s="57" cm="1">
        <f t="array" ref="AA205">VLOOKUP(B205,'Player Data'!$A1:$AE673,15,FALSE)*$Q205</f>
        <v>26.651278199970811</v>
      </c>
      <c r="AB205" s="57" cm="1">
        <f t="array" ref="AB205">VLOOKUP(B205,'Player Data'!$A1:$AE673,16,FALSE)*$Q205</f>
        <v>28.755970227807406</v>
      </c>
      <c r="AC205" s="57" cm="1">
        <f t="array" ref="AC205">VLOOKUP(B205,'Player Data'!$A1:$AE673,17,FALSE)*$Q205*IFERROR((VLOOKUP(P205,Settings!$E$28:$F$33,2,FALSE)+1),1)</f>
        <v>-5.1516587499117676</v>
      </c>
      <c r="AD205" s="57" cm="1">
        <f t="array" ref="AD205">VLOOKUP(B205,'Player Data'!$A1:$AE673,18,FALSE)*$Q205</f>
        <v>17.174490950601701</v>
      </c>
      <c r="AE205" s="57" cm="1">
        <f t="array" ref="AE205">VLOOKUP(B205,'Player Data'!$A1:$AE673,19,FALSE)*$Q205*IFERROR((VLOOKUP(P205,Settings!$E$28:$F$33,2,FALSE)+1),1)</f>
        <v>2.2011264843778213</v>
      </c>
      <c r="AF205" s="57" cm="1">
        <f t="array" ref="AF205">VLOOKUP(B205,'Player Data'!$A1:$AE673,20,FALSE)*$Q205</f>
        <v>4.1500653609141054</v>
      </c>
      <c r="AG205" s="57" cm="1">
        <f t="array" ref="AG205">VLOOKUP(B205,'Player Data'!$A1:$AE673,21,FALSE)*$Q205</f>
        <v>10.226964548322703</v>
      </c>
      <c r="AH205" s="59" cm="1">
        <f t="array" ref="AH205">VLOOKUP(B205,'Player Data'!$A1:$AE673,22,FALSE)</f>
        <v>0.28865943711001202</v>
      </c>
      <c r="AI205" s="55"/>
      <c r="AJ205" s="57"/>
      <c r="AK205" s="57"/>
      <c r="AL205" s="57"/>
      <c r="AM205" s="57"/>
      <c r="AN205" s="57"/>
      <c r="AO205" s="57"/>
      <c r="AP205" s="57"/>
      <c r="AQ205" s="60"/>
      <c r="AR205" s="61"/>
      <c r="AS205" s="55"/>
    </row>
    <row r="206" spans="1:45" ht="21.25" customHeight="1" x14ac:dyDescent="0.15">
      <c r="A206" s="62">
        <f t="shared" si="3"/>
        <v>205</v>
      </c>
      <c r="B206" s="10" t="s">
        <v>334</v>
      </c>
      <c r="C206" s="47" t="s">
        <v>128</v>
      </c>
      <c r="D206" s="48" t="str" cm="1">
        <f t="array" ref="D206">VLOOKUP(B206,'Player Data'!A1:D673,4,FALSE)</f>
        <v>C</v>
      </c>
      <c r="E206" s="49" cm="1">
        <f t="array" ref="E206">VLOOKUP(B206,'C'!A1:C210,3,FALSE)</f>
        <v>58</v>
      </c>
      <c r="F206" s="65" t="str" cm="1">
        <f t="array" ref="F206">VLOOKUP(B206,'Player Data'!A1:B673,2,FALSE)</f>
        <v>STL</v>
      </c>
      <c r="G206" s="71" cm="1">
        <f t="array" ref="G206">VLOOKUP(B206,'Player Data'!A1:D673,3,FALSE)</f>
        <v>23</v>
      </c>
      <c r="H206" s="51" cm="1">
        <f t="array" ref="H206">IFERROR(VLOOKUP(B206,ADP!A1:F671,6,FALSE)/1000000,VLOOKUP(B206,ADP!A1:F671,6,FALSE))</f>
        <v>7</v>
      </c>
      <c r="I206" s="52">
        <f>IF(Settings!$E$15="POINTS",((R206*Q206)*Settings!$B$12)+(S206*Settings!$B$2)+(T206*Settings!$B$3)+(U206*Settings!$B$4)+(V206*Settings!$B$5)+(X206*Settings!$B$9)+(AA206*Settings!$B$6)+(W206*Settings!$B$8)+(AB206*Settings!$B$7)+(AC206*Settings!$B$14)+(AD206*Settings!$B$15)+(AE206*Settings!$B$16)+(AF206*Settings!$B$17)+(AG206*Settings!$B$18)+(Y206*Settings!$B$10)+(Z206*Settings!$B$11),VLOOKUP(B206,'Standard Deviations'!A$1:C$672,3,FALSE))</f>
        <v>285.9174584433315</v>
      </c>
      <c r="J206" s="53" cm="1">
        <f t="array" ref="J206">IF(D206="G",I206/AJ206,I206/Q206)</f>
        <v>3.5667233237901952</v>
      </c>
      <c r="K206" s="52" cm="1">
        <f t="array" ref="K206">IF(Settings!$E$18="C/LW/RW",VLOOKUP(B206,'C'!A1:F210,6,FALSE),VLOOKUP(B206,F!A1:F407,6,FALSE))</f>
        <v>-100.6177479497515</v>
      </c>
      <c r="L206" s="54" cm="1">
        <f t="array" ref="L206">IFERROR(K206/H206,"N/A")</f>
        <v>-14.373963992821643</v>
      </c>
      <c r="M206" s="55">
        <v>135.30000000000001</v>
      </c>
      <c r="N206" s="55" cm="1">
        <f t="array" ref="N206">IFERROR(M206-A206,"N/A")</f>
        <v>-69.699999999999989</v>
      </c>
      <c r="O206" s="55"/>
      <c r="P206" s="56" t="str" cm="1">
        <f t="array" ref="P206">_xlfn.XLOOKUP($B206,ADP!A2:A671,ADP!G2:G671)</f>
        <v xml:space="preserve"> </v>
      </c>
      <c r="Q206" s="57" cm="1">
        <f t="array" ref="Q206">IF(Settings!$E$12="YES",VLOOKUP(B206,'Player Data'!A1:E673,5,FALSE),84)</f>
        <v>80.162499999999994</v>
      </c>
      <c r="R206" s="82" cm="1">
        <f t="array" ref="R206">VLOOKUP(B206,'Player Data'!$A1:$AE673,6,FALSE)</f>
        <v>17.049028416976601</v>
      </c>
      <c r="S206" s="57" cm="1">
        <f t="array" ref="S206">VLOOKUP(B206,'Player Data'!$A1:$AE673,7,FALSE)*$Q206*IFERROR((VLOOKUP(P206,Settings!$E$28:$F$33,2,FALSE)+1),1)</f>
        <v>23.203802045233033</v>
      </c>
      <c r="T206" s="57" cm="1">
        <f t="array" ref="T206">VLOOKUP(B206,'Player Data'!$A1:$AE673,8,FALSE)*$Q206*IFERROR((VLOOKUP(P206,Settings!$E$28:$F$33,2,FALSE)+1),1)</f>
        <v>31.805827214825332</v>
      </c>
      <c r="U206" s="57" cm="1">
        <f t="array" ref="U206">SUM(S206:T206)</f>
        <v>55.009629260058361</v>
      </c>
      <c r="V206" s="57" cm="1">
        <f t="array" ref="V206">VLOOKUP(B206,'Player Data'!$A1:$AE673,10,FALSE)*$Q206*IFERROR(((VLOOKUP(P206,Settings!$E$28:$F$33,2,FALSE)/2)+1),1)</f>
        <v>177.08082198115127</v>
      </c>
      <c r="W206" s="57" cm="1">
        <f t="array" ref="W206">VLOOKUP(B206,'Player Data'!$A1:$AE673,11,FALSE)*$Q206*IFERROR((VLOOKUP(P206,Settings!$E$28:$F$33,2,FALSE)+1),1)</f>
        <v>6.3284298378051158</v>
      </c>
      <c r="X206" s="79" cm="1">
        <f t="array" ref="X206">VLOOKUP(B206,'Player Data'!$A1:$AE673,12,FALSE)*$Q206*IFERROR((VLOOKUP(P206,Settings!$E$28:$F$33,2,FALSE)+1),1)</f>
        <v>13.641086880873351</v>
      </c>
      <c r="Y206" s="57" cm="1">
        <f t="array" ref="Y206">VLOOKUP(B206,'Player Data'!$A1:$AE673,13,FALSE)*$Q206</f>
        <v>5.594490685629757E-2</v>
      </c>
      <c r="Z206" s="57" cm="1">
        <f t="array" ref="Z206">VLOOKUP(B206,'Player Data'!$A1:$AE673,14,FALSE)*$Q206</f>
        <v>0.10431725330295258</v>
      </c>
      <c r="AA206" s="57" cm="1">
        <f t="array" ref="AA206">VLOOKUP(B206,'Player Data'!$A1:$AE673,15,FALSE)*$Q206</f>
        <v>37.205511076808946</v>
      </c>
      <c r="AB206" s="57" cm="1">
        <f t="array" ref="AB206">VLOOKUP(B206,'Player Data'!$A1:$AE673,16,FALSE)*$Q206</f>
        <v>98.692896320982882</v>
      </c>
      <c r="AC206" s="57" cm="1">
        <f t="array" ref="AC206">VLOOKUP(B206,'Player Data'!$A1:$AE673,17,FALSE)*$Q206*IFERROR((VLOOKUP(P206,Settings!$E$28:$F$33,2,FALSE)+1),1)</f>
        <v>-2.6842839242249115</v>
      </c>
      <c r="AD206" s="57" cm="1">
        <f t="array" ref="AD206">VLOOKUP(B206,'Player Data'!$A1:$AE673,18,FALSE)*$Q206</f>
        <v>52.160328456892046</v>
      </c>
      <c r="AE206" s="57" cm="1">
        <f t="array" ref="AE206">VLOOKUP(B206,'Player Data'!$A1:$AE673,19,FALSE)*$Q206*IFERROR((VLOOKUP(P206,Settings!$E$28:$F$33,2,FALSE)+1),1)</f>
        <v>3.3457804491064502</v>
      </c>
      <c r="AF206" s="57" cm="1">
        <f t="array" ref="AF206">VLOOKUP(B206,'Player Data'!$A1:$AE673,20,FALSE)*$Q206</f>
        <v>479.91317883073339</v>
      </c>
      <c r="AG206" s="57" cm="1">
        <f t="array" ref="AG206">VLOOKUP(B206,'Player Data'!$A1:$AE673,21,FALSE)*$Q206</f>
        <v>477.0410753395314</v>
      </c>
      <c r="AH206" s="59" cm="1">
        <f t="array" ref="AH206">VLOOKUP(B206,'Player Data'!$A1:$AE673,22,FALSE)</f>
        <v>0.50150064826959395</v>
      </c>
      <c r="AI206" s="55"/>
      <c r="AJ206" s="57"/>
      <c r="AK206" s="57"/>
      <c r="AL206" s="57"/>
      <c r="AM206" s="57"/>
      <c r="AN206" s="57"/>
      <c r="AO206" s="57"/>
      <c r="AP206" s="57"/>
      <c r="AQ206" s="60"/>
      <c r="AR206" s="61"/>
      <c r="AS206" s="55"/>
    </row>
    <row r="207" spans="1:45" ht="21.25" customHeight="1" x14ac:dyDescent="0.15">
      <c r="A207" s="62">
        <f t="shared" si="3"/>
        <v>206</v>
      </c>
      <c r="B207" s="10" t="s">
        <v>335</v>
      </c>
      <c r="C207" s="47" t="s">
        <v>128</v>
      </c>
      <c r="D207" s="48" t="str" cm="1">
        <f t="array" ref="D207">VLOOKUP(B207,'Player Data'!A1:D673,4,FALSE)</f>
        <v>LW,RW</v>
      </c>
      <c r="E207" s="74" cm="1">
        <f t="array" ref="E207">VLOOKUP(B207,RW!A1:F210,3,FALSE)</f>
        <v>63</v>
      </c>
      <c r="F207" s="72" t="str" cm="1">
        <f t="array" ref="F207">VLOOKUP(B207,'Player Data'!A1:B673,2,FALSE)</f>
        <v>FLA</v>
      </c>
      <c r="G207" s="66" cm="1">
        <f t="array" ref="G207">VLOOKUP(B207,'Player Data'!A1:D673,3,FALSE)</f>
        <v>38</v>
      </c>
      <c r="H207" s="51" cm="1">
        <f t="array" ref="H207">IFERROR(VLOOKUP(B207,ADP!A1:F671,6,FALSE)/1000000,VLOOKUP(B207,ADP!A1:F671,6,FALSE))</f>
        <v>5.25</v>
      </c>
      <c r="I207" s="52">
        <f>IF(Settings!$E$15="POINTS",((R207*Q207)*Settings!$B$12)+(S207*Settings!$B$2)+(T207*Settings!$B$3)+(U207*Settings!$B$4)+(V207*Settings!$B$5)+(X207*Settings!$B$9)+(AA207*Settings!$B$6)+(W207*Settings!$B$8)+(AB207*Settings!$B$7)+(AC207*Settings!$B$14)+(AD207*Settings!$B$15)+(AE207*Settings!$B$16)+(AF207*Settings!$B$17)+(AG207*Settings!$B$18)+(Y207*Settings!$B$10)+(Z207*Settings!$B$11),VLOOKUP(B207,'Standard Deviations'!A$1:C$672,3,FALSE))</f>
        <v>293.97395283647791</v>
      </c>
      <c r="J207" s="53" cm="1">
        <f t="array" ref="J207">IF(D207="G",I207/AJ207,I207/Q207)</f>
        <v>3.8083227364896581</v>
      </c>
      <c r="K207" s="52" cm="1">
        <f t="array" ref="K207">IF(Settings!$E$18="C/LW/RW",VLOOKUP(B207,RW!A1:F210,6,FALSE),VLOOKUP(B207,F!A1:F407,6,FALSE))</f>
        <v>-100.96951185707957</v>
      </c>
      <c r="L207" s="54" cm="1">
        <f t="array" ref="L207">IFERROR(K207/H207,"N/A")</f>
        <v>-19.232287972777062</v>
      </c>
      <c r="M207" s="55">
        <v>147.1</v>
      </c>
      <c r="N207" s="55" cm="1">
        <f t="array" ref="N207">IFERROR(M207-A207,"N/A")</f>
        <v>-58.900000000000006</v>
      </c>
      <c r="O207" s="55"/>
      <c r="P207" s="56" t="str" cm="1">
        <f t="array" ref="P207">_xlfn.XLOOKUP($B207,ADP!A2:A671,ADP!G2:G671)</f>
        <v xml:space="preserve"> </v>
      </c>
      <c r="Q207" s="57" cm="1">
        <f t="array" ref="Q207">IF(Settings!$E$12="YES",VLOOKUP(B207,'Player Data'!A1:E673,5,FALSE),84)</f>
        <v>77.192499999999995</v>
      </c>
      <c r="R207" s="55" cm="1">
        <f t="array" ref="R207">VLOOKUP(B207,'Player Data'!$A1:$AE673,6,FALSE)</f>
        <v>16.788594715935801</v>
      </c>
      <c r="S207" s="57" cm="1">
        <f t="array" ref="S207">VLOOKUP(B207,'Player Data'!$A1:$AE673,7,FALSE)*$Q207*IFERROR((VLOOKUP(P207,Settings!$E$28:$F$33,2,FALSE)+1),1)</f>
        <v>26.032540220068384</v>
      </c>
      <c r="T207" s="57" cm="1">
        <f t="array" ref="T207">VLOOKUP(B207,'Player Data'!$A1:$AE673,8,FALSE)*$Q207*IFERROR((VLOOKUP(P207,Settings!$E$28:$F$33,2,FALSE)+1),1)</f>
        <v>30.445820607793891</v>
      </c>
      <c r="U207" s="57" cm="1">
        <f t="array" ref="U207">SUM(S207:T207)</f>
        <v>56.478360827862275</v>
      </c>
      <c r="V207" s="57" cm="1">
        <f t="array" ref="V207">VLOOKUP(B207,'Player Data'!$A1:$AE673,10,FALSE)*$Q207*IFERROR(((VLOOKUP(P207,Settings!$E$28:$F$33,2,FALSE)/2)+1),1)</f>
        <v>182.4354332067806</v>
      </c>
      <c r="W207" s="57" cm="1">
        <f t="array" ref="W207">VLOOKUP(B207,'Player Data'!$A1:$AE673,11,FALSE)*$Q207*IFERROR((VLOOKUP(P207,Settings!$E$28:$F$33,2,FALSE)+1),1)</f>
        <v>5.7428202352820321</v>
      </c>
      <c r="X207" s="79" cm="1">
        <f t="array" ref="X207">VLOOKUP(B207,'Player Data'!$A1:$AE673,12,FALSE)*$Q207*IFERROR((VLOOKUP(P207,Settings!$E$28:$F$33,2,FALSE)+1),1)</f>
        <v>18.502133023846557</v>
      </c>
      <c r="Y207" s="57" cm="1">
        <f t="array" ref="Y207">VLOOKUP(B207,'Player Data'!$A1:$AE673,13,FALSE)*$Q207</f>
        <v>0.36173115024254371</v>
      </c>
      <c r="Z207" s="57" cm="1">
        <f t="array" ref="Z207">VLOOKUP(B207,'Player Data'!$A1:$AE673,14,FALSE)*$Q207</f>
        <v>0.50431702906211173</v>
      </c>
      <c r="AA207" s="57" cm="1">
        <f t="array" ref="AA207">VLOOKUP(B207,'Player Data'!$A1:$AE673,15,FALSE)*$Q207</f>
        <v>28.629407393184248</v>
      </c>
      <c r="AB207" s="57" cm="1">
        <f t="array" ref="AB207">VLOOKUP(B207,'Player Data'!$A1:$AE673,16,FALSE)*$Q207</f>
        <v>68.337123422001795</v>
      </c>
      <c r="AC207" s="57" cm="1">
        <f t="array" ref="AC207">VLOOKUP(B207,'Player Data'!$A1:$AE673,17,FALSE)*$Q207*IFERROR((VLOOKUP(P207,Settings!$E$28:$F$33,2,FALSE)+1),1)</f>
        <v>1.8705989747252185</v>
      </c>
      <c r="AD207" s="57" cm="1">
        <f t="array" ref="AD207">VLOOKUP(B207,'Player Data'!$A1:$AE673,18,FALSE)*$Q207</f>
        <v>51.34407630873585</v>
      </c>
      <c r="AE207" s="57" cm="1">
        <f t="array" ref="AE207">VLOOKUP(B207,'Player Data'!$A1:$AE673,19,FALSE)*$Q207*IFERROR((VLOOKUP(P207,Settings!$E$28:$F$33,2,FALSE)+1),1)</f>
        <v>4.3343077763558249</v>
      </c>
      <c r="AF207" s="57" cm="1">
        <f t="array" ref="AF207">VLOOKUP(B207,'Player Data'!$A1:$AE673,20,FALSE)*$Q207</f>
        <v>6.0131015879720282</v>
      </c>
      <c r="AG207" s="57" cm="1">
        <f t="array" ref="AG207">VLOOKUP(B207,'Player Data'!$A1:$AE673,21,FALSE)*$Q207</f>
        <v>12.835114495150279</v>
      </c>
      <c r="AH207" s="59" cm="1">
        <f t="array" ref="AH207">VLOOKUP(B207,'Player Data'!$A1:$AE673,22,FALSE)</f>
        <v>0.31902762369943699</v>
      </c>
      <c r="AI207" s="55"/>
      <c r="AJ207" s="57"/>
      <c r="AK207" s="57"/>
      <c r="AL207" s="57"/>
      <c r="AM207" s="57"/>
      <c r="AN207" s="57"/>
      <c r="AO207" s="57"/>
      <c r="AP207" s="57"/>
      <c r="AQ207" s="60"/>
      <c r="AR207" s="61"/>
      <c r="AS207" s="55"/>
    </row>
    <row r="208" spans="1:45" ht="21.25" customHeight="1" x14ac:dyDescent="0.15">
      <c r="A208" s="62">
        <f t="shared" si="3"/>
        <v>207</v>
      </c>
      <c r="B208" s="10" t="s">
        <v>336</v>
      </c>
      <c r="C208" s="47" t="s">
        <v>128</v>
      </c>
      <c r="D208" s="48" t="str" cm="1">
        <f t="array" ref="D208">VLOOKUP(B208,'Player Data'!A1:D673,4,FALSE)</f>
        <v>LW,RW</v>
      </c>
      <c r="E208" s="74" cm="1">
        <f t="array" ref="E208">VLOOKUP(B208,RW!A1:F210,3,FALSE)</f>
        <v>64</v>
      </c>
      <c r="F208" s="56" t="str" cm="1">
        <f t="array" ref="F208">VLOOKUP(B208,'Player Data'!A1:B673,2,FALSE)</f>
        <v>PHI</v>
      </c>
      <c r="G208" s="71" cm="1">
        <f t="array" ref="G208">VLOOKUP(B208,'Player Data'!A1:D673,3,FALSE)</f>
        <v>21</v>
      </c>
      <c r="H208" s="51" cm="1">
        <f t="array" ref="H208">IFERROR(VLOOKUP(B208,ADP!A1:F671,6,FALSE)/1000000,VLOOKUP(B208,ADP!A1:F671,6,FALSE))</f>
        <v>0.95</v>
      </c>
      <c r="I208" s="52">
        <f>IF(Settings!$E$15="POINTS",((R208*Q208)*Settings!$B$12)+(S208*Settings!$B$2)+(T208*Settings!$B$3)+(U208*Settings!$B$4)+(V208*Settings!$B$5)+(X208*Settings!$B$9)+(AA208*Settings!$B$6)+(W208*Settings!$B$8)+(AB208*Settings!$B$7)+(AC208*Settings!$B$14)+(AD208*Settings!$B$15)+(AE208*Settings!$B$16)+(AF208*Settings!$B$17)+(AG208*Settings!$B$18)+(Y208*Settings!$B$10)+(Z208*Settings!$B$11),VLOOKUP(B208,'Standard Deviations'!A$1:C$672,3,FALSE))</f>
        <v>293.96378708679964</v>
      </c>
      <c r="J208" s="53" cm="1">
        <f t="array" ref="J208">IF(D208="G",I208/AJ208,I208/Q208)</f>
        <v>3.5299304984755744</v>
      </c>
      <c r="K208" s="52" cm="1">
        <f t="array" ref="K208">IF(Settings!$E$18="C/LW/RW",VLOOKUP(B208,RW!A1:F210,6,FALSE),VLOOKUP(B208,F!A1:F407,6,FALSE))</f>
        <v>-100.97967760675783</v>
      </c>
      <c r="L208" s="54" cm="1">
        <f t="array" ref="L208">IFERROR(K208/H208,"N/A")</f>
        <v>-106.29439748079773</v>
      </c>
      <c r="M208" s="55">
        <v>139.9</v>
      </c>
      <c r="N208" s="55" cm="1">
        <f t="array" ref="N208">IFERROR(M208-A208,"N/A")</f>
        <v>-67.099999999999994</v>
      </c>
      <c r="O208" s="55"/>
      <c r="P208" s="56" t="str" cm="1">
        <f t="array" ref="P208">_xlfn.XLOOKUP($B208,ADP!A2:A671,ADP!G2:G671)</f>
        <v xml:space="preserve"> </v>
      </c>
      <c r="Q208" s="57" cm="1">
        <f t="array" ref="Q208">IF(Settings!$E$12="YES",VLOOKUP(B208,'Player Data'!A1:E673,5,FALSE),84)</f>
        <v>83.277500000000003</v>
      </c>
      <c r="R208" s="82" cm="1">
        <f t="array" ref="R208">VLOOKUP(B208,'Player Data'!$A1:$AE673,6,FALSE)</f>
        <v>15.8030804666121</v>
      </c>
      <c r="S208" s="57" cm="1">
        <f t="array" ref="S208">VLOOKUP(B208,'Player Data'!$A1:$AE673,7,FALSE)*$Q208*IFERROR((VLOOKUP(P208,Settings!$E$28:$F$33,2,FALSE)+1),1)</f>
        <v>23.463409673074949</v>
      </c>
      <c r="T208" s="57" cm="1">
        <f t="array" ref="T208">VLOOKUP(B208,'Player Data'!$A1:$AE673,8,FALSE)*$Q208*IFERROR((VLOOKUP(P208,Settings!$E$28:$F$33,2,FALSE)+1),1)</f>
        <v>35.393378246674992</v>
      </c>
      <c r="U208" s="57" cm="1">
        <f t="array" ref="U208">SUM(S208:T208)</f>
        <v>58.856787919749941</v>
      </c>
      <c r="V208" s="57" cm="1">
        <f t="array" ref="V208">VLOOKUP(B208,'Player Data'!$A1:$AE673,10,FALSE)*$Q208*IFERROR(((VLOOKUP(P208,Settings!$E$28:$F$33,2,FALSE)/2)+1),1)</f>
        <v>180.66388269487487</v>
      </c>
      <c r="W208" s="57" cm="1">
        <f t="array" ref="W208">VLOOKUP(B208,'Player Data'!$A1:$AE673,11,FALSE)*$Q208*IFERROR((VLOOKUP(P208,Settings!$E$28:$F$33,2,FALSE)+1),1)</f>
        <v>6.3813557430817553</v>
      </c>
      <c r="X208" s="79" cm="1">
        <f t="array" ref="X208">VLOOKUP(B208,'Player Data'!$A1:$AE673,12,FALSE)*$Q208*IFERROR((VLOOKUP(P208,Settings!$E$28:$F$33,2,FALSE)+1),1)</f>
        <v>15.429520254684064</v>
      </c>
      <c r="Y208" s="57" cm="1">
        <f t="array" ref="Y208">VLOOKUP(B208,'Player Data'!$A1:$AE673,13,FALSE)*$Q208</f>
        <v>8.6678353475719608E-4</v>
      </c>
      <c r="Z208" s="57" cm="1">
        <f t="array" ref="Z208">VLOOKUP(B208,'Player Data'!$A1:$AE673,14,FALSE)*$Q208</f>
        <v>1.4258902158776016E-3</v>
      </c>
      <c r="AA208" s="57" cm="1">
        <f t="array" ref="AA208">VLOOKUP(B208,'Player Data'!$A1:$AE673,15,FALSE)*$Q208</f>
        <v>23.261071670424815</v>
      </c>
      <c r="AB208" s="57" cm="1">
        <f t="array" ref="AB208">VLOOKUP(B208,'Player Data'!$A1:$AE673,16,FALSE)*$Q208</f>
        <v>39.732826738189651</v>
      </c>
      <c r="AC208" s="57" cm="1">
        <f t="array" ref="AC208">VLOOKUP(B208,'Player Data'!$A1:$AE673,17,FALSE)*$Q208*IFERROR((VLOOKUP(P208,Settings!$E$28:$F$33,2,FALSE)+1),1)</f>
        <v>2.0377099419834162</v>
      </c>
      <c r="AD208" s="57" cm="1">
        <f t="array" ref="AD208">VLOOKUP(B208,'Player Data'!$A1:$AE673,18,FALSE)*$Q208</f>
        <v>52.369386439047602</v>
      </c>
      <c r="AE208" s="57" cm="1">
        <f t="array" ref="AE208">VLOOKUP(B208,'Player Data'!$A1:$AE673,19,FALSE)*$Q208*IFERROR((VLOOKUP(P208,Settings!$E$28:$F$33,2,FALSE)+1),1)</f>
        <v>3.7080389896379931</v>
      </c>
      <c r="AF208" s="57" cm="1">
        <f t="array" ref="AF208">VLOOKUP(B208,'Player Data'!$A1:$AE673,20,FALSE)*$Q208</f>
        <v>4.8375011430370689</v>
      </c>
      <c r="AG208" s="57" cm="1">
        <f t="array" ref="AG208">VLOOKUP(B208,'Player Data'!$A1:$AE673,21,FALSE)*$Q208</f>
        <v>13.378775406814949</v>
      </c>
      <c r="AH208" s="59" cm="1">
        <f t="array" ref="AH208">VLOOKUP(B208,'Player Data'!$A1:$AE673,22,FALSE)</f>
        <v>0.26555927221451697</v>
      </c>
      <c r="AI208" s="55"/>
      <c r="AJ208" s="57"/>
      <c r="AK208" s="57"/>
      <c r="AL208" s="57"/>
      <c r="AM208" s="57"/>
      <c r="AN208" s="57"/>
      <c r="AO208" s="57"/>
      <c r="AP208" s="57"/>
      <c r="AQ208" s="60"/>
      <c r="AR208" s="61"/>
      <c r="AS208" s="55"/>
    </row>
    <row r="209" spans="1:45" ht="21.25" customHeight="1" x14ac:dyDescent="0.15">
      <c r="A209" s="62">
        <f t="shared" si="3"/>
        <v>208</v>
      </c>
      <c r="B209" s="10" t="s">
        <v>337</v>
      </c>
      <c r="C209" s="47" t="s">
        <v>147</v>
      </c>
      <c r="D209" s="48" t="str" cm="1">
        <f t="array" ref="D209">VLOOKUP(B209,'Player Data'!A1:D673,4,FALSE)</f>
        <v>D</v>
      </c>
      <c r="E209" s="68" cm="1">
        <f t="array" ref="E209">VLOOKUP(B209,D!A1:C204,3,FALSE)</f>
        <v>71</v>
      </c>
      <c r="F209" s="56" t="str" cm="1">
        <f t="array" ref="F209">VLOOKUP(B209,'Player Data'!A1:B673,2,FALSE)</f>
        <v>S.J</v>
      </c>
      <c r="G209" s="71" cm="1">
        <f t="array" ref="G209">VLOOKUP(B209,'Player Data'!A1:D673,3,FALSE)</f>
        <v>21</v>
      </c>
      <c r="H209" s="51" cm="1">
        <f t="array" ref="H209">IFERROR(VLOOKUP(B209,ADP!A1:F671,6,FALSE)/1000000,VLOOKUP(B209,ADP!A1:F671,6,FALSE))</f>
        <v>0.90333300000000005</v>
      </c>
      <c r="I209" s="52">
        <f>IF(Settings!$E$15="POINTS",((R209*Q209)*Settings!$B$12)+(S209*Settings!$B$2)+(T209*Settings!$B$3)+(U209*Settings!$B$4)+(V209*Settings!$B$5)+(X209*Settings!$B$9)+(AA209*Settings!$B$6)+(W209*Settings!$B$8)+(AB209*Settings!$B$7)+(AC209*Settings!$B$14)+(AD209*Settings!$B$15)+(AE209*Settings!$B$16)+(AF209*Settings!$B$17)+(AG209*Settings!$B$18)+(U209*Settings!$B$13)+(Y209*Settings!$B$10)+(Z209*Settings!$B$11),VLOOKUP(B209,'Standard Deviations'!A$1:C$672,3,FALSE))</f>
        <v>205.61894054230964</v>
      </c>
      <c r="J209" s="53" cm="1">
        <f t="array" ref="J209">IF(D209="G",I209/AJ209,I209/Q209)</f>
        <v>2.636140263362944</v>
      </c>
      <c r="K209" s="52" cm="1">
        <f t="array" ref="K209">VLOOKUP(B209,D!A1:F204,6,FALSE)</f>
        <v>-101.03492680228442</v>
      </c>
      <c r="L209" s="54" cm="1">
        <f t="array" ref="L209">IFERROR(K209/H209,"N/A")</f>
        <v>-111.84682370984389</v>
      </c>
      <c r="M209" s="85" t="s">
        <v>832</v>
      </c>
      <c r="N209" s="85" t="str" cm="1">
        <f t="array" ref="N209">IFERROR(M209-A209,"N/A")</f>
        <v>N/A</v>
      </c>
      <c r="O209" s="55"/>
      <c r="P209" s="56" t="str" cm="1">
        <f t="array" ref="P209">_xlfn.XLOOKUP($B209,ADP!A2:A671,ADP!G2:G671)</f>
        <v>+ +</v>
      </c>
      <c r="Q209" s="57" cm="1">
        <f t="array" ref="Q209">IF(Settings!$E$12="YES",VLOOKUP(B209,'Player Data'!A1:E673,5,FALSE),84)</f>
        <v>78</v>
      </c>
      <c r="R209" s="55" cm="1">
        <f t="array" ref="R209">VLOOKUP(B209,'Player Data'!$A1:$AE673,6,FALSE)</f>
        <v>18</v>
      </c>
      <c r="S209" s="57" cm="1">
        <f t="array" ref="S209">VLOOKUP(B209,'Player Data'!$A1:$AE673,7,FALSE)*$Q209*IFERROR((VLOOKUP(P209,Settings!$E$28:$F$33,2,FALSE)+1),1)</f>
        <v>6.1269699079805591</v>
      </c>
      <c r="T209" s="57" cm="1">
        <f t="array" ref="T209">VLOOKUP(B209,'Player Data'!$A1:$AE673,8,FALSE)*$Q209*IFERROR((VLOOKUP(P209,Settings!$E$28:$F$33,2,FALSE)+1),1)</f>
        <v>24.583095006237084</v>
      </c>
      <c r="U209" s="57" cm="1">
        <f t="array" ref="U209">SUM(S209:T209)</f>
        <v>30.710064914217643</v>
      </c>
      <c r="V209" s="57" cm="1">
        <f t="array" ref="V209">VLOOKUP(B209,'Player Data'!$A1:$AE673,10,FALSE)*$Q209*IFERROR(((VLOOKUP(P209,Settings!$E$28:$F$33,2,FALSE)/2)+1),1)</f>
        <v>123.64846405818297</v>
      </c>
      <c r="W209" s="57" cm="1">
        <f t="array" ref="W209">VLOOKUP(B209,'Player Data'!$A1:$AE673,11,FALSE)*$Q209*IFERROR((VLOOKUP(P209,Settings!$E$28:$F$33,2,FALSE)+1),1)</f>
        <v>0.989497707243577</v>
      </c>
      <c r="X209" s="57" cm="1">
        <f t="array" ref="X209">VLOOKUP(B209,'Player Data'!$A1:$AE673,12,FALSE)*$Q209*IFERROR((VLOOKUP(P209,Settings!$E$28:$F$33,2,FALSE)+1),1)</f>
        <v>4.9596357217846041</v>
      </c>
      <c r="Y209" s="57" cm="1">
        <f t="array" ref="Y209">VLOOKUP(B209,'Player Data'!$A1:$AE673,13,FALSE)*$Q209</f>
        <v>0</v>
      </c>
      <c r="Z209" s="57" cm="1">
        <f t="array" ref="Z209">VLOOKUP(B209,'Player Data'!$A1:$AE673,14,FALSE)*$Q209</f>
        <v>0</v>
      </c>
      <c r="AA209" s="57" cm="1">
        <f t="array" ref="AA209">VLOOKUP(B209,'Player Data'!$A1:$AE673,15,FALSE)*$Q209</f>
        <v>93.409756097561285</v>
      </c>
      <c r="AB209" s="57" cm="1">
        <f t="array" ref="AB209">VLOOKUP(B209,'Player Data'!$A1:$AE673,16,FALSE)*$Q209</f>
        <v>96.137853658536301</v>
      </c>
      <c r="AC209" s="57" cm="1">
        <f t="array" ref="AC209">VLOOKUP(B209,'Player Data'!$A1:$AE673,17,FALSE)*$Q209*IFERROR((VLOOKUP(P209,Settings!$E$28:$F$33,2,FALSE)+1),1)</f>
        <v>0.51270731707317063</v>
      </c>
      <c r="AD209" s="57" cm="1">
        <f t="array" ref="AD209">VLOOKUP(B209,'Player Data'!$A1:$AE673,18,FALSE)*$Q209</f>
        <v>31.979999999999997</v>
      </c>
      <c r="AE209" s="57" cm="1">
        <f t="array" ref="AE209">VLOOKUP(B209,'Player Data'!$A1:$AE673,19,FALSE)*$Q209*IFERROR((VLOOKUP(P209,Settings!$E$28:$F$33,2,FALSE)+1),1)</f>
        <v>0.85673137450814207</v>
      </c>
      <c r="AF209" s="57" cm="1">
        <f t="array" ref="AF209">VLOOKUP(B209,'Player Data'!$A1:$AE673,20,FALSE)*$Q209</f>
        <v>0</v>
      </c>
      <c r="AG209" s="57" cm="1">
        <f t="array" ref="AG209">VLOOKUP(B209,'Player Data'!$A1:$AE673,21,FALSE)*$Q209</f>
        <v>0</v>
      </c>
      <c r="AH209" s="59" cm="1">
        <f t="array" ref="AH209">VLOOKUP(B209,'Player Data'!$A1:$AE673,22,FALSE)</f>
        <v>0</v>
      </c>
      <c r="AI209" s="55"/>
      <c r="AJ209" s="57"/>
      <c r="AK209" s="57"/>
      <c r="AL209" s="57"/>
      <c r="AM209" s="57"/>
      <c r="AN209" s="57"/>
      <c r="AO209" s="57"/>
      <c r="AP209" s="57"/>
      <c r="AQ209" s="60"/>
      <c r="AR209" s="61"/>
      <c r="AS209" s="55"/>
    </row>
    <row r="210" spans="1:45" ht="21.25" customHeight="1" x14ac:dyDescent="0.15">
      <c r="A210" s="62">
        <f t="shared" si="3"/>
        <v>209</v>
      </c>
      <c r="B210" s="10" t="s">
        <v>338</v>
      </c>
      <c r="C210" s="47" t="s">
        <v>147</v>
      </c>
      <c r="D210" s="48" t="str" cm="1">
        <f t="array" ref="D210">VLOOKUP(B210,'Player Data'!A1:D673,4,FALSE)</f>
        <v>RW</v>
      </c>
      <c r="E210" s="64" cm="1">
        <f t="array" ref="E210">VLOOKUP(B210,RW!A1:F210,3,FALSE)</f>
        <v>65</v>
      </c>
      <c r="F210" s="63" t="str" cm="1">
        <f t="array" ref="F210">VLOOKUP(B210,'Player Data'!A1:B673,2,FALSE)</f>
        <v>CGY</v>
      </c>
      <c r="G210" s="71" cm="1">
        <f t="array" ref="G210">VLOOKUP(B210,'Player Data'!A1:D673,3,FALSE)</f>
        <v>23</v>
      </c>
      <c r="H210" s="51" cm="1">
        <f t="array" ref="H210">IFERROR(VLOOKUP(B210,ADP!A1:F671,6,FALSE)/1000000,VLOOKUP(B210,ADP!A1:F671,6,FALSE))</f>
        <v>6.5</v>
      </c>
      <c r="I210" s="52">
        <f>IF(Settings!$E$15="POINTS",((R210*Q210)*Settings!$B$12)+(S210*Settings!$B$2)+(T210*Settings!$B$3)+(U210*Settings!$B$4)+(V210*Settings!$B$5)+(X210*Settings!$B$9)+(AA210*Settings!$B$6)+(W210*Settings!$B$8)+(AB210*Settings!$B$7)+(AC210*Settings!$B$14)+(AD210*Settings!$B$15)+(AE210*Settings!$B$16)+(AF210*Settings!$B$17)+(AG210*Settings!$B$18)+(Y210*Settings!$B$10)+(Z210*Settings!$B$11),VLOOKUP(B210,'Standard Deviations'!A$1:C$672,3,FALSE))</f>
        <v>291.64883452465949</v>
      </c>
      <c r="J210" s="53" cm="1">
        <f t="array" ref="J210">IF(D210="G",I210/AJ210,I210/Q210)</f>
        <v>3.5659340916968914</v>
      </c>
      <c r="K210" s="52" cm="1">
        <f t="array" ref="K210">IF(Settings!$E$18="C/LW/RW",VLOOKUP(B210,RW!A1:F210,6,FALSE),VLOOKUP(B210,F!A1:F407,6,FALSE))</f>
        <v>-103.29463016889798</v>
      </c>
      <c r="L210" s="54" cm="1">
        <f t="array" ref="L210">IFERROR(K210/H210,"N/A")</f>
        <v>-15.891481564445844</v>
      </c>
      <c r="M210" s="85" t="s">
        <v>832</v>
      </c>
      <c r="N210" s="85" t="str" cm="1">
        <f t="array" ref="N210">IFERROR(M210-A210,"N/A")</f>
        <v>N/A</v>
      </c>
      <c r="O210" s="55"/>
      <c r="P210" s="56" t="str" cm="1">
        <f t="array" ref="P210">_xlfn.XLOOKUP($B210,ADP!A2:A671,ADP!G2:G671)</f>
        <v xml:space="preserve"> </v>
      </c>
      <c r="Q210" s="57" cm="1">
        <f t="array" ref="Q210">IF(Settings!$E$12="YES",VLOOKUP(B210,'Player Data'!A1:E673,5,FALSE),84)</f>
        <v>81.787499999999994</v>
      </c>
      <c r="R210" s="55" cm="1">
        <f t="array" ref="R210">VLOOKUP(B210,'Player Data'!$A1:$AE673,6,FALSE)</f>
        <v>17.586950501263502</v>
      </c>
      <c r="S210" s="57" cm="1">
        <f t="array" ref="S210">VLOOKUP(B210,'Player Data'!$A1:$AE673,7,FALSE)*$Q210*IFERROR((VLOOKUP(P210,Settings!$E$28:$F$33,2,FALSE)+1),1)</f>
        <v>22.926135689330373</v>
      </c>
      <c r="T210" s="57" cm="1">
        <f t="array" ref="T210">VLOOKUP(B210,'Player Data'!$A1:$AE673,8,FALSE)*$Q210*IFERROR((VLOOKUP(P210,Settings!$E$28:$F$33,2,FALSE)+1),1)</f>
        <v>29.204615604261466</v>
      </c>
      <c r="U210" s="57" cm="1">
        <f t="array" ref="U210">SUM(S210:T210)</f>
        <v>52.130751293591842</v>
      </c>
      <c r="V210" s="57" cm="1">
        <f t="array" ref="V210">VLOOKUP(B210,'Player Data'!$A1:$AE673,10,FALSE)*$Q210*IFERROR(((VLOOKUP(P210,Settings!$E$28:$F$33,2,FALSE)/2)+1),1)</f>
        <v>207.19459653005461</v>
      </c>
      <c r="W210" s="57" cm="1">
        <f t="array" ref="W210">VLOOKUP(B210,'Player Data'!$A1:$AE673,11,FALSE)*$Q210*IFERROR((VLOOKUP(P210,Settings!$E$28:$F$33,2,FALSE)+1),1)</f>
        <v>6.4231639126237425</v>
      </c>
      <c r="X210" s="79" cm="1">
        <f t="array" ref="X210">VLOOKUP(B210,'Player Data'!$A1:$AE673,12,FALSE)*$Q210*IFERROR((VLOOKUP(P210,Settings!$E$28:$F$33,2,FALSE)+1),1)</f>
        <v>16.886347598190451</v>
      </c>
      <c r="Y210" s="57" cm="1">
        <f t="array" ref="Y210">VLOOKUP(B210,'Player Data'!$A1:$AE673,13,FALSE)*$Q210</f>
        <v>8.7402237471076137E-3</v>
      </c>
      <c r="Z210" s="57" cm="1">
        <f t="array" ref="Z210">VLOOKUP(B210,'Player Data'!$A1:$AE673,14,FALSE)*$Q210</f>
        <v>1.4314941232077778E-2</v>
      </c>
      <c r="AA210" s="57" cm="1">
        <f t="array" ref="AA210">VLOOKUP(B210,'Player Data'!$A1:$AE673,15,FALSE)*$Q210</f>
        <v>29.517239678868179</v>
      </c>
      <c r="AB210" s="57" cm="1">
        <f t="array" ref="AB210">VLOOKUP(B210,'Player Data'!$A1:$AE673,16,FALSE)*$Q210</f>
        <v>34.342500838046192</v>
      </c>
      <c r="AC210" s="57" cm="1">
        <f t="array" ref="AC210">VLOOKUP(B210,'Player Data'!$A1:$AE673,17,FALSE)*$Q210*IFERROR((VLOOKUP(P210,Settings!$E$28:$F$33,2,FALSE)+1),1)</f>
        <v>-9.8824014053278564</v>
      </c>
      <c r="AD210" s="57" cm="1">
        <f t="array" ref="AD210">VLOOKUP(B210,'Player Data'!$A1:$AE673,18,FALSE)*$Q210</f>
        <v>31.028214090372842</v>
      </c>
      <c r="AE210" s="57" cm="1">
        <f t="array" ref="AE210">VLOOKUP(B210,'Player Data'!$A1:$AE673,19,FALSE)*$Q210*IFERROR((VLOOKUP(P210,Settings!$E$28:$F$33,2,FALSE)+1),1)</f>
        <v>3.29620444450399</v>
      </c>
      <c r="AF210" s="57" cm="1">
        <f t="array" ref="AF210">VLOOKUP(B210,'Player Data'!$A1:$AE673,20,FALSE)*$Q210</f>
        <v>72.074754582386348</v>
      </c>
      <c r="AG210" s="57" cm="1">
        <f t="array" ref="AG210">VLOOKUP(B210,'Player Data'!$A1:$AE673,21,FALSE)*$Q210</f>
        <v>108.01391336267507</v>
      </c>
      <c r="AH210" s="59" cm="1">
        <f t="array" ref="AH210">VLOOKUP(B210,'Player Data'!$A1:$AE673,22,FALSE)</f>
        <v>0.40021815589403797</v>
      </c>
      <c r="AI210" s="55"/>
      <c r="AJ210" s="57"/>
      <c r="AK210" s="57"/>
      <c r="AL210" s="57"/>
      <c r="AM210" s="57"/>
      <c r="AN210" s="57"/>
      <c r="AO210" s="57"/>
      <c r="AP210" s="57"/>
      <c r="AQ210" s="60"/>
      <c r="AR210" s="61"/>
      <c r="AS210" s="55"/>
    </row>
    <row r="211" spans="1:45" ht="21.25" customHeight="1" x14ac:dyDescent="0.15">
      <c r="A211" s="62">
        <f t="shared" si="3"/>
        <v>210</v>
      </c>
      <c r="B211" s="10" t="s">
        <v>339</v>
      </c>
      <c r="C211" s="47" t="s">
        <v>147</v>
      </c>
      <c r="D211" s="48" t="str" cm="1">
        <f t="array" ref="D211">VLOOKUP(B211,'Player Data'!A1:D673,4,FALSE)</f>
        <v>D</v>
      </c>
      <c r="E211" s="68" cm="1">
        <f t="array" ref="E211">VLOOKUP(B211,D!A1:C204,3,FALSE)</f>
        <v>72</v>
      </c>
      <c r="F211" s="65" t="str" cm="1">
        <f t="array" ref="F211">VLOOKUP(B211,'Player Data'!A1:B673,2,FALSE)</f>
        <v>CAR</v>
      </c>
      <c r="G211" s="66" cm="1">
        <f t="array" ref="G211">VLOOKUP(B211,'Player Data'!A1:D673,3,FALSE)</f>
        <v>32</v>
      </c>
      <c r="H211" s="51" cm="1">
        <f t="array" ref="H211">IFERROR(VLOOKUP(B211,ADP!A1:F671,6,FALSE)/1000000,VLOOKUP(B211,ADP!A1:F671,6,FALSE))</f>
        <v>6.9349999999999996</v>
      </c>
      <c r="I211" s="52">
        <f>IF(Settings!$E$15="POINTS",((R211*Q211)*Settings!$B$12)+(S211*Settings!$B$2)+(T211*Settings!$B$3)+(U211*Settings!$B$4)+(V211*Settings!$B$5)+(X211*Settings!$B$9)+(AA211*Settings!$B$6)+(W211*Settings!$B$8)+(AB211*Settings!$B$7)+(AC211*Settings!$B$14)+(AD211*Settings!$B$15)+(AE211*Settings!$B$16)+(AF211*Settings!$B$17)+(AG211*Settings!$B$18)+(U211*Settings!$B$13)+(Y211*Settings!$B$10)+(Z211*Settings!$B$11),VLOOKUP(B211,'Standard Deviations'!A$1:C$672,3,FALSE))</f>
        <v>203.29074957025395</v>
      </c>
      <c r="J211" s="53" cm="1">
        <f t="array" ref="J211">IF(D211="G",I211/AJ211,I211/Q211)</f>
        <v>2.554786510041207</v>
      </c>
      <c r="K211" s="52" cm="1">
        <f t="array" ref="K211">VLOOKUP(B211,D!A1:F204,6,FALSE)</f>
        <v>-103.36311777434011</v>
      </c>
      <c r="L211" s="54" cm="1">
        <f t="array" ref="L211">IFERROR(K211/H211,"N/A")</f>
        <v>-14.904559159962526</v>
      </c>
      <c r="M211" s="85" t="s">
        <v>832</v>
      </c>
      <c r="N211" s="85" t="str" cm="1">
        <f t="array" ref="N211">IFERROR(M211-A211,"N/A")</f>
        <v>N/A</v>
      </c>
      <c r="O211" s="55"/>
      <c r="P211" s="56" t="str" cm="1">
        <f t="array" ref="P211">_xlfn.XLOOKUP($B211,ADP!A2:A671,ADP!G2:G671)</f>
        <v xml:space="preserve"> </v>
      </c>
      <c r="Q211" s="57" cm="1">
        <f t="array" ref="Q211">IF(Settings!$E$12="YES",VLOOKUP(B211,'Player Data'!A1:E673,5,FALSE),84)</f>
        <v>79.572500000000005</v>
      </c>
      <c r="R211" s="55" cm="1">
        <f t="array" ref="R211">VLOOKUP(B211,'Player Data'!$A1:$AE673,6,FALSE)</f>
        <v>21.434859649581199</v>
      </c>
      <c r="S211" s="57" cm="1">
        <f t="array" ref="S211">VLOOKUP(B211,'Player Data'!$A1:$AE673,7,FALSE)*$Q211*IFERROR((VLOOKUP(P211,Settings!$E$28:$F$33,2,FALSE)+1),1)</f>
        <v>4.7174089728505519</v>
      </c>
      <c r="T211" s="57" cm="1">
        <f t="array" ref="T211">VLOOKUP(B211,'Player Data'!$A1:$AE673,8,FALSE)*$Q211*IFERROR((VLOOKUP(P211,Settings!$E$28:$F$33,2,FALSE)+1),1)</f>
        <v>21.504463700440606</v>
      </c>
      <c r="U211" s="57" cm="1">
        <f t="array" ref="U211">SUM(S211:T211)</f>
        <v>26.221872673291159</v>
      </c>
      <c r="V211" s="57" cm="1">
        <f t="array" ref="V211">VLOOKUP(B211,'Player Data'!$A1:$AE673,10,FALSE)*$Q211*IFERROR(((VLOOKUP(P211,Settings!$E$28:$F$33,2,FALSE)/2)+1),1)</f>
        <v>118.86758321493573</v>
      </c>
      <c r="W211" s="57" cm="1">
        <f t="array" ref="W211">VLOOKUP(B211,'Player Data'!$A1:$AE673,11,FALSE)*$Q211*IFERROR((VLOOKUP(P211,Settings!$E$28:$F$33,2,FALSE)+1),1)</f>
        <v>1.2788404753780071E-2</v>
      </c>
      <c r="X211" s="57" cm="1">
        <f t="array" ref="X211">VLOOKUP(B211,'Player Data'!$A1:$AE673,12,FALSE)*$Q211*IFERROR((VLOOKUP(P211,Settings!$E$28:$F$33,2,FALSE)+1),1)</f>
        <v>0.1007391821529194</v>
      </c>
      <c r="Y211" s="57" cm="1">
        <f t="array" ref="Y211">VLOOKUP(B211,'Player Data'!$A1:$AE673,13,FALSE)*$Q211</f>
        <v>0.40251918906370771</v>
      </c>
      <c r="Z211" s="57" cm="1">
        <f t="array" ref="Z211">VLOOKUP(B211,'Player Data'!$A1:$AE673,14,FALSE)*$Q211</f>
        <v>2.6850543484178409</v>
      </c>
      <c r="AA211" s="57" cm="1">
        <f t="array" ref="AA211">VLOOKUP(B211,'Player Data'!$A1:$AE673,15,FALSE)*$Q211</f>
        <v>124.81109282468367</v>
      </c>
      <c r="AB211" s="57" cm="1">
        <f t="array" ref="AB211">VLOOKUP(B211,'Player Data'!$A1:$AE673,16,FALSE)*$Q211</f>
        <v>37.923816165827866</v>
      </c>
      <c r="AC211" s="57" cm="1">
        <f t="array" ref="AC211">VLOOKUP(B211,'Player Data'!$A1:$AE673,17,FALSE)*$Q211*IFERROR((VLOOKUP(P211,Settings!$E$28:$F$33,2,FALSE)+1),1)</f>
        <v>7.1350997639254752</v>
      </c>
      <c r="AD211" s="57" cm="1">
        <f t="array" ref="AD211">VLOOKUP(B211,'Player Data'!$A1:$AE673,18,FALSE)*$Q211</f>
        <v>14.624535780865006</v>
      </c>
      <c r="AE211" s="57" cm="1">
        <f t="array" ref="AE211">VLOOKUP(B211,'Player Data'!$A1:$AE673,19,FALSE)*$Q211*IFERROR((VLOOKUP(P211,Settings!$E$28:$F$33,2,FALSE)+1),1)</f>
        <v>0.81010070683342128</v>
      </c>
      <c r="AF211" s="57" cm="1">
        <f t="array" ref="AF211">VLOOKUP(B211,'Player Data'!$A1:$AE673,20,FALSE)*$Q211</f>
        <v>0</v>
      </c>
      <c r="AG211" s="57" cm="1">
        <f t="array" ref="AG211">VLOOKUP(B211,'Player Data'!$A1:$AE673,21,FALSE)*$Q211</f>
        <v>0</v>
      </c>
      <c r="AH211" s="59" cm="1">
        <f t="array" ref="AH211">VLOOKUP(B211,'Player Data'!$A1:$AE673,22,FALSE)</f>
        <v>0</v>
      </c>
      <c r="AI211" s="55"/>
      <c r="AJ211" s="57"/>
      <c r="AK211" s="57"/>
      <c r="AL211" s="57"/>
      <c r="AM211" s="57"/>
      <c r="AN211" s="57"/>
      <c r="AO211" s="57"/>
      <c r="AP211" s="57"/>
      <c r="AQ211" s="60"/>
      <c r="AR211" s="61"/>
      <c r="AS211" s="55"/>
    </row>
    <row r="212" spans="1:45" ht="21.25" customHeight="1" x14ac:dyDescent="0.15">
      <c r="A212" s="62">
        <f t="shared" si="3"/>
        <v>211</v>
      </c>
      <c r="B212" s="10" t="s">
        <v>340</v>
      </c>
      <c r="C212" s="76"/>
      <c r="D212" s="48" t="str" cm="1">
        <f t="array" ref="D212">VLOOKUP(B212,'Player Data'!A1:D673,4,FALSE)</f>
        <v>G</v>
      </c>
      <c r="E212" s="77" cm="1">
        <f t="array" ref="E212">VLOOKUP(B212,G!A1:D66,3,FALSE)</f>
        <v>27</v>
      </c>
      <c r="F212" s="73" t="str" cm="1">
        <f t="array" ref="F212">VLOOKUP(B212,'Player Data'!A1:B673,2,FALSE)</f>
        <v>BUF</v>
      </c>
      <c r="G212" s="11" cm="1">
        <f t="array" ref="G212">VLOOKUP(B212,'Player Data'!A1:D673,3,FALSE)</f>
        <v>27</v>
      </c>
      <c r="H212" s="51" cm="1">
        <f t="array" ref="H212">IFERROR(VLOOKUP(B212,ADP!A1:F671,6,FALSE)/1000000,VLOOKUP(B212,ADP!A1:F671,6,FALSE))</f>
        <v>4.75</v>
      </c>
      <c r="I212" s="52">
        <f>IF(Settings!$E$15="POINTS",(AJ212*Settings!$B$29)+(AK212*Settings!$B$21)+(AL212*Settings!$B$22)+(AN212*Settings!$B$24)+(AO212*Settings!$B$25)+(AP212*Settings!$B$27)+(AM212*Settings!$B$23),VLOOKUP(B212,'Standard Deviations'!A$1:C$672,3,FALSE))</f>
        <v>255.41003090599168</v>
      </c>
      <c r="J212" s="53" cm="1">
        <f t="array" ref="J212">IF(D212="G",I212/AJ212,I212/Q212)</f>
        <v>5.6757784645775926</v>
      </c>
      <c r="K212" s="52" cm="1">
        <f t="array" ref="K212">VLOOKUP(B212,G!A1:F66,6,FALSE)</f>
        <v>-103.74787702424635</v>
      </c>
      <c r="L212" s="54" cm="1">
        <f t="array" ref="L212">IFERROR(K212/H212,"N/A")</f>
        <v>-21.84165832089397</v>
      </c>
      <c r="M212" s="55">
        <v>109.7</v>
      </c>
      <c r="N212" s="55" cm="1">
        <f t="array" ref="N212">IFERROR(M212-A212,"N/A")</f>
        <v>-101.3</v>
      </c>
      <c r="O212" s="55"/>
      <c r="P212" s="56" t="str" cm="1">
        <f t="array" ref="P212">_xlfn.XLOOKUP($B212,ADP!A2:A671,ADP!G2:G671)</f>
        <v xml:space="preserve"> </v>
      </c>
      <c r="Q212" s="57"/>
      <c r="R212" s="55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9"/>
      <c r="AI212" s="55"/>
      <c r="AJ212" s="78" cm="1">
        <f t="array" ref="AJ212">VLOOKUP(B212,'Player Data'!$A1:$AE673,24,FALSE)</f>
        <v>45</v>
      </c>
      <c r="AK212" s="57" cm="1">
        <f t="array" ref="AK212">VLOOKUP(B212,'Player Data'!$A1:$AE673,25,FALSE)*$AJ212*IFERROR((VLOOKUP(P212,Settings!$E$28:$F$33,2,FALSE)+1),1)</f>
        <v>23.512448017644299</v>
      </c>
      <c r="AL212" s="57" cm="1">
        <f t="array" ref="AL212">AJ212-AK212-AM212</f>
        <v>16.115663986766776</v>
      </c>
      <c r="AM212" s="57" cm="1">
        <f t="array" ref="AM212">VLOOKUP(B212,'Player Data'!$A1:$AE673,27,FALSE)*$AJ212</f>
        <v>5.3718879955889252</v>
      </c>
      <c r="AN212" s="57" cm="1">
        <f t="array" ref="AN212">VLOOKUP(B212,'Player Data'!$A1:$AE673,28,FALSE)*AJ212</f>
        <v>2.316380111105103</v>
      </c>
      <c r="AO212" s="57" cm="1">
        <f t="array" ref="AO212">VLOOKUP(B212,'Player Data'!$A1:$AE673,29,FALSE)*$AJ212*IFERROR((VLOOKUP(P212,Settings!$E$28:$F$33,2,FALSE)/4)+1,1)</f>
        <v>1140.2136518787945</v>
      </c>
      <c r="AP212" s="57" cm="1">
        <f t="array" ref="AP212">VLOOKUP(B212,'Player Data'!$A1:$AE673,31,FALSE)*$AJ212*(IFERROR(1-(VLOOKUP(P212,Settings!$E$28:$F$33,2,FALSE)/4),1))</f>
        <v>129.18350639914786</v>
      </c>
      <c r="AQ212" s="60" cm="1">
        <f t="array" ref="AQ212">1-(AP212/(AO212+AP212))</f>
        <v>0.89823239672727995</v>
      </c>
      <c r="AR212" s="61" cm="1">
        <f t="array" ref="AR212">AP212/AJ212</f>
        <v>2.8707445866477301</v>
      </c>
      <c r="AS212" s="55"/>
    </row>
    <row r="213" spans="1:45" ht="21.25" customHeight="1" x14ac:dyDescent="0.15">
      <c r="A213" s="62">
        <f t="shared" si="3"/>
        <v>212</v>
      </c>
      <c r="B213" s="10" t="s">
        <v>341</v>
      </c>
      <c r="C213" s="47" t="s">
        <v>128</v>
      </c>
      <c r="D213" s="48" t="str" cm="1">
        <f t="array" ref="D213">VLOOKUP(B213,'Player Data'!A1:D673,4,FALSE)</f>
        <v>C,LW</v>
      </c>
      <c r="E213" s="74" cm="1">
        <f t="array" ref="E213">VLOOKUP(B213,LW!A1:C210,3,FALSE)</f>
        <v>52</v>
      </c>
      <c r="F213" s="63" t="str" cm="1">
        <f t="array" ref="F213">VLOOKUP(B213,'Player Data'!A1:B673,2,FALSE)</f>
        <v>EDM</v>
      </c>
      <c r="G213" s="66" cm="1">
        <f t="array" ref="G213">VLOOKUP(B213,'Player Data'!A1:D673,3,FALSE)</f>
        <v>33</v>
      </c>
      <c r="H213" s="51" cm="1">
        <f t="array" ref="H213">IFERROR(VLOOKUP(B213,ADP!A1:F671,6,FALSE)/1000000,VLOOKUP(B213,ADP!A1:F671,6,FALSE))</f>
        <v>5.125</v>
      </c>
      <c r="I213" s="52">
        <f>IF(Settings!$E$15="POINTS",((R213*Q213)*Settings!$B$12)+(S213*Settings!$B$2)+(T213*Settings!$B$3)+(U213*Settings!$B$4)+(V213*Settings!$B$5)+(X213*Settings!$B$9)+(AA213*Settings!$B$6)+(W213*Settings!$B$8)+(AB213*Settings!$B$7)+(AC213*Settings!$B$14)+(AD213*Settings!$B$15)+(AE213*Settings!$B$16)+(AF213*Settings!$B$17)+(AG213*Settings!$B$18)+(Y213*Settings!$B$10)+(Z213*Settings!$B$11),VLOOKUP(B213,'Standard Deviations'!A$1:C$672,3,FALSE))</f>
        <v>295.51112873580962</v>
      </c>
      <c r="J213" s="53" cm="1">
        <f t="array" ref="J213">IF(D213="G",I213/AJ213,I213/Q213)</f>
        <v>3.6256809856549861</v>
      </c>
      <c r="K213" s="52" cm="1">
        <f t="array" ref="K213">IF(Settings!$E$18="C/LW/RW",VLOOKUP(B213,LW!A1:F210,6,FALSE),VLOOKUP(B213,F!A1:F407,6,FALSE))</f>
        <v>-103.80186457791046</v>
      </c>
      <c r="L213" s="54" cm="1">
        <f t="array" ref="L213">IFERROR(K213/H213,"N/A")</f>
        <v>-20.254022356665455</v>
      </c>
      <c r="M213" s="55">
        <v>138.80000000000001</v>
      </c>
      <c r="N213" s="55" cm="1">
        <f t="array" ref="N213">IFERROR(M213-A213,"N/A")</f>
        <v>-73.199999999999989</v>
      </c>
      <c r="O213" s="55"/>
      <c r="P213" s="56" t="str" cm="1">
        <f t="array" ref="P213">_xlfn.XLOOKUP($B213,ADP!A2:A671,ADP!G2:G671)</f>
        <v xml:space="preserve"> </v>
      </c>
      <c r="Q213" s="57" cm="1">
        <f t="array" ref="Q213">IF(Settings!$E$12="YES",VLOOKUP(B213,'Player Data'!A1:E673,5,FALSE),84)</f>
        <v>81.504999999999995</v>
      </c>
      <c r="R213" s="55" cm="1">
        <f t="array" ref="R213">VLOOKUP(B213,'Player Data'!$A1:$AE673,6,FALSE)</f>
        <v>18.3034484200343</v>
      </c>
      <c r="S213" s="57" cm="1">
        <f t="array" ref="S213">VLOOKUP(B213,'Player Data'!$A1:$AE673,7,FALSE)*$Q213*IFERROR((VLOOKUP(P213,Settings!$E$28:$F$33,2,FALSE)+1),1)</f>
        <v>19.632933883043417</v>
      </c>
      <c r="T213" s="57" cm="1">
        <f t="array" ref="T213">VLOOKUP(B213,'Player Data'!$A1:$AE673,8,FALSE)*$Q213*IFERROR((VLOOKUP(P213,Settings!$E$28:$F$33,2,FALSE)+1),1)</f>
        <v>36.969703452351254</v>
      </c>
      <c r="U213" s="57" cm="1">
        <f t="array" ref="U213">SUM(S213:T213)</f>
        <v>56.602637335394675</v>
      </c>
      <c r="V213" s="57" cm="1">
        <f t="array" ref="V213">VLOOKUP(B213,'Player Data'!$A1:$AE673,10,FALSE)*$Q213*IFERROR(((VLOOKUP(P213,Settings!$E$28:$F$33,2,FALSE)/2)+1),1)</f>
        <v>155.35133843616111</v>
      </c>
      <c r="W213" s="58" cm="1">
        <f t="array" ref="W213">VLOOKUP(B213,'Player Data'!$A1:$AE673,11,FALSE)*$Q213*IFERROR((VLOOKUP(P213,Settings!$E$28:$F$33,2,FALSE)+1),1)</f>
        <v>9.0091590787361753</v>
      </c>
      <c r="X213" s="57" cm="1">
        <f t="array" ref="X213">VLOOKUP(B213,'Player Data'!$A1:$AE673,12,FALSE)*$Q213*IFERROR((VLOOKUP(P213,Settings!$E$28:$F$33,2,FALSE)+1),1)</f>
        <v>27.808207632728401</v>
      </c>
      <c r="Y213" s="57" cm="1">
        <f t="array" ref="Y213">VLOOKUP(B213,'Player Data'!$A1:$AE673,13,FALSE)*$Q213</f>
        <v>0.31164483361815837</v>
      </c>
      <c r="Z213" s="57" cm="1">
        <f t="array" ref="Z213">VLOOKUP(B213,'Player Data'!$A1:$AE673,14,FALSE)*$Q213</f>
        <v>1.2189149946763067</v>
      </c>
      <c r="AA213" s="57" cm="1">
        <f t="array" ref="AA213">VLOOKUP(B213,'Player Data'!$A1:$AE673,15,FALSE)*$Q213</f>
        <v>38.000849768280688</v>
      </c>
      <c r="AB213" s="57" cm="1">
        <f t="array" ref="AB213">VLOOKUP(B213,'Player Data'!$A1:$AE673,16,FALSE)*$Q213</f>
        <v>36.255186249769025</v>
      </c>
      <c r="AC213" s="57" cm="1">
        <f t="array" ref="AC213">VLOOKUP(B213,'Player Data'!$A1:$AE673,17,FALSE)*$Q213*IFERROR((VLOOKUP(P213,Settings!$E$28:$F$33,2,FALSE)+1),1)</f>
        <v>5.7272074607636148</v>
      </c>
      <c r="AD213" s="57" cm="1">
        <f t="array" ref="AD213">VLOOKUP(B213,'Player Data'!$A1:$AE673,18,FALSE)*$Q213</f>
        <v>28.482568350627464</v>
      </c>
      <c r="AE213" s="57" cm="1">
        <f t="array" ref="AE213">VLOOKUP(B213,'Player Data'!$A1:$AE673,19,FALSE)*$Q213*IFERROR((VLOOKUP(P213,Settings!$E$28:$F$33,2,FALSE)+1),1)</f>
        <v>3.4463957296965204</v>
      </c>
      <c r="AF213" s="57" cm="1">
        <f t="array" ref="AF213">VLOOKUP(B213,'Player Data'!$A1:$AE673,20,FALSE)*$Q213</f>
        <v>206.89257753276127</v>
      </c>
      <c r="AG213" s="57" cm="1">
        <f t="array" ref="AG213">VLOOKUP(B213,'Player Data'!$A1:$AE673,21,FALSE)*$Q213</f>
        <v>224.88728178099805</v>
      </c>
      <c r="AH213" s="59" cm="1">
        <f t="array" ref="AH213">VLOOKUP(B213,'Player Data'!$A1:$AE673,22,FALSE)</f>
        <v>0.47916217736876798</v>
      </c>
      <c r="AI213" s="55"/>
      <c r="AJ213" s="57"/>
      <c r="AK213" s="57"/>
      <c r="AL213" s="57"/>
      <c r="AM213" s="57"/>
      <c r="AN213" s="57"/>
      <c r="AO213" s="57"/>
      <c r="AP213" s="57"/>
      <c r="AQ213" s="60"/>
      <c r="AR213" s="61"/>
      <c r="AS213" s="55"/>
    </row>
    <row r="214" spans="1:45" ht="21.25" customHeight="1" x14ac:dyDescent="0.15">
      <c r="A214" s="62">
        <f t="shared" si="3"/>
        <v>213</v>
      </c>
      <c r="B214" s="10" t="s">
        <v>342</v>
      </c>
      <c r="C214" s="76"/>
      <c r="D214" s="48" t="str" cm="1">
        <f t="array" ref="D214">VLOOKUP(B214,'Player Data'!A1:D673,4,FALSE)</f>
        <v>G</v>
      </c>
      <c r="E214" s="77" cm="1">
        <f t="array" ref="E214">VLOOKUP(B214,G!A1:D66,3,FALSE)</f>
        <v>28</v>
      </c>
      <c r="F214" s="63" t="str" cm="1">
        <f t="array" ref="F214">VLOOKUP(B214,'Player Data'!A1:B673,2,FALSE)</f>
        <v>VGK</v>
      </c>
      <c r="G214" s="11" cm="1">
        <f t="array" ref="G214">VLOOKUP(B214,'Player Data'!A1:D673,3,FALSE)</f>
        <v>28</v>
      </c>
      <c r="H214" s="67" cm="1">
        <f t="array" ref="H214">IFERROR(VLOOKUP(B214,ADP!A1:F671,6,FALSE)/1000000,VLOOKUP(B214,ADP!A1:F671,6,FALSE))</f>
        <v>2</v>
      </c>
      <c r="I214" s="52">
        <f>IF(Settings!$E$15="POINTS",(AJ214*Settings!$B$29)+(AK214*Settings!$B$21)+(AL214*Settings!$B$22)+(AN214*Settings!$B$24)+(AO214*Settings!$B$25)+(AP214*Settings!$B$27)+(AM214*Settings!$B$23),VLOOKUP(B214,'Standard Deviations'!A$1:C$672,3,FALSE))</f>
        <v>254.49793449693647</v>
      </c>
      <c r="J214" s="53" cm="1">
        <f t="array" ref="J214">IF(D214="G",I214/AJ214,I214/Q214)</f>
        <v>5.6555096554874771</v>
      </c>
      <c r="K214" s="52" cm="1">
        <f t="array" ref="K214">VLOOKUP(B214,G!A1:F66,6,FALSE)</f>
        <v>-104.65997343330156</v>
      </c>
      <c r="L214" s="54" cm="1">
        <f t="array" ref="L214">IFERROR(K214/H214,"N/A")</f>
        <v>-52.329986716650779</v>
      </c>
      <c r="M214" s="55">
        <v>131.5</v>
      </c>
      <c r="N214" s="55" cm="1">
        <f t="array" ref="N214">IFERROR(M214-A214,"N/A")</f>
        <v>-81.5</v>
      </c>
      <c r="O214" s="55"/>
      <c r="P214" s="56" t="str" cm="1">
        <f t="array" ref="P214">_xlfn.XLOOKUP($B214,ADP!A2:A671,ADP!G2:G671)</f>
        <v xml:space="preserve"> </v>
      </c>
      <c r="Q214" s="57"/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9"/>
      <c r="AI214" s="55"/>
      <c r="AJ214" s="78" cm="1">
        <f t="array" ref="AJ214">VLOOKUP(B214,'Player Data'!$A1:$AE673,24,FALSE)</f>
        <v>45</v>
      </c>
      <c r="AK214" s="57" cm="1">
        <f t="array" ref="AK214">VLOOKUP(B214,'Player Data'!$A1:$AE673,25,FALSE)*$AJ214*IFERROR((VLOOKUP(P214,Settings!$E$28:$F$33,2,FALSE)+1),1)</f>
        <v>25.920071699583193</v>
      </c>
      <c r="AL214" s="57" cm="1">
        <f t="array" ref="AL214">AJ214-AK214-AM214</f>
        <v>14.309946225312617</v>
      </c>
      <c r="AM214" s="57" cm="1">
        <f t="array" ref="AM214">VLOOKUP(B214,'Player Data'!$A1:$AE673,27,FALSE)*$AJ214</f>
        <v>4.7699820751041901</v>
      </c>
      <c r="AN214" s="57" cm="1">
        <f t="array" ref="AN214">VLOOKUP(B214,'Player Data'!$A1:$AE673,28,FALSE)*AJ214</f>
        <v>3.154168633250277</v>
      </c>
      <c r="AO214" s="57" cm="1">
        <f t="array" ref="AO214">VLOOKUP(B214,'Player Data'!$A1:$AE673,29,FALSE)*$AJ214*IFERROR((VLOOKUP(P214,Settings!$E$28:$F$33,2,FALSE)/4)+1,1)</f>
        <v>1056.4732298086471</v>
      </c>
      <c r="AP214" s="57" cm="1">
        <f t="array" ref="AP214">VLOOKUP(B214,'Player Data'!$A1:$AE673,31,FALSE)*$AJ214*(IFERROR(1-(VLOOKUP(P214,Settings!$E$28:$F$33,2,FALSE)/4),1))</f>
        <v>118.21768804646234</v>
      </c>
      <c r="AQ214" s="60" cm="1">
        <f t="array" ref="AQ214">1-(AP214/(AO214+AP214))</f>
        <v>0.89936272916596793</v>
      </c>
      <c r="AR214" s="61" cm="1">
        <f t="array" ref="AR214">AP214/AJ214</f>
        <v>2.62705973436583</v>
      </c>
      <c r="AS214" s="55"/>
    </row>
    <row r="215" spans="1:45" ht="21.25" customHeight="1" x14ac:dyDescent="0.15">
      <c r="A215" s="62">
        <f t="shared" si="3"/>
        <v>214</v>
      </c>
      <c r="B215" s="10" t="s">
        <v>343</v>
      </c>
      <c r="C215" s="47" t="s">
        <v>147</v>
      </c>
      <c r="D215" s="48" t="str" cm="1">
        <f t="array" ref="D215">VLOOKUP(B215,'Player Data'!A1:D673,4,FALSE)</f>
        <v>D</v>
      </c>
      <c r="E215" s="68" cm="1">
        <f t="array" ref="E215">VLOOKUP(B215,D!A1:C204,3,FALSE)</f>
        <v>73</v>
      </c>
      <c r="F215" s="56" t="str" cm="1">
        <f t="array" ref="F215">VLOOKUP(B215,'Player Data'!A1:B673,2,FALSE)</f>
        <v>S.J</v>
      </c>
      <c r="G215" s="71" cm="1">
        <f t="array" ref="G215">VLOOKUP(B215,'Player Data'!A1:D673,3,FALSE)</f>
        <v>20</v>
      </c>
      <c r="H215" s="51" cm="1">
        <f t="array" ref="H215">IFERROR(VLOOKUP(B215,ADP!A1:F671,6,FALSE)/1000000,VLOOKUP(B215,ADP!A1:F671,6,FALSE))</f>
        <v>0.95374999999999999</v>
      </c>
      <c r="I215" s="52">
        <f>IF(Settings!$E$15="POINTS",((R215*Q215)*Settings!$B$12)+(S215*Settings!$B$2)+(T215*Settings!$B$3)+(U215*Settings!$B$4)+(V215*Settings!$B$5)+(X215*Settings!$B$9)+(AA215*Settings!$B$6)+(W215*Settings!$B$8)+(AB215*Settings!$B$7)+(AC215*Settings!$B$14)+(AD215*Settings!$B$15)+(AE215*Settings!$B$16)+(AF215*Settings!$B$17)+(AG215*Settings!$B$18)+(U215*Settings!$B$13)+(Y215*Settings!$B$10)+(Z215*Settings!$B$11),VLOOKUP(B215,'Standard Deviations'!A$1:C$672,3,FALSE))</f>
        <v>201.88159090798899</v>
      </c>
      <c r="J215" s="53" cm="1">
        <f t="array" ref="J215">IF(D215="G",I215/AJ215,I215/Q215)</f>
        <v>2.5273108526288057</v>
      </c>
      <c r="K215" s="52" cm="1">
        <f t="array" ref="K215">VLOOKUP(B215,D!A1:F204,6,FALSE)</f>
        <v>-104.77227643660507</v>
      </c>
      <c r="L215" s="54" cm="1">
        <f t="array" ref="L215">IFERROR(K215/H215,"N/A")</f>
        <v>-109.85297660456627</v>
      </c>
      <c r="M215" s="85" t="s">
        <v>832</v>
      </c>
      <c r="N215" s="85" t="str" cm="1">
        <f t="array" ref="N215">IFERROR(M215-A215,"N/A")</f>
        <v>N/A</v>
      </c>
      <c r="O215" s="55"/>
      <c r="P215" s="56" t="str" cm="1">
        <f t="array" ref="P215">_xlfn.XLOOKUP($B215,ADP!A2:A671,ADP!G2:G671)</f>
        <v>+ +</v>
      </c>
      <c r="Q215" s="57" cm="1">
        <f t="array" ref="Q215">IF(Settings!$E$12="YES",VLOOKUP(B215,'Player Data'!A1:E673,5,FALSE),84)</f>
        <v>79.88</v>
      </c>
      <c r="R215" s="82" cm="1">
        <f t="array" ref="R215">VLOOKUP(B215,'Player Data'!$A1:$AE673,6,FALSE)</f>
        <v>19.887362814846199</v>
      </c>
      <c r="S215" s="57" cm="1">
        <f t="array" ref="S215">VLOOKUP(B215,'Player Data'!$A1:$AE673,7,FALSE)*$Q215*IFERROR((VLOOKUP(P215,Settings!$E$28:$F$33,2,FALSE)+1),1)</f>
        <v>4.6150770876806284</v>
      </c>
      <c r="T215" s="57" cm="1">
        <f t="array" ref="T215">VLOOKUP(B215,'Player Data'!$A1:$AE673,8,FALSE)*$Q215*IFERROR((VLOOKUP(P215,Settings!$E$28:$F$33,2,FALSE)+1),1)</f>
        <v>25.798834636470666</v>
      </c>
      <c r="U215" s="57" cm="1">
        <f t="array" ref="U215">SUM(S215:T215)</f>
        <v>30.413911724151294</v>
      </c>
      <c r="V215" s="57" cm="1">
        <f t="array" ref="V215">VLOOKUP(B215,'Player Data'!$A1:$AE673,10,FALSE)*$Q215*IFERROR(((VLOOKUP(P215,Settings!$E$28:$F$33,2,FALSE)/2)+1),1)</f>
        <v>111.29244065980248</v>
      </c>
      <c r="W215" s="57" cm="1">
        <f t="array" ref="W215">VLOOKUP(B215,'Player Data'!$A1:$AE673,11,FALSE)*$Q215*IFERROR((VLOOKUP(P215,Settings!$E$28:$F$33,2,FALSE)+1),1)</f>
        <v>1.7062751904302673</v>
      </c>
      <c r="X215" s="57" cm="1">
        <f t="array" ref="X215">VLOOKUP(B215,'Player Data'!$A1:$AE673,12,FALSE)*$Q215*IFERROR((VLOOKUP(P215,Settings!$E$28:$F$33,2,FALSE)+1),1)</f>
        <v>9.2352084306539126</v>
      </c>
      <c r="Y215" s="57" cm="1">
        <f t="array" ref="Y215">VLOOKUP(B215,'Player Data'!$A1:$AE673,13,FALSE)*$Q215</f>
        <v>3.8073879580437661E-2</v>
      </c>
      <c r="Z215" s="57" cm="1">
        <f t="array" ref="Z215">VLOOKUP(B215,'Player Data'!$A1:$AE673,14,FALSE)*$Q215</f>
        <v>0.12646385067664592</v>
      </c>
      <c r="AA215" s="57" cm="1">
        <f t="array" ref="AA215">VLOOKUP(B215,'Player Data'!$A1:$AE673,15,FALSE)*$Q215</f>
        <v>91.263926248606566</v>
      </c>
      <c r="AB215" s="57" cm="1">
        <f t="array" ref="AB215">VLOOKUP(B215,'Player Data'!$A1:$AE673,16,FALSE)*$Q215</f>
        <v>83.539973635822619</v>
      </c>
      <c r="AC215" s="57" cm="1">
        <f t="array" ref="AC215">VLOOKUP(B215,'Player Data'!$A1:$AE673,17,FALSE)*$Q215*IFERROR((VLOOKUP(P215,Settings!$E$28:$F$33,2,FALSE)+1),1)</f>
        <v>-3.3919631857896566</v>
      </c>
      <c r="AD215" s="57" cm="1">
        <f t="array" ref="AD215">VLOOKUP(B215,'Player Data'!$A1:$AE673,18,FALSE)*$Q215</f>
        <v>32.376758298315281</v>
      </c>
      <c r="AE215" s="57" cm="1">
        <f t="array" ref="AE215">VLOOKUP(B215,'Player Data'!$A1:$AE673,19,FALSE)*$Q215*IFERROR((VLOOKUP(P215,Settings!$E$28:$F$33,2,FALSE)+1),1)</f>
        <v>0.64532409921576561</v>
      </c>
      <c r="AF215" s="57" cm="1">
        <f t="array" ref="AF215">VLOOKUP(B215,'Player Data'!$A1:$AE673,20,FALSE)*$Q215</f>
        <v>0</v>
      </c>
      <c r="AG215" s="57" cm="1">
        <f t="array" ref="AG215">VLOOKUP(B215,'Player Data'!$A1:$AE673,21,FALSE)*$Q215</f>
        <v>0</v>
      </c>
      <c r="AH215" s="59" cm="1">
        <f t="array" ref="AH215">VLOOKUP(B215,'Player Data'!$A1:$AE673,22,FALSE)</f>
        <v>0</v>
      </c>
      <c r="AI215" s="55"/>
      <c r="AJ215" s="57"/>
      <c r="AK215" s="57"/>
      <c r="AL215" s="57"/>
      <c r="AM215" s="57"/>
      <c r="AN215" s="57"/>
      <c r="AO215" s="57"/>
      <c r="AP215" s="57"/>
      <c r="AQ215" s="60"/>
      <c r="AR215" s="61"/>
      <c r="AS215" s="55"/>
    </row>
    <row r="216" spans="1:45" ht="21.25" customHeight="1" x14ac:dyDescent="0.15">
      <c r="A216" s="62">
        <f t="shared" si="3"/>
        <v>215</v>
      </c>
      <c r="B216" s="10" t="s">
        <v>344</v>
      </c>
      <c r="C216" s="47" t="s">
        <v>147</v>
      </c>
      <c r="D216" s="48" t="str" cm="1">
        <f t="array" ref="D216">VLOOKUP(B216,'Player Data'!A1:D673,4,FALSE)</f>
        <v>D</v>
      </c>
      <c r="E216" s="68" cm="1">
        <f t="array" ref="E216">VLOOKUP(B216,D!A1:C204,3,FALSE)</f>
        <v>74</v>
      </c>
      <c r="F216" s="56" t="str" cm="1">
        <f t="array" ref="F216">VLOOKUP(B216,'Player Data'!A1:B673,2,FALSE)</f>
        <v>NYR</v>
      </c>
      <c r="G216" s="11" cm="1">
        <f t="array" ref="G216">VLOOKUP(B216,'Player Data'!A1:D673,3,FALSE)</f>
        <v>30</v>
      </c>
      <c r="H216" s="51" cm="1">
        <f t="array" ref="H216">IFERROR(VLOOKUP(B216,ADP!A1:F671,6,FALSE)/1000000,VLOOKUP(B216,ADP!A1:F671,6,FALSE))</f>
        <v>7</v>
      </c>
      <c r="I216" s="52">
        <f>IF(Settings!$E$15="POINTS",((R216*Q216)*Settings!$B$12)+(S216*Settings!$B$2)+(T216*Settings!$B$3)+(U216*Settings!$B$4)+(V216*Settings!$B$5)+(X216*Settings!$B$9)+(AA216*Settings!$B$6)+(W216*Settings!$B$8)+(AB216*Settings!$B$7)+(AC216*Settings!$B$14)+(AD216*Settings!$B$15)+(AE216*Settings!$B$16)+(AF216*Settings!$B$17)+(AG216*Settings!$B$18)+(U216*Settings!$B$13)+(Y216*Settings!$B$10)+(Z216*Settings!$B$11),VLOOKUP(B216,'Standard Deviations'!A$1:C$672,3,FALSE))</f>
        <v>201.70043235956507</v>
      </c>
      <c r="J216" s="53" cm="1">
        <f t="array" ref="J216">IF(D216="G",I216/AJ216,I216/Q216)</f>
        <v>2.4147064810195746</v>
      </c>
      <c r="K216" s="52" cm="1">
        <f t="array" ref="K216">VLOOKUP(B216,D!A1:F204,6,FALSE)</f>
        <v>-104.95343498502899</v>
      </c>
      <c r="L216" s="54" cm="1">
        <f t="array" ref="L216">IFERROR(K216/H216,"N/A")</f>
        <v>-14.993347855004142</v>
      </c>
      <c r="M216" s="55">
        <v>140.5</v>
      </c>
      <c r="N216" s="55" cm="1">
        <f t="array" ref="N216">IFERROR(M216-A216,"N/A")</f>
        <v>-74.5</v>
      </c>
      <c r="O216" s="55"/>
      <c r="P216" s="56" t="str" cm="1">
        <f t="array" ref="P216">_xlfn.XLOOKUP($B216,ADP!A2:A671,ADP!G2:G671)</f>
        <v xml:space="preserve"> </v>
      </c>
      <c r="Q216" s="57" cm="1">
        <f t="array" ref="Q216">IF(Settings!$E$12="YES",VLOOKUP(B216,'Player Data'!A1:E673,5,FALSE),84)</f>
        <v>83.53</v>
      </c>
      <c r="R216" s="55" cm="1">
        <f t="array" ref="R216">VLOOKUP(B216,'Player Data'!$A1:$AE673,6,FALSE)</f>
        <v>22.818930935594501</v>
      </c>
      <c r="S216" s="57" cm="1">
        <f t="array" ref="S216">VLOOKUP(B216,'Player Data'!$A1:$AE673,7,FALSE)*$Q216*IFERROR((VLOOKUP(P216,Settings!$E$28:$F$33,2,FALSE)+1),1)</f>
        <v>6.733047421827095</v>
      </c>
      <c r="T216" s="57" cm="1">
        <f t="array" ref="T216">VLOOKUP(B216,'Player Data'!$A1:$AE673,8,FALSE)*$Q216*IFERROR((VLOOKUP(P216,Settings!$E$28:$F$33,2,FALSE)+1),1)</f>
        <v>21.538726736385243</v>
      </c>
      <c r="U216" s="57" cm="1">
        <f t="array" ref="U216">SUM(S216:T216)</f>
        <v>28.271774158212338</v>
      </c>
      <c r="V216" s="57" cm="1">
        <f t="array" ref="V216">VLOOKUP(B216,'Player Data'!$A1:$AE673,10,FALSE)*$Q216*IFERROR(((VLOOKUP(P216,Settings!$E$28:$F$33,2,FALSE)/2)+1),1)</f>
        <v>112.22312754373188</v>
      </c>
      <c r="W216" s="57" cm="1">
        <f t="array" ref="W216">VLOOKUP(B216,'Player Data'!$A1:$AE673,11,FALSE)*$Q216*IFERROR((VLOOKUP(P216,Settings!$E$28:$F$33,2,FALSE)+1),1)</f>
        <v>0.33843115095709336</v>
      </c>
      <c r="X216" s="57" cm="1">
        <f t="array" ref="X216">VLOOKUP(B216,'Player Data'!$A1:$AE673,12,FALSE)*$Q216*IFERROR((VLOOKUP(P216,Settings!$E$28:$F$33,2,FALSE)+1),1)</f>
        <v>0.88010006735772783</v>
      </c>
      <c r="Y216" s="57" cm="1">
        <f t="array" ref="Y216">VLOOKUP(B216,'Player Data'!$A1:$AE673,13,FALSE)*$Q216</f>
        <v>1.5004703369531094E-2</v>
      </c>
      <c r="Z216" s="57" cm="1">
        <f t="array" ref="Z216">VLOOKUP(B216,'Player Data'!$A1:$AE673,14,FALSE)*$Q216</f>
        <v>0.58894273700797284</v>
      </c>
      <c r="AA216" s="57" cm="1">
        <f t="array" ref="AA216">VLOOKUP(B216,'Player Data'!$A1:$AE673,15,FALSE)*$Q216</f>
        <v>118.60900661739279</v>
      </c>
      <c r="AB216" s="57" cm="1">
        <f t="array" ref="AB216">VLOOKUP(B216,'Player Data'!$A1:$AE673,16,FALSE)*$Q216</f>
        <v>52.572435453131632</v>
      </c>
      <c r="AC216" s="57" cm="1">
        <f t="array" ref="AC216">VLOOKUP(B216,'Player Data'!$A1:$AE673,17,FALSE)*$Q216*IFERROR((VLOOKUP(P216,Settings!$E$28:$F$33,2,FALSE)+1),1)</f>
        <v>0.14744310399404087</v>
      </c>
      <c r="AD216" s="57" cm="1">
        <f t="array" ref="AD216">VLOOKUP(B216,'Player Data'!$A1:$AE673,18,FALSE)*$Q216</f>
        <v>38.223422600821543</v>
      </c>
      <c r="AE216" s="57" cm="1">
        <f t="array" ref="AE216">VLOOKUP(B216,'Player Data'!$A1:$AE673,19,FALSE)*$Q216*IFERROR((VLOOKUP(P216,Settings!$E$28:$F$33,2,FALSE)+1),1)</f>
        <v>1.0577872819602634</v>
      </c>
      <c r="AF216" s="57" cm="1">
        <f t="array" ref="AF216">VLOOKUP(B216,'Player Data'!$A1:$AE673,20,FALSE)*$Q216</f>
        <v>0</v>
      </c>
      <c r="AG216" s="57" cm="1">
        <f t="array" ref="AG216">VLOOKUP(B216,'Player Data'!$A1:$AE673,21,FALSE)*$Q216</f>
        <v>0</v>
      </c>
      <c r="AH216" s="59" cm="1">
        <f t="array" ref="AH216">VLOOKUP(B216,'Player Data'!$A1:$AE673,22,FALSE)</f>
        <v>0</v>
      </c>
      <c r="AI216" s="55"/>
      <c r="AJ216" s="57"/>
      <c r="AK216" s="57"/>
      <c r="AL216" s="57"/>
      <c r="AM216" s="57"/>
      <c r="AN216" s="57"/>
      <c r="AO216" s="57"/>
      <c r="AP216" s="57"/>
      <c r="AQ216" s="60"/>
      <c r="AR216" s="61"/>
      <c r="AS216" s="55"/>
    </row>
    <row r="217" spans="1:45" ht="21.25" customHeight="1" x14ac:dyDescent="0.15">
      <c r="A217" s="62">
        <f t="shared" si="3"/>
        <v>216</v>
      </c>
      <c r="B217" s="10" t="s">
        <v>345</v>
      </c>
      <c r="C217" s="47" t="s">
        <v>147</v>
      </c>
      <c r="D217" s="48" t="str" cm="1">
        <f t="array" ref="D217">VLOOKUP(B217,'Player Data'!A1:D673,4,FALSE)</f>
        <v>C</v>
      </c>
      <c r="E217" s="49" cm="1">
        <f t="array" ref="E217">VLOOKUP(B217,'C'!A1:C210,3,FALSE)</f>
        <v>60</v>
      </c>
      <c r="F217" s="72" t="str" cm="1">
        <f t="array" ref="F217">VLOOKUP(B217,'Player Data'!A1:B673,2,FALSE)</f>
        <v>FLA</v>
      </c>
      <c r="G217" s="11" cm="1">
        <f t="array" ref="G217">VLOOKUP(B217,'Player Data'!A1:D673,3,FALSE)</f>
        <v>30</v>
      </c>
      <c r="H217" s="51" cm="1">
        <f t="array" ref="H217">IFERROR(VLOOKUP(B217,ADP!A1:F671,6,FALSE)/1000000,VLOOKUP(B217,ADP!A1:F671,6,FALSE))</f>
        <v>8</v>
      </c>
      <c r="I217" s="52">
        <f>IF(Settings!$E$15="POINTS",((R217*Q217)*Settings!$B$12)+(S217*Settings!$B$2)+(T217*Settings!$B$3)+(U217*Settings!$B$4)+(V217*Settings!$B$5)+(X217*Settings!$B$9)+(AA217*Settings!$B$6)+(W217*Settings!$B$8)+(AB217*Settings!$B$7)+(AC217*Settings!$B$14)+(AD217*Settings!$B$15)+(AE217*Settings!$B$16)+(AF217*Settings!$B$17)+(AG217*Settings!$B$18)+(Y217*Settings!$B$10)+(Z217*Settings!$B$11),VLOOKUP(B217,'Standard Deviations'!A$1:C$672,3,FALSE))</f>
        <v>280.637352459152</v>
      </c>
      <c r="J217" s="53" cm="1">
        <f t="array" ref="J217">IF(D217="G",I217/AJ217,I217/Q217)</f>
        <v>3.4715159878667983</v>
      </c>
      <c r="K217" s="52" cm="1">
        <f t="array" ref="K217">IF(Settings!$E$18="C/LW/RW",VLOOKUP(B217,'C'!A1:F210,6,FALSE),VLOOKUP(B217,F!A1:F407,6,FALSE))</f>
        <v>-105.897853933931</v>
      </c>
      <c r="L217" s="54" cm="1">
        <f t="array" ref="L217">IFERROR(K217/H217,"N/A")</f>
        <v>-13.237231741741375</v>
      </c>
      <c r="M217" s="55">
        <v>135.19999999999999</v>
      </c>
      <c r="N217" s="55" cm="1">
        <f t="array" ref="N217">IFERROR(M217-A217,"N/A")</f>
        <v>-80.800000000000011</v>
      </c>
      <c r="O217" s="55"/>
      <c r="P217" s="56" t="str" cm="1">
        <f t="array" ref="P217">_xlfn.XLOOKUP($B217,ADP!A2:A671,ADP!G2:G671)</f>
        <v xml:space="preserve"> </v>
      </c>
      <c r="Q217" s="57" cm="1">
        <f t="array" ref="Q217">IF(Settings!$E$12="YES",VLOOKUP(B217,'Player Data'!A1:E673,5,FALSE),84)</f>
        <v>80.84</v>
      </c>
      <c r="R217" s="84" cm="1">
        <f t="array" ref="R217">VLOOKUP(B217,'Player Data'!$A1:$AE673,6,FALSE)</f>
        <v>16.764240873014199</v>
      </c>
      <c r="S217" s="57" cm="1">
        <f t="array" ref="S217">VLOOKUP(B217,'Player Data'!$A1:$AE673,7,FALSE)*$Q217*IFERROR((VLOOKUP(P217,Settings!$E$28:$F$33,2,FALSE)+1),1)</f>
        <v>23.769731443267322</v>
      </c>
      <c r="T217" s="57" cm="1">
        <f t="array" ref="T217">VLOOKUP(B217,'Player Data'!$A1:$AE673,8,FALSE)*$Q217*IFERROR((VLOOKUP(P217,Settings!$E$28:$F$33,2,FALSE)+1),1)</f>
        <v>27.607117058878853</v>
      </c>
      <c r="U217" s="57" cm="1">
        <f t="array" ref="U217">SUM(S217:T217)</f>
        <v>51.376848502146174</v>
      </c>
      <c r="V217" s="57" cm="1">
        <f t="array" ref="V217">VLOOKUP(B217,'Player Data'!$A1:$AE673,10,FALSE)*$Q217*IFERROR(((VLOOKUP(P217,Settings!$E$28:$F$33,2,FALSE)/2)+1),1)</f>
        <v>197.23887246128683</v>
      </c>
      <c r="W217" s="57" cm="1">
        <f t="array" ref="W217">VLOOKUP(B217,'Player Data'!$A1:$AE673,11,FALSE)*$Q217*IFERROR((VLOOKUP(P217,Settings!$E$28:$F$33,2,FALSE)+1),1)</f>
        <v>3.6499445037622054</v>
      </c>
      <c r="X217" s="57" cm="1">
        <f t="array" ref="X217">VLOOKUP(B217,'Player Data'!$A1:$AE673,12,FALSE)*$Q217*IFERROR((VLOOKUP(P217,Settings!$E$28:$F$33,2,FALSE)+1),1)</f>
        <v>8.6672619514319482</v>
      </c>
      <c r="Y217" s="57" cm="1">
        <f t="array" ref="Y217">VLOOKUP(B217,'Player Data'!$A1:$AE673,13,FALSE)*$Q217</f>
        <v>7.951093640658502E-2</v>
      </c>
      <c r="Z217" s="57" cm="1">
        <f t="array" ref="Z217">VLOOKUP(B217,'Player Data'!$A1:$AE673,14,FALSE)*$Q217</f>
        <v>0.12948423044971197</v>
      </c>
      <c r="AA217" s="57" cm="1">
        <f t="array" ref="AA217">VLOOKUP(B217,'Player Data'!$A1:$AE673,15,FALSE)*$Q217</f>
        <v>38.181249080376773</v>
      </c>
      <c r="AB217" s="57" cm="1">
        <f t="array" ref="AB217">VLOOKUP(B217,'Player Data'!$A1:$AE673,16,FALSE)*$Q217</f>
        <v>127.26853715472892</v>
      </c>
      <c r="AC217" s="57" cm="1">
        <f t="array" ref="AC217">VLOOKUP(B217,'Player Data'!$A1:$AE673,17,FALSE)*$Q217*IFERROR((VLOOKUP(P217,Settings!$E$28:$F$33,2,FALSE)+1),1)</f>
        <v>4.2291134823292769</v>
      </c>
      <c r="AD217" s="57" cm="1">
        <f t="array" ref="AD217">VLOOKUP(B217,'Player Data'!$A1:$AE673,18,FALSE)*$Q217</f>
        <v>64.447373433282621</v>
      </c>
      <c r="AE217" s="57" cm="1">
        <f t="array" ref="AE217">VLOOKUP(B217,'Player Data'!$A1:$AE673,19,FALSE)*$Q217*IFERROR((VLOOKUP(P217,Settings!$E$28:$F$33,2,FALSE)+1),1)</f>
        <v>3.9575596912751982</v>
      </c>
      <c r="AF217" s="57" cm="1">
        <f t="array" ref="AF217">VLOOKUP(B217,'Player Data'!$A1:$AE673,20,FALSE)*$Q217</f>
        <v>484.28929273198111</v>
      </c>
      <c r="AG217" s="57" cm="1">
        <f t="array" ref="AG217">VLOOKUP(B217,'Player Data'!$A1:$AE673,21,FALSE)*$Q217</f>
        <v>552.02363308830468</v>
      </c>
      <c r="AH217" s="59" cm="1">
        <f t="array" ref="AH217">VLOOKUP(B217,'Player Data'!$A1:$AE673,22,FALSE)</f>
        <v>0.46731955248811102</v>
      </c>
      <c r="AI217" s="55"/>
      <c r="AJ217" s="57"/>
      <c r="AK217" s="57"/>
      <c r="AL217" s="57"/>
      <c r="AM217" s="57"/>
      <c r="AN217" s="57"/>
      <c r="AO217" s="57"/>
      <c r="AP217" s="57"/>
      <c r="AQ217" s="60"/>
      <c r="AR217" s="61"/>
      <c r="AS217" s="55"/>
    </row>
    <row r="218" spans="1:45" ht="21.25" customHeight="1" x14ac:dyDescent="0.15">
      <c r="A218" s="62">
        <f t="shared" si="3"/>
        <v>217</v>
      </c>
      <c r="B218" s="10" t="s">
        <v>346</v>
      </c>
      <c r="C218" s="47" t="s">
        <v>147</v>
      </c>
      <c r="D218" s="48" t="str" cm="1">
        <f t="array" ref="D218">VLOOKUP(B218,'Player Data'!A1:D673,4,FALSE)</f>
        <v>D</v>
      </c>
      <c r="E218" s="68" cm="1">
        <f t="array" ref="E218">VLOOKUP(B218,D!A1:C204,3,FALSE)</f>
        <v>75</v>
      </c>
      <c r="F218" s="56" t="str" cm="1">
        <f t="array" ref="F218">VLOOKUP(B218,'Player Data'!A1:B673,2,FALSE)</f>
        <v>NYR</v>
      </c>
      <c r="G218" s="11" cm="1">
        <f t="array" ref="G218">VLOOKUP(B218,'Player Data'!A1:D673,3,FALSE)</f>
        <v>27</v>
      </c>
      <c r="H218" s="51" cm="1">
        <f t="array" ref="H218">IFERROR(VLOOKUP(B218,ADP!A1:F671,6,FALSE)/1000000,VLOOKUP(B218,ADP!A1:F671,6,FALSE))</f>
        <v>6</v>
      </c>
      <c r="I218" s="52">
        <f>IF(Settings!$E$15="POINTS",((R218*Q218)*Settings!$B$12)+(S218*Settings!$B$2)+(T218*Settings!$B$3)+(U218*Settings!$B$4)+(V218*Settings!$B$5)+(X218*Settings!$B$9)+(AA218*Settings!$B$6)+(W218*Settings!$B$8)+(AB218*Settings!$B$7)+(AC218*Settings!$B$14)+(AD218*Settings!$B$15)+(AE218*Settings!$B$16)+(AF218*Settings!$B$17)+(AG218*Settings!$B$18)+(U218*Settings!$B$13)+(Y218*Settings!$B$10)+(Z218*Settings!$B$11),VLOOKUP(B218,'Standard Deviations'!A$1:C$672,3,FALSE))</f>
        <v>200.51633252408757</v>
      </c>
      <c r="J218" s="53" cm="1">
        <f t="array" ref="J218">IF(D218="G",I218/AJ218,I218/Q218)</f>
        <v>2.7705192749442151</v>
      </c>
      <c r="K218" s="52" cm="1">
        <f t="array" ref="K218">VLOOKUP(B218,D!A1:F204,6,FALSE)</f>
        <v>-106.13753482050649</v>
      </c>
      <c r="L218" s="54" cm="1">
        <f t="array" ref="L218">IFERROR(K218/H218,"N/A")</f>
        <v>-17.689589136751081</v>
      </c>
      <c r="M218" s="85" t="s">
        <v>832</v>
      </c>
      <c r="N218" s="85" t="str" cm="1">
        <f t="array" ref="N218">IFERROR(M218-A218,"N/A")</f>
        <v>N/A</v>
      </c>
      <c r="O218" s="55"/>
      <c r="P218" s="56" t="str" cm="1">
        <f t="array" ref="P218">_xlfn.XLOOKUP($B218,ADP!A2:A671,ADP!G2:G671)</f>
        <v xml:space="preserve"> </v>
      </c>
      <c r="Q218" s="57" cm="1">
        <f t="array" ref="Q218">IF(Settings!$E$12="YES",VLOOKUP(B218,'Player Data'!A1:E673,5,FALSE),84)</f>
        <v>72.375</v>
      </c>
      <c r="R218" s="82" cm="1">
        <f t="array" ref="R218">VLOOKUP(B218,'Player Data'!$A1:$AE673,6,FALSE)</f>
        <v>20.277003092576599</v>
      </c>
      <c r="S218" s="57" cm="1">
        <f t="array" ref="S218">VLOOKUP(B218,'Player Data'!$A1:$AE673,7,FALSE)*$Q218*IFERROR((VLOOKUP(P218,Settings!$E$28:$F$33,2,FALSE)+1),1)</f>
        <v>6.5572927745998006</v>
      </c>
      <c r="T218" s="57" cm="1">
        <f t="array" ref="T218">VLOOKUP(B218,'Player Data'!$A1:$AE673,8,FALSE)*$Q218*IFERROR((VLOOKUP(P218,Settings!$E$28:$F$33,2,FALSE)+1),1)</f>
        <v>23.222553326484391</v>
      </c>
      <c r="U218" s="57" cm="1">
        <f t="array" ref="U218">SUM(S218:T218)</f>
        <v>29.779846101084193</v>
      </c>
      <c r="V218" s="57" cm="1">
        <f t="array" ref="V218">VLOOKUP(B218,'Player Data'!$A1:$AE673,10,FALSE)*$Q218*IFERROR(((VLOOKUP(P218,Settings!$E$28:$F$33,2,FALSE)/2)+1),1)</f>
        <v>101.57443616904686</v>
      </c>
      <c r="W218" s="57" cm="1">
        <f t="array" ref="W218">VLOOKUP(B218,'Player Data'!$A1:$AE673,11,FALSE)*$Q218*IFERROR((VLOOKUP(P218,Settings!$E$28:$F$33,2,FALSE)+1),1)</f>
        <v>0.70671655681873713</v>
      </c>
      <c r="X218" s="57" cm="1">
        <f t="array" ref="X218">VLOOKUP(B218,'Player Data'!$A1:$AE673,12,FALSE)*$Q218*IFERROR((VLOOKUP(P218,Settings!$E$28:$F$33,2,FALSE)+1),1)</f>
        <v>4.5469524783075785</v>
      </c>
      <c r="Y218" s="57" cm="1">
        <f t="array" ref="Y218">VLOOKUP(B218,'Player Data'!$A1:$AE673,13,FALSE)*$Q218</f>
        <v>1.3646219326022111E-2</v>
      </c>
      <c r="Z218" s="57" cm="1">
        <f t="array" ref="Z218">VLOOKUP(B218,'Player Data'!$A1:$AE673,14,FALSE)*$Q218</f>
        <v>4.8903400377153787E-2</v>
      </c>
      <c r="AA218" s="57" cm="1">
        <f t="array" ref="AA218">VLOOKUP(B218,'Player Data'!$A1:$AE673,15,FALSE)*$Q218</f>
        <v>111.58744051525362</v>
      </c>
      <c r="AB218" s="57" cm="1">
        <f t="array" ref="AB218">VLOOKUP(B218,'Player Data'!$A1:$AE673,16,FALSE)*$Q218</f>
        <v>55.200931284654125</v>
      </c>
      <c r="AC218" s="57" cm="1">
        <f t="array" ref="AC218">VLOOKUP(B218,'Player Data'!$A1:$AE673,17,FALSE)*$Q218*IFERROR((VLOOKUP(P218,Settings!$E$28:$F$33,2,FALSE)+1),1)</f>
        <v>-0.98998848747884305</v>
      </c>
      <c r="AD218" s="57" cm="1">
        <f t="array" ref="AD218">VLOOKUP(B218,'Player Data'!$A1:$AE673,18,FALSE)*$Q218</f>
        <v>40.296314040766532</v>
      </c>
      <c r="AE218" s="57" cm="1">
        <f t="array" ref="AE218">VLOOKUP(B218,'Player Data'!$A1:$AE673,19,FALSE)*$Q218*IFERROR((VLOOKUP(P218,Settings!$E$28:$F$33,2,FALSE)+1),1)</f>
        <v>1.0301755604120404</v>
      </c>
      <c r="AF218" s="57" cm="1">
        <f t="array" ref="AF218">VLOOKUP(B218,'Player Data'!$A1:$AE673,20,FALSE)*$Q218</f>
        <v>0</v>
      </c>
      <c r="AG218" s="57" cm="1">
        <f t="array" ref="AG218">VLOOKUP(B218,'Player Data'!$A1:$AE673,21,FALSE)*$Q218</f>
        <v>0</v>
      </c>
      <c r="AH218" s="59" cm="1">
        <f t="array" ref="AH218">VLOOKUP(B218,'Player Data'!$A1:$AE673,22,FALSE)</f>
        <v>0</v>
      </c>
      <c r="AI218" s="55"/>
      <c r="AJ218" s="57"/>
      <c r="AK218" s="57"/>
      <c r="AL218" s="57"/>
      <c r="AM218" s="57"/>
      <c r="AN218" s="57"/>
      <c r="AO218" s="57"/>
      <c r="AP218" s="57"/>
      <c r="AQ218" s="60"/>
      <c r="AR218" s="61"/>
      <c r="AS218" s="55"/>
    </row>
    <row r="219" spans="1:45" ht="21.25" customHeight="1" x14ac:dyDescent="0.15">
      <c r="A219" s="62">
        <f t="shared" si="3"/>
        <v>218</v>
      </c>
      <c r="B219" s="10" t="s">
        <v>347</v>
      </c>
      <c r="C219" s="47" t="s">
        <v>147</v>
      </c>
      <c r="D219" s="48" t="str" cm="1">
        <f t="array" ref="D219">VLOOKUP(B219,'Player Data'!A1:D673,4,FALSE)</f>
        <v>LW,RW</v>
      </c>
      <c r="E219" s="74" cm="1">
        <f t="array" ref="E219">VLOOKUP(B219,RW!A1:F210,3,FALSE)</f>
        <v>66</v>
      </c>
      <c r="F219" s="56" t="str" cm="1">
        <f t="array" ref="F219">VLOOKUP(B219,'Player Data'!A1:B673,2,FALSE)</f>
        <v>PHI</v>
      </c>
      <c r="G219" s="11" cm="1">
        <f t="array" ref="G219">VLOOKUP(B219,'Player Data'!A1:D673,3,FALSE)</f>
        <v>27</v>
      </c>
      <c r="H219" s="51" cm="1">
        <f t="array" ref="H219">IFERROR(VLOOKUP(B219,ADP!A1:F671,6,FALSE)/1000000,VLOOKUP(B219,ADP!A1:F671,6,FALSE))</f>
        <v>6.2</v>
      </c>
      <c r="I219" s="52">
        <f>IF(Settings!$E$15="POINTS",((R219*Q219)*Settings!$B$12)+(S219*Settings!$B$2)+(T219*Settings!$B$3)+(U219*Settings!$B$4)+(V219*Settings!$B$5)+(X219*Settings!$B$9)+(AA219*Settings!$B$6)+(W219*Settings!$B$8)+(AB219*Settings!$B$7)+(AC219*Settings!$B$14)+(AD219*Settings!$B$15)+(AE219*Settings!$B$16)+(AF219*Settings!$B$17)+(AG219*Settings!$B$18)+(Y219*Settings!$B$10)+(Z219*Settings!$B$11),VLOOKUP(B219,'Standard Deviations'!A$1:C$672,3,FALSE))</f>
        <v>288.78266507565496</v>
      </c>
      <c r="J219" s="53" cm="1">
        <f t="array" ref="J219">IF(D219="G",I219/AJ219,I219/Q219)</f>
        <v>3.4891882447369658</v>
      </c>
      <c r="K219" s="52" cm="1">
        <f t="array" ref="K219">IF(Settings!$E$18="C/LW/RW",VLOOKUP(B219,RW!A1:F210,6,FALSE),VLOOKUP(B219,F!A1:F407,6,FALSE))</f>
        <v>-106.16079961790251</v>
      </c>
      <c r="L219" s="54" cm="1">
        <f t="array" ref="L219">IFERROR(K219/H219,"N/A")</f>
        <v>-17.122709615790729</v>
      </c>
      <c r="M219" s="85" t="s">
        <v>832</v>
      </c>
      <c r="N219" s="85" t="str" cm="1">
        <f t="array" ref="N219">IFERROR(M219-A219,"N/A")</f>
        <v>N/A</v>
      </c>
      <c r="O219" s="55"/>
      <c r="P219" s="56" t="str" cm="1">
        <f t="array" ref="P219">_xlfn.XLOOKUP($B219,ADP!A2:A671,ADP!G2:G671)</f>
        <v xml:space="preserve"> </v>
      </c>
      <c r="Q219" s="57" cm="1">
        <f t="array" ref="Q219">IF(Settings!$E$12="YES",VLOOKUP(B219,'Player Data'!A1:E673,5,FALSE),84)</f>
        <v>82.765000000000001</v>
      </c>
      <c r="R219" s="55" cm="1">
        <f t="array" ref="R219">VLOOKUP(B219,'Player Data'!$A1:$AE673,6,FALSE)</f>
        <v>16.107198477515201</v>
      </c>
      <c r="S219" s="57" cm="1">
        <f t="array" ref="S219">VLOOKUP(B219,'Player Data'!$A1:$AE673,7,FALSE)*$Q219*IFERROR((VLOOKUP(P219,Settings!$E$28:$F$33,2,FALSE)+1),1)</f>
        <v>24.712858038771824</v>
      </c>
      <c r="T219" s="57" cm="1">
        <f t="array" ref="T219">VLOOKUP(B219,'Player Data'!$A1:$AE673,8,FALSE)*$Q219*IFERROR((VLOOKUP(P219,Settings!$E$28:$F$33,2,FALSE)+1),1)</f>
        <v>24.075222428716771</v>
      </c>
      <c r="U219" s="57" cm="1">
        <f t="array" ref="U219">SUM(S219:T219)</f>
        <v>48.788080467488598</v>
      </c>
      <c r="V219" s="57" cm="1">
        <f t="array" ref="V219">VLOOKUP(B219,'Player Data'!$A1:$AE673,10,FALSE)*$Q219*IFERROR(((VLOOKUP(P219,Settings!$E$28:$F$33,2,FALSE)/2)+1),1)</f>
        <v>217.88810708261866</v>
      </c>
      <c r="W219" s="57" cm="1">
        <f t="array" ref="W219">VLOOKUP(B219,'Player Data'!$A1:$AE673,11,FALSE)*$Q219*IFERROR((VLOOKUP(P219,Settings!$E$28:$F$33,2,FALSE)+1),1)</f>
        <v>2.126909096403919</v>
      </c>
      <c r="X219" s="57" cm="1">
        <f t="array" ref="X219">VLOOKUP(B219,'Player Data'!$A1:$AE673,12,FALSE)*$Q219*IFERROR((VLOOKUP(P219,Settings!$E$28:$F$33,2,FALSE)+1),1)</f>
        <v>6.0464203248804065</v>
      </c>
      <c r="Y219" s="57" cm="1">
        <f t="array" ref="Y219">VLOOKUP(B219,'Player Data'!$A1:$AE673,13,FALSE)*$Q219</f>
        <v>0.52471612924270206</v>
      </c>
      <c r="Z219" s="57" cm="1">
        <f t="array" ref="Z219">VLOOKUP(B219,'Player Data'!$A1:$AE673,14,FALSE)*$Q219</f>
        <v>0.56117087688910927</v>
      </c>
      <c r="AA219" s="57" cm="1">
        <f t="array" ref="AA219">VLOOKUP(B219,'Player Data'!$A1:$AE673,15,FALSE)*$Q219</f>
        <v>53.733557860220643</v>
      </c>
      <c r="AB219" s="57" cm="1">
        <f t="array" ref="AB219">VLOOKUP(B219,'Player Data'!$A1:$AE673,16,FALSE)*$Q219</f>
        <v>147.40277438470173</v>
      </c>
      <c r="AC219" s="57" cm="1">
        <f t="array" ref="AC219">VLOOKUP(B219,'Player Data'!$A1:$AE673,17,FALSE)*$Q219*IFERROR((VLOOKUP(P219,Settings!$E$28:$F$33,2,FALSE)+1),1)</f>
        <v>1.3630248299011969</v>
      </c>
      <c r="AD219" s="57" cm="1">
        <f t="array" ref="AD219">VLOOKUP(B219,'Player Data'!$A1:$AE673,18,FALSE)*$Q219</f>
        <v>20.912978936008415</v>
      </c>
      <c r="AE219" s="57" cm="1">
        <f t="array" ref="AE219">VLOOKUP(B219,'Player Data'!$A1:$AE673,19,FALSE)*$Q219*IFERROR((VLOOKUP(P219,Settings!$E$28:$F$33,2,FALSE)+1),1)</f>
        <v>3.9054955110940348</v>
      </c>
      <c r="AF219" s="57" cm="1">
        <f t="array" ref="AF219">VLOOKUP(B219,'Player Data'!$A1:$AE673,20,FALSE)*$Q219</f>
        <v>10.895353813495969</v>
      </c>
      <c r="AG219" s="57" cm="1">
        <f t="array" ref="AG219">VLOOKUP(B219,'Player Data'!$A1:$AE673,21,FALSE)*$Q219</f>
        <v>19.503306596278506</v>
      </c>
      <c r="AH219" s="59" cm="1">
        <f t="array" ref="AH219">VLOOKUP(B219,'Player Data'!$A1:$AE673,22,FALSE)</f>
        <v>0.35841559024728098</v>
      </c>
      <c r="AI219" s="55"/>
      <c r="AJ219" s="57"/>
      <c r="AK219" s="57"/>
      <c r="AL219" s="57"/>
      <c r="AM219" s="57"/>
      <c r="AN219" s="57"/>
      <c r="AO219" s="57"/>
      <c r="AP219" s="57"/>
      <c r="AQ219" s="60"/>
      <c r="AR219" s="61"/>
      <c r="AS219" s="55"/>
    </row>
    <row r="220" spans="1:45" ht="21.25" customHeight="1" x14ac:dyDescent="0.15">
      <c r="A220" s="62">
        <f t="shared" si="3"/>
        <v>219</v>
      </c>
      <c r="B220" s="10" t="s">
        <v>348</v>
      </c>
      <c r="C220" s="47" t="s">
        <v>147</v>
      </c>
      <c r="D220" s="48" t="str" cm="1">
        <f t="array" ref="D220">VLOOKUP(B220,'Player Data'!A1:D673,4,FALSE)</f>
        <v>D</v>
      </c>
      <c r="E220" s="68" cm="1">
        <f t="array" ref="E220">VLOOKUP(B220,D!A1:C204,3,FALSE)</f>
        <v>76</v>
      </c>
      <c r="F220" s="50" t="str" cm="1">
        <f t="array" ref="F220">VLOOKUP(B220,'Player Data'!A1:B673,2,FALSE)</f>
        <v>COL</v>
      </c>
      <c r="G220" s="11" cm="1">
        <f t="array" ref="G220">VLOOKUP(B220,'Player Data'!A1:D673,3,FALSE)</f>
        <v>28</v>
      </c>
      <c r="H220" s="51" cm="1">
        <f t="array" ref="H220">IFERROR(VLOOKUP(B220,ADP!A1:F671,6,FALSE)/1000000,VLOOKUP(B220,ADP!A1:F671,6,FALSE))</f>
        <v>4.75</v>
      </c>
      <c r="I220" s="52">
        <f>IF(Settings!$E$15="POINTS",((R220*Q220)*Settings!$B$12)+(S220*Settings!$B$2)+(T220*Settings!$B$3)+(U220*Settings!$B$4)+(V220*Settings!$B$5)+(X220*Settings!$B$9)+(AA220*Settings!$B$6)+(W220*Settings!$B$8)+(AB220*Settings!$B$7)+(AC220*Settings!$B$14)+(AD220*Settings!$B$15)+(AE220*Settings!$B$16)+(AF220*Settings!$B$17)+(AG220*Settings!$B$18)+(U220*Settings!$B$13)+(Y220*Settings!$B$10)+(Z220*Settings!$B$11),VLOOKUP(B220,'Standard Deviations'!A$1:C$672,3,FALSE))</f>
        <v>200.30386929659952</v>
      </c>
      <c r="J220" s="53" cm="1">
        <f t="array" ref="J220">IF(D220="G",I220/AJ220,I220/Q220)</f>
        <v>2.5910855610452042</v>
      </c>
      <c r="K220" s="52" cm="1">
        <f t="array" ref="K220">VLOOKUP(B220,D!A1:F204,6,FALSE)</f>
        <v>-106.34999804799455</v>
      </c>
      <c r="L220" s="54" cm="1">
        <f t="array" ref="L220">IFERROR(K220/H220,"N/A")</f>
        <v>-22.389473273262009</v>
      </c>
      <c r="M220" s="55">
        <v>140.19999999999999</v>
      </c>
      <c r="N220" s="55" cm="1">
        <f t="array" ref="N220">IFERROR(M220-A220,"N/A")</f>
        <v>-78.800000000000011</v>
      </c>
      <c r="O220" s="55"/>
      <c r="P220" s="56" t="str" cm="1">
        <f t="array" ref="P220">_xlfn.XLOOKUP($B220,ADP!A2:A671,ADP!G2:G671)</f>
        <v xml:space="preserve"> </v>
      </c>
      <c r="Q220" s="57" cm="1">
        <f t="array" ref="Q220">IF(Settings!$E$12="YES",VLOOKUP(B220,'Player Data'!A1:E673,5,FALSE),84)</f>
        <v>77.305000000000007</v>
      </c>
      <c r="R220" s="55" cm="1">
        <f t="array" ref="R220">VLOOKUP(B220,'Player Data'!$A1:$AE673,6,FALSE)</f>
        <v>17.6045964653201</v>
      </c>
      <c r="S220" s="57" cm="1">
        <f t="array" ref="S220">VLOOKUP(B220,'Player Data'!$A1:$AE673,7,FALSE)*$Q220*IFERROR((VLOOKUP(P220,Settings!$E$28:$F$33,2,FALSE)+1),1)</f>
        <v>6.4048722223839833</v>
      </c>
      <c r="T220" s="57" cm="1">
        <f t="array" ref="T220">VLOOKUP(B220,'Player Data'!$A1:$AE673,8,FALSE)*$Q220*IFERROR((VLOOKUP(P220,Settings!$E$28:$F$33,2,FALSE)+1),1)</f>
        <v>20.621841257877069</v>
      </c>
      <c r="U220" s="57" cm="1">
        <f t="array" ref="U220">SUM(S220:T220)</f>
        <v>27.026713480261051</v>
      </c>
      <c r="V220" s="57" cm="1">
        <f t="array" ref="V220">VLOOKUP(B220,'Player Data'!$A1:$AE673,10,FALSE)*$Q220*IFERROR(((VLOOKUP(P220,Settings!$E$28:$F$33,2,FALSE)/2)+1),1)</f>
        <v>138.38277635888284</v>
      </c>
      <c r="W220" s="57" cm="1">
        <f t="array" ref="W220">VLOOKUP(B220,'Player Data'!$A1:$AE673,11,FALSE)*$Q220*IFERROR((VLOOKUP(P220,Settings!$E$28:$F$33,2,FALSE)+1),1)</f>
        <v>0.16220052561493478</v>
      </c>
      <c r="X220" s="57" cm="1">
        <f t="array" ref="X220">VLOOKUP(B220,'Player Data'!$A1:$AE673,12,FALSE)*$Q220*IFERROR((VLOOKUP(P220,Settings!$E$28:$F$33,2,FALSE)+1),1)</f>
        <v>0.94179468812558009</v>
      </c>
      <c r="Y220" s="57" cm="1">
        <f t="array" ref="Y220">VLOOKUP(B220,'Player Data'!$A1:$AE673,13,FALSE)*$Q220</f>
        <v>2.3373670310288013E-2</v>
      </c>
      <c r="Z220" s="57" cm="1">
        <f t="array" ref="Z220">VLOOKUP(B220,'Player Data'!$A1:$AE673,14,FALSE)*$Q220</f>
        <v>8.0268588260982321E-2</v>
      </c>
      <c r="AA220" s="57" cm="1">
        <f t="array" ref="AA220">VLOOKUP(B220,'Player Data'!$A1:$AE673,15,FALSE)*$Q220</f>
        <v>98.020554799976694</v>
      </c>
      <c r="AB220" s="57" cm="1">
        <f t="array" ref="AB220">VLOOKUP(B220,'Player Data'!$A1:$AE673,16,FALSE)*$Q220</f>
        <v>53.006050842989509</v>
      </c>
      <c r="AC220" s="57" cm="1">
        <f t="array" ref="AC220">VLOOKUP(B220,'Player Data'!$A1:$AE673,17,FALSE)*$Q220*IFERROR((VLOOKUP(P220,Settings!$E$28:$F$33,2,FALSE)+1),1)</f>
        <v>10.103809203928684</v>
      </c>
      <c r="AD220" s="57" cm="1">
        <f t="array" ref="AD220">VLOOKUP(B220,'Player Data'!$A1:$AE673,18,FALSE)*$Q220</f>
        <v>22.974037436190422</v>
      </c>
      <c r="AE220" s="57" cm="1">
        <f t="array" ref="AE220">VLOOKUP(B220,'Player Data'!$A1:$AE673,19,FALSE)*$Q220*IFERROR((VLOOKUP(P220,Settings!$E$28:$F$33,2,FALSE)+1),1)</f>
        <v>1.155997526460911</v>
      </c>
      <c r="AF220" s="57" cm="1">
        <f t="array" ref="AF220">VLOOKUP(B220,'Player Data'!$A1:$AE673,20,FALSE)*$Q220</f>
        <v>0</v>
      </c>
      <c r="AG220" s="57" cm="1">
        <f t="array" ref="AG220">VLOOKUP(B220,'Player Data'!$A1:$AE673,21,FALSE)*$Q220</f>
        <v>0</v>
      </c>
      <c r="AH220" s="59" cm="1">
        <f t="array" ref="AH220">VLOOKUP(B220,'Player Data'!$A1:$AE673,22,FALSE)</f>
        <v>0</v>
      </c>
      <c r="AI220" s="55"/>
      <c r="AJ220" s="57"/>
      <c r="AK220" s="57"/>
      <c r="AL220" s="57"/>
      <c r="AM220" s="57"/>
      <c r="AN220" s="57"/>
      <c r="AO220" s="57"/>
      <c r="AP220" s="57"/>
      <c r="AQ220" s="60"/>
      <c r="AR220" s="61"/>
      <c r="AS220" s="55"/>
    </row>
    <row r="221" spans="1:45" ht="21.25" customHeight="1" x14ac:dyDescent="0.15">
      <c r="A221" s="62">
        <f t="shared" si="3"/>
        <v>220</v>
      </c>
      <c r="B221" s="10" t="s">
        <v>349</v>
      </c>
      <c r="C221" s="47" t="s">
        <v>147</v>
      </c>
      <c r="D221" s="48" t="str" cm="1">
        <f t="array" ref="D221">VLOOKUP(B221,'Player Data'!A1:D673,4,FALSE)</f>
        <v>D</v>
      </c>
      <c r="E221" s="68" cm="1">
        <f t="array" ref="E221">VLOOKUP(B221,D!A1:C204,3,FALSE)</f>
        <v>77</v>
      </c>
      <c r="F221" s="63" t="str" cm="1">
        <f t="array" ref="F221">VLOOKUP(B221,'Player Data'!A1:B673,2,FALSE)</f>
        <v>WPG</v>
      </c>
      <c r="G221" s="66" cm="1">
        <f t="array" ref="G221">VLOOKUP(B221,'Player Data'!A1:D673,3,FALSE)</f>
        <v>31</v>
      </c>
      <c r="H221" s="51" cm="1">
        <f t="array" ref="H221">IFERROR(VLOOKUP(B221,ADP!A1:F671,6,FALSE)/1000000,VLOOKUP(B221,ADP!A1:F671,6,FALSE))</f>
        <v>7</v>
      </c>
      <c r="I221" s="52">
        <f>IF(Settings!$E$15="POINTS",((R221*Q221)*Settings!$B$12)+(S221*Settings!$B$2)+(T221*Settings!$B$3)+(U221*Settings!$B$4)+(V221*Settings!$B$5)+(X221*Settings!$B$9)+(AA221*Settings!$B$6)+(W221*Settings!$B$8)+(AB221*Settings!$B$7)+(AC221*Settings!$B$14)+(AD221*Settings!$B$15)+(AE221*Settings!$B$16)+(AF221*Settings!$B$17)+(AG221*Settings!$B$18)+(U221*Settings!$B$13)+(Y221*Settings!$B$10)+(Z221*Settings!$B$11),VLOOKUP(B221,'Standard Deviations'!A$1:C$672,3,FALSE))</f>
        <v>200.08070629182069</v>
      </c>
      <c r="J221" s="53" cm="1">
        <f t="array" ref="J221">IF(D221="G",I221/AJ221,I221/Q221)</f>
        <v>2.6072544473784296</v>
      </c>
      <c r="K221" s="52" cm="1">
        <f t="array" ref="K221">VLOOKUP(B221,D!A1:F204,6,FALSE)</f>
        <v>-106.57316105277337</v>
      </c>
      <c r="L221" s="54" cm="1">
        <f t="array" ref="L221">IFERROR(K221/H221,"N/A")</f>
        <v>-15.224737293253339</v>
      </c>
      <c r="M221" s="85" t="s">
        <v>832</v>
      </c>
      <c r="N221" s="85" t="str" cm="1">
        <f t="array" ref="N221">IFERROR(M221-A221,"N/A")</f>
        <v>N/A</v>
      </c>
      <c r="O221" s="55"/>
      <c r="P221" s="56" t="str" cm="1">
        <f t="array" ref="P221">_xlfn.XLOOKUP($B221,ADP!A2:A671,ADP!G2:G671)</f>
        <v xml:space="preserve"> </v>
      </c>
      <c r="Q221" s="57" cm="1">
        <f t="array" ref="Q221">IF(Settings!$E$12="YES",VLOOKUP(B221,'Player Data'!A1:E673,5,FALSE),84)</f>
        <v>76.739999999999995</v>
      </c>
      <c r="R221" s="84" cm="1">
        <f t="array" ref="R221">VLOOKUP(B221,'Player Data'!$A1:$AE673,6,FALSE)</f>
        <v>20.6662877588182</v>
      </c>
      <c r="S221" s="57" cm="1">
        <f t="array" ref="S221">VLOOKUP(B221,'Player Data'!$A1:$AE673,7,FALSE)*$Q221*IFERROR((VLOOKUP(P221,Settings!$E$28:$F$33,2,FALSE)+1),1)</f>
        <v>4.8601908693505926</v>
      </c>
      <c r="T221" s="57" cm="1">
        <f t="array" ref="T221">VLOOKUP(B221,'Player Data'!$A1:$AE673,8,FALSE)*$Q221*IFERROR((VLOOKUP(P221,Settings!$E$28:$F$33,2,FALSE)+1),1)</f>
        <v>21.315755831445152</v>
      </c>
      <c r="U221" s="57" cm="1">
        <f t="array" ref="U221">SUM(S221:T221)</f>
        <v>26.175946700795745</v>
      </c>
      <c r="V221" s="57" cm="1">
        <f t="array" ref="V221">VLOOKUP(B221,'Player Data'!$A1:$AE673,10,FALSE)*$Q221*IFERROR(((VLOOKUP(P221,Settings!$E$28:$F$33,2,FALSE)/2)+1),1)</f>
        <v>121.2658843531495</v>
      </c>
      <c r="W221" s="57" cm="1">
        <f t="array" ref="W221">VLOOKUP(B221,'Player Data'!$A1:$AE673,11,FALSE)*$Q221*IFERROR((VLOOKUP(P221,Settings!$E$28:$F$33,2,FALSE)+1),1)</f>
        <v>1.5854474220358996</v>
      </c>
      <c r="X221" s="57" cm="1">
        <f t="array" ref="X221">VLOOKUP(B221,'Player Data'!$A1:$AE673,12,FALSE)*$Q221*IFERROR((VLOOKUP(P221,Settings!$E$28:$F$33,2,FALSE)+1),1)</f>
        <v>6.8318200761755747</v>
      </c>
      <c r="Y221" s="57" cm="1">
        <f t="array" ref="Y221">VLOOKUP(B221,'Player Data'!$A1:$AE673,13,FALSE)*$Q221</f>
        <v>2.0135593522381919E-2</v>
      </c>
      <c r="Z221" s="57" cm="1">
        <f t="array" ref="Z221">VLOOKUP(B221,'Player Data'!$A1:$AE673,14,FALSE)*$Q221</f>
        <v>0.42724387282297699</v>
      </c>
      <c r="AA221" s="57" cm="1">
        <f t="array" ref="AA221">VLOOKUP(B221,'Player Data'!$A1:$AE673,15,FALSE)*$Q221</f>
        <v>107.32172012772033</v>
      </c>
      <c r="AB221" s="57" cm="1">
        <f t="array" ref="AB221">VLOOKUP(B221,'Player Data'!$A1:$AE673,16,FALSE)*$Q221</f>
        <v>126.71665467473899</v>
      </c>
      <c r="AC221" s="57" cm="1">
        <f t="array" ref="AC221">VLOOKUP(B221,'Player Data'!$A1:$AE673,17,FALSE)*$Q221*IFERROR((VLOOKUP(P221,Settings!$E$28:$F$33,2,FALSE)+1),1)</f>
        <v>0.71513434692814781</v>
      </c>
      <c r="AD221" s="57" cm="1">
        <f t="array" ref="AD221">VLOOKUP(B221,'Player Data'!$A1:$AE673,18,FALSE)*$Q221</f>
        <v>41.973160672413194</v>
      </c>
      <c r="AE221" s="57" cm="1">
        <f t="array" ref="AE221">VLOOKUP(B221,'Player Data'!$A1:$AE673,19,FALSE)*$Q221*IFERROR((VLOOKUP(P221,Settings!$E$28:$F$33,2,FALSE)+1),1)</f>
        <v>0.84455417453831316</v>
      </c>
      <c r="AF221" s="57" cm="1">
        <f t="array" ref="AF221">VLOOKUP(B221,'Player Data'!$A1:$AE673,20,FALSE)*$Q221</f>
        <v>0</v>
      </c>
      <c r="AG221" s="57" cm="1">
        <f t="array" ref="AG221">VLOOKUP(B221,'Player Data'!$A1:$AE673,21,FALSE)*$Q221</f>
        <v>0</v>
      </c>
      <c r="AH221" s="59" cm="1">
        <f t="array" ref="AH221">VLOOKUP(B221,'Player Data'!$A1:$AE673,22,FALSE)</f>
        <v>0</v>
      </c>
      <c r="AI221" s="55"/>
      <c r="AJ221" s="57"/>
      <c r="AK221" s="57"/>
      <c r="AL221" s="57"/>
      <c r="AM221" s="57"/>
      <c r="AN221" s="57"/>
      <c r="AO221" s="57"/>
      <c r="AP221" s="57"/>
      <c r="AQ221" s="60"/>
      <c r="AR221" s="61"/>
      <c r="AS221" s="55"/>
    </row>
    <row r="222" spans="1:45" ht="21.25" customHeight="1" x14ac:dyDescent="0.15">
      <c r="A222" s="62">
        <f t="shared" si="3"/>
        <v>221</v>
      </c>
      <c r="B222" s="10" t="s">
        <v>350</v>
      </c>
      <c r="C222" s="47" t="s">
        <v>128</v>
      </c>
      <c r="D222" s="48" t="str" cm="1">
        <f t="array" ref="D222">VLOOKUP(B222,'Player Data'!A1:D673,4,FALSE)</f>
        <v>LW,RW</v>
      </c>
      <c r="E222" s="74" cm="1">
        <f t="array" ref="E222">VLOOKUP(B222,RW!A1:F210,3,FALSE)</f>
        <v>67</v>
      </c>
      <c r="F222" s="63" t="str" cm="1">
        <f t="array" ref="F222">VLOOKUP(B222,'Player Data'!A1:B673,2,FALSE)</f>
        <v>CGY</v>
      </c>
      <c r="G222" s="71" cm="1">
        <f t="array" ref="G222">VLOOKUP(B222,'Player Data'!A1:D673,3,FALSE)</f>
        <v>20</v>
      </c>
      <c r="H222" s="51" cm="1">
        <f t="array" ref="H222">IFERROR(VLOOKUP(B222,ADP!A1:F671,6,FALSE)/1000000,VLOOKUP(B222,ADP!A1:F671,6,FALSE))</f>
        <v>0.95374999999999999</v>
      </c>
      <c r="I222" s="52">
        <f>IF(Settings!$E$15="POINTS",((R222*Q222)*Settings!$B$12)+(S222*Settings!$B$2)+(T222*Settings!$B$3)+(U222*Settings!$B$4)+(V222*Settings!$B$5)+(X222*Settings!$B$9)+(AA222*Settings!$B$6)+(W222*Settings!$B$8)+(AB222*Settings!$B$7)+(AC222*Settings!$B$14)+(AD222*Settings!$B$15)+(AE222*Settings!$B$16)+(AF222*Settings!$B$17)+(AG222*Settings!$B$18)+(Y222*Settings!$B$10)+(Z222*Settings!$B$11),VLOOKUP(B222,'Standard Deviations'!A$1:C$672,3,FALSE))</f>
        <v>285.05159732595723</v>
      </c>
      <c r="J222" s="53" cm="1">
        <f t="array" ref="J222">IF(D222="G",I222/AJ222,I222/Q222)</f>
        <v>3.8520486125129354</v>
      </c>
      <c r="K222" s="52" cm="1">
        <f t="array" ref="K222">IF(Settings!$E$18="C/LW/RW",VLOOKUP(B222,RW!A1:F210,6,FALSE),VLOOKUP(B222,F!A1:F407,6,FALSE))</f>
        <v>-109.89186736760024</v>
      </c>
      <c r="L222" s="54" cm="1">
        <f t="array" ref="L222">IFERROR(K222/H222,"N/A")</f>
        <v>-115.22083079171716</v>
      </c>
      <c r="M222" s="85" t="s">
        <v>832</v>
      </c>
      <c r="N222" s="85" t="str" cm="1">
        <f t="array" ref="N222">IFERROR(M222-A222,"N/A")</f>
        <v>N/A</v>
      </c>
      <c r="O222" s="55"/>
      <c r="P222" s="56" t="str" cm="1">
        <f t="array" ref="P222">_xlfn.XLOOKUP($B222,ADP!A2:A671,ADP!G2:G671)</f>
        <v xml:space="preserve"> </v>
      </c>
      <c r="Q222" s="57" cm="1">
        <f t="array" ref="Q222">IF(Settings!$E$12="YES",VLOOKUP(B222,'Player Data'!A1:E673,5,FALSE),84)</f>
        <v>74</v>
      </c>
      <c r="R222" s="82" cm="1">
        <f t="array" ref="R222">VLOOKUP(B222,'Player Data'!$A1:$AE673,6,FALSE)</f>
        <v>16.853916925276899</v>
      </c>
      <c r="S222" s="57" cm="1">
        <f t="array" ref="S222">VLOOKUP(B222,'Player Data'!$A1:$AE673,7,FALSE)*$Q222*IFERROR((VLOOKUP(P222,Settings!$E$28:$F$33,2,FALSE)+1),1)</f>
        <v>18.380039533545816</v>
      </c>
      <c r="T222" s="57" cm="1">
        <f t="array" ref="T222">VLOOKUP(B222,'Player Data'!$A1:$AE673,8,FALSE)*$Q222*IFERROR((VLOOKUP(P222,Settings!$E$28:$F$33,2,FALSE)+1),1)</f>
        <v>34.295869890575851</v>
      </c>
      <c r="U222" s="57" cm="1">
        <f t="array" ref="U222">SUM(S222:T222)</f>
        <v>52.67590942412167</v>
      </c>
      <c r="V222" s="57" cm="1">
        <f t="array" ref="V222">VLOOKUP(B222,'Player Data'!$A1:$AE673,10,FALSE)*$Q222*IFERROR(((VLOOKUP(P222,Settings!$E$28:$F$33,2,FALSE)/2)+1),1)</f>
        <v>161.67569666504815</v>
      </c>
      <c r="W222" s="57" cm="1">
        <f t="array" ref="W222">VLOOKUP(B222,'Player Data'!$A1:$AE673,11,FALSE)*$Q222*IFERROR((VLOOKUP(P222,Settings!$E$28:$F$33,2,FALSE)+1),1)</f>
        <v>4.9016353935811505</v>
      </c>
      <c r="X222" s="79" cm="1">
        <f t="array" ref="X222">VLOOKUP(B222,'Player Data'!$A1:$AE673,12,FALSE)*$Q222*IFERROR((VLOOKUP(P222,Settings!$E$28:$F$33,2,FALSE)+1),1)</f>
        <v>19.993289141317646</v>
      </c>
      <c r="Y222" s="57" cm="1">
        <f t="array" ref="Y222">VLOOKUP(B222,'Player Data'!$A1:$AE673,13,FALSE)*$Q222</f>
        <v>1.2483297988003326E-2</v>
      </c>
      <c r="Z222" s="57" cm="1">
        <f t="array" ref="Z222">VLOOKUP(B222,'Player Data'!$A1:$AE673,14,FALSE)*$Q222</f>
        <v>2.0064651435235854E-2</v>
      </c>
      <c r="AA222" s="57" cm="1">
        <f t="array" ref="AA222">VLOOKUP(B222,'Player Data'!$A1:$AE673,15,FALSE)*$Q222</f>
        <v>52.345333856630667</v>
      </c>
      <c r="AB222" s="57" cm="1">
        <f t="array" ref="AB222">VLOOKUP(B222,'Player Data'!$A1:$AE673,16,FALSE)*$Q222</f>
        <v>41.581369638677437</v>
      </c>
      <c r="AC222" s="57" cm="1">
        <f t="array" ref="AC222">VLOOKUP(B222,'Player Data'!$A1:$AE673,17,FALSE)*$Q222*IFERROR((VLOOKUP(P222,Settings!$E$28:$F$33,2,FALSE)+1),1)</f>
        <v>-8.9920363932620475</v>
      </c>
      <c r="AD222" s="57" cm="1">
        <f t="array" ref="AD222">VLOOKUP(B222,'Player Data'!$A1:$AE673,18,FALSE)*$Q222</f>
        <v>19.421924248312369</v>
      </c>
      <c r="AE222" s="57" cm="1">
        <f t="array" ref="AE222">VLOOKUP(B222,'Player Data'!$A1:$AE673,19,FALSE)*$Q222*IFERROR((VLOOKUP(P222,Settings!$E$28:$F$33,2,FALSE)+1),1)</f>
        <v>2.642589611332895</v>
      </c>
      <c r="AF222" s="57" cm="1">
        <f t="array" ref="AF222">VLOOKUP(B222,'Player Data'!$A1:$AE673,20,FALSE)*$Q222</f>
        <v>6.6763669344624859</v>
      </c>
      <c r="AG222" s="57" cm="1">
        <f t="array" ref="AG222">VLOOKUP(B222,'Player Data'!$A1:$AE673,21,FALSE)*$Q222</f>
        <v>31.156379027491617</v>
      </c>
      <c r="AH222" s="59" cm="1">
        <f t="array" ref="AH222">VLOOKUP(B222,'Player Data'!$A1:$AE673,22,FALSE)</f>
        <v>0.17647058823529399</v>
      </c>
      <c r="AI222" s="55"/>
      <c r="AJ222" s="57"/>
      <c r="AK222" s="57"/>
      <c r="AL222" s="57"/>
      <c r="AM222" s="57"/>
      <c r="AN222" s="57"/>
      <c r="AO222" s="57"/>
      <c r="AP222" s="57"/>
      <c r="AQ222" s="60"/>
      <c r="AR222" s="61"/>
      <c r="AS222" s="55"/>
    </row>
    <row r="223" spans="1:45" ht="21.25" customHeight="1" x14ac:dyDescent="0.15">
      <c r="A223" s="62">
        <f t="shared" si="3"/>
        <v>222</v>
      </c>
      <c r="B223" s="10" t="s">
        <v>351</v>
      </c>
      <c r="C223" s="47" t="s">
        <v>147</v>
      </c>
      <c r="D223" s="48" t="str" cm="1">
        <f t="array" ref="D223">VLOOKUP(B223,'Player Data'!A1:D673,4,FALSE)</f>
        <v>D</v>
      </c>
      <c r="E223" s="68" cm="1">
        <f t="array" ref="E223">VLOOKUP(B223,D!A1:C204,3,FALSE)</f>
        <v>78</v>
      </c>
      <c r="F223" s="69" t="str" cm="1">
        <f t="array" ref="F223">VLOOKUP(B223,'Player Data'!A1:B673,2,FALSE)</f>
        <v>TOR</v>
      </c>
      <c r="G223" s="66" cm="1">
        <f t="array" ref="G223">VLOOKUP(B223,'Player Data'!A1:D673,3,FALSE)</f>
        <v>32</v>
      </c>
      <c r="H223" s="51" cm="1">
        <f t="array" ref="H223">IFERROR(VLOOKUP(B223,ADP!A1:F671,6,FALSE)/1000000,VLOOKUP(B223,ADP!A1:F671,6,FALSE))</f>
        <v>4.4909999999999997</v>
      </c>
      <c r="I223" s="52">
        <f>IF(Settings!$E$15="POINTS",((R223*Q223)*Settings!$B$12)+(S223*Settings!$B$2)+(T223*Settings!$B$3)+(U223*Settings!$B$4)+(V223*Settings!$B$5)+(X223*Settings!$B$9)+(AA223*Settings!$B$6)+(W223*Settings!$B$8)+(AB223*Settings!$B$7)+(AC223*Settings!$B$14)+(AD223*Settings!$B$15)+(AE223*Settings!$B$16)+(AF223*Settings!$B$17)+(AG223*Settings!$B$18)+(U223*Settings!$B$13)+(Y223*Settings!$B$10)+(Z223*Settings!$B$11),VLOOKUP(B223,'Standard Deviations'!A$1:C$672,3,FALSE))</f>
        <v>195.31691349546242</v>
      </c>
      <c r="J223" s="53" cm="1">
        <f t="array" ref="J223">IF(D223="G",I223/AJ223,I223/Q223)</f>
        <v>2.4240386409613701</v>
      </c>
      <c r="K223" s="52" cm="1">
        <f t="array" ref="K223">VLOOKUP(B223,D!A1:F204,6,FALSE)</f>
        <v>-111.33695384913165</v>
      </c>
      <c r="L223" s="54" cm="1">
        <f t="array" ref="L223">IFERROR(K223/H223,"N/A")</f>
        <v>-24.791127554916869</v>
      </c>
      <c r="M223" s="85" t="s">
        <v>832</v>
      </c>
      <c r="N223" s="85" t="str" cm="1">
        <f t="array" ref="N223">IFERROR(M223-A223,"N/A")</f>
        <v>N/A</v>
      </c>
      <c r="O223" s="55"/>
      <c r="P223" s="56" t="str" cm="1">
        <f t="array" ref="P223">_xlfn.XLOOKUP($B223,ADP!A2:A671,ADP!G2:G671)</f>
        <v xml:space="preserve"> </v>
      </c>
      <c r="Q223" s="57" cm="1">
        <f t="array" ref="Q223">IF(Settings!$E$12="YES",VLOOKUP(B223,'Player Data'!A1:E673,5,FALSE),84)</f>
        <v>80.575000000000003</v>
      </c>
      <c r="R223" s="55" cm="1">
        <f t="array" ref="R223">VLOOKUP(B223,'Player Data'!$A1:$AE673,6,FALSE)</f>
        <v>22.153952410442098</v>
      </c>
      <c r="S223" s="57" cm="1">
        <f t="array" ref="S223">VLOOKUP(B223,'Player Data'!$A1:$AE673,7,FALSE)*$Q223*IFERROR((VLOOKUP(P223,Settings!$E$28:$F$33,2,FALSE)+1),1)</f>
        <v>3.0727209785408496</v>
      </c>
      <c r="T223" s="57" cm="1">
        <f t="array" ref="T223">VLOOKUP(B223,'Player Data'!$A1:$AE673,8,FALSE)*$Q223*IFERROR((VLOOKUP(P223,Settings!$E$28:$F$33,2,FALSE)+1),1)</f>
        <v>20.958326460029177</v>
      </c>
      <c r="U223" s="57" cm="1">
        <f t="array" ref="U223">SUM(S223:T223)</f>
        <v>24.031047438570027</v>
      </c>
      <c r="V223" s="57" cm="1">
        <f t="array" ref="V223">VLOOKUP(B223,'Player Data'!$A1:$AE673,10,FALSE)*$Q223*IFERROR(((VLOOKUP(P223,Settings!$E$28:$F$33,2,FALSE)/2)+1),1)</f>
        <v>72.10323537802968</v>
      </c>
      <c r="W223" s="57" cm="1">
        <f t="array" ref="W223">VLOOKUP(B223,'Player Data'!$A1:$AE673,11,FALSE)*$Q223*IFERROR((VLOOKUP(P223,Settings!$E$28:$F$33,2,FALSE)+1),1)</f>
        <v>7.5860458194190392E-2</v>
      </c>
      <c r="X223" s="57" cm="1">
        <f t="array" ref="X223">VLOOKUP(B223,'Player Data'!$A1:$AE673,12,FALSE)*$Q223*IFERROR((VLOOKUP(P223,Settings!$E$28:$F$33,2,FALSE)+1),1)</f>
        <v>0.37176721008481806</v>
      </c>
      <c r="Y223" s="57" cm="1">
        <f t="array" ref="Y223">VLOOKUP(B223,'Player Data'!$A1:$AE673,13,FALSE)*$Q223</f>
        <v>1.2535221392633153E-2</v>
      </c>
      <c r="Z223" s="57" cm="1">
        <f t="array" ref="Z223">VLOOKUP(B223,'Player Data'!$A1:$AE673,14,FALSE)*$Q223</f>
        <v>0.4743233694529152</v>
      </c>
      <c r="AA223" s="57" cm="1">
        <f t="array" ref="AA223">VLOOKUP(B223,'Player Data'!$A1:$AE673,15,FALSE)*$Q223</f>
        <v>172.65212582239954</v>
      </c>
      <c r="AB223" s="57" cm="1">
        <f t="array" ref="AB223">VLOOKUP(B223,'Player Data'!$A1:$AE673,16,FALSE)*$Q223</f>
        <v>115.57200300679087</v>
      </c>
      <c r="AC223" s="57" cm="1">
        <f t="array" ref="AC223">VLOOKUP(B223,'Player Data'!$A1:$AE673,17,FALSE)*$Q223*IFERROR((VLOOKUP(P223,Settings!$E$28:$F$33,2,FALSE)+1),1)</f>
        <v>0.89737254679405543</v>
      </c>
      <c r="AD223" s="57" cm="1">
        <f t="array" ref="AD223">VLOOKUP(B223,'Player Data'!$A1:$AE673,18,FALSE)*$Q223</f>
        <v>53.921142428527048</v>
      </c>
      <c r="AE223" s="57" cm="1">
        <f t="array" ref="AE223">VLOOKUP(B223,'Player Data'!$A1:$AE673,19,FALSE)*$Q223*IFERROR((VLOOKUP(P223,Settings!$E$28:$F$33,2,FALSE)+1),1)</f>
        <v>0.41961298779707534</v>
      </c>
      <c r="AF223" s="57" cm="1">
        <f t="array" ref="AF223">VLOOKUP(B223,'Player Data'!$A1:$AE673,20,FALSE)*$Q223</f>
        <v>0</v>
      </c>
      <c r="AG223" s="57" cm="1">
        <f t="array" ref="AG223">VLOOKUP(B223,'Player Data'!$A1:$AE673,21,FALSE)*$Q223</f>
        <v>0</v>
      </c>
      <c r="AH223" s="59" cm="1">
        <f t="array" ref="AH223">VLOOKUP(B223,'Player Data'!$A1:$AE673,22,FALSE)</f>
        <v>0</v>
      </c>
      <c r="AI223" s="55"/>
      <c r="AJ223" s="57"/>
      <c r="AK223" s="57"/>
      <c r="AL223" s="57"/>
      <c r="AM223" s="57"/>
      <c r="AN223" s="57"/>
      <c r="AO223" s="57"/>
      <c r="AP223" s="57"/>
      <c r="AQ223" s="60"/>
      <c r="AR223" s="61"/>
      <c r="AS223" s="55"/>
    </row>
    <row r="224" spans="1:45" ht="21.25" customHeight="1" x14ac:dyDescent="0.15">
      <c r="A224" s="62">
        <f t="shared" si="3"/>
        <v>223</v>
      </c>
      <c r="B224" s="10" t="s">
        <v>352</v>
      </c>
      <c r="C224" s="47" t="s">
        <v>147</v>
      </c>
      <c r="D224" s="48" t="str" cm="1">
        <f t="array" ref="D224">VLOOKUP(B224,'Player Data'!A1:D673,4,FALSE)</f>
        <v>D</v>
      </c>
      <c r="E224" s="68" cm="1">
        <f t="array" ref="E224">VLOOKUP(B224,D!A1:C204,3,FALSE)</f>
        <v>79</v>
      </c>
      <c r="F224" s="73" t="str" cm="1">
        <f t="array" ref="F224">VLOOKUP(B224,'Player Data'!A1:B673,2,FALSE)</f>
        <v>BUF</v>
      </c>
      <c r="G224" s="71" cm="1">
        <f t="array" ref="G224">VLOOKUP(B224,'Player Data'!A1:D673,3,FALSE)</f>
        <v>22</v>
      </c>
      <c r="H224" s="51" cm="1">
        <f t="array" ref="H224">IFERROR(VLOOKUP(B224,ADP!A1:F671,6,FALSE)/1000000,VLOOKUP(B224,ADP!A1:F671,6,FALSE))</f>
        <v>3.1</v>
      </c>
      <c r="I224" s="52">
        <f>IF(Settings!$E$15="POINTS",((R224*Q224)*Settings!$B$12)+(S224*Settings!$B$2)+(T224*Settings!$B$3)+(U224*Settings!$B$4)+(V224*Settings!$B$5)+(X224*Settings!$B$9)+(AA224*Settings!$B$6)+(W224*Settings!$B$8)+(AB224*Settings!$B$7)+(AC224*Settings!$B$14)+(AD224*Settings!$B$15)+(AE224*Settings!$B$16)+(AF224*Settings!$B$17)+(AG224*Settings!$B$18)+(U224*Settings!$B$13)+(Y224*Settings!$B$10)+(Z224*Settings!$B$11),VLOOKUP(B224,'Standard Deviations'!A$1:C$672,3,FALSE))</f>
        <v>195.28514879752919</v>
      </c>
      <c r="J224" s="53" cm="1">
        <f t="array" ref="J224">IF(D224="G",I224/AJ224,I224/Q224)</f>
        <v>2.5193207611111292</v>
      </c>
      <c r="K224" s="52" cm="1">
        <f t="array" ref="K224">VLOOKUP(B224,D!A1:F204,6,FALSE)</f>
        <v>-111.36871854706487</v>
      </c>
      <c r="L224" s="54" cm="1">
        <f t="array" ref="L224">IFERROR(K224/H224,"N/A")</f>
        <v>-35.925393079698345</v>
      </c>
      <c r="M224" s="85" t="s">
        <v>832</v>
      </c>
      <c r="N224" s="85" t="str" cm="1">
        <f t="array" ref="N224">IFERROR(M224-A224,"N/A")</f>
        <v>N/A</v>
      </c>
      <c r="O224" s="55"/>
      <c r="P224" s="56" t="str" cm="1">
        <f t="array" ref="P224">_xlfn.XLOOKUP($B224,ADP!A2:A671,ADP!G2:G671)</f>
        <v xml:space="preserve"> </v>
      </c>
      <c r="Q224" s="57" cm="1">
        <f t="array" ref="Q224">IF(Settings!$E$12="YES",VLOOKUP(B224,'Player Data'!A1:E673,5,FALSE),84)</f>
        <v>77.515000000000001</v>
      </c>
      <c r="R224" s="82" cm="1">
        <f t="array" ref="R224">VLOOKUP(B224,'Player Data'!$A1:$AE673,6,FALSE)</f>
        <v>19.278480792118899</v>
      </c>
      <c r="S224" s="57" cm="1">
        <f t="array" ref="S224">VLOOKUP(B224,'Player Data'!$A1:$AE673,7,FALSE)*$Q224*IFERROR((VLOOKUP(P224,Settings!$E$28:$F$33,2,FALSE)+1),1)</f>
        <v>7.5084285055344653</v>
      </c>
      <c r="T224" s="57" cm="1">
        <f t="array" ref="T224">VLOOKUP(B224,'Player Data'!$A1:$AE673,8,FALSE)*$Q224*IFERROR((VLOOKUP(P224,Settings!$E$28:$F$33,2,FALSE)+1),1)</f>
        <v>17.393248340920611</v>
      </c>
      <c r="U224" s="57" cm="1">
        <f t="array" ref="U224">SUM(S224:T224)</f>
        <v>24.901676846455075</v>
      </c>
      <c r="V224" s="57" cm="1">
        <f t="array" ref="V224">VLOOKUP(B224,'Player Data'!$A1:$AE673,10,FALSE)*$Q224*IFERROR(((VLOOKUP(P224,Settings!$E$28:$F$33,2,FALSE)/2)+1),1)</f>
        <v>134.58457774225295</v>
      </c>
      <c r="W224" s="57" cm="1">
        <f t="array" ref="W224">VLOOKUP(B224,'Player Data'!$A1:$AE673,11,FALSE)*$Q224*IFERROR((VLOOKUP(P224,Settings!$E$28:$F$33,2,FALSE)+1),1)</f>
        <v>0.50241025741836776</v>
      </c>
      <c r="X224" s="57" cm="1">
        <f t="array" ref="X224">VLOOKUP(B224,'Player Data'!$A1:$AE673,12,FALSE)*$Q224*IFERROR((VLOOKUP(P224,Settings!$E$28:$F$33,2,FALSE)+1),1)</f>
        <v>2.384630123900358</v>
      </c>
      <c r="Y224" s="57" cm="1">
        <f t="array" ref="Y224">VLOOKUP(B224,'Player Data'!$A1:$AE673,13,FALSE)*$Q224</f>
        <v>4.114234923634235E-2</v>
      </c>
      <c r="Z224" s="57" cm="1">
        <f t="array" ref="Z224">VLOOKUP(B224,'Player Data'!$A1:$AE673,14,FALSE)*$Q224</f>
        <v>0.14174595773154383</v>
      </c>
      <c r="AA224" s="57" cm="1">
        <f t="array" ref="AA224">VLOOKUP(B224,'Player Data'!$A1:$AE673,15,FALSE)*$Q224</f>
        <v>101.52290661081122</v>
      </c>
      <c r="AB224" s="57" cm="1">
        <f t="array" ref="AB224">VLOOKUP(B224,'Player Data'!$A1:$AE673,16,FALSE)*$Q224</f>
        <v>50.39240533083526</v>
      </c>
      <c r="AC224" s="57" cm="1">
        <f t="array" ref="AC224">VLOOKUP(B224,'Player Data'!$A1:$AE673,17,FALSE)*$Q224*IFERROR((VLOOKUP(P224,Settings!$E$28:$F$33,2,FALSE)+1),1)</f>
        <v>1.8980004982338634</v>
      </c>
      <c r="AD224" s="57" cm="1">
        <f t="array" ref="AD224">VLOOKUP(B224,'Player Data'!$A1:$AE673,18,FALSE)*$Q224</f>
        <v>34.461594805854673</v>
      </c>
      <c r="AE224" s="57" cm="1">
        <f t="array" ref="AE224">VLOOKUP(B224,'Player Data'!$A1:$AE673,19,FALSE)*$Q224*IFERROR((VLOOKUP(P224,Settings!$E$28:$F$33,2,FALSE)+1),1)</f>
        <v>1.1320456166409312</v>
      </c>
      <c r="AF224" s="57" cm="1">
        <f t="array" ref="AF224">VLOOKUP(B224,'Player Data'!$A1:$AE673,20,FALSE)*$Q224</f>
        <v>0</v>
      </c>
      <c r="AG224" s="57" cm="1">
        <f t="array" ref="AG224">VLOOKUP(B224,'Player Data'!$A1:$AE673,21,FALSE)*$Q224</f>
        <v>0</v>
      </c>
      <c r="AH224" s="59" cm="1">
        <f t="array" ref="AH224">VLOOKUP(B224,'Player Data'!$A1:$AE673,22,FALSE)</f>
        <v>0</v>
      </c>
      <c r="AI224" s="55"/>
      <c r="AJ224" s="57"/>
      <c r="AK224" s="57"/>
      <c r="AL224" s="57"/>
      <c r="AM224" s="57"/>
      <c r="AN224" s="57"/>
      <c r="AO224" s="57"/>
      <c r="AP224" s="57"/>
      <c r="AQ224" s="60"/>
      <c r="AR224" s="61"/>
      <c r="AS224" s="55"/>
    </row>
    <row r="225" spans="1:45" ht="21.25" customHeight="1" x14ac:dyDescent="0.15">
      <c r="A225" s="62">
        <f t="shared" si="3"/>
        <v>224</v>
      </c>
      <c r="B225" s="10" t="s">
        <v>353</v>
      </c>
      <c r="C225" s="47" t="s">
        <v>147</v>
      </c>
      <c r="D225" s="48" t="str" cm="1">
        <f t="array" ref="D225">VLOOKUP(B225,'Player Data'!A1:D673,4,FALSE)</f>
        <v>D</v>
      </c>
      <c r="E225" s="68" cm="1">
        <f t="array" ref="E225">VLOOKUP(B225,D!A1:C204,3,FALSE)</f>
        <v>80</v>
      </c>
      <c r="F225" s="63" t="str" cm="1">
        <f t="array" ref="F225">VLOOKUP(B225,'Player Data'!A1:B673,2,FALSE)</f>
        <v>WPG</v>
      </c>
      <c r="G225" s="11" cm="1">
        <f t="array" ref="G225">VLOOKUP(B225,'Player Data'!A1:D673,3,FALSE)</f>
        <v>27</v>
      </c>
      <c r="H225" s="51" cm="1">
        <f t="array" ref="H225">IFERROR(VLOOKUP(B225,ADP!A1:F671,6,FALSE)/1000000,VLOOKUP(B225,ADP!A1:F671,6,FALSE))</f>
        <v>5.75</v>
      </c>
      <c r="I225" s="52">
        <f>IF(Settings!$E$15="POINTS",((R225*Q225)*Settings!$B$12)+(S225*Settings!$B$2)+(T225*Settings!$B$3)+(U225*Settings!$B$4)+(V225*Settings!$B$5)+(X225*Settings!$B$9)+(AA225*Settings!$B$6)+(W225*Settings!$B$8)+(AB225*Settings!$B$7)+(AC225*Settings!$B$14)+(AD225*Settings!$B$15)+(AE225*Settings!$B$16)+(AF225*Settings!$B$17)+(AG225*Settings!$B$18)+(U225*Settings!$B$13)+(Y225*Settings!$B$10)+(Z225*Settings!$B$11),VLOOKUP(B225,'Standard Deviations'!A$1:C$672,3,FALSE))</f>
        <v>194.6484059800932</v>
      </c>
      <c r="J225" s="53" cm="1">
        <f t="array" ref="J225">IF(D225="G",I225/AJ225,I225/Q225)</f>
        <v>2.503033575259991</v>
      </c>
      <c r="K225" s="52" cm="1">
        <f t="array" ref="K225">VLOOKUP(B225,D!A1:F204,6,FALSE)</f>
        <v>-112.00546136450086</v>
      </c>
      <c r="L225" s="54" cm="1">
        <f t="array" ref="L225">IFERROR(K225/H225,"N/A")</f>
        <v>-19.479210672087106</v>
      </c>
      <c r="M225" s="85" t="s">
        <v>832</v>
      </c>
      <c r="N225" s="85" t="str" cm="1">
        <f t="array" ref="N225">IFERROR(M225-A225,"N/A")</f>
        <v>N/A</v>
      </c>
      <c r="O225" s="55"/>
      <c r="P225" s="56" t="str" cm="1">
        <f t="array" ref="P225">_xlfn.XLOOKUP($B225,ADP!A2:A671,ADP!G2:G671)</f>
        <v xml:space="preserve"> </v>
      </c>
      <c r="Q225" s="57" cm="1">
        <f t="array" ref="Q225">IF(Settings!$E$12="YES",VLOOKUP(B225,'Player Data'!A1:E673,5,FALSE),84)</f>
        <v>77.765000000000001</v>
      </c>
      <c r="R225" s="55" cm="1">
        <f t="array" ref="R225">VLOOKUP(B225,'Player Data'!$A1:$AE673,6,FALSE)</f>
        <v>21.9782774008569</v>
      </c>
      <c r="S225" s="57" cm="1">
        <f t="array" ref="S225">VLOOKUP(B225,'Player Data'!$A1:$AE673,7,FALSE)*$Q225*IFERROR((VLOOKUP(P225,Settings!$E$28:$F$33,2,FALSE)+1),1)</f>
        <v>4.1866522797332353</v>
      </c>
      <c r="T225" s="57" cm="1">
        <f t="array" ref="T225">VLOOKUP(B225,'Player Data'!$A1:$AE673,8,FALSE)*$Q225*IFERROR((VLOOKUP(P225,Settings!$E$28:$F$33,2,FALSE)+1),1)</f>
        <v>18.801364770103909</v>
      </c>
      <c r="U225" s="57" cm="1">
        <f t="array" ref="U225">SUM(S225:T225)</f>
        <v>22.988017049837143</v>
      </c>
      <c r="V225" s="57" cm="1">
        <f t="array" ref="V225">VLOOKUP(B225,'Player Data'!$A1:$AE673,10,FALSE)*$Q225*IFERROR(((VLOOKUP(P225,Settings!$E$28:$F$33,2,FALSE)/2)+1),1)</f>
        <v>108.80937028914883</v>
      </c>
      <c r="W225" s="57" cm="1">
        <f t="array" ref="W225">VLOOKUP(B225,'Player Data'!$A1:$AE673,11,FALSE)*$Q225*IFERROR((VLOOKUP(P225,Settings!$E$28:$F$33,2,FALSE)+1),1)</f>
        <v>8.9041417090609375E-3</v>
      </c>
      <c r="X225" s="57" cm="1">
        <f t="array" ref="X225">VLOOKUP(B225,'Player Data'!$A1:$AE673,12,FALSE)*$Q225*IFERROR((VLOOKUP(P225,Settings!$E$28:$F$33,2,FALSE)+1),1)</f>
        <v>0.14965601634537631</v>
      </c>
      <c r="Y225" s="57" cm="1">
        <f t="array" ref="Y225">VLOOKUP(B225,'Player Data'!$A1:$AE673,13,FALSE)*$Q225</f>
        <v>2.6611281434620885E-2</v>
      </c>
      <c r="Z225" s="57" cm="1">
        <f t="array" ref="Z225">VLOOKUP(B225,'Player Data'!$A1:$AE673,14,FALSE)*$Q225</f>
        <v>0.1452342402454484</v>
      </c>
      <c r="AA225" s="57" cm="1">
        <f t="array" ref="AA225">VLOOKUP(B225,'Player Data'!$A1:$AE673,15,FALSE)*$Q225</f>
        <v>141.96955885883304</v>
      </c>
      <c r="AB225" s="57" cm="1">
        <f t="array" ref="AB225">VLOOKUP(B225,'Player Data'!$A1:$AE673,16,FALSE)*$Q225</f>
        <v>70.598496477917791</v>
      </c>
      <c r="AC225" s="57" cm="1">
        <f t="array" ref="AC225">VLOOKUP(B225,'Player Data'!$A1:$AE673,17,FALSE)*$Q225*IFERROR((VLOOKUP(P225,Settings!$E$28:$F$33,2,FALSE)+1),1)</f>
        <v>2.4914494677097689</v>
      </c>
      <c r="AD225" s="57" cm="1">
        <f t="array" ref="AD225">VLOOKUP(B225,'Player Data'!$A1:$AE673,18,FALSE)*$Q225</f>
        <v>28.12421080980522</v>
      </c>
      <c r="AE225" s="57" cm="1">
        <f t="array" ref="AE225">VLOOKUP(B225,'Player Data'!$A1:$AE673,19,FALSE)*$Q225*IFERROR((VLOOKUP(P225,Settings!$E$28:$F$33,2,FALSE)+1),1)</f>
        <v>0.72751353912598293</v>
      </c>
      <c r="AF225" s="57" cm="1">
        <f t="array" ref="AF225">VLOOKUP(B225,'Player Data'!$A1:$AE673,20,FALSE)*$Q225</f>
        <v>0</v>
      </c>
      <c r="AG225" s="57" cm="1">
        <f t="array" ref="AG225">VLOOKUP(B225,'Player Data'!$A1:$AE673,21,FALSE)*$Q225</f>
        <v>0</v>
      </c>
      <c r="AH225" s="59" cm="1">
        <f t="array" ref="AH225">VLOOKUP(B225,'Player Data'!$A1:$AE673,22,FALSE)</f>
        <v>0</v>
      </c>
      <c r="AI225" s="55"/>
      <c r="AJ225" s="57"/>
      <c r="AK225" s="57"/>
      <c r="AL225" s="57"/>
      <c r="AM225" s="57"/>
      <c r="AN225" s="57"/>
      <c r="AO225" s="57"/>
      <c r="AP225" s="57"/>
      <c r="AQ225" s="60"/>
      <c r="AR225" s="61"/>
      <c r="AS225" s="55"/>
    </row>
    <row r="226" spans="1:45" ht="21.25" customHeight="1" x14ac:dyDescent="0.15">
      <c r="A226" s="62">
        <f t="shared" si="3"/>
        <v>225</v>
      </c>
      <c r="B226" s="10" t="s">
        <v>354</v>
      </c>
      <c r="C226" s="47" t="s">
        <v>147</v>
      </c>
      <c r="D226" s="48" t="str" cm="1">
        <f t="array" ref="D226">VLOOKUP(B226,'Player Data'!A1:D673,4,FALSE)</f>
        <v>D</v>
      </c>
      <c r="E226" s="68" cm="1">
        <f t="array" ref="E226">VLOOKUP(B226,D!A1:C204,3,FALSE)</f>
        <v>81</v>
      </c>
      <c r="F226" s="56" t="str" cm="1">
        <f t="array" ref="F226">VLOOKUP(B226,'Player Data'!A1:B673,2,FALSE)</f>
        <v>WSH</v>
      </c>
      <c r="G226" s="11" cm="1">
        <f t="array" ref="G226">VLOOKUP(B226,'Player Data'!A1:D673,3,FALSE)</f>
        <v>26</v>
      </c>
      <c r="H226" s="51" cm="1">
        <f t="array" ref="H226">IFERROR(VLOOKUP(B226,ADP!A1:F671,6,FALSE)/1000000,VLOOKUP(B226,ADP!A1:F671,6,FALSE))</f>
        <v>6</v>
      </c>
      <c r="I226" s="52">
        <f>IF(Settings!$E$15="POINTS",((R226*Q226)*Settings!$B$12)+(S226*Settings!$B$2)+(T226*Settings!$B$3)+(U226*Settings!$B$4)+(V226*Settings!$B$5)+(X226*Settings!$B$9)+(AA226*Settings!$B$6)+(W226*Settings!$B$8)+(AB226*Settings!$B$7)+(AC226*Settings!$B$14)+(AD226*Settings!$B$15)+(AE226*Settings!$B$16)+(AF226*Settings!$B$17)+(AG226*Settings!$B$18)+(U226*Settings!$B$13)+(Y226*Settings!$B$10)+(Z226*Settings!$B$11),VLOOKUP(B226,'Standard Deviations'!A$1:C$672,3,FALSE))</f>
        <v>194.63923210887128</v>
      </c>
      <c r="J226" s="53" cm="1">
        <f t="array" ref="J226">IF(D226="G",I226/AJ226,I226/Q226)</f>
        <v>2.3703249358688581</v>
      </c>
      <c r="K226" s="52" cm="1">
        <f t="array" ref="K226">VLOOKUP(B226,D!A1:F204,6,FALSE)</f>
        <v>-112.01463523572278</v>
      </c>
      <c r="L226" s="54" cm="1">
        <f t="array" ref="L226">IFERROR(K226/H226,"N/A")</f>
        <v>-18.669105872620463</v>
      </c>
      <c r="M226" s="55">
        <v>133.9</v>
      </c>
      <c r="N226" s="55" cm="1">
        <f t="array" ref="N226">IFERROR(M226-A226,"N/A")</f>
        <v>-91.1</v>
      </c>
      <c r="O226" s="55"/>
      <c r="P226" s="56" t="str" cm="1">
        <f t="array" ref="P226">_xlfn.XLOOKUP($B226,ADP!A2:A671,ADP!G2:G671)</f>
        <v xml:space="preserve"> </v>
      </c>
      <c r="Q226" s="57" cm="1">
        <f t="array" ref="Q226">IF(Settings!$E$12="YES",VLOOKUP(B226,'Player Data'!A1:E673,5,FALSE),84)</f>
        <v>82.114999999999995</v>
      </c>
      <c r="R226" s="55" cm="1">
        <f t="array" ref="R226">VLOOKUP(B226,'Player Data'!$A1:$AE673,6,FALSE)</f>
        <v>19.310793659901002</v>
      </c>
      <c r="S226" s="57" cm="1">
        <f t="array" ref="S226">VLOOKUP(B226,'Player Data'!$A1:$AE673,7,FALSE)*$Q226*IFERROR((VLOOKUP(P226,Settings!$E$28:$F$33,2,FALSE)+1),1)</f>
        <v>4.9209114111529315</v>
      </c>
      <c r="T226" s="57" cm="1">
        <f t="array" ref="T226">VLOOKUP(B226,'Player Data'!$A1:$AE673,8,FALSE)*$Q226*IFERROR((VLOOKUP(P226,Settings!$E$28:$F$33,2,FALSE)+1),1)</f>
        <v>20.406525612489414</v>
      </c>
      <c r="U226" s="57" cm="1">
        <f t="array" ref="U226">SUM(S226:T226)</f>
        <v>25.327437023642347</v>
      </c>
      <c r="V226" s="57" cm="1">
        <f t="array" ref="V226">VLOOKUP(B226,'Player Data'!$A1:$AE673,10,FALSE)*$Q226*IFERROR(((VLOOKUP(P226,Settings!$E$28:$F$33,2,FALSE)/2)+1),1)</f>
        <v>79.275736879901146</v>
      </c>
      <c r="W226" s="57" cm="1">
        <f t="array" ref="W226">VLOOKUP(B226,'Player Data'!$A1:$AE673,11,FALSE)*$Q226*IFERROR((VLOOKUP(P226,Settings!$E$28:$F$33,2,FALSE)+1),1)</f>
        <v>0.17045752111582607</v>
      </c>
      <c r="X226" s="57" cm="1">
        <f t="array" ref="X226">VLOOKUP(B226,'Player Data'!$A1:$AE673,12,FALSE)*$Q226*IFERROR((VLOOKUP(P226,Settings!$E$28:$F$33,2,FALSE)+1),1)</f>
        <v>1.1333285993202544</v>
      </c>
      <c r="Y226" s="57" cm="1">
        <f t="array" ref="Y226">VLOOKUP(B226,'Player Data'!$A1:$AE673,13,FALSE)*$Q226</f>
        <v>1.962161640435647E-2</v>
      </c>
      <c r="Z226" s="57" cm="1">
        <f t="array" ref="Z226">VLOOKUP(B226,'Player Data'!$A1:$AE673,14,FALSE)*$Q226</f>
        <v>0.74255198925259125</v>
      </c>
      <c r="AA226" s="57" cm="1">
        <f t="array" ref="AA226">VLOOKUP(B226,'Player Data'!$A1:$AE673,15,FALSE)*$Q226</f>
        <v>154.28634401884159</v>
      </c>
      <c r="AB226" s="57" cm="1">
        <f t="array" ref="AB226">VLOOKUP(B226,'Player Data'!$A1:$AE673,16,FALSE)*$Q226</f>
        <v>120.64197152244397</v>
      </c>
      <c r="AC226" s="57" cm="1">
        <f t="array" ref="AC226">VLOOKUP(B226,'Player Data'!$A1:$AE673,17,FALSE)*$Q226*IFERROR((VLOOKUP(P226,Settings!$E$28:$F$33,2,FALSE)+1),1)</f>
        <v>3.1971884654440572</v>
      </c>
      <c r="AD226" s="57" cm="1">
        <f t="array" ref="AD226">VLOOKUP(B226,'Player Data'!$A1:$AE673,18,FALSE)*$Q226</f>
        <v>29.965117267395598</v>
      </c>
      <c r="AE226" s="57" cm="1">
        <f t="array" ref="AE226">VLOOKUP(B226,'Player Data'!$A1:$AE673,19,FALSE)*$Q226*IFERROR((VLOOKUP(P226,Settings!$E$28:$F$33,2,FALSE)+1),1)</f>
        <v>0.73700152986915035</v>
      </c>
      <c r="AF226" s="57" cm="1">
        <f t="array" ref="AF226">VLOOKUP(B226,'Player Data'!$A1:$AE673,20,FALSE)*$Q226</f>
        <v>0</v>
      </c>
      <c r="AG226" s="57" cm="1">
        <f t="array" ref="AG226">VLOOKUP(B226,'Player Data'!$A1:$AE673,21,FALSE)*$Q226</f>
        <v>0</v>
      </c>
      <c r="AH226" s="59" cm="1">
        <f t="array" ref="AH226">VLOOKUP(B226,'Player Data'!$A1:$AE673,22,FALSE)</f>
        <v>0</v>
      </c>
      <c r="AI226" s="55"/>
      <c r="AJ226" s="57"/>
      <c r="AK226" s="57"/>
      <c r="AL226" s="57"/>
      <c r="AM226" s="57"/>
      <c r="AN226" s="57"/>
      <c r="AO226" s="57"/>
      <c r="AP226" s="57"/>
      <c r="AQ226" s="60"/>
      <c r="AR226" s="61"/>
      <c r="AS226" s="55"/>
    </row>
    <row r="227" spans="1:45" ht="21.25" customHeight="1" x14ac:dyDescent="0.15">
      <c r="A227" s="62">
        <f t="shared" si="3"/>
        <v>226</v>
      </c>
      <c r="B227" s="10" t="s">
        <v>355</v>
      </c>
      <c r="C227" s="47" t="s">
        <v>147</v>
      </c>
      <c r="D227" s="48" t="str" cm="1">
        <f t="array" ref="D227">VLOOKUP(B227,'Player Data'!A1:D673,4,FALSE)</f>
        <v>D</v>
      </c>
      <c r="E227" s="68" cm="1">
        <f t="array" ref="E227">VLOOKUP(B227,D!A1:C204,3,FALSE)</f>
        <v>82</v>
      </c>
      <c r="F227" s="72" t="str" cm="1">
        <f t="array" ref="F227">VLOOKUP(B227,'Player Data'!A1:B673,2,FALSE)</f>
        <v>FLA</v>
      </c>
      <c r="G227" s="11" cm="1">
        <f t="array" ref="G227">VLOOKUP(B227,'Player Data'!A1:D673,3,FALSE)</f>
        <v>30</v>
      </c>
      <c r="H227" s="51" cm="1">
        <f t="array" ref="H227">IFERROR(VLOOKUP(B227,ADP!A1:F671,6,FALSE)/1000000,VLOOKUP(B227,ADP!A1:F671,6,FALSE))</f>
        <v>6.1</v>
      </c>
      <c r="I227" s="52">
        <f>IF(Settings!$E$15="POINTS",((R227*Q227)*Settings!$B$12)+(S227*Settings!$B$2)+(T227*Settings!$B$3)+(U227*Settings!$B$4)+(V227*Settings!$B$5)+(X227*Settings!$B$9)+(AA227*Settings!$B$6)+(W227*Settings!$B$8)+(AB227*Settings!$B$7)+(AC227*Settings!$B$14)+(AD227*Settings!$B$15)+(AE227*Settings!$B$16)+(AF227*Settings!$B$17)+(AG227*Settings!$B$18)+(U227*Settings!$B$13)+(Y227*Settings!$B$10)+(Z227*Settings!$B$11),VLOOKUP(B227,'Standard Deviations'!A$1:C$672,3,FALSE))</f>
        <v>194.48676751140962</v>
      </c>
      <c r="J227" s="53" cm="1">
        <f t="array" ref="J227">IF(D227="G",I227/AJ227,I227/Q227)</f>
        <v>2.5732570456656472</v>
      </c>
      <c r="K227" s="52" cm="1">
        <f t="array" ref="K227">VLOOKUP(B227,D!A1:F204,6,FALSE)</f>
        <v>-112.16709983318444</v>
      </c>
      <c r="L227" s="54" cm="1">
        <f t="array" ref="L227">IFERROR(K227/H227,"N/A")</f>
        <v>-18.388049152981058</v>
      </c>
      <c r="M227" s="55">
        <v>127.6</v>
      </c>
      <c r="N227" s="55" cm="1">
        <f t="array" ref="N227">IFERROR(M227-A227,"N/A")</f>
        <v>-98.4</v>
      </c>
      <c r="O227" s="55"/>
      <c r="P227" s="56" t="str" cm="1">
        <f t="array" ref="P227">_xlfn.XLOOKUP($B227,ADP!A2:A671,ADP!G2:G671)</f>
        <v xml:space="preserve"> </v>
      </c>
      <c r="Q227" s="57" cm="1">
        <f t="array" ref="Q227">IF(Settings!$E$12="YES",VLOOKUP(B227,'Player Data'!A1:E673,5,FALSE),84)</f>
        <v>75.58</v>
      </c>
      <c r="R227" s="55" cm="1">
        <f t="array" ref="R227">VLOOKUP(B227,'Player Data'!$A1:$AE673,6,FALSE)</f>
        <v>22.386520013308299</v>
      </c>
      <c r="S227" s="57" cm="1">
        <f t="array" ref="S227">VLOOKUP(B227,'Player Data'!$A1:$AE673,7,FALSE)*$Q227*IFERROR((VLOOKUP(P227,Settings!$E$28:$F$33,2,FALSE)+1),1)</f>
        <v>3.372414728679451</v>
      </c>
      <c r="T227" s="57" cm="1">
        <f t="array" ref="T227">VLOOKUP(B227,'Player Data'!$A1:$AE673,8,FALSE)*$Q227*IFERROR((VLOOKUP(P227,Settings!$E$28:$F$33,2,FALSE)+1),1)</f>
        <v>24.401743728460616</v>
      </c>
      <c r="U227" s="57" cm="1">
        <f t="array" ref="U227">SUM(S227:T227)</f>
        <v>27.774158457140068</v>
      </c>
      <c r="V227" s="57" cm="1">
        <f t="array" ref="V227">VLOOKUP(B227,'Player Data'!$A1:$AE673,10,FALSE)*$Q227*IFERROR(((VLOOKUP(P227,Settings!$E$28:$F$33,2,FALSE)/2)+1),1)</f>
        <v>103.401079760587</v>
      </c>
      <c r="W227" s="57" cm="1">
        <f t="array" ref="W227">VLOOKUP(B227,'Player Data'!$A1:$AE673,11,FALSE)*$Q227*IFERROR((VLOOKUP(P227,Settings!$E$28:$F$33,2,FALSE)+1),1)</f>
        <v>0.35724208241287203</v>
      </c>
      <c r="X227" s="57" cm="1">
        <f t="array" ref="X227">VLOOKUP(B227,'Player Data'!$A1:$AE673,12,FALSE)*$Q227*IFERROR((VLOOKUP(P227,Settings!$E$28:$F$33,2,FALSE)+1),1)</f>
        <v>4.0249707425313987</v>
      </c>
      <c r="Y227" s="57" cm="1">
        <f t="array" ref="Y227">VLOOKUP(B227,'Player Data'!$A1:$AE673,13,FALSE)*$Q227</f>
        <v>1.5179055206152975E-2</v>
      </c>
      <c r="Z227" s="57" cm="1">
        <f t="array" ref="Z227">VLOOKUP(B227,'Player Data'!$A1:$AE673,14,FALSE)*$Q227</f>
        <v>1.0414950286119964</v>
      </c>
      <c r="AA227" s="57" cm="1">
        <f t="array" ref="AA227">VLOOKUP(B227,'Player Data'!$A1:$AE673,15,FALSE)*$Q227</f>
        <v>108.79457297710509</v>
      </c>
      <c r="AB227" s="57" cm="1">
        <f t="array" ref="AB227">VLOOKUP(B227,'Player Data'!$A1:$AE673,16,FALSE)*$Q227</f>
        <v>93.803636699279963</v>
      </c>
      <c r="AC227" s="57" cm="1">
        <f t="array" ref="AC227">VLOOKUP(B227,'Player Data'!$A1:$AE673,17,FALSE)*$Q227*IFERROR((VLOOKUP(P227,Settings!$E$28:$F$33,2,FALSE)+1),1)</f>
        <v>3.1336562583962353</v>
      </c>
      <c r="AD227" s="57" cm="1">
        <f t="array" ref="AD227">VLOOKUP(B227,'Player Data'!$A1:$AE673,18,FALSE)*$Q227</f>
        <v>58.399634527649937</v>
      </c>
      <c r="AE227" s="57" cm="1">
        <f t="array" ref="AE227">VLOOKUP(B227,'Player Data'!$A1:$AE673,19,FALSE)*$Q227*IFERROR((VLOOKUP(P227,Settings!$E$28:$F$33,2,FALSE)+1),1)</f>
        <v>0.5614927801914622</v>
      </c>
      <c r="AF227" s="57" cm="1">
        <f t="array" ref="AF227">VLOOKUP(B227,'Player Data'!$A1:$AE673,20,FALSE)*$Q227</f>
        <v>0</v>
      </c>
      <c r="AG227" s="57" cm="1">
        <f t="array" ref="AG227">VLOOKUP(B227,'Player Data'!$A1:$AE673,21,FALSE)*$Q227</f>
        <v>0.80239434441946134</v>
      </c>
      <c r="AH227" s="59" cm="1">
        <f t="array" ref="AH227">VLOOKUP(B227,'Player Data'!$A1:$AE673,22,FALSE)</f>
        <v>0</v>
      </c>
      <c r="AI227" s="55"/>
      <c r="AJ227" s="57"/>
      <c r="AK227" s="57"/>
      <c r="AL227" s="57"/>
      <c r="AM227" s="57"/>
      <c r="AN227" s="57"/>
      <c r="AO227" s="57"/>
      <c r="AP227" s="57"/>
      <c r="AQ227" s="60"/>
      <c r="AR227" s="61"/>
      <c r="AS227" s="55"/>
    </row>
    <row r="228" spans="1:45" ht="21.25" customHeight="1" x14ac:dyDescent="0.15">
      <c r="A228" s="62">
        <f t="shared" si="3"/>
        <v>227</v>
      </c>
      <c r="B228" s="10" t="s">
        <v>356</v>
      </c>
      <c r="C228" s="47" t="s">
        <v>147</v>
      </c>
      <c r="D228" s="48" t="str" cm="1">
        <f t="array" ref="D228">VLOOKUP(B228,'Player Data'!A1:D673,4,FALSE)</f>
        <v>C,RW</v>
      </c>
      <c r="E228" s="74" cm="1">
        <f t="array" ref="E228">VLOOKUP(B228,RW!A1:F210,3,FALSE)</f>
        <v>68</v>
      </c>
      <c r="F228" s="65" t="str" cm="1">
        <f t="array" ref="F228">VLOOKUP(B228,'Player Data'!A1:B673,2,FALSE)</f>
        <v>CAR</v>
      </c>
      <c r="G228" s="71" cm="1">
        <f t="array" ref="G228">VLOOKUP(B228,'Player Data'!A1:D673,3,FALSE)</f>
        <v>23</v>
      </c>
      <c r="H228" s="51" cm="1">
        <f t="array" ref="H228">IFERROR(VLOOKUP(B228,ADP!A1:F671,6,FALSE)/1000000,VLOOKUP(B228,ADP!A1:F671,6,FALSE))</f>
        <v>6</v>
      </c>
      <c r="I228" s="52">
        <f>IF(Settings!$E$15="POINTS",((R228*Q228)*Settings!$B$12)+(S228*Settings!$B$2)+(T228*Settings!$B$3)+(U228*Settings!$B$4)+(V228*Settings!$B$5)+(X228*Settings!$B$9)+(AA228*Settings!$B$6)+(W228*Settings!$B$8)+(AB228*Settings!$B$7)+(AC228*Settings!$B$14)+(AD228*Settings!$B$15)+(AE228*Settings!$B$16)+(AF228*Settings!$B$17)+(AG228*Settings!$B$18)+(Y228*Settings!$B$10)+(Z228*Settings!$B$11),VLOOKUP(B228,'Standard Deviations'!A$1:C$672,3,FALSE))</f>
        <v>282.64966564291768</v>
      </c>
      <c r="J228" s="53" cm="1">
        <f t="array" ref="J228">IF(D228="G",I228/AJ228,I228/Q228)</f>
        <v>3.442643837190313</v>
      </c>
      <c r="K228" s="52" cm="1">
        <f t="array" ref="K228">IF(Settings!$E$18="C/LW/RW",VLOOKUP(B228,RW!A1:F210,6,FALSE),VLOOKUP(B228,F!A1:F407,6,FALSE))</f>
        <v>-112.29379905063979</v>
      </c>
      <c r="L228" s="54" cm="1">
        <f t="array" ref="L228">IFERROR(K228/H228,"N/A")</f>
        <v>-18.715633175106632</v>
      </c>
      <c r="M228" s="55">
        <v>141.6</v>
      </c>
      <c r="N228" s="55" cm="1">
        <f t="array" ref="N228">IFERROR(M228-A228,"N/A")</f>
        <v>-85.4</v>
      </c>
      <c r="O228" s="55"/>
      <c r="P228" s="56" t="str" cm="1">
        <f t="array" ref="P228">_xlfn.XLOOKUP($B228,ADP!A2:A671,ADP!G2:G671)</f>
        <v>+</v>
      </c>
      <c r="Q228" s="57" cm="1">
        <f t="array" ref="Q228">IF(Settings!$E$12="YES",VLOOKUP(B228,'Player Data'!A1:E673,5,FALSE),84)</f>
        <v>82.102500000000006</v>
      </c>
      <c r="R228" s="82" cm="1">
        <f t="array" ref="R228">VLOOKUP(B228,'Player Data'!$A1:$AE673,6,FALSE)</f>
        <v>16.468636343467701</v>
      </c>
      <c r="S228" s="57" cm="1">
        <f t="array" ref="S228">VLOOKUP(B228,'Player Data'!$A1:$AE673,7,FALSE)*$Q228*IFERROR((VLOOKUP(P228,Settings!$E$28:$F$33,2,FALSE)+1),1)</f>
        <v>22.79301758975048</v>
      </c>
      <c r="T228" s="57" cm="1">
        <f t="array" ref="T228">VLOOKUP(B228,'Player Data'!$A1:$AE673,8,FALSE)*$Q228*IFERROR((VLOOKUP(P228,Settings!$E$28:$F$33,2,FALSE)+1),1)</f>
        <v>30.179832139446599</v>
      </c>
      <c r="U228" s="57" cm="1">
        <f t="array" ref="U228">SUM(S228:T228)</f>
        <v>52.97284972919708</v>
      </c>
      <c r="V228" s="57" cm="1">
        <f t="array" ref="V228">VLOOKUP(B228,'Player Data'!$A1:$AE673,10,FALSE)*$Q228*IFERROR(((VLOOKUP(P228,Settings!$E$28:$F$33,2,FALSE)/2)+1),1)</f>
        <v>192.90415270156211</v>
      </c>
      <c r="W228" s="57" cm="1">
        <f t="array" ref="W228">VLOOKUP(B228,'Player Data'!$A1:$AE673,11,FALSE)*$Q228*IFERROR((VLOOKUP(P228,Settings!$E$28:$F$33,2,FALSE)+1),1)</f>
        <v>5.0742998932472574</v>
      </c>
      <c r="X228" s="57" cm="1">
        <f t="array" ref="X228">VLOOKUP(B228,'Player Data'!$A1:$AE673,12,FALSE)*$Q228*IFERROR((VLOOKUP(P228,Settings!$E$28:$F$33,2,FALSE)+1),1)</f>
        <v>12.803625818340256</v>
      </c>
      <c r="Y228" s="57" cm="1">
        <f t="array" ref="Y228">VLOOKUP(B228,'Player Data'!$A1:$AE673,13,FALSE)*$Q228</f>
        <v>2.0095740904858449E-2</v>
      </c>
      <c r="Z228" s="57" cm="1">
        <f t="array" ref="Z228">VLOOKUP(B228,'Player Data'!$A1:$AE673,14,FALSE)*$Q228</f>
        <v>3.2872268344608879E-2</v>
      </c>
      <c r="AA228" s="57" cm="1">
        <f t="array" ref="AA228">VLOOKUP(B228,'Player Data'!$A1:$AE673,15,FALSE)*$Q228</f>
        <v>28.885084035721132</v>
      </c>
      <c r="AB228" s="57" cm="1">
        <f t="array" ref="AB228">VLOOKUP(B228,'Player Data'!$A1:$AE673,16,FALSE)*$Q228</f>
        <v>57.945379805399618</v>
      </c>
      <c r="AC228" s="57" cm="1">
        <f t="array" ref="AC228">VLOOKUP(B228,'Player Data'!$A1:$AE673,17,FALSE)*$Q228*IFERROR((VLOOKUP(P228,Settings!$E$28:$F$33,2,FALSE)+1),1)</f>
        <v>8.3937820551905968</v>
      </c>
      <c r="AD228" s="57" cm="1">
        <f t="array" ref="AD228">VLOOKUP(B228,'Player Data'!$A1:$AE673,18,FALSE)*$Q228</f>
        <v>22.801088168114521</v>
      </c>
      <c r="AE228" s="57" cm="1">
        <f t="array" ref="AE228">VLOOKUP(B228,'Player Data'!$A1:$AE673,19,FALSE)*$Q228*IFERROR((VLOOKUP(P228,Settings!$E$28:$F$33,2,FALSE)+1),1)</f>
        <v>3.9141485859272205</v>
      </c>
      <c r="AF228" s="57" cm="1">
        <f t="array" ref="AF228">VLOOKUP(B228,'Player Data'!$A1:$AE673,20,FALSE)*$Q228</f>
        <v>387.5569407732014</v>
      </c>
      <c r="AG228" s="57" cm="1">
        <f t="array" ref="AG228">VLOOKUP(B228,'Player Data'!$A1:$AE673,21,FALSE)*$Q228</f>
        <v>446.52184677090088</v>
      </c>
      <c r="AH228" s="59" cm="1">
        <f t="array" ref="AH228">VLOOKUP(B228,'Player Data'!$A1:$AE673,22,FALSE)</f>
        <v>0.46465267617504202</v>
      </c>
      <c r="AI228" s="55"/>
      <c r="AJ228" s="57"/>
      <c r="AK228" s="57"/>
      <c r="AL228" s="57"/>
      <c r="AM228" s="57"/>
      <c r="AN228" s="57"/>
      <c r="AO228" s="57"/>
      <c r="AP228" s="57"/>
      <c r="AQ228" s="60"/>
      <c r="AR228" s="61"/>
      <c r="AS228" s="55"/>
    </row>
    <row r="229" spans="1:45" ht="21.25" customHeight="1" x14ac:dyDescent="0.15">
      <c r="A229" s="62">
        <f t="shared" si="3"/>
        <v>228</v>
      </c>
      <c r="B229" s="10" t="s">
        <v>357</v>
      </c>
      <c r="C229" s="47" t="s">
        <v>147</v>
      </c>
      <c r="D229" s="48" t="str" cm="1">
        <f t="array" ref="D229">VLOOKUP(B229,'Player Data'!A1:D673,4,FALSE)</f>
        <v>LW,RW</v>
      </c>
      <c r="E229" s="74" cm="1">
        <f t="array" ref="E229">VLOOKUP(B229,RW!A1:F210,3,FALSE)</f>
        <v>69</v>
      </c>
      <c r="F229" s="56" t="str" cm="1">
        <f t="array" ref="F229">VLOOKUP(B229,'Player Data'!A1:B673,2,FALSE)</f>
        <v>CHI</v>
      </c>
      <c r="G229" s="66" cm="1">
        <f t="array" ref="G229">VLOOKUP(B229,'Player Data'!A1:D673,3,FALSE)</f>
        <v>31</v>
      </c>
      <c r="H229" s="51" cm="1">
        <f t="array" ref="H229">IFERROR(VLOOKUP(B229,ADP!A1:F671,6,FALSE)/1000000,VLOOKUP(B229,ADP!A1:F671,6,FALSE))</f>
        <v>5.5</v>
      </c>
      <c r="I229" s="52">
        <f>IF(Settings!$E$15="POINTS",((R229*Q229)*Settings!$B$12)+(S229*Settings!$B$2)+(T229*Settings!$B$3)+(U229*Settings!$B$4)+(V229*Settings!$B$5)+(X229*Settings!$B$9)+(AA229*Settings!$B$6)+(W229*Settings!$B$8)+(AB229*Settings!$B$7)+(AC229*Settings!$B$14)+(AD229*Settings!$B$15)+(AE229*Settings!$B$16)+(AF229*Settings!$B$17)+(AG229*Settings!$B$18)+(Y229*Settings!$B$10)+(Z229*Settings!$B$11),VLOOKUP(B229,'Standard Deviations'!A$1:C$672,3,FALSE))</f>
        <v>282.34359943185535</v>
      </c>
      <c r="J229" s="53" cm="1">
        <f t="array" ref="J229">IF(D229="G",I229/AJ229,I229/Q229)</f>
        <v>3.3895807128888062</v>
      </c>
      <c r="K229" s="52" cm="1">
        <f t="array" ref="K229">IF(Settings!$E$18="C/LW/RW",VLOOKUP(B229,RW!A1:F210,6,FALSE),VLOOKUP(B229,F!A1:F407,6,FALSE))</f>
        <v>-112.59986526170212</v>
      </c>
      <c r="L229" s="54" cm="1">
        <f t="array" ref="L229">IFERROR(K229/H229,"N/A")</f>
        <v>-20.47270277485493</v>
      </c>
      <c r="M229" s="55">
        <v>136.4</v>
      </c>
      <c r="N229" s="55" cm="1">
        <f t="array" ref="N229">IFERROR(M229-A229,"N/A")</f>
        <v>-91.6</v>
      </c>
      <c r="O229" s="55"/>
      <c r="P229" s="56" t="str" cm="1">
        <f t="array" ref="P229">_xlfn.XLOOKUP($B229,ADP!A2:A671,ADP!G2:G671)</f>
        <v xml:space="preserve"> </v>
      </c>
      <c r="Q229" s="57" cm="1">
        <f t="array" ref="Q229">IF(Settings!$E$12="YES",VLOOKUP(B229,'Player Data'!A1:E673,5,FALSE),84)</f>
        <v>83.297499999999999</v>
      </c>
      <c r="R229" s="55" cm="1">
        <f t="array" ref="R229">VLOOKUP(B229,'Player Data'!$A1:$AE673,6,FALSE)</f>
        <v>17.743488665568101</v>
      </c>
      <c r="S229" s="57" cm="1">
        <f t="array" ref="S229">VLOOKUP(B229,'Player Data'!$A1:$AE673,7,FALSE)*$Q229*IFERROR((VLOOKUP(P229,Settings!$E$28:$F$33,2,FALSE)+1),1)</f>
        <v>27.811708671552289</v>
      </c>
      <c r="T229" s="57" cm="1">
        <f t="array" ref="T229">VLOOKUP(B229,'Player Data'!$A1:$AE673,8,FALSE)*$Q229*IFERROR((VLOOKUP(P229,Settings!$E$28:$F$33,2,FALSE)+1),1)</f>
        <v>26.605758029868326</v>
      </c>
      <c r="U229" s="57" cm="1">
        <f t="array" ref="U229">SUM(S229:T229)</f>
        <v>54.417466701420615</v>
      </c>
      <c r="V229" s="57" cm="1">
        <f t="array" ref="V229">VLOOKUP(B229,'Player Data'!$A1:$AE673,10,FALSE)*$Q229*IFERROR(((VLOOKUP(P229,Settings!$E$28:$F$33,2,FALSE)/2)+1),1)</f>
        <v>168.70801020859997</v>
      </c>
      <c r="W229" s="58" cm="1">
        <f t="array" ref="W229">VLOOKUP(B229,'Player Data'!$A1:$AE673,11,FALSE)*$Q229*IFERROR((VLOOKUP(P229,Settings!$E$28:$F$33,2,FALSE)+1),1)</f>
        <v>10.368700639657044</v>
      </c>
      <c r="X229" s="57" cm="1">
        <f t="array" ref="X229">VLOOKUP(B229,'Player Data'!$A1:$AE673,12,FALSE)*$Q229*IFERROR((VLOOKUP(P229,Settings!$E$28:$F$33,2,FALSE)+1),1)</f>
        <v>20.296754567021832</v>
      </c>
      <c r="Y229" s="57" cm="1">
        <f t="array" ref="Y229">VLOOKUP(B229,'Player Data'!$A1:$AE673,13,FALSE)*$Q229</f>
        <v>5.3189457899069544E-4</v>
      </c>
      <c r="Z229" s="57" cm="1">
        <f t="array" ref="Z229">VLOOKUP(B229,'Player Data'!$A1:$AE673,14,FALSE)*$Q229</f>
        <v>8.7177811380124157E-4</v>
      </c>
      <c r="AA229" s="57" cm="1">
        <f t="array" ref="AA229">VLOOKUP(B229,'Player Data'!$A1:$AE673,15,FALSE)*$Q229</f>
        <v>28.879135756315751</v>
      </c>
      <c r="AB229" s="57" cm="1">
        <f t="array" ref="AB229">VLOOKUP(B229,'Player Data'!$A1:$AE673,16,FALSE)*$Q229</f>
        <v>63.21914424631462</v>
      </c>
      <c r="AC229" s="57" cm="1">
        <f t="array" ref="AC229">VLOOKUP(B229,'Player Data'!$A1:$AE673,17,FALSE)*$Q229*IFERROR((VLOOKUP(P229,Settings!$E$28:$F$33,2,FALSE)+1),1)</f>
        <v>-7.1252044214555212</v>
      </c>
      <c r="AD229" s="57" cm="1">
        <f t="array" ref="AD229">VLOOKUP(B229,'Player Data'!$A1:$AE673,18,FALSE)*$Q229</f>
        <v>33.041575467241117</v>
      </c>
      <c r="AE229" s="57" cm="1">
        <f t="array" ref="AE229">VLOOKUP(B229,'Player Data'!$A1:$AE673,19,FALSE)*$Q229*IFERROR((VLOOKUP(P229,Settings!$E$28:$F$33,2,FALSE)+1),1)</f>
        <v>3.4324111920704454</v>
      </c>
      <c r="AF229" s="57" cm="1">
        <f t="array" ref="AF229">VLOOKUP(B229,'Player Data'!$A1:$AE673,20,FALSE)*$Q229</f>
        <v>39.437749652724158</v>
      </c>
      <c r="AG229" s="57" cm="1">
        <f t="array" ref="AG229">VLOOKUP(B229,'Player Data'!$A1:$AE673,21,FALSE)*$Q229</f>
        <v>53.576742454101336</v>
      </c>
      <c r="AH229" s="59" cm="1">
        <f t="array" ref="AH229">VLOOKUP(B229,'Player Data'!$A1:$AE673,22,FALSE)</f>
        <v>0.42399575334379702</v>
      </c>
      <c r="AI229" s="55"/>
      <c r="AJ229" s="57"/>
      <c r="AK229" s="57"/>
      <c r="AL229" s="57"/>
      <c r="AM229" s="57"/>
      <c r="AN229" s="57"/>
      <c r="AO229" s="57"/>
      <c r="AP229" s="57"/>
      <c r="AQ229" s="60"/>
      <c r="AR229" s="61"/>
      <c r="AS229" s="55"/>
    </row>
    <row r="230" spans="1:45" ht="21.25" customHeight="1" x14ac:dyDescent="0.15">
      <c r="A230" s="62">
        <f t="shared" si="3"/>
        <v>229</v>
      </c>
      <c r="B230" s="10" t="s">
        <v>358</v>
      </c>
      <c r="C230" s="47" t="s">
        <v>147</v>
      </c>
      <c r="D230" s="48" t="str" cm="1">
        <f t="array" ref="D230">VLOOKUP(B230,'Player Data'!A1:D673,4,FALSE)</f>
        <v>D</v>
      </c>
      <c r="E230" s="68" cm="1">
        <f t="array" ref="E230">VLOOKUP(B230,D!A1:C204,3,FALSE)</f>
        <v>83</v>
      </c>
      <c r="F230" s="50" t="str" cm="1">
        <f t="array" ref="F230">VLOOKUP(B230,'Player Data'!A1:B673,2,FALSE)</f>
        <v>COL</v>
      </c>
      <c r="G230" s="66" cm="1">
        <f t="array" ref="G230">VLOOKUP(B230,'Player Data'!A1:D673,3,FALSE)</f>
        <v>41</v>
      </c>
      <c r="H230" s="67" cm="1">
        <f t="array" ref="H230">IFERROR(VLOOKUP(B230,ADP!A1:F671,6,FALSE)/1000000,VLOOKUP(B230,ADP!A1:F671,6,FALSE))</f>
        <v>0.85</v>
      </c>
      <c r="I230" s="52">
        <f>IF(Settings!$E$15="POINTS",((R230*Q230)*Settings!$B$12)+(S230*Settings!$B$2)+(T230*Settings!$B$3)+(U230*Settings!$B$4)+(V230*Settings!$B$5)+(X230*Settings!$B$9)+(AA230*Settings!$B$6)+(W230*Settings!$B$8)+(AB230*Settings!$B$7)+(AC230*Settings!$B$14)+(AD230*Settings!$B$15)+(AE230*Settings!$B$16)+(AF230*Settings!$B$17)+(AG230*Settings!$B$18)+(U230*Settings!$B$13)+(Y230*Settings!$B$10)+(Z230*Settings!$B$11),VLOOKUP(B230,'Standard Deviations'!A$1:C$672,3,FALSE))</f>
        <v>193.18634205698606</v>
      </c>
      <c r="J230" s="53" cm="1">
        <f t="array" ref="J230">IF(D230="G",I230/AJ230,I230/Q230)</f>
        <v>2.299016328180246</v>
      </c>
      <c r="K230" s="52" cm="1">
        <f t="array" ref="K230">VLOOKUP(B230,D!A1:F204,6,FALSE)</f>
        <v>-113.467525287608</v>
      </c>
      <c r="L230" s="54" cm="1">
        <f t="array" ref="L230">IFERROR(K230/H230,"N/A")</f>
        <v>-133.4912062207153</v>
      </c>
      <c r="M230" s="55">
        <v>135.9</v>
      </c>
      <c r="N230" s="55" cm="1">
        <f t="array" ref="N230">IFERROR(M230-A230,"N/A")</f>
        <v>-93.1</v>
      </c>
      <c r="O230" s="55"/>
      <c r="P230" s="56" t="str" cm="1">
        <f t="array" ref="P230">_xlfn.XLOOKUP($B230,ADP!A2:A671,ADP!G2:G671)</f>
        <v xml:space="preserve"> </v>
      </c>
      <c r="Q230" s="57" cm="1">
        <f t="array" ref="Q230">IF(Settings!$E$12="YES",VLOOKUP(B230,'Player Data'!A1:E673,5,FALSE),84)</f>
        <v>84.03</v>
      </c>
      <c r="R230" s="55" cm="1">
        <f t="array" ref="R230">VLOOKUP(B230,'Player Data'!$A1:$AE673,6,FALSE)</f>
        <v>18.403035880335398</v>
      </c>
      <c r="S230" s="57" cm="1">
        <f t="array" ref="S230">VLOOKUP(B230,'Player Data'!$A1:$AE673,7,FALSE)*$Q230*IFERROR((VLOOKUP(P230,Settings!$E$28:$F$33,2,FALSE)+1),1)</f>
        <v>5.2823214071663456</v>
      </c>
      <c r="T230" s="57" cm="1">
        <f t="array" ref="T230">VLOOKUP(B230,'Player Data'!$A1:$AE673,8,FALSE)*$Q230*IFERROR((VLOOKUP(P230,Settings!$E$28:$F$33,2,FALSE)+1),1)</f>
        <v>17.95195828276168</v>
      </c>
      <c r="U230" s="57" cm="1">
        <f t="array" ref="U230">SUM(S230:T230)</f>
        <v>23.234279689928027</v>
      </c>
      <c r="V230" s="57" cm="1">
        <f t="array" ref="V230">VLOOKUP(B230,'Player Data'!$A1:$AE673,10,FALSE)*$Q230*IFERROR(((VLOOKUP(P230,Settings!$E$28:$F$33,2,FALSE)/2)+1),1)</f>
        <v>147.1076351354032</v>
      </c>
      <c r="W230" s="57" cm="1">
        <f t="array" ref="W230">VLOOKUP(B230,'Player Data'!$A1:$AE673,11,FALSE)*$Q230*IFERROR((VLOOKUP(P230,Settings!$E$28:$F$33,2,FALSE)+1),1)</f>
        <v>0.21221561786076037</v>
      </c>
      <c r="X230" s="57" cm="1">
        <f t="array" ref="X230">VLOOKUP(B230,'Player Data'!$A1:$AE673,12,FALSE)*$Q230*IFERROR((VLOOKUP(P230,Settings!$E$28:$F$33,2,FALSE)+1),1)</f>
        <v>1.6031696898456878</v>
      </c>
      <c r="Y230" s="57" cm="1">
        <f t="array" ref="Y230">VLOOKUP(B230,'Player Data'!$A1:$AE673,13,FALSE)*$Q230</f>
        <v>9.5091051273801293E-3</v>
      </c>
      <c r="Z230" s="57" cm="1">
        <f t="array" ref="Z230">VLOOKUP(B230,'Player Data'!$A1:$AE673,14,FALSE)*$Q230</f>
        <v>7.9784592188884798E-2</v>
      </c>
      <c r="AA230" s="57" cm="1">
        <f t="array" ref="AA230">VLOOKUP(B230,'Player Data'!$A1:$AE673,15,FALSE)*$Q230</f>
        <v>96.493462274931701</v>
      </c>
      <c r="AB230" s="57" cm="1">
        <f t="array" ref="AB230">VLOOKUP(B230,'Player Data'!$A1:$AE673,16,FALSE)*$Q230</f>
        <v>37.078386165337115</v>
      </c>
      <c r="AC230" s="57" cm="1">
        <f t="array" ref="AC230">VLOOKUP(B230,'Player Data'!$A1:$AE673,17,FALSE)*$Q230*IFERROR((VLOOKUP(P230,Settings!$E$28:$F$33,2,FALSE)+1),1)</f>
        <v>8.8243281094461743</v>
      </c>
      <c r="AD230" s="57" cm="1">
        <f t="array" ref="AD230">VLOOKUP(B230,'Player Data'!$A1:$AE673,18,FALSE)*$Q230</f>
        <v>27.890190701057584</v>
      </c>
      <c r="AE230" s="57" cm="1">
        <f t="array" ref="AE230">VLOOKUP(B230,'Player Data'!$A1:$AE673,19,FALSE)*$Q230*IFERROR((VLOOKUP(P230,Settings!$E$28:$F$33,2,FALSE)+1),1)</f>
        <v>0.95339146022540611</v>
      </c>
      <c r="AF230" s="57" cm="1">
        <f t="array" ref="AF230">VLOOKUP(B230,'Player Data'!$A1:$AE673,20,FALSE)*$Q230</f>
        <v>1.1673311914834041E-12</v>
      </c>
      <c r="AG230" s="57" cm="1">
        <f t="array" ref="AG230">VLOOKUP(B230,'Player Data'!$A1:$AE673,21,FALSE)*$Q230</f>
        <v>2.6116754387613662E-5</v>
      </c>
      <c r="AH230" s="59" cm="1">
        <f t="array" ref="AH230">VLOOKUP(B230,'Player Data'!$A1:$AE673,22,FALSE)</f>
        <v>4.4696638869539397E-8</v>
      </c>
      <c r="AI230" s="55"/>
      <c r="AJ230" s="57"/>
      <c r="AK230" s="57"/>
      <c r="AL230" s="57"/>
      <c r="AM230" s="57"/>
      <c r="AN230" s="57"/>
      <c r="AO230" s="57"/>
      <c r="AP230" s="57"/>
      <c r="AQ230" s="60"/>
      <c r="AR230" s="61"/>
      <c r="AS230" s="55"/>
    </row>
    <row r="231" spans="1:45" ht="21.25" customHeight="1" x14ac:dyDescent="0.15">
      <c r="A231" s="62">
        <f t="shared" si="3"/>
        <v>230</v>
      </c>
      <c r="B231" s="10" t="s">
        <v>359</v>
      </c>
      <c r="C231" s="47" t="s">
        <v>147</v>
      </c>
      <c r="D231" s="48" t="str" cm="1">
        <f t="array" ref="D231">VLOOKUP(B231,'Player Data'!A1:D673,4,FALSE)</f>
        <v>LW,RW</v>
      </c>
      <c r="E231" s="74" cm="1">
        <f t="array" ref="E231">VLOOKUP(B231,RW!A1:F210,3,FALSE)</f>
        <v>70</v>
      </c>
      <c r="F231" s="56" t="str" cm="1">
        <f t="array" ref="F231">VLOOKUP(B231,'Player Data'!A1:B673,2,FALSE)</f>
        <v>WSH</v>
      </c>
      <c r="G231" s="66" cm="1">
        <f t="array" ref="G231">VLOOKUP(B231,'Player Data'!A1:D673,3,FALSE)</f>
        <v>40</v>
      </c>
      <c r="H231" s="67" cm="1">
        <f t="array" ref="H231">IFERROR(VLOOKUP(B231,ADP!A1:F671,6,FALSE)/1000000,VLOOKUP(B231,ADP!A1:F671,6,FALSE))</f>
        <v>4.25</v>
      </c>
      <c r="I231" s="52">
        <f>IF(Settings!$E$15="POINTS",((R231*Q231)*Settings!$B$12)+(S231*Settings!$B$2)+(T231*Settings!$B$3)+(U231*Settings!$B$4)+(V231*Settings!$B$5)+(X231*Settings!$B$9)+(AA231*Settings!$B$6)+(W231*Settings!$B$8)+(AB231*Settings!$B$7)+(AC231*Settings!$B$14)+(AD231*Settings!$B$15)+(AE231*Settings!$B$16)+(AF231*Settings!$B$17)+(AG231*Settings!$B$18)+(Y231*Settings!$B$10)+(Z231*Settings!$B$11),VLOOKUP(B231,'Standard Deviations'!A$1:C$672,3,FALSE))</f>
        <v>281.34024163364592</v>
      </c>
      <c r="J231" s="53" cm="1">
        <f t="array" ref="J231">IF(D231="G",I231/AJ231,I231/Q231)</f>
        <v>3.4565868063230138</v>
      </c>
      <c r="K231" s="52" cm="1">
        <f t="array" ref="K231">IF(Settings!$E$18="C/LW/RW",VLOOKUP(B231,RW!A1:F210,6,FALSE),VLOOKUP(B231,F!A1:F407,6,FALSE))</f>
        <v>-113.60322305991156</v>
      </c>
      <c r="L231" s="54" cm="1">
        <f t="array" ref="L231">IFERROR(K231/H231,"N/A")</f>
        <v>-26.730170131743897</v>
      </c>
      <c r="M231" s="55">
        <v>94</v>
      </c>
      <c r="N231" s="55" cm="1">
        <f t="array" ref="N231">IFERROR(M231-A231,"N/A")</f>
        <v>-136</v>
      </c>
      <c r="O231" s="55"/>
      <c r="P231" s="56" t="str" cm="1">
        <f t="array" ref="P231">_xlfn.XLOOKUP($B231,ADP!A2:A671,ADP!G2:G671)</f>
        <v xml:space="preserve"> </v>
      </c>
      <c r="Q231" s="57" cm="1">
        <f t="array" ref="Q231">IF(Settings!$E$12="YES",VLOOKUP(B231,'Player Data'!A1:E673,5,FALSE),84)</f>
        <v>81.392499999999998</v>
      </c>
      <c r="R231" s="84" cm="1">
        <f t="array" ref="R231">VLOOKUP(B231,'Player Data'!$A1:$AE673,6,FALSE)</f>
        <v>14.8587168985873</v>
      </c>
      <c r="S231" s="57" cm="1">
        <f t="array" ref="S231">VLOOKUP(B231,'Player Data'!$A1:$AE673,7,FALSE)*$Q231*IFERROR((VLOOKUP(P231,Settings!$E$28:$F$33,2,FALSE)+1),1)</f>
        <v>28.118258245724235</v>
      </c>
      <c r="T231" s="57" cm="1">
        <f t="array" ref="T231">VLOOKUP(B231,'Player Data'!$A1:$AE673,8,FALSE)*$Q231*IFERROR((VLOOKUP(P231,Settings!$E$28:$F$33,2,FALSE)+1),1)</f>
        <v>24.477612982934296</v>
      </c>
      <c r="U231" s="57" cm="1">
        <f t="array" ref="U231">SUM(S231:T231)</f>
        <v>52.595871228658531</v>
      </c>
      <c r="V231" s="57" cm="1">
        <f t="array" ref="V231">VLOOKUP(B231,'Player Data'!$A1:$AE673,10,FALSE)*$Q231*IFERROR(((VLOOKUP(P231,Settings!$E$28:$F$33,2,FALSE)/2)+1),1)</f>
        <v>201.4100488431435</v>
      </c>
      <c r="W231" s="57" cm="1">
        <f t="array" ref="W231">VLOOKUP(B231,'Player Data'!$A1:$AE673,11,FALSE)*$Q231*IFERROR((VLOOKUP(P231,Settings!$E$28:$F$33,2,FALSE)+1),1)</f>
        <v>5.8888528250897991</v>
      </c>
      <c r="X231" s="79" cm="1">
        <f t="array" ref="X231">VLOOKUP(B231,'Player Data'!$A1:$AE673,12,FALSE)*$Q231*IFERROR((VLOOKUP(P231,Settings!$E$28:$F$33,2,FALSE)+1),1)</f>
        <v>14.050876395688329</v>
      </c>
      <c r="Y231" s="57" cm="1">
        <f t="array" ref="Y231">VLOOKUP(B231,'Player Data'!$A1:$AE673,13,FALSE)*$Q231</f>
        <v>2.5400617616308501E-3</v>
      </c>
      <c r="Z231" s="57" cm="1">
        <f t="array" ref="Z231">VLOOKUP(B231,'Player Data'!$A1:$AE673,14,FALSE)*$Q231</f>
        <v>4.097691945879443E-3</v>
      </c>
      <c r="AA231" s="57" cm="1">
        <f t="array" ref="AA231">VLOOKUP(B231,'Player Data'!$A1:$AE673,15,FALSE)*$Q231</f>
        <v>17.58525887692867</v>
      </c>
      <c r="AB231" s="57" cm="1">
        <f t="array" ref="AB231">VLOOKUP(B231,'Player Data'!$A1:$AE673,16,FALSE)*$Q231</f>
        <v>117.07336021338531</v>
      </c>
      <c r="AC231" s="57" cm="1">
        <f t="array" ref="AC231">VLOOKUP(B231,'Player Data'!$A1:$AE673,17,FALSE)*$Q231*IFERROR((VLOOKUP(P231,Settings!$E$28:$F$33,2,FALSE)+1),1)</f>
        <v>4.3857212657337943</v>
      </c>
      <c r="AD231" s="57" cm="1">
        <f t="array" ref="AD231">VLOOKUP(B231,'Player Data'!$A1:$AE673,18,FALSE)*$Q231</f>
        <v>20.542530133541636</v>
      </c>
      <c r="AE231" s="57" cm="1">
        <f t="array" ref="AE231">VLOOKUP(B231,'Player Data'!$A1:$AE673,19,FALSE)*$Q231*IFERROR((VLOOKUP(P231,Settings!$E$28:$F$33,2,FALSE)+1),1)</f>
        <v>4.2112522687132357</v>
      </c>
      <c r="AF231" s="57" cm="1">
        <f t="array" ref="AF231">VLOOKUP(B231,'Player Data'!$A1:$AE673,20,FALSE)*$Q231</f>
        <v>0.64250237725162851</v>
      </c>
      <c r="AG231" s="57" cm="1">
        <f t="array" ref="AG231">VLOOKUP(B231,'Player Data'!$A1:$AE673,21,FALSE)*$Q231</f>
        <v>2.3029476215733258</v>
      </c>
      <c r="AH231" s="59" cm="1">
        <f t="array" ref="AH231">VLOOKUP(B231,'Player Data'!$A1:$AE673,22,FALSE)</f>
        <v>0.21813385985433301</v>
      </c>
      <c r="AI231" s="55"/>
      <c r="AJ231" s="57"/>
      <c r="AK231" s="57"/>
      <c r="AL231" s="57"/>
      <c r="AM231" s="57"/>
      <c r="AN231" s="57"/>
      <c r="AO231" s="57"/>
      <c r="AP231" s="57"/>
      <c r="AQ231" s="60"/>
      <c r="AR231" s="61"/>
      <c r="AS231" s="55"/>
    </row>
    <row r="232" spans="1:45" ht="21.25" customHeight="1" x14ac:dyDescent="0.15">
      <c r="A232" s="62">
        <f t="shared" si="3"/>
        <v>231</v>
      </c>
      <c r="B232" s="10" t="s">
        <v>360</v>
      </c>
      <c r="C232" s="47" t="s">
        <v>147</v>
      </c>
      <c r="D232" s="48" t="str" cm="1">
        <f t="array" ref="D232">VLOOKUP(B232,'Player Data'!A1:D673,4,FALSE)</f>
        <v>D</v>
      </c>
      <c r="E232" s="68" cm="1">
        <f t="array" ref="E232">VLOOKUP(B232,D!A1:C204,3,FALSE)</f>
        <v>84</v>
      </c>
      <c r="F232" s="56" t="str" cm="1">
        <f t="array" ref="F232">VLOOKUP(B232,'Player Data'!A1:B673,2,FALSE)</f>
        <v>WSH</v>
      </c>
      <c r="G232" s="66" cm="1">
        <f t="array" ref="G232">VLOOKUP(B232,'Player Data'!A1:D673,3,FALSE)</f>
        <v>31</v>
      </c>
      <c r="H232" s="51" cm="1">
        <f t="array" ref="H232">IFERROR(VLOOKUP(B232,ADP!A1:F671,6,FALSE)/1000000,VLOOKUP(B232,ADP!A1:F671,6,FALSE))</f>
        <v>5.75</v>
      </c>
      <c r="I232" s="52">
        <f>IF(Settings!$E$15="POINTS",((R232*Q232)*Settings!$B$12)+(S232*Settings!$B$2)+(T232*Settings!$B$3)+(U232*Settings!$B$4)+(V232*Settings!$B$5)+(X232*Settings!$B$9)+(AA232*Settings!$B$6)+(W232*Settings!$B$8)+(AB232*Settings!$B$7)+(AC232*Settings!$B$14)+(AD232*Settings!$B$15)+(AE232*Settings!$B$16)+(AF232*Settings!$B$17)+(AG232*Settings!$B$18)+(U232*Settings!$B$13)+(Y232*Settings!$B$10)+(Z232*Settings!$B$11),VLOOKUP(B232,'Standard Deviations'!A$1:C$672,3,FALSE))</f>
        <v>191.48861055357702</v>
      </c>
      <c r="J232" s="53" cm="1">
        <f t="array" ref="J232">IF(D232="G",I232/AJ232,I232/Q232)</f>
        <v>2.3463866015632524</v>
      </c>
      <c r="K232" s="52" cm="1">
        <f t="array" ref="K232">VLOOKUP(B232,D!A1:F204,6,FALSE)</f>
        <v>-115.16525679101704</v>
      </c>
      <c r="L232" s="54" cm="1">
        <f t="array" ref="L232">IFERROR(K232/H232,"N/A")</f>
        <v>-20.028740311481226</v>
      </c>
      <c r="M232" s="85" t="s">
        <v>832</v>
      </c>
      <c r="N232" s="85" t="str" cm="1">
        <f t="array" ref="N232">IFERROR(M232-A232,"N/A")</f>
        <v>N/A</v>
      </c>
      <c r="O232" s="55"/>
      <c r="P232" s="56" t="str" cm="1">
        <f t="array" ref="P232">_xlfn.XLOOKUP($B232,ADP!A2:A671,ADP!G2:G671)</f>
        <v xml:space="preserve"> </v>
      </c>
      <c r="Q232" s="57" cm="1">
        <f t="array" ref="Q232">IF(Settings!$E$12="YES",VLOOKUP(B232,'Player Data'!A1:E673,5,FALSE),84)</f>
        <v>81.61</v>
      </c>
      <c r="R232" s="55" cm="1">
        <f t="array" ref="R232">VLOOKUP(B232,'Player Data'!$A1:$AE673,6,FALSE)</f>
        <v>20.410812762836802</v>
      </c>
      <c r="S232" s="57" cm="1">
        <f t="array" ref="S232">VLOOKUP(B232,'Player Data'!$A1:$AE673,7,FALSE)*$Q232*IFERROR((VLOOKUP(P232,Settings!$E$28:$F$33,2,FALSE)+1),1)</f>
        <v>3.3743280770427382</v>
      </c>
      <c r="T232" s="57" cm="1">
        <f t="array" ref="T232">VLOOKUP(B232,'Player Data'!$A1:$AE673,8,FALSE)*$Q232*IFERROR((VLOOKUP(P232,Settings!$E$28:$F$33,2,FALSE)+1),1)</f>
        <v>19.600699401344798</v>
      </c>
      <c r="U232" s="57" cm="1">
        <f t="array" ref="U232">SUM(S232:T232)</f>
        <v>22.975027478387535</v>
      </c>
      <c r="V232" s="57" cm="1">
        <f t="array" ref="V232">VLOOKUP(B232,'Player Data'!$A1:$AE673,10,FALSE)*$Q232*IFERROR(((VLOOKUP(P232,Settings!$E$28:$F$33,2,FALSE)/2)+1),1)</f>
        <v>98.821645388024479</v>
      </c>
      <c r="W232" s="57" cm="1">
        <f t="array" ref="W232">VLOOKUP(B232,'Player Data'!$A1:$AE673,11,FALSE)*$Q232*IFERROR((VLOOKUP(P232,Settings!$E$28:$F$33,2,FALSE)+1),1)</f>
        <v>7.0650088747012552E-3</v>
      </c>
      <c r="X232" s="57" cm="1">
        <f t="array" ref="X232">VLOOKUP(B232,'Player Data'!$A1:$AE673,12,FALSE)*$Q232*IFERROR((VLOOKUP(P232,Settings!$E$28:$F$33,2,FALSE)+1),1)</f>
        <v>8.6642590324726612E-2</v>
      </c>
      <c r="Y232" s="57" cm="1">
        <f t="array" ref="Y232">VLOOKUP(B232,'Player Data'!$A1:$AE673,13,FALSE)*$Q232</f>
        <v>1.9605922056725684E-2</v>
      </c>
      <c r="Z232" s="57" cm="1">
        <f t="array" ref="Z232">VLOOKUP(B232,'Player Data'!$A1:$AE673,14,FALSE)*$Q232</f>
        <v>0.27115095579877002</v>
      </c>
      <c r="AA232" s="57" cm="1">
        <f t="array" ref="AA232">VLOOKUP(B232,'Player Data'!$A1:$AE673,15,FALSE)*$Q232</f>
        <v>145.58982375655734</v>
      </c>
      <c r="AB232" s="57" cm="1">
        <f t="array" ref="AB232">VLOOKUP(B232,'Player Data'!$A1:$AE673,16,FALSE)*$Q232</f>
        <v>116.60916785203541</v>
      </c>
      <c r="AC232" s="57" cm="1">
        <f t="array" ref="AC232">VLOOKUP(B232,'Player Data'!$A1:$AE673,17,FALSE)*$Q232*IFERROR((VLOOKUP(P232,Settings!$E$28:$F$33,2,FALSE)+1),1)</f>
        <v>4.2665798936592942</v>
      </c>
      <c r="AD232" s="57" cm="1">
        <f t="array" ref="AD232">VLOOKUP(B232,'Player Data'!$A1:$AE673,18,FALSE)*$Q232</f>
        <v>25.531295257130129</v>
      </c>
      <c r="AE232" s="57" cm="1">
        <f t="array" ref="AE232">VLOOKUP(B232,'Player Data'!$A1:$AE673,19,FALSE)*$Q232*IFERROR((VLOOKUP(P232,Settings!$E$28:$F$33,2,FALSE)+1),1)</f>
        <v>0.50537080375488197</v>
      </c>
      <c r="AF232" s="57" cm="1">
        <f t="array" ref="AF232">VLOOKUP(B232,'Player Data'!$A1:$AE673,20,FALSE)*$Q232</f>
        <v>0</v>
      </c>
      <c r="AG232" s="57" cm="1">
        <f t="array" ref="AG232">VLOOKUP(B232,'Player Data'!$A1:$AE673,21,FALSE)*$Q232</f>
        <v>0</v>
      </c>
      <c r="AH232" s="59" cm="1">
        <f t="array" ref="AH232">VLOOKUP(B232,'Player Data'!$A1:$AE673,22,FALSE)</f>
        <v>0</v>
      </c>
      <c r="AI232" s="55"/>
      <c r="AJ232" s="57"/>
      <c r="AK232" s="57"/>
      <c r="AL232" s="57"/>
      <c r="AM232" s="57"/>
      <c r="AN232" s="57"/>
      <c r="AO232" s="57"/>
      <c r="AP232" s="57"/>
      <c r="AQ232" s="60"/>
      <c r="AR232" s="61"/>
      <c r="AS232" s="55"/>
    </row>
    <row r="233" spans="1:45" ht="21.25" customHeight="1" x14ac:dyDescent="0.15">
      <c r="A233" s="62">
        <f t="shared" si="3"/>
        <v>232</v>
      </c>
      <c r="B233" s="10" t="s">
        <v>361</v>
      </c>
      <c r="C233" s="47" t="s">
        <v>147</v>
      </c>
      <c r="D233" s="48" t="str" cm="1">
        <f t="array" ref="D233">VLOOKUP(B233,'Player Data'!A1:D673,4,FALSE)</f>
        <v>D</v>
      </c>
      <c r="E233" s="68" cm="1">
        <f t="array" ref="E233">VLOOKUP(B233,D!A1:C204,3,FALSE)</f>
        <v>85</v>
      </c>
      <c r="F233" s="18" t="str" cm="1">
        <f t="array" ref="F233">VLOOKUP(B233,'Player Data'!A1:B673,2,FALSE)</f>
        <v>OTT</v>
      </c>
      <c r="G233" s="11" cm="1">
        <f t="array" ref="G233">VLOOKUP(B233,'Player Data'!A1:D673,3,FALSE)</f>
        <v>25</v>
      </c>
      <c r="H233" s="51" cm="1">
        <f t="array" ref="H233">IFERROR(VLOOKUP(B233,ADP!A1:F671,6,FALSE)/1000000,VLOOKUP(B233,ADP!A1:F671,6,FALSE))</f>
        <v>5</v>
      </c>
      <c r="I233" s="52">
        <f>IF(Settings!$E$15="POINTS",((R233*Q233)*Settings!$B$12)+(S233*Settings!$B$2)+(T233*Settings!$B$3)+(U233*Settings!$B$4)+(V233*Settings!$B$5)+(X233*Settings!$B$9)+(AA233*Settings!$B$6)+(W233*Settings!$B$8)+(AB233*Settings!$B$7)+(AC233*Settings!$B$14)+(AD233*Settings!$B$15)+(AE233*Settings!$B$16)+(AF233*Settings!$B$17)+(AG233*Settings!$B$18)+(U233*Settings!$B$13)+(Y233*Settings!$B$10)+(Z233*Settings!$B$11),VLOOKUP(B233,'Standard Deviations'!A$1:C$672,3,FALSE))</f>
        <v>190.8408081594992</v>
      </c>
      <c r="J233" s="53" cm="1">
        <f t="array" ref="J233">IF(D233="G",I233/AJ233,I233/Q233)</f>
        <v>2.3583886327174888</v>
      </c>
      <c r="K233" s="52" cm="1">
        <f t="array" ref="K233">VLOOKUP(B233,D!A1:F204,6,FALSE)</f>
        <v>-115.81305918509486</v>
      </c>
      <c r="L233" s="54" cm="1">
        <f t="array" ref="L233">IFERROR(K233/H233,"N/A")</f>
        <v>-23.162611837018972</v>
      </c>
      <c r="M233" s="85" t="s">
        <v>832</v>
      </c>
      <c r="N233" s="85" t="str" cm="1">
        <f t="array" ref="N233">IFERROR(M233-A233,"N/A")</f>
        <v>N/A</v>
      </c>
      <c r="O233" s="55"/>
      <c r="P233" s="56" t="str" cm="1">
        <f t="array" ref="P233">_xlfn.XLOOKUP($B233,ADP!A2:A671,ADP!G2:G671)</f>
        <v xml:space="preserve"> </v>
      </c>
      <c r="Q233" s="57" cm="1">
        <f t="array" ref="Q233">IF(Settings!$E$12="YES",VLOOKUP(B233,'Player Data'!A1:E673,5,FALSE),84)</f>
        <v>80.92</v>
      </c>
      <c r="R233" s="55" cm="1">
        <f t="array" ref="R233">VLOOKUP(B233,'Player Data'!$A1:$AE673,6,FALSE)</f>
        <v>18.116108130246602</v>
      </c>
      <c r="S233" s="57" cm="1">
        <f t="array" ref="S233">VLOOKUP(B233,'Player Data'!$A1:$AE673,7,FALSE)*$Q233*IFERROR((VLOOKUP(P233,Settings!$E$28:$F$33,2,FALSE)+1),1)</f>
        <v>5.766740687850576</v>
      </c>
      <c r="T233" s="57" cm="1">
        <f t="array" ref="T233">VLOOKUP(B233,'Player Data'!$A1:$AE673,8,FALSE)*$Q233*IFERROR((VLOOKUP(P233,Settings!$E$28:$F$33,2,FALSE)+1),1)</f>
        <v>25.49012200237182</v>
      </c>
      <c r="U233" s="57" cm="1">
        <f t="array" ref="U233">SUM(S233:T233)</f>
        <v>31.256862690222395</v>
      </c>
      <c r="V233" s="57" cm="1">
        <f t="array" ref="V233">VLOOKUP(B233,'Player Data'!$A1:$AE673,10,FALSE)*$Q233*IFERROR(((VLOOKUP(P233,Settings!$E$28:$F$33,2,FALSE)/2)+1),1)</f>
        <v>110.75108524453265</v>
      </c>
      <c r="W233" s="57" cm="1">
        <f t="array" ref="W233">VLOOKUP(B233,'Player Data'!$A1:$AE673,11,FALSE)*$Q233*IFERROR((VLOOKUP(P233,Settings!$E$28:$F$33,2,FALSE)+1),1)</f>
        <v>0.19408705034847373</v>
      </c>
      <c r="X233" s="57" cm="1">
        <f t="array" ref="X233">VLOOKUP(B233,'Player Data'!$A1:$AE673,12,FALSE)*$Q233*IFERROR((VLOOKUP(P233,Settings!$E$28:$F$33,2,FALSE)+1),1)</f>
        <v>2.766424224899533</v>
      </c>
      <c r="Y233" s="57" cm="1">
        <f t="array" ref="Y233">VLOOKUP(B233,'Player Data'!$A1:$AE673,13,FALSE)*$Q233</f>
        <v>4.4421855508281977E-3</v>
      </c>
      <c r="Z233" s="57" cm="1">
        <f t="array" ref="Z233">VLOOKUP(B233,'Player Data'!$A1:$AE673,14,FALSE)*$Q233</f>
        <v>1.4873345250380704E-2</v>
      </c>
      <c r="AA233" s="57" cm="1">
        <f t="array" ref="AA233">VLOOKUP(B233,'Player Data'!$A1:$AE673,15,FALSE)*$Q233</f>
        <v>77.826759792831538</v>
      </c>
      <c r="AB233" s="57" cm="1">
        <f t="array" ref="AB233">VLOOKUP(B233,'Player Data'!$A1:$AE673,16,FALSE)*$Q233</f>
        <v>70.722994316864643</v>
      </c>
      <c r="AC233" s="57" cm="1">
        <f t="array" ref="AC233">VLOOKUP(B233,'Player Data'!$A1:$AE673,17,FALSE)*$Q233*IFERROR((VLOOKUP(P233,Settings!$E$28:$F$33,2,FALSE)+1),1)</f>
        <v>5.7822365391018122</v>
      </c>
      <c r="AD233" s="57" cm="1">
        <f t="array" ref="AD233">VLOOKUP(B233,'Player Data'!$A1:$AE673,18,FALSE)*$Q233</f>
        <v>23.539642310886091</v>
      </c>
      <c r="AE233" s="57" cm="1">
        <f t="array" ref="AE233">VLOOKUP(B233,'Player Data'!$A1:$AE673,19,FALSE)*$Q233*IFERROR((VLOOKUP(P233,Settings!$E$28:$F$33,2,FALSE)+1),1)</f>
        <v>1.0229343280741392</v>
      </c>
      <c r="AF233" s="57" cm="1">
        <f t="array" ref="AF233">VLOOKUP(B233,'Player Data'!$A1:$AE673,20,FALSE)*$Q233</f>
        <v>0</v>
      </c>
      <c r="AG233" s="57" cm="1">
        <f t="array" ref="AG233">VLOOKUP(B233,'Player Data'!$A1:$AE673,21,FALSE)*$Q233</f>
        <v>0</v>
      </c>
      <c r="AH233" s="59" cm="1">
        <f t="array" ref="AH233">VLOOKUP(B233,'Player Data'!$A1:$AE673,22,FALSE)</f>
        <v>0</v>
      </c>
      <c r="AI233" s="55"/>
      <c r="AJ233" s="57"/>
      <c r="AK233" s="57"/>
      <c r="AL233" s="57"/>
      <c r="AM233" s="57"/>
      <c r="AN233" s="57"/>
      <c r="AO233" s="57"/>
      <c r="AP233" s="57"/>
      <c r="AQ233" s="60"/>
      <c r="AR233" s="61"/>
      <c r="AS233" s="55"/>
    </row>
    <row r="234" spans="1:45" ht="21.25" customHeight="1" x14ac:dyDescent="0.15">
      <c r="A234" s="62">
        <f t="shared" si="3"/>
        <v>233</v>
      </c>
      <c r="B234" s="10" t="s">
        <v>362</v>
      </c>
      <c r="C234" s="47" t="s">
        <v>147</v>
      </c>
      <c r="D234" s="48" t="str" cm="1">
        <f t="array" ref="D234">VLOOKUP(B234,'Player Data'!A1:D673,4,FALSE)</f>
        <v>D</v>
      </c>
      <c r="E234" s="68" cm="1">
        <f t="array" ref="E234">VLOOKUP(B234,D!A1:C204,3,FALSE)</f>
        <v>86</v>
      </c>
      <c r="F234" s="50" t="str" cm="1">
        <f t="array" ref="F234">VLOOKUP(B234,'Player Data'!A1:B673,2,FALSE)</f>
        <v>COL</v>
      </c>
      <c r="G234" s="66" cm="1">
        <f t="array" ref="G234">VLOOKUP(B234,'Player Data'!A1:D673,3,FALSE)</f>
        <v>34</v>
      </c>
      <c r="H234" s="51" cm="1">
        <f t="array" ref="H234">IFERROR(VLOOKUP(B234,ADP!A1:F671,6,FALSE)/1000000,VLOOKUP(B234,ADP!A1:F671,6,FALSE))</f>
        <v>3.95</v>
      </c>
      <c r="I234" s="52">
        <f>IF(Settings!$E$15="POINTS",((R234*Q234)*Settings!$B$12)+(S234*Settings!$B$2)+(T234*Settings!$B$3)+(U234*Settings!$B$4)+(V234*Settings!$B$5)+(X234*Settings!$B$9)+(AA234*Settings!$B$6)+(W234*Settings!$B$8)+(AB234*Settings!$B$7)+(AC234*Settings!$B$14)+(AD234*Settings!$B$15)+(AE234*Settings!$B$16)+(AF234*Settings!$B$17)+(AG234*Settings!$B$18)+(U234*Settings!$B$13)+(Y234*Settings!$B$10)+(Z234*Settings!$B$11),VLOOKUP(B234,'Standard Deviations'!A$1:C$672,3,FALSE))</f>
        <v>190.44581648431992</v>
      </c>
      <c r="J234" s="53" cm="1">
        <f t="array" ref="J234">IF(D234="G",I234/AJ234,I234/Q234)</f>
        <v>2.434667985353574</v>
      </c>
      <c r="K234" s="52" cm="1">
        <f t="array" ref="K234">VLOOKUP(B234,D!A1:F204,6,FALSE)</f>
        <v>-116.20805086027414</v>
      </c>
      <c r="L234" s="54" cm="1">
        <f t="array" ref="L234">IFERROR(K234/H234,"N/A")</f>
        <v>-29.419759711461808</v>
      </c>
      <c r="M234" s="85" t="s">
        <v>832</v>
      </c>
      <c r="N234" s="85" t="str" cm="1">
        <f t="array" ref="N234">IFERROR(M234-A234,"N/A")</f>
        <v>N/A</v>
      </c>
      <c r="O234" s="55"/>
      <c r="P234" s="56" t="str" cm="1">
        <f t="array" ref="P234">_xlfn.XLOOKUP($B234,ADP!A2:A671,ADP!G2:G671)</f>
        <v xml:space="preserve"> </v>
      </c>
      <c r="Q234" s="57" cm="1">
        <f t="array" ref="Q234">IF(Settings!$E$12="YES",VLOOKUP(B234,'Player Data'!A1:E673,5,FALSE),84)</f>
        <v>78.222499999999997</v>
      </c>
      <c r="R234" s="82" cm="1">
        <f t="array" ref="R234">VLOOKUP(B234,'Player Data'!$A1:$AE673,6,FALSE)</f>
        <v>18.900739737808301</v>
      </c>
      <c r="S234" s="57" cm="1">
        <f t="array" ref="S234">VLOOKUP(B234,'Player Data'!$A1:$AE673,7,FALSE)*$Q234*IFERROR((VLOOKUP(P234,Settings!$E$28:$F$33,2,FALSE)+1),1)</f>
        <v>4.4853430303161153</v>
      </c>
      <c r="T234" s="57" cm="1">
        <f t="array" ref="T234">VLOOKUP(B234,'Player Data'!$A1:$AE673,8,FALSE)*$Q234*IFERROR((VLOOKUP(P234,Settings!$E$28:$F$33,2,FALSE)+1),1)</f>
        <v>20.792822696987692</v>
      </c>
      <c r="U234" s="57" cm="1">
        <f t="array" ref="U234">SUM(S234:T234)</f>
        <v>25.278165727303808</v>
      </c>
      <c r="V234" s="57" cm="1">
        <f t="array" ref="V234">VLOOKUP(B234,'Player Data'!$A1:$AE673,10,FALSE)*$Q234*IFERROR(((VLOOKUP(P234,Settings!$E$28:$F$33,2,FALSE)/2)+1),1)</f>
        <v>121.37337974609468</v>
      </c>
      <c r="W234" s="57" cm="1">
        <f t="array" ref="W234">VLOOKUP(B234,'Player Data'!$A1:$AE673,11,FALSE)*$Q234*IFERROR((VLOOKUP(P234,Settings!$E$28:$F$33,2,FALSE)+1),1)</f>
        <v>1.1046300846293853E-2</v>
      </c>
      <c r="X234" s="57" cm="1">
        <f t="array" ref="X234">VLOOKUP(B234,'Player Data'!$A1:$AE673,12,FALSE)*$Q234*IFERROR((VLOOKUP(P234,Settings!$E$28:$F$33,2,FALSE)+1),1)</f>
        <v>0.14914799396639905</v>
      </c>
      <c r="Y234" s="57" cm="1">
        <f t="array" ref="Y234">VLOOKUP(B234,'Player Data'!$A1:$AE673,13,FALSE)*$Q234</f>
        <v>1.5238382865546849E-2</v>
      </c>
      <c r="Z234" s="57" cm="1">
        <f t="array" ref="Z234">VLOOKUP(B234,'Player Data'!$A1:$AE673,14,FALSE)*$Q234</f>
        <v>0.5169420317551322</v>
      </c>
      <c r="AA234" s="57" cm="1">
        <f t="array" ref="AA234">VLOOKUP(B234,'Player Data'!$A1:$AE673,15,FALSE)*$Q234</f>
        <v>106.51707880727923</v>
      </c>
      <c r="AB234" s="57" cm="1">
        <f t="array" ref="AB234">VLOOKUP(B234,'Player Data'!$A1:$AE673,16,FALSE)*$Q234</f>
        <v>157.77343320344869</v>
      </c>
      <c r="AC234" s="57" cm="1">
        <f t="array" ref="AC234">VLOOKUP(B234,'Player Data'!$A1:$AE673,17,FALSE)*$Q234*IFERROR((VLOOKUP(P234,Settings!$E$28:$F$33,2,FALSE)+1),1)</f>
        <v>8.001104040533372</v>
      </c>
      <c r="AD234" s="57" cm="1">
        <f t="array" ref="AD234">VLOOKUP(B234,'Player Data'!$A1:$AE673,18,FALSE)*$Q234</f>
        <v>72.506277623509405</v>
      </c>
      <c r="AE234" s="57" cm="1">
        <f t="array" ref="AE234">VLOOKUP(B234,'Player Data'!$A1:$AE673,19,FALSE)*$Q234*IFERROR((VLOOKUP(P234,Settings!$E$28:$F$33,2,FALSE)+1),1)</f>
        <v>0.80954705548273731</v>
      </c>
      <c r="AF234" s="57" cm="1">
        <f t="array" ref="AF234">VLOOKUP(B234,'Player Data'!$A1:$AE673,20,FALSE)*$Q234</f>
        <v>0</v>
      </c>
      <c r="AG234" s="57" cm="1">
        <f t="array" ref="AG234">VLOOKUP(B234,'Player Data'!$A1:$AE673,21,FALSE)*$Q234</f>
        <v>0.16351869068481886</v>
      </c>
      <c r="AH234" s="59" cm="1">
        <f t="array" ref="AH234">VLOOKUP(B234,'Player Data'!$A1:$AE673,22,FALSE)</f>
        <v>0</v>
      </c>
      <c r="AI234" s="55"/>
      <c r="AJ234" s="57"/>
      <c r="AK234" s="57"/>
      <c r="AL234" s="57"/>
      <c r="AM234" s="57"/>
      <c r="AN234" s="57"/>
      <c r="AO234" s="57"/>
      <c r="AP234" s="57"/>
      <c r="AQ234" s="60"/>
      <c r="AR234" s="61"/>
      <c r="AS234" s="55"/>
    </row>
    <row r="235" spans="1:45" ht="21.25" customHeight="1" x14ac:dyDescent="0.15">
      <c r="A235" s="62">
        <f t="shared" si="3"/>
        <v>234</v>
      </c>
      <c r="B235" s="10" t="s">
        <v>363</v>
      </c>
      <c r="C235" s="47" t="s">
        <v>147</v>
      </c>
      <c r="D235" s="48" t="str" cm="1">
        <f t="array" ref="D235">VLOOKUP(B235,'Player Data'!A1:D673,4,FALSE)</f>
        <v>C</v>
      </c>
      <c r="E235" s="49" cm="1">
        <f t="array" ref="E235">VLOOKUP(B235,'C'!A1:C210,3,FALSE)</f>
        <v>63</v>
      </c>
      <c r="F235" s="72" t="str" cm="1">
        <f t="array" ref="F235">VLOOKUP(B235,'Player Data'!A1:B673,2,FALSE)</f>
        <v>FLA</v>
      </c>
      <c r="G235" s="71" cm="1">
        <f t="array" ref="G235">VLOOKUP(B235,'Player Data'!A1:D673,3,FALSE)</f>
        <v>24</v>
      </c>
      <c r="H235" s="51" cm="1">
        <f t="array" ref="H235">IFERROR(VLOOKUP(B235,ADP!A1:F671,6,FALSE)/1000000,VLOOKUP(B235,ADP!A1:F671,6,FALSE))</f>
        <v>5</v>
      </c>
      <c r="I235" s="52">
        <f>IF(Settings!$E$15="POINTS",((R235*Q235)*Settings!$B$12)+(S235*Settings!$B$2)+(T235*Settings!$B$3)+(U235*Settings!$B$4)+(V235*Settings!$B$5)+(X235*Settings!$B$9)+(AA235*Settings!$B$6)+(W235*Settings!$B$8)+(AB235*Settings!$B$7)+(AC235*Settings!$B$14)+(AD235*Settings!$B$15)+(AE235*Settings!$B$16)+(AF235*Settings!$B$17)+(AG235*Settings!$B$18)+(Y235*Settings!$B$10)+(Z235*Settings!$B$11),VLOOKUP(B235,'Standard Deviations'!A$1:C$672,3,FALSE))</f>
        <v>268.87117893728691</v>
      </c>
      <c r="J235" s="53" cm="1">
        <f t="array" ref="J235">IF(D235="G",I235/AJ235,I235/Q235)</f>
        <v>3.3599447522545152</v>
      </c>
      <c r="K235" s="52" cm="1">
        <f t="array" ref="K235">IF(Settings!$E$18="C/LW/RW",VLOOKUP(B235,'C'!A1:F210,6,FALSE),VLOOKUP(B235,F!A1:F407,6,FALSE))</f>
        <v>-117.66402745579609</v>
      </c>
      <c r="L235" s="54" cm="1">
        <f t="array" ref="L235">IFERROR(K235/H235,"N/A")</f>
        <v>-23.532805491159216</v>
      </c>
      <c r="M235" s="85" t="s">
        <v>832</v>
      </c>
      <c r="N235" s="85" t="str" cm="1">
        <f t="array" ref="N235">IFERROR(M235-A235,"N/A")</f>
        <v>N/A</v>
      </c>
      <c r="O235" s="55"/>
      <c r="P235" s="56" t="str" cm="1">
        <f t="array" ref="P235">_xlfn.XLOOKUP($B235,ADP!A2:A671,ADP!G2:G671)</f>
        <v xml:space="preserve"> </v>
      </c>
      <c r="Q235" s="57" cm="1">
        <f t="array" ref="Q235">IF(Settings!$E$12="YES",VLOOKUP(B235,'Player Data'!A1:E673,5,FALSE),84)</f>
        <v>80.022499999999994</v>
      </c>
      <c r="R235" s="84" cm="1">
        <f t="array" ref="R235">VLOOKUP(B235,'Player Data'!$A1:$AE673,6,FALSE)</f>
        <v>17.476608835747001</v>
      </c>
      <c r="S235" s="57" cm="1">
        <f t="array" ref="S235">VLOOKUP(B235,'Player Data'!$A1:$AE673,7,FALSE)*$Q235*IFERROR((VLOOKUP(P235,Settings!$E$28:$F$33,2,FALSE)+1),1)</f>
        <v>19.794724838487653</v>
      </c>
      <c r="T235" s="57" cm="1">
        <f t="array" ref="T235">VLOOKUP(B235,'Player Data'!$A1:$AE673,8,FALSE)*$Q235*IFERROR((VLOOKUP(P235,Settings!$E$28:$F$33,2,FALSE)+1),1)</f>
        <v>30.355098204111655</v>
      </c>
      <c r="U235" s="57" cm="1">
        <f t="array" ref="U235">SUM(S235:T235)</f>
        <v>50.149823042599309</v>
      </c>
      <c r="V235" s="57" cm="1">
        <f t="array" ref="V235">VLOOKUP(B235,'Player Data'!$A1:$AE673,10,FALSE)*$Q235*IFERROR(((VLOOKUP(P235,Settings!$E$28:$F$33,2,FALSE)/2)+1),1)</f>
        <v>166.14296665195619</v>
      </c>
      <c r="W235" s="57" cm="1">
        <f t="array" ref="W235">VLOOKUP(B235,'Player Data'!$A1:$AE673,11,FALSE)*$Q235*IFERROR((VLOOKUP(P235,Settings!$E$28:$F$33,2,FALSE)+1),1)</f>
        <v>3.2715679998705136</v>
      </c>
      <c r="X235" s="57" cm="1">
        <f t="array" ref="X235">VLOOKUP(B235,'Player Data'!$A1:$AE673,12,FALSE)*$Q235*IFERROR((VLOOKUP(P235,Settings!$E$28:$F$33,2,FALSE)+1),1)</f>
        <v>11.280220500436684</v>
      </c>
      <c r="Y235" s="57" cm="1">
        <f t="array" ref="Y235">VLOOKUP(B235,'Player Data'!$A1:$AE673,13,FALSE)*$Q235</f>
        <v>0.99249888387537566</v>
      </c>
      <c r="Z235" s="57" cm="1">
        <f t="array" ref="Z235">VLOOKUP(B235,'Player Data'!$A1:$AE673,14,FALSE)*$Q235</f>
        <v>1.8857663795902539</v>
      </c>
      <c r="AA235" s="57" cm="1">
        <f t="array" ref="AA235">VLOOKUP(B235,'Player Data'!$A1:$AE673,15,FALSE)*$Q235</f>
        <v>44.368479206967812</v>
      </c>
      <c r="AB235" s="57" cm="1">
        <f t="array" ref="AB235">VLOOKUP(B235,'Player Data'!$A1:$AE673,16,FALSE)*$Q235</f>
        <v>95.996366092864122</v>
      </c>
      <c r="AC235" s="57" cm="1">
        <f t="array" ref="AC235">VLOOKUP(B235,'Player Data'!$A1:$AE673,17,FALSE)*$Q235*IFERROR((VLOOKUP(P235,Settings!$E$28:$F$33,2,FALSE)+1),1)</f>
        <v>3.6377470291019436</v>
      </c>
      <c r="AD235" s="57" cm="1">
        <f t="array" ref="AD235">VLOOKUP(B235,'Player Data'!$A1:$AE673,18,FALSE)*$Q235</f>
        <v>35.255339478976133</v>
      </c>
      <c r="AE235" s="57" cm="1">
        <f t="array" ref="AE235">VLOOKUP(B235,'Player Data'!$A1:$AE673,19,FALSE)*$Q235*IFERROR((VLOOKUP(P235,Settings!$E$28:$F$33,2,FALSE)+1),1)</f>
        <v>3.2957379138951888</v>
      </c>
      <c r="AF235" s="57" cm="1">
        <f t="array" ref="AF235">VLOOKUP(B235,'Player Data'!$A1:$AE673,20,FALSE)*$Q235</f>
        <v>641.92380118300571</v>
      </c>
      <c r="AG235" s="57" cm="1">
        <f t="array" ref="AG235">VLOOKUP(B235,'Player Data'!$A1:$AE673,21,FALSE)*$Q235</f>
        <v>569.71098577341377</v>
      </c>
      <c r="AH235" s="59" cm="1">
        <f t="array" ref="AH235">VLOOKUP(B235,'Player Data'!$A1:$AE673,22,FALSE)</f>
        <v>0.52979974501680804</v>
      </c>
      <c r="AI235" s="55"/>
      <c r="AJ235" s="57"/>
      <c r="AK235" s="57"/>
      <c r="AL235" s="57"/>
      <c r="AM235" s="57"/>
      <c r="AN235" s="57"/>
      <c r="AO235" s="57"/>
      <c r="AP235" s="57"/>
      <c r="AQ235" s="60"/>
      <c r="AR235" s="61"/>
      <c r="AS235" s="55"/>
    </row>
    <row r="236" spans="1:45" ht="21.25" customHeight="1" x14ac:dyDescent="0.15">
      <c r="A236" s="62">
        <f t="shared" si="3"/>
        <v>235</v>
      </c>
      <c r="B236" s="10" t="s">
        <v>364</v>
      </c>
      <c r="C236" s="47" t="s">
        <v>147</v>
      </c>
      <c r="D236" s="48" t="str" cm="1">
        <f t="array" ref="D236">VLOOKUP(B236,'Player Data'!A1:D673,4,FALSE)</f>
        <v>D</v>
      </c>
      <c r="E236" s="68" cm="1">
        <f t="array" ref="E236">VLOOKUP(B236,D!A1:C204,3,FALSE)</f>
        <v>87</v>
      </c>
      <c r="F236" s="69" t="str" cm="1">
        <f t="array" ref="F236">VLOOKUP(B236,'Player Data'!A1:B673,2,FALSE)</f>
        <v>CBJ</v>
      </c>
      <c r="G236" s="66" cm="1">
        <f t="array" ref="G236">VLOOKUP(B236,'Player Data'!A1:D673,3,FALSE)</f>
        <v>32</v>
      </c>
      <c r="H236" s="51" cm="1">
        <f t="array" ref="H236">IFERROR(VLOOKUP(B236,ADP!A1:F671,6,FALSE)/1000000,VLOOKUP(B236,ADP!A1:F671,6,FALSE))</f>
        <v>6.25</v>
      </c>
      <c r="I236" s="52">
        <f>IF(Settings!$E$15="POINTS",((R236*Q236)*Settings!$B$12)+(S236*Settings!$B$2)+(T236*Settings!$B$3)+(U236*Settings!$B$4)+(V236*Settings!$B$5)+(X236*Settings!$B$9)+(AA236*Settings!$B$6)+(W236*Settings!$B$8)+(AB236*Settings!$B$7)+(AC236*Settings!$B$14)+(AD236*Settings!$B$15)+(AE236*Settings!$B$16)+(AF236*Settings!$B$17)+(AG236*Settings!$B$18)+(U236*Settings!$B$13)+(Y236*Settings!$B$10)+(Z236*Settings!$B$11),VLOOKUP(B236,'Standard Deviations'!A$1:C$672,3,FALSE))</f>
        <v>188.96714892846592</v>
      </c>
      <c r="J236" s="53" cm="1">
        <f t="array" ref="J236">IF(D236="G",I236/AJ236,I236/Q236)</f>
        <v>2.3941864233437764</v>
      </c>
      <c r="K236" s="52" cm="1">
        <f t="array" ref="K236">VLOOKUP(B236,D!A1:F204,6,FALSE)</f>
        <v>-117.68671841612814</v>
      </c>
      <c r="L236" s="54" cm="1">
        <f t="array" ref="L236">IFERROR(K236/H236,"N/A")</f>
        <v>-18.829874946580503</v>
      </c>
      <c r="M236" s="85" t="s">
        <v>832</v>
      </c>
      <c r="N236" s="85" t="str" cm="1">
        <f t="array" ref="N236">IFERROR(M236-A236,"N/A")</f>
        <v>N/A</v>
      </c>
      <c r="O236" s="55"/>
      <c r="P236" s="56" t="str" cm="1">
        <f t="array" ref="P236">_xlfn.XLOOKUP($B236,ADP!A2:A671,ADP!G2:G671)</f>
        <v xml:space="preserve"> </v>
      </c>
      <c r="Q236" s="57" cm="1">
        <f t="array" ref="Q236">IF(Settings!$E$12="YES",VLOOKUP(B236,'Player Data'!A1:E673,5,FALSE),84)</f>
        <v>78.927499999999995</v>
      </c>
      <c r="R236" s="84" cm="1">
        <f t="array" ref="R236">VLOOKUP(B236,'Player Data'!$A1:$AE673,6,FALSE)</f>
        <v>19.519478532889401</v>
      </c>
      <c r="S236" s="57" cm="1">
        <f t="array" ref="S236">VLOOKUP(B236,'Player Data'!$A1:$AE673,7,FALSE)*$Q236*IFERROR((VLOOKUP(P236,Settings!$E$28:$F$33,2,FALSE)+1),1)</f>
        <v>7.4963135579049762</v>
      </c>
      <c r="T236" s="57" cm="1">
        <f t="array" ref="T236">VLOOKUP(B236,'Player Data'!$A1:$AE673,8,FALSE)*$Q236*IFERROR((VLOOKUP(P236,Settings!$E$28:$F$33,2,FALSE)+1),1)</f>
        <v>21.956604537568332</v>
      </c>
      <c r="U236" s="57" cm="1">
        <f t="array" ref="U236">SUM(S236:T236)</f>
        <v>29.452918095473308</v>
      </c>
      <c r="V236" s="57" cm="1">
        <f t="array" ref="V236">VLOOKUP(B236,'Player Data'!$A1:$AE673,10,FALSE)*$Q236*IFERROR(((VLOOKUP(P236,Settings!$E$28:$F$33,2,FALSE)/2)+1),1)</f>
        <v>96.84348055881982</v>
      </c>
      <c r="W236" s="57" cm="1">
        <f t="array" ref="W236">VLOOKUP(B236,'Player Data'!$A1:$AE673,11,FALSE)*$Q236*IFERROR((VLOOKUP(P236,Settings!$E$28:$F$33,2,FALSE)+1),1)</f>
        <v>0.45196093270321291</v>
      </c>
      <c r="X236" s="57" cm="1">
        <f t="array" ref="X236">VLOOKUP(B236,'Player Data'!$A1:$AE673,12,FALSE)*$Q236*IFERROR((VLOOKUP(P236,Settings!$E$28:$F$33,2,FALSE)+1),1)</f>
        <v>2.6133782353653827</v>
      </c>
      <c r="Y236" s="57" cm="1">
        <f t="array" ref="Y236">VLOOKUP(B236,'Player Data'!$A1:$AE673,13,FALSE)*$Q236</f>
        <v>1.6029022686576785E-2</v>
      </c>
      <c r="Z236" s="57" cm="1">
        <f t="array" ref="Z236">VLOOKUP(B236,'Player Data'!$A1:$AE673,14,FALSE)*$Q236</f>
        <v>0.14993809518473208</v>
      </c>
      <c r="AA236" s="57" cm="1">
        <f t="array" ref="AA236">VLOOKUP(B236,'Player Data'!$A1:$AE673,15,FALSE)*$Q236</f>
        <v>98.846676064171973</v>
      </c>
      <c r="AB236" s="57" cm="1">
        <f t="array" ref="AB236">VLOOKUP(B236,'Player Data'!$A1:$AE673,16,FALSE)*$Q236</f>
        <v>50.867933989571831</v>
      </c>
      <c r="AC236" s="57" cm="1">
        <f t="array" ref="AC236">VLOOKUP(B236,'Player Data'!$A1:$AE673,17,FALSE)*$Q236*IFERROR((VLOOKUP(P236,Settings!$E$28:$F$33,2,FALSE)+1),1)</f>
        <v>2.9661806765735363</v>
      </c>
      <c r="AD236" s="57" cm="1">
        <f t="array" ref="AD236">VLOOKUP(B236,'Player Data'!$A1:$AE673,18,FALSE)*$Q236</f>
        <v>49.132406890240084</v>
      </c>
      <c r="AE236" s="57" cm="1">
        <f t="array" ref="AE236">VLOOKUP(B236,'Player Data'!$A1:$AE673,19,FALSE)*$Q236*IFERROR((VLOOKUP(P236,Settings!$E$28:$F$33,2,FALSE)+1),1)</f>
        <v>1.2079652368983453</v>
      </c>
      <c r="AF236" s="57" cm="1">
        <f t="array" ref="AF236">VLOOKUP(B236,'Player Data'!$A1:$AE673,20,FALSE)*$Q236</f>
        <v>0</v>
      </c>
      <c r="AG236" s="57" cm="1">
        <f t="array" ref="AG236">VLOOKUP(B236,'Player Data'!$A1:$AE673,21,FALSE)*$Q236</f>
        <v>0</v>
      </c>
      <c r="AH236" s="59" cm="1">
        <f t="array" ref="AH236">VLOOKUP(B236,'Player Data'!$A1:$AE673,22,FALSE)</f>
        <v>0</v>
      </c>
      <c r="AI236" s="55"/>
      <c r="AJ236" s="57"/>
      <c r="AK236" s="57"/>
      <c r="AL236" s="57"/>
      <c r="AM236" s="57"/>
      <c r="AN236" s="57"/>
      <c r="AO236" s="57"/>
      <c r="AP236" s="57"/>
      <c r="AQ236" s="60"/>
      <c r="AR236" s="61"/>
      <c r="AS236" s="55"/>
    </row>
    <row r="237" spans="1:45" ht="21.25" customHeight="1" x14ac:dyDescent="0.15">
      <c r="A237" s="62">
        <f t="shared" si="3"/>
        <v>236</v>
      </c>
      <c r="B237" s="10" t="s">
        <v>365</v>
      </c>
      <c r="C237" s="47" t="s">
        <v>147</v>
      </c>
      <c r="D237" s="48" t="str" cm="1">
        <f t="array" ref="D237">VLOOKUP(B237,'Player Data'!A1:D673,4,FALSE)</f>
        <v>LW,RW</v>
      </c>
      <c r="E237" s="74" cm="1">
        <f t="array" ref="E237">VLOOKUP(B237,RW!A1:F210,3,FALSE)</f>
        <v>71</v>
      </c>
      <c r="F237" s="63" t="str" cm="1">
        <f t="array" ref="F237">VLOOKUP(B237,'Player Data'!A1:B673,2,FALSE)</f>
        <v>WPG</v>
      </c>
      <c r="G237" s="71" cm="1">
        <f t="array" ref="G237">VLOOKUP(B237,'Player Data'!A1:D673,3,FALSE)</f>
        <v>24</v>
      </c>
      <c r="H237" s="51" cm="1">
        <f t="array" ref="H237">IFERROR(VLOOKUP(B237,ADP!A1:F671,6,FALSE)/1000000,VLOOKUP(B237,ADP!A1:F671,6,FALSE))</f>
        <v>6</v>
      </c>
      <c r="I237" s="52">
        <f>IF(Settings!$E$15="POINTS",((R237*Q237)*Settings!$B$12)+(S237*Settings!$B$2)+(T237*Settings!$B$3)+(U237*Settings!$B$4)+(V237*Settings!$B$5)+(X237*Settings!$B$9)+(AA237*Settings!$B$6)+(W237*Settings!$B$8)+(AB237*Settings!$B$7)+(AC237*Settings!$B$14)+(AD237*Settings!$B$15)+(AE237*Settings!$B$16)+(AF237*Settings!$B$17)+(AG237*Settings!$B$18)+(Y237*Settings!$B$10)+(Z237*Settings!$B$11),VLOOKUP(B237,'Standard Deviations'!A$1:C$672,3,FALSE))</f>
        <v>276.43789120893581</v>
      </c>
      <c r="J237" s="53" cm="1">
        <f t="array" ref="J237">IF(D237="G",I237/AJ237,I237/Q237)</f>
        <v>3.4363588937651293</v>
      </c>
      <c r="K237" s="52" cm="1">
        <f t="array" ref="K237">IF(Settings!$E$18="C/LW/RW",VLOOKUP(B237,RW!A1:F210,6,FALSE),VLOOKUP(B237,F!A1:F407,6,FALSE))</f>
        <v>-118.50557348462166</v>
      </c>
      <c r="L237" s="54" cm="1">
        <f t="array" ref="L237">IFERROR(K237/H237,"N/A")</f>
        <v>-19.750928914103611</v>
      </c>
      <c r="M237" s="85" t="s">
        <v>832</v>
      </c>
      <c r="N237" s="85" t="str" cm="1">
        <f t="array" ref="N237">IFERROR(M237-A237,"N/A")</f>
        <v>N/A</v>
      </c>
      <c r="O237" s="81"/>
      <c r="P237" s="56" t="str" cm="1">
        <f t="array" ref="P237">_xlfn.XLOOKUP($B237,ADP!A2:A671,ADP!G2:G671)</f>
        <v xml:space="preserve"> </v>
      </c>
      <c r="Q237" s="57" cm="1">
        <f t="array" ref="Q237">IF(Settings!$E$12="YES",VLOOKUP(B237,'Player Data'!A1:E673,5,FALSE),84)</f>
        <v>80.444999999999993</v>
      </c>
      <c r="R237" s="82" cm="1">
        <f t="array" ref="R237">VLOOKUP(B237,'Player Data'!$A1:$AE673,6,FALSE)</f>
        <v>16.680742822892402</v>
      </c>
      <c r="S237" s="57" cm="1">
        <f t="array" ref="S237">VLOOKUP(B237,'Player Data'!$A1:$AE673,7,FALSE)*$Q237*IFERROR((VLOOKUP(P237,Settings!$E$28:$F$33,2,FALSE)+1),1)</f>
        <v>19.961933464480051</v>
      </c>
      <c r="T237" s="57" cm="1">
        <f t="array" ref="T237">VLOOKUP(B237,'Player Data'!$A1:$AE673,8,FALSE)*$Q237*IFERROR((VLOOKUP(P237,Settings!$E$28:$F$33,2,FALSE)+1),1)</f>
        <v>31.020472368261142</v>
      </c>
      <c r="U237" s="57" cm="1">
        <f t="array" ref="U237">SUM(S237:T237)</f>
        <v>50.982405832741193</v>
      </c>
      <c r="V237" s="57" cm="1">
        <f t="array" ref="V237">VLOOKUP(B237,'Player Data'!$A1:$AE673,10,FALSE)*$Q237*IFERROR(((VLOOKUP(P237,Settings!$E$28:$F$33,2,FALSE)/2)+1),1)</f>
        <v>174.16490895685226</v>
      </c>
      <c r="W237" s="57" cm="1">
        <f t="array" ref="W237">VLOOKUP(B237,'Player Data'!$A1:$AE673,11,FALSE)*$Q237*IFERROR((VLOOKUP(P237,Settings!$E$28:$F$33,2,FALSE)+1),1)</f>
        <v>6.3792330562362096</v>
      </c>
      <c r="X237" s="79" cm="1">
        <f t="array" ref="X237">VLOOKUP(B237,'Player Data'!$A1:$AE673,12,FALSE)*$Q237*IFERROR((VLOOKUP(P237,Settings!$E$28:$F$33,2,FALSE)+1),1)</f>
        <v>15.757697781717248</v>
      </c>
      <c r="Y237" s="57" cm="1">
        <f t="array" ref="Y237">VLOOKUP(B237,'Player Data'!$A1:$AE673,13,FALSE)*$Q237</f>
        <v>3.2163505505564752E-3</v>
      </c>
      <c r="Z237" s="57" cm="1">
        <f t="array" ref="Z237">VLOOKUP(B237,'Player Data'!$A1:$AE673,14,FALSE)*$Q237</f>
        <v>5.257926923917757E-3</v>
      </c>
      <c r="AA237" s="57" cm="1">
        <f t="array" ref="AA237">VLOOKUP(B237,'Player Data'!$A1:$AE673,15,FALSE)*$Q237</f>
        <v>41.290527047289807</v>
      </c>
      <c r="AB237" s="57" cm="1">
        <f t="array" ref="AB237">VLOOKUP(B237,'Player Data'!$A1:$AE673,16,FALSE)*$Q237</f>
        <v>69.432992624943211</v>
      </c>
      <c r="AC237" s="57" cm="1">
        <f t="array" ref="AC237">VLOOKUP(B237,'Player Data'!$A1:$AE673,17,FALSE)*$Q237*IFERROR((VLOOKUP(P237,Settings!$E$28:$F$33,2,FALSE)+1),1)</f>
        <v>2.0792651272127727</v>
      </c>
      <c r="AD237" s="57" cm="1">
        <f t="array" ref="AD237">VLOOKUP(B237,'Player Data'!$A1:$AE673,18,FALSE)*$Q237</f>
        <v>24.337164856903261</v>
      </c>
      <c r="AE237" s="57" cm="1">
        <f t="array" ref="AE237">VLOOKUP(B237,'Player Data'!$A1:$AE673,19,FALSE)*$Q237*IFERROR((VLOOKUP(P237,Settings!$E$28:$F$33,2,FALSE)+1),1)</f>
        <v>3.468780278897825</v>
      </c>
      <c r="AF237" s="57" cm="1">
        <f t="array" ref="AF237">VLOOKUP(B237,'Player Data'!$A1:$AE673,20,FALSE)*$Q237</f>
        <v>14.247994399329272</v>
      </c>
      <c r="AG237" s="57" cm="1">
        <f t="array" ref="AG237">VLOOKUP(B237,'Player Data'!$A1:$AE673,21,FALSE)*$Q237</f>
        <v>25.18150207280906</v>
      </c>
      <c r="AH237" s="59" cm="1">
        <f t="array" ref="AH237">VLOOKUP(B237,'Player Data'!$A1:$AE673,22,FALSE)</f>
        <v>0.36135369898515302</v>
      </c>
      <c r="AI237" s="55"/>
      <c r="AJ237" s="57"/>
      <c r="AK237" s="57"/>
      <c r="AL237" s="57"/>
      <c r="AM237" s="57"/>
      <c r="AN237" s="57"/>
      <c r="AO237" s="57"/>
      <c r="AP237" s="57"/>
      <c r="AQ237" s="60"/>
      <c r="AR237" s="61"/>
      <c r="AS237" s="55"/>
    </row>
    <row r="238" spans="1:45" ht="21.25" customHeight="1" x14ac:dyDescent="0.15">
      <c r="A238" s="62">
        <f t="shared" si="3"/>
        <v>237</v>
      </c>
      <c r="B238" s="10" t="s">
        <v>366</v>
      </c>
      <c r="C238" s="47" t="s">
        <v>128</v>
      </c>
      <c r="D238" s="48" t="str" cm="1">
        <f t="array" ref="D238">VLOOKUP(B238,'Player Data'!A1:D673,4,FALSE)</f>
        <v>LW,RW</v>
      </c>
      <c r="E238" s="74" cm="1">
        <f t="array" ref="E238">VLOOKUP(B238,RW!A1:F210,3,FALSE)</f>
        <v>72</v>
      </c>
      <c r="F238" s="69" t="str" cm="1">
        <f t="array" ref="F238">VLOOKUP(B238,'Player Data'!A1:B673,2,FALSE)</f>
        <v>CBJ</v>
      </c>
      <c r="G238" s="66" cm="1">
        <f t="array" ref="G238">VLOOKUP(B238,'Player Data'!A1:D673,3,FALSE)</f>
        <v>31</v>
      </c>
      <c r="H238" s="51" cm="1">
        <f t="array" ref="H238">IFERROR(VLOOKUP(B238,ADP!A1:F671,6,FALSE)/1000000,VLOOKUP(B238,ADP!A1:F671,6,FALSE))</f>
        <v>6.125</v>
      </c>
      <c r="I238" s="52">
        <f>IF(Settings!$E$15="POINTS",((R238*Q238)*Settings!$B$12)+(S238*Settings!$B$2)+(T238*Settings!$B$3)+(U238*Settings!$B$4)+(V238*Settings!$B$5)+(X238*Settings!$B$9)+(AA238*Settings!$B$6)+(W238*Settings!$B$8)+(AB238*Settings!$B$7)+(AC238*Settings!$B$14)+(AD238*Settings!$B$15)+(AE238*Settings!$B$16)+(AF238*Settings!$B$17)+(AG238*Settings!$B$18)+(Y238*Settings!$B$10)+(Z238*Settings!$B$11),VLOOKUP(B238,'Standard Deviations'!A$1:C$672,3,FALSE))</f>
        <v>276.40484776382175</v>
      </c>
      <c r="J238" s="53" cm="1">
        <f t="array" ref="J238">IF(D238="G",I238/AJ238,I238/Q238)</f>
        <v>3.7305374736150316</v>
      </c>
      <c r="K238" s="52" cm="1">
        <f t="array" ref="K238">IF(Settings!$E$18="C/LW/RW",VLOOKUP(B238,RW!A1:F210,6,FALSE),VLOOKUP(B238,F!A1:F407,6,FALSE))</f>
        <v>-118.53861692973572</v>
      </c>
      <c r="L238" s="54" cm="1">
        <f t="array" ref="L238">IFERROR(K238/H238,"N/A")</f>
        <v>-19.353243580365017</v>
      </c>
      <c r="M238" s="55">
        <v>142.9</v>
      </c>
      <c r="N238" s="55" cm="1">
        <f t="array" ref="N238">IFERROR(M238-A238,"N/A")</f>
        <v>-94.1</v>
      </c>
      <c r="O238" s="83"/>
      <c r="P238" s="56" t="str" cm="1">
        <f t="array" ref="P238">_xlfn.XLOOKUP($B238,ADP!A2:A671,ADP!G2:G671)</f>
        <v xml:space="preserve"> </v>
      </c>
      <c r="Q238" s="57" cm="1">
        <f t="array" ref="Q238">IF(Settings!$E$12="YES",VLOOKUP(B238,'Player Data'!A1:E673,5,FALSE),84)</f>
        <v>74.092500000000001</v>
      </c>
      <c r="R238" s="55" cm="1">
        <f t="array" ref="R238">VLOOKUP(B238,'Player Data'!$A1:$AE673,6,FALSE)</f>
        <v>18.599682578761801</v>
      </c>
      <c r="S238" s="57" cm="1">
        <f t="array" ref="S238">VLOOKUP(B238,'Player Data'!$A1:$AE673,7,FALSE)*$Q238*IFERROR((VLOOKUP(P238,Settings!$E$28:$F$33,2,FALSE)+1),1)</f>
        <v>23.675788154931478</v>
      </c>
      <c r="T238" s="57" cm="1">
        <f t="array" ref="T238">VLOOKUP(B238,'Player Data'!$A1:$AE673,8,FALSE)*$Q238*IFERROR((VLOOKUP(P238,Settings!$E$28:$F$33,2,FALSE)+1),1)</f>
        <v>30.150381992627732</v>
      </c>
      <c r="U238" s="57" cm="1">
        <f t="array" ref="U238">SUM(S238:T238)</f>
        <v>53.82617014755921</v>
      </c>
      <c r="V238" s="57" cm="1">
        <f t="array" ref="V238">VLOOKUP(B238,'Player Data'!$A1:$AE673,10,FALSE)*$Q238*IFERROR(((VLOOKUP(P238,Settings!$E$28:$F$33,2,FALSE)/2)+1),1)</f>
        <v>177.98711786361937</v>
      </c>
      <c r="W238" s="57" cm="1">
        <f t="array" ref="W238">VLOOKUP(B238,'Player Data'!$A1:$AE673,11,FALSE)*$Q238*IFERROR((VLOOKUP(P238,Settings!$E$28:$F$33,2,FALSE)+1),1)</f>
        <v>5.4873392061490147</v>
      </c>
      <c r="X238" s="79" cm="1">
        <f t="array" ref="X238">VLOOKUP(B238,'Player Data'!$A1:$AE673,12,FALSE)*$Q238*IFERROR((VLOOKUP(P238,Settings!$E$28:$F$33,2,FALSE)+1),1)</f>
        <v>10.166712305579324</v>
      </c>
      <c r="Y238" s="57" cm="1">
        <f t="array" ref="Y238">VLOOKUP(B238,'Player Data'!$A1:$AE673,13,FALSE)*$Q238</f>
        <v>0.44459988611559048</v>
      </c>
      <c r="Z238" s="57" cm="1">
        <f t="array" ref="Z238">VLOOKUP(B238,'Player Data'!$A1:$AE673,14,FALSE)*$Q238</f>
        <v>0.75885138871983182</v>
      </c>
      <c r="AA238" s="57" cm="1">
        <f t="array" ref="AA238">VLOOKUP(B238,'Player Data'!$A1:$AE673,15,FALSE)*$Q238</f>
        <v>30.014429390070553</v>
      </c>
      <c r="AB238" s="57" cm="1">
        <f t="array" ref="AB238">VLOOKUP(B238,'Player Data'!$A1:$AE673,16,FALSE)*$Q238</f>
        <v>68.438415208790431</v>
      </c>
      <c r="AC238" s="57" cm="1">
        <f t="array" ref="AC238">VLOOKUP(B238,'Player Data'!$A1:$AE673,17,FALSE)*$Q238*IFERROR((VLOOKUP(P238,Settings!$E$28:$F$33,2,FALSE)+1),1)</f>
        <v>2.7574619992945975</v>
      </c>
      <c r="AD238" s="57" cm="1">
        <f t="array" ref="AD238">VLOOKUP(B238,'Player Data'!$A1:$AE673,18,FALSE)*$Q238</f>
        <v>21.905071738429321</v>
      </c>
      <c r="AE238" s="57" cm="1">
        <f t="array" ref="AE238">VLOOKUP(B238,'Player Data'!$A1:$AE673,19,FALSE)*$Q238*IFERROR((VLOOKUP(P238,Settings!$E$28:$F$33,2,FALSE)+1),1)</f>
        <v>3.8151457815112559</v>
      </c>
      <c r="AF238" s="57" cm="1">
        <f t="array" ref="AF238">VLOOKUP(B238,'Player Data'!$A1:$AE673,20,FALSE)*$Q238</f>
        <v>2.4271624461021633</v>
      </c>
      <c r="AG238" s="57" cm="1">
        <f t="array" ref="AG238">VLOOKUP(B238,'Player Data'!$A1:$AE673,21,FALSE)*$Q238</f>
        <v>3.0228999493171624</v>
      </c>
      <c r="AH238" s="59" cm="1">
        <f t="array" ref="AH238">VLOOKUP(B238,'Player Data'!$A1:$AE673,22,FALSE)</f>
        <v>0.44534580891076597</v>
      </c>
      <c r="AI238" s="55"/>
      <c r="AJ238" s="57"/>
      <c r="AK238" s="57"/>
      <c r="AL238" s="57"/>
      <c r="AM238" s="57"/>
      <c r="AN238" s="57"/>
      <c r="AO238" s="57"/>
      <c r="AP238" s="57"/>
      <c r="AQ238" s="60"/>
      <c r="AR238" s="61"/>
      <c r="AS238" s="55"/>
    </row>
    <row r="239" spans="1:45" ht="21.25" customHeight="1" x14ac:dyDescent="0.15">
      <c r="A239" s="62">
        <f t="shared" si="3"/>
        <v>238</v>
      </c>
      <c r="B239" s="10" t="s">
        <v>367</v>
      </c>
      <c r="C239" s="47" t="s">
        <v>128</v>
      </c>
      <c r="D239" s="48" t="str" cm="1">
        <f t="array" ref="D239">VLOOKUP(B239,'Player Data'!A1:D673,4,FALSE)</f>
        <v>C</v>
      </c>
      <c r="E239" s="49" cm="1">
        <f t="array" ref="E239">VLOOKUP(B239,'C'!A1:C210,3,FALSE)</f>
        <v>64</v>
      </c>
      <c r="F239" s="65" t="str" cm="1">
        <f t="array" ref="F239">VLOOKUP(B239,'Player Data'!A1:B673,2,FALSE)</f>
        <v>T.B</v>
      </c>
      <c r="G239" s="11" cm="1">
        <f t="array" ref="G239">VLOOKUP(B239,'Player Data'!A1:D673,3,FALSE)</f>
        <v>29</v>
      </c>
      <c r="H239" s="51" cm="1">
        <f t="array" ref="H239">IFERROR(VLOOKUP(B239,ADP!A1:F671,6,FALSE)/1000000,VLOOKUP(B239,ADP!A1:F671,6,FALSE))</f>
        <v>6.25</v>
      </c>
      <c r="I239" s="52">
        <f>IF(Settings!$E$15="POINTS",((R239*Q239)*Settings!$B$12)+(S239*Settings!$B$2)+(T239*Settings!$B$3)+(U239*Settings!$B$4)+(V239*Settings!$B$5)+(X239*Settings!$B$9)+(AA239*Settings!$B$6)+(W239*Settings!$B$8)+(AB239*Settings!$B$7)+(AC239*Settings!$B$14)+(AD239*Settings!$B$15)+(AE239*Settings!$B$16)+(AF239*Settings!$B$17)+(AG239*Settings!$B$18)+(Y239*Settings!$B$10)+(Z239*Settings!$B$11),VLOOKUP(B239,'Standard Deviations'!A$1:C$672,3,FALSE))</f>
        <v>267.21200585273021</v>
      </c>
      <c r="J239" s="53" cm="1">
        <f t="array" ref="J239">IF(D239="G",I239/AJ239,I239/Q239)</f>
        <v>3.2785743486731107</v>
      </c>
      <c r="K239" s="52" cm="1">
        <f t="array" ref="K239">IF(Settings!$E$18="C/LW/RW",VLOOKUP(B239,'C'!A1:F210,6,FALSE),VLOOKUP(B239,F!A1:F407,6,FALSE))</f>
        <v>-119.32320054035279</v>
      </c>
      <c r="L239" s="54" cm="1">
        <f t="array" ref="L239">IFERROR(K239/H239,"N/A")</f>
        <v>-19.091712086456447</v>
      </c>
      <c r="M239" s="55">
        <v>135.30000000000001</v>
      </c>
      <c r="N239" s="55" cm="1">
        <f t="array" ref="N239">IFERROR(M239-A239,"N/A")</f>
        <v>-102.69999999999999</v>
      </c>
      <c r="O239" s="55"/>
      <c r="P239" s="56" t="str" cm="1">
        <f t="array" ref="P239">_xlfn.XLOOKUP($B239,ADP!A2:A671,ADP!G2:G671)</f>
        <v xml:space="preserve"> </v>
      </c>
      <c r="Q239" s="57" cm="1">
        <f t="array" ref="Q239">IF(Settings!$E$12="YES",VLOOKUP(B239,'Player Data'!A1:E673,5,FALSE),84)</f>
        <v>81.502499999999998</v>
      </c>
      <c r="R239" s="55" cm="1">
        <f t="array" ref="R239">VLOOKUP(B239,'Player Data'!$A1:$AE673,6,FALSE)</f>
        <v>17.384637626943</v>
      </c>
      <c r="S239" s="57" cm="1">
        <f t="array" ref="S239">VLOOKUP(B239,'Player Data'!$A1:$AE673,7,FALSE)*$Q239*IFERROR((VLOOKUP(P239,Settings!$E$28:$F$33,2,FALSE)+1),1)</f>
        <v>23.023370843747241</v>
      </c>
      <c r="T239" s="57" cm="1">
        <f t="array" ref="T239">VLOOKUP(B239,'Player Data'!$A1:$AE673,8,FALSE)*$Q239*IFERROR((VLOOKUP(P239,Settings!$E$28:$F$33,2,FALSE)+1),1)</f>
        <v>29.131992406632055</v>
      </c>
      <c r="U239" s="57" cm="1">
        <f t="array" ref="U239">SUM(S239:T239)</f>
        <v>52.155363250379295</v>
      </c>
      <c r="V239" s="57" cm="1">
        <f t="array" ref="V239">VLOOKUP(B239,'Player Data'!$A1:$AE673,10,FALSE)*$Q239*IFERROR(((VLOOKUP(P239,Settings!$E$28:$F$33,2,FALSE)/2)+1),1)</f>
        <v>142.94231423435195</v>
      </c>
      <c r="W239" s="57" cm="1">
        <f t="array" ref="W239">VLOOKUP(B239,'Player Data'!$A1:$AE673,11,FALSE)*$Q239*IFERROR((VLOOKUP(P239,Settings!$E$28:$F$33,2,FALSE)+1),1)</f>
        <v>3.4705209886291577</v>
      </c>
      <c r="X239" s="57" cm="1">
        <f t="array" ref="X239">VLOOKUP(B239,'Player Data'!$A1:$AE673,12,FALSE)*$Q239*IFERROR((VLOOKUP(P239,Settings!$E$28:$F$33,2,FALSE)+1),1)</f>
        <v>6.1164892672319198</v>
      </c>
      <c r="Y239" s="57" cm="1">
        <f t="array" ref="Y239">VLOOKUP(B239,'Player Data'!$A1:$AE673,13,FALSE)*$Q239</f>
        <v>1.8965639779873742</v>
      </c>
      <c r="Z239" s="57" cm="1">
        <f t="array" ref="Z239">VLOOKUP(B239,'Player Data'!$A1:$AE673,14,FALSE)*$Q239</f>
        <v>3.9790021520069341</v>
      </c>
      <c r="AA239" s="57" cm="1">
        <f t="array" ref="AA239">VLOOKUP(B239,'Player Data'!$A1:$AE673,15,FALSE)*$Q239</f>
        <v>58.358535130354944</v>
      </c>
      <c r="AB239" s="57" cm="1">
        <f t="array" ref="AB239">VLOOKUP(B239,'Player Data'!$A1:$AE673,16,FALSE)*$Q239</f>
        <v>52.69664549156527</v>
      </c>
      <c r="AC239" s="57" cm="1">
        <f t="array" ref="AC239">VLOOKUP(B239,'Player Data'!$A1:$AE673,17,FALSE)*$Q239*IFERROR((VLOOKUP(P239,Settings!$E$28:$F$33,2,FALSE)+1),1)</f>
        <v>10.035146877396942</v>
      </c>
      <c r="AD239" s="57" cm="1">
        <f t="array" ref="AD239">VLOOKUP(B239,'Player Data'!$A1:$AE673,18,FALSE)*$Q239</f>
        <v>33.426617468532577</v>
      </c>
      <c r="AE239" s="57" cm="1">
        <f t="array" ref="AE239">VLOOKUP(B239,'Player Data'!$A1:$AE673,19,FALSE)*$Q239*IFERROR((VLOOKUP(P239,Settings!$E$28:$F$33,2,FALSE)+1),1)</f>
        <v>4.086865629455926</v>
      </c>
      <c r="AF239" s="57" cm="1">
        <f t="array" ref="AF239">VLOOKUP(B239,'Player Data'!$A1:$AE673,20,FALSE)*$Q239</f>
        <v>581.20784206762266</v>
      </c>
      <c r="AG239" s="57" cm="1">
        <f t="array" ref="AG239">VLOOKUP(B239,'Player Data'!$A1:$AE673,21,FALSE)*$Q239</f>
        <v>600.6002861714245</v>
      </c>
      <c r="AH239" s="59" cm="1">
        <f t="array" ref="AH239">VLOOKUP(B239,'Player Data'!$A1:$AE673,22,FALSE)</f>
        <v>0.49179543462241299</v>
      </c>
      <c r="AI239" s="55"/>
      <c r="AJ239" s="57"/>
      <c r="AK239" s="57"/>
      <c r="AL239" s="57"/>
      <c r="AM239" s="57"/>
      <c r="AN239" s="57"/>
      <c r="AO239" s="57"/>
      <c r="AP239" s="57"/>
      <c r="AQ239" s="60"/>
      <c r="AR239" s="61"/>
      <c r="AS239" s="55"/>
    </row>
    <row r="240" spans="1:45" ht="21.25" customHeight="1" x14ac:dyDescent="0.15">
      <c r="A240" s="62">
        <f t="shared" si="3"/>
        <v>239</v>
      </c>
      <c r="B240" s="10" t="s">
        <v>368</v>
      </c>
      <c r="C240" s="47" t="s">
        <v>147</v>
      </c>
      <c r="D240" s="48" t="str" cm="1">
        <f t="array" ref="D240">VLOOKUP(B240,'Player Data'!A1:D673,4,FALSE)</f>
        <v>D</v>
      </c>
      <c r="E240" s="68" cm="1">
        <f t="array" ref="E240">VLOOKUP(B240,D!A1:C204,3,FALSE)</f>
        <v>88</v>
      </c>
      <c r="F240" s="63" t="str" cm="1">
        <f t="array" ref="F240">VLOOKUP(B240,'Player Data'!A1:B673,2,FALSE)</f>
        <v>VGK</v>
      </c>
      <c r="G240" s="66" cm="1">
        <f t="array" ref="G240">VLOOKUP(B240,'Player Data'!A1:D673,3,FALSE)</f>
        <v>35</v>
      </c>
      <c r="H240" s="51" cm="1">
        <f t="array" ref="H240">IFERROR(VLOOKUP(B240,ADP!A1:F671,6,FALSE)/1000000,VLOOKUP(B240,ADP!A1:F671,6,FALSE))</f>
        <v>3.65</v>
      </c>
      <c r="I240" s="52">
        <f>IF(Settings!$E$15="POINTS",((R240*Q240)*Settings!$B$12)+(S240*Settings!$B$2)+(T240*Settings!$B$3)+(U240*Settings!$B$4)+(V240*Settings!$B$5)+(X240*Settings!$B$9)+(AA240*Settings!$B$6)+(W240*Settings!$B$8)+(AB240*Settings!$B$7)+(AC240*Settings!$B$14)+(AD240*Settings!$B$15)+(AE240*Settings!$B$16)+(AF240*Settings!$B$17)+(AG240*Settings!$B$18)+(U240*Settings!$B$13)+(Y240*Settings!$B$10)+(Z240*Settings!$B$11),VLOOKUP(B240,'Standard Deviations'!A$1:C$672,3,FALSE))</f>
        <v>187.23646222237869</v>
      </c>
      <c r="J240" s="53" cm="1">
        <f t="array" ref="J240">IF(D240="G",I240/AJ240,I240/Q240)</f>
        <v>2.3213769608824806</v>
      </c>
      <c r="K240" s="52" cm="1">
        <f t="array" ref="K240">VLOOKUP(B240,D!A1:F204,6,FALSE)</f>
        <v>-119.41740512221537</v>
      </c>
      <c r="L240" s="54" cm="1">
        <f t="array" ref="L240">IFERROR(K240/H240,"N/A")</f>
        <v>-32.717097293757639</v>
      </c>
      <c r="M240" s="85" t="s">
        <v>832</v>
      </c>
      <c r="N240" s="85" t="str" cm="1">
        <f t="array" ref="N240">IFERROR(M240-A240,"N/A")</f>
        <v>N/A</v>
      </c>
      <c r="O240" s="81"/>
      <c r="P240" s="56" t="str" cm="1">
        <f t="array" ref="P240">_xlfn.XLOOKUP($B240,ADP!A2:A671,ADP!G2:G671)</f>
        <v xml:space="preserve"> </v>
      </c>
      <c r="Q240" s="57" cm="1">
        <f t="array" ref="Q240">IF(Settings!$E$12="YES",VLOOKUP(B240,'Player Data'!A1:E673,5,FALSE),84)</f>
        <v>80.657499999999999</v>
      </c>
      <c r="R240" s="55" cm="1">
        <f t="array" ref="R240">VLOOKUP(B240,'Player Data'!$A1:$AE673,6,FALSE)</f>
        <v>20.330605371691099</v>
      </c>
      <c r="S240" s="57" cm="1">
        <f t="array" ref="S240">VLOOKUP(B240,'Player Data'!$A1:$AE673,7,FALSE)*$Q240*IFERROR((VLOOKUP(P240,Settings!$E$28:$F$33,2,FALSE)+1),1)</f>
        <v>4.4359937576525068</v>
      </c>
      <c r="T240" s="57" cm="1">
        <f t="array" ref="T240">VLOOKUP(B240,'Player Data'!$A1:$AE673,8,FALSE)*$Q240*IFERROR((VLOOKUP(P240,Settings!$E$28:$F$33,2,FALSE)+1),1)</f>
        <v>14.159415906161984</v>
      </c>
      <c r="U240" s="57" cm="1">
        <f t="array" ref="U240">SUM(S240:T240)</f>
        <v>18.59540966381449</v>
      </c>
      <c r="V240" s="57" cm="1">
        <f t="array" ref="V240">VLOOKUP(B240,'Player Data'!$A1:$AE673,10,FALSE)*$Q240*IFERROR(((VLOOKUP(P240,Settings!$E$28:$F$33,2,FALSE)/2)+1),1)</f>
        <v>94.694386783779834</v>
      </c>
      <c r="W240" s="57" cm="1">
        <f t="array" ref="W240">VLOOKUP(B240,'Player Data'!$A1:$AE673,11,FALSE)*$Q240*IFERROR((VLOOKUP(P240,Settings!$E$28:$F$33,2,FALSE)+1),1)</f>
        <v>8.2872734115200172E-3</v>
      </c>
      <c r="X240" s="57" cm="1">
        <f t="array" ref="X240">VLOOKUP(B240,'Player Data'!$A1:$AE673,12,FALSE)*$Q240*IFERROR((VLOOKUP(P240,Settings!$E$28:$F$33,2,FALSE)+1),1)</f>
        <v>6.6600895091859375E-2</v>
      </c>
      <c r="Y240" s="57" cm="1">
        <f t="array" ref="Y240">VLOOKUP(B240,'Player Data'!$A1:$AE673,13,FALSE)*$Q240</f>
        <v>0.24483742111379025</v>
      </c>
      <c r="Z240" s="57" cm="1">
        <f t="array" ref="Z240">VLOOKUP(B240,'Player Data'!$A1:$AE673,14,FALSE)*$Q240</f>
        <v>0.73199151867164103</v>
      </c>
      <c r="AA240" s="57" cm="1">
        <f t="array" ref="AA240">VLOOKUP(B240,'Player Data'!$A1:$AE673,15,FALSE)*$Q240</f>
        <v>166.60889485056359</v>
      </c>
      <c r="AB240" s="57" cm="1">
        <f t="array" ref="AB240">VLOOKUP(B240,'Player Data'!$A1:$AE673,16,FALSE)*$Q240</f>
        <v>124.91884539843578</v>
      </c>
      <c r="AC240" s="57" cm="1">
        <f t="array" ref="AC240">VLOOKUP(B240,'Player Data'!$A1:$AE673,17,FALSE)*$Q240*IFERROR((VLOOKUP(P240,Settings!$E$28:$F$33,2,FALSE)+1),1)</f>
        <v>5.3586620842342283</v>
      </c>
      <c r="AD240" s="57" cm="1">
        <f t="array" ref="AD240">VLOOKUP(B240,'Player Data'!$A1:$AE673,18,FALSE)*$Q240</f>
        <v>34.899070740010366</v>
      </c>
      <c r="AE240" s="57" cm="1">
        <f t="array" ref="AE240">VLOOKUP(B240,'Player Data'!$A1:$AE673,19,FALSE)*$Q240*IFERROR((VLOOKUP(P240,Settings!$E$28:$F$33,2,FALSE)+1),1)</f>
        <v>0.84628749905448852</v>
      </c>
      <c r="AF240" s="57" cm="1">
        <f t="array" ref="AF240">VLOOKUP(B240,'Player Data'!$A1:$AE673,20,FALSE)*$Q240</f>
        <v>0</v>
      </c>
      <c r="AG240" s="57" cm="1">
        <f t="array" ref="AG240">VLOOKUP(B240,'Player Data'!$A1:$AE673,21,FALSE)*$Q240</f>
        <v>0</v>
      </c>
      <c r="AH240" s="59" cm="1">
        <f t="array" ref="AH240">VLOOKUP(B240,'Player Data'!$A1:$AE673,22,FALSE)</f>
        <v>0</v>
      </c>
      <c r="AI240" s="55"/>
      <c r="AJ240" s="57"/>
      <c r="AK240" s="57"/>
      <c r="AL240" s="57"/>
      <c r="AM240" s="57"/>
      <c r="AN240" s="57"/>
      <c r="AO240" s="57"/>
      <c r="AP240" s="57"/>
      <c r="AQ240" s="60"/>
      <c r="AR240" s="61"/>
      <c r="AS240" s="55"/>
    </row>
    <row r="241" spans="1:45" ht="21.25" customHeight="1" x14ac:dyDescent="0.15">
      <c r="A241" s="62">
        <f t="shared" si="3"/>
        <v>240</v>
      </c>
      <c r="B241" s="10" t="s">
        <v>369</v>
      </c>
      <c r="C241" s="47" t="s">
        <v>128</v>
      </c>
      <c r="D241" s="48" t="str" cm="1">
        <f t="array" ref="D241">VLOOKUP(B241,'Player Data'!A1:D673,4,FALSE)</f>
        <v>C,LW</v>
      </c>
      <c r="E241" s="74" cm="1">
        <f t="array" ref="E241">VLOOKUP(B241,LW!A1:C210,3,FALSE)</f>
        <v>59</v>
      </c>
      <c r="F241" s="72" t="str" cm="1">
        <f t="array" ref="F241">VLOOKUP(B241,'Player Data'!A1:B673,2,FALSE)</f>
        <v>BOS</v>
      </c>
      <c r="G241" s="11" cm="1">
        <f t="array" ref="G241">VLOOKUP(B241,'Player Data'!A1:D673,3,FALSE)</f>
        <v>29</v>
      </c>
      <c r="H241" s="67" cm="1">
        <f t="array" ref="H241">IFERROR(VLOOKUP(B241,ADP!A1:F671,6,FALSE)/1000000,VLOOKUP(B241,ADP!A1:F671,6,FALSE))</f>
        <v>4.75</v>
      </c>
      <c r="I241" s="52">
        <f>IF(Settings!$E$15="POINTS",((R241*Q241)*Settings!$B$12)+(S241*Settings!$B$2)+(T241*Settings!$B$3)+(U241*Settings!$B$4)+(V241*Settings!$B$5)+(X241*Settings!$B$9)+(AA241*Settings!$B$6)+(W241*Settings!$B$8)+(AB241*Settings!$B$7)+(AC241*Settings!$B$14)+(AD241*Settings!$B$15)+(AE241*Settings!$B$16)+(AF241*Settings!$B$17)+(AG241*Settings!$B$18)+(Y241*Settings!$B$10)+(Z241*Settings!$B$11),VLOOKUP(B241,'Standard Deviations'!A$1:C$672,3,FALSE))</f>
        <v>279.59440691993996</v>
      </c>
      <c r="J241" s="53" cm="1">
        <f t="array" ref="J241">IF(D241="G",I241/AJ241,I241/Q241)</f>
        <v>3.3718572952235886</v>
      </c>
      <c r="K241" s="52" cm="1">
        <f t="array" ref="K241">IF(Settings!$E$18="C/LW/RW",VLOOKUP(B241,LW!A1:F210,6,FALSE),VLOOKUP(B241,F!A1:F407,6,FALSE))</f>
        <v>-119.71858639378013</v>
      </c>
      <c r="L241" s="54" cm="1">
        <f t="array" ref="L241">IFERROR(K241/H241,"N/A")</f>
        <v>-25.203912925006343</v>
      </c>
      <c r="M241" s="55">
        <v>145</v>
      </c>
      <c r="N241" s="55" cm="1">
        <f t="array" ref="N241">IFERROR(M241-A241,"N/A")</f>
        <v>-95</v>
      </c>
      <c r="O241" s="83"/>
      <c r="P241" s="56" t="str" cm="1">
        <f t="array" ref="P241">_xlfn.XLOOKUP($B241,ADP!A2:A671,ADP!G2:G671)</f>
        <v xml:space="preserve"> </v>
      </c>
      <c r="Q241" s="57" cm="1">
        <f t="array" ref="Q241">IF(Settings!$E$12="YES",VLOOKUP(B241,'Player Data'!A1:E673,5,FALSE),84)</f>
        <v>82.92</v>
      </c>
      <c r="R241" s="55" cm="1">
        <f t="array" ref="R241">VLOOKUP(B241,'Player Data'!$A1:$AE673,6,FALSE)</f>
        <v>16.874126204903401</v>
      </c>
      <c r="S241" s="57" cm="1">
        <f t="array" ref="S241">VLOOKUP(B241,'Player Data'!$A1:$AE673,7,FALSE)*$Q241*IFERROR((VLOOKUP(P241,Settings!$E$28:$F$33,2,FALSE)+1),1)</f>
        <v>23.741062242818501</v>
      </c>
      <c r="T241" s="57" cm="1">
        <f t="array" ref="T241">VLOOKUP(B241,'Player Data'!$A1:$AE673,8,FALSE)*$Q241*IFERROR((VLOOKUP(P241,Settings!$E$28:$F$33,2,FALSE)+1),1)</f>
        <v>35.19498705181357</v>
      </c>
      <c r="U241" s="57" cm="1">
        <f t="array" ref="U241">SUM(S241:T241)</f>
        <v>58.93604929463207</v>
      </c>
      <c r="V241" s="57" cm="1">
        <f t="array" ref="V241">VLOOKUP(B241,'Player Data'!$A1:$AE673,10,FALSE)*$Q241*IFERROR(((VLOOKUP(P241,Settings!$E$28:$F$33,2,FALSE)/2)+1),1)</f>
        <v>140.63542370375933</v>
      </c>
      <c r="W241" s="58" cm="1">
        <f t="array" ref="W241">VLOOKUP(B241,'Player Data'!$A1:$AE673,11,FALSE)*$Q241*IFERROR((VLOOKUP(P241,Settings!$E$28:$F$33,2,FALSE)+1),1)</f>
        <v>7.8290791814870691</v>
      </c>
      <c r="X241" s="57" cm="1">
        <f t="array" ref="X241">VLOOKUP(B241,'Player Data'!$A1:$AE673,12,FALSE)*$Q241*IFERROR((VLOOKUP(P241,Settings!$E$28:$F$33,2,FALSE)+1),1)</f>
        <v>18.097357829034053</v>
      </c>
      <c r="Y241" s="57" cm="1">
        <f t="array" ref="Y241">VLOOKUP(B241,'Player Data'!$A1:$AE673,13,FALSE)*$Q241</f>
        <v>0.23674023521122617</v>
      </c>
      <c r="Z241" s="57" cm="1">
        <f t="array" ref="Z241">VLOOKUP(B241,'Player Data'!$A1:$AE673,14,FALSE)*$Q241</f>
        <v>0.45056758713450384</v>
      </c>
      <c r="AA241" s="57" cm="1">
        <f t="array" ref="AA241">VLOOKUP(B241,'Player Data'!$A1:$AE673,15,FALSE)*$Q241</f>
        <v>27.841243535991048</v>
      </c>
      <c r="AB241" s="57" cm="1">
        <f t="array" ref="AB241">VLOOKUP(B241,'Player Data'!$A1:$AE673,16,FALSE)*$Q241</f>
        <v>70.143771376358288</v>
      </c>
      <c r="AC241" s="57" cm="1">
        <f t="array" ref="AC241">VLOOKUP(B241,'Player Data'!$A1:$AE673,17,FALSE)*$Q241*IFERROR((VLOOKUP(P241,Settings!$E$28:$F$33,2,FALSE)+1),1)</f>
        <v>-1.2129853772579466</v>
      </c>
      <c r="AD241" s="57" cm="1">
        <f t="array" ref="AD241">VLOOKUP(B241,'Player Data'!$A1:$AE673,18,FALSE)*$Q241</f>
        <v>25.134199634435319</v>
      </c>
      <c r="AE241" s="57" cm="1">
        <f t="array" ref="AE241">VLOOKUP(B241,'Player Data'!$A1:$AE673,19,FALSE)*$Q241*IFERROR((VLOOKUP(P241,Settings!$E$28:$F$33,2,FALSE)+1),1)</f>
        <v>3.1960616963084898</v>
      </c>
      <c r="AF241" s="57" cm="1">
        <f t="array" ref="AF241">VLOOKUP(B241,'Player Data'!$A1:$AE673,20,FALSE)*$Q241</f>
        <v>527.86403835558383</v>
      </c>
      <c r="AG241" s="57" cm="1">
        <f t="array" ref="AG241">VLOOKUP(B241,'Player Data'!$A1:$AE673,21,FALSE)*$Q241</f>
        <v>456.21238500638691</v>
      </c>
      <c r="AH241" s="59" cm="1">
        <f t="array" ref="AH241">VLOOKUP(B241,'Player Data'!$A1:$AE673,22,FALSE)</f>
        <v>0.53640553296887705</v>
      </c>
      <c r="AI241" s="55"/>
      <c r="AJ241" s="57"/>
      <c r="AK241" s="57"/>
      <c r="AL241" s="57"/>
      <c r="AM241" s="57"/>
      <c r="AN241" s="57"/>
      <c r="AO241" s="57"/>
      <c r="AP241" s="57"/>
      <c r="AQ241" s="60"/>
      <c r="AR241" s="61"/>
      <c r="AS241" s="55"/>
    </row>
    <row r="242" spans="1:45" ht="21.25" customHeight="1" x14ac:dyDescent="0.15">
      <c r="A242" s="62">
        <f t="shared" si="3"/>
        <v>241</v>
      </c>
      <c r="B242" s="10" t="s">
        <v>370</v>
      </c>
      <c r="C242" s="47" t="s">
        <v>147</v>
      </c>
      <c r="D242" s="48" t="str" cm="1">
        <f t="array" ref="D242">VLOOKUP(B242,'Player Data'!A1:D673,4,FALSE)</f>
        <v>D</v>
      </c>
      <c r="E242" s="68" cm="1">
        <f t="array" ref="E242">VLOOKUP(B242,D!A1:C204,3,FALSE)</f>
        <v>89</v>
      </c>
      <c r="F242" s="56" t="str" cm="1">
        <f t="array" ref="F242">VLOOKUP(B242,'Player Data'!A1:B673,2,FALSE)</f>
        <v>CHI</v>
      </c>
      <c r="G242" s="11" cm="1">
        <f t="array" ref="G242">VLOOKUP(B242,'Player Data'!A1:D673,3,FALSE)</f>
        <v>25</v>
      </c>
      <c r="H242" s="51" cm="1">
        <f t="array" ref="H242">IFERROR(VLOOKUP(B242,ADP!A1:F671,6,FALSE)/1000000,VLOOKUP(B242,ADP!A1:F671,6,FALSE))</f>
        <v>4.5999999999999996</v>
      </c>
      <c r="I242" s="52">
        <f>IF(Settings!$E$15="POINTS",((R242*Q242)*Settings!$B$12)+(S242*Settings!$B$2)+(T242*Settings!$B$3)+(U242*Settings!$B$4)+(V242*Settings!$B$5)+(X242*Settings!$B$9)+(AA242*Settings!$B$6)+(W242*Settings!$B$8)+(AB242*Settings!$B$7)+(AC242*Settings!$B$14)+(AD242*Settings!$B$15)+(AE242*Settings!$B$16)+(AF242*Settings!$B$17)+(AG242*Settings!$B$18)+(U242*Settings!$B$13)+(Y242*Settings!$B$10)+(Z242*Settings!$B$11),VLOOKUP(B242,'Standard Deviations'!A$1:C$672,3,FALSE))</f>
        <v>186.18240575199161</v>
      </c>
      <c r="J242" s="53" cm="1">
        <f t="array" ref="J242">IF(D242="G",I242/AJ242,I242/Q242)</f>
        <v>2.2363581364162233</v>
      </c>
      <c r="K242" s="52" cm="1">
        <f t="array" ref="K242">VLOOKUP(B242,D!A1:F204,6,FALSE)</f>
        <v>-120.47146159260245</v>
      </c>
      <c r="L242" s="54" cm="1">
        <f t="array" ref="L242">IFERROR(K242/H242,"N/A")</f>
        <v>-26.189448172304882</v>
      </c>
      <c r="M242" s="85" t="s">
        <v>832</v>
      </c>
      <c r="N242" s="85" t="str" cm="1">
        <f t="array" ref="N242">IFERROR(M242-A242,"N/A")</f>
        <v>N/A</v>
      </c>
      <c r="O242" s="55"/>
      <c r="P242" s="56" t="str" cm="1">
        <f t="array" ref="P242">_xlfn.XLOOKUP($B242,ADP!A2:A671,ADP!G2:G671)</f>
        <v xml:space="preserve"> </v>
      </c>
      <c r="Q242" s="57" cm="1">
        <f t="array" ref="Q242">IF(Settings!$E$12="YES",VLOOKUP(B242,'Player Data'!A1:E673,5,FALSE),84)</f>
        <v>83.252499999999998</v>
      </c>
      <c r="R242" s="55" cm="1">
        <f t="array" ref="R242">VLOOKUP(B242,'Player Data'!$A1:$AE673,6,FALSE)</f>
        <v>21.917520260470599</v>
      </c>
      <c r="S242" s="57" cm="1">
        <f t="array" ref="S242">VLOOKUP(B242,'Player Data'!$A1:$AE673,7,FALSE)*$Q242*IFERROR((VLOOKUP(P242,Settings!$E$28:$F$33,2,FALSE)+1),1)</f>
        <v>3.5924881323790334</v>
      </c>
      <c r="T242" s="57" cm="1">
        <f t="array" ref="T242">VLOOKUP(B242,'Player Data'!$A1:$AE673,8,FALSE)*$Q242*IFERROR((VLOOKUP(P242,Settings!$E$28:$F$33,2,FALSE)+1),1)</f>
        <v>19.321843194529066</v>
      </c>
      <c r="U242" s="57" cm="1">
        <f t="array" ref="U242">SUM(S242:T242)</f>
        <v>22.914331326908098</v>
      </c>
      <c r="V242" s="57" cm="1">
        <f t="array" ref="V242">VLOOKUP(B242,'Player Data'!$A1:$AE673,10,FALSE)*$Q242*IFERROR(((VLOOKUP(P242,Settings!$E$28:$F$33,2,FALSE)/2)+1),1)</f>
        <v>95.045870763756</v>
      </c>
      <c r="W242" s="57" cm="1">
        <f t="array" ref="W242">VLOOKUP(B242,'Player Data'!$A1:$AE673,11,FALSE)*$Q242*IFERROR((VLOOKUP(P242,Settings!$E$28:$F$33,2,FALSE)+1),1)</f>
        <v>2.3311395744003639E-2</v>
      </c>
      <c r="X242" s="57" cm="1">
        <f t="array" ref="X242">VLOOKUP(B242,'Player Data'!$A1:$AE673,12,FALSE)*$Q242*IFERROR((VLOOKUP(P242,Settings!$E$28:$F$33,2,FALSE)+1),1)</f>
        <v>0.27609338865336752</v>
      </c>
      <c r="Y242" s="57" cm="1">
        <f t="array" ref="Y242">VLOOKUP(B242,'Player Data'!$A1:$AE673,13,FALSE)*$Q242</f>
        <v>2.601357306392724E-2</v>
      </c>
      <c r="Z242" s="57" cm="1">
        <f t="array" ref="Z242">VLOOKUP(B242,'Player Data'!$A1:$AE673,14,FALSE)*$Q242</f>
        <v>0.65930702948907804</v>
      </c>
      <c r="AA242" s="57" cm="1">
        <f t="array" ref="AA242">VLOOKUP(B242,'Player Data'!$A1:$AE673,15,FALSE)*$Q242</f>
        <v>137.96215194249376</v>
      </c>
      <c r="AB242" s="57" cm="1">
        <f t="array" ref="AB242">VLOOKUP(B242,'Player Data'!$A1:$AE673,16,FALSE)*$Q242</f>
        <v>49.394104303881058</v>
      </c>
      <c r="AC242" s="57" cm="1">
        <f t="array" ref="AC242">VLOOKUP(B242,'Player Data'!$A1:$AE673,17,FALSE)*$Q242*IFERROR((VLOOKUP(P242,Settings!$E$28:$F$33,2,FALSE)+1),1)</f>
        <v>-11.266698778219784</v>
      </c>
      <c r="AD242" s="57" cm="1">
        <f t="array" ref="AD242">VLOOKUP(B242,'Player Data'!$A1:$AE673,18,FALSE)*$Q242</f>
        <v>24.449943073817238</v>
      </c>
      <c r="AE242" s="57" cm="1">
        <f t="array" ref="AE242">VLOOKUP(B242,'Player Data'!$A1:$AE673,19,FALSE)*$Q242*IFERROR((VLOOKUP(P242,Settings!$E$28:$F$33,2,FALSE)+1),1)</f>
        <v>0.44337069032982218</v>
      </c>
      <c r="AF242" s="57" cm="1">
        <f t="array" ref="AF242">VLOOKUP(B242,'Player Data'!$A1:$AE673,20,FALSE)*$Q242</f>
        <v>0</v>
      </c>
      <c r="AG242" s="57" cm="1">
        <f t="array" ref="AG242">VLOOKUP(B242,'Player Data'!$A1:$AE673,21,FALSE)*$Q242</f>
        <v>0</v>
      </c>
      <c r="AH242" s="59" cm="1">
        <f t="array" ref="AH242">VLOOKUP(B242,'Player Data'!$A1:$AE673,22,FALSE)</f>
        <v>0</v>
      </c>
      <c r="AI242" s="55"/>
      <c r="AJ242" s="57"/>
      <c r="AK242" s="57"/>
      <c r="AL242" s="57"/>
      <c r="AM242" s="57"/>
      <c r="AN242" s="57"/>
      <c r="AO242" s="57"/>
      <c r="AP242" s="57"/>
      <c r="AQ242" s="60"/>
      <c r="AR242" s="61"/>
      <c r="AS242" s="55"/>
    </row>
    <row r="243" spans="1:45" ht="21.25" customHeight="1" x14ac:dyDescent="0.15">
      <c r="A243" s="62">
        <f t="shared" si="3"/>
        <v>242</v>
      </c>
      <c r="B243" s="10" t="s">
        <v>371</v>
      </c>
      <c r="C243" s="47" t="s">
        <v>147</v>
      </c>
      <c r="D243" s="48" t="str" cm="1">
        <f t="array" ref="D243">VLOOKUP(B243,'Player Data'!A1:D673,4,FALSE)</f>
        <v>D</v>
      </c>
      <c r="E243" s="68" cm="1">
        <f t="array" ref="E243">VLOOKUP(B243,D!A1:C204,3,FALSE)</f>
        <v>90</v>
      </c>
      <c r="F243" s="65" t="str" cm="1">
        <f t="array" ref="F243">VLOOKUP(B243,'Player Data'!A1:B673,2,FALSE)</f>
        <v>T.B</v>
      </c>
      <c r="G243" s="11" cm="1">
        <f t="array" ref="G243">VLOOKUP(B243,'Player Data'!A1:D673,3,FALSE)</f>
        <v>26</v>
      </c>
      <c r="H243" s="51" cm="1">
        <f t="array" ref="H243">IFERROR(VLOOKUP(B243,ADP!A1:F671,6,FALSE)/1000000,VLOOKUP(B243,ADP!A1:F671,6,FALSE))</f>
        <v>6.75</v>
      </c>
      <c r="I243" s="52">
        <f>IF(Settings!$E$15="POINTS",((R243*Q243)*Settings!$B$12)+(S243*Settings!$B$2)+(T243*Settings!$B$3)+(U243*Settings!$B$4)+(V243*Settings!$B$5)+(X243*Settings!$B$9)+(AA243*Settings!$B$6)+(W243*Settings!$B$8)+(AB243*Settings!$B$7)+(AC243*Settings!$B$14)+(AD243*Settings!$B$15)+(AE243*Settings!$B$16)+(AF243*Settings!$B$17)+(AG243*Settings!$B$18)+(U243*Settings!$B$13)+(Y243*Settings!$B$10)+(Z243*Settings!$B$11),VLOOKUP(B243,'Standard Deviations'!A$1:C$672,3,FALSE))</f>
        <v>185.81244141047875</v>
      </c>
      <c r="J243" s="53" cm="1">
        <f t="array" ref="J243">IF(D243="G",I243/AJ243,I243/Q243)</f>
        <v>2.3388079097577488</v>
      </c>
      <c r="K243" s="52" cm="1">
        <f t="array" ref="K243">VLOOKUP(B243,D!A1:F204,6,FALSE)</f>
        <v>-120.84142593411531</v>
      </c>
      <c r="L243" s="54" cm="1">
        <f t="array" ref="L243">IFERROR(K243/H243,"N/A")</f>
        <v>-17.902433471720787</v>
      </c>
      <c r="M243" s="85" t="s">
        <v>832</v>
      </c>
      <c r="N243" s="85" t="str" cm="1">
        <f t="array" ref="N243">IFERROR(M243-A243,"N/A")</f>
        <v>N/A</v>
      </c>
      <c r="O243" s="55"/>
      <c r="P243" s="56" t="str" cm="1">
        <f t="array" ref="P243">_xlfn.XLOOKUP($B243,ADP!A2:A671,ADP!G2:G671)</f>
        <v xml:space="preserve"> </v>
      </c>
      <c r="Q243" s="57" cm="1">
        <f t="array" ref="Q243">IF(Settings!$E$12="YES",VLOOKUP(B243,'Player Data'!A1:E673,5,FALSE),84)</f>
        <v>79.447500000000005</v>
      </c>
      <c r="R243" s="55" cm="1">
        <f t="array" ref="R243">VLOOKUP(B243,'Player Data'!$A1:$AE673,6,FALSE)</f>
        <v>21.4456115068588</v>
      </c>
      <c r="S243" s="57" cm="1">
        <f t="array" ref="S243">VLOOKUP(B243,'Player Data'!$A1:$AE673,7,FALSE)*$Q243*IFERROR((VLOOKUP(P243,Settings!$E$28:$F$33,2,FALSE)+1),1)</f>
        <v>5.7750894219477829</v>
      </c>
      <c r="T243" s="57" cm="1">
        <f t="array" ref="T243">VLOOKUP(B243,'Player Data'!$A1:$AE673,8,FALSE)*$Q243*IFERROR((VLOOKUP(P243,Settings!$E$28:$F$33,2,FALSE)+1),1)</f>
        <v>21.02890514129156</v>
      </c>
      <c r="U243" s="57" cm="1">
        <f t="array" ref="U243">SUM(S243:T243)</f>
        <v>26.803994563239343</v>
      </c>
      <c r="V243" s="57" cm="1">
        <f t="array" ref="V243">VLOOKUP(B243,'Player Data'!$A1:$AE673,10,FALSE)*$Q243*IFERROR(((VLOOKUP(P243,Settings!$E$28:$F$33,2,FALSE)/2)+1),1)</f>
        <v>102.2419825157433</v>
      </c>
      <c r="W243" s="57" cm="1">
        <f t="array" ref="W243">VLOOKUP(B243,'Player Data'!$A1:$AE673,11,FALSE)*$Q243*IFERROR((VLOOKUP(P243,Settings!$E$28:$F$33,2,FALSE)+1),1)</f>
        <v>8.091583918948481E-3</v>
      </c>
      <c r="X243" s="57" cm="1">
        <f t="array" ref="X243">VLOOKUP(B243,'Player Data'!$A1:$AE673,12,FALSE)*$Q243*IFERROR((VLOOKUP(P243,Settings!$E$28:$F$33,2,FALSE)+1),1)</f>
        <v>0.25194037382706536</v>
      </c>
      <c r="Y243" s="57" cm="1">
        <f t="array" ref="Y243">VLOOKUP(B243,'Player Data'!$A1:$AE673,13,FALSE)*$Q243</f>
        <v>0.3111787169978511</v>
      </c>
      <c r="Z243" s="57" cm="1">
        <f t="array" ref="Z243">VLOOKUP(B243,'Player Data'!$A1:$AE673,14,FALSE)*$Q243</f>
        <v>1.804800738480455</v>
      </c>
      <c r="AA243" s="57" cm="1">
        <f t="array" ref="AA243">VLOOKUP(B243,'Player Data'!$A1:$AE673,15,FALSE)*$Q243</f>
        <v>104.44545070116311</v>
      </c>
      <c r="AB243" s="57" cm="1">
        <f t="array" ref="AB243">VLOOKUP(B243,'Player Data'!$A1:$AE673,16,FALSE)*$Q243</f>
        <v>68.283164847647114</v>
      </c>
      <c r="AC243" s="57" cm="1">
        <f t="array" ref="AC243">VLOOKUP(B243,'Player Data'!$A1:$AE673,17,FALSE)*$Q243*IFERROR((VLOOKUP(P243,Settings!$E$28:$F$33,2,FALSE)+1),1)</f>
        <v>8.9456029650744089</v>
      </c>
      <c r="AD243" s="57" cm="1">
        <f t="array" ref="AD243">VLOOKUP(B243,'Player Data'!$A1:$AE673,18,FALSE)*$Q243</f>
        <v>42.301747715371931</v>
      </c>
      <c r="AE243" s="57" cm="1">
        <f t="array" ref="AE243">VLOOKUP(B243,'Player Data'!$A1:$AE673,19,FALSE)*$Q243*IFERROR((VLOOKUP(P243,Settings!$E$28:$F$33,2,FALSE)+1),1)</f>
        <v>1.0251328802273436</v>
      </c>
      <c r="AF243" s="57" cm="1">
        <f t="array" ref="AF243">VLOOKUP(B243,'Player Data'!$A1:$AE673,20,FALSE)*$Q243</f>
        <v>0</v>
      </c>
      <c r="AG243" s="57" cm="1">
        <f t="array" ref="AG243">VLOOKUP(B243,'Player Data'!$A1:$AE673,21,FALSE)*$Q243</f>
        <v>0</v>
      </c>
      <c r="AH243" s="59" cm="1">
        <f t="array" ref="AH243">VLOOKUP(B243,'Player Data'!$A1:$AE673,22,FALSE)</f>
        <v>0</v>
      </c>
      <c r="AI243" s="55"/>
      <c r="AJ243" s="57"/>
      <c r="AK243" s="57"/>
      <c r="AL243" s="57"/>
      <c r="AM243" s="57"/>
      <c r="AN243" s="57"/>
      <c r="AO243" s="57"/>
      <c r="AP243" s="57"/>
      <c r="AQ243" s="60"/>
      <c r="AR243" s="61"/>
      <c r="AS243" s="55"/>
    </row>
    <row r="244" spans="1:45" ht="21.25" customHeight="1" x14ac:dyDescent="0.15">
      <c r="A244" s="62">
        <f t="shared" si="3"/>
        <v>243</v>
      </c>
      <c r="B244" s="10" t="s">
        <v>372</v>
      </c>
      <c r="C244" s="47" t="s">
        <v>147</v>
      </c>
      <c r="D244" s="48" t="str" cm="1">
        <f t="array" ref="D244">VLOOKUP(B244,'Player Data'!A1:D673,4,FALSE)</f>
        <v>LW,RW</v>
      </c>
      <c r="E244" s="74" cm="1">
        <f t="array" ref="E244">VLOOKUP(B244,RW!A1:F210,3,FALSE)</f>
        <v>73</v>
      </c>
      <c r="F244" s="56" t="str" cm="1">
        <f t="array" ref="F244">VLOOKUP(B244,'Player Data'!A1:B673,2,FALSE)</f>
        <v>WSH</v>
      </c>
      <c r="G244" s="11" cm="1">
        <f t="array" ref="G244">VLOOKUP(B244,'Player Data'!A1:D673,3,FALSE)</f>
        <v>25</v>
      </c>
      <c r="H244" s="51" cm="1">
        <f t="array" ref="H244">IFERROR(VLOOKUP(B244,ADP!A1:F671,6,FALSE)/1000000,VLOOKUP(B244,ADP!A1:F671,6,FALSE))</f>
        <v>3.375</v>
      </c>
      <c r="I244" s="52">
        <f>IF(Settings!$E$15="POINTS",((R244*Q244)*Settings!$B$12)+(S244*Settings!$B$2)+(T244*Settings!$B$3)+(U244*Settings!$B$4)+(V244*Settings!$B$5)+(X244*Settings!$B$9)+(AA244*Settings!$B$6)+(W244*Settings!$B$8)+(AB244*Settings!$B$7)+(AC244*Settings!$B$14)+(AD244*Settings!$B$15)+(AE244*Settings!$B$16)+(AF244*Settings!$B$17)+(AG244*Settings!$B$18)+(Y244*Settings!$B$10)+(Z244*Settings!$B$11),VLOOKUP(B244,'Standard Deviations'!A$1:C$672,3,FALSE))</f>
        <v>273.83936588963974</v>
      </c>
      <c r="J244" s="53" cm="1">
        <f t="array" ref="J244">IF(D244="G",I244/AJ244,I244/Q244)</f>
        <v>3.3501268153858548</v>
      </c>
      <c r="K244" s="52" cm="1">
        <f t="array" ref="K244">IF(Settings!$E$18="C/LW/RW",VLOOKUP(B244,RW!A1:F210,6,FALSE),VLOOKUP(B244,F!A1:F407,6,FALSE))</f>
        <v>-121.10409880391774</v>
      </c>
      <c r="L244" s="54" cm="1">
        <f t="array" ref="L244">IFERROR(K244/H244,"N/A")</f>
        <v>-35.882695941901552</v>
      </c>
      <c r="M244" s="55">
        <v>139.6</v>
      </c>
      <c r="N244" s="55" cm="1">
        <f t="array" ref="N244">IFERROR(M244-A244,"N/A")</f>
        <v>-103.4</v>
      </c>
      <c r="O244" s="55"/>
      <c r="P244" s="56" t="str" cm="1">
        <f t="array" ref="P244">_xlfn.XLOOKUP($B244,ADP!A2:A671,ADP!G2:G671)</f>
        <v>+</v>
      </c>
      <c r="Q244" s="57" cm="1">
        <f t="array" ref="Q244">IF(Settings!$E$12="YES",VLOOKUP(B244,'Player Data'!A1:E673,5,FALSE),84)</f>
        <v>81.739999999999995</v>
      </c>
      <c r="R244" s="84" cm="1">
        <f t="array" ref="R244">VLOOKUP(B244,'Player Data'!$A1:$AE673,6,FALSE)</f>
        <v>16.6577715571011</v>
      </c>
      <c r="S244" s="57" cm="1">
        <f t="array" ref="S244">VLOOKUP(B244,'Player Data'!$A1:$AE673,7,FALSE)*$Q244*IFERROR((VLOOKUP(P244,Settings!$E$28:$F$33,2,FALSE)+1),1)</f>
        <v>24.957143345086873</v>
      </c>
      <c r="T244" s="57" cm="1">
        <f t="array" ref="T244">VLOOKUP(B244,'Player Data'!$A1:$AE673,8,FALSE)*$Q244*IFERROR((VLOOKUP(P244,Settings!$E$28:$F$33,2,FALSE)+1),1)</f>
        <v>31.909972221702631</v>
      </c>
      <c r="U244" s="57" cm="1">
        <f t="array" ref="U244">SUM(S244:T244)</f>
        <v>56.867115566789508</v>
      </c>
      <c r="V244" s="57" cm="1">
        <f t="array" ref="V244">VLOOKUP(B244,'Player Data'!$A1:$AE673,10,FALSE)*$Q244*IFERROR(((VLOOKUP(P244,Settings!$E$28:$F$33,2,FALSE)/2)+1),1)</f>
        <v>155.83846929592153</v>
      </c>
      <c r="W244" s="57" cm="1">
        <f t="array" ref="W244">VLOOKUP(B244,'Player Data'!$A1:$AE673,11,FALSE)*$Q244*IFERROR((VLOOKUP(P244,Settings!$E$28:$F$33,2,FALSE)+1),1)</f>
        <v>0.35151281786508171</v>
      </c>
      <c r="X244" s="57" cm="1">
        <f t="array" ref="X244">VLOOKUP(B244,'Player Data'!$A1:$AE673,12,FALSE)*$Q244*IFERROR((VLOOKUP(P244,Settings!$E$28:$F$33,2,FALSE)+1),1)</f>
        <v>1.4289936195917883</v>
      </c>
      <c r="Y244" s="57" cm="1">
        <f t="array" ref="Y244">VLOOKUP(B244,'Player Data'!$A1:$AE673,13,FALSE)*$Q244</f>
        <v>1.5276117635525006</v>
      </c>
      <c r="Z244" s="57" cm="1">
        <f t="array" ref="Z244">VLOOKUP(B244,'Player Data'!$A1:$AE673,14,FALSE)*$Q244</f>
        <v>2.9417156168174534</v>
      </c>
      <c r="AA244" s="57" cm="1">
        <f t="array" ref="AA244">VLOOKUP(B244,'Player Data'!$A1:$AE673,15,FALSE)*$Q244</f>
        <v>41.896150609802397</v>
      </c>
      <c r="AB244" s="57" cm="1">
        <f t="array" ref="AB244">VLOOKUP(B244,'Player Data'!$A1:$AE673,16,FALSE)*$Q244</f>
        <v>37.932412752758694</v>
      </c>
      <c r="AC244" s="57" cm="1">
        <f t="array" ref="AC244">VLOOKUP(B244,'Player Data'!$A1:$AE673,17,FALSE)*$Q244*IFERROR((VLOOKUP(P244,Settings!$E$28:$F$33,2,FALSE)+1),1)</f>
        <v>6.5116682896366829</v>
      </c>
      <c r="AD244" s="57" cm="1">
        <f t="array" ref="AD244">VLOOKUP(B244,'Player Data'!$A1:$AE673,18,FALSE)*$Q244</f>
        <v>21.370034321342843</v>
      </c>
      <c r="AE244" s="57" cm="1">
        <f t="array" ref="AE244">VLOOKUP(B244,'Player Data'!$A1:$AE673,19,FALSE)*$Q244*IFERROR((VLOOKUP(P244,Settings!$E$28:$F$33,2,FALSE)+1),1)</f>
        <v>3.7378142562788583</v>
      </c>
      <c r="AF244" s="57" cm="1">
        <f t="array" ref="AF244">VLOOKUP(B244,'Player Data'!$A1:$AE673,20,FALSE)*$Q244</f>
        <v>25.151915611469764</v>
      </c>
      <c r="AG244" s="57" cm="1">
        <f t="array" ref="AG244">VLOOKUP(B244,'Player Data'!$A1:$AE673,21,FALSE)*$Q244</f>
        <v>43.171524883643642</v>
      </c>
      <c r="AH244" s="59" cm="1">
        <f t="array" ref="AH244">VLOOKUP(B244,'Player Data'!$A1:$AE673,22,FALSE)</f>
        <v>0.36813010921586498</v>
      </c>
      <c r="AI244" s="55"/>
      <c r="AJ244" s="57"/>
      <c r="AK244" s="57"/>
      <c r="AL244" s="57"/>
      <c r="AM244" s="57"/>
      <c r="AN244" s="57"/>
      <c r="AO244" s="57"/>
      <c r="AP244" s="57"/>
      <c r="AQ244" s="60"/>
      <c r="AR244" s="61"/>
      <c r="AS244" s="55"/>
    </row>
    <row r="245" spans="1:45" ht="21.25" customHeight="1" x14ac:dyDescent="0.15">
      <c r="A245" s="62">
        <f t="shared" si="3"/>
        <v>244</v>
      </c>
      <c r="B245" s="10" t="s">
        <v>373</v>
      </c>
      <c r="C245" s="47" t="s">
        <v>128</v>
      </c>
      <c r="D245" s="48" t="str" cm="1">
        <f t="array" ref="D245">VLOOKUP(B245,'Player Data'!A1:D673,4,FALSE)</f>
        <v>RW</v>
      </c>
      <c r="E245" s="64" cm="1">
        <f t="array" ref="E245">VLOOKUP(B245,RW!A1:F210,3,FALSE)</f>
        <v>74</v>
      </c>
      <c r="F245" s="73" t="str" cm="1">
        <f t="array" ref="F245">VLOOKUP(B245,'Player Data'!A1:B673,2,FALSE)</f>
        <v>BUF</v>
      </c>
      <c r="G245" s="71" cm="1">
        <f t="array" ref="G245">VLOOKUP(B245,'Player Data'!A1:D673,3,FALSE)</f>
        <v>24</v>
      </c>
      <c r="H245" s="51" cm="1">
        <f t="array" ref="H245">IFERROR(VLOOKUP(B245,ADP!A1:F671,6,FALSE)/1000000,VLOOKUP(B245,ADP!A1:F671,6,FALSE))</f>
        <v>6.95</v>
      </c>
      <c r="I245" s="52">
        <f>IF(Settings!$E$15="POINTS",((R245*Q245)*Settings!$B$12)+(S245*Settings!$B$2)+(T245*Settings!$B$3)+(U245*Settings!$B$4)+(V245*Settings!$B$5)+(X245*Settings!$B$9)+(AA245*Settings!$B$6)+(W245*Settings!$B$8)+(AB245*Settings!$B$7)+(AC245*Settings!$B$14)+(AD245*Settings!$B$15)+(AE245*Settings!$B$16)+(AF245*Settings!$B$17)+(AG245*Settings!$B$18)+(Y245*Settings!$B$10)+(Z245*Settings!$B$11),VLOOKUP(B245,'Standard Deviations'!A$1:C$672,3,FALSE))</f>
        <v>273.41677229532252</v>
      </c>
      <c r="J245" s="53" cm="1">
        <f t="array" ref="J245">IF(D245="G",I245/AJ245,I245/Q245)</f>
        <v>3.5709246389828913</v>
      </c>
      <c r="K245" s="52" cm="1">
        <f t="array" ref="K245">IF(Settings!$E$18="C/LW/RW",VLOOKUP(B245,RW!A1:F210,6,FALSE),VLOOKUP(B245,F!A1:F407,6,FALSE))</f>
        <v>-121.52669239823496</v>
      </c>
      <c r="L245" s="54" cm="1">
        <f t="array" ref="L245">IFERROR(K245/H245,"N/A")</f>
        <v>-17.485855021328771</v>
      </c>
      <c r="M245" s="55">
        <v>134.69999999999999</v>
      </c>
      <c r="N245" s="55" cm="1">
        <f t="array" ref="N245">IFERROR(M245-A245,"N/A")</f>
        <v>-109.30000000000001</v>
      </c>
      <c r="O245" s="55"/>
      <c r="P245" s="56" t="str" cm="1">
        <f t="array" ref="P245">_xlfn.XLOOKUP($B245,ADP!A2:A671,ADP!G2:G671)</f>
        <v>+</v>
      </c>
      <c r="Q245" s="57" cm="1">
        <f t="array" ref="Q245">IF(Settings!$E$12="YES",VLOOKUP(B245,'Player Data'!A1:E673,5,FALSE),84)</f>
        <v>76.567499999999995</v>
      </c>
      <c r="R245" s="55" cm="1">
        <f t="array" ref="R245">VLOOKUP(B245,'Player Data'!$A1:$AE673,6,FALSE)</f>
        <v>16.622944553222801</v>
      </c>
      <c r="S245" s="57" cm="1">
        <f t="array" ref="S245">VLOOKUP(B245,'Player Data'!$A1:$AE673,7,FALSE)*$Q245*IFERROR((VLOOKUP(P245,Settings!$E$28:$F$33,2,FALSE)+1),1)</f>
        <v>24.073184443376096</v>
      </c>
      <c r="T245" s="57" cm="1">
        <f t="array" ref="T245">VLOOKUP(B245,'Player Data'!$A1:$AE673,8,FALSE)*$Q245*IFERROR((VLOOKUP(P245,Settings!$E$28:$F$33,2,FALSE)+1),1)</f>
        <v>28.220997436803184</v>
      </c>
      <c r="U245" s="57" cm="1">
        <f t="array" ref="U245">SUM(S245:T245)</f>
        <v>52.294181880179281</v>
      </c>
      <c r="V245" s="57" cm="1">
        <f t="array" ref="V245">VLOOKUP(B245,'Player Data'!$A1:$AE673,10,FALSE)*$Q245*IFERROR(((VLOOKUP(P245,Settings!$E$28:$F$33,2,FALSE)/2)+1),1)</f>
        <v>169.87182580842943</v>
      </c>
      <c r="W245" s="57" cm="1">
        <f t="array" ref="W245">VLOOKUP(B245,'Player Data'!$A1:$AE673,11,FALSE)*$Q245*IFERROR((VLOOKUP(P245,Settings!$E$28:$F$33,2,FALSE)+1),1)</f>
        <v>8.3407832033150484</v>
      </c>
      <c r="X245" s="79" cm="1">
        <f t="array" ref="X245">VLOOKUP(B245,'Player Data'!$A1:$AE673,12,FALSE)*$Q245*IFERROR((VLOOKUP(P245,Settings!$E$28:$F$33,2,FALSE)+1),1)</f>
        <v>16.105710606709302</v>
      </c>
      <c r="Y245" s="57" cm="1">
        <f t="array" ref="Y245">VLOOKUP(B245,'Player Data'!$A1:$AE673,13,FALSE)*$Q245</f>
        <v>5.1679784557514021E-3</v>
      </c>
      <c r="Z245" s="57" cm="1">
        <f t="array" ref="Z245">VLOOKUP(B245,'Player Data'!$A1:$AE673,14,FALSE)*$Q245</f>
        <v>8.4754661228526647E-3</v>
      </c>
      <c r="AA245" s="57" cm="1">
        <f t="array" ref="AA245">VLOOKUP(B245,'Player Data'!$A1:$AE673,15,FALSE)*$Q245</f>
        <v>30.968255355475605</v>
      </c>
      <c r="AB245" s="57" cm="1">
        <f t="array" ref="AB245">VLOOKUP(B245,'Player Data'!$A1:$AE673,16,FALSE)*$Q245</f>
        <v>78.314035713660559</v>
      </c>
      <c r="AC245" s="57" cm="1">
        <f t="array" ref="AC245">VLOOKUP(B245,'Player Data'!$A1:$AE673,17,FALSE)*$Q245*IFERROR((VLOOKUP(P245,Settings!$E$28:$F$33,2,FALSE)+1),1)</f>
        <v>2.8569313650997183</v>
      </c>
      <c r="AD245" s="57" cm="1">
        <f t="array" ref="AD245">VLOOKUP(B245,'Player Data'!$A1:$AE673,18,FALSE)*$Q245</f>
        <v>23.592290865493833</v>
      </c>
      <c r="AE245" s="57" cm="1">
        <f t="array" ref="AE245">VLOOKUP(B245,'Player Data'!$A1:$AE673,19,FALSE)*$Q245*IFERROR((VLOOKUP(P245,Settings!$E$28:$F$33,2,FALSE)+1),1)</f>
        <v>3.629513540366696</v>
      </c>
      <c r="AF245" s="57" cm="1">
        <f t="array" ref="AF245">VLOOKUP(B245,'Player Data'!$A1:$AE673,20,FALSE)*$Q245</f>
        <v>9.3868078577257226</v>
      </c>
      <c r="AG245" s="57" cm="1">
        <f t="array" ref="AG245">VLOOKUP(B245,'Player Data'!$A1:$AE673,21,FALSE)*$Q245</f>
        <v>23.472618282391693</v>
      </c>
      <c r="AH245" s="59" cm="1">
        <f t="array" ref="AH245">VLOOKUP(B245,'Player Data'!$A1:$AE673,22,FALSE)</f>
        <v>0.28566560528777901</v>
      </c>
      <c r="AI245" s="55"/>
      <c r="AJ245" s="57"/>
      <c r="AK245" s="57"/>
      <c r="AL245" s="57"/>
      <c r="AM245" s="57"/>
      <c r="AN245" s="57"/>
      <c r="AO245" s="57"/>
      <c r="AP245" s="57"/>
      <c r="AQ245" s="60"/>
      <c r="AR245" s="61"/>
      <c r="AS245" s="55"/>
    </row>
    <row r="246" spans="1:45" ht="21.25" customHeight="1" x14ac:dyDescent="0.15">
      <c r="A246" s="62">
        <f t="shared" si="3"/>
        <v>245</v>
      </c>
      <c r="B246" s="10" t="s">
        <v>374</v>
      </c>
      <c r="C246" s="47" t="s">
        <v>147</v>
      </c>
      <c r="D246" s="48" t="str" cm="1">
        <f t="array" ref="D246">VLOOKUP(B246,'Player Data'!A1:D673,4,FALSE)</f>
        <v>C</v>
      </c>
      <c r="E246" s="49" cm="1">
        <f t="array" ref="E246">VLOOKUP(B246,'C'!A1:C210,3,FALSE)</f>
        <v>65</v>
      </c>
      <c r="F246" s="18" t="str" cm="1">
        <f t="array" ref="F246">VLOOKUP(B246,'Player Data'!A1:B673,2,FALSE)</f>
        <v>OTT</v>
      </c>
      <c r="G246" s="11" cm="1">
        <f t="array" ref="G246">VLOOKUP(B246,'Player Data'!A1:D673,3,FALSE)</f>
        <v>25</v>
      </c>
      <c r="H246" s="51" cm="1">
        <f t="array" ref="H246">IFERROR(VLOOKUP(B246,ADP!A1:F671,6,FALSE)/1000000,VLOOKUP(B246,ADP!A1:F671,6,FALSE))</f>
        <v>7.5</v>
      </c>
      <c r="I246" s="52">
        <f>IF(Settings!$E$15="POINTS",((R246*Q246)*Settings!$B$12)+(S246*Settings!$B$2)+(T246*Settings!$B$3)+(U246*Settings!$B$4)+(V246*Settings!$B$5)+(X246*Settings!$B$9)+(AA246*Settings!$B$6)+(W246*Settings!$B$8)+(AB246*Settings!$B$7)+(AC246*Settings!$B$14)+(AD246*Settings!$B$15)+(AE246*Settings!$B$16)+(AF246*Settings!$B$17)+(AG246*Settings!$B$18)+(Y246*Settings!$B$10)+(Z246*Settings!$B$11),VLOOKUP(B246,'Standard Deviations'!A$1:C$672,3,FALSE))</f>
        <v>264.83905330530808</v>
      </c>
      <c r="J246" s="53" cm="1">
        <f t="array" ref="J246">IF(D246="G",I246/AJ246,I246/Q246)</f>
        <v>3.4617221528698527</v>
      </c>
      <c r="K246" s="52" cm="1">
        <f t="array" ref="K246">IF(Settings!$E$18="C/LW/RW",VLOOKUP(B246,'C'!A1:F210,6,FALSE),VLOOKUP(B246,F!A1:F407,6,FALSE))</f>
        <v>-121.69615308777492</v>
      </c>
      <c r="L246" s="54" cm="1">
        <f t="array" ref="L246">IFERROR(K246/H246,"N/A")</f>
        <v>-16.226153745036655</v>
      </c>
      <c r="M246" s="85" t="s">
        <v>832</v>
      </c>
      <c r="N246" s="85" t="str" cm="1">
        <f t="array" ref="N246">IFERROR(M246-A246,"N/A")</f>
        <v>N/A</v>
      </c>
      <c r="O246" s="55"/>
      <c r="P246" s="56" t="str" cm="1">
        <f t="array" ref="P246">_xlfn.XLOOKUP($B246,ADP!A2:A671,ADP!G2:G671)</f>
        <v xml:space="preserve"> </v>
      </c>
      <c r="Q246" s="57" cm="1">
        <f t="array" ref="Q246">IF(Settings!$E$12="YES",VLOOKUP(B246,'Player Data'!A1:E673,5,FALSE),84)</f>
        <v>76.504999999999995</v>
      </c>
      <c r="R246" s="55" cm="1">
        <f t="array" ref="R246">VLOOKUP(B246,'Player Data'!$A1:$AE673,6,FALSE)</f>
        <v>18.522640594300501</v>
      </c>
      <c r="S246" s="57" cm="1">
        <f t="array" ref="S246">VLOOKUP(B246,'Player Data'!$A1:$AE673,7,FALSE)*$Q246*IFERROR((VLOOKUP(P246,Settings!$E$28:$F$33,2,FALSE)+1),1)</f>
        <v>23.189499292963436</v>
      </c>
      <c r="T246" s="57" cm="1">
        <f t="array" ref="T246">VLOOKUP(B246,'Player Data'!$A1:$AE673,8,FALSE)*$Q246*IFERROR((VLOOKUP(P246,Settings!$E$28:$F$33,2,FALSE)+1),1)</f>
        <v>25.037177293867714</v>
      </c>
      <c r="U246" s="57" cm="1">
        <f t="array" ref="U246">SUM(S246:T246)</f>
        <v>48.226676586831147</v>
      </c>
      <c r="V246" s="57" cm="1">
        <f t="array" ref="V246">VLOOKUP(B246,'Player Data'!$A1:$AE673,10,FALSE)*$Q246*IFERROR(((VLOOKUP(P246,Settings!$E$28:$F$33,2,FALSE)/2)+1),1)</f>
        <v>165.93040702024373</v>
      </c>
      <c r="W246" s="57" cm="1">
        <f t="array" ref="W246">VLOOKUP(B246,'Player Data'!$A1:$AE673,11,FALSE)*$Q246*IFERROR((VLOOKUP(P246,Settings!$E$28:$F$33,2,FALSE)+1),1)</f>
        <v>4.2016955733179673</v>
      </c>
      <c r="X246" s="57" cm="1">
        <f t="array" ref="X246">VLOOKUP(B246,'Player Data'!$A1:$AE673,12,FALSE)*$Q246*IFERROR((VLOOKUP(P246,Settings!$E$28:$F$33,2,FALSE)+1),1)</f>
        <v>5.9901327666668651</v>
      </c>
      <c r="Y246" s="57" cm="1">
        <f t="array" ref="Y246">VLOOKUP(B246,'Player Data'!$A1:$AE673,13,FALSE)*$Q246</f>
        <v>1.731921573600476</v>
      </c>
      <c r="Z246" s="57" cm="1">
        <f t="array" ref="Z246">VLOOKUP(B246,'Player Data'!$A1:$AE673,14,FALSE)*$Q246</f>
        <v>3.7247000239884227</v>
      </c>
      <c r="AA246" s="57" cm="1">
        <f t="array" ref="AA246">VLOOKUP(B246,'Player Data'!$A1:$AE673,15,FALSE)*$Q246</f>
        <v>54.957974488074882</v>
      </c>
      <c r="AB246" s="57" cm="1">
        <f t="array" ref="AB246">VLOOKUP(B246,'Player Data'!$A1:$AE673,16,FALSE)*$Q246</f>
        <v>91.792473282153011</v>
      </c>
      <c r="AC246" s="57" cm="1">
        <f t="array" ref="AC246">VLOOKUP(B246,'Player Data'!$A1:$AE673,17,FALSE)*$Q246*IFERROR((VLOOKUP(P246,Settings!$E$28:$F$33,2,FALSE)+1),1)</f>
        <v>2.7086464040216494</v>
      </c>
      <c r="AD246" s="57" cm="1">
        <f t="array" ref="AD246">VLOOKUP(B246,'Player Data'!$A1:$AE673,18,FALSE)*$Q246</f>
        <v>36.400484066062106</v>
      </c>
      <c r="AE246" s="57" cm="1">
        <f t="array" ref="AE246">VLOOKUP(B246,'Player Data'!$A1:$AE673,19,FALSE)*$Q246*IFERROR((VLOOKUP(P246,Settings!$E$28:$F$33,2,FALSE)+1),1)</f>
        <v>4.1134734786323346</v>
      </c>
      <c r="AF246" s="57" cm="1">
        <f t="array" ref="AF246">VLOOKUP(B246,'Player Data'!$A1:$AE673,20,FALSE)*$Q246</f>
        <v>432.38115709014545</v>
      </c>
      <c r="AG246" s="57" cm="1">
        <f t="array" ref="AG246">VLOOKUP(B246,'Player Data'!$A1:$AE673,21,FALSE)*$Q246</f>
        <v>415.16045135748897</v>
      </c>
      <c r="AH246" s="59" cm="1">
        <f t="array" ref="AH246">VLOOKUP(B246,'Player Data'!$A1:$AE673,22,FALSE)</f>
        <v>0.51015920962523498</v>
      </c>
      <c r="AI246" s="55"/>
      <c r="AJ246" s="57"/>
      <c r="AK246" s="57"/>
      <c r="AL246" s="57"/>
      <c r="AM246" s="57"/>
      <c r="AN246" s="57"/>
      <c r="AO246" s="57"/>
      <c r="AP246" s="57"/>
      <c r="AQ246" s="60"/>
      <c r="AR246" s="61"/>
      <c r="AS246" s="55"/>
    </row>
    <row r="247" spans="1:45" ht="21.25" customHeight="1" x14ac:dyDescent="0.15">
      <c r="A247" s="62">
        <f t="shared" si="3"/>
        <v>246</v>
      </c>
      <c r="B247" s="10" t="s">
        <v>375</v>
      </c>
      <c r="C247" s="47" t="s">
        <v>128</v>
      </c>
      <c r="D247" s="48" t="str" cm="1">
        <f t="array" ref="D247">VLOOKUP(B247,'Player Data'!A1:D673,4,FALSE)</f>
        <v>C,LW</v>
      </c>
      <c r="E247" s="74" cm="1">
        <f t="array" ref="E247">VLOOKUP(B247,LW!A1:C210,3,FALSE)</f>
        <v>60</v>
      </c>
      <c r="F247" s="50" t="str" cm="1">
        <f t="array" ref="F247">VLOOKUP(B247,'Player Data'!A1:B673,2,FALSE)</f>
        <v>ANA</v>
      </c>
      <c r="G247" s="66" cm="1">
        <f t="array" ref="G247">VLOOKUP(B247,'Player Data'!A1:D673,3,FALSE)</f>
        <v>34</v>
      </c>
      <c r="H247" s="51" cm="1">
        <f t="array" ref="H247">IFERROR(VLOOKUP(B247,ADP!A1:F671,6,FALSE)/1000000,VLOOKUP(B247,ADP!A1:F671,6,FALSE))</f>
        <v>7</v>
      </c>
      <c r="I247" s="52">
        <f>IF(Settings!$E$15="POINTS",((R247*Q247)*Settings!$B$12)+(S247*Settings!$B$2)+(T247*Settings!$B$3)+(U247*Settings!$B$4)+(V247*Settings!$B$5)+(X247*Settings!$B$9)+(AA247*Settings!$B$6)+(W247*Settings!$B$8)+(AB247*Settings!$B$7)+(AC247*Settings!$B$14)+(AD247*Settings!$B$15)+(AE247*Settings!$B$16)+(AF247*Settings!$B$17)+(AG247*Settings!$B$18)+(Y247*Settings!$B$10)+(Z247*Settings!$B$11),VLOOKUP(B247,'Standard Deviations'!A$1:C$672,3,FALSE))</f>
        <v>277.53981970935575</v>
      </c>
      <c r="J247" s="53" cm="1">
        <f t="array" ref="J247">IF(D247="G",I247/AJ247,I247/Q247)</f>
        <v>3.5307040639806093</v>
      </c>
      <c r="K247" s="52" cm="1">
        <f t="array" ref="K247">IF(Settings!$E$18="C/LW/RW",VLOOKUP(B247,LW!A1:F210,6,FALSE),VLOOKUP(B247,F!A1:F407,6,FALSE))</f>
        <v>-121.77317360436433</v>
      </c>
      <c r="L247" s="54" cm="1">
        <f t="array" ref="L247">IFERROR(K247/H247,"N/A")</f>
        <v>-17.396167657766334</v>
      </c>
      <c r="M247" s="85" t="s">
        <v>832</v>
      </c>
      <c r="N247" s="85" t="str" cm="1">
        <f t="array" ref="N247">IFERROR(M247-A247,"N/A")</f>
        <v>N/A</v>
      </c>
      <c r="O247" s="55"/>
      <c r="P247" s="56" t="str" cm="1">
        <f t="array" ref="P247">_xlfn.XLOOKUP($B247,ADP!A2:A671,ADP!G2:G671)</f>
        <v xml:space="preserve"> </v>
      </c>
      <c r="Q247" s="57" cm="1">
        <f t="array" ref="Q247">IF(Settings!$E$12="YES",VLOOKUP(B247,'Player Data'!A1:E673,5,FALSE),84)</f>
        <v>78.607500000000002</v>
      </c>
      <c r="R247" s="55" cm="1">
        <f t="array" ref="R247">VLOOKUP(B247,'Player Data'!$A1:$AE673,6,FALSE)</f>
        <v>18.461161012536898</v>
      </c>
      <c r="S247" s="57" cm="1">
        <f t="array" ref="S247">VLOOKUP(B247,'Player Data'!$A1:$AE673,7,FALSE)*$Q247*IFERROR((VLOOKUP(P247,Settings!$E$28:$F$33,2,FALSE)+1),1)</f>
        <v>19.950789478438335</v>
      </c>
      <c r="T247" s="57" cm="1">
        <f t="array" ref="T247">VLOOKUP(B247,'Player Data'!$A1:$AE673,8,FALSE)*$Q247*IFERROR((VLOOKUP(P247,Settings!$E$28:$F$33,2,FALSE)+1),1)</f>
        <v>34.188706027475021</v>
      </c>
      <c r="U247" s="57" cm="1">
        <f t="array" ref="U247">SUM(S247:T247)</f>
        <v>54.139495505913359</v>
      </c>
      <c r="V247" s="57" cm="1">
        <f t="array" ref="V247">VLOOKUP(B247,'Player Data'!$A1:$AE673,10,FALSE)*$Q247*IFERROR(((VLOOKUP(P247,Settings!$E$28:$F$33,2,FALSE)/2)+1),1)</f>
        <v>146.93493176866653</v>
      </c>
      <c r="W247" s="57" cm="1">
        <f t="array" ref="W247">VLOOKUP(B247,'Player Data'!$A1:$AE673,11,FALSE)*$Q247*IFERROR((VLOOKUP(P247,Settings!$E$28:$F$33,2,FALSE)+1),1)</f>
        <v>4.6218987682609622</v>
      </c>
      <c r="X247" s="57" cm="1">
        <f t="array" ref="X247">VLOOKUP(B247,'Player Data'!$A1:$AE673,12,FALSE)*$Q247*IFERROR((VLOOKUP(P247,Settings!$E$28:$F$33,2,FALSE)+1),1)</f>
        <v>13.900574165630063</v>
      </c>
      <c r="Y247" s="57" cm="1">
        <f t="array" ref="Y247">VLOOKUP(B247,'Player Data'!$A1:$AE673,13,FALSE)*$Q247</f>
        <v>0.39066639743098575</v>
      </c>
      <c r="Z247" s="57" cm="1">
        <f t="array" ref="Z247">VLOOKUP(B247,'Player Data'!$A1:$AE673,14,FALSE)*$Q247</f>
        <v>0.65013508470378856</v>
      </c>
      <c r="AA247" s="57" cm="1">
        <f t="array" ref="AA247">VLOOKUP(B247,'Player Data'!$A1:$AE673,15,FALSE)*$Q247</f>
        <v>54.206316113897124</v>
      </c>
      <c r="AB247" s="57" cm="1">
        <f t="array" ref="AB247">VLOOKUP(B247,'Player Data'!$A1:$AE673,16,FALSE)*$Q247</f>
        <v>52.843838723303094</v>
      </c>
      <c r="AC247" s="57" cm="1">
        <f t="array" ref="AC247">VLOOKUP(B247,'Player Data'!$A1:$AE673,17,FALSE)*$Q247*IFERROR((VLOOKUP(P247,Settings!$E$28:$F$33,2,FALSE)+1),1)</f>
        <v>-1.9164946103555276</v>
      </c>
      <c r="AD247" s="57" cm="1">
        <f t="array" ref="AD247">VLOOKUP(B247,'Player Data'!$A1:$AE673,18,FALSE)*$Q247</f>
        <v>27.292943995840012</v>
      </c>
      <c r="AE247" s="57" cm="1">
        <f t="array" ref="AE247">VLOOKUP(B247,'Player Data'!$A1:$AE673,19,FALSE)*$Q247*IFERROR((VLOOKUP(P247,Settings!$E$28:$F$33,2,FALSE)+1),1)</f>
        <v>2.914753142304602</v>
      </c>
      <c r="AF247" s="57" cm="1">
        <f t="array" ref="AF247">VLOOKUP(B247,'Player Data'!$A1:$AE673,20,FALSE)*$Q247</f>
        <v>461.0094646570891</v>
      </c>
      <c r="AG247" s="57" cm="1">
        <f t="array" ref="AG247">VLOOKUP(B247,'Player Data'!$A1:$AE673,21,FALSE)*$Q247</f>
        <v>481.59282263507583</v>
      </c>
      <c r="AH247" s="59" cm="1">
        <f t="array" ref="AH247">VLOOKUP(B247,'Player Data'!$A1:$AE673,22,FALSE)</f>
        <v>0.48908163164068003</v>
      </c>
      <c r="AI247" s="55"/>
      <c r="AJ247" s="57"/>
      <c r="AK247" s="57"/>
      <c r="AL247" s="57"/>
      <c r="AM247" s="57"/>
      <c r="AN247" s="57"/>
      <c r="AO247" s="57"/>
      <c r="AP247" s="57"/>
      <c r="AQ247" s="60"/>
      <c r="AR247" s="61"/>
      <c r="AS247" s="55"/>
    </row>
    <row r="248" spans="1:45" ht="21.25" customHeight="1" x14ac:dyDescent="0.15">
      <c r="A248" s="62">
        <f t="shared" si="3"/>
        <v>247</v>
      </c>
      <c r="B248" s="10" t="s">
        <v>376</v>
      </c>
      <c r="C248" s="47" t="s">
        <v>147</v>
      </c>
      <c r="D248" s="48" t="str" cm="1">
        <f t="array" ref="D248">VLOOKUP(B248,'Player Data'!A1:D673,4,FALSE)</f>
        <v>D</v>
      </c>
      <c r="E248" s="68" cm="1">
        <f t="array" ref="E248">VLOOKUP(B248,D!A1:C204,3,FALSE)</f>
        <v>91</v>
      </c>
      <c r="F248" s="63" t="str" cm="1">
        <f t="array" ref="F248">VLOOKUP(B248,'Player Data'!A1:B673,2,FALSE)</f>
        <v>SEA</v>
      </c>
      <c r="G248" s="66" cm="1">
        <f t="array" ref="G248">VLOOKUP(B248,'Player Data'!A1:D673,3,FALSE)</f>
        <v>33</v>
      </c>
      <c r="H248" s="51" cm="1">
        <f t="array" ref="H248">IFERROR(VLOOKUP(B248,ADP!A1:F671,6,FALSE)/1000000,VLOOKUP(B248,ADP!A1:F671,6,FALSE))</f>
        <v>5.25</v>
      </c>
      <c r="I248" s="52">
        <f>IF(Settings!$E$15="POINTS",((R248*Q248)*Settings!$B$12)+(S248*Settings!$B$2)+(T248*Settings!$B$3)+(U248*Settings!$B$4)+(V248*Settings!$B$5)+(X248*Settings!$B$9)+(AA248*Settings!$B$6)+(W248*Settings!$B$8)+(AB248*Settings!$B$7)+(AC248*Settings!$B$14)+(AD248*Settings!$B$15)+(AE248*Settings!$B$16)+(AF248*Settings!$B$17)+(AG248*Settings!$B$18)+(U248*Settings!$B$13)+(Y248*Settings!$B$10)+(Z248*Settings!$B$11),VLOOKUP(B248,'Standard Deviations'!A$1:C$672,3,FALSE))</f>
        <v>183.89209987904329</v>
      </c>
      <c r="J248" s="53" cm="1">
        <f t="array" ref="J248">IF(D248="G",I248/AJ248,I248/Q248)</f>
        <v>2.1910175131543341</v>
      </c>
      <c r="K248" s="52" cm="1">
        <f t="array" ref="K248">VLOOKUP(B248,D!A1:F204,6,FALSE)</f>
        <v>-122.76176746555078</v>
      </c>
      <c r="L248" s="54" cm="1">
        <f t="array" ref="L248">IFERROR(K248/H248,"N/A")</f>
        <v>-23.383193802962051</v>
      </c>
      <c r="M248" s="85" t="s">
        <v>832</v>
      </c>
      <c r="N248" s="85" t="str" cm="1">
        <f t="array" ref="N248">IFERROR(M248-A248,"N/A")</f>
        <v>N/A</v>
      </c>
      <c r="O248" s="81"/>
      <c r="P248" s="56" t="str" cm="1">
        <f t="array" ref="P248">_xlfn.XLOOKUP($B248,ADP!A2:A671,ADP!G2:G671)</f>
        <v xml:space="preserve"> </v>
      </c>
      <c r="Q248" s="57" cm="1">
        <f t="array" ref="Q248">IF(Settings!$E$12="YES",VLOOKUP(B248,'Player Data'!A1:E673,5,FALSE),84)</f>
        <v>83.93</v>
      </c>
      <c r="R248" s="55" cm="1">
        <f t="array" ref="R248">VLOOKUP(B248,'Player Data'!$A1:$AE673,6,FALSE)</f>
        <v>20.7153809704967</v>
      </c>
      <c r="S248" s="57" cm="1">
        <f t="array" ref="S248">VLOOKUP(B248,'Player Data'!$A1:$AE673,7,FALSE)*$Q248*IFERROR((VLOOKUP(P248,Settings!$E$28:$F$33,2,FALSE)+1),1)</f>
        <v>3.590200834831013</v>
      </c>
      <c r="T248" s="57" cm="1">
        <f t="array" ref="T248">VLOOKUP(B248,'Player Data'!$A1:$AE673,8,FALSE)*$Q248*IFERROR((VLOOKUP(P248,Settings!$E$28:$F$33,2,FALSE)+1),1)</f>
        <v>16.036735183113851</v>
      </c>
      <c r="U248" s="57" cm="1">
        <f t="array" ref="U248">SUM(S248:T248)</f>
        <v>19.626936017944864</v>
      </c>
      <c r="V248" s="57" cm="1">
        <f t="array" ref="V248">VLOOKUP(B248,'Player Data'!$A1:$AE673,10,FALSE)*$Q248*IFERROR(((VLOOKUP(P248,Settings!$E$28:$F$33,2,FALSE)/2)+1),1)</f>
        <v>95.901907503408012</v>
      </c>
      <c r="W248" s="57" cm="1">
        <f t="array" ref="W248">VLOOKUP(B248,'Player Data'!$A1:$AE673,11,FALSE)*$Q248*IFERROR((VLOOKUP(P248,Settings!$E$28:$F$33,2,FALSE)+1),1)</f>
        <v>7.221505313973137E-3</v>
      </c>
      <c r="X248" s="57" cm="1">
        <f t="array" ref="X248">VLOOKUP(B248,'Player Data'!$A1:$AE673,12,FALSE)*$Q248*IFERROR((VLOOKUP(P248,Settings!$E$28:$F$33,2,FALSE)+1),1)</f>
        <v>7.5077225056056407E-2</v>
      </c>
      <c r="Y248" s="57" cm="1">
        <f t="array" ref="Y248">VLOOKUP(B248,'Player Data'!$A1:$AE673,13,FALSE)*$Q248</f>
        <v>1.253949076052379E-2</v>
      </c>
      <c r="Z248" s="57" cm="1">
        <f t="array" ref="Z248">VLOOKUP(B248,'Player Data'!$A1:$AE673,14,FALSE)*$Q248</f>
        <v>0.22218147893424306</v>
      </c>
      <c r="AA248" s="57" cm="1">
        <f t="array" ref="AA248">VLOOKUP(B248,'Player Data'!$A1:$AE673,15,FALSE)*$Q248</f>
        <v>153.52615873902877</v>
      </c>
      <c r="AB248" s="57" cm="1">
        <f t="array" ref="AB248">VLOOKUP(B248,'Player Data'!$A1:$AE673,16,FALSE)*$Q248</f>
        <v>105.34158759855691</v>
      </c>
      <c r="AC248" s="57" cm="1">
        <f t="array" ref="AC248">VLOOKUP(B248,'Player Data'!$A1:$AE673,17,FALSE)*$Q248*IFERROR((VLOOKUP(P248,Settings!$E$28:$F$33,2,FALSE)+1),1)</f>
        <v>-8.7711668231896009</v>
      </c>
      <c r="AD248" s="57" cm="1">
        <f t="array" ref="AD248">VLOOKUP(B248,'Player Data'!$A1:$AE673,18,FALSE)*$Q248</f>
        <v>39.655608499744211</v>
      </c>
      <c r="AE248" s="57" cm="1">
        <f t="array" ref="AE248">VLOOKUP(B248,'Player Data'!$A1:$AE673,19,FALSE)*$Q248*IFERROR((VLOOKUP(P248,Settings!$E$28:$F$33,2,FALSE)+1),1)</f>
        <v>0.49464058309586234</v>
      </c>
      <c r="AF248" s="57" cm="1">
        <f t="array" ref="AF248">VLOOKUP(B248,'Player Data'!$A1:$AE673,20,FALSE)*$Q248</f>
        <v>0</v>
      </c>
      <c r="AG248" s="57" cm="1">
        <f t="array" ref="AG248">VLOOKUP(B248,'Player Data'!$A1:$AE673,21,FALSE)*$Q248</f>
        <v>0</v>
      </c>
      <c r="AH248" s="59" cm="1">
        <f t="array" ref="AH248">VLOOKUP(B248,'Player Data'!$A1:$AE673,22,FALSE)</f>
        <v>0</v>
      </c>
      <c r="AI248" s="55"/>
      <c r="AJ248" s="57"/>
      <c r="AK248" s="57"/>
      <c r="AL248" s="57"/>
      <c r="AM248" s="57"/>
      <c r="AN248" s="57"/>
      <c r="AO248" s="57"/>
      <c r="AP248" s="57"/>
      <c r="AQ248" s="60"/>
      <c r="AR248" s="61"/>
      <c r="AS248" s="55"/>
    </row>
    <row r="249" spans="1:45" ht="21.25" customHeight="1" x14ac:dyDescent="0.15">
      <c r="A249" s="62">
        <f t="shared" si="3"/>
        <v>248</v>
      </c>
      <c r="B249" s="10" t="s">
        <v>377</v>
      </c>
      <c r="C249" s="47" t="s">
        <v>147</v>
      </c>
      <c r="D249" s="48" t="str" cm="1">
        <f t="array" ref="D249">VLOOKUP(B249,'Player Data'!A1:D673,4,FALSE)</f>
        <v>D</v>
      </c>
      <c r="E249" s="68" cm="1">
        <f t="array" ref="E249">VLOOKUP(B249,D!A1:C204,3,FALSE)</f>
        <v>92</v>
      </c>
      <c r="F249" s="72" t="str" cm="1">
        <f t="array" ref="F249">VLOOKUP(B249,'Player Data'!A1:B673,2,FALSE)</f>
        <v>BOS</v>
      </c>
      <c r="G249" s="66" cm="1">
        <f t="array" ref="G249">VLOOKUP(B249,'Player Data'!A1:D673,3,FALSE)</f>
        <v>32</v>
      </c>
      <c r="H249" s="51" cm="1">
        <f t="array" ref="H249">IFERROR(VLOOKUP(B249,ADP!A1:F671,6,FALSE)/1000000,VLOOKUP(B249,ADP!A1:F671,6,FALSE))</f>
        <v>6.5</v>
      </c>
      <c r="I249" s="52">
        <f>IF(Settings!$E$15="POINTS",((R249*Q249)*Settings!$B$12)+(S249*Settings!$B$2)+(T249*Settings!$B$3)+(U249*Settings!$B$4)+(V249*Settings!$B$5)+(X249*Settings!$B$9)+(AA249*Settings!$B$6)+(W249*Settings!$B$8)+(AB249*Settings!$B$7)+(AC249*Settings!$B$14)+(AD249*Settings!$B$15)+(AE249*Settings!$B$16)+(AF249*Settings!$B$17)+(AG249*Settings!$B$18)+(U249*Settings!$B$13)+(Y249*Settings!$B$10)+(Z249*Settings!$B$11),VLOOKUP(B249,'Standard Deviations'!A$1:C$672,3,FALSE))</f>
        <v>183.539895769525</v>
      </c>
      <c r="J249" s="53" cm="1">
        <f t="array" ref="J249">IF(D249="G",I249/AJ249,I249/Q249)</f>
        <v>2.5659149415563398</v>
      </c>
      <c r="K249" s="52" cm="1">
        <f t="array" ref="K249">VLOOKUP(B249,D!A1:F204,6,FALSE)</f>
        <v>-123.11397157506906</v>
      </c>
      <c r="L249" s="54" cm="1">
        <f t="array" ref="L249">IFERROR(K249/H249,"N/A")</f>
        <v>-18.940611011549088</v>
      </c>
      <c r="M249" s="85" t="s">
        <v>832</v>
      </c>
      <c r="N249" s="85" t="str" cm="1">
        <f t="array" ref="N249">IFERROR(M249-A249,"N/A")</f>
        <v>N/A</v>
      </c>
      <c r="O249" s="83"/>
      <c r="P249" s="56" t="str" cm="1">
        <f t="array" ref="P249">_xlfn.XLOOKUP($B249,ADP!A2:A671,ADP!G2:G671)</f>
        <v xml:space="preserve"> </v>
      </c>
      <c r="Q249" s="57" cm="1">
        <f t="array" ref="Q249">IF(Settings!$E$12="YES",VLOOKUP(B249,'Player Data'!A1:E673,5,FALSE),84)</f>
        <v>71.53</v>
      </c>
      <c r="R249" s="55" cm="1">
        <f t="array" ref="R249">VLOOKUP(B249,'Player Data'!$A1:$AE673,6,FALSE)</f>
        <v>22.470512101410101</v>
      </c>
      <c r="S249" s="57" cm="1">
        <f t="array" ref="S249">VLOOKUP(B249,'Player Data'!$A1:$AE673,7,FALSE)*$Q249*IFERROR((VLOOKUP(P249,Settings!$E$28:$F$33,2,FALSE)+1),1)</f>
        <v>3.7499878414717838</v>
      </c>
      <c r="T249" s="57" cm="1">
        <f t="array" ref="T249">VLOOKUP(B249,'Player Data'!$A1:$AE673,8,FALSE)*$Q249*IFERROR((VLOOKUP(P249,Settings!$E$28:$F$33,2,FALSE)+1),1)</f>
        <v>20.55126346914799</v>
      </c>
      <c r="U249" s="57" cm="1">
        <f t="array" ref="U249">SUM(S249:T249)</f>
        <v>24.301251310619776</v>
      </c>
      <c r="V249" s="57" cm="1">
        <f t="array" ref="V249">VLOOKUP(B249,'Player Data'!$A1:$AE673,10,FALSE)*$Q249*IFERROR(((VLOOKUP(P249,Settings!$E$28:$F$33,2,FALSE)/2)+1),1)</f>
        <v>101.73020909749467</v>
      </c>
      <c r="W249" s="57" cm="1">
        <f t="array" ref="W249">VLOOKUP(B249,'Player Data'!$A1:$AE673,11,FALSE)*$Q249*IFERROR((VLOOKUP(P249,Settings!$E$28:$F$33,2,FALSE)+1),1)</f>
        <v>0.55968993606818085</v>
      </c>
      <c r="X249" s="57" cm="1">
        <f t="array" ref="X249">VLOOKUP(B249,'Player Data'!$A1:$AE673,12,FALSE)*$Q249*IFERROR((VLOOKUP(P249,Settings!$E$28:$F$33,2,FALSE)+1),1)</f>
        <v>3.7774497255441504</v>
      </c>
      <c r="Y249" s="57" cm="1">
        <f t="array" ref="Y249">VLOOKUP(B249,'Player Data'!$A1:$AE673,13,FALSE)*$Q249</f>
        <v>1.5703520968071212E-2</v>
      </c>
      <c r="Z249" s="57" cm="1">
        <f t="array" ref="Z249">VLOOKUP(B249,'Player Data'!$A1:$AE673,14,FALSE)*$Q249</f>
        <v>0.11314009470873346</v>
      </c>
      <c r="AA249" s="57" cm="1">
        <f t="array" ref="AA249">VLOOKUP(B249,'Player Data'!$A1:$AE673,15,FALSE)*$Q249</f>
        <v>111.76089493733089</v>
      </c>
      <c r="AB249" s="57" cm="1">
        <f t="array" ref="AB249">VLOOKUP(B249,'Player Data'!$A1:$AE673,16,FALSE)*$Q249</f>
        <v>33.948345722419653</v>
      </c>
      <c r="AC249" s="57" cm="1">
        <f t="array" ref="AC249">VLOOKUP(B249,'Player Data'!$A1:$AE673,17,FALSE)*$Q249*IFERROR((VLOOKUP(P249,Settings!$E$28:$F$33,2,FALSE)+1),1)</f>
        <v>-1.2578420262006575</v>
      </c>
      <c r="AD249" s="57" cm="1">
        <f t="array" ref="AD249">VLOOKUP(B249,'Player Data'!$A1:$AE673,18,FALSE)*$Q249</f>
        <v>50.966367444911633</v>
      </c>
      <c r="AE249" s="57" cm="1">
        <f t="array" ref="AE249">VLOOKUP(B249,'Player Data'!$A1:$AE673,19,FALSE)*$Q249*IFERROR((VLOOKUP(P249,Settings!$E$28:$F$33,2,FALSE)+1),1)</f>
        <v>0.50482966512486005</v>
      </c>
      <c r="AF249" s="57" cm="1">
        <f t="array" ref="AF249">VLOOKUP(B249,'Player Data'!$A1:$AE673,20,FALSE)*$Q249</f>
        <v>0</v>
      </c>
      <c r="AG249" s="57" cm="1">
        <f t="array" ref="AG249">VLOOKUP(B249,'Player Data'!$A1:$AE673,21,FALSE)*$Q249</f>
        <v>0</v>
      </c>
      <c r="AH249" s="59" cm="1">
        <f t="array" ref="AH249">VLOOKUP(B249,'Player Data'!$A1:$AE673,22,FALSE)</f>
        <v>0</v>
      </c>
      <c r="AI249" s="55"/>
      <c r="AJ249" s="57"/>
      <c r="AK249" s="57"/>
      <c r="AL249" s="57"/>
      <c r="AM249" s="57"/>
      <c r="AN249" s="57"/>
      <c r="AO249" s="57"/>
      <c r="AP249" s="57"/>
      <c r="AQ249" s="60"/>
      <c r="AR249" s="61"/>
      <c r="AS249" s="55"/>
    </row>
    <row r="250" spans="1:45" ht="21.25" customHeight="1" x14ac:dyDescent="0.15">
      <c r="A250" s="62">
        <f t="shared" si="3"/>
        <v>249</v>
      </c>
      <c r="B250" s="10" t="s">
        <v>378</v>
      </c>
      <c r="C250" s="47" t="s">
        <v>147</v>
      </c>
      <c r="D250" s="48" t="str" cm="1">
        <f t="array" ref="D250">VLOOKUP(B250,'Player Data'!A1:D673,4,FALSE)</f>
        <v>D</v>
      </c>
      <c r="E250" s="68" cm="1">
        <f t="array" ref="E250">VLOOKUP(B250,D!A1:C204,3,FALSE)</f>
        <v>93</v>
      </c>
      <c r="F250" s="65" t="str" cm="1">
        <f t="array" ref="F250">VLOOKUP(B250,'Player Data'!A1:B673,2,FALSE)</f>
        <v>STL</v>
      </c>
      <c r="G250" s="66" cm="1">
        <f t="array" ref="G250">VLOOKUP(B250,'Player Data'!A1:D673,3,FALSE)</f>
        <v>34</v>
      </c>
      <c r="H250" s="51" cm="1">
        <f t="array" ref="H250">IFERROR(VLOOKUP(B250,ADP!A1:F671,6,FALSE)/1000000,VLOOKUP(B250,ADP!A1:F671,6,FALSE))</f>
        <v>6.1</v>
      </c>
      <c r="I250" s="52">
        <f>IF(Settings!$E$15="POINTS",((R250*Q250)*Settings!$B$12)+(S250*Settings!$B$2)+(T250*Settings!$B$3)+(U250*Settings!$B$4)+(V250*Settings!$B$5)+(X250*Settings!$B$9)+(AA250*Settings!$B$6)+(W250*Settings!$B$8)+(AB250*Settings!$B$7)+(AC250*Settings!$B$14)+(AD250*Settings!$B$15)+(AE250*Settings!$B$16)+(AF250*Settings!$B$17)+(AG250*Settings!$B$18)+(U250*Settings!$B$13)+(Y250*Settings!$B$10)+(Z250*Settings!$B$11),VLOOKUP(B250,'Standard Deviations'!A$1:C$672,3,FALSE))</f>
        <v>183.28245515354573</v>
      </c>
      <c r="J250" s="53" cm="1">
        <f t="array" ref="J250">IF(D250="G",I250/AJ250,I250/Q250)</f>
        <v>2.235015610676736</v>
      </c>
      <c r="K250" s="52" cm="1">
        <f t="array" ref="K250">VLOOKUP(B250,D!A1:F204,6,FALSE)</f>
        <v>-123.37141219104834</v>
      </c>
      <c r="L250" s="54" cm="1">
        <f t="array" ref="L250">IFERROR(K250/H250,"N/A")</f>
        <v>-20.224821670663662</v>
      </c>
      <c r="M250" s="85" t="s">
        <v>832</v>
      </c>
      <c r="N250" s="85" t="str" cm="1">
        <f t="array" ref="N250">IFERROR(M250-A250,"N/A")</f>
        <v>N/A</v>
      </c>
      <c r="O250" s="55"/>
      <c r="P250" s="56" t="str" cm="1">
        <f t="array" ref="P250">_xlfn.XLOOKUP($B250,ADP!A2:A671,ADP!G2:G671)</f>
        <v xml:space="preserve"> </v>
      </c>
      <c r="Q250" s="57" cm="1">
        <f t="array" ref="Q250">IF(Settings!$E$12="YES",VLOOKUP(B250,'Player Data'!A1:E673,5,FALSE),84)</f>
        <v>82.004999999999995</v>
      </c>
      <c r="R250" s="55" cm="1">
        <f t="array" ref="R250">VLOOKUP(B250,'Player Data'!$A1:$AE673,6,FALSE)</f>
        <v>20.838128887195101</v>
      </c>
      <c r="S250" s="57" cm="1">
        <f t="array" ref="S250">VLOOKUP(B250,'Player Data'!$A1:$AE673,7,FALSE)*$Q250*IFERROR((VLOOKUP(P250,Settings!$E$28:$F$33,2,FALSE)+1),1)</f>
        <v>3.4206572645970335</v>
      </c>
      <c r="T250" s="57" cm="1">
        <f t="array" ref="T250">VLOOKUP(B250,'Player Data'!$A1:$AE673,8,FALSE)*$Q250*IFERROR((VLOOKUP(P250,Settings!$E$28:$F$33,2,FALSE)+1),1)</f>
        <v>26.298848937609979</v>
      </c>
      <c r="U250" s="57" cm="1">
        <f t="array" ref="U250">SUM(S250:T250)</f>
        <v>29.719506202207011</v>
      </c>
      <c r="V250" s="57" cm="1">
        <f t="array" ref="V250">VLOOKUP(B250,'Player Data'!$A1:$AE673,10,FALSE)*$Q250*IFERROR(((VLOOKUP(P250,Settings!$E$28:$F$33,2,FALSE)/2)+1),1)</f>
        <v>83.890565696783796</v>
      </c>
      <c r="W250" s="57" cm="1">
        <f t="array" ref="W250">VLOOKUP(B250,'Player Data'!$A1:$AE673,11,FALSE)*$Q250*IFERROR((VLOOKUP(P250,Settings!$E$28:$F$33,2,FALSE)+1),1)</f>
        <v>0.82073367720129708</v>
      </c>
      <c r="X250" s="57" cm="1">
        <f t="array" ref="X250">VLOOKUP(B250,'Player Data'!$A1:$AE673,12,FALSE)*$Q250*IFERROR((VLOOKUP(P250,Settings!$E$28:$F$33,2,FALSE)+1),1)</f>
        <v>7.5351444511726724</v>
      </c>
      <c r="Y250" s="57" cm="1">
        <f t="array" ref="Y250">VLOOKUP(B250,'Player Data'!$A1:$AE673,13,FALSE)*$Q250</f>
        <v>1.0476863699935056E-2</v>
      </c>
      <c r="Z250" s="57" cm="1">
        <f t="array" ref="Z250">VLOOKUP(B250,'Player Data'!$A1:$AE673,14,FALSE)*$Q250</f>
        <v>0.41681253520361039</v>
      </c>
      <c r="AA250" s="57" cm="1">
        <f t="array" ref="AA250">VLOOKUP(B250,'Player Data'!$A1:$AE673,15,FALSE)*$Q250</f>
        <v>88.45339342431302</v>
      </c>
      <c r="AB250" s="57" cm="1">
        <f t="array" ref="AB250">VLOOKUP(B250,'Player Data'!$A1:$AE673,16,FALSE)*$Q250</f>
        <v>26.353117457570448</v>
      </c>
      <c r="AC250" s="57" cm="1">
        <f t="array" ref="AC250">VLOOKUP(B250,'Player Data'!$A1:$AE673,17,FALSE)*$Q250*IFERROR((VLOOKUP(P250,Settings!$E$28:$F$33,2,FALSE)+1),1)</f>
        <v>-2.9173767588567543</v>
      </c>
      <c r="AD250" s="57" cm="1">
        <f t="array" ref="AD250">VLOOKUP(B250,'Player Data'!$A1:$AE673,18,FALSE)*$Q250</f>
        <v>20.500817567474069</v>
      </c>
      <c r="AE250" s="57" cm="1">
        <f t="array" ref="AE250">VLOOKUP(B250,'Player Data'!$A1:$AE673,19,FALSE)*$Q250*IFERROR((VLOOKUP(P250,Settings!$E$28:$F$33,2,FALSE)+1),1)</f>
        <v>0.49322814324447817</v>
      </c>
      <c r="AF250" s="57" cm="1">
        <f t="array" ref="AF250">VLOOKUP(B250,'Player Data'!$A1:$AE673,20,FALSE)*$Q250</f>
        <v>0</v>
      </c>
      <c r="AG250" s="57" cm="1">
        <f t="array" ref="AG250">VLOOKUP(B250,'Player Data'!$A1:$AE673,21,FALSE)*$Q250</f>
        <v>0</v>
      </c>
      <c r="AH250" s="59" cm="1">
        <f t="array" ref="AH250">VLOOKUP(B250,'Player Data'!$A1:$AE673,22,FALSE)</f>
        <v>0</v>
      </c>
      <c r="AI250" s="55"/>
      <c r="AJ250" s="57"/>
      <c r="AK250" s="57"/>
      <c r="AL250" s="57"/>
      <c r="AM250" s="57"/>
      <c r="AN250" s="57"/>
      <c r="AO250" s="57"/>
      <c r="AP250" s="57"/>
      <c r="AQ250" s="60"/>
      <c r="AR250" s="61"/>
      <c r="AS250" s="55"/>
    </row>
    <row r="251" spans="1:45" ht="21.25" customHeight="1" x14ac:dyDescent="0.15">
      <c r="A251" s="62">
        <f t="shared" si="3"/>
        <v>250</v>
      </c>
      <c r="B251" s="10" t="s">
        <v>379</v>
      </c>
      <c r="C251" s="47" t="s">
        <v>147</v>
      </c>
      <c r="D251" s="48" t="str" cm="1">
        <f t="array" ref="D251">VLOOKUP(B251,'Player Data'!A1:D673,4,FALSE)</f>
        <v>D</v>
      </c>
      <c r="E251" s="68" cm="1">
        <f t="array" ref="E251">VLOOKUP(B251,D!A1:C204,3,FALSE)</f>
        <v>94</v>
      </c>
      <c r="F251" s="18" t="str" cm="1">
        <f t="array" ref="F251">VLOOKUP(B251,'Player Data'!A1:B673,2,FALSE)</f>
        <v>VAN</v>
      </c>
      <c r="G251" s="71" cm="1">
        <f t="array" ref="G251">VLOOKUP(B251,'Player Data'!A1:D673,3,FALSE)</f>
        <v>21</v>
      </c>
      <c r="H251" s="51" cm="1">
        <f t="array" ref="H251">IFERROR(VLOOKUP(B251,ADP!A1:F671,6,FALSE)/1000000,VLOOKUP(B251,ADP!A1:F671,6,FALSE))</f>
        <v>0.95</v>
      </c>
      <c r="I251" s="52">
        <f>IF(Settings!$E$15="POINTS",((R251*Q251)*Settings!$B$12)+(S251*Settings!$B$2)+(T251*Settings!$B$3)+(U251*Settings!$B$4)+(V251*Settings!$B$5)+(X251*Settings!$B$9)+(AA251*Settings!$B$6)+(W251*Settings!$B$8)+(AB251*Settings!$B$7)+(AC251*Settings!$B$14)+(AD251*Settings!$B$15)+(AE251*Settings!$B$16)+(AF251*Settings!$B$17)+(AG251*Settings!$B$18)+(U251*Settings!$B$13)+(Y251*Settings!$B$10)+(Z251*Settings!$B$11),VLOOKUP(B251,'Standard Deviations'!A$1:C$672,3,FALSE))</f>
        <v>182.01223569635729</v>
      </c>
      <c r="J251" s="53" cm="1">
        <f t="array" ref="J251">IF(D251="G",I251/AJ251,I251/Q251)</f>
        <v>2.3024950752227364</v>
      </c>
      <c r="K251" s="52" cm="1">
        <f t="array" ref="K251">VLOOKUP(B251,D!A1:F204,6,FALSE)</f>
        <v>-124.64163164823677</v>
      </c>
      <c r="L251" s="54" cm="1">
        <f t="array" ref="L251">IFERROR(K251/H251,"N/A")</f>
        <v>-131.20171752445975</v>
      </c>
      <c r="M251" s="85" t="s">
        <v>832</v>
      </c>
      <c r="N251" s="85" t="str" cm="1">
        <f t="array" ref="N251">IFERROR(M251-A251,"N/A")</f>
        <v>N/A</v>
      </c>
      <c r="O251" s="55"/>
      <c r="P251" s="56" t="str" cm="1">
        <f t="array" ref="P251">_xlfn.XLOOKUP($B251,ADP!A2:A671,ADP!G2:G671)</f>
        <v xml:space="preserve"> </v>
      </c>
      <c r="Q251" s="57" cm="1">
        <f t="array" ref="Q251">IF(Settings!$E$12="YES",VLOOKUP(B251,'Player Data'!A1:E673,5,FALSE),84)</f>
        <v>79.05</v>
      </c>
      <c r="R251" s="82" cm="1">
        <f t="array" ref="R251">VLOOKUP(B251,'Player Data'!$A1:$AE673,6,FALSE)</f>
        <v>19.432071182156498</v>
      </c>
      <c r="S251" s="57" cm="1">
        <f t="array" ref="S251">VLOOKUP(B251,'Player Data'!$A1:$AE673,7,FALSE)*$Q251*IFERROR((VLOOKUP(P251,Settings!$E$28:$F$33,2,FALSE)+1),1)</f>
        <v>6.6115793802335627</v>
      </c>
      <c r="T251" s="57" cm="1">
        <f t="array" ref="T251">VLOOKUP(B251,'Player Data'!$A1:$AE673,8,FALSE)*$Q251*IFERROR((VLOOKUP(P251,Settings!$E$28:$F$33,2,FALSE)+1),1)</f>
        <v>21.408248058390491</v>
      </c>
      <c r="U251" s="57" cm="1">
        <f t="array" ref="U251">SUM(S251:T251)</f>
        <v>28.019827438624056</v>
      </c>
      <c r="V251" s="57" cm="1">
        <f t="array" ref="V251">VLOOKUP(B251,'Player Data'!$A1:$AE673,10,FALSE)*$Q251*IFERROR(((VLOOKUP(P251,Settings!$E$28:$F$33,2,FALSE)/2)+1),1)</f>
        <v>83.574799716590761</v>
      </c>
      <c r="W251" s="57" cm="1">
        <f t="array" ref="W251">VLOOKUP(B251,'Player Data'!$A1:$AE673,11,FALSE)*$Q251*IFERROR((VLOOKUP(P251,Settings!$E$28:$F$33,2,FALSE)+1),1)</f>
        <v>0.25594086766187218</v>
      </c>
      <c r="X251" s="57" cm="1">
        <f t="array" ref="X251">VLOOKUP(B251,'Player Data'!$A1:$AE673,12,FALSE)*$Q251*IFERROR((VLOOKUP(P251,Settings!$E$28:$F$33,2,FALSE)+1),1)</f>
        <v>3.825103929651875</v>
      </c>
      <c r="Y251" s="57" cm="1">
        <f t="array" ref="Y251">VLOOKUP(B251,'Player Data'!$A1:$AE673,13,FALSE)*$Q251</f>
        <v>4.5205844066083363E-2</v>
      </c>
      <c r="Z251" s="57" cm="1">
        <f t="array" ref="Z251">VLOOKUP(B251,'Player Data'!$A1:$AE673,14,FALSE)*$Q251</f>
        <v>0.15420150092060844</v>
      </c>
      <c r="AA251" s="57" cm="1">
        <f t="array" ref="AA251">VLOOKUP(B251,'Player Data'!$A1:$AE673,15,FALSE)*$Q251</f>
        <v>104.3720961832345</v>
      </c>
      <c r="AB251" s="57" cm="1">
        <f t="array" ref="AB251">VLOOKUP(B251,'Player Data'!$A1:$AE673,16,FALSE)*$Q251</f>
        <v>55.710111410048491</v>
      </c>
      <c r="AC251" s="57" cm="1">
        <f t="array" ref="AC251">VLOOKUP(B251,'Player Data'!$A1:$AE673,17,FALSE)*$Q251*IFERROR((VLOOKUP(P251,Settings!$E$28:$F$33,2,FALSE)+1),1)</f>
        <v>-12.446925817297799</v>
      </c>
      <c r="AD251" s="57" cm="1">
        <f t="array" ref="AD251">VLOOKUP(B251,'Player Data'!$A1:$AE673,18,FALSE)*$Q251</f>
        <v>28.904845895022909</v>
      </c>
      <c r="AE251" s="57" cm="1">
        <f t="array" ref="AE251">VLOOKUP(B251,'Player Data'!$A1:$AE673,19,FALSE)*$Q251*IFERROR((VLOOKUP(P251,Settings!$E$28:$F$33,2,FALSE)+1),1)</f>
        <v>0.81929054533256029</v>
      </c>
      <c r="AF251" s="57" cm="1">
        <f t="array" ref="AF251">VLOOKUP(B251,'Player Data'!$A1:$AE673,20,FALSE)*$Q251</f>
        <v>0</v>
      </c>
      <c r="AG251" s="57" cm="1">
        <f t="array" ref="AG251">VLOOKUP(B251,'Player Data'!$A1:$AE673,21,FALSE)*$Q251</f>
        <v>0</v>
      </c>
      <c r="AH251" s="59" cm="1">
        <f t="array" ref="AH251">VLOOKUP(B251,'Player Data'!$A1:$AE673,22,FALSE)</f>
        <v>0</v>
      </c>
      <c r="AI251" s="55"/>
      <c r="AJ251" s="57"/>
      <c r="AK251" s="57"/>
      <c r="AL251" s="57"/>
      <c r="AM251" s="57"/>
      <c r="AN251" s="57"/>
      <c r="AO251" s="57"/>
      <c r="AP251" s="57"/>
      <c r="AQ251" s="60"/>
      <c r="AR251" s="61"/>
      <c r="AS251" s="55"/>
    </row>
    <row r="252" spans="1:45" ht="21.25" customHeight="1" x14ac:dyDescent="0.15">
      <c r="A252" s="62">
        <f t="shared" si="3"/>
        <v>251</v>
      </c>
      <c r="B252" s="10" t="s">
        <v>380</v>
      </c>
      <c r="C252" s="47" t="s">
        <v>128</v>
      </c>
      <c r="D252" s="48" t="str" cm="1">
        <f t="array" ref="D252">VLOOKUP(B252,'Player Data'!A1:D673,4,FALSE)</f>
        <v>LW,RW</v>
      </c>
      <c r="E252" s="74" cm="1">
        <f t="array" ref="E252">VLOOKUP(B252,RW!A1:F210,3,FALSE)</f>
        <v>75</v>
      </c>
      <c r="F252" s="72" t="str" cm="1">
        <f t="array" ref="F252">VLOOKUP(B252,'Player Data'!A1:B673,2,FALSE)</f>
        <v>DET</v>
      </c>
      <c r="G252" s="66" cm="1">
        <f t="array" ref="G252">VLOOKUP(B252,'Player Data'!A1:D673,3,FALSE)</f>
        <v>33</v>
      </c>
      <c r="H252" s="51" cm="1">
        <f t="array" ref="H252">IFERROR(VLOOKUP(B252,ADP!A1:F671,6,FALSE)/1000000,VLOOKUP(B252,ADP!A1:F671,6,FALSE))</f>
        <v>5</v>
      </c>
      <c r="I252" s="52">
        <f>IF(Settings!$E$15="POINTS",((R252*Q252)*Settings!$B$12)+(S252*Settings!$B$2)+(T252*Settings!$B$3)+(U252*Settings!$B$4)+(V252*Settings!$B$5)+(X252*Settings!$B$9)+(AA252*Settings!$B$6)+(W252*Settings!$B$8)+(AB252*Settings!$B$7)+(AC252*Settings!$B$14)+(AD252*Settings!$B$15)+(AE252*Settings!$B$16)+(AF252*Settings!$B$17)+(AG252*Settings!$B$18)+(Y252*Settings!$B$10)+(Z252*Settings!$B$11),VLOOKUP(B252,'Standard Deviations'!A$1:C$672,3,FALSE))</f>
        <v>270.12813035582172</v>
      </c>
      <c r="J252" s="53" cm="1">
        <f t="array" ref="J252">IF(D252="G",I252/AJ252,I252/Q252)</f>
        <v>3.6872526666096328</v>
      </c>
      <c r="K252" s="52" cm="1">
        <f t="array" ref="K252">IF(Settings!$E$18="C/LW/RW",VLOOKUP(B252,RW!A1:F210,6,FALSE),VLOOKUP(B252,F!A1:F407,6,FALSE))</f>
        <v>-124.81533433773575</v>
      </c>
      <c r="L252" s="54" cm="1">
        <f t="array" ref="L252">IFERROR(K252/H252,"N/A")</f>
        <v>-24.963066867547148</v>
      </c>
      <c r="M252" s="85" t="s">
        <v>832</v>
      </c>
      <c r="N252" s="85" t="str" cm="1">
        <f t="array" ref="N252">IFERROR(M252-A252,"N/A")</f>
        <v>N/A</v>
      </c>
      <c r="O252" s="55"/>
      <c r="P252" s="56" t="str" cm="1">
        <f t="array" ref="P252">_xlfn.XLOOKUP($B252,ADP!A2:A671,ADP!G2:G671)</f>
        <v xml:space="preserve"> </v>
      </c>
      <c r="Q252" s="57" cm="1">
        <f t="array" ref="Q252">IF(Settings!$E$12="YES",VLOOKUP(B252,'Player Data'!A1:E673,5,FALSE),84)</f>
        <v>73.260000000000005</v>
      </c>
      <c r="R252" s="82" cm="1">
        <f t="array" ref="R252">VLOOKUP(B252,'Player Data'!$A1:$AE673,6,FALSE)</f>
        <v>15.7587896212766</v>
      </c>
      <c r="S252" s="57" cm="1">
        <f t="array" ref="S252">VLOOKUP(B252,'Player Data'!$A1:$AE673,7,FALSE)*$Q252*IFERROR((VLOOKUP(P252,Settings!$E$28:$F$33,2,FALSE)+1),1)</f>
        <v>22.810598644017812</v>
      </c>
      <c r="T252" s="57" cm="1">
        <f t="array" ref="T252">VLOOKUP(B252,'Player Data'!$A1:$AE673,8,FALSE)*$Q252*IFERROR((VLOOKUP(P252,Settings!$E$28:$F$33,2,FALSE)+1),1)</f>
        <v>26.073961560646726</v>
      </c>
      <c r="U252" s="57" cm="1">
        <f t="array" ref="U252">SUM(S252:T252)</f>
        <v>48.884560204664538</v>
      </c>
      <c r="V252" s="57" cm="1">
        <f t="array" ref="V252">VLOOKUP(B252,'Player Data'!$A1:$AE673,10,FALSE)*$Q252*IFERROR(((VLOOKUP(P252,Settings!$E$28:$F$33,2,FALSE)/2)+1),1)</f>
        <v>188.41726430760224</v>
      </c>
      <c r="W252" s="57" cm="1">
        <f t="array" ref="W252">VLOOKUP(B252,'Player Data'!$A1:$AE673,11,FALSE)*$Q252*IFERROR((VLOOKUP(P252,Settings!$E$28:$F$33,2,FALSE)+1),1)</f>
        <v>4.7374502806141399</v>
      </c>
      <c r="X252" s="79" cm="1">
        <f t="array" ref="X252">VLOOKUP(B252,'Player Data'!$A1:$AE673,12,FALSE)*$Q252*IFERROR((VLOOKUP(P252,Settings!$E$28:$F$33,2,FALSE)+1),1)</f>
        <v>11.685541520542913</v>
      </c>
      <c r="Y252" s="57" cm="1">
        <f t="array" ref="Y252">VLOOKUP(B252,'Player Data'!$A1:$AE673,13,FALSE)*$Q252</f>
        <v>0</v>
      </c>
      <c r="Z252" s="57" cm="1">
        <f t="array" ref="Z252">VLOOKUP(B252,'Player Data'!$A1:$AE673,14,FALSE)*$Q252</f>
        <v>0</v>
      </c>
      <c r="AA252" s="57" cm="1">
        <f t="array" ref="AA252">VLOOKUP(B252,'Player Data'!$A1:$AE673,15,FALSE)*$Q252</f>
        <v>35.160552134968164</v>
      </c>
      <c r="AB252" s="57" cm="1">
        <f t="array" ref="AB252">VLOOKUP(B252,'Player Data'!$A1:$AE673,16,FALSE)*$Q252</f>
        <v>35.727897178910389</v>
      </c>
      <c r="AC252" s="57" cm="1">
        <f t="array" ref="AC252">VLOOKUP(B252,'Player Data'!$A1:$AE673,17,FALSE)*$Q252*IFERROR((VLOOKUP(P252,Settings!$E$28:$F$33,2,FALSE)+1),1)</f>
        <v>0.15954813575619484</v>
      </c>
      <c r="AD252" s="57" cm="1">
        <f t="array" ref="AD252">VLOOKUP(B252,'Player Data'!$A1:$AE673,18,FALSE)*$Q252</f>
        <v>29.606392143323674</v>
      </c>
      <c r="AE252" s="57" cm="1">
        <f t="array" ref="AE252">VLOOKUP(B252,'Player Data'!$A1:$AE673,19,FALSE)*$Q252*IFERROR((VLOOKUP(P252,Settings!$E$28:$F$33,2,FALSE)+1),1)</f>
        <v>3.5746010591415791</v>
      </c>
      <c r="AF252" s="57" cm="1">
        <f t="array" ref="AF252">VLOOKUP(B252,'Player Data'!$A1:$AE673,20,FALSE)*$Q252</f>
        <v>9.9467144416808146</v>
      </c>
      <c r="AG252" s="57" cm="1">
        <f t="array" ref="AG252">VLOOKUP(B252,'Player Data'!$A1:$AE673,21,FALSE)*$Q252</f>
        <v>14.084718362038396</v>
      </c>
      <c r="AH252" s="59" cm="1">
        <f t="array" ref="AH252">VLOOKUP(B252,'Player Data'!$A1:$AE673,22,FALSE)</f>
        <v>0.41390434448591801</v>
      </c>
      <c r="AI252" s="55"/>
      <c r="AJ252" s="57"/>
      <c r="AK252" s="57"/>
      <c r="AL252" s="57"/>
      <c r="AM252" s="57"/>
      <c r="AN252" s="57"/>
      <c r="AO252" s="57"/>
      <c r="AP252" s="57"/>
      <c r="AQ252" s="60"/>
      <c r="AR252" s="61"/>
      <c r="AS252" s="55"/>
    </row>
    <row r="253" spans="1:45" ht="21.25" customHeight="1" x14ac:dyDescent="0.15">
      <c r="A253" s="62">
        <f t="shared" si="3"/>
        <v>252</v>
      </c>
      <c r="B253" s="10" t="s">
        <v>381</v>
      </c>
      <c r="C253" s="47" t="s">
        <v>147</v>
      </c>
      <c r="D253" s="48" t="str" cm="1">
        <f t="array" ref="D253">VLOOKUP(B253,'Player Data'!A1:D673,4,FALSE)</f>
        <v>D</v>
      </c>
      <c r="E253" s="68" cm="1">
        <f t="array" ref="E253">VLOOKUP(B253,D!A1:C204,3,FALSE)</f>
        <v>95</v>
      </c>
      <c r="F253" s="69" t="str" cm="1">
        <f t="array" ref="F253">VLOOKUP(B253,'Player Data'!A1:B673,2,FALSE)</f>
        <v>TOR</v>
      </c>
      <c r="G253" s="66" cm="1">
        <f t="array" ref="G253">VLOOKUP(B253,'Player Data'!A1:D673,3,FALSE)</f>
        <v>35</v>
      </c>
      <c r="H253" s="51" cm="1">
        <f t="array" ref="H253">IFERROR(VLOOKUP(B253,ADP!A1:F671,6,FALSE)/1000000,VLOOKUP(B253,ADP!A1:F671,6,FALSE))</f>
        <v>3.5</v>
      </c>
      <c r="I253" s="52">
        <f>IF(Settings!$E$15="POINTS",((R253*Q253)*Settings!$B$12)+(S253*Settings!$B$2)+(T253*Settings!$B$3)+(U253*Settings!$B$4)+(V253*Settings!$B$5)+(X253*Settings!$B$9)+(AA253*Settings!$B$6)+(W253*Settings!$B$8)+(AB253*Settings!$B$7)+(AC253*Settings!$B$14)+(AD253*Settings!$B$15)+(AE253*Settings!$B$16)+(AF253*Settings!$B$17)+(AG253*Settings!$B$18)+(U253*Settings!$B$13)+(Y253*Settings!$B$10)+(Z253*Settings!$B$11),VLOOKUP(B253,'Standard Deviations'!A$1:C$672,3,FALSE))</f>
        <v>180.73777738596004</v>
      </c>
      <c r="J253" s="53" cm="1">
        <f t="array" ref="J253">IF(D253="G",I253/AJ253,I253/Q253)</f>
        <v>2.192554846522428</v>
      </c>
      <c r="K253" s="52" cm="1">
        <f t="array" ref="K253">VLOOKUP(B253,D!A1:F204,6,FALSE)</f>
        <v>-125.91608995863402</v>
      </c>
      <c r="L253" s="54" cm="1">
        <f t="array" ref="L253">IFERROR(K253/H253,"N/A")</f>
        <v>-35.976025702466863</v>
      </c>
      <c r="M253" s="55">
        <v>127.7</v>
      </c>
      <c r="N253" s="55" cm="1">
        <f t="array" ref="N253">IFERROR(M253-A253,"N/A")</f>
        <v>-124.3</v>
      </c>
      <c r="O253" s="55"/>
      <c r="P253" s="56" t="str" cm="1">
        <f t="array" ref="P253">_xlfn.XLOOKUP($B253,ADP!A2:A671,ADP!G2:G671)</f>
        <v xml:space="preserve"> </v>
      </c>
      <c r="Q253" s="57" cm="1">
        <f t="array" ref="Q253">IF(Settings!$E$12="YES",VLOOKUP(B253,'Player Data'!A1:E673,5,FALSE),84)</f>
        <v>82.432500000000005</v>
      </c>
      <c r="R253" s="84" cm="1">
        <f t="array" ref="R253">VLOOKUP(B253,'Player Data'!$A1:$AE673,6,FALSE)</f>
        <v>18.470112554238298</v>
      </c>
      <c r="S253" s="57" cm="1">
        <f t="array" ref="S253">VLOOKUP(B253,'Player Data'!$A1:$AE673,7,FALSE)*$Q253*IFERROR((VLOOKUP(P253,Settings!$E$28:$F$33,2,FALSE)+1),1)</f>
        <v>5.4277183729038585</v>
      </c>
      <c r="T253" s="57" cm="1">
        <f t="array" ref="T253">VLOOKUP(B253,'Player Data'!$A1:$AE673,8,FALSE)*$Q253*IFERROR((VLOOKUP(P253,Settings!$E$28:$F$33,2,FALSE)+1),1)</f>
        <v>22.724300234187883</v>
      </c>
      <c r="U253" s="57" cm="1">
        <f t="array" ref="U253">SUM(S253:T253)</f>
        <v>28.15201860709174</v>
      </c>
      <c r="V253" s="57" cm="1">
        <f t="array" ref="V253">VLOOKUP(B253,'Player Data'!$A1:$AE673,10,FALSE)*$Q253*IFERROR(((VLOOKUP(P253,Settings!$E$28:$F$33,2,FALSE)/2)+1),1)</f>
        <v>102.42732676335999</v>
      </c>
      <c r="W253" s="57" cm="1">
        <f t="array" ref="W253">VLOOKUP(B253,'Player Data'!$A1:$AE673,11,FALSE)*$Q253*IFERROR((VLOOKUP(P253,Settings!$E$28:$F$33,2,FALSE)+1),1)</f>
        <v>0.51928321957329981</v>
      </c>
      <c r="X253" s="57" cm="1">
        <f t="array" ref="X253">VLOOKUP(B253,'Player Data'!$A1:$AE673,12,FALSE)*$Q253*IFERROR((VLOOKUP(P253,Settings!$E$28:$F$33,2,FALSE)+1),1)</f>
        <v>4.8188731517389831</v>
      </c>
      <c r="Y253" s="57" cm="1">
        <f t="array" ref="Y253">VLOOKUP(B253,'Player Data'!$A1:$AE673,13,FALSE)*$Q253</f>
        <v>1.7480396349776144E-2</v>
      </c>
      <c r="Z253" s="57" cm="1">
        <f t="array" ref="Z253">VLOOKUP(B253,'Player Data'!$A1:$AE673,14,FALSE)*$Q253</f>
        <v>6.2978401116050978E-2</v>
      </c>
      <c r="AA253" s="57" cm="1">
        <f t="array" ref="AA253">VLOOKUP(B253,'Player Data'!$A1:$AE673,15,FALSE)*$Q253</f>
        <v>80.372413260299595</v>
      </c>
      <c r="AB253" s="57" cm="1">
        <f t="array" ref="AB253">VLOOKUP(B253,'Player Data'!$A1:$AE673,16,FALSE)*$Q253</f>
        <v>86.469411493107799</v>
      </c>
      <c r="AC253" s="57" cm="1">
        <f t="array" ref="AC253">VLOOKUP(B253,'Player Data'!$A1:$AE673,17,FALSE)*$Q253*IFERROR((VLOOKUP(P253,Settings!$E$28:$F$33,2,FALSE)+1),1)</f>
        <v>1.0262892622713315</v>
      </c>
      <c r="AD253" s="57" cm="1">
        <f t="array" ref="AD253">VLOOKUP(B253,'Player Data'!$A1:$AE673,18,FALSE)*$Q253</f>
        <v>51.644173580782443</v>
      </c>
      <c r="AE253" s="57" cm="1">
        <f t="array" ref="AE253">VLOOKUP(B253,'Player Data'!$A1:$AE673,19,FALSE)*$Q253*IFERROR((VLOOKUP(P253,Settings!$E$28:$F$33,2,FALSE)+1),1)</f>
        <v>0.74121312650288573</v>
      </c>
      <c r="AF253" s="57" cm="1">
        <f t="array" ref="AF253">VLOOKUP(B253,'Player Data'!$A1:$AE673,20,FALSE)*$Q253</f>
        <v>0</v>
      </c>
      <c r="AG253" s="57" cm="1">
        <f t="array" ref="AG253">VLOOKUP(B253,'Player Data'!$A1:$AE673,21,FALSE)*$Q253</f>
        <v>0</v>
      </c>
      <c r="AH253" s="59" cm="1">
        <f t="array" ref="AH253">VLOOKUP(B253,'Player Data'!$A1:$AE673,22,FALSE)</f>
        <v>0</v>
      </c>
      <c r="AI253" s="55"/>
      <c r="AJ253" s="57"/>
      <c r="AK253" s="57"/>
      <c r="AL253" s="57"/>
      <c r="AM253" s="57"/>
      <c r="AN253" s="57"/>
      <c r="AO253" s="57"/>
      <c r="AP253" s="57"/>
      <c r="AQ253" s="60"/>
      <c r="AR253" s="61"/>
      <c r="AS253" s="55"/>
    </row>
    <row r="254" spans="1:45" ht="21.25" customHeight="1" x14ac:dyDescent="0.15">
      <c r="A254" s="62">
        <f t="shared" si="3"/>
        <v>253</v>
      </c>
      <c r="B254" s="10" t="s">
        <v>382</v>
      </c>
      <c r="C254" s="47" t="s">
        <v>147</v>
      </c>
      <c r="D254" s="48" t="str" cm="1">
        <f t="array" ref="D254">VLOOKUP(B254,'Player Data'!A1:D673,4,FALSE)</f>
        <v>D</v>
      </c>
      <c r="E254" s="68" cm="1">
        <f t="array" ref="E254">VLOOKUP(B254,D!A1:C204,3,FALSE)</f>
        <v>96</v>
      </c>
      <c r="F254" s="72" t="str" cm="1">
        <f t="array" ref="F254">VLOOKUP(B254,'Player Data'!A1:B673,2,FALSE)</f>
        <v>NYI</v>
      </c>
      <c r="G254" s="66" cm="1">
        <f t="array" ref="G254">VLOOKUP(B254,'Player Data'!A1:D673,3,FALSE)</f>
        <v>31</v>
      </c>
      <c r="H254" s="51" cm="1">
        <f t="array" ref="H254">IFERROR(VLOOKUP(B254,ADP!A1:F671,6,FALSE)/1000000,VLOOKUP(B254,ADP!A1:F671,6,FALSE))</f>
        <v>6.15</v>
      </c>
      <c r="I254" s="52">
        <f>IF(Settings!$E$15="POINTS",((R254*Q254)*Settings!$B$12)+(S254*Settings!$B$2)+(T254*Settings!$B$3)+(U254*Settings!$B$4)+(V254*Settings!$B$5)+(X254*Settings!$B$9)+(AA254*Settings!$B$6)+(W254*Settings!$B$8)+(AB254*Settings!$B$7)+(AC254*Settings!$B$14)+(AD254*Settings!$B$15)+(AE254*Settings!$B$16)+(AF254*Settings!$B$17)+(AG254*Settings!$B$18)+(U254*Settings!$B$13)+(Y254*Settings!$B$10)+(Z254*Settings!$B$11),VLOOKUP(B254,'Standard Deviations'!A$1:C$672,3,FALSE))</f>
        <v>180.61236240214524</v>
      </c>
      <c r="J254" s="53" cm="1">
        <f t="array" ref="J254">IF(D254="G",I254/AJ254,I254/Q254)</f>
        <v>2.2728542427753755</v>
      </c>
      <c r="K254" s="52" cm="1">
        <f t="array" ref="K254">VLOOKUP(B254,D!A1:F204,6,FALSE)</f>
        <v>-126.04150494244882</v>
      </c>
      <c r="L254" s="54" cm="1">
        <f t="array" ref="L254">IFERROR(K254/H254,"N/A")</f>
        <v>-20.49455364917867</v>
      </c>
      <c r="M254" s="85" t="s">
        <v>832</v>
      </c>
      <c r="N254" s="85" t="str" cm="1">
        <f t="array" ref="N254">IFERROR(M254-A254,"N/A")</f>
        <v>N/A</v>
      </c>
      <c r="O254" s="55"/>
      <c r="P254" s="56" t="str" cm="1">
        <f t="array" ref="P254">_xlfn.XLOOKUP($B254,ADP!A2:A671,ADP!G2:G671)</f>
        <v xml:space="preserve"> </v>
      </c>
      <c r="Q254" s="57" cm="1">
        <f t="array" ref="Q254">IF(Settings!$E$12="YES",VLOOKUP(B254,'Player Data'!A1:E673,5,FALSE),84)</f>
        <v>79.465000000000003</v>
      </c>
      <c r="R254" s="55" cm="1">
        <f t="array" ref="R254">VLOOKUP(B254,'Player Data'!$A1:$AE673,6,FALSE)</f>
        <v>20.6677937668486</v>
      </c>
      <c r="S254" s="57" cm="1">
        <f t="array" ref="S254">VLOOKUP(B254,'Player Data'!$A1:$AE673,7,FALSE)*$Q254*IFERROR((VLOOKUP(P254,Settings!$E$28:$F$33,2,FALSE)+1),1)</f>
        <v>2.2770424592378409</v>
      </c>
      <c r="T254" s="57" cm="1">
        <f t="array" ref="T254">VLOOKUP(B254,'Player Data'!$A1:$AE673,8,FALSE)*$Q254*IFERROR((VLOOKUP(P254,Settings!$E$28:$F$33,2,FALSE)+1),1)</f>
        <v>18.199840081142032</v>
      </c>
      <c r="U254" s="57" cm="1">
        <f t="array" ref="U254">SUM(S254:T254)</f>
        <v>20.476882540379872</v>
      </c>
      <c r="V254" s="57" cm="1">
        <f t="array" ref="V254">VLOOKUP(B254,'Player Data'!$A1:$AE673,10,FALSE)*$Q254*IFERROR(((VLOOKUP(P254,Settings!$E$28:$F$33,2,FALSE)/2)+1),1)</f>
        <v>82.781822074610758</v>
      </c>
      <c r="W254" s="57" cm="1">
        <f t="array" ref="W254">VLOOKUP(B254,'Player Data'!$A1:$AE673,11,FALSE)*$Q254*IFERROR((VLOOKUP(P254,Settings!$E$28:$F$33,2,FALSE)+1),1)</f>
        <v>2.7699221686934707E-2</v>
      </c>
      <c r="X254" s="57" cm="1">
        <f t="array" ref="X254">VLOOKUP(B254,'Player Data'!$A1:$AE673,12,FALSE)*$Q254*IFERROR((VLOOKUP(P254,Settings!$E$28:$F$33,2,FALSE)+1),1)</f>
        <v>0.15411414157030465</v>
      </c>
      <c r="Y254" s="57" cm="1">
        <f t="array" ref="Y254">VLOOKUP(B254,'Player Data'!$A1:$AE673,13,FALSE)*$Q254</f>
        <v>1.2870978391188262E-2</v>
      </c>
      <c r="Z254" s="57" cm="1">
        <f t="array" ref="Z254">VLOOKUP(B254,'Player Data'!$A1:$AE673,14,FALSE)*$Q254</f>
        <v>1.0482333714158238</v>
      </c>
      <c r="AA254" s="57" cm="1">
        <f t="array" ref="AA254">VLOOKUP(B254,'Player Data'!$A1:$AE673,15,FALSE)*$Q254</f>
        <v>153.1769124614282</v>
      </c>
      <c r="AB254" s="57" cm="1">
        <f t="array" ref="AB254">VLOOKUP(B254,'Player Data'!$A1:$AE673,16,FALSE)*$Q254</f>
        <v>71.974529492277199</v>
      </c>
      <c r="AC254" s="57" cm="1">
        <f t="array" ref="AC254">VLOOKUP(B254,'Player Data'!$A1:$AE673,17,FALSE)*$Q254*IFERROR((VLOOKUP(P254,Settings!$E$28:$F$33,2,FALSE)+1),1)</f>
        <v>-3.4599783098749337</v>
      </c>
      <c r="AD254" s="57" cm="1">
        <f t="array" ref="AD254">VLOOKUP(B254,'Player Data'!$A1:$AE673,18,FALSE)*$Q254</f>
        <v>20.504147653594412</v>
      </c>
      <c r="AE254" s="57" cm="1">
        <f t="array" ref="AE254">VLOOKUP(B254,'Player Data'!$A1:$AE673,19,FALSE)*$Q254*IFERROR((VLOOKUP(P254,Settings!$E$28:$F$33,2,FALSE)+1),1)</f>
        <v>0.33254263581948107</v>
      </c>
      <c r="AF254" s="57" cm="1">
        <f t="array" ref="AF254">VLOOKUP(B254,'Player Data'!$A1:$AE673,20,FALSE)*$Q254</f>
        <v>0</v>
      </c>
      <c r="AG254" s="57" cm="1">
        <f t="array" ref="AG254">VLOOKUP(B254,'Player Data'!$A1:$AE673,21,FALSE)*$Q254</f>
        <v>0</v>
      </c>
      <c r="AH254" s="59" cm="1">
        <f t="array" ref="AH254">VLOOKUP(B254,'Player Data'!$A1:$AE673,22,FALSE)</f>
        <v>0</v>
      </c>
      <c r="AI254" s="55"/>
      <c r="AJ254" s="57"/>
      <c r="AK254" s="57"/>
      <c r="AL254" s="57"/>
      <c r="AM254" s="57"/>
      <c r="AN254" s="57"/>
      <c r="AO254" s="57"/>
      <c r="AP254" s="57"/>
      <c r="AQ254" s="60"/>
      <c r="AR254" s="61"/>
      <c r="AS254" s="55"/>
    </row>
    <row r="255" spans="1:45" ht="21.25" customHeight="1" x14ac:dyDescent="0.15">
      <c r="A255" s="62">
        <f t="shared" si="3"/>
        <v>254</v>
      </c>
      <c r="B255" s="10" t="s">
        <v>383</v>
      </c>
      <c r="C255" s="47" t="s">
        <v>147</v>
      </c>
      <c r="D255" s="48" t="str" cm="1">
        <f t="array" ref="D255">VLOOKUP(B255,'Player Data'!A1:D673,4,FALSE)</f>
        <v>D</v>
      </c>
      <c r="E255" s="68" cm="1">
        <f t="array" ref="E255">VLOOKUP(B255,D!A1:C204,3,FALSE)</f>
        <v>97</v>
      </c>
      <c r="F255" s="70" t="str" cm="1">
        <f t="array" ref="F255">VLOOKUP(B255,'Player Data'!A1:B673,2,FALSE)</f>
        <v>L.A</v>
      </c>
      <c r="G255" s="66" cm="1">
        <f t="array" ref="G255">VLOOKUP(B255,'Player Data'!A1:D673,3,FALSE)</f>
        <v>36</v>
      </c>
      <c r="H255" s="67" cm="1">
        <f t="array" ref="H255">IFERROR(VLOOKUP(B255,ADP!A1:F671,6,FALSE)/1000000,VLOOKUP(B255,ADP!A1:F671,6,FALSE))</f>
        <v>11</v>
      </c>
      <c r="I255" s="52">
        <f>IF(Settings!$E$15="POINTS",((R255*Q255)*Settings!$B$12)+(S255*Settings!$B$2)+(T255*Settings!$B$3)+(U255*Settings!$B$4)+(V255*Settings!$B$5)+(X255*Settings!$B$9)+(AA255*Settings!$B$6)+(W255*Settings!$B$8)+(AB255*Settings!$B$7)+(AC255*Settings!$B$14)+(AD255*Settings!$B$15)+(AE255*Settings!$B$16)+(AF255*Settings!$B$17)+(AG255*Settings!$B$18)+(U255*Settings!$B$13)+(Y255*Settings!$B$10)+(Z255*Settings!$B$11),VLOOKUP(B255,'Standard Deviations'!A$1:C$672,3,FALSE))</f>
        <v>180.51277047800846</v>
      </c>
      <c r="J255" s="53" cm="1">
        <f t="array" ref="J255">IF(D255="G",I255/AJ255,I255/Q255)</f>
        <v>2.4034720787964643</v>
      </c>
      <c r="K255" s="52" cm="1">
        <f t="array" ref="K255">VLOOKUP(B255,D!A1:F204,6,FALSE)</f>
        <v>-126.1410968665856</v>
      </c>
      <c r="L255" s="54" cm="1">
        <f t="array" ref="L255">IFERROR(K255/H255,"N/A")</f>
        <v>-11.467372442416872</v>
      </c>
      <c r="M255" s="85" t="s">
        <v>832</v>
      </c>
      <c r="N255" s="85" t="str" cm="1">
        <f t="array" ref="N255">IFERROR(M255-A255,"N/A")</f>
        <v>N/A</v>
      </c>
      <c r="O255" s="55"/>
      <c r="P255" s="56" t="str" cm="1">
        <f t="array" ref="P255">_xlfn.XLOOKUP($B255,ADP!A2:A671,ADP!G2:G671)</f>
        <v xml:space="preserve"> </v>
      </c>
      <c r="Q255" s="57" cm="1">
        <f t="array" ref="Q255">IF(Settings!$E$12="YES",VLOOKUP(B255,'Player Data'!A1:E673,5,FALSE),84)</f>
        <v>75.105000000000004</v>
      </c>
      <c r="R255" s="55" cm="1">
        <f t="array" ref="R255">VLOOKUP(B255,'Player Data'!$A1:$AE673,6,FALSE)</f>
        <v>22.9425977843411</v>
      </c>
      <c r="S255" s="57" cm="1">
        <f t="array" ref="S255">VLOOKUP(B255,'Player Data'!$A1:$AE673,7,FALSE)*$Q255*IFERROR((VLOOKUP(P255,Settings!$E$28:$F$33,2,FALSE)+1),1)</f>
        <v>5.3900683546503032</v>
      </c>
      <c r="T255" s="57" cm="1">
        <f t="array" ref="T255">VLOOKUP(B255,'Player Data'!$A1:$AE673,8,FALSE)*$Q255*IFERROR((VLOOKUP(P255,Settings!$E$28:$F$33,2,FALSE)+1),1)</f>
        <v>21.244839171756048</v>
      </c>
      <c r="U255" s="57" cm="1">
        <f t="array" ref="U255">SUM(S255:T255)</f>
        <v>26.634907526406352</v>
      </c>
      <c r="V255" s="57" cm="1">
        <f t="array" ref="V255">VLOOKUP(B255,'Player Data'!$A1:$AE673,10,FALSE)*$Q255*IFERROR(((VLOOKUP(P255,Settings!$E$28:$F$33,2,FALSE)/2)+1),1)</f>
        <v>99.363609005570211</v>
      </c>
      <c r="W255" s="57" cm="1">
        <f t="array" ref="W255">VLOOKUP(B255,'Player Data'!$A1:$AE673,11,FALSE)*$Q255*IFERROR((VLOOKUP(P255,Settings!$E$28:$F$33,2,FALSE)+1),1)</f>
        <v>0.65749429193600573</v>
      </c>
      <c r="X255" s="57" cm="1">
        <f t="array" ref="X255">VLOOKUP(B255,'Player Data'!$A1:$AE673,12,FALSE)*$Q255*IFERROR((VLOOKUP(P255,Settings!$E$28:$F$33,2,FALSE)+1),1)</f>
        <v>4.6171716962571265</v>
      </c>
      <c r="Y255" s="57" cm="1">
        <f t="array" ref="Y255">VLOOKUP(B255,'Player Data'!$A1:$AE673,13,FALSE)*$Q255</f>
        <v>1.3459281052415029E-2</v>
      </c>
      <c r="Z255" s="57" cm="1">
        <f t="array" ref="Z255">VLOOKUP(B255,'Player Data'!$A1:$AE673,14,FALSE)*$Q255</f>
        <v>0.34729304091418101</v>
      </c>
      <c r="AA255" s="57" cm="1">
        <f t="array" ref="AA255">VLOOKUP(B255,'Player Data'!$A1:$AE673,15,FALSE)*$Q255</f>
        <v>91.923557317665995</v>
      </c>
      <c r="AB255" s="57" cm="1">
        <f t="array" ref="AB255">VLOOKUP(B255,'Player Data'!$A1:$AE673,16,FALSE)*$Q255</f>
        <v>58.243967527240095</v>
      </c>
      <c r="AC255" s="57" cm="1">
        <f t="array" ref="AC255">VLOOKUP(B255,'Player Data'!$A1:$AE673,17,FALSE)*$Q255*IFERROR((VLOOKUP(P255,Settings!$E$28:$F$33,2,FALSE)+1),1)</f>
        <v>1.3854254334995948</v>
      </c>
      <c r="AD255" s="57" cm="1">
        <f t="array" ref="AD255">VLOOKUP(B255,'Player Data'!$A1:$AE673,18,FALSE)*$Q255</f>
        <v>40.452915211582891</v>
      </c>
      <c r="AE255" s="57" cm="1">
        <f t="array" ref="AE255">VLOOKUP(B255,'Player Data'!$A1:$AE673,19,FALSE)*$Q255*IFERROR((VLOOKUP(P255,Settings!$E$28:$F$33,2,FALSE)+1),1)</f>
        <v>0.85143763168765818</v>
      </c>
      <c r="AF255" s="57" cm="1">
        <f t="array" ref="AF255">VLOOKUP(B255,'Player Data'!$A1:$AE673,20,FALSE)*$Q255</f>
        <v>0</v>
      </c>
      <c r="AG255" s="57" cm="1">
        <f t="array" ref="AG255">VLOOKUP(B255,'Player Data'!$A1:$AE673,21,FALSE)*$Q255</f>
        <v>0</v>
      </c>
      <c r="AH255" s="59" cm="1">
        <f t="array" ref="AH255">VLOOKUP(B255,'Player Data'!$A1:$AE673,22,FALSE)</f>
        <v>0</v>
      </c>
      <c r="AI255" s="55"/>
      <c r="AJ255" s="57"/>
      <c r="AK255" s="57"/>
      <c r="AL255" s="57"/>
      <c r="AM255" s="57"/>
      <c r="AN255" s="57"/>
      <c r="AO255" s="57"/>
      <c r="AP255" s="57"/>
      <c r="AQ255" s="60"/>
      <c r="AR255" s="61"/>
      <c r="AS255" s="55"/>
    </row>
    <row r="256" spans="1:45" ht="21.25" customHeight="1" x14ac:dyDescent="0.15">
      <c r="A256" s="62">
        <f t="shared" si="3"/>
        <v>255</v>
      </c>
      <c r="B256" s="10" t="s">
        <v>384</v>
      </c>
      <c r="C256" s="47" t="s">
        <v>147</v>
      </c>
      <c r="D256" s="48" t="str" cm="1">
        <f t="array" ref="D256">VLOOKUP(B256,'Player Data'!A1:D673,4,FALSE)</f>
        <v>D</v>
      </c>
      <c r="E256" s="68" cm="1">
        <f t="array" ref="E256">VLOOKUP(B256,D!A1:C204,3,FALSE)</f>
        <v>98</v>
      </c>
      <c r="F256" s="65" t="str" cm="1">
        <f t="array" ref="F256">VLOOKUP(B256,'Player Data'!A1:B673,2,FALSE)</f>
        <v>T.B</v>
      </c>
      <c r="G256" s="66" cm="1">
        <f t="array" ref="G256">VLOOKUP(B256,'Player Data'!A1:D673,3,FALSE)</f>
        <v>37</v>
      </c>
      <c r="H256" s="51" cm="1">
        <f t="array" ref="H256">IFERROR(VLOOKUP(B256,ADP!A1:F671,6,FALSE)/1000000,VLOOKUP(B256,ADP!A1:F671,6,FALSE))</f>
        <v>4.0999999999999996</v>
      </c>
      <c r="I256" s="52">
        <f>IF(Settings!$E$15="POINTS",((R256*Q256)*Settings!$B$12)+(S256*Settings!$B$2)+(T256*Settings!$B$3)+(U256*Settings!$B$4)+(V256*Settings!$B$5)+(X256*Settings!$B$9)+(AA256*Settings!$B$6)+(W256*Settings!$B$8)+(AB256*Settings!$B$7)+(AC256*Settings!$B$14)+(AD256*Settings!$B$15)+(AE256*Settings!$B$16)+(AF256*Settings!$B$17)+(AG256*Settings!$B$18)+(U256*Settings!$B$13)+(Y256*Settings!$B$10)+(Z256*Settings!$B$11),VLOOKUP(B256,'Standard Deviations'!A$1:C$672,3,FALSE))</f>
        <v>179.55130070452128</v>
      </c>
      <c r="J256" s="53" cm="1">
        <f t="array" ref="J256">IF(D256="G",I256/AJ256,I256/Q256)</f>
        <v>2.3259446946631428</v>
      </c>
      <c r="K256" s="52" cm="1">
        <f t="array" ref="K256">VLOOKUP(B256,D!A1:F204,6,FALSE)</f>
        <v>-127.10256664007278</v>
      </c>
      <c r="L256" s="54" cm="1">
        <f t="array" ref="L256">IFERROR(K256/H256,"N/A")</f>
        <v>-31.00062600977385</v>
      </c>
      <c r="M256" s="85" t="s">
        <v>832</v>
      </c>
      <c r="N256" s="85" t="str" cm="1">
        <f t="array" ref="N256">IFERROR(M256-A256,"N/A")</f>
        <v>N/A</v>
      </c>
      <c r="O256" s="55"/>
      <c r="P256" s="56" t="str" cm="1">
        <f t="array" ref="P256">_xlfn.XLOOKUP($B256,ADP!A2:A671,ADP!G2:G671)</f>
        <v xml:space="preserve"> </v>
      </c>
      <c r="Q256" s="57" cm="1">
        <f t="array" ref="Q256">IF(Settings!$E$12="YES",VLOOKUP(B256,'Player Data'!A1:E673,5,FALSE),84)</f>
        <v>77.194999999999993</v>
      </c>
      <c r="R256" s="82" cm="1">
        <f t="array" ref="R256">VLOOKUP(B256,'Player Data'!$A1:$AE673,6,FALSE)</f>
        <v>20.235603880013901</v>
      </c>
      <c r="S256" s="57" cm="1">
        <f t="array" ref="S256">VLOOKUP(B256,'Player Data'!$A1:$AE673,7,FALSE)*$Q256*IFERROR((VLOOKUP(P256,Settings!$E$28:$F$33,2,FALSE)+1),1)</f>
        <v>4.170853472385617</v>
      </c>
      <c r="T256" s="57" cm="1">
        <f t="array" ref="T256">VLOOKUP(B256,'Player Data'!$A1:$AE673,8,FALSE)*$Q256*IFERROR((VLOOKUP(P256,Settings!$E$28:$F$33,2,FALSE)+1),1)</f>
        <v>21.638105173482604</v>
      </c>
      <c r="U256" s="57" cm="1">
        <f t="array" ref="U256">SUM(S256:T256)</f>
        <v>25.80895864586822</v>
      </c>
      <c r="V256" s="57" cm="1">
        <f t="array" ref="V256">VLOOKUP(B256,'Player Data'!$A1:$AE673,10,FALSE)*$Q256*IFERROR(((VLOOKUP(P256,Settings!$E$28:$F$33,2,FALSE)/2)+1),1)</f>
        <v>69.887720220361075</v>
      </c>
      <c r="W256" s="57" cm="1">
        <f t="array" ref="W256">VLOOKUP(B256,'Player Data'!$A1:$AE673,11,FALSE)*$Q256*IFERROR((VLOOKUP(P256,Settings!$E$28:$F$33,2,FALSE)+1),1)</f>
        <v>8.834337678093749E-3</v>
      </c>
      <c r="X256" s="57" cm="1">
        <f t="array" ref="X256">VLOOKUP(B256,'Player Data'!$A1:$AE673,12,FALSE)*$Q256*IFERROR((VLOOKUP(P256,Settings!$E$28:$F$33,2,FALSE)+1),1)</f>
        <v>0.26149261721092126</v>
      </c>
      <c r="Y256" s="57" cm="1">
        <f t="array" ref="Y256">VLOOKUP(B256,'Player Data'!$A1:$AE673,13,FALSE)*$Q256</f>
        <v>0.27797067435731815</v>
      </c>
      <c r="Z256" s="57" cm="1">
        <f t="array" ref="Z256">VLOOKUP(B256,'Player Data'!$A1:$AE673,14,FALSE)*$Q256</f>
        <v>0.99260858227268156</v>
      </c>
      <c r="AA256" s="57" cm="1">
        <f t="array" ref="AA256">VLOOKUP(B256,'Player Data'!$A1:$AE673,15,FALSE)*$Q256</f>
        <v>131.85292691450499</v>
      </c>
      <c r="AB256" s="57" cm="1">
        <f t="array" ref="AB256">VLOOKUP(B256,'Player Data'!$A1:$AE673,16,FALSE)*$Q256</f>
        <v>43.007498005659698</v>
      </c>
      <c r="AC256" s="57" cm="1">
        <f t="array" ref="AC256">VLOOKUP(B256,'Player Data'!$A1:$AE673,17,FALSE)*$Q256*IFERROR((VLOOKUP(P256,Settings!$E$28:$F$33,2,FALSE)+1),1)</f>
        <v>8.2317366946375472</v>
      </c>
      <c r="AD256" s="57" cm="1">
        <f t="array" ref="AD256">VLOOKUP(B256,'Player Data'!$A1:$AE673,18,FALSE)*$Q256</f>
        <v>21.356759023293105</v>
      </c>
      <c r="AE256" s="57" cm="1">
        <f t="array" ref="AE256">VLOOKUP(B256,'Player Data'!$A1:$AE673,19,FALSE)*$Q256*IFERROR((VLOOKUP(P256,Settings!$E$28:$F$33,2,FALSE)+1),1)</f>
        <v>0.74036585769624597</v>
      </c>
      <c r="AF256" s="57" cm="1">
        <f t="array" ref="AF256">VLOOKUP(B256,'Player Data'!$A1:$AE673,20,FALSE)*$Q256</f>
        <v>0</v>
      </c>
      <c r="AG256" s="57" cm="1">
        <f t="array" ref="AG256">VLOOKUP(B256,'Player Data'!$A1:$AE673,21,FALSE)*$Q256</f>
        <v>0</v>
      </c>
      <c r="AH256" s="59" cm="1">
        <f t="array" ref="AH256">VLOOKUP(B256,'Player Data'!$A1:$AE673,22,FALSE)</f>
        <v>0</v>
      </c>
      <c r="AI256" s="55"/>
      <c r="AJ256" s="57"/>
      <c r="AK256" s="57"/>
      <c r="AL256" s="57"/>
      <c r="AM256" s="57"/>
      <c r="AN256" s="57"/>
      <c r="AO256" s="57"/>
      <c r="AP256" s="57"/>
      <c r="AQ256" s="60"/>
      <c r="AR256" s="61"/>
      <c r="AS256" s="55"/>
    </row>
    <row r="257" spans="1:45" ht="21.25" customHeight="1" x14ac:dyDescent="0.15">
      <c r="A257" s="62">
        <f t="shared" si="3"/>
        <v>256</v>
      </c>
      <c r="B257" s="10" t="s">
        <v>385</v>
      </c>
      <c r="C257" s="47" t="s">
        <v>147</v>
      </c>
      <c r="D257" s="48" t="str" cm="1">
        <f t="array" ref="D257">VLOOKUP(B257,'Player Data'!A1:D673,4,FALSE)</f>
        <v>D</v>
      </c>
      <c r="E257" s="68" cm="1">
        <f t="array" ref="E257">VLOOKUP(B257,D!A1:C204,3,FALSE)</f>
        <v>99</v>
      </c>
      <c r="F257" s="70" t="str" cm="1">
        <f t="array" ref="F257">VLOOKUP(B257,'Player Data'!A1:B673,2,FALSE)</f>
        <v>MIN</v>
      </c>
      <c r="G257" s="66" cm="1">
        <f t="array" ref="G257">VLOOKUP(B257,'Player Data'!A1:D673,3,FALSE)</f>
        <v>33</v>
      </c>
      <c r="H257" s="51" cm="1">
        <f t="array" ref="H257">IFERROR(VLOOKUP(B257,ADP!A1:F671,6,FALSE)/1000000,VLOOKUP(B257,ADP!A1:F671,6,FALSE))</f>
        <v>6</v>
      </c>
      <c r="I257" s="52">
        <f>IF(Settings!$E$15="POINTS",((R257*Q257)*Settings!$B$12)+(S257*Settings!$B$2)+(T257*Settings!$B$3)+(U257*Settings!$B$4)+(V257*Settings!$B$5)+(X257*Settings!$B$9)+(AA257*Settings!$B$6)+(W257*Settings!$B$8)+(AB257*Settings!$B$7)+(AC257*Settings!$B$14)+(AD257*Settings!$B$15)+(AE257*Settings!$B$16)+(AF257*Settings!$B$17)+(AG257*Settings!$B$18)+(U257*Settings!$B$13)+(Y257*Settings!$B$10)+(Z257*Settings!$B$11),VLOOKUP(B257,'Standard Deviations'!A$1:C$672,3,FALSE))</f>
        <v>178.24815911214796</v>
      </c>
      <c r="J257" s="53" cm="1">
        <f t="array" ref="J257">IF(D257="G",I257/AJ257,I257/Q257)</f>
        <v>2.4061576554015653</v>
      </c>
      <c r="K257" s="52" cm="1">
        <f t="array" ref="K257">VLOOKUP(B257,D!A1:F204,6,FALSE)</f>
        <v>-128.4057082324461</v>
      </c>
      <c r="L257" s="54" cm="1">
        <f t="array" ref="L257">IFERROR(K257/H257,"N/A")</f>
        <v>-21.400951372074349</v>
      </c>
      <c r="M257" s="85" t="s">
        <v>832</v>
      </c>
      <c r="N257" s="85" t="str" cm="1">
        <f t="array" ref="N257">IFERROR(M257-A257,"N/A")</f>
        <v>N/A</v>
      </c>
      <c r="O257" s="55"/>
      <c r="P257" s="56" t="str" cm="1">
        <f t="array" ref="P257">_xlfn.XLOOKUP($B257,ADP!A2:A671,ADP!G2:G671)</f>
        <v xml:space="preserve"> </v>
      </c>
      <c r="Q257" s="57" cm="1">
        <f t="array" ref="Q257">IF(Settings!$E$12="YES",VLOOKUP(B257,'Player Data'!A1:E673,5,FALSE),84)</f>
        <v>74.08</v>
      </c>
      <c r="R257" s="55" cm="1">
        <f t="array" ref="R257">VLOOKUP(B257,'Player Data'!$A1:$AE673,6,FALSE)</f>
        <v>20.6698262158856</v>
      </c>
      <c r="S257" s="57" cm="1">
        <f t="array" ref="S257">VLOOKUP(B257,'Player Data'!$A1:$AE673,7,FALSE)*$Q257*IFERROR((VLOOKUP(P257,Settings!$E$28:$F$33,2,FALSE)+1),1)</f>
        <v>3.6003037772418116</v>
      </c>
      <c r="T257" s="57" cm="1">
        <f t="array" ref="T257">VLOOKUP(B257,'Player Data'!$A1:$AE673,8,FALSE)*$Q257*IFERROR((VLOOKUP(P257,Settings!$E$28:$F$33,2,FALSE)+1),1)</f>
        <v>17.065928216786585</v>
      </c>
      <c r="U257" s="57" cm="1">
        <f t="array" ref="U257">SUM(S257:T257)</f>
        <v>20.666231994028397</v>
      </c>
      <c r="V257" s="57" cm="1">
        <f t="array" ref="V257">VLOOKUP(B257,'Player Data'!$A1:$AE673,10,FALSE)*$Q257*IFERROR(((VLOOKUP(P257,Settings!$E$28:$F$33,2,FALSE)/2)+1),1)</f>
        <v>87.136755453613063</v>
      </c>
      <c r="W257" s="57" cm="1">
        <f t="array" ref="W257">VLOOKUP(B257,'Player Data'!$A1:$AE673,11,FALSE)*$Q257*IFERROR((VLOOKUP(P257,Settings!$E$28:$F$33,2,FALSE)+1),1)</f>
        <v>4.2546332658608159E-3</v>
      </c>
      <c r="X257" s="57" cm="1">
        <f t="array" ref="X257">VLOOKUP(B257,'Player Data'!$A1:$AE673,12,FALSE)*$Q257*IFERROR((VLOOKUP(P257,Settings!$E$28:$F$33,2,FALSE)+1),1)</f>
        <v>0.10667265958968861</v>
      </c>
      <c r="Y257" s="57" cm="1">
        <f t="array" ref="Y257">VLOOKUP(B257,'Player Data'!$A1:$AE673,13,FALSE)*$Q257</f>
        <v>1.6953927577157715E-2</v>
      </c>
      <c r="Z257" s="57" cm="1">
        <f t="array" ref="Z257">VLOOKUP(B257,'Player Data'!$A1:$AE673,14,FALSE)*$Q257</f>
        <v>0.40003103825846537</v>
      </c>
      <c r="AA257" s="57" cm="1">
        <f t="array" ref="AA257">VLOOKUP(B257,'Player Data'!$A1:$AE673,15,FALSE)*$Q257</f>
        <v>144.34876341081616</v>
      </c>
      <c r="AB257" s="57" cm="1">
        <f t="array" ref="AB257">VLOOKUP(B257,'Player Data'!$A1:$AE673,16,FALSE)*$Q257</f>
        <v>33.464568661000477</v>
      </c>
      <c r="AC257" s="57" cm="1">
        <f t="array" ref="AC257">VLOOKUP(B257,'Player Data'!$A1:$AE673,17,FALSE)*$Q257*IFERROR((VLOOKUP(P257,Settings!$E$28:$F$33,2,FALSE)+1),1)</f>
        <v>4.6298656978973503</v>
      </c>
      <c r="AD257" s="57" cm="1">
        <f t="array" ref="AD257">VLOOKUP(B257,'Player Data'!$A1:$AE673,18,FALSE)*$Q257</f>
        <v>23.44485268477758</v>
      </c>
      <c r="AE257" s="57" cm="1">
        <f t="array" ref="AE257">VLOOKUP(B257,'Player Data'!$A1:$AE673,19,FALSE)*$Q257*IFERROR((VLOOKUP(P257,Settings!$E$28:$F$33,2,FALSE)+1),1)</f>
        <v>0.58643366229053251</v>
      </c>
      <c r="AF257" s="57" cm="1">
        <f t="array" ref="AF257">VLOOKUP(B257,'Player Data'!$A1:$AE673,20,FALSE)*$Q257</f>
        <v>0</v>
      </c>
      <c r="AG257" s="57" cm="1">
        <f t="array" ref="AG257">VLOOKUP(B257,'Player Data'!$A1:$AE673,21,FALSE)*$Q257</f>
        <v>0</v>
      </c>
      <c r="AH257" s="59" cm="1">
        <f t="array" ref="AH257">VLOOKUP(B257,'Player Data'!$A1:$AE673,22,FALSE)</f>
        <v>0</v>
      </c>
      <c r="AI257" s="55"/>
      <c r="AJ257" s="57"/>
      <c r="AK257" s="57"/>
      <c r="AL257" s="57"/>
      <c r="AM257" s="57"/>
      <c r="AN257" s="57"/>
      <c r="AO257" s="57"/>
      <c r="AP257" s="57"/>
      <c r="AQ257" s="60"/>
      <c r="AR257" s="61"/>
      <c r="AS257" s="55"/>
    </row>
    <row r="258" spans="1:45" ht="21.25" customHeight="1" x14ac:dyDescent="0.15">
      <c r="A258" s="62">
        <f t="shared" ref="A258:A321" si="4">RANK(K258,K$2:K$671)</f>
        <v>257</v>
      </c>
      <c r="B258" s="10" t="s">
        <v>386</v>
      </c>
      <c r="C258" s="47" t="s">
        <v>147</v>
      </c>
      <c r="D258" s="48" t="str" cm="1">
        <f t="array" ref="D258">VLOOKUP(B258,'Player Data'!A1:D673,4,FALSE)</f>
        <v>LW</v>
      </c>
      <c r="E258" s="75" cm="1">
        <f t="array" ref="E258">VLOOKUP(B258,LW!A1:C210,3,FALSE)</f>
        <v>64</v>
      </c>
      <c r="F258" s="72" t="str" cm="1">
        <f t="array" ref="F258">VLOOKUP(B258,'Player Data'!A1:B673,2,FALSE)</f>
        <v>FLA</v>
      </c>
      <c r="G258" s="66" cm="1">
        <f t="array" ref="G258">VLOOKUP(B258,'Player Data'!A1:D673,3,FALSE)</f>
        <v>31</v>
      </c>
      <c r="H258" s="51" cm="1">
        <f t="array" ref="H258">IFERROR(VLOOKUP(B258,ADP!A1:F671,6,FALSE)/1000000,VLOOKUP(B258,ADP!A1:F671,6,FALSE))</f>
        <v>7</v>
      </c>
      <c r="I258" s="52">
        <f>IF(Settings!$E$15="POINTS",((R258*Q258)*Settings!$B$12)+(S258*Settings!$B$2)+(T258*Settings!$B$3)+(U258*Settings!$B$4)+(V258*Settings!$B$5)+(X258*Settings!$B$9)+(AA258*Settings!$B$6)+(W258*Settings!$B$8)+(AB258*Settings!$B$7)+(AC258*Settings!$B$14)+(AD258*Settings!$B$15)+(AE258*Settings!$B$16)+(AF258*Settings!$B$17)+(AG258*Settings!$B$18)+(Y258*Settings!$B$10)+(Z258*Settings!$B$11),VLOOKUP(B258,'Standard Deviations'!A$1:C$672,3,FALSE))</f>
        <v>270.64777867671921</v>
      </c>
      <c r="J258" s="53" cm="1">
        <f t="array" ref="J258">IF(D258="G",I258/AJ258,I258/Q258)</f>
        <v>3.2843611270762603</v>
      </c>
      <c r="K258" s="52" cm="1">
        <f t="array" ref="K258">IF(Settings!$E$18="C/LW/RW",VLOOKUP(B258,LW!A1:F210,6,FALSE),VLOOKUP(B258,F!A1:F407,6,FALSE))</f>
        <v>-128.66521463700087</v>
      </c>
      <c r="L258" s="54" cm="1">
        <f t="array" ref="L258">IFERROR(K258/H258,"N/A")</f>
        <v>-18.380744948142983</v>
      </c>
      <c r="M258" s="55">
        <v>152.69999999999999</v>
      </c>
      <c r="N258" s="55" cm="1">
        <f t="array" ref="N258">IFERROR(M258-A258,"N/A")</f>
        <v>-104.30000000000001</v>
      </c>
      <c r="O258" s="55"/>
      <c r="P258" s="56" t="str" cm="1">
        <f t="array" ref="P258">_xlfn.XLOOKUP($B258,ADP!A2:A671,ADP!G2:G671)</f>
        <v xml:space="preserve"> </v>
      </c>
      <c r="Q258" s="57" cm="1">
        <f t="array" ref="Q258">IF(Settings!$E$12="YES",VLOOKUP(B258,'Player Data'!A1:E673,5,FALSE),84)</f>
        <v>82.405000000000001</v>
      </c>
      <c r="R258" s="84" cm="1">
        <f t="array" ref="R258">VLOOKUP(B258,'Player Data'!$A1:$AE673,6,FALSE)</f>
        <v>16.0448824662225</v>
      </c>
      <c r="S258" s="57" cm="1">
        <f t="array" ref="S258">VLOOKUP(B258,'Player Data'!$A1:$AE673,7,FALSE)*$Q258*IFERROR((VLOOKUP(P258,Settings!$E$28:$F$33,2,FALSE)+1),1)</f>
        <v>21.900088388106838</v>
      </c>
      <c r="T258" s="57" cm="1">
        <f t="array" ref="T258">VLOOKUP(B258,'Player Data'!$A1:$AE673,8,FALSE)*$Q258*IFERROR((VLOOKUP(P258,Settings!$E$28:$F$33,2,FALSE)+1),1)</f>
        <v>28.835472477875701</v>
      </c>
      <c r="U258" s="57" cm="1">
        <f t="array" ref="U258">SUM(S258:T258)</f>
        <v>50.735560865982535</v>
      </c>
      <c r="V258" s="57" cm="1">
        <f t="array" ref="V258">VLOOKUP(B258,'Player Data'!$A1:$AE673,10,FALSE)*$Q258*IFERROR(((VLOOKUP(P258,Settings!$E$28:$F$33,2,FALSE)/2)+1),1)</f>
        <v>190.96169805413683</v>
      </c>
      <c r="W258" s="57" cm="1">
        <f t="array" ref="W258">VLOOKUP(B258,'Player Data'!$A1:$AE673,11,FALSE)*$Q258*IFERROR((VLOOKUP(P258,Settings!$E$28:$F$33,2,FALSE)+1),1)</f>
        <v>4.4994224875453659</v>
      </c>
      <c r="X258" s="57" cm="1">
        <f t="array" ref="X258">VLOOKUP(B258,'Player Data'!$A1:$AE673,12,FALSE)*$Q258*IFERROR((VLOOKUP(P258,Settings!$E$28:$F$33,2,FALSE)+1),1)</f>
        <v>10.405458849111188</v>
      </c>
      <c r="Y258" s="57" cm="1">
        <f t="array" ref="Y258">VLOOKUP(B258,'Player Data'!$A1:$AE673,13,FALSE)*$Q258</f>
        <v>2.2825051540986678E-2</v>
      </c>
      <c r="Z258" s="57" cm="1">
        <f t="array" ref="Z258">VLOOKUP(B258,'Player Data'!$A1:$AE673,14,FALSE)*$Q258</f>
        <v>3.7750059113605204E-2</v>
      </c>
      <c r="AA258" s="57" cm="1">
        <f t="array" ref="AA258">VLOOKUP(B258,'Player Data'!$A1:$AE673,15,FALSE)*$Q258</f>
        <v>25.034076286956797</v>
      </c>
      <c r="AB258" s="57" cm="1">
        <f t="array" ref="AB258">VLOOKUP(B258,'Player Data'!$A1:$AE673,16,FALSE)*$Q258</f>
        <v>74.874438343017857</v>
      </c>
      <c r="AC258" s="57" cm="1">
        <f t="array" ref="AC258">VLOOKUP(B258,'Player Data'!$A1:$AE673,17,FALSE)*$Q258*IFERROR((VLOOKUP(P258,Settings!$E$28:$F$33,2,FALSE)+1),1)</f>
        <v>4.5482488710445441</v>
      </c>
      <c r="AD258" s="57" cm="1">
        <f t="array" ref="AD258">VLOOKUP(B258,'Player Data'!$A1:$AE673,18,FALSE)*$Q258</f>
        <v>31.765958714452992</v>
      </c>
      <c r="AE258" s="57" cm="1">
        <f t="array" ref="AE258">VLOOKUP(B258,'Player Data'!$A1:$AE673,19,FALSE)*$Q258*IFERROR((VLOOKUP(P258,Settings!$E$28:$F$33,2,FALSE)+1),1)</f>
        <v>3.6462720349617119</v>
      </c>
      <c r="AF258" s="57" cm="1">
        <f t="array" ref="AF258">VLOOKUP(B258,'Player Data'!$A1:$AE673,20,FALSE)*$Q258</f>
        <v>35.795902397889208</v>
      </c>
      <c r="AG258" s="57" cm="1">
        <f t="array" ref="AG258">VLOOKUP(B258,'Player Data'!$A1:$AE673,21,FALSE)*$Q258</f>
        <v>60.091689115825297</v>
      </c>
      <c r="AH258" s="59" cm="1">
        <f t="array" ref="AH258">VLOOKUP(B258,'Player Data'!$A1:$AE673,22,FALSE)</f>
        <v>0.37331110139281598</v>
      </c>
      <c r="AI258" s="55"/>
      <c r="AJ258" s="57"/>
      <c r="AK258" s="57"/>
      <c r="AL258" s="57"/>
      <c r="AM258" s="57"/>
      <c r="AN258" s="57"/>
      <c r="AO258" s="57"/>
      <c r="AP258" s="57"/>
      <c r="AQ258" s="60"/>
      <c r="AR258" s="61"/>
      <c r="AS258" s="55"/>
    </row>
    <row r="259" spans="1:45" ht="21.25" customHeight="1" x14ac:dyDescent="0.15">
      <c r="A259" s="62">
        <f t="shared" si="4"/>
        <v>258</v>
      </c>
      <c r="B259" s="10" t="s">
        <v>387</v>
      </c>
      <c r="C259" s="47" t="s">
        <v>147</v>
      </c>
      <c r="D259" s="48" t="str" cm="1">
        <f t="array" ref="D259">VLOOKUP(B259,'Player Data'!A1:D673,4,FALSE)</f>
        <v>D</v>
      </c>
      <c r="E259" s="68" cm="1">
        <f t="array" ref="E259">VLOOKUP(B259,D!A1:C204,3,FALSE)</f>
        <v>100</v>
      </c>
      <c r="F259" s="56" t="str" cm="1">
        <f t="array" ref="F259">VLOOKUP(B259,'Player Data'!A1:B673,2,FALSE)</f>
        <v>NYR</v>
      </c>
      <c r="G259" s="11" cm="1">
        <f t="array" ref="G259">VLOOKUP(B259,'Player Data'!A1:D673,3,FALSE)</f>
        <v>30</v>
      </c>
      <c r="H259" s="51" cm="1">
        <f t="array" ref="H259">IFERROR(VLOOKUP(B259,ADP!A1:F671,6,FALSE)/1000000,VLOOKUP(B259,ADP!A1:F671,6,FALSE))</f>
        <v>5.5</v>
      </c>
      <c r="I259" s="52">
        <f>IF(Settings!$E$15="POINTS",((R259*Q259)*Settings!$B$12)+(S259*Settings!$B$2)+(T259*Settings!$B$3)+(U259*Settings!$B$4)+(V259*Settings!$B$5)+(X259*Settings!$B$9)+(AA259*Settings!$B$6)+(W259*Settings!$B$8)+(AB259*Settings!$B$7)+(AC259*Settings!$B$14)+(AD259*Settings!$B$15)+(AE259*Settings!$B$16)+(AF259*Settings!$B$17)+(AG259*Settings!$B$18)+(U259*Settings!$B$13)+(Y259*Settings!$B$10)+(Z259*Settings!$B$11),VLOOKUP(B259,'Standard Deviations'!A$1:C$672,3,FALSE))</f>
        <v>177.74978230329586</v>
      </c>
      <c r="J259" s="53" cm="1">
        <f t="array" ref="J259">IF(D259="G",I259/AJ259,I259/Q259)</f>
        <v>2.1292499078018192</v>
      </c>
      <c r="K259" s="52" cm="1">
        <f t="array" ref="K259">VLOOKUP(B259,D!A1:F204,6,FALSE)</f>
        <v>-128.9040850412982</v>
      </c>
      <c r="L259" s="54" cm="1">
        <f t="array" ref="L259">IFERROR(K259/H259,"N/A")</f>
        <v>-23.437106371145127</v>
      </c>
      <c r="M259" s="85" t="s">
        <v>832</v>
      </c>
      <c r="N259" s="85" t="str" cm="1">
        <f t="array" ref="N259">IFERROR(M259-A259,"N/A")</f>
        <v>N/A</v>
      </c>
      <c r="O259" s="55"/>
      <c r="P259" s="56" t="str" cm="1">
        <f t="array" ref="P259">_xlfn.XLOOKUP($B259,ADP!A2:A671,ADP!G2:G671)</f>
        <v xml:space="preserve"> </v>
      </c>
      <c r="Q259" s="57" cm="1">
        <f t="array" ref="Q259">IF(Settings!$E$12="YES",VLOOKUP(B259,'Player Data'!A1:E673,5,FALSE),84)</f>
        <v>83.48</v>
      </c>
      <c r="R259" s="55" cm="1">
        <f t="array" ref="R259">VLOOKUP(B259,'Player Data'!$A1:$AE673,6,FALSE)</f>
        <v>20.8332519961446</v>
      </c>
      <c r="S259" s="57" cm="1">
        <f t="array" ref="S259">VLOOKUP(B259,'Player Data'!$A1:$AE673,7,FALSE)*$Q259*IFERROR((VLOOKUP(P259,Settings!$E$28:$F$33,2,FALSE)+1),1)</f>
        <v>3.5937967859607531</v>
      </c>
      <c r="T259" s="57" cm="1">
        <f t="array" ref="T259">VLOOKUP(B259,'Player Data'!$A1:$AE673,8,FALSE)*$Q259*IFERROR((VLOOKUP(P259,Settings!$E$28:$F$33,2,FALSE)+1),1)</f>
        <v>20.351445872798653</v>
      </c>
      <c r="U259" s="57" cm="1">
        <f t="array" ref="U259">SUM(S259:T259)</f>
        <v>23.945242658759405</v>
      </c>
      <c r="V259" s="57" cm="1">
        <f t="array" ref="V259">VLOOKUP(B259,'Player Data'!$A1:$AE673,10,FALSE)*$Q259*IFERROR(((VLOOKUP(P259,Settings!$E$28:$F$33,2,FALSE)/2)+1),1)</f>
        <v>71.81947943723668</v>
      </c>
      <c r="W259" s="57" cm="1">
        <f t="array" ref="W259">VLOOKUP(B259,'Player Data'!$A1:$AE673,11,FALSE)*$Q259*IFERROR((VLOOKUP(P259,Settings!$E$28:$F$33,2,FALSE)+1),1)</f>
        <v>6.7698615918492973E-3</v>
      </c>
      <c r="X259" s="57" cm="1">
        <f t="array" ref="X259">VLOOKUP(B259,'Player Data'!$A1:$AE673,12,FALSE)*$Q259*IFERROR((VLOOKUP(P259,Settings!$E$28:$F$33,2,FALSE)+1),1)</f>
        <v>5.4435960230244829E-2</v>
      </c>
      <c r="Y259" s="57" cm="1">
        <f t="array" ref="Y259">VLOOKUP(B259,'Player Data'!$A1:$AE673,13,FALSE)*$Q259</f>
        <v>2.1525603638530157E-2</v>
      </c>
      <c r="Z259" s="57" cm="1">
        <f t="array" ref="Z259">VLOOKUP(B259,'Player Data'!$A1:$AE673,14,FALSE)*$Q259</f>
        <v>0.12200908539652502</v>
      </c>
      <c r="AA259" s="57" cm="1">
        <f t="array" ref="AA259">VLOOKUP(B259,'Player Data'!$A1:$AE673,15,FALSE)*$Q259</f>
        <v>139.6557391255451</v>
      </c>
      <c r="AB259" s="57" cm="1">
        <f t="array" ref="AB259">VLOOKUP(B259,'Player Data'!$A1:$AE673,16,FALSE)*$Q259</f>
        <v>81.741934612204773</v>
      </c>
      <c r="AC259" s="57" cm="1">
        <f t="array" ref="AC259">VLOOKUP(B259,'Player Data'!$A1:$AE673,17,FALSE)*$Q259*IFERROR((VLOOKUP(P259,Settings!$E$28:$F$33,2,FALSE)+1),1)</f>
        <v>0.22662414664734609</v>
      </c>
      <c r="AD259" s="57" cm="1">
        <f t="array" ref="AD259">VLOOKUP(B259,'Player Data'!$A1:$AE673,18,FALSE)*$Q259</f>
        <v>49.033502903145802</v>
      </c>
      <c r="AE259" s="57" cm="1">
        <f t="array" ref="AE259">VLOOKUP(B259,'Player Data'!$A1:$AE673,19,FALSE)*$Q259*IFERROR((VLOOKUP(P259,Settings!$E$28:$F$33,2,FALSE)+1),1)</f>
        <v>0.56459910289884252</v>
      </c>
      <c r="AF259" s="57" cm="1">
        <f t="array" ref="AF259">VLOOKUP(B259,'Player Data'!$A1:$AE673,20,FALSE)*$Q259</f>
        <v>0</v>
      </c>
      <c r="AG259" s="57" cm="1">
        <f t="array" ref="AG259">VLOOKUP(B259,'Player Data'!$A1:$AE673,21,FALSE)*$Q259</f>
        <v>0</v>
      </c>
      <c r="AH259" s="59" cm="1">
        <f t="array" ref="AH259">VLOOKUP(B259,'Player Data'!$A1:$AE673,22,FALSE)</f>
        <v>0</v>
      </c>
      <c r="AI259" s="55"/>
      <c r="AJ259" s="57"/>
      <c r="AK259" s="57"/>
      <c r="AL259" s="57"/>
      <c r="AM259" s="57"/>
      <c r="AN259" s="57"/>
      <c r="AO259" s="57"/>
      <c r="AP259" s="57"/>
      <c r="AQ259" s="60"/>
      <c r="AR259" s="61"/>
      <c r="AS259" s="55"/>
    </row>
    <row r="260" spans="1:45" ht="21.25" customHeight="1" x14ac:dyDescent="0.15">
      <c r="A260" s="62">
        <f t="shared" si="4"/>
        <v>259</v>
      </c>
      <c r="B260" s="10" t="s">
        <v>388</v>
      </c>
      <c r="C260" s="76"/>
      <c r="D260" s="48" t="str" cm="1">
        <f t="array" ref="D260">VLOOKUP(B260,'Player Data'!A1:D673,4,FALSE)</f>
        <v>G</v>
      </c>
      <c r="E260" s="77" cm="1">
        <f t="array" ref="E260">VLOOKUP(B260,G!A1:D66,3,FALSE)</f>
        <v>29</v>
      </c>
      <c r="F260" s="50" t="str" cm="1">
        <f t="array" ref="F260">VLOOKUP(B260,'Player Data'!A1:B673,2,FALSE)</f>
        <v>S.J</v>
      </c>
      <c r="G260" s="71" cm="1">
        <f t="array" ref="G260">VLOOKUP(B260,'Player Data'!A1:D673,3,FALSE)</f>
        <v>24</v>
      </c>
      <c r="H260" s="67" cm="1">
        <f t="array" ref="H260">IFERROR(VLOOKUP(B260,ADP!A1:F671,6,FALSE)/1000000,VLOOKUP(B260,ADP!A1:F671,6,FALSE))</f>
        <v>2</v>
      </c>
      <c r="I260" s="52">
        <f>IF(Settings!$E$15="POINTS",(AJ260*Settings!$B$29)+(AK260*Settings!$B$21)+(AL260*Settings!$B$22)+(AN260*Settings!$B$24)+(AO260*Settings!$B$25)+(AP260*Settings!$B$27)+(AM260*Settings!$B$23),VLOOKUP(B260,'Standard Deviations'!A$1:C$672,3,FALSE))</f>
        <v>230.13812154426728</v>
      </c>
      <c r="J260" s="53" cm="1">
        <f t="array" ref="J260">IF(D260="G",I260/AJ260,I260/Q260)</f>
        <v>5.1141804787614955</v>
      </c>
      <c r="K260" s="52" cm="1">
        <f t="array" ref="K260">VLOOKUP(B260,G!A1:F66,6,FALSE)</f>
        <v>-129.01978638597075</v>
      </c>
      <c r="L260" s="54" cm="1">
        <f t="array" ref="L260">IFERROR(K260/H260,"N/A")</f>
        <v>-64.509893192985373</v>
      </c>
      <c r="M260" s="55">
        <v>131.4</v>
      </c>
      <c r="N260" s="55" cm="1">
        <f t="array" ref="N260">IFERROR(M260-A260,"N/A")</f>
        <v>-127.6</v>
      </c>
      <c r="O260" s="55"/>
      <c r="P260" s="56" t="str" cm="1">
        <f t="array" ref="P260">_xlfn.XLOOKUP($B260,ADP!A2:A671,ADP!G2:G671)</f>
        <v xml:space="preserve"> </v>
      </c>
      <c r="Q260" s="57"/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9"/>
      <c r="AI260" s="55"/>
      <c r="AJ260" s="78" cm="1">
        <f t="array" ref="AJ260">VLOOKUP(B260,'Player Data'!$A1:$AE673,24,FALSE)</f>
        <v>45</v>
      </c>
      <c r="AK260" s="57" cm="1">
        <f t="array" ref="AK260">VLOOKUP(B260,'Player Data'!$A1:$AE673,25,FALSE)*$AJ260*IFERROR((VLOOKUP(P260,Settings!$E$28:$F$33,2,FALSE)+1),1)</f>
        <v>21.368995119173789</v>
      </c>
      <c r="AL260" s="57" cm="1">
        <f t="array" ref="AL260">AJ260-AK260-AM260</f>
        <v>17.723253660619683</v>
      </c>
      <c r="AM260" s="57" cm="1">
        <f t="array" ref="AM260">VLOOKUP(B260,'Player Data'!$A1:$AE673,27,FALSE)*$AJ260</f>
        <v>5.9077512202065297</v>
      </c>
      <c r="AN260" s="57" cm="1">
        <f t="array" ref="AN260">VLOOKUP(B260,'Player Data'!$A1:$AE673,28,FALSE)*AJ260</f>
        <v>1.5142442084089651</v>
      </c>
      <c r="AO260" s="57" cm="1">
        <f t="array" ref="AO260">VLOOKUP(B260,'Player Data'!$A1:$AE673,29,FALSE)*$AJ260*IFERROR((VLOOKUP(P260,Settings!$E$28:$F$33,2,FALSE)/4)+1,1)</f>
        <v>1167.1297885318861</v>
      </c>
      <c r="AP260" s="57" cm="1">
        <f t="array" ref="AP260">VLOOKUP(B260,'Player Data'!$A1:$AE673,31,FALSE)*$AJ260*(IFERROR(1-(VLOOKUP(P260,Settings!$E$28:$F$33,2,FALSE)/4),1))</f>
        <v>139.68266742920204</v>
      </c>
      <c r="AQ260" s="60" cm="1">
        <f t="array" ref="AQ260">1-(AP260/(AO260+AP260))</f>
        <v>0.8931119252865759</v>
      </c>
      <c r="AR260" s="61" cm="1">
        <f t="array" ref="AR260">AP260/AJ260</f>
        <v>3.1040592762044898</v>
      </c>
      <c r="AS260" s="55"/>
    </row>
    <row r="261" spans="1:45" ht="21.25" customHeight="1" x14ac:dyDescent="0.15">
      <c r="A261" s="62">
        <f t="shared" si="4"/>
        <v>260</v>
      </c>
      <c r="B261" s="10" t="s">
        <v>389</v>
      </c>
      <c r="C261" s="47" t="s">
        <v>128</v>
      </c>
      <c r="D261" s="48" t="str" cm="1">
        <f t="array" ref="D261">VLOOKUP(B261,'Player Data'!A1:D673,4,FALSE)</f>
        <v>C</v>
      </c>
      <c r="E261" s="49" cm="1">
        <f t="array" ref="E261">VLOOKUP(B261,'C'!A1:C210,3,FALSE)</f>
        <v>66</v>
      </c>
      <c r="F261" s="56" t="str" cm="1">
        <f t="array" ref="F261">VLOOKUP(B261,'Player Data'!A1:B673,2,FALSE)</f>
        <v>UTA</v>
      </c>
      <c r="G261" s="66" cm="1">
        <f t="array" ref="G261">VLOOKUP(B261,'Player Data'!A1:D673,3,FALSE)</f>
        <v>33</v>
      </c>
      <c r="H261" s="51" cm="1">
        <f t="array" ref="H261">IFERROR(VLOOKUP(B261,ADP!A1:F671,6,FALSE)/1000000,VLOOKUP(B261,ADP!A1:F671,6,FALSE))</f>
        <v>5.625</v>
      </c>
      <c r="I261" s="52">
        <f>IF(Settings!$E$15="POINTS",((R261*Q261)*Settings!$B$12)+(S261*Settings!$B$2)+(T261*Settings!$B$3)+(U261*Settings!$B$4)+(V261*Settings!$B$5)+(X261*Settings!$B$9)+(AA261*Settings!$B$6)+(W261*Settings!$B$8)+(AB261*Settings!$B$7)+(AC261*Settings!$B$14)+(AD261*Settings!$B$15)+(AE261*Settings!$B$16)+(AF261*Settings!$B$17)+(AG261*Settings!$B$18)+(Y261*Settings!$B$10)+(Z261*Settings!$B$11),VLOOKUP(B261,'Standard Deviations'!A$1:C$672,3,FALSE))</f>
        <v>256.8486708595388</v>
      </c>
      <c r="J261" s="53" cm="1">
        <f t="array" ref="J261">IF(D261="G",I261/AJ261,I261/Q261)</f>
        <v>3.1566494098938613</v>
      </c>
      <c r="K261" s="52" cm="1">
        <f t="array" ref="K261">IF(Settings!$E$18="C/LW/RW",VLOOKUP(B261,'C'!A1:F210,6,FALSE),VLOOKUP(B261,F!A1:F407,6,FALSE))</f>
        <v>-129.6865355335442</v>
      </c>
      <c r="L261" s="54" cm="1">
        <f t="array" ref="L261">IFERROR(K261/H261,"N/A")</f>
        <v>-23.055384094852304</v>
      </c>
      <c r="M261" s="55">
        <v>147.4</v>
      </c>
      <c r="N261" s="55" cm="1">
        <f t="array" ref="N261">IFERROR(M261-A261,"N/A")</f>
        <v>-112.6</v>
      </c>
      <c r="O261" s="55"/>
      <c r="P261" s="56" t="str" cm="1">
        <f t="array" ref="P261">_xlfn.XLOOKUP($B261,ADP!A2:A671,ADP!G2:G671)</f>
        <v xml:space="preserve"> </v>
      </c>
      <c r="Q261" s="57" cm="1">
        <f t="array" ref="Q261">IF(Settings!$E$12="YES",VLOOKUP(B261,'Player Data'!A1:E673,5,FALSE),84)</f>
        <v>81.367500000000007</v>
      </c>
      <c r="R261" s="84" cm="1">
        <f t="array" ref="R261">VLOOKUP(B261,'Player Data'!$A1:$AE673,6,FALSE)</f>
        <v>17.745512130163402</v>
      </c>
      <c r="S261" s="57" cm="1">
        <f t="array" ref="S261">VLOOKUP(B261,'Player Data'!$A1:$AE673,7,FALSE)*$Q261*IFERROR((VLOOKUP(P261,Settings!$E$28:$F$33,2,FALSE)+1),1)</f>
        <v>18.679753359003595</v>
      </c>
      <c r="T261" s="57" cm="1">
        <f t="array" ref="T261">VLOOKUP(B261,'Player Data'!$A1:$AE673,8,FALSE)*$Q261*IFERROR((VLOOKUP(P261,Settings!$E$28:$F$33,2,FALSE)+1),1)</f>
        <v>30.762541018476671</v>
      </c>
      <c r="U261" s="57" cm="1">
        <f t="array" ref="U261">SUM(S261:T261)</f>
        <v>49.442294377480266</v>
      </c>
      <c r="V261" s="57" cm="1">
        <f t="array" ref="V261">VLOOKUP(B261,'Player Data'!$A1:$AE673,10,FALSE)*$Q261*IFERROR(((VLOOKUP(P261,Settings!$E$28:$F$33,2,FALSE)/2)+1),1)</f>
        <v>133.38977240389434</v>
      </c>
      <c r="W261" s="57" cm="1">
        <f t="array" ref="W261">VLOOKUP(B261,'Player Data'!$A1:$AE673,11,FALSE)*$Q261*IFERROR((VLOOKUP(P261,Settings!$E$28:$F$33,2,FALSE)+1),1)</f>
        <v>2.6854113144076952</v>
      </c>
      <c r="X261" s="57" cm="1">
        <f t="array" ref="X261">VLOOKUP(B261,'Player Data'!$A1:$AE673,12,FALSE)*$Q261*IFERROR((VLOOKUP(P261,Settings!$E$28:$F$33,2,FALSE)+1),1)</f>
        <v>9.1578638620932509</v>
      </c>
      <c r="Y261" s="57" cm="1">
        <f t="array" ref="Y261">VLOOKUP(B261,'Player Data'!$A1:$AE673,13,FALSE)*$Q261</f>
        <v>2.7032339569670807</v>
      </c>
      <c r="Z261" s="57" cm="1">
        <f t="array" ref="Z261">VLOOKUP(B261,'Player Data'!$A1:$AE673,14,FALSE)*$Q261</f>
        <v>3.0682886469918911</v>
      </c>
      <c r="AA261" s="57" cm="1">
        <f t="array" ref="AA261">VLOOKUP(B261,'Player Data'!$A1:$AE673,15,FALSE)*$Q261</f>
        <v>59.201498032131433</v>
      </c>
      <c r="AB261" s="57" cm="1">
        <f t="array" ref="AB261">VLOOKUP(B261,'Player Data'!$A1:$AE673,16,FALSE)*$Q261</f>
        <v>185.10150781554941</v>
      </c>
      <c r="AC261" s="57" cm="1">
        <f t="array" ref="AC261">VLOOKUP(B261,'Player Data'!$A1:$AE673,17,FALSE)*$Q261*IFERROR((VLOOKUP(P261,Settings!$E$28:$F$33,2,FALSE)+1),1)</f>
        <v>0.37206040638542209</v>
      </c>
      <c r="AD261" s="57" cm="1">
        <f t="array" ref="AD261">VLOOKUP(B261,'Player Data'!$A1:$AE673,18,FALSE)*$Q261</f>
        <v>44.836798390214035</v>
      </c>
      <c r="AE261" s="57" cm="1">
        <f t="array" ref="AE261">VLOOKUP(B261,'Player Data'!$A1:$AE673,19,FALSE)*$Q261*IFERROR((VLOOKUP(P261,Settings!$E$28:$F$33,2,FALSE)+1),1)</f>
        <v>3.0194813851936839</v>
      </c>
      <c r="AF261" s="57" cm="1">
        <f t="array" ref="AF261">VLOOKUP(B261,'Player Data'!$A1:$AE673,20,FALSE)*$Q261</f>
        <v>693.16276151585441</v>
      </c>
      <c r="AG261" s="57" cm="1">
        <f t="array" ref="AG261">VLOOKUP(B261,'Player Data'!$A1:$AE673,21,FALSE)*$Q261</f>
        <v>495.40814734321322</v>
      </c>
      <c r="AH261" s="59" cm="1">
        <f t="array" ref="AH261">VLOOKUP(B261,'Player Data'!$A1:$AE673,22,FALSE)</f>
        <v>0.58319007839526804</v>
      </c>
      <c r="AI261" s="55"/>
      <c r="AJ261" s="57"/>
      <c r="AK261" s="57"/>
      <c r="AL261" s="57"/>
      <c r="AM261" s="57"/>
      <c r="AN261" s="57"/>
      <c r="AO261" s="57"/>
      <c r="AP261" s="57"/>
      <c r="AQ261" s="60"/>
      <c r="AR261" s="61"/>
      <c r="AS261" s="55"/>
    </row>
    <row r="262" spans="1:45" ht="21.25" customHeight="1" x14ac:dyDescent="0.15">
      <c r="A262" s="62">
        <f t="shared" si="4"/>
        <v>261</v>
      </c>
      <c r="B262" s="10" t="s">
        <v>390</v>
      </c>
      <c r="C262" s="47" t="s">
        <v>147</v>
      </c>
      <c r="D262" s="48" t="str" cm="1">
        <f t="array" ref="D262">VLOOKUP(B262,'Player Data'!A1:D673,4,FALSE)</f>
        <v>D</v>
      </c>
      <c r="E262" s="68" cm="1">
        <f t="array" ref="E262">VLOOKUP(B262,D!A1:C204,3,FALSE)</f>
        <v>101</v>
      </c>
      <c r="F262" s="56" t="str" cm="1">
        <f t="array" ref="F262">VLOOKUP(B262,'Player Data'!A1:B673,2,FALSE)</f>
        <v>WSH</v>
      </c>
      <c r="G262" s="11" cm="1">
        <f t="array" ref="G262">VLOOKUP(B262,'Player Data'!A1:D673,3,FALSE)</f>
        <v>26</v>
      </c>
      <c r="H262" s="51" cm="1">
        <f t="array" ref="H262">IFERROR(VLOOKUP(B262,ADP!A1:F671,6,FALSE)/1000000,VLOOKUP(B262,ADP!A1:F671,6,FALSE))</f>
        <v>4.5999999999999996</v>
      </c>
      <c r="I262" s="52">
        <f>IF(Settings!$E$15="POINTS",((R262*Q262)*Settings!$B$12)+(S262*Settings!$B$2)+(T262*Settings!$B$3)+(U262*Settings!$B$4)+(V262*Settings!$B$5)+(X262*Settings!$B$9)+(AA262*Settings!$B$6)+(W262*Settings!$B$8)+(AB262*Settings!$B$7)+(AC262*Settings!$B$14)+(AD262*Settings!$B$15)+(AE262*Settings!$B$16)+(AF262*Settings!$B$17)+(AG262*Settings!$B$18)+(U262*Settings!$B$13)+(Y262*Settings!$B$10)+(Z262*Settings!$B$11),VLOOKUP(B262,'Standard Deviations'!A$1:C$672,3,FALSE))</f>
        <v>176.9386023886313</v>
      </c>
      <c r="J262" s="53" cm="1">
        <f t="array" ref="J262">IF(D262="G",I262/AJ262,I262/Q262)</f>
        <v>2.1835510738115116</v>
      </c>
      <c r="K262" s="52" cm="1">
        <f t="array" ref="K262">VLOOKUP(B262,D!A1:F204,6,FALSE)</f>
        <v>-129.71526495596277</v>
      </c>
      <c r="L262" s="54" cm="1">
        <f t="array" ref="L262">IFERROR(K262/H262,"N/A")</f>
        <v>-28.198970642600603</v>
      </c>
      <c r="M262" s="85" t="s">
        <v>832</v>
      </c>
      <c r="N262" s="85" t="str" cm="1">
        <f t="array" ref="N262">IFERROR(M262-A262,"N/A")</f>
        <v>N/A</v>
      </c>
      <c r="O262" s="55"/>
      <c r="P262" s="56" t="str" cm="1">
        <f t="array" ref="P262">_xlfn.XLOOKUP($B262,ADP!A2:A671,ADP!G2:G671)</f>
        <v xml:space="preserve"> </v>
      </c>
      <c r="Q262" s="57" cm="1">
        <f t="array" ref="Q262">IF(Settings!$E$12="YES",VLOOKUP(B262,'Player Data'!A1:E673,5,FALSE),84)</f>
        <v>81.032499999999999</v>
      </c>
      <c r="R262" s="84" cm="1">
        <f t="array" ref="R262">VLOOKUP(B262,'Player Data'!$A1:$AE673,6,FALSE)</f>
        <v>17.486063592821999</v>
      </c>
      <c r="S262" s="57" cm="1">
        <f t="array" ref="S262">VLOOKUP(B262,'Player Data'!$A1:$AE673,7,FALSE)*$Q262*IFERROR((VLOOKUP(P262,Settings!$E$28:$F$33,2,FALSE)+1),1)</f>
        <v>3.9364685462253908</v>
      </c>
      <c r="T262" s="57" cm="1">
        <f t="array" ref="T262">VLOOKUP(B262,'Player Data'!$A1:$AE673,8,FALSE)*$Q262*IFERROR((VLOOKUP(P262,Settings!$E$28:$F$33,2,FALSE)+1),1)</f>
        <v>20.68958178742545</v>
      </c>
      <c r="U262" s="57" cm="1">
        <f t="array" ref="U262">SUM(S262:T262)</f>
        <v>24.626050333650841</v>
      </c>
      <c r="V262" s="57" cm="1">
        <f t="array" ref="V262">VLOOKUP(B262,'Player Data'!$A1:$AE673,10,FALSE)*$Q262*IFERROR(((VLOOKUP(P262,Settings!$E$28:$F$33,2,FALSE)/2)+1),1)</f>
        <v>83.167158653724428</v>
      </c>
      <c r="W262" s="57" cm="1">
        <f t="array" ref="W262">VLOOKUP(B262,'Player Data'!$A1:$AE673,11,FALSE)*$Q262*IFERROR((VLOOKUP(P262,Settings!$E$28:$F$33,2,FALSE)+1),1)</f>
        <v>0.17889851794360989</v>
      </c>
      <c r="X262" s="57" cm="1">
        <f t="array" ref="X262">VLOOKUP(B262,'Player Data'!$A1:$AE673,12,FALSE)*$Q262*IFERROR((VLOOKUP(P262,Settings!$E$28:$F$33,2,FALSE)+1),1)</f>
        <v>1.6830264167132549</v>
      </c>
      <c r="Y262" s="57" cm="1">
        <f t="array" ref="Y262">VLOOKUP(B262,'Player Data'!$A1:$AE673,13,FALSE)*$Q262</f>
        <v>2.9401433589938488E-2</v>
      </c>
      <c r="Z262" s="57" cm="1">
        <f t="array" ref="Z262">VLOOKUP(B262,'Player Data'!$A1:$AE673,14,FALSE)*$Q262</f>
        <v>0.10062994556509024</v>
      </c>
      <c r="AA262" s="57" cm="1">
        <f t="array" ref="AA262">VLOOKUP(B262,'Player Data'!$A1:$AE673,15,FALSE)*$Q262</f>
        <v>119.38643139707644</v>
      </c>
      <c r="AB262" s="57" cm="1">
        <f t="array" ref="AB262">VLOOKUP(B262,'Player Data'!$A1:$AE673,16,FALSE)*$Q262</f>
        <v>88.899167418170094</v>
      </c>
      <c r="AC262" s="57" cm="1">
        <f t="array" ref="AC262">VLOOKUP(B262,'Player Data'!$A1:$AE673,17,FALSE)*$Q262*IFERROR((VLOOKUP(P262,Settings!$E$28:$F$33,2,FALSE)+1),1)</f>
        <v>3.4687195678921814</v>
      </c>
      <c r="AD262" s="57" cm="1">
        <f t="array" ref="AD262">VLOOKUP(B262,'Player Data'!$A1:$AE673,18,FALSE)*$Q262</f>
        <v>20.838814577204769</v>
      </c>
      <c r="AE262" s="57" cm="1">
        <f t="array" ref="AE262">VLOOKUP(B262,'Player Data'!$A1:$AE673,19,FALSE)*$Q262*IFERROR((VLOOKUP(P262,Settings!$E$28:$F$33,2,FALSE)+1),1)</f>
        <v>0.58956219660336862</v>
      </c>
      <c r="AF262" s="57" cm="1">
        <f t="array" ref="AF262">VLOOKUP(B262,'Player Data'!$A1:$AE673,20,FALSE)*$Q262</f>
        <v>0</v>
      </c>
      <c r="AG262" s="57" cm="1">
        <f t="array" ref="AG262">VLOOKUP(B262,'Player Data'!$A1:$AE673,21,FALSE)*$Q262</f>
        <v>0</v>
      </c>
      <c r="AH262" s="59" cm="1">
        <f t="array" ref="AH262">VLOOKUP(B262,'Player Data'!$A1:$AE673,22,FALSE)</f>
        <v>0</v>
      </c>
      <c r="AI262" s="55"/>
      <c r="AJ262" s="57"/>
      <c r="AK262" s="57"/>
      <c r="AL262" s="57"/>
      <c r="AM262" s="57"/>
      <c r="AN262" s="57"/>
      <c r="AO262" s="57"/>
      <c r="AP262" s="57"/>
      <c r="AQ262" s="60"/>
      <c r="AR262" s="61"/>
      <c r="AS262" s="55"/>
    </row>
    <row r="263" spans="1:45" ht="21.25" customHeight="1" x14ac:dyDescent="0.15">
      <c r="A263" s="62">
        <f t="shared" si="4"/>
        <v>262</v>
      </c>
      <c r="B263" s="10" t="s">
        <v>391</v>
      </c>
      <c r="C263" s="47" t="s">
        <v>147</v>
      </c>
      <c r="D263" s="48" t="str" cm="1">
        <f t="array" ref="D263">VLOOKUP(B263,'Player Data'!A1:D673,4,FALSE)</f>
        <v>RW</v>
      </c>
      <c r="E263" s="64" cm="1">
        <f t="array" ref="E263">VLOOKUP(B263,RW!A1:F210,3,FALSE)</f>
        <v>76</v>
      </c>
      <c r="F263" s="56" t="str" cm="1">
        <f t="array" ref="F263">VLOOKUP(B263,'Player Data'!A1:B673,2,FALSE)</f>
        <v>WSH</v>
      </c>
      <c r="G263" s="71" cm="1">
        <f t="array" ref="G263">VLOOKUP(B263,'Player Data'!A1:D673,3,FALSE)</f>
        <v>21</v>
      </c>
      <c r="H263" s="51" cm="1">
        <f t="array" ref="H263">IFERROR(VLOOKUP(B263,ADP!A1:F671,6,FALSE)/1000000,VLOOKUP(B263,ADP!A1:F671,6,FALSE))</f>
        <v>0.95</v>
      </c>
      <c r="I263" s="52">
        <f>IF(Settings!$E$15="POINTS",((R263*Q263)*Settings!$B$12)+(S263*Settings!$B$2)+(T263*Settings!$B$3)+(U263*Settings!$B$4)+(V263*Settings!$B$5)+(X263*Settings!$B$9)+(AA263*Settings!$B$6)+(W263*Settings!$B$8)+(AB263*Settings!$B$7)+(AC263*Settings!$B$14)+(AD263*Settings!$B$15)+(AE263*Settings!$B$16)+(AF263*Settings!$B$17)+(AG263*Settings!$B$18)+(Y263*Settings!$B$10)+(Z263*Settings!$B$11),VLOOKUP(B263,'Standard Deviations'!A$1:C$672,3,FALSE))</f>
        <v>265.20987909945922</v>
      </c>
      <c r="J263" s="53" cm="1">
        <f t="array" ref="J263">IF(D263="G",I263/AJ263,I263/Q263)</f>
        <v>3.4896036723613055</v>
      </c>
      <c r="K263" s="52" cm="1">
        <f t="array" ref="K263">IF(Settings!$E$18="C/LW/RW",VLOOKUP(B263,RW!A1:F210,6,FALSE),VLOOKUP(B263,F!A1:F407,6,FALSE))</f>
        <v>-129.73358559409826</v>
      </c>
      <c r="L263" s="54" cm="1">
        <f t="array" ref="L263">IFERROR(K263/H263,"N/A")</f>
        <v>-136.56166904641921</v>
      </c>
      <c r="M263" s="55">
        <v>131.1</v>
      </c>
      <c r="N263" s="55" cm="1">
        <f t="array" ref="N263">IFERROR(M263-A263,"N/A")</f>
        <v>-130.9</v>
      </c>
      <c r="O263" s="55"/>
      <c r="P263" s="56" t="str" cm="1">
        <f t="array" ref="P263">_xlfn.XLOOKUP($B263,ADP!A2:A671,ADP!G2:G671)</f>
        <v>+</v>
      </c>
      <c r="Q263" s="57" cm="1">
        <f t="array" ref="Q263">IF(Settings!$E$12="YES",VLOOKUP(B263,'Player Data'!A1:E673,5,FALSE),84)</f>
        <v>76</v>
      </c>
      <c r="R263" s="82" cm="1">
        <f t="array" ref="R263">VLOOKUP(B263,'Player Data'!$A1:$AE673,6,FALSE)</f>
        <v>15.469092155541301</v>
      </c>
      <c r="S263" s="57" cm="1">
        <f t="array" ref="S263">VLOOKUP(B263,'Player Data'!$A1:$AE673,7,FALSE)*$Q263*IFERROR((VLOOKUP(P263,Settings!$E$28:$F$33,2,FALSE)+1),1)</f>
        <v>22.259273114908297</v>
      </c>
      <c r="T263" s="57" cm="1">
        <f t="array" ref="T263">VLOOKUP(B263,'Player Data'!$A1:$AE673,8,FALSE)*$Q263*IFERROR((VLOOKUP(P263,Settings!$E$28:$F$33,2,FALSE)+1),1)</f>
        <v>28.194215993140073</v>
      </c>
      <c r="U263" s="57" cm="1">
        <f t="array" ref="U263">SUM(S263:T263)</f>
        <v>50.453489108048373</v>
      </c>
      <c r="V263" s="57" cm="1">
        <f t="array" ref="V263">VLOOKUP(B263,'Player Data'!$A1:$AE673,10,FALSE)*$Q263*IFERROR(((VLOOKUP(P263,Settings!$E$28:$F$33,2,FALSE)/2)+1),1)</f>
        <v>167.18213352918107</v>
      </c>
      <c r="W263" s="57" cm="1">
        <f t="array" ref="W263">VLOOKUP(B263,'Player Data'!$A1:$AE673,11,FALSE)*$Q263*IFERROR((VLOOKUP(P263,Settings!$E$28:$F$33,2,FALSE)+1),1)</f>
        <v>4.8708862295116395</v>
      </c>
      <c r="X263" s="79" cm="1">
        <f t="array" ref="X263">VLOOKUP(B263,'Player Data'!$A1:$AE673,12,FALSE)*$Q263*IFERROR((VLOOKUP(P263,Settings!$E$28:$F$33,2,FALSE)+1),1)</f>
        <v>15.769786526975743</v>
      </c>
      <c r="Y263" s="57" cm="1">
        <f t="array" ref="Y263">VLOOKUP(B263,'Player Data'!$A1:$AE673,13,FALSE)*$Q263</f>
        <v>3.0071834828422307E-3</v>
      </c>
      <c r="Z263" s="57" cm="1">
        <f t="array" ref="Z263">VLOOKUP(B263,'Player Data'!$A1:$AE673,14,FALSE)*$Q263</f>
        <v>4.9160634558832097E-3</v>
      </c>
      <c r="AA263" s="57" cm="1">
        <f t="array" ref="AA263">VLOOKUP(B263,'Player Data'!$A1:$AE673,15,FALSE)*$Q263</f>
        <v>28.967284840583975</v>
      </c>
      <c r="AB263" s="57" cm="1">
        <f t="array" ref="AB263">VLOOKUP(B263,'Player Data'!$A1:$AE673,16,FALSE)*$Q263</f>
        <v>124.44061444018745</v>
      </c>
      <c r="AC263" s="57" cm="1">
        <f t="array" ref="AC263">VLOOKUP(B263,'Player Data'!$A1:$AE673,17,FALSE)*$Q263*IFERROR((VLOOKUP(P263,Settings!$E$28:$F$33,2,FALSE)+1),1)</f>
        <v>3.6919343726314362</v>
      </c>
      <c r="AD263" s="57" cm="1">
        <f t="array" ref="AD263">VLOOKUP(B263,'Player Data'!$A1:$AE673,18,FALSE)*$Q263</f>
        <v>44.141131622618232</v>
      </c>
      <c r="AE263" s="57" cm="1">
        <f t="array" ref="AE263">VLOOKUP(B263,'Player Data'!$A1:$AE673,19,FALSE)*$Q263*IFERROR((VLOOKUP(P263,Settings!$E$28:$F$33,2,FALSE)+1),1)</f>
        <v>3.3337560806889392</v>
      </c>
      <c r="AF263" s="57" cm="1">
        <f t="array" ref="AF263">VLOOKUP(B263,'Player Data'!$A1:$AE673,20,FALSE)*$Q263</f>
        <v>6.9698231412051843</v>
      </c>
      <c r="AG263" s="57" cm="1">
        <f t="array" ref="AG263">VLOOKUP(B263,'Player Data'!$A1:$AE673,21,FALSE)*$Q263</f>
        <v>4.9245292865733736</v>
      </c>
      <c r="AH263" s="59" cm="1">
        <f t="array" ref="AH263">VLOOKUP(B263,'Player Data'!$A1:$AE673,22,FALSE)</f>
        <v>0.58597752030010297</v>
      </c>
      <c r="AI263" s="55"/>
      <c r="AJ263" s="57"/>
      <c r="AK263" s="57"/>
      <c r="AL263" s="57"/>
      <c r="AM263" s="57"/>
      <c r="AN263" s="57"/>
      <c r="AO263" s="57"/>
      <c r="AP263" s="57"/>
      <c r="AQ263" s="60"/>
      <c r="AR263" s="61"/>
      <c r="AS263" s="55"/>
    </row>
    <row r="264" spans="1:45" ht="21.25" customHeight="1" x14ac:dyDescent="0.15">
      <c r="A264" s="62">
        <f t="shared" si="4"/>
        <v>263</v>
      </c>
      <c r="B264" s="10" t="s">
        <v>392</v>
      </c>
      <c r="C264" s="47" t="s">
        <v>147</v>
      </c>
      <c r="D264" s="48" t="str" cm="1">
        <f t="array" ref="D264">VLOOKUP(B264,'Player Data'!A1:D673,4,FALSE)</f>
        <v>D</v>
      </c>
      <c r="E264" s="68" cm="1">
        <f t="array" ref="E264">VLOOKUP(B264,D!A1:C204,3,FALSE)</f>
        <v>102</v>
      </c>
      <c r="F264" s="72" t="str" cm="1">
        <f t="array" ref="F264">VLOOKUP(B264,'Player Data'!A1:B673,2,FALSE)</f>
        <v>NYI</v>
      </c>
      <c r="G264" s="11" cm="1">
        <f t="array" ref="G264">VLOOKUP(B264,'Player Data'!A1:D673,3,FALSE)</f>
        <v>26</v>
      </c>
      <c r="H264" s="51" cm="1">
        <f t="array" ref="H264">IFERROR(VLOOKUP(B264,ADP!A1:F671,6,FALSE)/1000000,VLOOKUP(B264,ADP!A1:F671,6,FALSE))</f>
        <v>6.25</v>
      </c>
      <c r="I264" s="52">
        <f>IF(Settings!$E$15="POINTS",((R264*Q264)*Settings!$B$12)+(S264*Settings!$B$2)+(T264*Settings!$B$3)+(U264*Settings!$B$4)+(V264*Settings!$B$5)+(X264*Settings!$B$9)+(AA264*Settings!$B$6)+(W264*Settings!$B$8)+(AB264*Settings!$B$7)+(AC264*Settings!$B$14)+(AD264*Settings!$B$15)+(AE264*Settings!$B$16)+(AF264*Settings!$B$17)+(AG264*Settings!$B$18)+(U264*Settings!$B$13)+(Y264*Settings!$B$10)+(Z264*Settings!$B$11),VLOOKUP(B264,'Standard Deviations'!A$1:C$672,3,FALSE))</f>
        <v>175.12042991549231</v>
      </c>
      <c r="J264" s="53" cm="1">
        <f t="array" ref="J264">IF(D264="G",I264/AJ264,I264/Q264)</f>
        <v>2.3110581315142502</v>
      </c>
      <c r="K264" s="52" cm="1">
        <f t="array" ref="K264">VLOOKUP(B264,D!A1:F204,6,FALSE)</f>
        <v>-131.53343742910175</v>
      </c>
      <c r="L264" s="54" cm="1">
        <f t="array" ref="L264">IFERROR(K264/H264,"N/A")</f>
        <v>-21.04534998865628</v>
      </c>
      <c r="M264" s="85" t="s">
        <v>832</v>
      </c>
      <c r="N264" s="85" t="str" cm="1">
        <f t="array" ref="N264">IFERROR(M264-A264,"N/A")</f>
        <v>N/A</v>
      </c>
      <c r="O264" s="55"/>
      <c r="P264" s="56" t="str" cm="1">
        <f t="array" ref="P264">_xlfn.XLOOKUP($B264,ADP!A2:A671,ADP!G2:G671)</f>
        <v xml:space="preserve"> </v>
      </c>
      <c r="Q264" s="57" cm="1">
        <f t="array" ref="Q264">IF(Settings!$E$12="YES",VLOOKUP(B264,'Player Data'!A1:E673,5,FALSE),84)</f>
        <v>75.775000000000006</v>
      </c>
      <c r="R264" s="55" cm="1">
        <f t="array" ref="R264">VLOOKUP(B264,'Player Data'!$A1:$AE673,6,FALSE)</f>
        <v>18.891691406885101</v>
      </c>
      <c r="S264" s="57" cm="1">
        <f t="array" ref="S264">VLOOKUP(B264,'Player Data'!$A1:$AE673,7,FALSE)*$Q264*IFERROR((VLOOKUP(P264,Settings!$E$28:$F$33,2,FALSE)+1),1)</f>
        <v>4.4667003271578531</v>
      </c>
      <c r="T264" s="57" cm="1">
        <f t="array" ref="T264">VLOOKUP(B264,'Player Data'!$A1:$AE673,8,FALSE)*$Q264*IFERROR((VLOOKUP(P264,Settings!$E$28:$F$33,2,FALSE)+1),1)</f>
        <v>14.653143539475954</v>
      </c>
      <c r="U264" s="57" cm="1">
        <f t="array" ref="U264">SUM(S264:T264)</f>
        <v>19.119843866633808</v>
      </c>
      <c r="V264" s="57" cm="1">
        <f t="array" ref="V264">VLOOKUP(B264,'Player Data'!$A1:$AE673,10,FALSE)*$Q264*IFERROR(((VLOOKUP(P264,Settings!$E$28:$F$33,2,FALSE)/2)+1),1)</f>
        <v>95.500125198110482</v>
      </c>
      <c r="W264" s="57" cm="1">
        <f t="array" ref="W264">VLOOKUP(B264,'Player Data'!$A1:$AE673,11,FALSE)*$Q264*IFERROR((VLOOKUP(P264,Settings!$E$28:$F$33,2,FALSE)+1),1)</f>
        <v>9.3859187966900352E-3</v>
      </c>
      <c r="X264" s="57" cm="1">
        <f t="array" ref="X264">VLOOKUP(B264,'Player Data'!$A1:$AE673,12,FALSE)*$Q264*IFERROR((VLOOKUP(P264,Settings!$E$28:$F$33,2,FALSE)+1),1)</f>
        <v>7.3687454454581081E-2</v>
      </c>
      <c r="Y264" s="57" cm="1">
        <f t="array" ref="Y264">VLOOKUP(B264,'Player Data'!$A1:$AE673,13,FALSE)*$Q264</f>
        <v>1.9491454318364281E-2</v>
      </c>
      <c r="Z264" s="57" cm="1">
        <f t="array" ref="Z264">VLOOKUP(B264,'Player Data'!$A1:$AE673,14,FALSE)*$Q264</f>
        <v>0.44940741645415111</v>
      </c>
      <c r="AA264" s="57" cm="1">
        <f t="array" ref="AA264">VLOOKUP(B264,'Player Data'!$A1:$AE673,15,FALSE)*$Q264</f>
        <v>138.97548169125383</v>
      </c>
      <c r="AB264" s="57" cm="1">
        <f t="array" ref="AB264">VLOOKUP(B264,'Player Data'!$A1:$AE673,16,FALSE)*$Q264</f>
        <v>118.98767232753184</v>
      </c>
      <c r="AC264" s="57" cm="1">
        <f t="array" ref="AC264">VLOOKUP(B264,'Player Data'!$A1:$AE673,17,FALSE)*$Q264*IFERROR((VLOOKUP(P264,Settings!$E$28:$F$33,2,FALSE)+1),1)</f>
        <v>-4.6657460987969719</v>
      </c>
      <c r="AD264" s="57" cm="1">
        <f t="array" ref="AD264">VLOOKUP(B264,'Player Data'!$A1:$AE673,18,FALSE)*$Q264</f>
        <v>23.466407459031029</v>
      </c>
      <c r="AE264" s="57" cm="1">
        <f t="array" ref="AE264">VLOOKUP(B264,'Player Data'!$A1:$AE673,19,FALSE)*$Q264*IFERROR((VLOOKUP(P264,Settings!$E$28:$F$33,2,FALSE)+1),1)</f>
        <v>0.65232349716745541</v>
      </c>
      <c r="AF264" s="57" cm="1">
        <f t="array" ref="AF264">VLOOKUP(B264,'Player Data'!$A1:$AE673,20,FALSE)*$Q264</f>
        <v>0</v>
      </c>
      <c r="AG264" s="57" cm="1">
        <f t="array" ref="AG264">VLOOKUP(B264,'Player Data'!$A1:$AE673,21,FALSE)*$Q264</f>
        <v>0</v>
      </c>
      <c r="AH264" s="59" cm="1">
        <f t="array" ref="AH264">VLOOKUP(B264,'Player Data'!$A1:$AE673,22,FALSE)</f>
        <v>0</v>
      </c>
      <c r="AI264" s="55"/>
      <c r="AJ264" s="57"/>
      <c r="AK264" s="57"/>
      <c r="AL264" s="57"/>
      <c r="AM264" s="57"/>
      <c r="AN264" s="57"/>
      <c r="AO264" s="57"/>
      <c r="AP264" s="57"/>
      <c r="AQ264" s="60"/>
      <c r="AR264" s="61"/>
      <c r="AS264" s="55"/>
    </row>
    <row r="265" spans="1:45" ht="21.25" customHeight="1" x14ac:dyDescent="0.15">
      <c r="A265" s="62">
        <f t="shared" si="4"/>
        <v>264</v>
      </c>
      <c r="B265" s="10" t="s">
        <v>393</v>
      </c>
      <c r="C265" s="76"/>
      <c r="D265" s="48" t="str" cm="1">
        <f t="array" ref="D265">VLOOKUP(B265,'Player Data'!A1:D673,4,FALSE)</f>
        <v>G</v>
      </c>
      <c r="E265" s="77" cm="1">
        <f t="array" ref="E265">VLOOKUP(B265,G!A1:D66,3,FALSE)</f>
        <v>30</v>
      </c>
      <c r="F265" s="18" t="str" cm="1">
        <f t="array" ref="F265">VLOOKUP(B265,'Player Data'!A1:B673,2,FALSE)</f>
        <v>PIT</v>
      </c>
      <c r="G265" s="11" cm="1">
        <f t="array" ref="G265">VLOOKUP(B265,'Player Data'!A1:D673,3,FALSE)</f>
        <v>25</v>
      </c>
      <c r="H265" s="67" cm="1">
        <f t="array" ref="H265">IFERROR(VLOOKUP(B265,ADP!A1:F671,6,FALSE)/1000000,VLOOKUP(B265,ADP!A1:F671,6,FALSE))</f>
        <v>2.8</v>
      </c>
      <c r="I265" s="52">
        <f>IF(Settings!$E$15="POINTS",(AJ265*Settings!$B$29)+(AK265*Settings!$B$21)+(AL265*Settings!$B$22)+(AN265*Settings!$B$24)+(AO265*Settings!$B$25)+(AP265*Settings!$B$27)+(AM265*Settings!$B$23),VLOOKUP(B265,'Standard Deviations'!A$1:C$672,3,FALSE))</f>
        <v>227.26676165410112</v>
      </c>
      <c r="J265" s="53" cm="1">
        <f t="array" ref="J265">IF(D265="G",I265/AJ265,I265/Q265)</f>
        <v>5.0503724812022472</v>
      </c>
      <c r="K265" s="52" cm="1">
        <f t="array" ref="K265">VLOOKUP(B265,G!A1:F66,6,FALSE)</f>
        <v>-131.89114627613691</v>
      </c>
      <c r="L265" s="54" cm="1">
        <f t="array" ref="L265">IFERROR(K265/H265,"N/A")</f>
        <v>-47.103980812906045</v>
      </c>
      <c r="M265" s="55">
        <v>129.6</v>
      </c>
      <c r="N265" s="55" cm="1">
        <f t="array" ref="N265">IFERROR(M265-A265,"N/A")</f>
        <v>-134.4</v>
      </c>
      <c r="O265" s="55"/>
      <c r="P265" s="56" t="str" cm="1">
        <f t="array" ref="P265">_xlfn.XLOOKUP($B265,ADP!A2:A671,ADP!G2:G671)</f>
        <v xml:space="preserve"> </v>
      </c>
      <c r="Q265" s="57"/>
      <c r="R265" s="55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9"/>
      <c r="AI265" s="55"/>
      <c r="AJ265" s="78" cm="1">
        <f t="array" ref="AJ265">VLOOKUP(B265,'Player Data'!$A1:$AE673,24,FALSE)</f>
        <v>45</v>
      </c>
      <c r="AK265" s="57" cm="1">
        <f t="array" ref="AK265">VLOOKUP(B265,'Player Data'!$A1:$AE673,25,FALSE)*$AJ265*IFERROR((VLOOKUP(P265,Settings!$E$28:$F$33,2,FALSE)+1),1)</f>
        <v>22.4983319408298</v>
      </c>
      <c r="AL265" s="57" cm="1">
        <f t="array" ref="AL265">AJ265-AK265-AM265</f>
        <v>16.87625104437765</v>
      </c>
      <c r="AM265" s="57" cm="1">
        <f t="array" ref="AM265">VLOOKUP(B265,'Player Data'!$A1:$AE673,27,FALSE)*$AJ265</f>
        <v>5.62541701479255</v>
      </c>
      <c r="AN265" s="57" cm="1">
        <f t="array" ref="AN265">VLOOKUP(B265,'Player Data'!$A1:$AE673,28,FALSE)*AJ265</f>
        <v>1.9141287698167877</v>
      </c>
      <c r="AO265" s="57" cm="1">
        <f t="array" ref="AO265">VLOOKUP(B265,'Player Data'!$A1:$AE673,29,FALSE)*$AJ265*IFERROR((VLOOKUP(P265,Settings!$E$28:$F$33,2,FALSE)/4)+1,1)</f>
        <v>1122.4067319913815</v>
      </c>
      <c r="AP265" s="57" cm="1">
        <f t="array" ref="AP265">VLOOKUP(B265,'Player Data'!$A1:$AE673,31,FALSE)*$AJ265*(IFERROR(1-(VLOOKUP(P265,Settings!$E$28:$F$33,2,FALSE)/4),1))</f>
        <v>134.44857631129861</v>
      </c>
      <c r="AQ265" s="60" cm="1">
        <f t="array" ref="AQ265">1-(AP265/(AO265+AP265))</f>
        <v>0.89302780087481615</v>
      </c>
      <c r="AR265" s="61" cm="1">
        <f t="array" ref="AR265">AP265/AJ265</f>
        <v>2.9877461402510801</v>
      </c>
      <c r="AS265" s="55"/>
    </row>
    <row r="266" spans="1:45" ht="21.25" customHeight="1" x14ac:dyDescent="0.15">
      <c r="A266" s="62">
        <f t="shared" si="4"/>
        <v>265</v>
      </c>
      <c r="B266" s="10" t="s">
        <v>394</v>
      </c>
      <c r="C266" s="47" t="s">
        <v>147</v>
      </c>
      <c r="D266" s="48" t="str" cm="1">
        <f t="array" ref="D266">VLOOKUP(B266,'Player Data'!A1:D673,4,FALSE)</f>
        <v>D</v>
      </c>
      <c r="E266" s="68" cm="1">
        <f t="array" ref="E266">VLOOKUP(B266,D!A1:C204,3,FALSE)</f>
        <v>103</v>
      </c>
      <c r="F266" s="56" t="str" cm="1">
        <f t="array" ref="F266">VLOOKUP(B266,'Player Data'!A1:B673,2,FALSE)</f>
        <v>NYR</v>
      </c>
      <c r="G266" s="71" cm="1">
        <f t="array" ref="G266">VLOOKUP(B266,'Player Data'!A1:D673,3,FALSE)</f>
        <v>24</v>
      </c>
      <c r="H266" s="67" cm="1">
        <f t="array" ref="H266">IFERROR(VLOOKUP(B266,ADP!A1:F671,6,FALSE)/1000000,VLOOKUP(B266,ADP!A1:F671,6,FALSE))</f>
        <v>5.5</v>
      </c>
      <c r="I266" s="52">
        <f>IF(Settings!$E$15="POINTS",((R266*Q266)*Settings!$B$12)+(S266*Settings!$B$2)+(T266*Settings!$B$3)+(U266*Settings!$B$4)+(V266*Settings!$B$5)+(X266*Settings!$B$9)+(AA266*Settings!$B$6)+(W266*Settings!$B$8)+(AB266*Settings!$B$7)+(AC266*Settings!$B$14)+(AD266*Settings!$B$15)+(AE266*Settings!$B$16)+(AF266*Settings!$B$17)+(AG266*Settings!$B$18)+(U266*Settings!$B$13)+(Y266*Settings!$B$10)+(Z266*Settings!$B$11),VLOOKUP(B266,'Standard Deviations'!A$1:C$672,3,FALSE))</f>
        <v>174.47457573325346</v>
      </c>
      <c r="J266" s="53" cm="1">
        <f t="array" ref="J266">IF(D266="G",I266/AJ266,I266/Q266)</f>
        <v>2.083154148806083</v>
      </c>
      <c r="K266" s="52" cm="1">
        <f t="array" ref="K266">VLOOKUP(B266,D!A1:F204,6,FALSE)</f>
        <v>-132.1792916113406</v>
      </c>
      <c r="L266" s="54" cm="1">
        <f t="array" ref="L266">IFERROR(K266/H266,"N/A")</f>
        <v>-24.0325984747892</v>
      </c>
      <c r="M266" s="85" t="s">
        <v>832</v>
      </c>
      <c r="N266" s="85" t="str" cm="1">
        <f t="array" ref="N266">IFERROR(M266-A266,"N/A")</f>
        <v>N/A</v>
      </c>
      <c r="O266" s="55"/>
      <c r="P266" s="56" t="str" cm="1">
        <f t="array" ref="P266">_xlfn.XLOOKUP($B266,ADP!A2:A671,ADP!G2:G671)</f>
        <v xml:space="preserve"> </v>
      </c>
      <c r="Q266" s="57" cm="1">
        <f t="array" ref="Q266">IF(Settings!$E$12="YES",VLOOKUP(B266,'Player Data'!A1:E673,5,FALSE),84)</f>
        <v>83.754999999999995</v>
      </c>
      <c r="R266" s="84" cm="1">
        <f t="array" ref="R266">VLOOKUP(B266,'Player Data'!$A1:$AE673,6,FALSE)</f>
        <v>17.851722599309898</v>
      </c>
      <c r="S266" s="57" cm="1">
        <f t="array" ref="S266">VLOOKUP(B266,'Player Data'!$A1:$AE673,7,FALSE)*$Q266*IFERROR((VLOOKUP(P266,Settings!$E$28:$F$33,2,FALSE)+1),1)</f>
        <v>4.3139966883633978</v>
      </c>
      <c r="T266" s="57" cm="1">
        <f t="array" ref="T266">VLOOKUP(B266,'Player Data'!$A1:$AE673,8,FALSE)*$Q266*IFERROR((VLOOKUP(P266,Settings!$E$28:$F$33,2,FALSE)+1),1)</f>
        <v>15.834487357597245</v>
      </c>
      <c r="U266" s="57" cm="1">
        <f t="array" ref="U266">SUM(S266:T266)</f>
        <v>20.148484045960643</v>
      </c>
      <c r="V266" s="57" cm="1">
        <f t="array" ref="V266">VLOOKUP(B266,'Player Data'!$A1:$AE673,10,FALSE)*$Q266*IFERROR(((VLOOKUP(P266,Settings!$E$28:$F$33,2,FALSE)/2)+1),1)</f>
        <v>95.147030189242727</v>
      </c>
      <c r="W266" s="57" cm="1">
        <f t="array" ref="W266">VLOOKUP(B266,'Player Data'!$A1:$AE673,11,FALSE)*$Q266*IFERROR((VLOOKUP(P266,Settings!$E$28:$F$33,2,FALSE)+1),1)</f>
        <v>4.633453671667391E-2</v>
      </c>
      <c r="X266" s="57" cm="1">
        <f t="array" ref="X266">VLOOKUP(B266,'Player Data'!$A1:$AE673,12,FALSE)*$Q266*IFERROR((VLOOKUP(P266,Settings!$E$28:$F$33,2,FALSE)+1),1)</f>
        <v>0.31458716638047651</v>
      </c>
      <c r="Y266" s="57" cm="1">
        <f t="array" ref="Y266">VLOOKUP(B266,'Player Data'!$A1:$AE673,13,FALSE)*$Q266</f>
        <v>0.52418908983238877</v>
      </c>
      <c r="Z266" s="57" cm="1">
        <f t="array" ref="Z266">VLOOKUP(B266,'Player Data'!$A1:$AE673,14,FALSE)*$Q266</f>
        <v>0.91284487468315945</v>
      </c>
      <c r="AA266" s="57" cm="1">
        <f t="array" ref="AA266">VLOOKUP(B266,'Player Data'!$A1:$AE673,15,FALSE)*$Q266</f>
        <v>130.45635291937307</v>
      </c>
      <c r="AB266" s="57" cm="1">
        <f t="array" ref="AB266">VLOOKUP(B266,'Player Data'!$A1:$AE673,16,FALSE)*$Q266</f>
        <v>138.27576856821966</v>
      </c>
      <c r="AC266" s="57" cm="1">
        <f t="array" ref="AC266">VLOOKUP(B266,'Player Data'!$A1:$AE673,17,FALSE)*$Q266*IFERROR((VLOOKUP(P266,Settings!$E$28:$F$33,2,FALSE)+1),1)</f>
        <v>-2.3581163116342152</v>
      </c>
      <c r="AD266" s="57" cm="1">
        <f t="array" ref="AD266">VLOOKUP(B266,'Player Data'!$A1:$AE673,18,FALSE)*$Q266</f>
        <v>23.518076899169003</v>
      </c>
      <c r="AE266" s="57" cm="1">
        <f t="array" ref="AE266">VLOOKUP(B266,'Player Data'!$A1:$AE673,19,FALSE)*$Q266*IFERROR((VLOOKUP(P266,Settings!$E$28:$F$33,2,FALSE)+1),1)</f>
        <v>0.67774523859378555</v>
      </c>
      <c r="AF266" s="57" cm="1">
        <f t="array" ref="AF266">VLOOKUP(B266,'Player Data'!$A1:$AE673,20,FALSE)*$Q266</f>
        <v>0</v>
      </c>
      <c r="AG266" s="57" cm="1">
        <f t="array" ref="AG266">VLOOKUP(B266,'Player Data'!$A1:$AE673,21,FALSE)*$Q266</f>
        <v>0</v>
      </c>
      <c r="AH266" s="59" cm="1">
        <f t="array" ref="AH266">VLOOKUP(B266,'Player Data'!$A1:$AE673,22,FALSE)</f>
        <v>0</v>
      </c>
      <c r="AI266" s="55"/>
      <c r="AJ266" s="57"/>
      <c r="AK266" s="57"/>
      <c r="AL266" s="57"/>
      <c r="AM266" s="57"/>
      <c r="AN266" s="57"/>
      <c r="AO266" s="57"/>
      <c r="AP266" s="57"/>
      <c r="AQ266" s="60"/>
      <c r="AR266" s="61"/>
      <c r="AS266" s="55"/>
    </row>
    <row r="267" spans="1:45" ht="21.25" customHeight="1" x14ac:dyDescent="0.15">
      <c r="A267" s="62">
        <f t="shared" si="4"/>
        <v>266</v>
      </c>
      <c r="B267" s="10" t="s">
        <v>395</v>
      </c>
      <c r="C267" s="47" t="s">
        <v>128</v>
      </c>
      <c r="D267" s="48" t="str" cm="1">
        <f t="array" ref="D267">VLOOKUP(B267,'Player Data'!A1:D673,4,FALSE)</f>
        <v>C</v>
      </c>
      <c r="E267" s="49" cm="1">
        <f t="array" ref="E267">VLOOKUP(B267,'C'!A1:C210,3,FALSE)</f>
        <v>68</v>
      </c>
      <c r="F267" s="56" t="str" cm="1">
        <f t="array" ref="F267">VLOOKUP(B267,'Player Data'!A1:B673,2,FALSE)</f>
        <v>CHI</v>
      </c>
      <c r="G267" s="71" cm="1">
        <f t="array" ref="G267">VLOOKUP(B267,'Player Data'!A1:D673,3,FALSE)</f>
        <v>22</v>
      </c>
      <c r="H267" s="51" cm="1">
        <f t="array" ref="H267">IFERROR(VLOOKUP(B267,ADP!A1:F671,6,FALSE)/1000000,VLOOKUP(B267,ADP!A1:F671,6,FALSE))</f>
        <v>6.5990000000000002</v>
      </c>
      <c r="I267" s="52">
        <f>IF(Settings!$E$15="POINTS",((R267*Q267)*Settings!$B$12)+(S267*Settings!$B$2)+(T267*Settings!$B$3)+(U267*Settings!$B$4)+(V267*Settings!$B$5)+(X267*Settings!$B$9)+(AA267*Settings!$B$6)+(W267*Settings!$B$8)+(AB267*Settings!$B$7)+(AC267*Settings!$B$14)+(AD267*Settings!$B$15)+(AE267*Settings!$B$16)+(AF267*Settings!$B$17)+(AG267*Settings!$B$18)+(Y267*Settings!$B$10)+(Z267*Settings!$B$11),VLOOKUP(B267,'Standard Deviations'!A$1:C$672,3,FALSE))</f>
        <v>253.68734531321095</v>
      </c>
      <c r="J267" s="53" cm="1">
        <f t="array" ref="J267">IF(D267="G",I267/AJ267,I267/Q267)</f>
        <v>3.4050850013517797</v>
      </c>
      <c r="K267" s="52" cm="1">
        <f t="array" ref="K267">IF(Settings!$E$18="C/LW/RW",VLOOKUP(B267,'C'!A1:F210,6,FALSE),VLOOKUP(B267,F!A1:F407,6,FALSE))</f>
        <v>-132.84786107987205</v>
      </c>
      <c r="L267" s="54" cm="1">
        <f t="array" ref="L267">IFERROR(K267/H267,"N/A")</f>
        <v>-20.131514029379002</v>
      </c>
      <c r="M267" s="85" t="s">
        <v>832</v>
      </c>
      <c r="N267" s="85" t="str" cm="1">
        <f t="array" ref="N267">IFERROR(M267-A267,"N/A")</f>
        <v>N/A</v>
      </c>
      <c r="O267" s="55"/>
      <c r="P267" s="56" t="str" cm="1">
        <f t="array" ref="P267">_xlfn.XLOOKUP($B267,ADP!A2:A671,ADP!G2:G671)</f>
        <v xml:space="preserve"> </v>
      </c>
      <c r="Q267" s="57" cm="1">
        <f t="array" ref="Q267">IF(Settings!$E$12="YES",VLOOKUP(B267,'Player Data'!A1:E673,5,FALSE),84)</f>
        <v>74.502499999999998</v>
      </c>
      <c r="R267" s="55" cm="1">
        <f t="array" ref="R267">VLOOKUP(B267,'Player Data'!$A1:$AE673,6,FALSE)</f>
        <v>17.977334870441599</v>
      </c>
      <c r="S267" s="57" cm="1">
        <f t="array" ref="S267">VLOOKUP(B267,'Player Data'!$A1:$AE673,7,FALSE)*$Q267*IFERROR((VLOOKUP(P267,Settings!$E$28:$F$33,2,FALSE)+1),1)</f>
        <v>19.182462677646658</v>
      </c>
      <c r="T267" s="57" cm="1">
        <f t="array" ref="T267">VLOOKUP(B267,'Player Data'!$A1:$AE673,8,FALSE)*$Q267*IFERROR((VLOOKUP(P267,Settings!$E$28:$F$33,2,FALSE)+1),1)</f>
        <v>28.075842873051453</v>
      </c>
      <c r="U267" s="57" cm="1">
        <f t="array" ref="U267">SUM(S267:T267)</f>
        <v>47.258305550698111</v>
      </c>
      <c r="V267" s="57" cm="1">
        <f t="array" ref="V267">VLOOKUP(B267,'Player Data'!$A1:$AE673,10,FALSE)*$Q267*IFERROR(((VLOOKUP(P267,Settings!$E$28:$F$33,2,FALSE)/2)+1),1)</f>
        <v>150.2063444194529</v>
      </c>
      <c r="W267" s="57" cm="1">
        <f t="array" ref="W267">VLOOKUP(B267,'Player Data'!$A1:$AE673,11,FALSE)*$Q267*IFERROR((VLOOKUP(P267,Settings!$E$28:$F$33,2,FALSE)+1),1)</f>
        <v>3.7566513646301614</v>
      </c>
      <c r="X267" s="79" cm="1">
        <f t="array" ref="X267">VLOOKUP(B267,'Player Data'!$A1:$AE673,12,FALSE)*$Q267*IFERROR((VLOOKUP(P267,Settings!$E$28:$F$33,2,FALSE)+1),1)</f>
        <v>11.19326301344703</v>
      </c>
      <c r="Y267" s="57" cm="1">
        <f t="array" ref="Y267">VLOOKUP(B267,'Player Data'!$A1:$AE673,13,FALSE)*$Q267</f>
        <v>0.55025048405075283</v>
      </c>
      <c r="Z267" s="57" cm="1">
        <f t="array" ref="Z267">VLOOKUP(B267,'Player Data'!$A1:$AE673,14,FALSE)*$Q267</f>
        <v>1.0452881774131642</v>
      </c>
      <c r="AA267" s="57" cm="1">
        <f t="array" ref="AA267">VLOOKUP(B267,'Player Data'!$A1:$AE673,15,FALSE)*$Q267</f>
        <v>49.141410521059939</v>
      </c>
      <c r="AB267" s="57" cm="1">
        <f t="array" ref="AB267">VLOOKUP(B267,'Player Data'!$A1:$AE673,16,FALSE)*$Q267</f>
        <v>49.904781489151738</v>
      </c>
      <c r="AC267" s="57" cm="1">
        <f t="array" ref="AC267">VLOOKUP(B267,'Player Data'!$A1:$AE673,17,FALSE)*$Q267*IFERROR((VLOOKUP(P267,Settings!$E$28:$F$33,2,FALSE)+1),1)</f>
        <v>-7.9102788925290275</v>
      </c>
      <c r="AD267" s="57" cm="1">
        <f t="array" ref="AD267">VLOOKUP(B267,'Player Data'!$A1:$AE673,18,FALSE)*$Q267</f>
        <v>27.855112382456674</v>
      </c>
      <c r="AE267" s="57" cm="1">
        <f t="array" ref="AE267">VLOOKUP(B267,'Player Data'!$A1:$AE673,19,FALSE)*$Q267*IFERROR((VLOOKUP(P267,Settings!$E$28:$F$33,2,FALSE)+1),1)</f>
        <v>2.3674237481703408</v>
      </c>
      <c r="AF267" s="57" cm="1">
        <f t="array" ref="AF267">VLOOKUP(B267,'Player Data'!$A1:$AE673,20,FALSE)*$Q267</f>
        <v>414.56113904691881</v>
      </c>
      <c r="AG267" s="57" cm="1">
        <f t="array" ref="AG267">VLOOKUP(B267,'Player Data'!$A1:$AE673,21,FALSE)*$Q267</f>
        <v>479.09280381263437</v>
      </c>
      <c r="AH267" s="59" cm="1">
        <f t="array" ref="AH267">VLOOKUP(B267,'Player Data'!$A1:$AE673,22,FALSE)</f>
        <v>0.46389448886711998</v>
      </c>
      <c r="AI267" s="55"/>
      <c r="AJ267" s="57"/>
      <c r="AK267" s="57"/>
      <c r="AL267" s="57"/>
      <c r="AM267" s="57"/>
      <c r="AN267" s="57"/>
      <c r="AO267" s="57"/>
      <c r="AP267" s="57"/>
      <c r="AQ267" s="60"/>
      <c r="AR267" s="61"/>
      <c r="AS267" s="55"/>
    </row>
    <row r="268" spans="1:45" ht="21.25" customHeight="1" x14ac:dyDescent="0.15">
      <c r="A268" s="62">
        <f t="shared" si="4"/>
        <v>267</v>
      </c>
      <c r="B268" s="10" t="s">
        <v>396</v>
      </c>
      <c r="C268" s="47" t="s">
        <v>147</v>
      </c>
      <c r="D268" s="48" t="str" cm="1">
        <f t="array" ref="D268">VLOOKUP(B268,'Player Data'!A1:D673,4,FALSE)</f>
        <v>D</v>
      </c>
      <c r="E268" s="68" cm="1">
        <f t="array" ref="E268">VLOOKUP(B268,D!A1:C204,3,FALSE)</f>
        <v>104</v>
      </c>
      <c r="F268" s="18" t="str" cm="1">
        <f t="array" ref="F268">VLOOKUP(B268,'Player Data'!A1:B673,2,FALSE)</f>
        <v>OTT</v>
      </c>
      <c r="G268" s="11" cm="1">
        <f t="array" ref="G268">VLOOKUP(B268,'Player Data'!A1:D673,3,FALSE)</f>
        <v>29</v>
      </c>
      <c r="H268" s="67" cm="1">
        <f t="array" ref="H268">IFERROR(VLOOKUP(B268,ADP!A1:F671,6,FALSE)/1000000,VLOOKUP(B268,ADP!A1:F671,6,FALSE))</f>
        <v>4.5999999999999996</v>
      </c>
      <c r="I268" s="52">
        <f>IF(Settings!$E$15="POINTS",((R268*Q268)*Settings!$B$12)+(S268*Settings!$B$2)+(T268*Settings!$B$3)+(U268*Settings!$B$4)+(V268*Settings!$B$5)+(X268*Settings!$B$9)+(AA268*Settings!$B$6)+(W268*Settings!$B$8)+(AB268*Settings!$B$7)+(AC268*Settings!$B$14)+(AD268*Settings!$B$15)+(AE268*Settings!$B$16)+(AF268*Settings!$B$17)+(AG268*Settings!$B$18)+(U268*Settings!$B$13)+(Y268*Settings!$B$10)+(Z268*Settings!$B$11),VLOOKUP(B268,'Standard Deviations'!A$1:C$672,3,FALSE))</f>
        <v>173.67702278457185</v>
      </c>
      <c r="J268" s="53" cm="1">
        <f t="array" ref="J268">IF(D268="G",I268/AJ268,I268/Q268)</f>
        <v>2.1990696436905681</v>
      </c>
      <c r="K268" s="52" cm="1">
        <f t="array" ref="K268">VLOOKUP(B268,D!A1:F204,6,FALSE)</f>
        <v>-132.97684456002222</v>
      </c>
      <c r="L268" s="54" cm="1">
        <f t="array" ref="L268">IFERROR(K268/H268,"N/A")</f>
        <v>-28.908009686961353</v>
      </c>
      <c r="M268" s="85" t="s">
        <v>832</v>
      </c>
      <c r="N268" s="85" t="str" cm="1">
        <f t="array" ref="N268">IFERROR(M268-A268,"N/A")</f>
        <v>N/A</v>
      </c>
      <c r="O268" s="55"/>
      <c r="P268" s="56" t="str" cm="1">
        <f t="array" ref="P268">_xlfn.XLOOKUP($B268,ADP!A2:A671,ADP!G2:G671)</f>
        <v xml:space="preserve"> </v>
      </c>
      <c r="Q268" s="57" cm="1">
        <f t="array" ref="Q268">IF(Settings!$E$12="YES",VLOOKUP(B268,'Player Data'!A1:E673,5,FALSE),84)</f>
        <v>78.977500000000006</v>
      </c>
      <c r="R268" s="55" cm="1">
        <f t="array" ref="R268">VLOOKUP(B268,'Player Data'!$A1:$AE673,6,FALSE)</f>
        <v>20.790505645966</v>
      </c>
      <c r="S268" s="57" cm="1">
        <f t="array" ref="S268">VLOOKUP(B268,'Player Data'!$A1:$AE673,7,FALSE)*$Q268*IFERROR((VLOOKUP(P268,Settings!$E$28:$F$33,2,FALSE)+1),1)</f>
        <v>3.1121940576984319</v>
      </c>
      <c r="T268" s="57" cm="1">
        <f t="array" ref="T268">VLOOKUP(B268,'Player Data'!$A1:$AE673,8,FALSE)*$Q268*IFERROR((VLOOKUP(P268,Settings!$E$28:$F$33,2,FALSE)+1),1)</f>
        <v>19.460063168413168</v>
      </c>
      <c r="U268" s="57" cm="1">
        <f t="array" ref="U268">SUM(S268:T268)</f>
        <v>22.572257226111599</v>
      </c>
      <c r="V268" s="57" cm="1">
        <f t="array" ref="V268">VLOOKUP(B268,'Player Data'!$A1:$AE673,10,FALSE)*$Q268*IFERROR(((VLOOKUP(P268,Settings!$E$28:$F$33,2,FALSE)/2)+1),1)</f>
        <v>82.09316639476917</v>
      </c>
      <c r="W268" s="57" cm="1">
        <f t="array" ref="W268">VLOOKUP(B268,'Player Data'!$A1:$AE673,11,FALSE)*$Q268*IFERROR((VLOOKUP(P268,Settings!$E$28:$F$33,2,FALSE)+1),1)</f>
        <v>1.2567879308889054E-2</v>
      </c>
      <c r="X268" s="57" cm="1">
        <f t="array" ref="X268">VLOOKUP(B268,'Player Data'!$A1:$AE673,12,FALSE)*$Q268*IFERROR((VLOOKUP(P268,Settings!$E$28:$F$33,2,FALSE)+1),1)</f>
        <v>0.20667639869530272</v>
      </c>
      <c r="Y268" s="57" cm="1">
        <f t="array" ref="Y268">VLOOKUP(B268,'Player Data'!$A1:$AE673,13,FALSE)*$Q268</f>
        <v>1.5447879426806178E-2</v>
      </c>
      <c r="Z268" s="57" cm="1">
        <f t="array" ref="Z268">VLOOKUP(B268,'Player Data'!$A1:$AE673,14,FALSE)*$Q268</f>
        <v>0.62571040175531711</v>
      </c>
      <c r="AA268" s="57" cm="1">
        <f t="array" ref="AA268">VLOOKUP(B268,'Player Data'!$A1:$AE673,15,FALSE)*$Q268</f>
        <v>128.16256221680365</v>
      </c>
      <c r="AB268" s="57" cm="1">
        <f t="array" ref="AB268">VLOOKUP(B268,'Player Data'!$A1:$AE673,16,FALSE)*$Q268</f>
        <v>75.300318986887348</v>
      </c>
      <c r="AC268" s="57" cm="1">
        <f t="array" ref="AC268">VLOOKUP(B268,'Player Data'!$A1:$AE673,17,FALSE)*$Q268*IFERROR((VLOOKUP(P268,Settings!$E$28:$F$33,2,FALSE)+1),1)</f>
        <v>2.8858319673541519</v>
      </c>
      <c r="AD268" s="57" cm="1">
        <f t="array" ref="AD268">VLOOKUP(B268,'Player Data'!$A1:$AE673,18,FALSE)*$Q268</f>
        <v>47.0113483138405</v>
      </c>
      <c r="AE268" s="57" cm="1">
        <f t="array" ref="AE268">VLOOKUP(B268,'Player Data'!$A1:$AE673,19,FALSE)*$Q268*IFERROR((VLOOKUP(P268,Settings!$E$28:$F$33,2,FALSE)+1),1)</f>
        <v>0.55205709942103953</v>
      </c>
      <c r="AF268" s="57" cm="1">
        <f t="array" ref="AF268">VLOOKUP(B268,'Player Data'!$A1:$AE673,20,FALSE)*$Q268</f>
        <v>0</v>
      </c>
      <c r="AG268" s="57" cm="1">
        <f t="array" ref="AG268">VLOOKUP(B268,'Player Data'!$A1:$AE673,21,FALSE)*$Q268</f>
        <v>0</v>
      </c>
      <c r="AH268" s="59" cm="1">
        <f t="array" ref="AH268">VLOOKUP(B268,'Player Data'!$A1:$AE673,22,FALSE)</f>
        <v>0</v>
      </c>
      <c r="AI268" s="55"/>
      <c r="AJ268" s="57"/>
      <c r="AK268" s="57"/>
      <c r="AL268" s="57"/>
      <c r="AM268" s="57"/>
      <c r="AN268" s="57"/>
      <c r="AO268" s="57"/>
      <c r="AP268" s="57"/>
      <c r="AQ268" s="60"/>
      <c r="AR268" s="61"/>
      <c r="AS268" s="55"/>
    </row>
    <row r="269" spans="1:45" ht="21.25" customHeight="1" x14ac:dyDescent="0.15">
      <c r="A269" s="62">
        <f t="shared" si="4"/>
        <v>268</v>
      </c>
      <c r="B269" s="10" t="s">
        <v>397</v>
      </c>
      <c r="C269" s="47" t="s">
        <v>147</v>
      </c>
      <c r="D269" s="48" t="str" cm="1">
        <f t="array" ref="D269">VLOOKUP(B269,'Player Data'!A1:D673,4,FALSE)</f>
        <v>D</v>
      </c>
      <c r="E269" s="68" cm="1">
        <f t="array" ref="E269">VLOOKUP(B269,D!A1:C204,3,FALSE)</f>
        <v>105</v>
      </c>
      <c r="F269" s="69" t="str" cm="1">
        <f t="array" ref="F269">VLOOKUP(B269,'Player Data'!A1:B673,2,FALSE)</f>
        <v>MTL</v>
      </c>
      <c r="G269" s="11" cm="1">
        <f t="array" ref="G269">VLOOKUP(B269,'Player Data'!A1:D673,3,FALSE)</f>
        <v>29</v>
      </c>
      <c r="H269" s="67" cm="1">
        <f t="array" ref="H269">IFERROR(VLOOKUP(B269,ADP!A1:F671,6,FALSE)/1000000,VLOOKUP(B269,ADP!A1:F671,6,FALSE))</f>
        <v>3.75</v>
      </c>
      <c r="I269" s="52">
        <f>IF(Settings!$E$15="POINTS",((R269*Q269)*Settings!$B$12)+(S269*Settings!$B$2)+(T269*Settings!$B$3)+(U269*Settings!$B$4)+(V269*Settings!$B$5)+(X269*Settings!$B$9)+(AA269*Settings!$B$6)+(W269*Settings!$B$8)+(AB269*Settings!$B$7)+(AC269*Settings!$B$14)+(AD269*Settings!$B$15)+(AE269*Settings!$B$16)+(AF269*Settings!$B$17)+(AG269*Settings!$B$18)+(U269*Settings!$B$13)+(Y269*Settings!$B$10)+(Z269*Settings!$B$11),VLOOKUP(B269,'Standard Deviations'!A$1:C$672,3,FALSE))</f>
        <v>172.28358248190048</v>
      </c>
      <c r="J269" s="53" cm="1">
        <f t="array" ref="J269">IF(D269="G",I269/AJ269,I269/Q269)</f>
        <v>2.1238114211279644</v>
      </c>
      <c r="K269" s="52" cm="1">
        <f t="array" ref="K269">VLOOKUP(B269,D!A1:F204,6,FALSE)</f>
        <v>-134.37028486269358</v>
      </c>
      <c r="L269" s="54" cm="1">
        <f t="array" ref="L269">IFERROR(K269/H269,"N/A")</f>
        <v>-35.832075963384952</v>
      </c>
      <c r="M269" s="85" t="s">
        <v>832</v>
      </c>
      <c r="N269" s="85" t="str" cm="1">
        <f t="array" ref="N269">IFERROR(M269-A269,"N/A")</f>
        <v>N/A</v>
      </c>
      <c r="O269" s="55"/>
      <c r="P269" s="56" t="str" cm="1">
        <f t="array" ref="P269">_xlfn.XLOOKUP($B269,ADP!A2:A671,ADP!G2:G671)</f>
        <v xml:space="preserve"> </v>
      </c>
      <c r="Q269" s="57" cm="1">
        <f t="array" ref="Q269">IF(Settings!$E$12="YES",VLOOKUP(B269,'Player Data'!A1:E673,5,FALSE),84)</f>
        <v>81.12</v>
      </c>
      <c r="R269" s="55" cm="1">
        <f t="array" ref="R269">VLOOKUP(B269,'Player Data'!$A1:$AE673,6,FALSE)</f>
        <v>18.977949447866301</v>
      </c>
      <c r="S269" s="57" cm="1">
        <f t="array" ref="S269">VLOOKUP(B269,'Player Data'!$A1:$AE673,7,FALSE)*$Q269*IFERROR((VLOOKUP(P269,Settings!$E$28:$F$33,2,FALSE)+1),1)</f>
        <v>3.5808218799706832</v>
      </c>
      <c r="T269" s="57" cm="1">
        <f t="array" ref="T269">VLOOKUP(B269,'Player Data'!$A1:$AE673,8,FALSE)*$Q269*IFERROR((VLOOKUP(P269,Settings!$E$28:$F$33,2,FALSE)+1),1)</f>
        <v>16.418716777608868</v>
      </c>
      <c r="U269" s="57" cm="1">
        <f t="array" ref="U269">SUM(S269:T269)</f>
        <v>19.999538657579549</v>
      </c>
      <c r="V269" s="57" cm="1">
        <f t="array" ref="V269">VLOOKUP(B269,'Player Data'!$A1:$AE673,10,FALSE)*$Q269*IFERROR(((VLOOKUP(P269,Settings!$E$28:$F$33,2,FALSE)/2)+1),1)</f>
        <v>64.059319184377713</v>
      </c>
      <c r="W269" s="57" cm="1">
        <f t="array" ref="W269">VLOOKUP(B269,'Player Data'!$A1:$AE673,11,FALSE)*$Q269*IFERROR((VLOOKUP(P269,Settings!$E$28:$F$33,2,FALSE)+1),1)</f>
        <v>3.1329057220732385E-3</v>
      </c>
      <c r="X269" s="57" cm="1">
        <f t="array" ref="X269">VLOOKUP(B269,'Player Data'!$A1:$AE673,12,FALSE)*$Q269*IFERROR((VLOOKUP(P269,Settings!$E$28:$F$33,2,FALSE)+1),1)</f>
        <v>4.4032433287406525E-2</v>
      </c>
      <c r="Y269" s="57" cm="1">
        <f t="array" ref="Y269">VLOOKUP(B269,'Player Data'!$A1:$AE673,13,FALSE)*$Q269</f>
        <v>0.16106686659784505</v>
      </c>
      <c r="Z269" s="57" cm="1">
        <f t="array" ref="Z269">VLOOKUP(B269,'Player Data'!$A1:$AE673,14,FALSE)*$Q269</f>
        <v>0.58256856519307643</v>
      </c>
      <c r="AA269" s="57" cm="1">
        <f t="array" ref="AA269">VLOOKUP(B269,'Player Data'!$A1:$AE673,15,FALSE)*$Q269</f>
        <v>159.25741183698497</v>
      </c>
      <c r="AB269" s="57" cm="1">
        <f t="array" ref="AB269">VLOOKUP(B269,'Player Data'!$A1:$AE673,16,FALSE)*$Q269</f>
        <v>61.314835273382663</v>
      </c>
      <c r="AC269" s="57" cm="1">
        <f t="array" ref="AC269">VLOOKUP(B269,'Player Data'!$A1:$AE673,17,FALSE)*$Q269*IFERROR((VLOOKUP(P269,Settings!$E$28:$F$33,2,FALSE)+1),1)</f>
        <v>1.9694044626557528</v>
      </c>
      <c r="AD269" s="57" cm="1">
        <f t="array" ref="AD269">VLOOKUP(B269,'Player Data'!$A1:$AE673,18,FALSE)*$Q269</f>
        <v>40.146947098753998</v>
      </c>
      <c r="AE269" s="57" cm="1">
        <f t="array" ref="AE269">VLOOKUP(B269,'Player Data'!$A1:$AE673,19,FALSE)*$Q269*IFERROR((VLOOKUP(P269,Settings!$E$28:$F$33,2,FALSE)+1),1)</f>
        <v>0.59617158493349598</v>
      </c>
      <c r="AF269" s="57" cm="1">
        <f t="array" ref="AF269">VLOOKUP(B269,'Player Data'!$A1:$AE673,20,FALSE)*$Q269</f>
        <v>0</v>
      </c>
      <c r="AG269" s="57" cm="1">
        <f t="array" ref="AG269">VLOOKUP(B269,'Player Data'!$A1:$AE673,21,FALSE)*$Q269</f>
        <v>0</v>
      </c>
      <c r="AH269" s="59" cm="1">
        <f t="array" ref="AH269">VLOOKUP(B269,'Player Data'!$A1:$AE673,22,FALSE)</f>
        <v>0</v>
      </c>
      <c r="AI269" s="55"/>
      <c r="AJ269" s="57"/>
      <c r="AK269" s="57"/>
      <c r="AL269" s="57"/>
      <c r="AM269" s="57"/>
      <c r="AN269" s="57"/>
      <c r="AO269" s="57"/>
      <c r="AP269" s="57"/>
      <c r="AQ269" s="60"/>
      <c r="AR269" s="61"/>
      <c r="AS269" s="55"/>
    </row>
    <row r="270" spans="1:45" ht="21.25" customHeight="1" x14ac:dyDescent="0.15">
      <c r="A270" s="62">
        <f t="shared" si="4"/>
        <v>269</v>
      </c>
      <c r="B270" s="10" t="s">
        <v>398</v>
      </c>
      <c r="C270" s="47" t="s">
        <v>147</v>
      </c>
      <c r="D270" s="48" t="str" cm="1">
        <f t="array" ref="D270">VLOOKUP(B270,'Player Data'!A1:D673,4,FALSE)</f>
        <v>D</v>
      </c>
      <c r="E270" s="68" cm="1">
        <f t="array" ref="E270">VLOOKUP(B270,D!A1:C204,3,FALSE)</f>
        <v>106</v>
      </c>
      <c r="F270" s="72" t="str" cm="1">
        <f t="array" ref="F270">VLOOKUP(B270,'Player Data'!A1:B673,2,FALSE)</f>
        <v>NYI</v>
      </c>
      <c r="G270" s="11" cm="1">
        <f t="array" ref="G270">VLOOKUP(B270,'Player Data'!A1:D673,3,FALSE)</f>
        <v>30</v>
      </c>
      <c r="H270" s="51" cm="1">
        <f t="array" ref="H270">IFERROR(VLOOKUP(B270,ADP!A1:F671,6,FALSE)/1000000,VLOOKUP(B270,ADP!A1:F671,6,FALSE))</f>
        <v>4.5</v>
      </c>
      <c r="I270" s="52">
        <f>IF(Settings!$E$15="POINTS",((R270*Q270)*Settings!$B$12)+(S270*Settings!$B$2)+(T270*Settings!$B$3)+(U270*Settings!$B$4)+(V270*Settings!$B$5)+(X270*Settings!$B$9)+(AA270*Settings!$B$6)+(W270*Settings!$B$8)+(AB270*Settings!$B$7)+(AC270*Settings!$B$14)+(AD270*Settings!$B$15)+(AE270*Settings!$B$16)+(AF270*Settings!$B$17)+(AG270*Settings!$B$18)+(U270*Settings!$B$13)+(Y270*Settings!$B$10)+(Z270*Settings!$B$11),VLOOKUP(B270,'Standard Deviations'!A$1:C$672,3,FALSE))</f>
        <v>172.04700088062171</v>
      </c>
      <c r="J270" s="53" cm="1">
        <f t="array" ref="J270">IF(D270="G",I270/AJ270,I270/Q270)</f>
        <v>2.4095374935138363</v>
      </c>
      <c r="K270" s="52" cm="1">
        <f t="array" ref="K270">VLOOKUP(B270,D!A1:F204,6,FALSE)</f>
        <v>-134.60686646397235</v>
      </c>
      <c r="L270" s="54" cm="1">
        <f t="array" ref="L270">IFERROR(K270/H270,"N/A")</f>
        <v>-29.912636991993857</v>
      </c>
      <c r="M270" s="85" t="s">
        <v>832</v>
      </c>
      <c r="N270" s="85" t="str" cm="1">
        <f t="array" ref="N270">IFERROR(M270-A270,"N/A")</f>
        <v>N/A</v>
      </c>
      <c r="O270" s="55"/>
      <c r="P270" s="56" t="str" cm="1">
        <f t="array" ref="P270">_xlfn.XLOOKUP($B270,ADP!A2:A671,ADP!G2:G671)</f>
        <v xml:space="preserve"> </v>
      </c>
      <c r="Q270" s="57" cm="1">
        <f t="array" ref="Q270">IF(Settings!$E$12="YES",VLOOKUP(B270,'Player Data'!A1:E673,5,FALSE),84)</f>
        <v>71.402500000000003</v>
      </c>
      <c r="R270" s="84" cm="1">
        <f t="array" ref="R270">VLOOKUP(B270,'Player Data'!$A1:$AE673,6,FALSE)</f>
        <v>16.952804189875199</v>
      </c>
      <c r="S270" s="57" cm="1">
        <f t="array" ref="S270">VLOOKUP(B270,'Player Data'!$A1:$AE673,7,FALSE)*$Q270*IFERROR((VLOOKUP(P270,Settings!$E$28:$F$33,2,FALSE)+1),1)</f>
        <v>4.6348673400926881</v>
      </c>
      <c r="T270" s="57" cm="1">
        <f t="array" ref="T270">VLOOKUP(B270,'Player Data'!$A1:$AE673,8,FALSE)*$Q270*IFERROR((VLOOKUP(P270,Settings!$E$28:$F$33,2,FALSE)+1),1)</f>
        <v>21.135393418437499</v>
      </c>
      <c r="U270" s="57" cm="1">
        <f t="array" ref="U270">SUM(S270:T270)</f>
        <v>25.770260758530185</v>
      </c>
      <c r="V270" s="57" cm="1">
        <f t="array" ref="V270">VLOOKUP(B270,'Player Data'!$A1:$AE673,10,FALSE)*$Q270*IFERROR(((VLOOKUP(P270,Settings!$E$28:$F$33,2,FALSE)/2)+1),1)</f>
        <v>112.98653606574068</v>
      </c>
      <c r="W270" s="57" cm="1">
        <f t="array" ref="W270">VLOOKUP(B270,'Player Data'!$A1:$AE673,11,FALSE)*$Q270*IFERROR((VLOOKUP(P270,Settings!$E$28:$F$33,2,FALSE)+1),1)</f>
        <v>0.85273238144154984</v>
      </c>
      <c r="X270" s="57" cm="1">
        <f t="array" ref="X270">VLOOKUP(B270,'Player Data'!$A1:$AE673,12,FALSE)*$Q270*IFERROR((VLOOKUP(P270,Settings!$E$28:$F$33,2,FALSE)+1),1)</f>
        <v>5.5133242984531972</v>
      </c>
      <c r="Y270" s="57" cm="1">
        <f t="array" ref="Y270">VLOOKUP(B270,'Player Data'!$A1:$AE673,13,FALSE)*$Q270</f>
        <v>3.2135177413075509E-3</v>
      </c>
      <c r="Z270" s="57" cm="1">
        <f t="array" ref="Z270">VLOOKUP(B270,'Player Data'!$A1:$AE673,14,FALSE)*$Q270</f>
        <v>1.1254374706799766E-2</v>
      </c>
      <c r="AA270" s="57" cm="1">
        <f t="array" ref="AA270">VLOOKUP(B270,'Player Data'!$A1:$AE673,15,FALSE)*$Q270</f>
        <v>65.436743798001672</v>
      </c>
      <c r="AB270" s="57" cm="1">
        <f t="array" ref="AB270">VLOOKUP(B270,'Player Data'!$A1:$AE673,16,FALSE)*$Q270</f>
        <v>40.350709317738783</v>
      </c>
      <c r="AC270" s="57" cm="1">
        <f t="array" ref="AC270">VLOOKUP(B270,'Player Data'!$A1:$AE673,17,FALSE)*$Q270*IFERROR((VLOOKUP(P270,Settings!$E$28:$F$33,2,FALSE)+1),1)</f>
        <v>-3.9410498035170947</v>
      </c>
      <c r="AD270" s="57" cm="1">
        <f t="array" ref="AD270">VLOOKUP(B270,'Player Data'!$A1:$AE673,18,FALSE)*$Q270</f>
        <v>23.958518047780675</v>
      </c>
      <c r="AE270" s="57" cm="1">
        <f t="array" ref="AE270">VLOOKUP(B270,'Player Data'!$A1:$AE673,19,FALSE)*$Q270*IFERROR((VLOOKUP(P270,Settings!$E$28:$F$33,2,FALSE)+1),1)</f>
        <v>0.67688285551949867</v>
      </c>
      <c r="AF270" s="57" cm="1">
        <f t="array" ref="AF270">VLOOKUP(B270,'Player Data'!$A1:$AE673,20,FALSE)*$Q270</f>
        <v>0</v>
      </c>
      <c r="AG270" s="57" cm="1">
        <f t="array" ref="AG270">VLOOKUP(B270,'Player Data'!$A1:$AE673,21,FALSE)*$Q270</f>
        <v>0</v>
      </c>
      <c r="AH270" s="59" cm="1">
        <f t="array" ref="AH270">VLOOKUP(B270,'Player Data'!$A1:$AE673,22,FALSE)</f>
        <v>0</v>
      </c>
      <c r="AI270" s="55"/>
      <c r="AJ270" s="57"/>
      <c r="AK270" s="57"/>
      <c r="AL270" s="57"/>
      <c r="AM270" s="57"/>
      <c r="AN270" s="57"/>
      <c r="AO270" s="57"/>
      <c r="AP270" s="57"/>
      <c r="AQ270" s="60"/>
      <c r="AR270" s="61"/>
      <c r="AS270" s="55"/>
    </row>
    <row r="271" spans="1:45" ht="21.25" customHeight="1" x14ac:dyDescent="0.15">
      <c r="A271" s="62">
        <f t="shared" si="4"/>
        <v>270</v>
      </c>
      <c r="B271" s="10" t="s">
        <v>399</v>
      </c>
      <c r="C271" s="76"/>
      <c r="D271" s="48" t="str" cm="1">
        <f t="array" ref="D271">VLOOKUP(B271,'Player Data'!A1:D673,4,FALSE)</f>
        <v>G</v>
      </c>
      <c r="E271" s="77" cm="1">
        <f t="array" ref="E271">VLOOKUP(B271,G!A1:D66,3,FALSE)</f>
        <v>31</v>
      </c>
      <c r="F271" s="65" t="str" cm="1">
        <f t="array" ref="F271">VLOOKUP(B271,'Player Data'!A1:B673,2,FALSE)</f>
        <v>CAR</v>
      </c>
      <c r="G271" s="11" cm="1">
        <f t="array" ref="G271">VLOOKUP(B271,'Player Data'!A1:D673,3,FALSE)</f>
        <v>27</v>
      </c>
      <c r="H271" s="67" cm="1">
        <f t="array" ref="H271">IFERROR(VLOOKUP(B271,ADP!A1:F671,6,FALSE)/1000000,VLOOKUP(B271,ADP!A1:F671,6,FALSE))</f>
        <v>2</v>
      </c>
      <c r="I271" s="52">
        <f>IF(Settings!$E$15="POINTS",(AJ271*Settings!$B$29)+(AK271*Settings!$B$21)+(AL271*Settings!$B$22)+(AN271*Settings!$B$24)+(AO271*Settings!$B$25)+(AP271*Settings!$B$27)+(AM271*Settings!$B$23),VLOOKUP(B271,'Standard Deviations'!A$1:C$672,3,FALSE))</f>
        <v>224.31034783471875</v>
      </c>
      <c r="J271" s="53" cm="1">
        <f t="array" ref="J271">IF(D271="G",I271/AJ271,I271/Q271)</f>
        <v>5.607758695867969</v>
      </c>
      <c r="K271" s="52" cm="1">
        <f t="array" ref="K271">VLOOKUP(B271,G!A1:F66,6,FALSE)</f>
        <v>-134.84756009551927</v>
      </c>
      <c r="L271" s="54" cm="1">
        <f t="array" ref="L271">IFERROR(K271/H271,"N/A")</f>
        <v>-67.423780047759635</v>
      </c>
      <c r="M271" s="55">
        <v>131.69999999999999</v>
      </c>
      <c r="N271" s="55" cm="1">
        <f t="array" ref="N271">IFERROR(M271-A271,"N/A")</f>
        <v>-138.30000000000001</v>
      </c>
      <c r="O271" s="55"/>
      <c r="P271" s="56" t="str" cm="1">
        <f t="array" ref="P271">_xlfn.XLOOKUP($B271,ADP!A2:A671,ADP!G2:G671)</f>
        <v xml:space="preserve"> </v>
      </c>
      <c r="Q271" s="57"/>
      <c r="R271" s="55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9"/>
      <c r="AI271" s="55"/>
      <c r="AJ271" s="78" cm="1">
        <f t="array" ref="AJ271">VLOOKUP(B271,'Player Data'!$A1:$AE673,24,FALSE)</f>
        <v>40</v>
      </c>
      <c r="AK271" s="57" cm="1">
        <f t="array" ref="AK271">VLOOKUP(B271,'Player Data'!$A1:$AE673,25,FALSE)*$AJ271*IFERROR((VLOOKUP(P271,Settings!$E$28:$F$33,2,FALSE)+1),1)</f>
        <v>23.721096192849803</v>
      </c>
      <c r="AL271" s="57" cm="1">
        <f t="array" ref="AL271">AJ271-AK271-AM271</f>
        <v>12.209177855362636</v>
      </c>
      <c r="AM271" s="57" cm="1">
        <f t="array" ref="AM271">VLOOKUP(B271,'Player Data'!$A1:$AE673,27,FALSE)*$AJ271</f>
        <v>4.0697259517875599</v>
      </c>
      <c r="AN271" s="57" cm="1">
        <f t="array" ref="AN271">VLOOKUP(B271,'Player Data'!$A1:$AE673,28,FALSE)*AJ271</f>
        <v>2.6209827478777843</v>
      </c>
      <c r="AO271" s="57" cm="1">
        <f t="array" ref="AO271">VLOOKUP(B271,'Player Data'!$A1:$AE673,29,FALSE)*$AJ271*IFERROR((VLOOKUP(P271,Settings!$E$28:$F$33,2,FALSE)/4)+1,1)</f>
        <v>945.89643983246401</v>
      </c>
      <c r="AP271" s="57" cm="1">
        <f t="array" ref="AP271">VLOOKUP(B271,'Player Data'!$A1:$AE673,31,FALSE)*$AJ271*(IFERROR(1-(VLOOKUP(P271,Settings!$E$28:$F$33,2,FALSE)/4),1))</f>
        <v>107.47404780264681</v>
      </c>
      <c r="AQ271" s="60" cm="1">
        <f t="array" ref="AQ271">1-(AP271/(AO271+AP271))</f>
        <v>0.89797127500321994</v>
      </c>
      <c r="AR271" s="61" cm="1">
        <f t="array" ref="AR271">AP271/AJ271</f>
        <v>2.6868511950661702</v>
      </c>
      <c r="AS271" s="55"/>
    </row>
    <row r="272" spans="1:45" ht="21.25" customHeight="1" x14ac:dyDescent="0.15">
      <c r="A272" s="62">
        <f t="shared" si="4"/>
        <v>271</v>
      </c>
      <c r="B272" s="10" t="s">
        <v>400</v>
      </c>
      <c r="C272" s="47" t="s">
        <v>147</v>
      </c>
      <c r="D272" s="48" t="str" cm="1">
        <f t="array" ref="D272">VLOOKUP(B272,'Player Data'!A1:D673,4,FALSE)</f>
        <v>D</v>
      </c>
      <c r="E272" s="68" cm="1">
        <f t="array" ref="E272">VLOOKUP(B272,D!A1:C204,3,FALSE)</f>
        <v>107</v>
      </c>
      <c r="F272" s="56" t="str" cm="1">
        <f t="array" ref="F272">VLOOKUP(B272,'Player Data'!A1:B673,2,FALSE)</f>
        <v>CHI</v>
      </c>
      <c r="G272" s="71" cm="1">
        <f t="array" ref="G272">VLOOKUP(B272,'Player Data'!A1:D673,3,FALSE)</f>
        <v>22</v>
      </c>
      <c r="H272" s="51" cm="1">
        <f t="array" ref="H272">IFERROR(VLOOKUP(B272,ADP!A1:F671,6,FALSE)/1000000,VLOOKUP(B272,ADP!A1:F671,6,FALSE))</f>
        <v>0.94166700000000003</v>
      </c>
      <c r="I272" s="52">
        <f>IF(Settings!$E$15="POINTS",((R272*Q272)*Settings!$B$12)+(S272*Settings!$B$2)+(T272*Settings!$B$3)+(U272*Settings!$B$4)+(V272*Settings!$B$5)+(X272*Settings!$B$9)+(AA272*Settings!$B$6)+(W272*Settings!$B$8)+(AB272*Settings!$B$7)+(AC272*Settings!$B$14)+(AD272*Settings!$B$15)+(AE272*Settings!$B$16)+(AF272*Settings!$B$17)+(AG272*Settings!$B$18)+(U272*Settings!$B$13)+(Y272*Settings!$B$10)+(Z272*Settings!$B$11),VLOOKUP(B272,'Standard Deviations'!A$1:C$672,3,FALSE))</f>
        <v>171.5168999472082</v>
      </c>
      <c r="J272" s="53" cm="1">
        <f t="array" ref="J272">IF(D272="G",I272/AJ272,I272/Q272)</f>
        <v>2.3686907878360475</v>
      </c>
      <c r="K272" s="52" cm="1">
        <f t="array" ref="K272">VLOOKUP(B272,D!A1:F204,6,FALSE)</f>
        <v>-135.13696739738586</v>
      </c>
      <c r="L272" s="54" cm="1">
        <f t="array" ref="L272">IFERROR(K272/H272,"N/A")</f>
        <v>-143.50823316245112</v>
      </c>
      <c r="M272" s="55">
        <v>132.4</v>
      </c>
      <c r="N272" s="55" cm="1">
        <f t="array" ref="N272">IFERROR(M272-A272,"N/A")</f>
        <v>-138.6</v>
      </c>
      <c r="O272" s="55"/>
      <c r="P272" s="56" t="str" cm="1">
        <f t="array" ref="P272">_xlfn.XLOOKUP($B272,ADP!A2:A671,ADP!G2:G671)</f>
        <v xml:space="preserve"> </v>
      </c>
      <c r="Q272" s="57" cm="1">
        <f t="array" ref="Q272">IF(Settings!$E$12="YES",VLOOKUP(B272,'Player Data'!A1:E673,5,FALSE),84)</f>
        <v>72.41</v>
      </c>
      <c r="R272" s="55" cm="1">
        <f t="array" ref="R272">VLOOKUP(B272,'Player Data'!$A1:$AE673,6,FALSE)</f>
        <v>18.875844016856099</v>
      </c>
      <c r="S272" s="57" cm="1">
        <f t="array" ref="S272">VLOOKUP(B272,'Player Data'!$A1:$AE673,7,FALSE)*$Q272*IFERROR((VLOOKUP(P272,Settings!$E$28:$F$33,2,FALSE)+1),1)</f>
        <v>5.4072556626279917</v>
      </c>
      <c r="T272" s="57" cm="1">
        <f t="array" ref="T272">VLOOKUP(B272,'Player Data'!$A1:$AE673,8,FALSE)*$Q272*IFERROR((VLOOKUP(P272,Settings!$E$28:$F$33,2,FALSE)+1),1)</f>
        <v>17.360715714237148</v>
      </c>
      <c r="U272" s="57" cm="1">
        <f t="array" ref="U272">SUM(S272:T272)</f>
        <v>22.767971376865141</v>
      </c>
      <c r="V272" s="57" cm="1">
        <f t="array" ref="V272">VLOOKUP(B272,'Player Data'!$A1:$AE673,10,FALSE)*$Q272*IFERROR(((VLOOKUP(P272,Settings!$E$28:$F$33,2,FALSE)/2)+1),1)</f>
        <v>110.06930131780618</v>
      </c>
      <c r="W272" s="57" cm="1">
        <f t="array" ref="W272">VLOOKUP(B272,'Player Data'!$A1:$AE673,11,FALSE)*$Q272*IFERROR((VLOOKUP(P272,Settings!$E$28:$F$33,2,FALSE)+1),1)</f>
        <v>0.18242857511162527</v>
      </c>
      <c r="X272" s="57" cm="1">
        <f t="array" ref="X272">VLOOKUP(B272,'Player Data'!$A1:$AE673,12,FALSE)*$Q272*IFERROR((VLOOKUP(P272,Settings!$E$28:$F$33,2,FALSE)+1),1)</f>
        <v>2.7375725246323812</v>
      </c>
      <c r="Y272" s="57" cm="1">
        <f t="array" ref="Y272">VLOOKUP(B272,'Player Data'!$A1:$AE673,13,FALSE)*$Q272</f>
        <v>2.5390972703464527E-2</v>
      </c>
      <c r="Z272" s="57" cm="1">
        <f t="array" ref="Z272">VLOOKUP(B272,'Player Data'!$A1:$AE673,14,FALSE)*$Q272</f>
        <v>8.671404753387682E-2</v>
      </c>
      <c r="AA272" s="57" cm="1">
        <f t="array" ref="AA272">VLOOKUP(B272,'Player Data'!$A1:$AE673,15,FALSE)*$Q272</f>
        <v>90.708097171086834</v>
      </c>
      <c r="AB272" s="57" cm="1">
        <f t="array" ref="AB272">VLOOKUP(B272,'Player Data'!$A1:$AE673,16,FALSE)*$Q272</f>
        <v>69.510536370904319</v>
      </c>
      <c r="AC272" s="57" cm="1">
        <f t="array" ref="AC272">VLOOKUP(B272,'Player Data'!$A1:$AE673,17,FALSE)*$Q272*IFERROR((VLOOKUP(P272,Settings!$E$28:$F$33,2,FALSE)+1),1)</f>
        <v>-7.1184348380793052</v>
      </c>
      <c r="AD272" s="57" cm="1">
        <f t="array" ref="AD272">VLOOKUP(B272,'Player Data'!$A1:$AE673,18,FALSE)*$Q272</f>
        <v>37.364519775898195</v>
      </c>
      <c r="AE272" s="57" cm="1">
        <f t="array" ref="AE272">VLOOKUP(B272,'Player Data'!$A1:$AE673,19,FALSE)*$Q272*IFERROR((VLOOKUP(P272,Settings!$E$28:$F$33,2,FALSE)+1),1)</f>
        <v>0.66734212823734052</v>
      </c>
      <c r="AF272" s="57" cm="1">
        <f t="array" ref="AF272">VLOOKUP(B272,'Player Data'!$A1:$AE673,20,FALSE)*$Q272</f>
        <v>0</v>
      </c>
      <c r="AG272" s="57" cm="1">
        <f t="array" ref="AG272">VLOOKUP(B272,'Player Data'!$A1:$AE673,21,FALSE)*$Q272</f>
        <v>0</v>
      </c>
      <c r="AH272" s="59" cm="1">
        <f t="array" ref="AH272">VLOOKUP(B272,'Player Data'!$A1:$AE673,22,FALSE)</f>
        <v>0</v>
      </c>
      <c r="AI272" s="55"/>
      <c r="AJ272" s="57"/>
      <c r="AK272" s="57"/>
      <c r="AL272" s="57"/>
      <c r="AM272" s="57"/>
      <c r="AN272" s="57"/>
      <c r="AO272" s="57"/>
      <c r="AP272" s="57"/>
      <c r="AQ272" s="60"/>
      <c r="AR272" s="61"/>
      <c r="AS272" s="55"/>
    </row>
    <row r="273" spans="1:45" ht="21.25" customHeight="1" x14ac:dyDescent="0.15">
      <c r="A273" s="62">
        <f t="shared" si="4"/>
        <v>272</v>
      </c>
      <c r="B273" s="10" t="s">
        <v>401</v>
      </c>
      <c r="C273" s="47" t="s">
        <v>128</v>
      </c>
      <c r="D273" s="48" t="str" cm="1">
        <f t="array" ref="D273">VLOOKUP(B273,'Player Data'!A1:D673,4,FALSE)</f>
        <v>RW</v>
      </c>
      <c r="E273" s="64" cm="1">
        <f t="array" ref="E273">VLOOKUP(B273,RW!A1:F210,3,FALSE)</f>
        <v>77</v>
      </c>
      <c r="F273" s="63" t="str" cm="1">
        <f t="array" ref="F273">VLOOKUP(B273,'Player Data'!A1:B673,2,FALSE)</f>
        <v>SEA</v>
      </c>
      <c r="G273" s="66" cm="1">
        <f t="array" ref="G273">VLOOKUP(B273,'Player Data'!A1:D673,3,FALSE)</f>
        <v>36</v>
      </c>
      <c r="H273" s="51" cm="1">
        <f t="array" ref="H273">IFERROR(VLOOKUP(B273,ADP!A1:F671,6,FALSE)/1000000,VLOOKUP(B273,ADP!A1:F671,6,FALSE))</f>
        <v>5.5</v>
      </c>
      <c r="I273" s="52">
        <f>IF(Settings!$E$15="POINTS",((R273*Q273)*Settings!$B$12)+(S273*Settings!$B$2)+(T273*Settings!$B$3)+(U273*Settings!$B$4)+(V273*Settings!$B$5)+(X273*Settings!$B$9)+(AA273*Settings!$B$6)+(W273*Settings!$B$8)+(AB273*Settings!$B$7)+(AC273*Settings!$B$14)+(AD273*Settings!$B$15)+(AE273*Settings!$B$16)+(AF273*Settings!$B$17)+(AG273*Settings!$B$18)+(Y273*Settings!$B$10)+(Z273*Settings!$B$11),VLOOKUP(B273,'Standard Deviations'!A$1:C$672,3,FALSE))</f>
        <v>259.23159012906535</v>
      </c>
      <c r="J273" s="53" cm="1">
        <f t="array" ref="J273">IF(D273="G",I273/AJ273,I273/Q273)</f>
        <v>3.3330966265389308</v>
      </c>
      <c r="K273" s="52" cm="1">
        <f t="array" ref="K273">IF(Settings!$E$18="C/LW/RW",VLOOKUP(B273,RW!A1:F210,6,FALSE),VLOOKUP(B273,F!A1:F407,6,FALSE))</f>
        <v>-135.71187456449212</v>
      </c>
      <c r="L273" s="54" cm="1">
        <f t="array" ref="L273">IFERROR(K273/H273,"N/A")</f>
        <v>-24.674886284453112</v>
      </c>
      <c r="M273" s="85" t="s">
        <v>832</v>
      </c>
      <c r="N273" s="85" t="str" cm="1">
        <f t="array" ref="N273">IFERROR(M273-A273,"N/A")</f>
        <v>N/A</v>
      </c>
      <c r="O273" s="55"/>
      <c r="P273" s="56" t="str" cm="1">
        <f t="array" ref="P273">_xlfn.XLOOKUP($B273,ADP!A2:A671,ADP!G2:G671)</f>
        <v xml:space="preserve"> </v>
      </c>
      <c r="Q273" s="57" cm="1">
        <f t="array" ref="Q273">IF(Settings!$E$12="YES",VLOOKUP(B273,'Player Data'!A1:E673,5,FALSE),84)</f>
        <v>77.775000000000006</v>
      </c>
      <c r="R273" s="55" cm="1">
        <f t="array" ref="R273">VLOOKUP(B273,'Player Data'!$A1:$AE673,6,FALSE)</f>
        <v>18.029054217323999</v>
      </c>
      <c r="S273" s="57" cm="1">
        <f t="array" ref="S273">VLOOKUP(B273,'Player Data'!$A1:$AE673,7,FALSE)*$Q273*IFERROR((VLOOKUP(P273,Settings!$E$28:$F$33,2,FALSE)+1),1)</f>
        <v>20.628913872723025</v>
      </c>
      <c r="T273" s="57" cm="1">
        <f t="array" ref="T273">VLOOKUP(B273,'Player Data'!$A1:$AE673,8,FALSE)*$Q273*IFERROR((VLOOKUP(P273,Settings!$E$28:$F$33,2,FALSE)+1),1)</f>
        <v>27.851071541667487</v>
      </c>
      <c r="U273" s="57" cm="1">
        <f t="array" ref="U273">SUM(S273:T273)</f>
        <v>48.479985414390512</v>
      </c>
      <c r="V273" s="57" cm="1">
        <f t="array" ref="V273">VLOOKUP(B273,'Player Data'!$A1:$AE673,10,FALSE)*$Q273*IFERROR(((VLOOKUP(P273,Settings!$E$28:$F$33,2,FALSE)/2)+1),1)</f>
        <v>160.05924404179783</v>
      </c>
      <c r="W273" s="57" cm="1">
        <f t="array" ref="W273">VLOOKUP(B273,'Player Data'!$A1:$AE673,11,FALSE)*$Q273*IFERROR((VLOOKUP(P273,Settings!$E$28:$F$33,2,FALSE)+1),1)</f>
        <v>4.0600869602574443</v>
      </c>
      <c r="X273" s="79" cm="1">
        <f t="array" ref="X273">VLOOKUP(B273,'Player Data'!$A1:$AE673,12,FALSE)*$Q273*IFERROR((VLOOKUP(P273,Settings!$E$28:$F$33,2,FALSE)+1),1)</f>
        <v>13.40105929516224</v>
      </c>
      <c r="Y273" s="57" cm="1">
        <f t="array" ref="Y273">VLOOKUP(B273,'Player Data'!$A1:$AE673,13,FALSE)*$Q273</f>
        <v>2.3572186765015594E-2</v>
      </c>
      <c r="Z273" s="57" cm="1">
        <f t="array" ref="Z273">VLOOKUP(B273,'Player Data'!$A1:$AE673,14,FALSE)*$Q273</f>
        <v>3.9188761794687679E-2</v>
      </c>
      <c r="AA273" s="57" cm="1">
        <f t="array" ref="AA273">VLOOKUP(B273,'Player Data'!$A1:$AE673,15,FALSE)*$Q273</f>
        <v>40.643527616076042</v>
      </c>
      <c r="AB273" s="57" cm="1">
        <f t="array" ref="AB273">VLOOKUP(B273,'Player Data'!$A1:$AE673,16,FALSE)*$Q273</f>
        <v>50.702500917695623</v>
      </c>
      <c r="AC273" s="57" cm="1">
        <f t="array" ref="AC273">VLOOKUP(B273,'Player Data'!$A1:$AE673,17,FALSE)*$Q273*IFERROR((VLOOKUP(P273,Settings!$E$28:$F$33,2,FALSE)+1),1)</f>
        <v>-5.3255290370981134</v>
      </c>
      <c r="AD273" s="57" cm="1">
        <f t="array" ref="AD273">VLOOKUP(B273,'Player Data'!$A1:$AE673,18,FALSE)*$Q273</f>
        <v>26.309357168863617</v>
      </c>
      <c r="AE273" s="57" cm="1">
        <f t="array" ref="AE273">VLOOKUP(B273,'Player Data'!$A1:$AE673,19,FALSE)*$Q273*IFERROR((VLOOKUP(P273,Settings!$E$28:$F$33,2,FALSE)+1),1)</f>
        <v>2.8421524187847607</v>
      </c>
      <c r="AF273" s="57" cm="1">
        <f t="array" ref="AF273">VLOOKUP(B273,'Player Data'!$A1:$AE673,20,FALSE)*$Q273</f>
        <v>14.676775851742477</v>
      </c>
      <c r="AG273" s="57" cm="1">
        <f t="array" ref="AG273">VLOOKUP(B273,'Player Data'!$A1:$AE673,21,FALSE)*$Q273</f>
        <v>22.789232373263133</v>
      </c>
      <c r="AH273" s="59" cm="1">
        <f t="array" ref="AH273">VLOOKUP(B273,'Player Data'!$A1:$AE673,22,FALSE)</f>
        <v>0.391735777230382</v>
      </c>
      <c r="AI273" s="55"/>
      <c r="AJ273" s="57"/>
      <c r="AK273" s="57"/>
      <c r="AL273" s="57"/>
      <c r="AM273" s="57"/>
      <c r="AN273" s="57"/>
      <c r="AO273" s="57"/>
      <c r="AP273" s="57"/>
      <c r="AQ273" s="60"/>
      <c r="AR273" s="61"/>
      <c r="AS273" s="55"/>
    </row>
    <row r="274" spans="1:45" ht="21.25" customHeight="1" x14ac:dyDescent="0.15">
      <c r="A274" s="62">
        <f t="shared" si="4"/>
        <v>273</v>
      </c>
      <c r="B274" s="10" t="s">
        <v>402</v>
      </c>
      <c r="C274" s="47" t="s">
        <v>147</v>
      </c>
      <c r="D274" s="48" t="str" cm="1">
        <f t="array" ref="D274">VLOOKUP(B274,'Player Data'!A1:D673,4,FALSE)</f>
        <v>D</v>
      </c>
      <c r="E274" s="68" cm="1">
        <f t="array" ref="E274">VLOOKUP(B274,D!A1:C204,3,FALSE)</f>
        <v>108</v>
      </c>
      <c r="F274" s="70" t="str" cm="1">
        <f t="array" ref="F274">VLOOKUP(B274,'Player Data'!A1:B673,2,FALSE)</f>
        <v>L.A</v>
      </c>
      <c r="G274" s="11" cm="1">
        <f t="array" ref="G274">VLOOKUP(B274,'Player Data'!A1:D673,3,FALSE)</f>
        <v>27</v>
      </c>
      <c r="H274" s="51" cm="1">
        <f t="array" ref="H274">IFERROR(VLOOKUP(B274,ADP!A1:F671,6,FALSE)/1000000,VLOOKUP(B274,ADP!A1:F671,6,FALSE))</f>
        <v>4.125</v>
      </c>
      <c r="I274" s="52">
        <f>IF(Settings!$E$15="POINTS",((R274*Q274)*Settings!$B$12)+(S274*Settings!$B$2)+(T274*Settings!$B$3)+(U274*Settings!$B$4)+(V274*Settings!$B$5)+(X274*Settings!$B$9)+(AA274*Settings!$B$6)+(W274*Settings!$B$8)+(AB274*Settings!$B$7)+(AC274*Settings!$B$14)+(AD274*Settings!$B$15)+(AE274*Settings!$B$16)+(AF274*Settings!$B$17)+(AG274*Settings!$B$18)+(U274*Settings!$B$13)+(Y274*Settings!$B$10)+(Z274*Settings!$B$11),VLOOKUP(B274,'Standard Deviations'!A$1:C$672,3,FALSE))</f>
        <v>170.60220100227559</v>
      </c>
      <c r="J274" s="53" cm="1">
        <f t="array" ref="J274">IF(D274="G",I274/AJ274,I274/Q274)</f>
        <v>2.0757682251227449</v>
      </c>
      <c r="K274" s="52" cm="1">
        <f t="array" ref="K274">VLOOKUP(B274,D!A1:F204,6,FALSE)</f>
        <v>-136.05166634231847</v>
      </c>
      <c r="L274" s="54" cm="1">
        <f t="array" ref="L274">IFERROR(K274/H274,"N/A")</f>
        <v>-32.982222143592359</v>
      </c>
      <c r="M274" s="85" t="s">
        <v>832</v>
      </c>
      <c r="N274" s="85" t="str" cm="1">
        <f t="array" ref="N274">IFERROR(M274-A274,"N/A")</f>
        <v>N/A</v>
      </c>
      <c r="O274" s="55"/>
      <c r="P274" s="56" t="str" cm="1">
        <f t="array" ref="P274">_xlfn.XLOOKUP($B274,ADP!A2:A671,ADP!G2:G671)</f>
        <v xml:space="preserve"> </v>
      </c>
      <c r="Q274" s="57" cm="1">
        <f t="array" ref="Q274">IF(Settings!$E$12="YES",VLOOKUP(B274,'Player Data'!A1:E673,5,FALSE),84)</f>
        <v>82.1875</v>
      </c>
      <c r="R274" s="55" cm="1">
        <f t="array" ref="R274">VLOOKUP(B274,'Player Data'!$A1:$AE673,6,FALSE)</f>
        <v>20.5817078639482</v>
      </c>
      <c r="S274" s="57" cm="1">
        <f t="array" ref="S274">VLOOKUP(B274,'Player Data'!$A1:$AE673,7,FALSE)*$Q274*IFERROR((VLOOKUP(P274,Settings!$E$28:$F$33,2,FALSE)+1),1)</f>
        <v>4.3135558393656526</v>
      </c>
      <c r="T274" s="57" cm="1">
        <f t="array" ref="T274">VLOOKUP(B274,'Player Data'!$A1:$AE673,8,FALSE)*$Q274*IFERROR((VLOOKUP(P274,Settings!$E$28:$F$33,2,FALSE)+1),1)</f>
        <v>17.989754603118449</v>
      </c>
      <c r="U274" s="57" cm="1">
        <f t="array" ref="U274">SUM(S274:T274)</f>
        <v>22.303310442484101</v>
      </c>
      <c r="V274" s="57" cm="1">
        <f t="array" ref="V274">VLOOKUP(B274,'Player Data'!$A1:$AE673,10,FALSE)*$Q274*IFERROR(((VLOOKUP(P274,Settings!$E$28:$F$33,2,FALSE)/2)+1),1)</f>
        <v>74.769890418590563</v>
      </c>
      <c r="W274" s="57" cm="1">
        <f t="array" ref="W274">VLOOKUP(B274,'Player Data'!$A1:$AE673,11,FALSE)*$Q274*IFERROR((VLOOKUP(P274,Settings!$E$28:$F$33,2,FALSE)+1),1)</f>
        <v>8.9752926663759572E-3</v>
      </c>
      <c r="X274" s="57" cm="1">
        <f t="array" ref="X274">VLOOKUP(B274,'Player Data'!$A1:$AE673,12,FALSE)*$Q274*IFERROR((VLOOKUP(P274,Settings!$E$28:$F$33,2,FALSE)+1),1)</f>
        <v>7.3075668832319793E-2</v>
      </c>
      <c r="Y274" s="57" cm="1">
        <f t="array" ref="Y274">VLOOKUP(B274,'Player Data'!$A1:$AE673,13,FALSE)*$Q274</f>
        <v>1.8326384306417448E-2</v>
      </c>
      <c r="Z274" s="57" cm="1">
        <f t="array" ref="Z274">VLOOKUP(B274,'Player Data'!$A1:$AE673,14,FALSE)*$Q274</f>
        <v>0.10521896061519652</v>
      </c>
      <c r="AA274" s="57" cm="1">
        <f t="array" ref="AA274">VLOOKUP(B274,'Player Data'!$A1:$AE673,15,FALSE)*$Q274</f>
        <v>132.25805967216098</v>
      </c>
      <c r="AB274" s="57" cm="1">
        <f t="array" ref="AB274">VLOOKUP(B274,'Player Data'!$A1:$AE673,16,FALSE)*$Q274</f>
        <v>109.92194763576985</v>
      </c>
      <c r="AC274" s="57" cm="1">
        <f t="array" ref="AC274">VLOOKUP(B274,'Player Data'!$A1:$AE673,17,FALSE)*$Q274*IFERROR((VLOOKUP(P274,Settings!$E$28:$F$33,2,FALSE)+1),1)</f>
        <v>0.28696455325848813</v>
      </c>
      <c r="AD274" s="57" cm="1">
        <f t="array" ref="AD274">VLOOKUP(B274,'Player Data'!$A1:$AE673,18,FALSE)*$Q274</f>
        <v>26.321116250167091</v>
      </c>
      <c r="AE274" s="57" cm="1">
        <f t="array" ref="AE274">VLOOKUP(B274,'Player Data'!$A1:$AE673,19,FALSE)*$Q274*IFERROR((VLOOKUP(P274,Settings!$E$28:$F$33,2,FALSE)+1),1)</f>
        <v>0.6813872341439392</v>
      </c>
      <c r="AF274" s="57" cm="1">
        <f t="array" ref="AF274">VLOOKUP(B274,'Player Data'!$A1:$AE673,20,FALSE)*$Q274</f>
        <v>0</v>
      </c>
      <c r="AG274" s="57" cm="1">
        <f t="array" ref="AG274">VLOOKUP(B274,'Player Data'!$A1:$AE673,21,FALSE)*$Q274</f>
        <v>0</v>
      </c>
      <c r="AH274" s="59" cm="1">
        <f t="array" ref="AH274">VLOOKUP(B274,'Player Data'!$A1:$AE673,22,FALSE)</f>
        <v>0</v>
      </c>
      <c r="AI274" s="55"/>
      <c r="AJ274" s="57"/>
      <c r="AK274" s="57"/>
      <c r="AL274" s="57"/>
      <c r="AM274" s="57"/>
      <c r="AN274" s="57"/>
      <c r="AO274" s="57"/>
      <c r="AP274" s="57"/>
      <c r="AQ274" s="60"/>
      <c r="AR274" s="61"/>
      <c r="AS274" s="55"/>
    </row>
    <row r="275" spans="1:45" ht="21.25" customHeight="1" x14ac:dyDescent="0.15">
      <c r="A275" s="62">
        <f t="shared" si="4"/>
        <v>274</v>
      </c>
      <c r="B275" s="10" t="s">
        <v>403</v>
      </c>
      <c r="C275" s="47" t="s">
        <v>147</v>
      </c>
      <c r="D275" s="48" t="str" cm="1">
        <f t="array" ref="D275">VLOOKUP(B275,'Player Data'!A1:D673,4,FALSE)</f>
        <v>D</v>
      </c>
      <c r="E275" s="68" cm="1">
        <f t="array" ref="E275">VLOOKUP(B275,D!A1:C204,3,FALSE)</f>
        <v>109</v>
      </c>
      <c r="F275" s="65" t="str" cm="1">
        <f t="array" ref="F275">VLOOKUP(B275,'Player Data'!A1:B673,2,FALSE)</f>
        <v>T.B</v>
      </c>
      <c r="G275" s="11" cm="1">
        <f t="array" ref="G275">VLOOKUP(B275,'Player Data'!A1:D673,3,FALSE)</f>
        <v>28</v>
      </c>
      <c r="H275" s="67" cm="1">
        <f t="array" ref="H275">IFERROR(VLOOKUP(B275,ADP!A1:F671,6,FALSE)/1000000,VLOOKUP(B275,ADP!A1:F671,6,FALSE))</f>
        <v>0.875</v>
      </c>
      <c r="I275" s="52">
        <f>IF(Settings!$E$15="POINTS",((R275*Q275)*Settings!$B$12)+(S275*Settings!$B$2)+(T275*Settings!$B$3)+(U275*Settings!$B$4)+(V275*Settings!$B$5)+(X275*Settings!$B$9)+(AA275*Settings!$B$6)+(W275*Settings!$B$8)+(AB275*Settings!$B$7)+(AC275*Settings!$B$14)+(AD275*Settings!$B$15)+(AE275*Settings!$B$16)+(AF275*Settings!$B$17)+(AG275*Settings!$B$18)+(U275*Settings!$B$13)+(Y275*Settings!$B$10)+(Z275*Settings!$B$11),VLOOKUP(B275,'Standard Deviations'!A$1:C$672,3,FALSE))</f>
        <v>169.60785253004434</v>
      </c>
      <c r="J275" s="53" cm="1">
        <f t="array" ref="J275">IF(D275="G",I275/AJ275,I275/Q275)</f>
        <v>2.1455768821004977</v>
      </c>
      <c r="K275" s="52" cm="1">
        <f t="array" ref="K275">VLOOKUP(B275,D!A1:F204,6,FALSE)</f>
        <v>-137.04601481454972</v>
      </c>
      <c r="L275" s="54" cm="1">
        <f t="array" ref="L275">IFERROR(K275/H275,"N/A")</f>
        <v>-156.62401693091397</v>
      </c>
      <c r="M275" s="85" t="s">
        <v>832</v>
      </c>
      <c r="N275" s="85" t="str" cm="1">
        <f t="array" ref="N275">IFERROR(M275-A275,"N/A")</f>
        <v>N/A</v>
      </c>
      <c r="O275" s="55"/>
      <c r="P275" s="56" t="str" cm="1">
        <f t="array" ref="P275">_xlfn.XLOOKUP($B275,ADP!A2:A671,ADP!G2:G671)</f>
        <v xml:space="preserve"> </v>
      </c>
      <c r="Q275" s="57" cm="1">
        <f t="array" ref="Q275">IF(Settings!$E$12="YES",VLOOKUP(B275,'Player Data'!A1:E673,5,FALSE),84)</f>
        <v>79.05</v>
      </c>
      <c r="R275" s="84" cm="1">
        <f t="array" ref="R275">VLOOKUP(B275,'Player Data'!$A1:$AE673,6,FALSE)</f>
        <v>17.378821382761899</v>
      </c>
      <c r="S275" s="57" cm="1">
        <f t="array" ref="S275">VLOOKUP(B275,'Player Data'!$A1:$AE673,7,FALSE)*$Q275*IFERROR((VLOOKUP(P275,Settings!$E$28:$F$33,2,FALSE)+1),1)</f>
        <v>5.7188200907086921</v>
      </c>
      <c r="T275" s="57" cm="1">
        <f t="array" ref="T275">VLOOKUP(B275,'Player Data'!$A1:$AE673,8,FALSE)*$Q275*IFERROR((VLOOKUP(P275,Settings!$E$28:$F$33,2,FALSE)+1),1)</f>
        <v>21.864107598117474</v>
      </c>
      <c r="U275" s="57" cm="1">
        <f t="array" ref="U275">SUM(S275:T275)</f>
        <v>27.582927688826167</v>
      </c>
      <c r="V275" s="57" cm="1">
        <f t="array" ref="V275">VLOOKUP(B275,'Player Data'!$A1:$AE673,10,FALSE)*$Q275*IFERROR(((VLOOKUP(P275,Settings!$E$28:$F$33,2,FALSE)/2)+1),1)</f>
        <v>84.721934715388812</v>
      </c>
      <c r="W275" s="57" cm="1">
        <f t="array" ref="W275">VLOOKUP(B275,'Player Data'!$A1:$AE673,11,FALSE)*$Q275*IFERROR((VLOOKUP(P275,Settings!$E$28:$F$33,2,FALSE)+1),1)</f>
        <v>0.20495120830911723</v>
      </c>
      <c r="X275" s="57" cm="1">
        <f t="array" ref="X275">VLOOKUP(B275,'Player Data'!$A1:$AE673,12,FALSE)*$Q275*IFERROR((VLOOKUP(P275,Settings!$E$28:$F$33,2,FALSE)+1),1)</f>
        <v>2.6437748943486747</v>
      </c>
      <c r="Y275" s="57" cm="1">
        <f t="array" ref="Y275">VLOOKUP(B275,'Player Data'!$A1:$AE673,13,FALSE)*$Q275</f>
        <v>1.178515210071166E-2</v>
      </c>
      <c r="Z275" s="57" cm="1">
        <f t="array" ref="Z275">VLOOKUP(B275,'Player Data'!$A1:$AE673,14,FALSE)*$Q275</f>
        <v>4.0588611918365214E-2</v>
      </c>
      <c r="AA275" s="57" cm="1">
        <f t="array" ref="AA275">VLOOKUP(B275,'Player Data'!$A1:$AE673,15,FALSE)*$Q275</f>
        <v>83.627477199208798</v>
      </c>
      <c r="AB275" s="57" cm="1">
        <f t="array" ref="AB275">VLOOKUP(B275,'Player Data'!$A1:$AE673,16,FALSE)*$Q275</f>
        <v>97.187981846373106</v>
      </c>
      <c r="AC275" s="57" cm="1">
        <f t="array" ref="AC275">VLOOKUP(B275,'Player Data'!$A1:$AE673,17,FALSE)*$Q275*IFERROR((VLOOKUP(P275,Settings!$E$28:$F$33,2,FALSE)+1),1)</f>
        <v>7.3315181249408097</v>
      </c>
      <c r="AD275" s="57" cm="1">
        <f t="array" ref="AD275">VLOOKUP(B275,'Player Data'!$A1:$AE673,18,FALSE)*$Q275</f>
        <v>65.880126078735415</v>
      </c>
      <c r="AE275" s="57" cm="1">
        <f t="array" ref="AE275">VLOOKUP(B275,'Player Data'!$A1:$AE673,19,FALSE)*$Q275*IFERROR((VLOOKUP(P275,Settings!$E$28:$F$33,2,FALSE)+1),1)</f>
        <v>1.0151445428377333</v>
      </c>
      <c r="AF275" s="57" cm="1">
        <f t="array" ref="AF275">VLOOKUP(B275,'Player Data'!$A1:$AE673,20,FALSE)*$Q275</f>
        <v>0</v>
      </c>
      <c r="AG275" s="57" cm="1">
        <f t="array" ref="AG275">VLOOKUP(B275,'Player Data'!$A1:$AE673,21,FALSE)*$Q275</f>
        <v>0</v>
      </c>
      <c r="AH275" s="59" cm="1">
        <f t="array" ref="AH275">VLOOKUP(B275,'Player Data'!$A1:$AE673,22,FALSE)</f>
        <v>0</v>
      </c>
      <c r="AI275" s="55"/>
      <c r="AJ275" s="57"/>
      <c r="AK275" s="57"/>
      <c r="AL275" s="57"/>
      <c r="AM275" s="57"/>
      <c r="AN275" s="57"/>
      <c r="AO275" s="57"/>
      <c r="AP275" s="57"/>
      <c r="AQ275" s="60"/>
      <c r="AR275" s="61"/>
      <c r="AS275" s="55"/>
    </row>
    <row r="276" spans="1:45" ht="21.25" customHeight="1" x14ac:dyDescent="0.15">
      <c r="A276" s="62">
        <f t="shared" si="4"/>
        <v>275</v>
      </c>
      <c r="B276" s="10" t="s">
        <v>404</v>
      </c>
      <c r="C276" s="47" t="s">
        <v>128</v>
      </c>
      <c r="D276" s="48" t="str" cm="1">
        <f t="array" ref="D276">VLOOKUP(B276,'Player Data'!A1:D673,4,FALSE)</f>
        <v>RW</v>
      </c>
      <c r="E276" s="64" cm="1">
        <f t="array" ref="E276">VLOOKUP(B276,RW!A1:F210,3,FALSE)</f>
        <v>78</v>
      </c>
      <c r="F276" s="73" t="str" cm="1">
        <f t="array" ref="F276">VLOOKUP(B276,'Player Data'!A1:B673,2,FALSE)</f>
        <v>BUF</v>
      </c>
      <c r="G276" s="71" cm="1">
        <f t="array" ref="G276">VLOOKUP(B276,'Player Data'!A1:D673,3,FALSE)</f>
        <v>24</v>
      </c>
      <c r="H276" s="67" cm="1">
        <f t="array" ref="H276">IFERROR(VLOOKUP(B276,ADP!A1:F671,6,FALSE)/1000000,VLOOKUP(B276,ADP!A1:F671,6,FALSE))</f>
        <v>3.375</v>
      </c>
      <c r="I276" s="52">
        <f>IF(Settings!$E$15="POINTS",((R276*Q276)*Settings!$B$12)+(S276*Settings!$B$2)+(T276*Settings!$B$3)+(U276*Settings!$B$4)+(V276*Settings!$B$5)+(X276*Settings!$B$9)+(AA276*Settings!$B$6)+(W276*Settings!$B$8)+(AB276*Settings!$B$7)+(AC276*Settings!$B$14)+(AD276*Settings!$B$15)+(AE276*Settings!$B$16)+(AF276*Settings!$B$17)+(AG276*Settings!$B$18)+(Y276*Settings!$B$10)+(Z276*Settings!$B$11),VLOOKUP(B276,'Standard Deviations'!A$1:C$672,3,FALSE))</f>
        <v>256.64882512746482</v>
      </c>
      <c r="J276" s="53" cm="1">
        <f t="array" ref="J276">IF(D276="G",I276/AJ276,I276/Q276)</f>
        <v>3.3145915682224563</v>
      </c>
      <c r="K276" s="52" cm="1">
        <f t="array" ref="K276">IF(Settings!$E$18="C/LW/RW",VLOOKUP(B276,RW!A1:F210,6,FALSE),VLOOKUP(B276,F!A1:F407,6,FALSE))</f>
        <v>-138.29463956609266</v>
      </c>
      <c r="L276" s="54" cm="1">
        <f t="array" ref="L276">IFERROR(K276/H276,"N/A")</f>
        <v>-40.976189501064489</v>
      </c>
      <c r="M276" s="85" t="s">
        <v>832</v>
      </c>
      <c r="N276" s="85" t="str" cm="1">
        <f t="array" ref="N276">IFERROR(M276-A276,"N/A")</f>
        <v>N/A</v>
      </c>
      <c r="O276" s="55"/>
      <c r="P276" s="56" t="str" cm="1">
        <f t="array" ref="P276">_xlfn.XLOOKUP($B276,ADP!A2:A671,ADP!G2:G671)</f>
        <v xml:space="preserve"> </v>
      </c>
      <c r="Q276" s="57" cm="1">
        <f t="array" ref="Q276">IF(Settings!$E$12="YES",VLOOKUP(B276,'Player Data'!A1:E673,5,FALSE),84)</f>
        <v>77.430000000000007</v>
      </c>
      <c r="R276" s="55" cm="1">
        <f t="array" ref="R276">VLOOKUP(B276,'Player Data'!$A1:$AE673,6,FALSE)</f>
        <v>15.8358539220274</v>
      </c>
      <c r="S276" s="57" cm="1">
        <f t="array" ref="S276">VLOOKUP(B276,'Player Data'!$A1:$AE673,7,FALSE)*$Q276*IFERROR((VLOOKUP(P276,Settings!$E$28:$F$33,2,FALSE)+1),1)</f>
        <v>19.200067181528162</v>
      </c>
      <c r="T276" s="57" cm="1">
        <f t="array" ref="T276">VLOOKUP(B276,'Player Data'!$A1:$AE673,8,FALSE)*$Q276*IFERROR((VLOOKUP(P276,Settings!$E$28:$F$33,2,FALSE)+1),1)</f>
        <v>29.089108347060876</v>
      </c>
      <c r="U276" s="57" cm="1">
        <f t="array" ref="U276">SUM(S276:T276)</f>
        <v>48.289175528589041</v>
      </c>
      <c r="V276" s="57" cm="1">
        <f t="array" ref="V276">VLOOKUP(B276,'Player Data'!$A1:$AE673,10,FALSE)*$Q276*IFERROR(((VLOOKUP(P276,Settings!$E$28:$F$33,2,FALSE)/2)+1),1)</f>
        <v>171.31346087907059</v>
      </c>
      <c r="W276" s="57" cm="1">
        <f t="array" ref="W276">VLOOKUP(B276,'Player Data'!$A1:$AE673,11,FALSE)*$Q276*IFERROR((VLOOKUP(P276,Settings!$E$28:$F$33,2,FALSE)+1),1)</f>
        <v>4.1970080968867745</v>
      </c>
      <c r="X276" s="79" cm="1">
        <f t="array" ref="X276">VLOOKUP(B276,'Player Data'!$A1:$AE673,12,FALSE)*$Q276*IFERROR((VLOOKUP(P276,Settings!$E$28:$F$33,2,FALSE)+1),1)</f>
        <v>12.960637127593895</v>
      </c>
      <c r="Y276" s="57" cm="1">
        <f t="array" ref="Y276">VLOOKUP(B276,'Player Data'!$A1:$AE673,13,FALSE)*$Q276</f>
        <v>4.0272484234008192E-2</v>
      </c>
      <c r="Z276" s="57" cm="1">
        <f t="array" ref="Z276">VLOOKUP(B276,'Player Data'!$A1:$AE673,14,FALSE)*$Q276</f>
        <v>6.5896386386044156E-2</v>
      </c>
      <c r="AA276" s="57" cm="1">
        <f t="array" ref="AA276">VLOOKUP(B276,'Player Data'!$A1:$AE673,15,FALSE)*$Q276</f>
        <v>26.196069176364965</v>
      </c>
      <c r="AB276" s="57" cm="1">
        <f t="array" ref="AB276">VLOOKUP(B276,'Player Data'!$A1:$AE673,16,FALSE)*$Q276</f>
        <v>52.488842264721569</v>
      </c>
      <c r="AC276" s="57" cm="1">
        <f t="array" ref="AC276">VLOOKUP(B276,'Player Data'!$A1:$AE673,17,FALSE)*$Q276*IFERROR((VLOOKUP(P276,Settings!$E$28:$F$33,2,FALSE)+1),1)</f>
        <v>0.62642520158352166</v>
      </c>
      <c r="AD276" s="57" cm="1">
        <f t="array" ref="AD276">VLOOKUP(B276,'Player Data'!$A1:$AE673,18,FALSE)*$Q276</f>
        <v>21.58579230563144</v>
      </c>
      <c r="AE276" s="57" cm="1">
        <f t="array" ref="AE276">VLOOKUP(B276,'Player Data'!$A1:$AE673,19,FALSE)*$Q276*IFERROR((VLOOKUP(P276,Settings!$E$28:$F$33,2,FALSE)+1),1)</f>
        <v>2.8947937475916929</v>
      </c>
      <c r="AF276" s="57" cm="1">
        <f t="array" ref="AF276">VLOOKUP(B276,'Player Data'!$A1:$AE673,20,FALSE)*$Q276</f>
        <v>2.5653006075772882</v>
      </c>
      <c r="AG276" s="57" cm="1">
        <f t="array" ref="AG276">VLOOKUP(B276,'Player Data'!$A1:$AE673,21,FALSE)*$Q276</f>
        <v>9.1762193519660382</v>
      </c>
      <c r="AH276" s="59" cm="1">
        <f t="array" ref="AH276">VLOOKUP(B276,'Player Data'!$A1:$AE673,22,FALSE)</f>
        <v>0.218481135016276</v>
      </c>
      <c r="AI276" s="55"/>
      <c r="AJ276" s="57"/>
      <c r="AK276" s="57"/>
      <c r="AL276" s="57"/>
      <c r="AM276" s="57"/>
      <c r="AN276" s="57"/>
      <c r="AO276" s="57"/>
      <c r="AP276" s="57"/>
      <c r="AQ276" s="60"/>
      <c r="AR276" s="61"/>
      <c r="AS276" s="55"/>
    </row>
    <row r="277" spans="1:45" ht="21.25" customHeight="1" x14ac:dyDescent="0.15">
      <c r="A277" s="62">
        <f t="shared" si="4"/>
        <v>276</v>
      </c>
      <c r="B277" s="10" t="s">
        <v>405</v>
      </c>
      <c r="C277" s="47" t="s">
        <v>147</v>
      </c>
      <c r="D277" s="48" t="str" cm="1">
        <f t="array" ref="D277">VLOOKUP(B277,'Player Data'!A1:D673,4,FALSE)</f>
        <v>D</v>
      </c>
      <c r="E277" s="68" cm="1">
        <f t="array" ref="E277">VLOOKUP(B277,D!A1:C204,3,FALSE)</f>
        <v>110</v>
      </c>
      <c r="F277" s="56" t="str" cm="1">
        <f t="array" ref="F277">VLOOKUP(B277,'Player Data'!A1:B673,2,FALSE)</f>
        <v>S.J</v>
      </c>
      <c r="G277" s="11" cm="1">
        <f t="array" ref="G277">VLOOKUP(B277,'Player Data'!A1:D673,3,FALSE)</f>
        <v>26</v>
      </c>
      <c r="H277" s="51" cm="1">
        <f t="array" ref="H277">IFERROR(VLOOKUP(B277,ADP!A1:F671,6,FALSE)/1000000,VLOOKUP(B277,ADP!A1:F671,6,FALSE))</f>
        <v>4.5</v>
      </c>
      <c r="I277" s="52">
        <f>IF(Settings!$E$15="POINTS",((R277*Q277)*Settings!$B$12)+(S277*Settings!$B$2)+(T277*Settings!$B$3)+(U277*Settings!$B$4)+(V277*Settings!$B$5)+(X277*Settings!$B$9)+(AA277*Settings!$B$6)+(W277*Settings!$B$8)+(AB277*Settings!$B$7)+(AC277*Settings!$B$14)+(AD277*Settings!$B$15)+(AE277*Settings!$B$16)+(AF277*Settings!$B$17)+(AG277*Settings!$B$18)+(U277*Settings!$B$13)+(Y277*Settings!$B$10)+(Z277*Settings!$B$11),VLOOKUP(B277,'Standard Deviations'!A$1:C$672,3,FALSE))</f>
        <v>168.07512639651034</v>
      </c>
      <c r="J277" s="53" cm="1">
        <f t="array" ref="J277">IF(D277="G",I277/AJ277,I277/Q277)</f>
        <v>2.2771321825838009</v>
      </c>
      <c r="K277" s="52" cm="1">
        <f t="array" ref="K277">VLOOKUP(B277,D!A1:F204,6,FALSE)</f>
        <v>-138.57874094808372</v>
      </c>
      <c r="L277" s="54" cm="1">
        <f t="array" ref="L277">IFERROR(K277/H277,"N/A")</f>
        <v>-30.795275766240827</v>
      </c>
      <c r="M277" s="85" t="s">
        <v>832</v>
      </c>
      <c r="N277" s="85" t="str" cm="1">
        <f t="array" ref="N277">IFERROR(M277-A277,"N/A")</f>
        <v>N/A</v>
      </c>
      <c r="O277" s="55"/>
      <c r="P277" s="56" t="str" cm="1">
        <f t="array" ref="P277">_xlfn.XLOOKUP($B277,ADP!A2:A671,ADP!G2:G671)</f>
        <v xml:space="preserve"> </v>
      </c>
      <c r="Q277" s="57" cm="1">
        <f t="array" ref="Q277">IF(Settings!$E$12="YES",VLOOKUP(B277,'Player Data'!A1:E673,5,FALSE),84)</f>
        <v>73.81</v>
      </c>
      <c r="R277" s="82" cm="1">
        <f t="array" ref="R277">VLOOKUP(B277,'Player Data'!$A1:$AE673,6,FALSE)</f>
        <v>18.479025284455599</v>
      </c>
      <c r="S277" s="57" cm="1">
        <f t="array" ref="S277">VLOOKUP(B277,'Player Data'!$A1:$AE673,7,FALSE)*$Q277*IFERROR((VLOOKUP(P277,Settings!$E$28:$F$33,2,FALSE)+1),1)</f>
        <v>4.5139464448763373</v>
      </c>
      <c r="T277" s="57" cm="1">
        <f t="array" ref="T277">VLOOKUP(B277,'Player Data'!$A1:$AE673,8,FALSE)*$Q277*IFERROR((VLOOKUP(P277,Settings!$E$28:$F$33,2,FALSE)+1),1)</f>
        <v>16.425021699119718</v>
      </c>
      <c r="U277" s="57" cm="1">
        <f t="array" ref="U277">SUM(S277:T277)</f>
        <v>20.938968143996057</v>
      </c>
      <c r="V277" s="57" cm="1">
        <f t="array" ref="V277">VLOOKUP(B277,'Player Data'!$A1:$AE673,10,FALSE)*$Q277*IFERROR(((VLOOKUP(P277,Settings!$E$28:$F$33,2,FALSE)/2)+1),1)</f>
        <v>114.92812542167326</v>
      </c>
      <c r="W277" s="57" cm="1">
        <f t="array" ref="W277">VLOOKUP(B277,'Player Data'!$A1:$AE673,11,FALSE)*$Q277*IFERROR((VLOOKUP(P277,Settings!$E$28:$F$33,2,FALSE)+1),1)</f>
        <v>6.1839905514793087E-4</v>
      </c>
      <c r="X277" s="57" cm="1">
        <f t="array" ref="X277">VLOOKUP(B277,'Player Data'!$A1:$AE673,12,FALSE)*$Q277*IFERROR((VLOOKUP(P277,Settings!$E$28:$F$33,2,FALSE)+1),1)</f>
        <v>2.3935661904967856E-3</v>
      </c>
      <c r="Y277" s="57" cm="1">
        <f t="array" ref="Y277">VLOOKUP(B277,'Player Data'!$A1:$AE673,13,FALSE)*$Q277</f>
        <v>4.4051133486339177E-2</v>
      </c>
      <c r="Z277" s="57" cm="1">
        <f t="array" ref="Z277">VLOOKUP(B277,'Player Data'!$A1:$AE673,14,FALSE)*$Q277</f>
        <v>0.31795684683158532</v>
      </c>
      <c r="AA277" s="57" cm="1">
        <f t="array" ref="AA277">VLOOKUP(B277,'Player Data'!$A1:$AE673,15,FALSE)*$Q277</f>
        <v>94.947617681326946</v>
      </c>
      <c r="AB277" s="57" cm="1">
        <f t="array" ref="AB277">VLOOKUP(B277,'Player Data'!$A1:$AE673,16,FALSE)*$Q277</f>
        <v>78.52381833460413</v>
      </c>
      <c r="AC277" s="57" cm="1">
        <f t="array" ref="AC277">VLOOKUP(B277,'Player Data'!$A1:$AE673,17,FALSE)*$Q277*IFERROR((VLOOKUP(P277,Settings!$E$28:$F$33,2,FALSE)+1),1)</f>
        <v>-1.2792430976423526</v>
      </c>
      <c r="AD277" s="57" cm="1">
        <f t="array" ref="AD277">VLOOKUP(B277,'Player Data'!$A1:$AE673,18,FALSE)*$Q277</f>
        <v>68.383953192981608</v>
      </c>
      <c r="AE277" s="57" cm="1">
        <f t="array" ref="AE277">VLOOKUP(B277,'Player Data'!$A1:$AE673,19,FALSE)*$Q277*IFERROR((VLOOKUP(P277,Settings!$E$28:$F$33,2,FALSE)+1),1)</f>
        <v>0.63118304810634862</v>
      </c>
      <c r="AF277" s="57" cm="1">
        <f t="array" ref="AF277">VLOOKUP(B277,'Player Data'!$A1:$AE673,20,FALSE)*$Q277</f>
        <v>0</v>
      </c>
      <c r="AG277" s="57" cm="1">
        <f t="array" ref="AG277">VLOOKUP(B277,'Player Data'!$A1:$AE673,21,FALSE)*$Q277</f>
        <v>0</v>
      </c>
      <c r="AH277" s="59" cm="1">
        <f t="array" ref="AH277">VLOOKUP(B277,'Player Data'!$A1:$AE673,22,FALSE)</f>
        <v>0</v>
      </c>
      <c r="AI277" s="55"/>
      <c r="AJ277" s="57"/>
      <c r="AK277" s="57"/>
      <c r="AL277" s="57"/>
      <c r="AM277" s="57"/>
      <c r="AN277" s="57"/>
      <c r="AO277" s="57"/>
      <c r="AP277" s="57"/>
      <c r="AQ277" s="60"/>
      <c r="AR277" s="61"/>
      <c r="AS277" s="55"/>
    </row>
    <row r="278" spans="1:45" ht="21.25" customHeight="1" x14ac:dyDescent="0.15">
      <c r="A278" s="62">
        <f t="shared" si="4"/>
        <v>277</v>
      </c>
      <c r="B278" s="10" t="s">
        <v>406</v>
      </c>
      <c r="C278" s="47" t="s">
        <v>147</v>
      </c>
      <c r="D278" s="48" t="str" cm="1">
        <f t="array" ref="D278">VLOOKUP(B278,'Player Data'!A1:D673,4,FALSE)</f>
        <v>LW,RW</v>
      </c>
      <c r="E278" s="74" cm="1">
        <f t="array" ref="E278">VLOOKUP(B278,RW!A1:F210,3,FALSE)</f>
        <v>79</v>
      </c>
      <c r="F278" s="56" t="str" cm="1">
        <f t="array" ref="F278">VLOOKUP(B278,'Player Data'!A1:B673,2,FALSE)</f>
        <v>NYR</v>
      </c>
      <c r="G278" s="71" cm="1">
        <f t="array" ref="G278">VLOOKUP(B278,'Player Data'!A1:D673,3,FALSE)</f>
        <v>24</v>
      </c>
      <c r="H278" s="67" cm="1">
        <f t="array" ref="H278">IFERROR(VLOOKUP(B278,ADP!A1:F671,6,FALSE)/1000000,VLOOKUP(B278,ADP!A1:F671,6,FALSE))</f>
        <v>3.9</v>
      </c>
      <c r="I278" s="52">
        <f>IF(Settings!$E$15="POINTS",((R278*Q278)*Settings!$B$12)+(S278*Settings!$B$2)+(T278*Settings!$B$3)+(U278*Settings!$B$4)+(V278*Settings!$B$5)+(X278*Settings!$B$9)+(AA278*Settings!$B$6)+(W278*Settings!$B$8)+(AB278*Settings!$B$7)+(AC278*Settings!$B$14)+(AD278*Settings!$B$15)+(AE278*Settings!$B$16)+(AF278*Settings!$B$17)+(AG278*Settings!$B$18)+(Y278*Settings!$B$10)+(Z278*Settings!$B$11),VLOOKUP(B278,'Standard Deviations'!A$1:C$672,3,FALSE))</f>
        <v>256.20299605836851</v>
      </c>
      <c r="J278" s="53" cm="1">
        <f t="array" ref="J278">IF(D278="G",I278/AJ278,I278/Q278)</f>
        <v>3.052579483597861</v>
      </c>
      <c r="K278" s="52" cm="1">
        <f t="array" ref="K278">IF(Settings!$E$18="C/LW/RW",VLOOKUP(B278,RW!A1:F210,6,FALSE),VLOOKUP(B278,F!A1:F407,6,FALSE))</f>
        <v>-138.74046863518896</v>
      </c>
      <c r="L278" s="54" cm="1">
        <f t="array" ref="L278">IFERROR(K278/H278,"N/A")</f>
        <v>-35.574479137227939</v>
      </c>
      <c r="M278" s="85" t="s">
        <v>832</v>
      </c>
      <c r="N278" s="85" t="str" cm="1">
        <f t="array" ref="N278">IFERROR(M278-A278,"N/A")</f>
        <v>N/A</v>
      </c>
      <c r="O278" s="55"/>
      <c r="P278" s="56" t="str" cm="1">
        <f t="array" ref="P278">_xlfn.XLOOKUP($B278,ADP!A2:A671,ADP!G2:G671)</f>
        <v xml:space="preserve"> </v>
      </c>
      <c r="Q278" s="57" cm="1">
        <f t="array" ref="Q278">IF(Settings!$E$12="YES",VLOOKUP(B278,'Player Data'!A1:E673,5,FALSE),84)</f>
        <v>83.93</v>
      </c>
      <c r="R278" s="55" cm="1">
        <f t="array" ref="R278">VLOOKUP(B278,'Player Data'!$A1:$AE673,6,FALSE)</f>
        <v>16.735027801067101</v>
      </c>
      <c r="S278" s="57" cm="1">
        <f t="array" ref="S278">VLOOKUP(B278,'Player Data'!$A1:$AE673,7,FALSE)*$Q278*IFERROR((VLOOKUP(P278,Settings!$E$28:$F$33,2,FALSE)+1),1)</f>
        <v>21.488558899142554</v>
      </c>
      <c r="T278" s="57" cm="1">
        <f t="array" ref="T278">VLOOKUP(B278,'Player Data'!$A1:$AE673,8,FALSE)*$Q278*IFERROR((VLOOKUP(P278,Settings!$E$28:$F$33,2,FALSE)+1),1)</f>
        <v>23.172552453515333</v>
      </c>
      <c r="U278" s="57" cm="1">
        <f t="array" ref="U278">SUM(S278:T278)</f>
        <v>44.661111352657883</v>
      </c>
      <c r="V278" s="57" cm="1">
        <f t="array" ref="V278">VLOOKUP(B278,'Player Data'!$A1:$AE673,10,FALSE)*$Q278*IFERROR(((VLOOKUP(P278,Settings!$E$28:$F$33,2,FALSE)/2)+1),1)</f>
        <v>164.71585955852885</v>
      </c>
      <c r="W278" s="57" cm="1">
        <f t="array" ref="W278">VLOOKUP(B278,'Player Data'!$A1:$AE673,11,FALSE)*$Q278*IFERROR((VLOOKUP(P278,Settings!$E$28:$F$33,2,FALSE)+1),1)</f>
        <v>3.6291863939137494</v>
      </c>
      <c r="X278" s="57" cm="1">
        <f t="array" ref="X278">VLOOKUP(B278,'Player Data'!$A1:$AE673,12,FALSE)*$Q278*IFERROR((VLOOKUP(P278,Settings!$E$28:$F$33,2,FALSE)+1),1)</f>
        <v>7.3527679607413834</v>
      </c>
      <c r="Y278" s="57" cm="1">
        <f t="array" ref="Y278">VLOOKUP(B278,'Player Data'!$A1:$AE673,13,FALSE)*$Q278</f>
        <v>0.82273623233519666</v>
      </c>
      <c r="Z278" s="57" cm="1">
        <f t="array" ref="Z278">VLOOKUP(B278,'Player Data'!$A1:$AE673,14,FALSE)*$Q278</f>
        <v>1.2629162619856884</v>
      </c>
      <c r="AA278" s="57" cm="1">
        <f t="array" ref="AA278">VLOOKUP(B278,'Player Data'!$A1:$AE673,15,FALSE)*$Q278</f>
        <v>62.492095996806775</v>
      </c>
      <c r="AB278" s="57" cm="1">
        <f t="array" ref="AB278">VLOOKUP(B278,'Player Data'!$A1:$AE673,16,FALSE)*$Q278</f>
        <v>287.86715428864136</v>
      </c>
      <c r="AC278" s="57" cm="1">
        <f t="array" ref="AC278">VLOOKUP(B278,'Player Data'!$A1:$AE673,17,FALSE)*$Q278*IFERROR((VLOOKUP(P278,Settings!$E$28:$F$33,2,FALSE)+1),1)</f>
        <v>0.12825108233631785</v>
      </c>
      <c r="AD278" s="57" cm="1">
        <f t="array" ref="AD278">VLOOKUP(B278,'Player Data'!$A1:$AE673,18,FALSE)*$Q278</f>
        <v>55.836353692934992</v>
      </c>
      <c r="AE278" s="57" cm="1">
        <f t="array" ref="AE278">VLOOKUP(B278,'Player Data'!$A1:$AE673,19,FALSE)*$Q278*IFERROR((VLOOKUP(P278,Settings!$E$28:$F$33,2,FALSE)+1),1)</f>
        <v>3.3759340885495805</v>
      </c>
      <c r="AF278" s="57" cm="1">
        <f t="array" ref="AF278">VLOOKUP(B278,'Player Data'!$A1:$AE673,20,FALSE)*$Q278</f>
        <v>27.246251155813294</v>
      </c>
      <c r="AG278" s="57" cm="1">
        <f t="array" ref="AG278">VLOOKUP(B278,'Player Data'!$A1:$AE673,21,FALSE)*$Q278</f>
        <v>46.57849219622868</v>
      </c>
      <c r="AH278" s="59" cm="1">
        <f t="array" ref="AH278">VLOOKUP(B278,'Player Data'!$A1:$AE673,22,FALSE)</f>
        <v>0.36906665595688298</v>
      </c>
      <c r="AI278" s="55"/>
      <c r="AJ278" s="57"/>
      <c r="AK278" s="57"/>
      <c r="AL278" s="57"/>
      <c r="AM278" s="57"/>
      <c r="AN278" s="57"/>
      <c r="AO278" s="57"/>
      <c r="AP278" s="57"/>
      <c r="AQ278" s="60"/>
      <c r="AR278" s="61"/>
      <c r="AS278" s="55"/>
    </row>
    <row r="279" spans="1:45" ht="21.25" customHeight="1" x14ac:dyDescent="0.15">
      <c r="A279" s="62">
        <f t="shared" si="4"/>
        <v>278</v>
      </c>
      <c r="B279" s="10" t="s">
        <v>407</v>
      </c>
      <c r="C279" s="47" t="s">
        <v>147</v>
      </c>
      <c r="D279" s="48" t="str" cm="1">
        <f t="array" ref="D279">VLOOKUP(B279,'Player Data'!A1:D673,4,FALSE)</f>
        <v>D</v>
      </c>
      <c r="E279" s="68" cm="1">
        <f t="array" ref="E279">VLOOKUP(B279,D!A1:C204,3,FALSE)</f>
        <v>111</v>
      </c>
      <c r="F279" s="72" t="str" cm="1">
        <f t="array" ref="F279">VLOOKUP(B279,'Player Data'!A1:B673,2,FALSE)</f>
        <v>BOS</v>
      </c>
      <c r="G279" s="11" cm="1">
        <f t="array" ref="G279">VLOOKUP(B279,'Player Data'!A1:D673,3,FALSE)</f>
        <v>25</v>
      </c>
      <c r="H279" s="67" cm="1">
        <f t="array" ref="H279">IFERROR(VLOOKUP(B279,ADP!A1:F671,6,FALSE)/1000000,VLOOKUP(B279,ADP!A1:F671,6,FALSE))</f>
        <v>3.2</v>
      </c>
      <c r="I279" s="52">
        <f>IF(Settings!$E$15="POINTS",((R279*Q279)*Settings!$B$12)+(S279*Settings!$B$2)+(T279*Settings!$B$3)+(U279*Settings!$B$4)+(V279*Settings!$B$5)+(X279*Settings!$B$9)+(AA279*Settings!$B$6)+(W279*Settings!$B$8)+(AB279*Settings!$B$7)+(AC279*Settings!$B$14)+(AD279*Settings!$B$15)+(AE279*Settings!$B$16)+(AF279*Settings!$B$17)+(AG279*Settings!$B$18)+(U279*Settings!$B$13)+(Y279*Settings!$B$10)+(Z279*Settings!$B$11),VLOOKUP(B279,'Standard Deviations'!A$1:C$672,3,FALSE))</f>
        <v>167.69615604831961</v>
      </c>
      <c r="J279" s="53" cm="1">
        <f t="array" ref="J279">IF(D279="G",I279/AJ279,I279/Q279)</f>
        <v>2.1597804887413177</v>
      </c>
      <c r="K279" s="52" cm="1">
        <f t="array" ref="K279">VLOOKUP(B279,D!A1:F204,6,FALSE)</f>
        <v>-138.95771129627445</v>
      </c>
      <c r="L279" s="54" cm="1">
        <f t="array" ref="L279">IFERROR(K279/H279,"N/A")</f>
        <v>-43.424284780085763</v>
      </c>
      <c r="M279" s="85" t="s">
        <v>832</v>
      </c>
      <c r="N279" s="85" t="str" cm="1">
        <f t="array" ref="N279">IFERROR(M279-A279,"N/A")</f>
        <v>N/A</v>
      </c>
      <c r="O279" s="55"/>
      <c r="P279" s="56" t="str" cm="1">
        <f t="array" ref="P279">_xlfn.XLOOKUP($B279,ADP!A2:A671,ADP!G2:G671)</f>
        <v xml:space="preserve"> </v>
      </c>
      <c r="Q279" s="57" cm="1">
        <f t="array" ref="Q279">IF(Settings!$E$12="YES",VLOOKUP(B279,'Player Data'!A1:E673,5,FALSE),84)</f>
        <v>77.644999999999996</v>
      </c>
      <c r="R279" s="55" cm="1">
        <f t="array" ref="R279">VLOOKUP(B279,'Player Data'!$A1:$AE673,6,FALSE)</f>
        <v>16.076794311883699</v>
      </c>
      <c r="S279" s="57" cm="1">
        <f t="array" ref="S279">VLOOKUP(B279,'Player Data'!$A1:$AE673,7,FALSE)*$Q279*IFERROR((VLOOKUP(P279,Settings!$E$28:$F$33,2,FALSE)+1),1)</f>
        <v>5.6715365495078176</v>
      </c>
      <c r="T279" s="57" cm="1">
        <f t="array" ref="T279">VLOOKUP(B279,'Player Data'!$A1:$AE673,8,FALSE)*$Q279*IFERROR((VLOOKUP(P279,Settings!$E$28:$F$33,2,FALSE)+1),1)</f>
        <v>20.059807868659782</v>
      </c>
      <c r="U279" s="57" cm="1">
        <f t="array" ref="U279">SUM(S279:T279)</f>
        <v>25.731344418167598</v>
      </c>
      <c r="V279" s="57" cm="1">
        <f t="array" ref="V279">VLOOKUP(B279,'Player Data'!$A1:$AE673,10,FALSE)*$Q279*IFERROR(((VLOOKUP(P279,Settings!$E$28:$F$33,2,FALSE)/2)+1),1)</f>
        <v>74.79918647186139</v>
      </c>
      <c r="W279" s="57" cm="1">
        <f t="array" ref="W279">VLOOKUP(B279,'Player Data'!$A1:$AE673,11,FALSE)*$Q279*IFERROR((VLOOKUP(P279,Settings!$E$28:$F$33,2,FALSE)+1),1)</f>
        <v>1.492744337187103</v>
      </c>
      <c r="X279" s="57" cm="1">
        <f t="array" ref="X279">VLOOKUP(B279,'Player Data'!$A1:$AE673,12,FALSE)*$Q279*IFERROR((VLOOKUP(P279,Settings!$E$28:$F$33,2,FALSE)+1),1)</f>
        <v>8.310019469388001</v>
      </c>
      <c r="Y279" s="57" cm="1">
        <f t="array" ref="Y279">VLOOKUP(B279,'Player Data'!$A1:$AE673,13,FALSE)*$Q279</f>
        <v>5.9048946794193029E-3</v>
      </c>
      <c r="Z279" s="57" cm="1">
        <f t="array" ref="Z279">VLOOKUP(B279,'Player Data'!$A1:$AE673,14,FALSE)*$Q279</f>
        <v>2.0166147955771749E-2</v>
      </c>
      <c r="AA279" s="57" cm="1">
        <f t="array" ref="AA279">VLOOKUP(B279,'Player Data'!$A1:$AE673,15,FALSE)*$Q279</f>
        <v>89.544687881084727</v>
      </c>
      <c r="AB279" s="57" cm="1">
        <f t="array" ref="AB279">VLOOKUP(B279,'Player Data'!$A1:$AE673,16,FALSE)*$Q279</f>
        <v>41.935434944993716</v>
      </c>
      <c r="AC279" s="57" cm="1">
        <f t="array" ref="AC279">VLOOKUP(B279,'Player Data'!$A1:$AE673,17,FALSE)*$Q279*IFERROR((VLOOKUP(P279,Settings!$E$28:$F$33,2,FALSE)+1),1)</f>
        <v>-2.019457060809275</v>
      </c>
      <c r="AD279" s="57" cm="1">
        <f t="array" ref="AD279">VLOOKUP(B279,'Player Data'!$A1:$AE673,18,FALSE)*$Q279</f>
        <v>22.075072005111021</v>
      </c>
      <c r="AE279" s="57" cm="1">
        <f t="array" ref="AE279">VLOOKUP(B279,'Player Data'!$A1:$AE673,19,FALSE)*$Q279*IFERROR((VLOOKUP(P279,Settings!$E$28:$F$33,2,FALSE)+1),1)</f>
        <v>0.76351178138959297</v>
      </c>
      <c r="AF279" s="57" cm="1">
        <f t="array" ref="AF279">VLOOKUP(B279,'Player Data'!$A1:$AE673,20,FALSE)*$Q279</f>
        <v>0</v>
      </c>
      <c r="AG279" s="57" cm="1">
        <f t="array" ref="AG279">VLOOKUP(B279,'Player Data'!$A1:$AE673,21,FALSE)*$Q279</f>
        <v>0</v>
      </c>
      <c r="AH279" s="59" cm="1">
        <f t="array" ref="AH279">VLOOKUP(B279,'Player Data'!$A1:$AE673,22,FALSE)</f>
        <v>0</v>
      </c>
      <c r="AI279" s="55"/>
      <c r="AJ279" s="57"/>
      <c r="AK279" s="57"/>
      <c r="AL279" s="57"/>
      <c r="AM279" s="57"/>
      <c r="AN279" s="57"/>
      <c r="AO279" s="57"/>
      <c r="AP279" s="57"/>
      <c r="AQ279" s="60"/>
      <c r="AR279" s="61"/>
      <c r="AS279" s="55"/>
    </row>
    <row r="280" spans="1:45" ht="21.25" customHeight="1" x14ac:dyDescent="0.15">
      <c r="A280" s="62">
        <f t="shared" si="4"/>
        <v>279</v>
      </c>
      <c r="B280" s="10" t="s">
        <v>408</v>
      </c>
      <c r="C280" s="47" t="s">
        <v>147</v>
      </c>
      <c r="D280" s="48" t="str" cm="1">
        <f t="array" ref="D280">VLOOKUP(B280,'Player Data'!A1:D673,4,FALSE)</f>
        <v>C,LW,RW</v>
      </c>
      <c r="E280" s="74" cm="1">
        <f t="array" ref="E280">VLOOKUP(B280,RW!A1:F210,3,FALSE)</f>
        <v>80</v>
      </c>
      <c r="F280" s="65" t="str" cm="1">
        <f t="array" ref="F280">VLOOKUP(B280,'Player Data'!A1:B673,2,FALSE)</f>
        <v>STL</v>
      </c>
      <c r="G280" s="66" cm="1">
        <f t="array" ref="G280">VLOOKUP(B280,'Player Data'!A1:D673,3,FALSE)</f>
        <v>31</v>
      </c>
      <c r="H280" s="51" cm="1">
        <f t="array" ref="H280">IFERROR(VLOOKUP(B280,ADP!A1:F671,6,FALSE)/1000000,VLOOKUP(B280,ADP!A1:F671,6,FALSE))</f>
        <v>8</v>
      </c>
      <c r="I280" s="52">
        <f>IF(Settings!$E$15="POINTS",((R280*Q280)*Settings!$B$12)+(S280*Settings!$B$2)+(T280*Settings!$B$3)+(U280*Settings!$B$4)+(V280*Settings!$B$5)+(X280*Settings!$B$9)+(AA280*Settings!$B$6)+(W280*Settings!$B$8)+(AB280*Settings!$B$7)+(AC280*Settings!$B$14)+(AD280*Settings!$B$15)+(AE280*Settings!$B$16)+(AF280*Settings!$B$17)+(AG280*Settings!$B$18)+(Y280*Settings!$B$10)+(Z280*Settings!$B$11),VLOOKUP(B280,'Standard Deviations'!A$1:C$672,3,FALSE))</f>
        <v>255.80639228294342</v>
      </c>
      <c r="J280" s="53" cm="1">
        <f t="array" ref="J280">IF(D280="G",I280/AJ280,I280/Q280)</f>
        <v>3.0884234376619291</v>
      </c>
      <c r="K280" s="52" cm="1">
        <f t="array" ref="K280">IF(Settings!$E$18="C/LW/RW",VLOOKUP(B280,RW!A1:F210,6,FALSE),VLOOKUP(B280,F!A1:F407,6,FALSE))</f>
        <v>-139.13707241061405</v>
      </c>
      <c r="L280" s="54" cm="1">
        <f t="array" ref="L280">IFERROR(K280/H280,"N/A")</f>
        <v>-17.392134051326757</v>
      </c>
      <c r="M280" s="85" t="s">
        <v>832</v>
      </c>
      <c r="N280" s="85" t="str" cm="1">
        <f t="array" ref="N280">IFERROR(M280-A280,"N/A")</f>
        <v>N/A</v>
      </c>
      <c r="O280" s="55"/>
      <c r="P280" s="56" t="str" cm="1">
        <f t="array" ref="P280">_xlfn.XLOOKUP($B280,ADP!A2:A671,ADP!G2:G671)</f>
        <v xml:space="preserve"> </v>
      </c>
      <c r="Q280" s="57" cm="1">
        <f t="array" ref="Q280">IF(Settings!$E$12="YES",VLOOKUP(B280,'Player Data'!A1:E673,5,FALSE),84)</f>
        <v>82.827500000000001</v>
      </c>
      <c r="R280" s="55" cm="1">
        <f t="array" ref="R280">VLOOKUP(B280,'Player Data'!$A1:$AE673,6,FALSE)</f>
        <v>17.126748116828502</v>
      </c>
      <c r="S280" s="57" cm="1">
        <f t="array" ref="S280">VLOOKUP(B280,'Player Data'!$A1:$AE673,7,FALSE)*$Q280*IFERROR((VLOOKUP(P280,Settings!$E$28:$F$33,2,FALSE)+1),1)</f>
        <v>20.167423510400734</v>
      </c>
      <c r="T280" s="57" cm="1">
        <f t="array" ref="T280">VLOOKUP(B280,'Player Data'!$A1:$AE673,8,FALSE)*$Q280*IFERROR((VLOOKUP(P280,Settings!$E$28:$F$33,2,FALSE)+1),1)</f>
        <v>29.747201601935895</v>
      </c>
      <c r="U280" s="57" cm="1">
        <f t="array" ref="U280">SUM(S280:T280)</f>
        <v>49.91462511233663</v>
      </c>
      <c r="V280" s="57" cm="1">
        <f t="array" ref="V280">VLOOKUP(B280,'Player Data'!$A1:$AE673,10,FALSE)*$Q280*IFERROR(((VLOOKUP(P280,Settings!$E$28:$F$33,2,FALSE)/2)+1),1)</f>
        <v>148.34951881707775</v>
      </c>
      <c r="W280" s="57" cm="1">
        <f t="array" ref="W280">VLOOKUP(B280,'Player Data'!$A1:$AE673,11,FALSE)*$Q280*IFERROR((VLOOKUP(P280,Settings!$E$28:$F$33,2,FALSE)+1),1)</f>
        <v>3.6986623505170892</v>
      </c>
      <c r="X280" s="57" cm="1">
        <f t="array" ref="X280">VLOOKUP(B280,'Player Data'!$A1:$AE673,12,FALSE)*$Q280*IFERROR((VLOOKUP(P280,Settings!$E$28:$F$33,2,FALSE)+1),1)</f>
        <v>11.813456000141679</v>
      </c>
      <c r="Y280" s="57" cm="1">
        <f t="array" ref="Y280">VLOOKUP(B280,'Player Data'!$A1:$AE673,13,FALSE)*$Q280</f>
        <v>0.45681647420780802</v>
      </c>
      <c r="Z280" s="57" cm="1">
        <f t="array" ref="Z280">VLOOKUP(B280,'Player Data'!$A1:$AE673,14,FALSE)*$Q280</f>
        <v>1.3094939503782403</v>
      </c>
      <c r="AA280" s="57" cm="1">
        <f t="array" ref="AA280">VLOOKUP(B280,'Player Data'!$A1:$AE673,15,FALSE)*$Q280</f>
        <v>37.529615173749455</v>
      </c>
      <c r="AB280" s="57" cm="1">
        <f t="array" ref="AB280">VLOOKUP(B280,'Player Data'!$A1:$AE673,16,FALSE)*$Q280</f>
        <v>40.382761666714117</v>
      </c>
      <c r="AC280" s="57" cm="1">
        <f t="array" ref="AC280">VLOOKUP(B280,'Player Data'!$A1:$AE673,17,FALSE)*$Q280*IFERROR((VLOOKUP(P280,Settings!$E$28:$F$33,2,FALSE)+1),1)</f>
        <v>-0.89653825638266271</v>
      </c>
      <c r="AD280" s="57" cm="1">
        <f t="array" ref="AD280">VLOOKUP(B280,'Player Data'!$A1:$AE673,18,FALSE)*$Q280</f>
        <v>29.005746955308524</v>
      </c>
      <c r="AE280" s="57" cm="1">
        <f t="array" ref="AE280">VLOOKUP(B280,'Player Data'!$A1:$AE673,19,FALSE)*$Q280*IFERROR((VLOOKUP(P280,Settings!$E$28:$F$33,2,FALSE)+1),1)</f>
        <v>2.9079618572168755</v>
      </c>
      <c r="AF280" s="57" cm="1">
        <f t="array" ref="AF280">VLOOKUP(B280,'Player Data'!$A1:$AE673,20,FALSE)*$Q280</f>
        <v>85.261151520431653</v>
      </c>
      <c r="AG280" s="57" cm="1">
        <f t="array" ref="AG280">VLOOKUP(B280,'Player Data'!$A1:$AE673,21,FALSE)*$Q280</f>
        <v>125.47834142970498</v>
      </c>
      <c r="AH280" s="59" cm="1">
        <f t="array" ref="AH280">VLOOKUP(B280,'Player Data'!$A1:$AE673,22,FALSE)</f>
        <v>0.404580794643011</v>
      </c>
      <c r="AI280" s="55"/>
      <c r="AJ280" s="57"/>
      <c r="AK280" s="57"/>
      <c r="AL280" s="57"/>
      <c r="AM280" s="57"/>
      <c r="AN280" s="57"/>
      <c r="AO280" s="57"/>
      <c r="AP280" s="57"/>
      <c r="AQ280" s="60"/>
      <c r="AR280" s="61"/>
      <c r="AS280" s="55"/>
    </row>
    <row r="281" spans="1:45" ht="21.25" customHeight="1" x14ac:dyDescent="0.15">
      <c r="A281" s="62">
        <f t="shared" si="4"/>
        <v>280</v>
      </c>
      <c r="B281" s="10" t="s">
        <v>409</v>
      </c>
      <c r="C281" s="47" t="s">
        <v>147</v>
      </c>
      <c r="D281" s="48" t="str" cm="1">
        <f t="array" ref="D281">VLOOKUP(B281,'Player Data'!A1:D673,4,FALSE)</f>
        <v>D</v>
      </c>
      <c r="E281" s="68" cm="1">
        <f t="array" ref="E281">VLOOKUP(B281,D!A1:C204,3,FALSE)</f>
        <v>112</v>
      </c>
      <c r="F281" s="63" t="str" cm="1">
        <f t="array" ref="F281">VLOOKUP(B281,'Player Data'!A1:B673,2,FALSE)</f>
        <v>CGY</v>
      </c>
      <c r="G281" s="11" cm="1">
        <f t="array" ref="G281">VLOOKUP(B281,'Player Data'!A1:D673,3,FALSE)</f>
        <v>30</v>
      </c>
      <c r="H281" s="51" cm="1">
        <f t="array" ref="H281">IFERROR(VLOOKUP(B281,ADP!A1:F671,6,FALSE)/1000000,VLOOKUP(B281,ADP!A1:F671,6,FALSE))</f>
        <v>4.3499999999999996</v>
      </c>
      <c r="I281" s="52">
        <f>IF(Settings!$E$15="POINTS",((R281*Q281)*Settings!$B$12)+(S281*Settings!$B$2)+(T281*Settings!$B$3)+(U281*Settings!$B$4)+(V281*Settings!$B$5)+(X281*Settings!$B$9)+(AA281*Settings!$B$6)+(W281*Settings!$B$8)+(AB281*Settings!$B$7)+(AC281*Settings!$B$14)+(AD281*Settings!$B$15)+(AE281*Settings!$B$16)+(AF281*Settings!$B$17)+(AG281*Settings!$B$18)+(U281*Settings!$B$13)+(Y281*Settings!$B$10)+(Z281*Settings!$B$11),VLOOKUP(B281,'Standard Deviations'!A$1:C$672,3,FALSE))</f>
        <v>167.01420778565125</v>
      </c>
      <c r="J281" s="53" cm="1">
        <f t="array" ref="J281">IF(D281="G",I281/AJ281,I281/Q281)</f>
        <v>2.074066535680239</v>
      </c>
      <c r="K281" s="52" cm="1">
        <f t="array" ref="K281">VLOOKUP(B281,D!A1:F204,6,FALSE)</f>
        <v>-139.63965955894281</v>
      </c>
      <c r="L281" s="54" cm="1">
        <f t="array" ref="L281">IFERROR(K281/H281,"N/A")</f>
        <v>-32.101071162975359</v>
      </c>
      <c r="M281" s="85" t="s">
        <v>832</v>
      </c>
      <c r="N281" s="85" t="str" cm="1">
        <f t="array" ref="N281">IFERROR(M281-A281,"N/A")</f>
        <v>N/A</v>
      </c>
      <c r="O281" s="55"/>
      <c r="P281" s="56" t="str" cm="1">
        <f t="array" ref="P281">_xlfn.XLOOKUP($B281,ADP!A2:A671,ADP!G2:G671)</f>
        <v xml:space="preserve"> </v>
      </c>
      <c r="Q281" s="57" cm="1">
        <f t="array" ref="Q281">IF(Settings!$E$12="YES",VLOOKUP(B281,'Player Data'!A1:E673,5,FALSE),84)</f>
        <v>80.525000000000006</v>
      </c>
      <c r="R281" s="82" cm="1">
        <f t="array" ref="R281">VLOOKUP(B281,'Player Data'!$A1:$AE673,6,FALSE)</f>
        <v>19.3061622783625</v>
      </c>
      <c r="S281" s="57" cm="1">
        <f t="array" ref="S281">VLOOKUP(B281,'Player Data'!$A1:$AE673,7,FALSE)*$Q281*IFERROR((VLOOKUP(P281,Settings!$E$28:$F$33,2,FALSE)+1),1)</f>
        <v>4.1314815006461165</v>
      </c>
      <c r="T281" s="57" cm="1">
        <f t="array" ref="T281">VLOOKUP(B281,'Player Data'!$A1:$AE673,8,FALSE)*$Q281*IFERROR((VLOOKUP(P281,Settings!$E$28:$F$33,2,FALSE)+1),1)</f>
        <v>14.605468735359112</v>
      </c>
      <c r="U281" s="57" cm="1">
        <f t="array" ref="U281">SUM(S281:T281)</f>
        <v>18.736950236005228</v>
      </c>
      <c r="V281" s="57" cm="1">
        <f t="array" ref="V281">VLOOKUP(B281,'Player Data'!$A1:$AE673,10,FALSE)*$Q281*IFERROR(((VLOOKUP(P281,Settings!$E$28:$F$33,2,FALSE)/2)+1),1)</f>
        <v>76.569675107041249</v>
      </c>
      <c r="W281" s="57" cm="1">
        <f t="array" ref="W281">VLOOKUP(B281,'Player Data'!$A1:$AE673,11,FALSE)*$Q281*IFERROR((VLOOKUP(P281,Settings!$E$28:$F$33,2,FALSE)+1),1)</f>
        <v>3.2298690889781068E-3</v>
      </c>
      <c r="X281" s="57" cm="1">
        <f t="array" ref="X281">VLOOKUP(B281,'Player Data'!$A1:$AE673,12,FALSE)*$Q281*IFERROR((VLOOKUP(P281,Settings!$E$28:$F$33,2,FALSE)+1),1)</f>
        <v>2.96217511839574E-2</v>
      </c>
      <c r="Y281" s="57" cm="1">
        <f t="array" ref="Y281">VLOOKUP(B281,'Player Data'!$A1:$AE673,13,FALSE)*$Q281</f>
        <v>2.0382031719083555E-2</v>
      </c>
      <c r="Z281" s="57" cm="1">
        <f t="array" ref="Z281">VLOOKUP(B281,'Player Data'!$A1:$AE673,14,FALSE)*$Q281</f>
        <v>0.31169689786254551</v>
      </c>
      <c r="AA281" s="57" cm="1">
        <f t="array" ref="AA281">VLOOKUP(B281,'Player Data'!$A1:$AE673,15,FALSE)*$Q281</f>
        <v>144.35440175013687</v>
      </c>
      <c r="AB281" s="57" cm="1">
        <f t="array" ref="AB281">VLOOKUP(B281,'Player Data'!$A1:$AE673,16,FALSE)*$Q281</f>
        <v>97.944017552544778</v>
      </c>
      <c r="AC281" s="57" cm="1">
        <f t="array" ref="AC281">VLOOKUP(B281,'Player Data'!$A1:$AE673,17,FALSE)*$Q281*IFERROR((VLOOKUP(P281,Settings!$E$28:$F$33,2,FALSE)+1),1)</f>
        <v>-7.997206420447708</v>
      </c>
      <c r="AD281" s="57" cm="1">
        <f t="array" ref="AD281">VLOOKUP(B281,'Player Data'!$A1:$AE673,18,FALSE)*$Q281</f>
        <v>60.342968351822826</v>
      </c>
      <c r="AE281" s="57" cm="1">
        <f t="array" ref="AE281">VLOOKUP(B281,'Player Data'!$A1:$AE673,19,FALSE)*$Q281*IFERROR((VLOOKUP(P281,Settings!$E$28:$F$33,2,FALSE)+1),1)</f>
        <v>0.59400362404526508</v>
      </c>
      <c r="AF281" s="57" cm="1">
        <f t="array" ref="AF281">VLOOKUP(B281,'Player Data'!$A1:$AE673,20,FALSE)*$Q281</f>
        <v>0</v>
      </c>
      <c r="AG281" s="57" cm="1">
        <f t="array" ref="AG281">VLOOKUP(B281,'Player Data'!$A1:$AE673,21,FALSE)*$Q281</f>
        <v>0</v>
      </c>
      <c r="AH281" s="59" cm="1">
        <f t="array" ref="AH281">VLOOKUP(B281,'Player Data'!$A1:$AE673,22,FALSE)</f>
        <v>0</v>
      </c>
      <c r="AI281" s="55"/>
      <c r="AJ281" s="57"/>
      <c r="AK281" s="57"/>
      <c r="AL281" s="57"/>
      <c r="AM281" s="57"/>
      <c r="AN281" s="57"/>
      <c r="AO281" s="57"/>
      <c r="AP281" s="57"/>
      <c r="AQ281" s="60"/>
      <c r="AR281" s="61"/>
      <c r="AS281" s="55"/>
    </row>
    <row r="282" spans="1:45" ht="21.25" customHeight="1" x14ac:dyDescent="0.15">
      <c r="A282" s="62">
        <f t="shared" si="4"/>
        <v>281</v>
      </c>
      <c r="B282" s="10" t="s">
        <v>410</v>
      </c>
      <c r="C282" s="47" t="s">
        <v>147</v>
      </c>
      <c r="D282" s="48" t="str" cm="1">
        <f t="array" ref="D282">VLOOKUP(B282,'Player Data'!A1:D673,4,FALSE)</f>
        <v>D</v>
      </c>
      <c r="E282" s="68" cm="1">
        <f t="array" ref="E282">VLOOKUP(B282,D!A1:C204,3,FALSE)</f>
        <v>113</v>
      </c>
      <c r="F282" s="63" t="str" cm="1">
        <f t="array" ref="F282">VLOOKUP(B282,'Player Data'!A1:B673,2,FALSE)</f>
        <v>CGY</v>
      </c>
      <c r="G282" s="11" cm="1">
        <f t="array" ref="G282">VLOOKUP(B282,'Player Data'!A1:D673,3,FALSE)</f>
        <v>26</v>
      </c>
      <c r="H282" s="51" cm="1">
        <f t="array" ref="H282">IFERROR(VLOOKUP(B282,ADP!A1:F671,6,FALSE)/1000000,VLOOKUP(B282,ADP!A1:F671,6,FALSE))</f>
        <v>5.35</v>
      </c>
      <c r="I282" s="52">
        <f>IF(Settings!$E$15="POINTS",((R282*Q282)*Settings!$B$12)+(S282*Settings!$B$2)+(T282*Settings!$B$3)+(U282*Settings!$B$4)+(V282*Settings!$B$5)+(X282*Settings!$B$9)+(AA282*Settings!$B$6)+(W282*Settings!$B$8)+(AB282*Settings!$B$7)+(AC282*Settings!$B$14)+(AD282*Settings!$B$15)+(AE282*Settings!$B$16)+(AF282*Settings!$B$17)+(AG282*Settings!$B$18)+(U282*Settings!$B$13)+(Y282*Settings!$B$10)+(Z282*Settings!$B$11),VLOOKUP(B282,'Standard Deviations'!A$1:C$672,3,FALSE))</f>
        <v>166.77867968268023</v>
      </c>
      <c r="J282" s="53" cm="1">
        <f t="array" ref="J282">IF(D282="G",I282/AJ282,I282/Q282)</f>
        <v>2.0406678251834478</v>
      </c>
      <c r="K282" s="52" cm="1">
        <f t="array" ref="K282">VLOOKUP(B282,D!A1:F204,6,FALSE)</f>
        <v>-139.87518766191383</v>
      </c>
      <c r="L282" s="54" cm="1">
        <f t="array" ref="L282">IFERROR(K282/H282,"N/A")</f>
        <v>-26.144894890077353</v>
      </c>
      <c r="M282" s="85" t="s">
        <v>832</v>
      </c>
      <c r="N282" s="85" t="str" cm="1">
        <f t="array" ref="N282">IFERROR(M282-A282,"N/A")</f>
        <v>N/A</v>
      </c>
      <c r="O282" s="55"/>
      <c r="P282" s="56" t="str" cm="1">
        <f t="array" ref="P282">_xlfn.XLOOKUP($B282,ADP!A2:A671,ADP!G2:G671)</f>
        <v xml:space="preserve"> </v>
      </c>
      <c r="Q282" s="57" cm="1">
        <f t="array" ref="Q282">IF(Settings!$E$12="YES",VLOOKUP(B282,'Player Data'!A1:E673,5,FALSE),84)</f>
        <v>81.727500000000006</v>
      </c>
      <c r="R282" s="55" cm="1">
        <f t="array" ref="R282">VLOOKUP(B282,'Player Data'!$A1:$AE673,6,FALSE)</f>
        <v>22.2042744469071</v>
      </c>
      <c r="S282" s="57" cm="1">
        <f t="array" ref="S282">VLOOKUP(B282,'Player Data'!$A1:$AE673,7,FALSE)*$Q282*IFERROR((VLOOKUP(P282,Settings!$E$28:$F$33,2,FALSE)+1),1)</f>
        <v>3.8391901215456823</v>
      </c>
      <c r="T282" s="57" cm="1">
        <f t="array" ref="T282">VLOOKUP(B282,'Player Data'!$A1:$AE673,8,FALSE)*$Q282*IFERROR((VLOOKUP(P282,Settings!$E$28:$F$33,2,FALSE)+1),1)</f>
        <v>18.012247266759804</v>
      </c>
      <c r="U282" s="57" cm="1">
        <f t="array" ref="U282">SUM(S282:T282)</f>
        <v>21.851437388305484</v>
      </c>
      <c r="V282" s="57" cm="1">
        <f t="array" ref="V282">VLOOKUP(B282,'Player Data'!$A1:$AE673,10,FALSE)*$Q282*IFERROR(((VLOOKUP(P282,Settings!$E$28:$F$33,2,FALSE)/2)+1),1)</f>
        <v>78.179092180784338</v>
      </c>
      <c r="W282" s="57" cm="1">
        <f t="array" ref="W282">VLOOKUP(B282,'Player Data'!$A1:$AE673,11,FALSE)*$Q282*IFERROR((VLOOKUP(P282,Settings!$E$28:$F$33,2,FALSE)+1),1)</f>
        <v>0.23923346502582998</v>
      </c>
      <c r="X282" s="57" cm="1">
        <f t="array" ref="X282">VLOOKUP(B282,'Player Data'!$A1:$AE673,12,FALSE)*$Q282*IFERROR((VLOOKUP(P282,Settings!$E$28:$F$33,2,FALSE)+1),1)</f>
        <v>0.8195170697173878</v>
      </c>
      <c r="Y282" s="57" cm="1">
        <f t="array" ref="Y282">VLOOKUP(B282,'Player Data'!$A1:$AE673,13,FALSE)*$Q282</f>
        <v>2.6222293033857591E-2</v>
      </c>
      <c r="Z282" s="57" cm="1">
        <f t="array" ref="Z282">VLOOKUP(B282,'Player Data'!$A1:$AE673,14,FALSE)*$Q282</f>
        <v>0.71779324219947704</v>
      </c>
      <c r="AA282" s="57" cm="1">
        <f t="array" ref="AA282">VLOOKUP(B282,'Player Data'!$A1:$AE673,15,FALSE)*$Q282</f>
        <v>121.19502223090944</v>
      </c>
      <c r="AB282" s="57" cm="1">
        <f t="array" ref="AB282">VLOOKUP(B282,'Player Data'!$A1:$AE673,16,FALSE)*$Q282</f>
        <v>118.51039519218384</v>
      </c>
      <c r="AC282" s="57" cm="1">
        <f t="array" ref="AC282">VLOOKUP(B282,'Player Data'!$A1:$AE673,17,FALSE)*$Q282*IFERROR((VLOOKUP(P282,Settings!$E$28:$F$33,2,FALSE)+1),1)</f>
        <v>-9.4440055834504957</v>
      </c>
      <c r="AD282" s="57" cm="1">
        <f t="array" ref="AD282">VLOOKUP(B282,'Player Data'!$A1:$AE673,18,FALSE)*$Q282</f>
        <v>51.660134908258613</v>
      </c>
      <c r="AE282" s="57" cm="1">
        <f t="array" ref="AE282">VLOOKUP(B282,'Player Data'!$A1:$AE673,19,FALSE)*$Q282*IFERROR((VLOOKUP(P282,Settings!$E$28:$F$33,2,FALSE)+1),1)</f>
        <v>0.55197944012100164</v>
      </c>
      <c r="AF282" s="57" cm="1">
        <f t="array" ref="AF282">VLOOKUP(B282,'Player Data'!$A1:$AE673,20,FALSE)*$Q282</f>
        <v>0</v>
      </c>
      <c r="AG282" s="57" cm="1">
        <f t="array" ref="AG282">VLOOKUP(B282,'Player Data'!$A1:$AE673,21,FALSE)*$Q282</f>
        <v>0</v>
      </c>
      <c r="AH282" s="59" cm="1">
        <f t="array" ref="AH282">VLOOKUP(B282,'Player Data'!$A1:$AE673,22,FALSE)</f>
        <v>0</v>
      </c>
      <c r="AI282" s="55"/>
      <c r="AJ282" s="57"/>
      <c r="AK282" s="57"/>
      <c r="AL282" s="57"/>
      <c r="AM282" s="57"/>
      <c r="AN282" s="57"/>
      <c r="AO282" s="57"/>
      <c r="AP282" s="57"/>
      <c r="AQ282" s="60"/>
      <c r="AR282" s="61"/>
      <c r="AS282" s="55"/>
    </row>
    <row r="283" spans="1:45" ht="21.25" customHeight="1" x14ac:dyDescent="0.15">
      <c r="A283" s="62">
        <f t="shared" si="4"/>
        <v>282</v>
      </c>
      <c r="B283" s="10" t="s">
        <v>411</v>
      </c>
      <c r="C283" s="47" t="s">
        <v>147</v>
      </c>
      <c r="D283" s="48" t="str" cm="1">
        <f t="array" ref="D283">VLOOKUP(B283,'Player Data'!A1:D673,4,FALSE)</f>
        <v>D</v>
      </c>
      <c r="E283" s="68" cm="1">
        <f t="array" ref="E283">VLOOKUP(B283,D!A1:C204,3,FALSE)</f>
        <v>114</v>
      </c>
      <c r="F283" s="72" t="str" cm="1">
        <f t="array" ref="F283">VLOOKUP(B283,'Player Data'!A1:B673,2,FALSE)</f>
        <v>NYI</v>
      </c>
      <c r="G283" s="66" cm="1">
        <f t="array" ref="G283">VLOOKUP(B283,'Player Data'!A1:D673,3,FALSE)</f>
        <v>32</v>
      </c>
      <c r="H283" s="51" cm="1">
        <f t="array" ref="H283">IFERROR(VLOOKUP(B283,ADP!A1:F671,6,FALSE)/1000000,VLOOKUP(B283,ADP!A1:F671,6,FALSE))</f>
        <v>5.75</v>
      </c>
      <c r="I283" s="52">
        <f>IF(Settings!$E$15="POINTS",((R283*Q283)*Settings!$B$12)+(S283*Settings!$B$2)+(T283*Settings!$B$3)+(U283*Settings!$B$4)+(V283*Settings!$B$5)+(X283*Settings!$B$9)+(AA283*Settings!$B$6)+(W283*Settings!$B$8)+(AB283*Settings!$B$7)+(AC283*Settings!$B$14)+(AD283*Settings!$B$15)+(AE283*Settings!$B$16)+(AF283*Settings!$B$17)+(AG283*Settings!$B$18)+(U283*Settings!$B$13)+(Y283*Settings!$B$10)+(Z283*Settings!$B$11),VLOOKUP(B283,'Standard Deviations'!A$1:C$672,3,FALSE))</f>
        <v>165.83571881318983</v>
      </c>
      <c r="J283" s="53" cm="1">
        <f t="array" ref="J283">IF(D283="G",I283/AJ283,I283/Q283)</f>
        <v>2.1097349890361912</v>
      </c>
      <c r="K283" s="52" cm="1">
        <f t="array" ref="K283">VLOOKUP(B283,D!A1:F204,6,FALSE)</f>
        <v>-140.81814853140423</v>
      </c>
      <c r="L283" s="54" cm="1">
        <f t="array" ref="L283">IFERROR(K283/H283,"N/A")</f>
        <v>-24.490112788070302</v>
      </c>
      <c r="M283" s="85" t="s">
        <v>832</v>
      </c>
      <c r="N283" s="85" t="str" cm="1">
        <f t="array" ref="N283">IFERROR(M283-A283,"N/A")</f>
        <v>N/A</v>
      </c>
      <c r="O283" s="55"/>
      <c r="P283" s="56" t="str" cm="1">
        <f t="array" ref="P283">_xlfn.XLOOKUP($B283,ADP!A2:A671,ADP!G2:G671)</f>
        <v xml:space="preserve"> </v>
      </c>
      <c r="Q283" s="57" cm="1">
        <f t="array" ref="Q283">IF(Settings!$E$12="YES",VLOOKUP(B283,'Player Data'!A1:E673,5,FALSE),84)</f>
        <v>78.605000000000004</v>
      </c>
      <c r="R283" s="55" cm="1">
        <f t="array" ref="R283">VLOOKUP(B283,'Player Data'!$A1:$AE673,6,FALSE)</f>
        <v>20.9412565396342</v>
      </c>
      <c r="S283" s="57" cm="1">
        <f t="array" ref="S283">VLOOKUP(B283,'Player Data'!$A1:$AE673,7,FALSE)*$Q283*IFERROR((VLOOKUP(P283,Settings!$E$28:$F$33,2,FALSE)+1),1)</f>
        <v>1.0345433247237033</v>
      </c>
      <c r="T283" s="57" cm="1">
        <f t="array" ref="T283">VLOOKUP(B283,'Player Data'!$A1:$AE673,8,FALSE)*$Q283*IFERROR((VLOOKUP(P283,Settings!$E$28:$F$33,2,FALSE)+1),1)</f>
        <v>16.727757411507678</v>
      </c>
      <c r="U283" s="57" cm="1">
        <f t="array" ref="U283">SUM(S283:T283)</f>
        <v>17.762300736231381</v>
      </c>
      <c r="V283" s="57" cm="1">
        <f t="array" ref="V283">VLOOKUP(B283,'Player Data'!$A1:$AE673,10,FALSE)*$Q283*IFERROR(((VLOOKUP(P283,Settings!$E$28:$F$33,2,FALSE)/2)+1),1)</f>
        <v>100.3646650525862</v>
      </c>
      <c r="W283" s="57" cm="1">
        <f t="array" ref="W283">VLOOKUP(B283,'Player Data'!$A1:$AE673,11,FALSE)*$Q283*IFERROR((VLOOKUP(P283,Settings!$E$28:$F$33,2,FALSE)+1),1)</f>
        <v>2.7456009317992237E-3</v>
      </c>
      <c r="X283" s="57" cm="1">
        <f t="array" ref="X283">VLOOKUP(B283,'Player Data'!$A1:$AE673,12,FALSE)*$Q283*IFERROR((VLOOKUP(P283,Settings!$E$28:$F$33,2,FALSE)+1),1)</f>
        <v>8.4642456387347867E-2</v>
      </c>
      <c r="Y283" s="57" cm="1">
        <f t="array" ref="Y283">VLOOKUP(B283,'Player Data'!$A1:$AE673,13,FALSE)*$Q283</f>
        <v>0.19035202959288772</v>
      </c>
      <c r="Z283" s="57" cm="1">
        <f t="array" ref="Z283">VLOOKUP(B283,'Player Data'!$A1:$AE673,14,FALSE)*$Q283</f>
        <v>1.1515633562493488</v>
      </c>
      <c r="AA283" s="57" cm="1">
        <f t="array" ref="AA283">VLOOKUP(B283,'Player Data'!$A1:$AE673,15,FALSE)*$Q283</f>
        <v>122.2605565311318</v>
      </c>
      <c r="AB283" s="57" cm="1">
        <f t="array" ref="AB283">VLOOKUP(B283,'Player Data'!$A1:$AE673,16,FALSE)*$Q283</f>
        <v>73.46374892301742</v>
      </c>
      <c r="AC283" s="57" cm="1">
        <f t="array" ref="AC283">VLOOKUP(B283,'Player Data'!$A1:$AE673,17,FALSE)*$Q283*IFERROR((VLOOKUP(P283,Settings!$E$28:$F$33,2,FALSE)+1),1)</f>
        <v>-2.808974020752236</v>
      </c>
      <c r="AD283" s="57" cm="1">
        <f t="array" ref="AD283">VLOOKUP(B283,'Player Data'!$A1:$AE673,18,FALSE)*$Q283</f>
        <v>43.552106931032192</v>
      </c>
      <c r="AE283" s="57" cm="1">
        <f t="array" ref="AE283">VLOOKUP(B283,'Player Data'!$A1:$AE673,19,FALSE)*$Q283*IFERROR((VLOOKUP(P283,Settings!$E$28:$F$33,2,FALSE)+1),1)</f>
        <v>0.15108623147423467</v>
      </c>
      <c r="AF283" s="57" cm="1">
        <f t="array" ref="AF283">VLOOKUP(B283,'Player Data'!$A1:$AE673,20,FALSE)*$Q283</f>
        <v>0</v>
      </c>
      <c r="AG283" s="57" cm="1">
        <f t="array" ref="AG283">VLOOKUP(B283,'Player Data'!$A1:$AE673,21,FALSE)*$Q283</f>
        <v>0</v>
      </c>
      <c r="AH283" s="59" cm="1">
        <f t="array" ref="AH283">VLOOKUP(B283,'Player Data'!$A1:$AE673,22,FALSE)</f>
        <v>0</v>
      </c>
      <c r="AI283" s="55"/>
      <c r="AJ283" s="57"/>
      <c r="AK283" s="57"/>
      <c r="AL283" s="57"/>
      <c r="AM283" s="57"/>
      <c r="AN283" s="57"/>
      <c r="AO283" s="57"/>
      <c r="AP283" s="57"/>
      <c r="AQ283" s="60"/>
      <c r="AR283" s="61"/>
      <c r="AS283" s="55"/>
    </row>
    <row r="284" spans="1:45" ht="21.25" customHeight="1" x14ac:dyDescent="0.15">
      <c r="A284" s="62">
        <f t="shared" si="4"/>
        <v>283</v>
      </c>
      <c r="B284" s="10" t="s">
        <v>412</v>
      </c>
      <c r="C284" s="47" t="s">
        <v>128</v>
      </c>
      <c r="D284" s="48" t="str" cm="1">
        <f t="array" ref="D284">VLOOKUP(B284,'Player Data'!A1:D673,4,FALSE)</f>
        <v>RW</v>
      </c>
      <c r="E284" s="64" cm="1">
        <f t="array" ref="E284">VLOOKUP(B284,RW!A1:F210,3,FALSE)</f>
        <v>81</v>
      </c>
      <c r="F284" s="72" t="str" cm="1">
        <f t="array" ref="F284">VLOOKUP(B284,'Player Data'!A1:B673,2,FALSE)</f>
        <v>NYI</v>
      </c>
      <c r="G284" s="66" cm="1">
        <f t="array" ref="G284">VLOOKUP(B284,'Player Data'!A1:D673,3,FALSE)</f>
        <v>35</v>
      </c>
      <c r="H284" s="67" cm="1">
        <f t="array" ref="H284">IFERROR(VLOOKUP(B284,ADP!A1:F671,6,FALSE)/1000000,VLOOKUP(B284,ADP!A1:F671,6,FALSE))</f>
        <v>4.75</v>
      </c>
      <c r="I284" s="52">
        <f>IF(Settings!$E$15="POINTS",((R284*Q284)*Settings!$B$12)+(S284*Settings!$B$2)+(T284*Settings!$B$3)+(U284*Settings!$B$4)+(V284*Settings!$B$5)+(X284*Settings!$B$9)+(AA284*Settings!$B$6)+(W284*Settings!$B$8)+(AB284*Settings!$B$7)+(AC284*Settings!$B$14)+(AD284*Settings!$B$15)+(AE284*Settings!$B$16)+(AF284*Settings!$B$17)+(AG284*Settings!$B$18)+(Y284*Settings!$B$10)+(Z284*Settings!$B$11),VLOOKUP(B284,'Standard Deviations'!A$1:C$672,3,FALSE))</f>
        <v>253.76647840916939</v>
      </c>
      <c r="J284" s="53" cm="1">
        <f t="array" ref="J284">IF(D284="G",I284/AJ284,I284/Q284)</f>
        <v>3.4333364235977597</v>
      </c>
      <c r="K284" s="52" cm="1">
        <f t="array" ref="K284">IF(Settings!$E$18="C/LW/RW",VLOOKUP(B284,RW!A1:F210,6,FALSE),VLOOKUP(B284,F!A1:F407,6,FALSE))</f>
        <v>-141.17698628438808</v>
      </c>
      <c r="L284" s="54" cm="1">
        <f t="array" ref="L284">IFERROR(K284/H284,"N/A")</f>
        <v>-29.72147079671328</v>
      </c>
      <c r="M284" s="85" t="s">
        <v>832</v>
      </c>
      <c r="N284" s="85" t="str" cm="1">
        <f t="array" ref="N284">IFERROR(M284-A284,"N/A")</f>
        <v>N/A</v>
      </c>
      <c r="O284" s="55"/>
      <c r="P284" s="56" t="str" cm="1">
        <f t="array" ref="P284">_xlfn.XLOOKUP($B284,ADP!A2:A671,ADP!G2:G671)</f>
        <v xml:space="preserve"> </v>
      </c>
      <c r="Q284" s="57" cm="1">
        <f t="array" ref="Q284">IF(Settings!$E$12="YES",VLOOKUP(B284,'Player Data'!A1:E673,5,FALSE),84)</f>
        <v>73.912499999999994</v>
      </c>
      <c r="R284" s="84" cm="1">
        <f t="array" ref="R284">VLOOKUP(B284,'Player Data'!$A1:$AE673,6,FALSE)</f>
        <v>17.787915977515301</v>
      </c>
      <c r="S284" s="57" cm="1">
        <f t="array" ref="S284">VLOOKUP(B284,'Player Data'!$A1:$AE673,7,FALSE)*$Q284*IFERROR((VLOOKUP(P284,Settings!$E$28:$F$33,2,FALSE)+1),1)</f>
        <v>19.57761938478107</v>
      </c>
      <c r="T284" s="57" cm="1">
        <f t="array" ref="T284">VLOOKUP(B284,'Player Data'!$A1:$AE673,8,FALSE)*$Q284*IFERROR((VLOOKUP(P284,Settings!$E$28:$F$33,2,FALSE)+1),1)</f>
        <v>24.432821513387566</v>
      </c>
      <c r="U284" s="57" cm="1">
        <f t="array" ref="U284">SUM(S284:T284)</f>
        <v>44.010440898168639</v>
      </c>
      <c r="V284" s="57" cm="1">
        <f t="array" ref="V284">VLOOKUP(B284,'Player Data'!$A1:$AE673,10,FALSE)*$Q284*IFERROR(((VLOOKUP(P284,Settings!$E$28:$F$33,2,FALSE)/2)+1),1)</f>
        <v>178.72381820495573</v>
      </c>
      <c r="W284" s="58" cm="1">
        <f t="array" ref="W284">VLOOKUP(B284,'Player Data'!$A1:$AE673,11,FALSE)*$Q284*IFERROR((VLOOKUP(P284,Settings!$E$28:$F$33,2,FALSE)+1),1)</f>
        <v>5.7731775488948127</v>
      </c>
      <c r="X284" s="57" cm="1">
        <f t="array" ref="X284">VLOOKUP(B284,'Player Data'!$A1:$AE673,12,FALSE)*$Q284*IFERROR((VLOOKUP(P284,Settings!$E$28:$F$33,2,FALSE)+1),1)</f>
        <v>13.710951294388559</v>
      </c>
      <c r="Y284" s="57" cm="1">
        <f t="array" ref="Y284">VLOOKUP(B284,'Player Data'!$A1:$AE673,13,FALSE)*$Q284</f>
        <v>0.65227044408739543</v>
      </c>
      <c r="Z284" s="57" cm="1">
        <f t="array" ref="Z284">VLOOKUP(B284,'Player Data'!$A1:$AE673,14,FALSE)*$Q284</f>
        <v>1.0490876041706891</v>
      </c>
      <c r="AA284" s="57" cm="1">
        <f t="array" ref="AA284">VLOOKUP(B284,'Player Data'!$A1:$AE673,15,FALSE)*$Q284</f>
        <v>35.226415427252768</v>
      </c>
      <c r="AB284" s="57" cm="1">
        <f t="array" ref="AB284">VLOOKUP(B284,'Player Data'!$A1:$AE673,16,FALSE)*$Q284</f>
        <v>57.319583292432512</v>
      </c>
      <c r="AC284" s="57" cm="1">
        <f t="array" ref="AC284">VLOOKUP(B284,'Player Data'!$A1:$AE673,17,FALSE)*$Q284*IFERROR((VLOOKUP(P284,Settings!$E$28:$F$33,2,FALSE)+1),1)</f>
        <v>-3.3580552066996652</v>
      </c>
      <c r="AD284" s="57" cm="1">
        <f t="array" ref="AD284">VLOOKUP(B284,'Player Data'!$A1:$AE673,18,FALSE)*$Q284</f>
        <v>23.743062989300022</v>
      </c>
      <c r="AE284" s="57" cm="1">
        <f t="array" ref="AE284">VLOOKUP(B284,'Player Data'!$A1:$AE673,19,FALSE)*$Q284*IFERROR((VLOOKUP(P284,Settings!$E$28:$F$33,2,FALSE)+1),1)</f>
        <v>2.8591443812886976</v>
      </c>
      <c r="AF284" s="57" cm="1">
        <f t="array" ref="AF284">VLOOKUP(B284,'Player Data'!$A1:$AE673,20,FALSE)*$Q284</f>
        <v>8.9175993038803867</v>
      </c>
      <c r="AG284" s="57" cm="1">
        <f t="array" ref="AG284">VLOOKUP(B284,'Player Data'!$A1:$AE673,21,FALSE)*$Q284</f>
        <v>12.847061200736682</v>
      </c>
      <c r="AH284" s="59" cm="1">
        <f t="array" ref="AH284">VLOOKUP(B284,'Player Data'!$A1:$AE673,22,FALSE)</f>
        <v>0.40972838983583498</v>
      </c>
      <c r="AI284" s="55"/>
      <c r="AJ284" s="57"/>
      <c r="AK284" s="57"/>
      <c r="AL284" s="57"/>
      <c r="AM284" s="57"/>
      <c r="AN284" s="57"/>
      <c r="AO284" s="57"/>
      <c r="AP284" s="57"/>
      <c r="AQ284" s="60"/>
      <c r="AR284" s="61"/>
      <c r="AS284" s="55"/>
    </row>
    <row r="285" spans="1:45" ht="21.25" customHeight="1" x14ac:dyDescent="0.15">
      <c r="A285" s="62">
        <f t="shared" si="4"/>
        <v>284</v>
      </c>
      <c r="B285" s="10" t="s">
        <v>413</v>
      </c>
      <c r="C285" s="47" t="s">
        <v>128</v>
      </c>
      <c r="D285" s="48" t="str" cm="1">
        <f t="array" ref="D285">VLOOKUP(B285,'Player Data'!A1:D673,4,FALSE)</f>
        <v>C</v>
      </c>
      <c r="E285" s="49" cm="1">
        <f t="array" ref="E285">VLOOKUP(B285,'C'!A1:C210,3,FALSE)</f>
        <v>73</v>
      </c>
      <c r="F285" s="63" t="str" cm="1">
        <f t="array" ref="F285">VLOOKUP(B285,'Player Data'!A1:B673,2,FALSE)</f>
        <v>SEA</v>
      </c>
      <c r="G285" s="66" cm="1">
        <f t="array" ref="G285">VLOOKUP(B285,'Player Data'!A1:D673,3,FALSE)</f>
        <v>32</v>
      </c>
      <c r="H285" s="51" cm="1">
        <f t="array" ref="H285">IFERROR(VLOOKUP(B285,ADP!A1:F671,6,FALSE)/1000000,VLOOKUP(B285,ADP!A1:F671,6,FALSE))</f>
        <v>6.25</v>
      </c>
      <c r="I285" s="52">
        <f>IF(Settings!$E$15="POINTS",((R285*Q285)*Settings!$B$12)+(S285*Settings!$B$2)+(T285*Settings!$B$3)+(U285*Settings!$B$4)+(V285*Settings!$B$5)+(X285*Settings!$B$9)+(AA285*Settings!$B$6)+(W285*Settings!$B$8)+(AB285*Settings!$B$7)+(AC285*Settings!$B$14)+(AD285*Settings!$B$15)+(AE285*Settings!$B$16)+(AF285*Settings!$B$17)+(AG285*Settings!$B$18)+(Y285*Settings!$B$10)+(Z285*Settings!$B$11),VLOOKUP(B285,'Standard Deviations'!A$1:C$672,3,FALSE))</f>
        <v>245.25018137907443</v>
      </c>
      <c r="J285" s="53" cm="1">
        <f t="array" ref="J285">IF(D285="G",I285/AJ285,I285/Q285)</f>
        <v>2.9754344116357228</v>
      </c>
      <c r="K285" s="52" cm="1">
        <f t="array" ref="K285">IF(Settings!$E$18="C/LW/RW",VLOOKUP(B285,'C'!A1:F210,6,FALSE),VLOOKUP(B285,F!A1:F407,6,FALSE))</f>
        <v>-141.28502501400857</v>
      </c>
      <c r="L285" s="54" cm="1">
        <f t="array" ref="L285">IFERROR(K285/H285,"N/A")</f>
        <v>-22.605604002241371</v>
      </c>
      <c r="M285" s="85" t="s">
        <v>832</v>
      </c>
      <c r="N285" s="85" t="str" cm="1">
        <f t="array" ref="N285">IFERROR(M285-A285,"N/A")</f>
        <v>N/A</v>
      </c>
      <c r="O285" s="55"/>
      <c r="P285" s="56" t="str" cm="1">
        <f t="array" ref="P285">_xlfn.XLOOKUP($B285,ADP!A2:A671,ADP!G2:G671)</f>
        <v xml:space="preserve"> </v>
      </c>
      <c r="Q285" s="57" cm="1">
        <f t="array" ref="Q285">IF(Settings!$E$12="YES",VLOOKUP(B285,'Player Data'!A1:E673,5,FALSE),84)</f>
        <v>82.424999999999997</v>
      </c>
      <c r="R285" s="55" cm="1">
        <f t="array" ref="R285">VLOOKUP(B285,'Player Data'!$A1:$AE673,6,FALSE)</f>
        <v>19.3214511022897</v>
      </c>
      <c r="S285" s="57" cm="1">
        <f t="array" ref="S285">VLOOKUP(B285,'Player Data'!$A1:$AE673,7,FALSE)*$Q285*IFERROR((VLOOKUP(P285,Settings!$E$28:$F$33,2,FALSE)+1),1)</f>
        <v>15.157135918817726</v>
      </c>
      <c r="T285" s="57" cm="1">
        <f t="array" ref="T285">VLOOKUP(B285,'Player Data'!$A1:$AE673,8,FALSE)*$Q285*IFERROR((VLOOKUP(P285,Settings!$E$28:$F$33,2,FALSE)+1),1)</f>
        <v>34.569747191626256</v>
      </c>
      <c r="U285" s="57" cm="1">
        <f t="array" ref="U285">SUM(S285:T285)</f>
        <v>49.726883110443978</v>
      </c>
      <c r="V285" s="57" cm="1">
        <f t="array" ref="V285">VLOOKUP(B285,'Player Data'!$A1:$AE673,10,FALSE)*$Q285*IFERROR(((VLOOKUP(P285,Settings!$E$28:$F$33,2,FALSE)/2)+1),1)</f>
        <v>99.240950171975683</v>
      </c>
      <c r="W285" s="57" cm="1">
        <f t="array" ref="W285">VLOOKUP(B285,'Player Data'!$A1:$AE673,11,FALSE)*$Q285*IFERROR((VLOOKUP(P285,Settings!$E$28:$F$33,2,FALSE)+1),1)</f>
        <v>4.1612760374260267</v>
      </c>
      <c r="X285" s="79" cm="1">
        <f t="array" ref="X285">VLOOKUP(B285,'Player Data'!$A1:$AE673,12,FALSE)*$Q285*IFERROR((VLOOKUP(P285,Settings!$E$28:$F$33,2,FALSE)+1),1)</f>
        <v>16.387707431267309</v>
      </c>
      <c r="Y285" s="57" cm="1">
        <f t="array" ref="Y285">VLOOKUP(B285,'Player Data'!$A1:$AE673,13,FALSE)*$Q285</f>
        <v>1.0796444018938736</v>
      </c>
      <c r="Z285" s="57" cm="1">
        <f t="array" ref="Z285">VLOOKUP(B285,'Player Data'!$A1:$AE673,14,FALSE)*$Q285</f>
        <v>1.9832797024555708</v>
      </c>
      <c r="AA285" s="57" cm="1">
        <f t="array" ref="AA285">VLOOKUP(B285,'Player Data'!$A1:$AE673,15,FALSE)*$Q285</f>
        <v>56.156139656063544</v>
      </c>
      <c r="AB285" s="57" cm="1">
        <f t="array" ref="AB285">VLOOKUP(B285,'Player Data'!$A1:$AE673,16,FALSE)*$Q285</f>
        <v>33.122333171060752</v>
      </c>
      <c r="AC285" s="57" cm="1">
        <f t="array" ref="AC285">VLOOKUP(B285,'Player Data'!$A1:$AE673,17,FALSE)*$Q285*IFERROR((VLOOKUP(P285,Settings!$E$28:$F$33,2,FALSE)+1),1)</f>
        <v>-11.990597652112188</v>
      </c>
      <c r="AD285" s="57" cm="1">
        <f t="array" ref="AD285">VLOOKUP(B285,'Player Data'!$A1:$AE673,18,FALSE)*$Q285</f>
        <v>22.018181343009019</v>
      </c>
      <c r="AE285" s="57" cm="1">
        <f t="array" ref="AE285">VLOOKUP(B285,'Player Data'!$A1:$AE673,19,FALSE)*$Q285*IFERROR((VLOOKUP(P285,Settings!$E$28:$F$33,2,FALSE)+1),1)</f>
        <v>2.0882772005984784</v>
      </c>
      <c r="AF285" s="57" cm="1">
        <f t="array" ref="AF285">VLOOKUP(B285,'Player Data'!$A1:$AE673,20,FALSE)*$Q285</f>
        <v>762.27327239482258</v>
      </c>
      <c r="AG285" s="57" cm="1">
        <f t="array" ref="AG285">VLOOKUP(B285,'Player Data'!$A1:$AE673,21,FALSE)*$Q285</f>
        <v>702.55788441958941</v>
      </c>
      <c r="AH285" s="59" cm="1">
        <f t="array" ref="AH285">VLOOKUP(B285,'Player Data'!$A1:$AE673,22,FALSE)</f>
        <v>0.52038302766070899</v>
      </c>
      <c r="AI285" s="55"/>
      <c r="AJ285" s="57"/>
      <c r="AK285" s="57"/>
      <c r="AL285" s="57"/>
      <c r="AM285" s="57"/>
      <c r="AN285" s="57"/>
      <c r="AO285" s="57"/>
      <c r="AP285" s="57"/>
      <c r="AQ285" s="60"/>
      <c r="AR285" s="61"/>
      <c r="AS285" s="55"/>
    </row>
    <row r="286" spans="1:45" ht="21.25" customHeight="1" x14ac:dyDescent="0.15">
      <c r="A286" s="62">
        <f t="shared" si="4"/>
        <v>285</v>
      </c>
      <c r="B286" s="10" t="s">
        <v>414</v>
      </c>
      <c r="C286" s="47" t="s">
        <v>147</v>
      </c>
      <c r="D286" s="48" t="str" cm="1">
        <f t="array" ref="D286">VLOOKUP(B286,'Player Data'!A1:D673,4,FALSE)</f>
        <v>D</v>
      </c>
      <c r="E286" s="68" cm="1">
        <f t="array" ref="E286">VLOOKUP(B286,D!A1:C204,3,FALSE)</f>
        <v>115</v>
      </c>
      <c r="F286" s="18" t="str" cm="1">
        <f t="array" ref="F286">VLOOKUP(B286,'Player Data'!A1:B673,2,FALSE)</f>
        <v>VAN</v>
      </c>
      <c r="G286" s="66" cm="1">
        <f t="array" ref="G286">VLOOKUP(B286,'Player Data'!A1:D673,3,FALSE)</f>
        <v>33</v>
      </c>
      <c r="H286" s="51" cm="1">
        <f t="array" ref="H286">IFERROR(VLOOKUP(B286,ADP!A1:F671,6,FALSE)/1000000,VLOOKUP(B286,ADP!A1:F671,6,FALSE))</f>
        <v>5</v>
      </c>
      <c r="I286" s="52">
        <f>IF(Settings!$E$15="POINTS",((R286*Q286)*Settings!$B$12)+(S286*Settings!$B$2)+(T286*Settings!$B$3)+(U286*Settings!$B$4)+(V286*Settings!$B$5)+(X286*Settings!$B$9)+(AA286*Settings!$B$6)+(W286*Settings!$B$8)+(AB286*Settings!$B$7)+(AC286*Settings!$B$14)+(AD286*Settings!$B$15)+(AE286*Settings!$B$16)+(AF286*Settings!$B$17)+(AG286*Settings!$B$18)+(U286*Settings!$B$13)+(Y286*Settings!$B$10)+(Z286*Settings!$B$11),VLOOKUP(B286,'Standard Deviations'!A$1:C$672,3,FALSE))</f>
        <v>165.03077410248275</v>
      </c>
      <c r="J286" s="53" cm="1">
        <f t="array" ref="J286">IF(D286="G",I286/AJ286,I286/Q286)</f>
        <v>1.9806861990216367</v>
      </c>
      <c r="K286" s="52" cm="1">
        <f t="array" ref="K286">VLOOKUP(B286,D!A1:F204,6,FALSE)</f>
        <v>-141.62309324211131</v>
      </c>
      <c r="L286" s="54" cm="1">
        <f t="array" ref="L286">IFERROR(K286/H286,"N/A")</f>
        <v>-28.324618648422263</v>
      </c>
      <c r="M286" s="85" t="s">
        <v>832</v>
      </c>
      <c r="N286" s="85" t="str" cm="1">
        <f t="array" ref="N286">IFERROR(M286-A286,"N/A")</f>
        <v>N/A</v>
      </c>
      <c r="O286" s="55"/>
      <c r="P286" s="56" t="str" cm="1">
        <f t="array" ref="P286">_xlfn.XLOOKUP($B286,ADP!A2:A671,ADP!G2:G671)</f>
        <v xml:space="preserve"> </v>
      </c>
      <c r="Q286" s="57" cm="1">
        <f t="array" ref="Q286">IF(Settings!$E$12="YES",VLOOKUP(B286,'Player Data'!A1:E673,5,FALSE),84)</f>
        <v>83.32</v>
      </c>
      <c r="R286" s="82" cm="1">
        <f t="array" ref="R286">VLOOKUP(B286,'Player Data'!$A1:$AE673,6,FALSE)</f>
        <v>20.888577436789198</v>
      </c>
      <c r="S286" s="57" cm="1">
        <f t="array" ref="S286">VLOOKUP(B286,'Player Data'!$A1:$AE673,7,FALSE)*$Q286*IFERROR((VLOOKUP(P286,Settings!$E$28:$F$33,2,FALSE)+1),1)</f>
        <v>2.472176471005727</v>
      </c>
      <c r="T286" s="57" cm="1">
        <f t="array" ref="T286">VLOOKUP(B286,'Player Data'!$A1:$AE673,8,FALSE)*$Q286*IFERROR((VLOOKUP(P286,Settings!$E$28:$F$33,2,FALSE)+1),1)</f>
        <v>13.276882175241719</v>
      </c>
      <c r="U286" s="57" cm="1">
        <f t="array" ref="U286">SUM(S286:T286)</f>
        <v>15.749058646247445</v>
      </c>
      <c r="V286" s="57" cm="1">
        <f t="array" ref="V286">VLOOKUP(B286,'Player Data'!$A1:$AE673,10,FALSE)*$Q286*IFERROR(((VLOOKUP(P286,Settings!$E$28:$F$33,2,FALSE)/2)+1),1)</f>
        <v>83.167052258877334</v>
      </c>
      <c r="W286" s="57" cm="1">
        <f t="array" ref="W286">VLOOKUP(B286,'Player Data'!$A1:$AE673,11,FALSE)*$Q286*IFERROR((VLOOKUP(P286,Settings!$E$28:$F$33,2,FALSE)+1),1)</f>
        <v>1.7678469968908054E-3</v>
      </c>
      <c r="X286" s="57" cm="1">
        <f t="array" ref="X286">VLOOKUP(B286,'Player Data'!$A1:$AE673,12,FALSE)*$Q286*IFERROR((VLOOKUP(P286,Settings!$E$28:$F$33,2,FALSE)+1),1)</f>
        <v>2.1324903564743081E-2</v>
      </c>
      <c r="Y286" s="57" cm="1">
        <f t="array" ref="Y286">VLOOKUP(B286,'Player Data'!$A1:$AE673,13,FALSE)*$Q286</f>
        <v>1.1794663827201684E-2</v>
      </c>
      <c r="Z286" s="57" cm="1">
        <f t="array" ref="Z286">VLOOKUP(B286,'Player Data'!$A1:$AE673,14,FALSE)*$Q286</f>
        <v>0.23670312583648226</v>
      </c>
      <c r="AA286" s="57" cm="1">
        <f t="array" ref="AA286">VLOOKUP(B286,'Player Data'!$A1:$AE673,15,FALSE)*$Q286</f>
        <v>151.88408800980105</v>
      </c>
      <c r="AB286" s="57" cm="1">
        <f t="array" ref="AB286">VLOOKUP(B286,'Player Data'!$A1:$AE673,16,FALSE)*$Q286</f>
        <v>117.6009147845801</v>
      </c>
      <c r="AC286" s="57" cm="1">
        <f t="array" ref="AC286">VLOOKUP(B286,'Player Data'!$A1:$AE673,17,FALSE)*$Q286*IFERROR((VLOOKUP(P286,Settings!$E$28:$F$33,2,FALSE)+1),1)</f>
        <v>-9.301943968664224</v>
      </c>
      <c r="AD286" s="57" cm="1">
        <f t="array" ref="AD286">VLOOKUP(B286,'Player Data'!$A1:$AE673,18,FALSE)*$Q286</f>
        <v>39.633905431399128</v>
      </c>
      <c r="AE286" s="57" cm="1">
        <f t="array" ref="AE286">VLOOKUP(B286,'Player Data'!$A1:$AE673,19,FALSE)*$Q286*IFERROR((VLOOKUP(P286,Settings!$E$28:$F$33,2,FALSE)+1),1)</f>
        <v>0.30634598673109326</v>
      </c>
      <c r="AF286" s="57" cm="1">
        <f t="array" ref="AF286">VLOOKUP(B286,'Player Data'!$A1:$AE673,20,FALSE)*$Q286</f>
        <v>0</v>
      </c>
      <c r="AG286" s="57" cm="1">
        <f t="array" ref="AG286">VLOOKUP(B286,'Player Data'!$A1:$AE673,21,FALSE)*$Q286</f>
        <v>0</v>
      </c>
      <c r="AH286" s="59" cm="1">
        <f t="array" ref="AH286">VLOOKUP(B286,'Player Data'!$A1:$AE673,22,FALSE)</f>
        <v>0</v>
      </c>
      <c r="AI286" s="55"/>
      <c r="AJ286" s="57"/>
      <c r="AK286" s="57"/>
      <c r="AL286" s="57"/>
      <c r="AM286" s="57"/>
      <c r="AN286" s="57"/>
      <c r="AO286" s="57"/>
      <c r="AP286" s="57"/>
      <c r="AQ286" s="60"/>
      <c r="AR286" s="61"/>
      <c r="AS286" s="55"/>
    </row>
    <row r="287" spans="1:45" ht="21.25" customHeight="1" x14ac:dyDescent="0.15">
      <c r="A287" s="62">
        <f t="shared" si="4"/>
        <v>286</v>
      </c>
      <c r="B287" s="10" t="s">
        <v>415</v>
      </c>
      <c r="C287" s="47" t="s">
        <v>147</v>
      </c>
      <c r="D287" s="48" t="str" cm="1">
        <f t="array" ref="D287">VLOOKUP(B287,'Player Data'!A1:D673,4,FALSE)</f>
        <v>C,LW,RW</v>
      </c>
      <c r="E287" s="74" cm="1">
        <f t="array" ref="E287">VLOOKUP(B287,RW!A1:F210,3,FALSE)</f>
        <v>82</v>
      </c>
      <c r="F287" s="70" t="str" cm="1">
        <f t="array" ref="F287">VLOOKUP(B287,'Player Data'!A1:B673,2,FALSE)</f>
        <v>L.A</v>
      </c>
      <c r="G287" s="71" cm="1">
        <f t="array" ref="G287">VLOOKUP(B287,'Player Data'!A1:D673,3,FALSE)</f>
        <v>24</v>
      </c>
      <c r="H287" s="51" cm="1">
        <f t="array" ref="H287">IFERROR(VLOOKUP(B287,ADP!A1:F671,6,FALSE)/1000000,VLOOKUP(B287,ADP!A1:F671,6,FALSE))</f>
        <v>4.0999999999999996</v>
      </c>
      <c r="I287" s="52">
        <f>IF(Settings!$E$15="POINTS",((R287*Q287)*Settings!$B$12)+(S287*Settings!$B$2)+(T287*Settings!$B$3)+(U287*Settings!$B$4)+(V287*Settings!$B$5)+(X287*Settings!$B$9)+(AA287*Settings!$B$6)+(W287*Settings!$B$8)+(AB287*Settings!$B$7)+(AC287*Settings!$B$14)+(AD287*Settings!$B$15)+(AE287*Settings!$B$16)+(AF287*Settings!$B$17)+(AG287*Settings!$B$18)+(Y287*Settings!$B$10)+(Z287*Settings!$B$11),VLOOKUP(B287,'Standard Deviations'!A$1:C$672,3,FALSE))</f>
        <v>253.2762881512862</v>
      </c>
      <c r="J287" s="53" cm="1">
        <f t="array" ref="J287">IF(D287="G",I287/AJ287,I287/Q287)</f>
        <v>3.0426319266154449</v>
      </c>
      <c r="K287" s="52" cm="1">
        <f t="array" ref="K287">IF(Settings!$E$18="C/LW/RW",VLOOKUP(B287,RW!A1:F210,6,FALSE),VLOOKUP(B287,F!A1:F407,6,FALSE))</f>
        <v>-141.66717654227128</v>
      </c>
      <c r="L287" s="54" cm="1">
        <f t="array" ref="L287">IFERROR(K287/H287,"N/A")</f>
        <v>-34.552969888358852</v>
      </c>
      <c r="M287" s="55">
        <v>148.1</v>
      </c>
      <c r="N287" s="55" cm="1">
        <f t="array" ref="N287">IFERROR(M287-A287,"N/A")</f>
        <v>-137.9</v>
      </c>
      <c r="O287" s="55"/>
      <c r="P287" s="56" t="str" cm="1">
        <f t="array" ref="P287">_xlfn.XLOOKUP($B287,ADP!A2:A671,ADP!G2:G671)</f>
        <v xml:space="preserve"> </v>
      </c>
      <c r="Q287" s="57" cm="1">
        <f t="array" ref="Q287">IF(Settings!$E$12="YES",VLOOKUP(B287,'Player Data'!A1:E673,5,FALSE),84)</f>
        <v>83.242500000000007</v>
      </c>
      <c r="R287" s="84" cm="1">
        <f t="array" ref="R287">VLOOKUP(B287,'Player Data'!$A1:$AE673,6,FALSE)</f>
        <v>16.608543082833901</v>
      </c>
      <c r="S287" s="57" cm="1">
        <f t="array" ref="S287">VLOOKUP(B287,'Player Data'!$A1:$AE673,7,FALSE)*$Q287*IFERROR((VLOOKUP(P287,Settings!$E$28:$F$33,2,FALSE)+1),1)</f>
        <v>19.864131232340235</v>
      </c>
      <c r="T287" s="57" cm="1">
        <f t="array" ref="T287">VLOOKUP(B287,'Player Data'!$A1:$AE673,8,FALSE)*$Q287*IFERROR((VLOOKUP(P287,Settings!$E$28:$F$33,2,FALSE)+1),1)</f>
        <v>22.843866466506263</v>
      </c>
      <c r="U287" s="57" cm="1">
        <f t="array" ref="U287">SUM(S287:T287)</f>
        <v>42.707997698846498</v>
      </c>
      <c r="V287" s="57" cm="1">
        <f t="array" ref="V287">VLOOKUP(B287,'Player Data'!$A1:$AE673,10,FALSE)*$Q287*IFERROR(((VLOOKUP(P287,Settings!$E$28:$F$33,2,FALSE)/2)+1),1)</f>
        <v>191.31030257725178</v>
      </c>
      <c r="W287" s="57" cm="1">
        <f t="array" ref="W287">VLOOKUP(B287,'Player Data'!$A1:$AE673,11,FALSE)*$Q287*IFERROR((VLOOKUP(P287,Settings!$E$28:$F$33,2,FALSE)+1),1)</f>
        <v>2.1550623223421632</v>
      </c>
      <c r="X287" s="57" cm="1">
        <f t="array" ref="X287">VLOOKUP(B287,'Player Data'!$A1:$AE673,12,FALSE)*$Q287*IFERROR((VLOOKUP(P287,Settings!$E$28:$F$33,2,FALSE)+1),1)</f>
        <v>5.1914609358630681</v>
      </c>
      <c r="Y287" s="57" cm="1">
        <f t="array" ref="Y287">VLOOKUP(B287,'Player Data'!$A1:$AE673,13,FALSE)*$Q287</f>
        <v>1.5383490290808899</v>
      </c>
      <c r="Z287" s="57" cm="1">
        <f t="array" ref="Z287">VLOOKUP(B287,'Player Data'!$A1:$AE673,14,FALSE)*$Q287</f>
        <v>1.6470104318991572</v>
      </c>
      <c r="AA287" s="57" cm="1">
        <f t="array" ref="AA287">VLOOKUP(B287,'Player Data'!$A1:$AE673,15,FALSE)*$Q287</f>
        <v>45.317344796717165</v>
      </c>
      <c r="AB287" s="57" cm="1">
        <f t="array" ref="AB287">VLOOKUP(B287,'Player Data'!$A1:$AE673,16,FALSE)*$Q287</f>
        <v>190.10639611774303</v>
      </c>
      <c r="AC287" s="57" cm="1">
        <f t="array" ref="AC287">VLOOKUP(B287,'Player Data'!$A1:$AE673,17,FALSE)*$Q287*IFERROR((VLOOKUP(P287,Settings!$E$28:$F$33,2,FALSE)+1),1)</f>
        <v>0.96339276142785413</v>
      </c>
      <c r="AD287" s="57" cm="1">
        <f t="array" ref="AD287">VLOOKUP(B287,'Player Data'!$A1:$AE673,18,FALSE)*$Q287</f>
        <v>28.106371473699525</v>
      </c>
      <c r="AE287" s="57" cm="1">
        <f t="array" ref="AE287">VLOOKUP(B287,'Player Data'!$A1:$AE673,19,FALSE)*$Q287*IFERROR((VLOOKUP(P287,Settings!$E$28:$F$33,2,FALSE)+1),1)</f>
        <v>3.1378208473747349</v>
      </c>
      <c r="AF287" s="57" cm="1">
        <f t="array" ref="AF287">VLOOKUP(B287,'Player Data'!$A1:$AE673,20,FALSE)*$Q287</f>
        <v>146.59886924265535</v>
      </c>
      <c r="AG287" s="57" cm="1">
        <f t="array" ref="AG287">VLOOKUP(B287,'Player Data'!$A1:$AE673,21,FALSE)*$Q287</f>
        <v>195.38345357293682</v>
      </c>
      <c r="AH287" s="59" cm="1">
        <f t="array" ref="AH287">VLOOKUP(B287,'Player Data'!$A1:$AE673,22,FALSE)</f>
        <v>0.42867382160482698</v>
      </c>
      <c r="AI287" s="55"/>
      <c r="AJ287" s="57"/>
      <c r="AK287" s="57"/>
      <c r="AL287" s="57"/>
      <c r="AM287" s="57"/>
      <c r="AN287" s="57"/>
      <c r="AO287" s="57"/>
      <c r="AP287" s="57"/>
      <c r="AQ287" s="60"/>
      <c r="AR287" s="61"/>
      <c r="AS287" s="55"/>
    </row>
    <row r="288" spans="1:45" ht="21.25" customHeight="1" x14ac:dyDescent="0.15">
      <c r="A288" s="62">
        <f t="shared" si="4"/>
        <v>287</v>
      </c>
      <c r="B288" s="10" t="s">
        <v>416</v>
      </c>
      <c r="C288" s="47" t="s">
        <v>147</v>
      </c>
      <c r="D288" s="48" t="str" cm="1">
        <f t="array" ref="D288">VLOOKUP(B288,'Player Data'!A1:D673,4,FALSE)</f>
        <v>D</v>
      </c>
      <c r="E288" s="68" cm="1">
        <f t="array" ref="E288">VLOOKUP(B288,D!A1:C204,3,FALSE)</f>
        <v>116</v>
      </c>
      <c r="F288" s="72" t="str" cm="1">
        <f t="array" ref="F288">VLOOKUP(B288,'Player Data'!A1:B673,2,FALSE)</f>
        <v>BOS</v>
      </c>
      <c r="G288" s="66" cm="1">
        <f t="array" ref="G288">VLOOKUP(B288,'Player Data'!A1:D673,3,FALSE)</f>
        <v>31</v>
      </c>
      <c r="H288" s="51" cm="1">
        <f t="array" ref="H288">IFERROR(VLOOKUP(B288,ADP!A1:F671,6,FALSE)/1000000,VLOOKUP(B288,ADP!A1:F671,6,FALSE))</f>
        <v>5</v>
      </c>
      <c r="I288" s="52">
        <f>IF(Settings!$E$15="POINTS",((R288*Q288)*Settings!$B$12)+(S288*Settings!$B$2)+(T288*Settings!$B$3)+(U288*Settings!$B$4)+(V288*Settings!$B$5)+(X288*Settings!$B$9)+(AA288*Settings!$B$6)+(W288*Settings!$B$8)+(AB288*Settings!$B$7)+(AC288*Settings!$B$14)+(AD288*Settings!$B$15)+(AE288*Settings!$B$16)+(AF288*Settings!$B$17)+(AG288*Settings!$B$18)+(U288*Settings!$B$13)+(Y288*Settings!$B$10)+(Z288*Settings!$B$11),VLOOKUP(B288,'Standard Deviations'!A$1:C$672,3,FALSE))</f>
        <v>164.93049305113647</v>
      </c>
      <c r="J288" s="53" cm="1">
        <f t="array" ref="J288">IF(D288="G",I288/AJ288,I288/Q288)</f>
        <v>1.9867553219434615</v>
      </c>
      <c r="K288" s="52" cm="1">
        <f t="array" ref="K288">VLOOKUP(B288,D!A1:F204,6,FALSE)</f>
        <v>-141.7233742934576</v>
      </c>
      <c r="L288" s="54" cm="1">
        <f t="array" ref="L288">IFERROR(K288/H288,"N/A")</f>
        <v>-28.344674858691519</v>
      </c>
      <c r="M288" s="85" t="s">
        <v>832</v>
      </c>
      <c r="N288" s="85" t="str" cm="1">
        <f t="array" ref="N288">IFERROR(M288-A288,"N/A")</f>
        <v>N/A</v>
      </c>
      <c r="O288" s="55"/>
      <c r="P288" s="56" t="str" cm="1">
        <f t="array" ref="P288">_xlfn.XLOOKUP($B288,ADP!A2:A671,ADP!G2:G671)</f>
        <v xml:space="preserve"> </v>
      </c>
      <c r="Q288" s="57" cm="1">
        <f t="array" ref="Q288">IF(Settings!$E$12="YES",VLOOKUP(B288,'Player Data'!A1:E673,5,FALSE),84)</f>
        <v>83.015000000000001</v>
      </c>
      <c r="R288" s="55" cm="1">
        <f t="array" ref="R288">VLOOKUP(B288,'Player Data'!$A1:$AE673,6,FALSE)</f>
        <v>20.515009693828102</v>
      </c>
      <c r="S288" s="57" cm="1">
        <f t="array" ref="S288">VLOOKUP(B288,'Player Data'!$A1:$AE673,7,FALSE)*$Q288*IFERROR((VLOOKUP(P288,Settings!$E$28:$F$33,2,FALSE)+1),1)</f>
        <v>2.6037255547312013</v>
      </c>
      <c r="T288" s="57" cm="1">
        <f t="array" ref="T288">VLOOKUP(B288,'Player Data'!$A1:$AE673,8,FALSE)*$Q288*IFERROR((VLOOKUP(P288,Settings!$E$28:$F$33,2,FALSE)+1),1)</f>
        <v>17.954253501034326</v>
      </c>
      <c r="U288" s="57" cm="1">
        <f t="array" ref="U288">SUM(S288:T288)</f>
        <v>20.557979055765529</v>
      </c>
      <c r="V288" s="57" cm="1">
        <f t="array" ref="V288">VLOOKUP(B288,'Player Data'!$A1:$AE673,10,FALSE)*$Q288*IFERROR(((VLOOKUP(P288,Settings!$E$28:$F$33,2,FALSE)/2)+1),1)</f>
        <v>96.228007023143007</v>
      </c>
      <c r="W288" s="57" cm="1">
        <f t="array" ref="W288">VLOOKUP(B288,'Player Data'!$A1:$AE673,11,FALSE)*$Q288*IFERROR((VLOOKUP(P288,Settings!$E$28:$F$33,2,FALSE)+1),1)</f>
        <v>4.9402594980256041E-3</v>
      </c>
      <c r="X288" s="57" cm="1">
        <f t="array" ref="X288">VLOOKUP(B288,'Player Data'!$A1:$AE673,12,FALSE)*$Q288*IFERROR((VLOOKUP(P288,Settings!$E$28:$F$33,2,FALSE)+1),1)</f>
        <v>5.5228909606498601E-2</v>
      </c>
      <c r="Y288" s="57" cm="1">
        <f t="array" ref="Y288">VLOOKUP(B288,'Player Data'!$A1:$AE673,13,FALSE)*$Q288</f>
        <v>1.2398149841910152E-2</v>
      </c>
      <c r="Z288" s="57" cm="1">
        <f t="array" ref="Z288">VLOOKUP(B288,'Player Data'!$A1:$AE673,14,FALSE)*$Q288</f>
        <v>0.23415904246889158</v>
      </c>
      <c r="AA288" s="57" cm="1">
        <f t="array" ref="AA288">VLOOKUP(B288,'Player Data'!$A1:$AE673,15,FALSE)*$Q288</f>
        <v>109.70632884038596</v>
      </c>
      <c r="AB288" s="57" cm="1">
        <f t="array" ref="AB288">VLOOKUP(B288,'Player Data'!$A1:$AE673,16,FALSE)*$Q288</f>
        <v>182.10461482753246</v>
      </c>
      <c r="AC288" s="57" cm="1">
        <f t="array" ref="AC288">VLOOKUP(B288,'Player Data'!$A1:$AE673,17,FALSE)*$Q288*IFERROR((VLOOKUP(P288,Settings!$E$28:$F$33,2,FALSE)+1),1)</f>
        <v>-1.8564277304468841</v>
      </c>
      <c r="AD288" s="57" cm="1">
        <f t="array" ref="AD288">VLOOKUP(B288,'Player Data'!$A1:$AE673,18,FALSE)*$Q288</f>
        <v>104.30677020620207</v>
      </c>
      <c r="AE288" s="57" cm="1">
        <f t="array" ref="AE288">VLOOKUP(B288,'Player Data'!$A1:$AE673,19,FALSE)*$Q288*IFERROR((VLOOKUP(P288,Settings!$E$28:$F$33,2,FALSE)+1),1)</f>
        <v>0.35051790977437097</v>
      </c>
      <c r="AF288" s="57" cm="1">
        <f t="array" ref="AF288">VLOOKUP(B288,'Player Data'!$A1:$AE673,20,FALSE)*$Q288</f>
        <v>0</v>
      </c>
      <c r="AG288" s="57" cm="1">
        <f t="array" ref="AG288">VLOOKUP(B288,'Player Data'!$A1:$AE673,21,FALSE)*$Q288</f>
        <v>0</v>
      </c>
      <c r="AH288" s="59" cm="1">
        <f t="array" ref="AH288">VLOOKUP(B288,'Player Data'!$A1:$AE673,22,FALSE)</f>
        <v>0</v>
      </c>
      <c r="AI288" s="55"/>
      <c r="AJ288" s="57"/>
      <c r="AK288" s="57"/>
      <c r="AL288" s="57"/>
      <c r="AM288" s="57"/>
      <c r="AN288" s="57"/>
      <c r="AO288" s="57"/>
      <c r="AP288" s="57"/>
      <c r="AQ288" s="60"/>
      <c r="AR288" s="61"/>
      <c r="AS288" s="55"/>
    </row>
    <row r="289" spans="1:45" ht="21.25" customHeight="1" x14ac:dyDescent="0.15">
      <c r="A289" s="62">
        <f t="shared" si="4"/>
        <v>288</v>
      </c>
      <c r="B289" s="10" t="s">
        <v>417</v>
      </c>
      <c r="C289" s="76"/>
      <c r="D289" s="48" t="str" cm="1">
        <f t="array" ref="D289">VLOOKUP(B289,'Player Data'!A1:D673,4,FALSE)</f>
        <v>G</v>
      </c>
      <c r="E289" s="77" cm="1">
        <f t="array" ref="E289">VLOOKUP(B289,G!A1:D66,3,FALSE)</f>
        <v>32</v>
      </c>
      <c r="F289" s="50" t="str" cm="1">
        <f t="array" ref="F289">VLOOKUP(B289,'Player Data'!A1:B673,2,FALSE)</f>
        <v>COL</v>
      </c>
      <c r="G289" s="11" cm="1">
        <f t="array" ref="G289">VLOOKUP(B289,'Player Data'!A1:D673,3,FALSE)</f>
        <v>29</v>
      </c>
      <c r="H289" s="51" cm="1">
        <f t="array" ref="H289">IFERROR(VLOOKUP(B289,ADP!A1:F671,6,FALSE)/1000000,VLOOKUP(B289,ADP!A1:F671,6,FALSE))</f>
        <v>5.25</v>
      </c>
      <c r="I289" s="52">
        <f>IF(Settings!$E$15="POINTS",(AJ289*Settings!$B$29)+(AK289*Settings!$B$21)+(AL289*Settings!$B$22)+(AN289*Settings!$B$24)+(AO289*Settings!$B$25)+(AP289*Settings!$B$27)+(AM289*Settings!$B$23),VLOOKUP(B289,'Standard Deviations'!A$1:C$672,3,FALSE))</f>
        <v>217.01400875810191</v>
      </c>
      <c r="J289" s="53" cm="1">
        <f t="array" ref="J289">IF(D289="G",I289/AJ289,I289/Q289)</f>
        <v>6.2004002502314828</v>
      </c>
      <c r="K289" s="52" cm="1">
        <f t="array" ref="K289">VLOOKUP(B289,G!A1:F66,6,FALSE)</f>
        <v>-142.14389917213612</v>
      </c>
      <c r="L289" s="54" cm="1">
        <f t="array" ref="L289">IFERROR(K289/H289,"N/A")</f>
        <v>-27.075028413740213</v>
      </c>
      <c r="M289" s="55">
        <v>92.5</v>
      </c>
      <c r="N289" s="55" cm="1">
        <f t="array" ref="N289">IFERROR(M289-A289,"N/A")</f>
        <v>-195.5</v>
      </c>
      <c r="O289" s="55"/>
      <c r="P289" s="56" t="str" cm="1">
        <f t="array" ref="P289">_xlfn.XLOOKUP($B289,ADP!A2:A671,ADP!G2:G671)</f>
        <v xml:space="preserve"> </v>
      </c>
      <c r="Q289" s="57"/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9"/>
      <c r="AI289" s="55"/>
      <c r="AJ289" s="78" cm="1">
        <f t="array" ref="AJ289">VLOOKUP(B289,'Player Data'!$A1:$AE673,24,FALSE)</f>
        <v>35</v>
      </c>
      <c r="AK289" s="57" cm="1">
        <f t="array" ref="AK289">VLOOKUP(B289,'Player Data'!$A1:$AE673,25,FALSE)*$AJ289*IFERROR((VLOOKUP(P289,Settings!$E$28:$F$33,2,FALSE)+1),1)</f>
        <v>20.824336339968209</v>
      </c>
      <c r="AL289" s="57" cm="1">
        <f t="array" ref="AL289">AJ289-AK289-AM289</f>
        <v>10.631747745023826</v>
      </c>
      <c r="AM289" s="57" cm="1">
        <f t="array" ref="AM289">VLOOKUP(B289,'Player Data'!$A1:$AE673,27,FALSE)*$AJ289</f>
        <v>3.5439159150079651</v>
      </c>
      <c r="AN289" s="57" cm="1">
        <f t="array" ref="AN289">VLOOKUP(B289,'Player Data'!$A1:$AE673,28,FALSE)*AJ289</f>
        <v>2.3077207957924926</v>
      </c>
      <c r="AO289" s="57" cm="1">
        <f t="array" ref="AO289">VLOOKUP(B289,'Player Data'!$A1:$AE673,29,FALSE)*$AJ289*IFERROR((VLOOKUP(P289,Settings!$E$28:$F$33,2,FALSE)/4)+1,1)</f>
        <v>867.57749015241507</v>
      </c>
      <c r="AP289" s="57" cm="1">
        <f t="array" ref="AP289">VLOOKUP(B289,'Player Data'!$A1:$AE673,31,FALSE)*$AJ289*(IFERROR(1-(VLOOKUP(P289,Settings!$E$28:$F$33,2,FALSE)/4),1))</f>
        <v>93.851822044600908</v>
      </c>
      <c r="AQ289" s="60" cm="1">
        <f t="array" ref="AQ289">1-(AP289/(AO289+AP289))</f>
        <v>0.90238302405183091</v>
      </c>
      <c r="AR289" s="61" cm="1">
        <f t="array" ref="AR289">AP289/AJ289</f>
        <v>2.6814806298457401</v>
      </c>
      <c r="AS289" s="55"/>
    </row>
    <row r="290" spans="1:45" ht="21.25" customHeight="1" x14ac:dyDescent="0.15">
      <c r="A290" s="62">
        <f t="shared" si="4"/>
        <v>289</v>
      </c>
      <c r="B290" s="10" t="s">
        <v>418</v>
      </c>
      <c r="C290" s="47" t="s">
        <v>128</v>
      </c>
      <c r="D290" s="48" t="str" cm="1">
        <f t="array" ref="D290">VLOOKUP(B290,'Player Data'!A1:D673,4,FALSE)</f>
        <v>RW</v>
      </c>
      <c r="E290" s="64" cm="1">
        <f t="array" ref="E290">VLOOKUP(B290,RW!A1:F210,3,FALSE)</f>
        <v>83</v>
      </c>
      <c r="F290" s="70" t="str" cm="1">
        <f t="array" ref="F290">VLOOKUP(B290,'Player Data'!A1:B673,2,FALSE)</f>
        <v>L.A</v>
      </c>
      <c r="G290" s="66" cm="1">
        <f t="array" ref="G290">VLOOKUP(B290,'Player Data'!A1:D673,3,FALSE)</f>
        <v>38</v>
      </c>
      <c r="H290" s="67" cm="1">
        <f t="array" ref="H290">IFERROR(VLOOKUP(B290,ADP!A1:F671,6,FALSE)/1000000,VLOOKUP(B290,ADP!A1:F671,6,FALSE))</f>
        <v>1</v>
      </c>
      <c r="I290" s="52">
        <f>IF(Settings!$E$15="POINTS",((R290*Q290)*Settings!$B$12)+(S290*Settings!$B$2)+(T290*Settings!$B$3)+(U290*Settings!$B$4)+(V290*Settings!$B$5)+(X290*Settings!$B$9)+(AA290*Settings!$B$6)+(W290*Settings!$B$8)+(AB290*Settings!$B$7)+(AC290*Settings!$B$14)+(AD290*Settings!$B$15)+(AE290*Settings!$B$16)+(AF290*Settings!$B$17)+(AG290*Settings!$B$18)+(Y290*Settings!$B$10)+(Z290*Settings!$B$11),VLOOKUP(B290,'Standard Deviations'!A$1:C$672,3,FALSE))</f>
        <v>252.48528575799153</v>
      </c>
      <c r="J290" s="53" cm="1">
        <f t="array" ref="J290">IF(D290="G",I290/AJ290,I290/Q290)</f>
        <v>3.2850024168356953</v>
      </c>
      <c r="K290" s="52" cm="1">
        <f t="array" ref="K290">IF(Settings!$E$18="C/LW/RW",VLOOKUP(B290,RW!A1:F210,6,FALSE),VLOOKUP(B290,F!A1:F407,6,FALSE))</f>
        <v>-142.45817893556594</v>
      </c>
      <c r="L290" s="54" cm="1">
        <f t="array" ref="L290">IFERROR(K290/H290,"N/A")</f>
        <v>-142.45817893556594</v>
      </c>
      <c r="M290" s="85" t="s">
        <v>832</v>
      </c>
      <c r="N290" s="85" t="str" cm="1">
        <f t="array" ref="N290">IFERROR(M290-A290,"N/A")</f>
        <v>N/A</v>
      </c>
      <c r="O290" s="55"/>
      <c r="P290" s="56" t="str" cm="1">
        <f t="array" ref="P290">_xlfn.XLOOKUP($B290,ADP!A2:A671,ADP!G2:G671)</f>
        <v xml:space="preserve"> </v>
      </c>
      <c r="Q290" s="57" cm="1">
        <f t="array" ref="Q290">IF(Settings!$E$12="YES",VLOOKUP(B290,'Player Data'!A1:E673,5,FALSE),84)</f>
        <v>76.86</v>
      </c>
      <c r="R290" s="84" cm="1">
        <f t="array" ref="R290">VLOOKUP(B290,'Player Data'!$A1:$AE673,6,FALSE)</f>
        <v>16.250451103140598</v>
      </c>
      <c r="S290" s="57" cm="1">
        <f t="array" ref="S290">VLOOKUP(B290,'Player Data'!$A1:$AE673,7,FALSE)*$Q290*IFERROR((VLOOKUP(P290,Settings!$E$28:$F$33,2,FALSE)+1),1)</f>
        <v>14.643038743650626</v>
      </c>
      <c r="T290" s="57" cm="1">
        <f t="array" ref="T290">VLOOKUP(B290,'Player Data'!$A1:$AE673,8,FALSE)*$Q290*IFERROR((VLOOKUP(P290,Settings!$E$28:$F$33,2,FALSE)+1),1)</f>
        <v>35.162495476520299</v>
      </c>
      <c r="U290" s="57" cm="1">
        <f t="array" ref="U290">SUM(S290:T290)</f>
        <v>49.805534220170927</v>
      </c>
      <c r="V290" s="57" cm="1">
        <f t="array" ref="V290">VLOOKUP(B290,'Player Data'!$A1:$AE673,10,FALSE)*$Q290*IFERROR(((VLOOKUP(P290,Settings!$E$28:$F$33,2,FALSE)/2)+1),1)</f>
        <v>138.63962271370286</v>
      </c>
      <c r="W290" s="57" cm="1">
        <f t="array" ref="W290">VLOOKUP(B290,'Player Data'!$A1:$AE673,11,FALSE)*$Q290*IFERROR((VLOOKUP(P290,Settings!$E$28:$F$33,2,FALSE)+1),1)</f>
        <v>3.1155640345764506</v>
      </c>
      <c r="X290" s="79" cm="1">
        <f t="array" ref="X290">VLOOKUP(B290,'Player Data'!$A1:$AE673,12,FALSE)*$Q290*IFERROR((VLOOKUP(P290,Settings!$E$28:$F$33,2,FALSE)+1),1)</f>
        <v>15.820268086752192</v>
      </c>
      <c r="Y290" s="57" cm="1">
        <f t="array" ref="Y290">VLOOKUP(B290,'Player Data'!$A1:$AE673,13,FALSE)*$Q290</f>
        <v>4.6126768513217549E-3</v>
      </c>
      <c r="Z290" s="57" cm="1">
        <f t="array" ref="Z290">VLOOKUP(B290,'Player Data'!$A1:$AE673,14,FALSE)*$Q290</f>
        <v>7.9615926120361197E-3</v>
      </c>
      <c r="AA290" s="57" cm="1">
        <f t="array" ref="AA290">VLOOKUP(B290,'Player Data'!$A1:$AE673,15,FALSE)*$Q290</f>
        <v>35.841284122526204</v>
      </c>
      <c r="AB290" s="57" cm="1">
        <f t="array" ref="AB290">VLOOKUP(B290,'Player Data'!$A1:$AE673,16,FALSE)*$Q290</f>
        <v>30.836504394382377</v>
      </c>
      <c r="AC290" s="57" cm="1">
        <f t="array" ref="AC290">VLOOKUP(B290,'Player Data'!$A1:$AE673,17,FALSE)*$Q290*IFERROR((VLOOKUP(P290,Settings!$E$28:$F$33,2,FALSE)+1),1)</f>
        <v>1.1352981012068403E-2</v>
      </c>
      <c r="AD290" s="57" cm="1">
        <f t="array" ref="AD290">VLOOKUP(B290,'Player Data'!$A1:$AE673,18,FALSE)*$Q290</f>
        <v>25.019227934787256</v>
      </c>
      <c r="AE290" s="57" cm="1">
        <f t="array" ref="AE290">VLOOKUP(B290,'Player Data'!$A1:$AE673,19,FALSE)*$Q290*IFERROR((VLOOKUP(P290,Settings!$E$28:$F$33,2,FALSE)+1),1)</f>
        <v>2.313075346780705</v>
      </c>
      <c r="AF290" s="57" cm="1">
        <f t="array" ref="AF290">VLOOKUP(B290,'Player Data'!$A1:$AE673,20,FALSE)*$Q290</f>
        <v>25.998418035999041</v>
      </c>
      <c r="AG290" s="57" cm="1">
        <f t="array" ref="AG290">VLOOKUP(B290,'Player Data'!$A1:$AE673,21,FALSE)*$Q290</f>
        <v>36.183228647455422</v>
      </c>
      <c r="AH290" s="59" cm="1">
        <f t="array" ref="AH290">VLOOKUP(B290,'Player Data'!$A1:$AE673,22,FALSE)</f>
        <v>0.41810436716718302</v>
      </c>
      <c r="AI290" s="55"/>
      <c r="AJ290" s="57"/>
      <c r="AK290" s="57"/>
      <c r="AL290" s="57"/>
      <c r="AM290" s="57"/>
      <c r="AN290" s="57"/>
      <c r="AO290" s="57"/>
      <c r="AP290" s="57"/>
      <c r="AQ290" s="60"/>
      <c r="AR290" s="61"/>
      <c r="AS290" s="55"/>
    </row>
    <row r="291" spans="1:45" ht="21.25" customHeight="1" x14ac:dyDescent="0.15">
      <c r="A291" s="62">
        <f t="shared" si="4"/>
        <v>290</v>
      </c>
      <c r="B291" s="10" t="s">
        <v>419</v>
      </c>
      <c r="C291" s="47" t="s">
        <v>147</v>
      </c>
      <c r="D291" s="48" t="str" cm="1">
        <f t="array" ref="D291">VLOOKUP(B291,'Player Data'!A1:D673,4,FALSE)</f>
        <v>C</v>
      </c>
      <c r="E291" s="49" cm="1">
        <f t="array" ref="E291">VLOOKUP(B291,'C'!A1:C210,3,FALSE)</f>
        <v>74</v>
      </c>
      <c r="F291" s="63" t="str" cm="1">
        <f t="array" ref="F291">VLOOKUP(B291,'Player Data'!A1:B673,2,FALSE)</f>
        <v>CGY</v>
      </c>
      <c r="G291" s="11" cm="1">
        <f t="array" ref="G291">VLOOKUP(B291,'Player Data'!A1:D673,3,FALSE)</f>
        <v>27</v>
      </c>
      <c r="H291" s="67" cm="1">
        <f t="array" ref="H291">IFERROR(VLOOKUP(B291,ADP!A1:F671,6,FALSE)/1000000,VLOOKUP(B291,ADP!A1:F671,6,FALSE))</f>
        <v>4.375</v>
      </c>
      <c r="I291" s="52">
        <f>IF(Settings!$E$15="POINTS",((R291*Q291)*Settings!$B$12)+(S291*Settings!$B$2)+(T291*Settings!$B$3)+(U291*Settings!$B$4)+(V291*Settings!$B$5)+(X291*Settings!$B$9)+(AA291*Settings!$B$6)+(W291*Settings!$B$8)+(AB291*Settings!$B$7)+(AC291*Settings!$B$14)+(AD291*Settings!$B$15)+(AE291*Settings!$B$16)+(AF291*Settings!$B$17)+(AG291*Settings!$B$18)+(Y291*Settings!$B$10)+(Z291*Settings!$B$11),VLOOKUP(B291,'Standard Deviations'!A$1:C$672,3,FALSE))</f>
        <v>243.81124990232436</v>
      </c>
      <c r="J291" s="53" cm="1">
        <f t="array" ref="J291">IF(D291="G",I291/AJ291,I291/Q291)</f>
        <v>2.9448470562227782</v>
      </c>
      <c r="K291" s="52" cm="1">
        <f t="array" ref="K291">IF(Settings!$E$18="C/LW/RW",VLOOKUP(B291,'C'!A1:F210,6,FALSE),VLOOKUP(B291,F!A1:F407,6,FALSE))</f>
        <v>-142.72395649075864</v>
      </c>
      <c r="L291" s="54" cm="1">
        <f t="array" ref="L291">IFERROR(K291/H291,"N/A")</f>
        <v>-32.622618626459115</v>
      </c>
      <c r="M291" s="85" t="s">
        <v>832</v>
      </c>
      <c r="N291" s="85" t="str" cm="1">
        <f t="array" ref="N291">IFERROR(M291-A291,"N/A")</f>
        <v>N/A</v>
      </c>
      <c r="O291" s="55"/>
      <c r="P291" s="56" t="str" cm="1">
        <f t="array" ref="P291">_xlfn.XLOOKUP($B291,ADP!A2:A671,ADP!G2:G671)</f>
        <v xml:space="preserve"> </v>
      </c>
      <c r="Q291" s="57" cm="1">
        <f t="array" ref="Q291">IF(Settings!$E$12="YES",VLOOKUP(B291,'Player Data'!A1:E673,5,FALSE),84)</f>
        <v>82.792500000000004</v>
      </c>
      <c r="R291" s="55" cm="1">
        <f t="array" ref="R291">VLOOKUP(B291,'Player Data'!$A1:$AE673,6,FALSE)</f>
        <v>15.878958522180801</v>
      </c>
      <c r="S291" s="57" cm="1">
        <f t="array" ref="S291">VLOOKUP(B291,'Player Data'!$A1:$AE673,7,FALSE)*$Q291*IFERROR((VLOOKUP(P291,Settings!$E$28:$F$33,2,FALSE)+1),1)</f>
        <v>18.854359290350036</v>
      </c>
      <c r="T291" s="57" cm="1">
        <f t="array" ref="T291">VLOOKUP(B291,'Player Data'!$A1:$AE673,8,FALSE)*$Q291*IFERROR((VLOOKUP(P291,Settings!$E$28:$F$33,2,FALSE)+1),1)</f>
        <v>24.878129883642014</v>
      </c>
      <c r="U291" s="57" cm="1">
        <f t="array" ref="U291">SUM(S291:T291)</f>
        <v>43.73248917399205</v>
      </c>
      <c r="V291" s="57" cm="1">
        <f t="array" ref="V291">VLOOKUP(B291,'Player Data'!$A1:$AE673,10,FALSE)*$Q291*IFERROR(((VLOOKUP(P291,Settings!$E$28:$F$33,2,FALSE)/2)+1),1)</f>
        <v>148.54965300253971</v>
      </c>
      <c r="W291" s="57" cm="1">
        <f t="array" ref="W291">VLOOKUP(B291,'Player Data'!$A1:$AE673,11,FALSE)*$Q291*IFERROR((VLOOKUP(P291,Settings!$E$28:$F$33,2,FALSE)+1),1)</f>
        <v>5.4522097403741272</v>
      </c>
      <c r="X291" s="79" cm="1">
        <f t="array" ref="X291">VLOOKUP(B291,'Player Data'!$A1:$AE673,12,FALSE)*$Q291*IFERROR((VLOOKUP(P291,Settings!$E$28:$F$33,2,FALSE)+1),1)</f>
        <v>14.954140198120545</v>
      </c>
      <c r="Y291" s="57" cm="1">
        <f t="array" ref="Y291">VLOOKUP(B291,'Player Data'!$A1:$AE673,13,FALSE)*$Q291</f>
        <v>9.9690813026950178E-3</v>
      </c>
      <c r="Z291" s="57" cm="1">
        <f t="array" ref="Z291">VLOOKUP(B291,'Player Data'!$A1:$AE673,14,FALSE)*$Q291</f>
        <v>1.6422546439699946E-2</v>
      </c>
      <c r="AA291" s="57" cm="1">
        <f t="array" ref="AA291">VLOOKUP(B291,'Player Data'!$A1:$AE673,15,FALSE)*$Q291</f>
        <v>46.73678626903623</v>
      </c>
      <c r="AB291" s="57" cm="1">
        <f t="array" ref="AB291">VLOOKUP(B291,'Player Data'!$A1:$AE673,16,FALSE)*$Q291</f>
        <v>67.171379274731521</v>
      </c>
      <c r="AC291" s="57" cm="1">
        <f t="array" ref="AC291">VLOOKUP(B291,'Player Data'!$A1:$AE673,17,FALSE)*$Q291*IFERROR((VLOOKUP(P291,Settings!$E$28:$F$33,2,FALSE)+1),1)</f>
        <v>-7.6922614582082529</v>
      </c>
      <c r="AD291" s="57" cm="1">
        <f t="array" ref="AD291">VLOOKUP(B291,'Player Data'!$A1:$AE673,18,FALSE)*$Q291</f>
        <v>27.506142402951955</v>
      </c>
      <c r="AE291" s="57" cm="1">
        <f t="array" ref="AE291">VLOOKUP(B291,'Player Data'!$A1:$AE673,19,FALSE)*$Q291*IFERROR((VLOOKUP(P291,Settings!$E$28:$F$33,2,FALSE)+1),1)</f>
        <v>2.7107849195906994</v>
      </c>
      <c r="AF291" s="57" cm="1">
        <f t="array" ref="AF291">VLOOKUP(B291,'Player Data'!$A1:$AE673,20,FALSE)*$Q291</f>
        <v>569.94208781985571</v>
      </c>
      <c r="AG291" s="57" cm="1">
        <f t="array" ref="AG291">VLOOKUP(B291,'Player Data'!$A1:$AE673,21,FALSE)*$Q291</f>
        <v>503.00732153777062</v>
      </c>
      <c r="AH291" s="59" cm="1">
        <f t="array" ref="AH291">VLOOKUP(B291,'Player Data'!$A1:$AE673,22,FALSE)</f>
        <v>0.53119194889261301</v>
      </c>
      <c r="AI291" s="55"/>
      <c r="AJ291" s="57"/>
      <c r="AK291" s="57"/>
      <c r="AL291" s="57"/>
      <c r="AM291" s="57"/>
      <c r="AN291" s="57"/>
      <c r="AO291" s="57"/>
      <c r="AP291" s="57"/>
      <c r="AQ291" s="60"/>
      <c r="AR291" s="61"/>
      <c r="AS291" s="55"/>
    </row>
    <row r="292" spans="1:45" ht="21.25" customHeight="1" x14ac:dyDescent="0.15">
      <c r="A292" s="62">
        <f t="shared" si="4"/>
        <v>291</v>
      </c>
      <c r="B292" s="10" t="s">
        <v>420</v>
      </c>
      <c r="C292" s="47" t="s">
        <v>147</v>
      </c>
      <c r="D292" s="48" t="str" cm="1">
        <f t="array" ref="D292">VLOOKUP(B292,'Player Data'!A1:D673,4,FALSE)</f>
        <v>D</v>
      </c>
      <c r="E292" s="68" cm="1">
        <f t="array" ref="E292">VLOOKUP(B292,D!A1:C204,3,FALSE)</f>
        <v>117</v>
      </c>
      <c r="F292" s="72" t="str" cm="1">
        <f t="array" ref="F292">VLOOKUP(B292,'Player Data'!A1:B673,2,FALSE)</f>
        <v>BOS</v>
      </c>
      <c r="G292" s="11" cm="1">
        <f t="array" ref="G292">VLOOKUP(B292,'Player Data'!A1:D673,3,FALSE)</f>
        <v>29</v>
      </c>
      <c r="H292" s="51" cm="1">
        <f t="array" ref="H292">IFERROR(VLOOKUP(B292,ADP!A1:F671,6,FALSE)/1000000,VLOOKUP(B292,ADP!A1:F671,6,FALSE))</f>
        <v>4.0999999999999996</v>
      </c>
      <c r="I292" s="52">
        <f>IF(Settings!$E$15="POINTS",((R292*Q292)*Settings!$B$12)+(S292*Settings!$B$2)+(T292*Settings!$B$3)+(U292*Settings!$B$4)+(V292*Settings!$B$5)+(X292*Settings!$B$9)+(AA292*Settings!$B$6)+(W292*Settings!$B$8)+(AB292*Settings!$B$7)+(AC292*Settings!$B$14)+(AD292*Settings!$B$15)+(AE292*Settings!$B$16)+(AF292*Settings!$B$17)+(AG292*Settings!$B$18)+(U292*Settings!$B$13)+(Y292*Settings!$B$10)+(Z292*Settings!$B$11),VLOOKUP(B292,'Standard Deviations'!A$1:C$672,3,FALSE))</f>
        <v>163.74891626600154</v>
      </c>
      <c r="J292" s="53" cm="1">
        <f t="array" ref="J292">IF(D292="G",I292/AJ292,I292/Q292)</f>
        <v>1.9713940257757898</v>
      </c>
      <c r="K292" s="52" cm="1">
        <f t="array" ref="K292">VLOOKUP(B292,D!A1:F204,6,FALSE)</f>
        <v>-142.90495107859252</v>
      </c>
      <c r="L292" s="54" cm="1">
        <f t="array" ref="L292">IFERROR(K292/H292,"N/A")</f>
        <v>-34.854866116729887</v>
      </c>
      <c r="M292" s="85" t="s">
        <v>832</v>
      </c>
      <c r="N292" s="85" t="str" cm="1">
        <f t="array" ref="N292">IFERROR(M292-A292,"N/A")</f>
        <v>N/A</v>
      </c>
      <c r="O292" s="55"/>
      <c r="P292" s="56" t="str" cm="1">
        <f t="array" ref="P292">_xlfn.XLOOKUP($B292,ADP!A2:A671,ADP!G2:G671)</f>
        <v xml:space="preserve"> </v>
      </c>
      <c r="Q292" s="57" cm="1">
        <f t="array" ref="Q292">IF(Settings!$E$12="YES",VLOOKUP(B292,'Player Data'!A1:E673,5,FALSE),84)</f>
        <v>83.0625</v>
      </c>
      <c r="R292" s="82" cm="1">
        <f t="array" ref="R292">VLOOKUP(B292,'Player Data'!$A1:$AE673,6,FALSE)</f>
        <v>19.108335971216999</v>
      </c>
      <c r="S292" s="57" cm="1">
        <f t="array" ref="S292">VLOOKUP(B292,'Player Data'!$A1:$AE673,7,FALSE)*$Q292*IFERROR((VLOOKUP(P292,Settings!$E$28:$F$33,2,FALSE)+1),1)</f>
        <v>4.7946799725585567</v>
      </c>
      <c r="T292" s="57" cm="1">
        <f t="array" ref="T292">VLOOKUP(B292,'Player Data'!$A1:$AE673,8,FALSE)*$Q292*IFERROR((VLOOKUP(P292,Settings!$E$28:$F$33,2,FALSE)+1),1)</f>
        <v>14.972863618421828</v>
      </c>
      <c r="U292" s="57" cm="1">
        <f t="array" ref="U292">SUM(S292:T292)</f>
        <v>19.767543590980384</v>
      </c>
      <c r="V292" s="57" cm="1">
        <f t="array" ref="V292">VLOOKUP(B292,'Player Data'!$A1:$AE673,10,FALSE)*$Q292*IFERROR(((VLOOKUP(P292,Settings!$E$28:$F$33,2,FALSE)/2)+1),1)</f>
        <v>87.318691428417225</v>
      </c>
      <c r="W292" s="57" cm="1">
        <f t="array" ref="W292">VLOOKUP(B292,'Player Data'!$A1:$AE673,11,FALSE)*$Q292*IFERROR((VLOOKUP(P292,Settings!$E$28:$F$33,2,FALSE)+1),1)</f>
        <v>6.7602312938939649E-3</v>
      </c>
      <c r="X292" s="57" cm="1">
        <f t="array" ref="X292">VLOOKUP(B292,'Player Data'!$A1:$AE673,12,FALSE)*$Q292*IFERROR((VLOOKUP(P292,Settings!$E$28:$F$33,2,FALSE)+1),1)</f>
        <v>5.2856466767654348E-2</v>
      </c>
      <c r="Y292" s="57" cm="1">
        <f t="array" ref="Y292">VLOOKUP(B292,'Player Data'!$A1:$AE673,13,FALSE)*$Q292</f>
        <v>0.29945884398284622</v>
      </c>
      <c r="Z292" s="57" cm="1">
        <f t="array" ref="Z292">VLOOKUP(B292,'Player Data'!$A1:$AE673,14,FALSE)*$Q292</f>
        <v>0.40829482452268262</v>
      </c>
      <c r="AA292" s="57" cm="1">
        <f t="array" ref="AA292">VLOOKUP(B292,'Player Data'!$A1:$AE673,15,FALSE)*$Q292</f>
        <v>120.65157697512291</v>
      </c>
      <c r="AB292" s="57" cm="1">
        <f t="array" ref="AB292">VLOOKUP(B292,'Player Data'!$A1:$AE673,16,FALSE)*$Q292</f>
        <v>122.99682059695755</v>
      </c>
      <c r="AC292" s="57" cm="1">
        <f t="array" ref="AC292">VLOOKUP(B292,'Player Data'!$A1:$AE673,17,FALSE)*$Q292*IFERROR((VLOOKUP(P292,Settings!$E$28:$F$33,2,FALSE)+1),1)</f>
        <v>-2.8896486567787223</v>
      </c>
      <c r="AD292" s="57" cm="1">
        <f t="array" ref="AD292">VLOOKUP(B292,'Player Data'!$A1:$AE673,18,FALSE)*$Q292</f>
        <v>45.370472222290061</v>
      </c>
      <c r="AE292" s="57" cm="1">
        <f t="array" ref="AE292">VLOOKUP(B292,'Player Data'!$A1:$AE673,19,FALSE)*$Q292*IFERROR((VLOOKUP(P292,Settings!$E$28:$F$33,2,FALSE)+1),1)</f>
        <v>0.64546787543119677</v>
      </c>
      <c r="AF292" s="57" cm="1">
        <f t="array" ref="AF292">VLOOKUP(B292,'Player Data'!$A1:$AE673,20,FALSE)*$Q292</f>
        <v>0</v>
      </c>
      <c r="AG292" s="57" cm="1">
        <f t="array" ref="AG292">VLOOKUP(B292,'Player Data'!$A1:$AE673,21,FALSE)*$Q292</f>
        <v>0</v>
      </c>
      <c r="AH292" s="59" cm="1">
        <f t="array" ref="AH292">VLOOKUP(B292,'Player Data'!$A1:$AE673,22,FALSE)</f>
        <v>0</v>
      </c>
      <c r="AI292" s="55"/>
      <c r="AJ292" s="57"/>
      <c r="AK292" s="57"/>
      <c r="AL292" s="57"/>
      <c r="AM292" s="57"/>
      <c r="AN292" s="57"/>
      <c r="AO292" s="57"/>
      <c r="AP292" s="57"/>
      <c r="AQ292" s="60"/>
      <c r="AR292" s="61"/>
      <c r="AS292" s="55"/>
    </row>
    <row r="293" spans="1:45" ht="21.25" customHeight="1" x14ac:dyDescent="0.15">
      <c r="A293" s="62">
        <f t="shared" si="4"/>
        <v>292</v>
      </c>
      <c r="B293" s="10" t="s">
        <v>421</v>
      </c>
      <c r="C293" s="47" t="s">
        <v>147</v>
      </c>
      <c r="D293" s="48" t="str" cm="1">
        <f t="array" ref="D293">VLOOKUP(B293,'Player Data'!A1:D673,4,FALSE)</f>
        <v>LW</v>
      </c>
      <c r="E293" s="75" cm="1">
        <f t="array" ref="E293">VLOOKUP(B293,LW!A1:C210,3,FALSE)</f>
        <v>66</v>
      </c>
      <c r="F293" s="56" t="str" cm="1">
        <f t="array" ref="F293">VLOOKUP(B293,'Player Data'!A1:B673,2,FALSE)</f>
        <v>S.J</v>
      </c>
      <c r="G293" s="71" cm="1">
        <f t="array" ref="G293">VLOOKUP(B293,'Player Data'!A1:D673,3,FALSE)</f>
        <v>18</v>
      </c>
      <c r="H293" s="51" cm="1">
        <f t="array" ref="H293">IFERROR(VLOOKUP(B293,ADP!A1:F671,6,FALSE)/1000000,VLOOKUP(B293,ADP!A1:F671,6,FALSE))</f>
        <v>1.075</v>
      </c>
      <c r="I293" s="52">
        <f>IF(Settings!$E$15="POINTS",((R293*Q293)*Settings!$B$12)+(S293*Settings!$B$2)+(T293*Settings!$B$3)+(U293*Settings!$B$4)+(V293*Settings!$B$5)+(X293*Settings!$B$9)+(AA293*Settings!$B$6)+(W293*Settings!$B$8)+(AB293*Settings!$B$7)+(AC293*Settings!$B$14)+(AD293*Settings!$B$15)+(AE293*Settings!$B$16)+(AF293*Settings!$B$17)+(AG293*Settings!$B$18)+(Y293*Settings!$B$10)+(Z293*Settings!$B$11),VLOOKUP(B293,'Standard Deviations'!A$1:C$672,3,FALSE))</f>
        <v>256.29801726603927</v>
      </c>
      <c r="J293" s="53" cm="1">
        <f t="array" ref="J293">IF(D293="G",I293/AJ293,I293/Q293)</f>
        <v>3.2037252158254907</v>
      </c>
      <c r="K293" s="52" cm="1">
        <f t="array" ref="K293">IF(Settings!$E$18="C/LW/RW",VLOOKUP(B293,LW!A1:F210,6,FALSE),VLOOKUP(B293,F!A1:F407,6,FALSE))</f>
        <v>-143.01497604768082</v>
      </c>
      <c r="L293" s="54" cm="1">
        <f t="array" ref="L293">IFERROR(K293/H293,"N/A")</f>
        <v>-133.03718702109845</v>
      </c>
      <c r="M293" s="55">
        <v>136.69999999999999</v>
      </c>
      <c r="N293" s="55" cm="1">
        <f t="array" ref="N293">IFERROR(M293-A293,"N/A")</f>
        <v>-155.30000000000001</v>
      </c>
      <c r="O293" s="55"/>
      <c r="P293" s="56" t="str" cm="1">
        <f t="array" ref="P293">_xlfn.XLOOKUP($B293,ADP!A2:A671,ADP!G2:G671)</f>
        <v>+</v>
      </c>
      <c r="Q293" s="57" cm="1">
        <f t="array" ref="Q293">IF(Settings!$E$12="YES",VLOOKUP(B293,'Player Data'!A1:E673,5,FALSE),84)</f>
        <v>80</v>
      </c>
      <c r="R293" s="55" cm="1">
        <f t="array" ref="R293">VLOOKUP(B293,'Player Data'!$A1:$AE673,6,FALSE)</f>
        <v>15</v>
      </c>
      <c r="S293" s="57" cm="1">
        <f t="array" ref="S293">VLOOKUP(B293,'Player Data'!$A1:$AE673,7,FALSE)*$Q293*IFERROR((VLOOKUP(P293,Settings!$E$28:$F$33,2,FALSE)+1),1)</f>
        <v>18.614483229199617</v>
      </c>
      <c r="T293" s="57" cm="1">
        <f t="array" ref="T293">VLOOKUP(B293,'Player Data'!$A1:$AE673,8,FALSE)*$Q293*IFERROR((VLOOKUP(P293,Settings!$E$28:$F$33,2,FALSE)+1),1)</f>
        <v>32.03053656783036</v>
      </c>
      <c r="U293" s="57" cm="1">
        <f t="array" ref="U293">SUM(S293:T293)</f>
        <v>50.645019797029974</v>
      </c>
      <c r="V293" s="57" cm="1">
        <f t="array" ref="V293">VLOOKUP(B293,'Player Data'!$A1:$AE673,10,FALSE)*$Q293*IFERROR(((VLOOKUP(P293,Settings!$E$28:$F$33,2,FALSE)/2)+1),1)</f>
        <v>148.4050218634942</v>
      </c>
      <c r="W293" s="57" cm="1">
        <f t="array" ref="W293">VLOOKUP(B293,'Player Data'!$A1:$AE673,11,FALSE)*$Q293*IFERROR((VLOOKUP(P293,Settings!$E$28:$F$33,2,FALSE)+1),1)</f>
        <v>4.8102041332218217</v>
      </c>
      <c r="X293" s="57" cm="1">
        <f t="array" ref="X293">VLOOKUP(B293,'Player Data'!$A1:$AE673,12,FALSE)*$Q293*IFERROR((VLOOKUP(P293,Settings!$E$28:$F$33,2,FALSE)+1),1)</f>
        <v>13.087276211494885</v>
      </c>
      <c r="Y293" s="57" cm="1">
        <f t="array" ref="Y293">VLOOKUP(B293,'Player Data'!$A1:$AE673,13,FALSE)*$Q293</f>
        <v>0</v>
      </c>
      <c r="Z293" s="57" cm="1">
        <f t="array" ref="Z293">VLOOKUP(B293,'Player Data'!$A1:$AE673,14,FALSE)*$Q293</f>
        <v>0</v>
      </c>
      <c r="AA293" s="57" cm="1">
        <f t="array" ref="AA293">VLOOKUP(B293,'Player Data'!$A1:$AE673,15,FALSE)*$Q293</f>
        <v>34.146341463414636</v>
      </c>
      <c r="AB293" s="57" cm="1">
        <f t="array" ref="AB293">VLOOKUP(B293,'Player Data'!$A1:$AE673,16,FALSE)*$Q293</f>
        <v>94.647392261380801</v>
      </c>
      <c r="AC293" s="57" cm="1">
        <f t="array" ref="AC293">VLOOKUP(B293,'Player Data'!$A1:$AE673,17,FALSE)*$Q293*IFERROR((VLOOKUP(P293,Settings!$E$28:$F$33,2,FALSE)+1),1)</f>
        <v>1.024390243902438E-2</v>
      </c>
      <c r="AD293" s="57" cm="1">
        <f t="array" ref="AD293">VLOOKUP(B293,'Player Data'!$A1:$AE673,18,FALSE)*$Q293</f>
        <v>32.325351870680322</v>
      </c>
      <c r="AE293" s="57" cm="1">
        <f t="array" ref="AE293">VLOOKUP(B293,'Player Data'!$A1:$AE673,19,FALSE)*$Q293*IFERROR((VLOOKUP(P293,Settings!$E$28:$F$33,2,FALSE)+1),1)</f>
        <v>2.6028545989655836</v>
      </c>
      <c r="AF293" s="57" cm="1">
        <f t="array" ref="AF293">VLOOKUP(B293,'Player Data'!$A1:$AE673,20,FALSE)*$Q293</f>
        <v>0</v>
      </c>
      <c r="AG293" s="57" cm="1">
        <f t="array" ref="AG293">VLOOKUP(B293,'Player Data'!$A1:$AE673,21,FALSE)*$Q293</f>
        <v>0</v>
      </c>
      <c r="AH293" s="59" cm="1">
        <f t="array" ref="AH293">VLOOKUP(B293,'Player Data'!$A1:$AE673,22,FALSE)</f>
        <v>0.4</v>
      </c>
      <c r="AI293" s="55"/>
      <c r="AJ293" s="57"/>
      <c r="AK293" s="57"/>
      <c r="AL293" s="57"/>
      <c r="AM293" s="57"/>
      <c r="AN293" s="57"/>
      <c r="AO293" s="57"/>
      <c r="AP293" s="57"/>
      <c r="AQ293" s="60"/>
      <c r="AR293" s="61"/>
      <c r="AS293" s="55"/>
    </row>
    <row r="294" spans="1:45" ht="21.25" customHeight="1" x14ac:dyDescent="0.15">
      <c r="A294" s="62">
        <f t="shared" si="4"/>
        <v>293</v>
      </c>
      <c r="B294" s="10" t="s">
        <v>422</v>
      </c>
      <c r="C294" s="47" t="s">
        <v>147</v>
      </c>
      <c r="D294" s="48" t="str" cm="1">
        <f t="array" ref="D294">VLOOKUP(B294,'Player Data'!A1:D673,4,FALSE)</f>
        <v>C</v>
      </c>
      <c r="E294" s="49" cm="1">
        <f t="array" ref="E294">VLOOKUP(B294,'C'!A1:C210,3,FALSE)</f>
        <v>75</v>
      </c>
      <c r="F294" s="56" t="str" cm="1">
        <f t="array" ref="F294">VLOOKUP(B294,'Player Data'!A1:B673,2,FALSE)</f>
        <v>S.J</v>
      </c>
      <c r="G294" s="66" cm="1">
        <f t="array" ref="G294">VLOOKUP(B294,'Player Data'!A1:D673,3,FALSE)</f>
        <v>31</v>
      </c>
      <c r="H294" s="51" cm="1">
        <f t="array" ref="H294">IFERROR(VLOOKUP(B294,ADP!A1:F671,6,FALSE)/1000000,VLOOKUP(B294,ADP!A1:F671,6,FALSE))</f>
        <v>6</v>
      </c>
      <c r="I294" s="52">
        <f>IF(Settings!$E$15="POINTS",((R294*Q294)*Settings!$B$12)+(S294*Settings!$B$2)+(T294*Settings!$B$3)+(U294*Settings!$B$4)+(V294*Settings!$B$5)+(X294*Settings!$B$9)+(AA294*Settings!$B$6)+(W294*Settings!$B$8)+(AB294*Settings!$B$7)+(AC294*Settings!$B$14)+(AD294*Settings!$B$15)+(AE294*Settings!$B$16)+(AF294*Settings!$B$17)+(AG294*Settings!$B$18)+(Y294*Settings!$B$10)+(Z294*Settings!$B$11),VLOOKUP(B294,'Standard Deviations'!A$1:C$672,3,FALSE))</f>
        <v>243.22239443695764</v>
      </c>
      <c r="J294" s="53" cm="1">
        <f t="array" ref="J294">IF(D294="G",I294/AJ294,I294/Q294)</f>
        <v>2.9414650876729573</v>
      </c>
      <c r="K294" s="52" cm="1">
        <f t="array" ref="K294">IF(Settings!$E$18="C/LW/RW",VLOOKUP(B294,'C'!A1:F210,6,FALSE),VLOOKUP(B294,F!A1:F407,6,FALSE))</f>
        <v>-143.31281195612536</v>
      </c>
      <c r="L294" s="54" cm="1">
        <f t="array" ref="L294">IFERROR(K294/H294,"N/A")</f>
        <v>-23.885468659354228</v>
      </c>
      <c r="M294" s="85" t="s">
        <v>832</v>
      </c>
      <c r="N294" s="85" t="str" cm="1">
        <f t="array" ref="N294">IFERROR(M294-A294,"N/A")</f>
        <v>N/A</v>
      </c>
      <c r="O294" s="55"/>
      <c r="P294" s="56" t="str" cm="1">
        <f t="array" ref="P294">_xlfn.XLOOKUP($B294,ADP!A2:A671,ADP!G2:G671)</f>
        <v xml:space="preserve"> </v>
      </c>
      <c r="Q294" s="57" cm="1">
        <f t="array" ref="Q294">IF(Settings!$E$12="YES",VLOOKUP(B294,'Player Data'!A1:E673,5,FALSE),84)</f>
        <v>82.6875</v>
      </c>
      <c r="R294" s="84" cm="1">
        <f t="array" ref="R294">VLOOKUP(B294,'Player Data'!$A1:$AE673,6,FALSE)</f>
        <v>19.467213002623701</v>
      </c>
      <c r="S294" s="57" cm="1">
        <f t="array" ref="S294">VLOOKUP(B294,'Player Data'!$A1:$AE673,7,FALSE)*$Q294*IFERROR((VLOOKUP(P294,Settings!$E$28:$F$33,2,FALSE)+1),1)</f>
        <v>15.206003043284021</v>
      </c>
      <c r="T294" s="57" cm="1">
        <f t="array" ref="T294">VLOOKUP(B294,'Player Data'!$A1:$AE673,8,FALSE)*$Q294*IFERROR((VLOOKUP(P294,Settings!$E$28:$F$33,2,FALSE)+1),1)</f>
        <v>30.407020188085379</v>
      </c>
      <c r="U294" s="57" cm="1">
        <f t="array" ref="U294">SUM(S294:T294)</f>
        <v>45.613023231369397</v>
      </c>
      <c r="V294" s="57" cm="1">
        <f t="array" ref="V294">VLOOKUP(B294,'Player Data'!$A1:$AE673,10,FALSE)*$Q294*IFERROR(((VLOOKUP(P294,Settings!$E$28:$F$33,2,FALSE)/2)+1),1)</f>
        <v>99.217213056714257</v>
      </c>
      <c r="W294" s="57" cm="1">
        <f t="array" ref="W294">VLOOKUP(B294,'Player Data'!$A1:$AE673,11,FALSE)*$Q294*IFERROR((VLOOKUP(P294,Settings!$E$28:$F$33,2,FALSE)+1),1)</f>
        <v>5.5238269421728123</v>
      </c>
      <c r="X294" s="79" cm="1">
        <f t="array" ref="X294">VLOOKUP(B294,'Player Data'!$A1:$AE673,12,FALSE)*$Q294*IFERROR((VLOOKUP(P294,Settings!$E$28:$F$33,2,FALSE)+1),1)</f>
        <v>11.655848140368754</v>
      </c>
      <c r="Y294" s="57" cm="1">
        <f t="array" ref="Y294">VLOOKUP(B294,'Player Data'!$A1:$AE673,13,FALSE)*$Q294</f>
        <v>0.37017612168858932</v>
      </c>
      <c r="Z294" s="57" cm="1">
        <f t="array" ref="Z294">VLOOKUP(B294,'Player Data'!$A1:$AE673,14,FALSE)*$Q294</f>
        <v>1.1504812628399075</v>
      </c>
      <c r="AA294" s="57" cm="1">
        <f t="array" ref="AA294">VLOOKUP(B294,'Player Data'!$A1:$AE673,15,FALSE)*$Q294</f>
        <v>87.936777622567334</v>
      </c>
      <c r="AB294" s="57" cm="1">
        <f t="array" ref="AB294">VLOOKUP(B294,'Player Data'!$A1:$AE673,16,FALSE)*$Q294</f>
        <v>37.17525591552787</v>
      </c>
      <c r="AC294" s="57" cm="1">
        <f t="array" ref="AC294">VLOOKUP(B294,'Player Data'!$A1:$AE673,17,FALSE)*$Q294*IFERROR((VLOOKUP(P294,Settings!$E$28:$F$33,2,FALSE)+1),1)</f>
        <v>-3.5125182369127548</v>
      </c>
      <c r="AD294" s="57" cm="1">
        <f t="array" ref="AD294">VLOOKUP(B294,'Player Data'!$A1:$AE673,18,FALSE)*$Q294</f>
        <v>20.540453294909337</v>
      </c>
      <c r="AE294" s="57" cm="1">
        <f t="array" ref="AE294">VLOOKUP(B294,'Player Data'!$A1:$AE673,19,FALSE)*$Q294*IFERROR((VLOOKUP(P294,Settings!$E$28:$F$33,2,FALSE)+1),1)</f>
        <v>2.126248387653912</v>
      </c>
      <c r="AF294" s="57" cm="1">
        <f t="array" ref="AF294">VLOOKUP(B294,'Player Data'!$A1:$AE673,20,FALSE)*$Q294</f>
        <v>632.85828350575343</v>
      </c>
      <c r="AG294" s="57" cm="1">
        <f t="array" ref="AG294">VLOOKUP(B294,'Player Data'!$A1:$AE673,21,FALSE)*$Q294</f>
        <v>714.48512831567598</v>
      </c>
      <c r="AH294" s="59" cm="1">
        <f t="array" ref="AH294">VLOOKUP(B294,'Player Data'!$A1:$AE673,22,FALSE)</f>
        <v>0.46970822579687599</v>
      </c>
      <c r="AI294" s="55"/>
      <c r="AJ294" s="57"/>
      <c r="AK294" s="57"/>
      <c r="AL294" s="57"/>
      <c r="AM294" s="57"/>
      <c r="AN294" s="57"/>
      <c r="AO294" s="57"/>
      <c r="AP294" s="57"/>
      <c r="AQ294" s="60"/>
      <c r="AR294" s="61"/>
      <c r="AS294" s="55"/>
    </row>
    <row r="295" spans="1:45" ht="21.25" customHeight="1" x14ac:dyDescent="0.15">
      <c r="A295" s="62">
        <f t="shared" si="4"/>
        <v>294</v>
      </c>
      <c r="B295" s="10" t="s">
        <v>423</v>
      </c>
      <c r="C295" s="47" t="s">
        <v>147</v>
      </c>
      <c r="D295" s="48" t="str" cm="1">
        <f t="array" ref="D295">VLOOKUP(B295,'Player Data'!A1:D673,4,FALSE)</f>
        <v>C</v>
      </c>
      <c r="E295" s="49" cm="1">
        <f t="array" ref="E295">VLOOKUP(B295,'C'!A1:C210,3,FALSE)</f>
        <v>77</v>
      </c>
      <c r="F295" s="72" t="str" cm="1">
        <f t="array" ref="F295">VLOOKUP(B295,'Player Data'!A1:B673,2,FALSE)</f>
        <v>PIT</v>
      </c>
      <c r="G295" s="71" cm="1">
        <f t="array" ref="G295">VLOOKUP(B295,'Player Data'!A1:D673,3,FALSE)</f>
        <v>19</v>
      </c>
      <c r="H295" s="51" cm="1">
        <f t="array" ref="H295">IFERROR(VLOOKUP(B295,ADP!A1:F671,6,FALSE)/1000000,VLOOKUP(B295,ADP!A1:F671,6,FALSE))</f>
        <v>0.97499999999999998</v>
      </c>
      <c r="I295" s="52">
        <f>IF(Settings!$E$15="POINTS",((R295*Q295)*Settings!$B$12)+(S295*Settings!$B$2)+(T295*Settings!$B$3)+(U295*Settings!$B$4)+(V295*Settings!$B$5)+(X295*Settings!$B$9)+(AA295*Settings!$B$6)+(W295*Settings!$B$8)+(AB295*Settings!$B$7)+(AC295*Settings!$B$14)+(AD295*Settings!$B$15)+(AE295*Settings!$B$16)+(AF295*Settings!$B$17)+(AG295*Settings!$B$18)+(Y295*Settings!$B$10)+(Z295*Settings!$B$11),VLOOKUP(B295,'Standard Deviations'!A$1:C$672,3,FALSE))</f>
        <v>242.1889287381953</v>
      </c>
      <c r="J295" s="53" cm="1">
        <f t="array" ref="J295">IF(D295="G",I295/AJ295,I295/Q295)</f>
        <v>2.9551452472478226</v>
      </c>
      <c r="K295" s="52" cm="1">
        <f t="array" ref="K295">IF(Settings!$E$18="C/LW/RW",VLOOKUP(B295,'C'!A1:F210,6,FALSE),VLOOKUP(B295,F!A1:F407,6,FALSE))</f>
        <v>-144.3462776548877</v>
      </c>
      <c r="L295" s="54" cm="1">
        <f t="array" ref="L295">IFERROR(K295/H295,"N/A")</f>
        <v>-148.04746426142327</v>
      </c>
      <c r="M295" s="85" t="s">
        <v>832</v>
      </c>
      <c r="N295" s="85" t="str" cm="1">
        <f t="array" ref="N295">IFERROR(M295-A295,"N/A")</f>
        <v>N/A</v>
      </c>
      <c r="O295" s="55"/>
      <c r="P295" s="56" t="str" cm="1">
        <f t="array" ref="P295">_xlfn.XLOOKUP($B295,ADP!A2:A671,ADP!G2:G671)</f>
        <v xml:space="preserve"> </v>
      </c>
      <c r="Q295" s="57" cm="1">
        <f t="array" ref="Q295">IF(Settings!$E$12="YES",VLOOKUP(B295,'Player Data'!A1:E673,5,FALSE),84)</f>
        <v>81.954999999999998</v>
      </c>
      <c r="R295" s="55" cm="1">
        <f t="array" ref="R295">VLOOKUP(B295,'Player Data'!$A1:$AE673,6,FALSE)</f>
        <v>15.899421135028801</v>
      </c>
      <c r="S295" s="57" cm="1">
        <f t="array" ref="S295">VLOOKUP(B295,'Player Data'!$A1:$AE673,7,FALSE)*$Q295*IFERROR((VLOOKUP(P295,Settings!$E$28:$F$33,2,FALSE)+1),1)</f>
        <v>18.405756490823315</v>
      </c>
      <c r="T295" s="57" cm="1">
        <f t="array" ref="T295">VLOOKUP(B295,'Player Data'!$A1:$AE673,8,FALSE)*$Q295*IFERROR((VLOOKUP(P295,Settings!$E$28:$F$33,2,FALSE)+1),1)</f>
        <v>21.662381352992831</v>
      </c>
      <c r="U295" s="57" cm="1">
        <f t="array" ref="U295">SUM(S295:T295)</f>
        <v>40.068137843816146</v>
      </c>
      <c r="V295" s="57" cm="1">
        <f t="array" ref="V295">VLOOKUP(B295,'Player Data'!$A1:$AE673,10,FALSE)*$Q295*IFERROR(((VLOOKUP(P295,Settings!$E$28:$F$33,2,FALSE)/2)+1),1)</f>
        <v>159.88254154722657</v>
      </c>
      <c r="W295" s="57" cm="1">
        <f t="array" ref="W295">VLOOKUP(B295,'Player Data'!$A1:$AE673,11,FALSE)*$Q295*IFERROR((VLOOKUP(P295,Settings!$E$28:$F$33,2,FALSE)+1),1)</f>
        <v>3.6741990573741399</v>
      </c>
      <c r="X295" s="57" cm="1">
        <f t="array" ref="X295">VLOOKUP(B295,'Player Data'!$A1:$AE673,12,FALSE)*$Q295*IFERROR((VLOOKUP(P295,Settings!$E$28:$F$33,2,FALSE)+1),1)</f>
        <v>9.3636671945802359</v>
      </c>
      <c r="Y295" s="57" cm="1">
        <f t="array" ref="Y295">VLOOKUP(B295,'Player Data'!$A1:$AE673,13,FALSE)*$Q295</f>
        <v>0.26654477123555426</v>
      </c>
      <c r="Z295" s="57" cm="1">
        <f t="array" ref="Z295">VLOOKUP(B295,'Player Data'!$A1:$AE673,14,FALSE)*$Q295</f>
        <v>1.7082116599794306</v>
      </c>
      <c r="AA295" s="57" cm="1">
        <f t="array" ref="AA295">VLOOKUP(B295,'Player Data'!$A1:$AE673,15,FALSE)*$Q295</f>
        <v>61.942731157147811</v>
      </c>
      <c r="AB295" s="57" cm="1">
        <f t="array" ref="AB295">VLOOKUP(B295,'Player Data'!$A1:$AE673,16,FALSE)*$Q295</f>
        <v>43.266388041868098</v>
      </c>
      <c r="AC295" s="57" cm="1">
        <f t="array" ref="AC295">VLOOKUP(B295,'Player Data'!$A1:$AE673,17,FALSE)*$Q295*IFERROR((VLOOKUP(P295,Settings!$E$28:$F$33,2,FALSE)+1),1)</f>
        <v>-0.28272404376094018</v>
      </c>
      <c r="AD295" s="57" cm="1">
        <f t="array" ref="AD295">VLOOKUP(B295,'Player Data'!$A1:$AE673,18,FALSE)*$Q295</f>
        <v>24.509802822768236</v>
      </c>
      <c r="AE295" s="57" cm="1">
        <f t="array" ref="AE295">VLOOKUP(B295,'Player Data'!$A1:$AE673,19,FALSE)*$Q295*IFERROR((VLOOKUP(P295,Settings!$E$28:$F$33,2,FALSE)+1),1)</f>
        <v>2.6686007822290048</v>
      </c>
      <c r="AF295" s="57" cm="1">
        <f t="array" ref="AF295">VLOOKUP(B295,'Player Data'!$A1:$AE673,20,FALSE)*$Q295</f>
        <v>316.80011265816194</v>
      </c>
      <c r="AG295" s="57" cm="1">
        <f t="array" ref="AG295">VLOOKUP(B295,'Player Data'!$A1:$AE673,21,FALSE)*$Q295</f>
        <v>412.28950831753758</v>
      </c>
      <c r="AH295" s="59" cm="1">
        <f t="array" ref="AH295">VLOOKUP(B295,'Player Data'!$A1:$AE673,22,FALSE)</f>
        <v>0.43451463790446798</v>
      </c>
      <c r="AI295" s="55"/>
      <c r="AJ295" s="57"/>
      <c r="AK295" s="57"/>
      <c r="AL295" s="57"/>
      <c r="AM295" s="57"/>
      <c r="AN295" s="57"/>
      <c r="AO295" s="57"/>
      <c r="AP295" s="57"/>
      <c r="AQ295" s="60"/>
      <c r="AR295" s="61"/>
      <c r="AS295" s="55"/>
    </row>
    <row r="296" spans="1:45" ht="21.25" customHeight="1" x14ac:dyDescent="0.15">
      <c r="A296" s="62">
        <f t="shared" si="4"/>
        <v>295</v>
      </c>
      <c r="B296" s="10" t="s">
        <v>424</v>
      </c>
      <c r="C296" s="47" t="s">
        <v>147</v>
      </c>
      <c r="D296" s="48" t="str" cm="1">
        <f t="array" ref="D296">VLOOKUP(B296,'Player Data'!A1:D673,4,FALSE)</f>
        <v>D</v>
      </c>
      <c r="E296" s="68" cm="1">
        <f t="array" ref="E296">VLOOKUP(B296,D!A1:C204,3,FALSE)</f>
        <v>118</v>
      </c>
      <c r="F296" s="63" t="str" cm="1">
        <f t="array" ref="F296">VLOOKUP(B296,'Player Data'!A1:B673,2,FALSE)</f>
        <v>CGY</v>
      </c>
      <c r="G296" s="71" cm="1">
        <f t="array" ref="G296">VLOOKUP(B296,'Player Data'!A1:D673,3,FALSE)</f>
        <v>20</v>
      </c>
      <c r="H296" s="51" cm="1">
        <f t="array" ref="H296">IFERROR(VLOOKUP(B296,ADP!A1:F671,6,FALSE)/1000000,VLOOKUP(B296,ADP!A1:F671,6,FALSE))</f>
        <v>0.95374999999999999</v>
      </c>
      <c r="I296" s="52">
        <f>IF(Settings!$E$15="POINTS",((R296*Q296)*Settings!$B$12)+(S296*Settings!$B$2)+(T296*Settings!$B$3)+(U296*Settings!$B$4)+(V296*Settings!$B$5)+(X296*Settings!$B$9)+(AA296*Settings!$B$6)+(W296*Settings!$B$8)+(AB296*Settings!$B$7)+(AC296*Settings!$B$14)+(AD296*Settings!$B$15)+(AE296*Settings!$B$16)+(AF296*Settings!$B$17)+(AG296*Settings!$B$18)+(U296*Settings!$B$13)+(Y296*Settings!$B$10)+(Z296*Settings!$B$11),VLOOKUP(B296,'Standard Deviations'!A$1:C$672,3,FALSE))</f>
        <v>161.70296134999384</v>
      </c>
      <c r="J296" s="53" cm="1">
        <f t="array" ref="J296">IF(D296="G",I296/AJ296,I296/Q296)</f>
        <v>2.185175153378295</v>
      </c>
      <c r="K296" s="52" cm="1">
        <f t="array" ref="K296">VLOOKUP(B296,D!A1:F204,6,FALSE)</f>
        <v>-144.95090599460022</v>
      </c>
      <c r="L296" s="54" cm="1">
        <f t="array" ref="L296">IFERROR(K296/H296,"N/A")</f>
        <v>-151.97998007297534</v>
      </c>
      <c r="M296" s="55">
        <v>136</v>
      </c>
      <c r="N296" s="55" cm="1">
        <f t="array" ref="N296">IFERROR(M296-A296,"N/A")</f>
        <v>-159</v>
      </c>
      <c r="O296" s="55"/>
      <c r="P296" s="56" t="str" cm="1">
        <f t="array" ref="P296">_xlfn.XLOOKUP($B296,ADP!A2:A671,ADP!G2:G671)</f>
        <v xml:space="preserve"> </v>
      </c>
      <c r="Q296" s="57" cm="1">
        <f t="array" ref="Q296">IF(Settings!$E$12="YES",VLOOKUP(B296,'Player Data'!A1:E673,5,FALSE),84)</f>
        <v>74</v>
      </c>
      <c r="R296" s="55" cm="1">
        <f t="array" ref="R296">VLOOKUP(B296,'Player Data'!$A1:$AE673,6,FALSE)</f>
        <v>17.545074950125599</v>
      </c>
      <c r="S296" s="57" cm="1">
        <f t="array" ref="S296">VLOOKUP(B296,'Player Data'!$A1:$AE673,7,FALSE)*$Q296*IFERROR((VLOOKUP(P296,Settings!$E$28:$F$33,2,FALSE)+1),1)</f>
        <v>7.4726921393501158</v>
      </c>
      <c r="T296" s="57" cm="1">
        <f t="array" ref="T296">VLOOKUP(B296,'Player Data'!$A1:$AE673,8,FALSE)*$Q296*IFERROR((VLOOKUP(P296,Settings!$E$28:$F$33,2,FALSE)+1),1)</f>
        <v>14.768325886262593</v>
      </c>
      <c r="U296" s="57" cm="1">
        <f t="array" ref="U296">SUM(S296:T296)</f>
        <v>22.241018025612711</v>
      </c>
      <c r="V296" s="57" cm="1">
        <f t="array" ref="V296">VLOOKUP(B296,'Player Data'!$A1:$AE673,10,FALSE)*$Q296*IFERROR(((VLOOKUP(P296,Settings!$E$28:$F$33,2,FALSE)/2)+1),1)</f>
        <v>95.222321543979049</v>
      </c>
      <c r="W296" s="57" cm="1">
        <f t="array" ref="W296">VLOOKUP(B296,'Player Data'!$A1:$AE673,11,FALSE)*$Q296*IFERROR((VLOOKUP(P296,Settings!$E$28:$F$33,2,FALSE)+1),1)</f>
        <v>3.7487415768476517</v>
      </c>
      <c r="X296" s="57" cm="1">
        <f t="array" ref="X296">VLOOKUP(B296,'Player Data'!$A1:$AE673,12,FALSE)*$Q296*IFERROR((VLOOKUP(P296,Settings!$E$28:$F$33,2,FALSE)+1),1)</f>
        <v>9.528670156798837</v>
      </c>
      <c r="Y296" s="57" cm="1">
        <f t="array" ref="Y296">VLOOKUP(B296,'Player Data'!$A1:$AE673,13,FALSE)*$Q296</f>
        <v>6.5089919137019505E-3</v>
      </c>
      <c r="Z296" s="57" cm="1">
        <f t="array" ref="Z296">VLOOKUP(B296,'Player Data'!$A1:$AE673,14,FALSE)*$Q296</f>
        <v>2.2540067218011179E-2</v>
      </c>
      <c r="AA296" s="57" cm="1">
        <f t="array" ref="AA296">VLOOKUP(B296,'Player Data'!$A1:$AE673,15,FALSE)*$Q296</f>
        <v>75.635072554298659</v>
      </c>
      <c r="AB296" s="57" cm="1">
        <f t="array" ref="AB296">VLOOKUP(B296,'Player Data'!$A1:$AE673,16,FALSE)*$Q296</f>
        <v>57.959141839265662</v>
      </c>
      <c r="AC296" s="57" cm="1">
        <f t="array" ref="AC296">VLOOKUP(B296,'Player Data'!$A1:$AE673,17,FALSE)*$Q296*IFERROR((VLOOKUP(P296,Settings!$E$28:$F$33,2,FALSE)+1),1)</f>
        <v>-7.3959662795231385</v>
      </c>
      <c r="AD296" s="57" cm="1">
        <f t="array" ref="AD296">VLOOKUP(B296,'Player Data'!$A1:$AE673,18,FALSE)*$Q296</f>
        <v>25.387336938890829</v>
      </c>
      <c r="AE296" s="57" cm="1">
        <f t="array" ref="AE296">VLOOKUP(B296,'Player Data'!$A1:$AE673,19,FALSE)*$Q296*IFERROR((VLOOKUP(P296,Settings!$E$28:$F$33,2,FALSE)+1),1)</f>
        <v>1.0743860795345097</v>
      </c>
      <c r="AF296" s="57" cm="1">
        <f t="array" ref="AF296">VLOOKUP(B296,'Player Data'!$A1:$AE673,20,FALSE)*$Q296</f>
        <v>0</v>
      </c>
      <c r="AG296" s="57" cm="1">
        <f t="array" ref="AG296">VLOOKUP(B296,'Player Data'!$A1:$AE673,21,FALSE)*$Q296</f>
        <v>0</v>
      </c>
      <c r="AH296" s="59" cm="1">
        <f t="array" ref="AH296">VLOOKUP(B296,'Player Data'!$A1:$AE673,22,FALSE)</f>
        <v>0</v>
      </c>
      <c r="AI296" s="55"/>
      <c r="AJ296" s="57"/>
      <c r="AK296" s="57"/>
      <c r="AL296" s="57"/>
      <c r="AM296" s="57"/>
      <c r="AN296" s="57"/>
      <c r="AO296" s="57"/>
      <c r="AP296" s="57"/>
      <c r="AQ296" s="60"/>
      <c r="AR296" s="61"/>
      <c r="AS296" s="55"/>
    </row>
    <row r="297" spans="1:45" ht="21.25" customHeight="1" x14ac:dyDescent="0.15">
      <c r="A297" s="62">
        <f t="shared" si="4"/>
        <v>296</v>
      </c>
      <c r="B297" s="10" t="s">
        <v>425</v>
      </c>
      <c r="C297" s="47" t="s">
        <v>147</v>
      </c>
      <c r="D297" s="48" t="str" cm="1">
        <f t="array" ref="D297">VLOOKUP(B297,'Player Data'!A1:D673,4,FALSE)</f>
        <v>D</v>
      </c>
      <c r="E297" s="68" cm="1">
        <f t="array" ref="E297">VLOOKUP(B297,D!A1:C204,3,FALSE)</f>
        <v>119</v>
      </c>
      <c r="F297" s="56" t="str" cm="1">
        <f t="array" ref="F297">VLOOKUP(B297,'Player Data'!A1:B673,2,FALSE)</f>
        <v>UTA</v>
      </c>
      <c r="G297" s="11" cm="1">
        <f t="array" ref="G297">VLOOKUP(B297,'Player Data'!A1:D673,3,FALSE)</f>
        <v>29</v>
      </c>
      <c r="H297" s="51" cm="1">
        <f t="array" ref="H297">IFERROR(VLOOKUP(B297,ADP!A1:F671,6,FALSE)/1000000,VLOOKUP(B297,ADP!A1:F671,6,FALSE))</f>
        <v>4.4000000000000004</v>
      </c>
      <c r="I297" s="52">
        <f>IF(Settings!$E$15="POINTS",((R297*Q297)*Settings!$B$12)+(S297*Settings!$B$2)+(T297*Settings!$B$3)+(U297*Settings!$B$4)+(V297*Settings!$B$5)+(X297*Settings!$B$9)+(AA297*Settings!$B$6)+(W297*Settings!$B$8)+(AB297*Settings!$B$7)+(AC297*Settings!$B$14)+(AD297*Settings!$B$15)+(AE297*Settings!$B$16)+(AF297*Settings!$B$17)+(AG297*Settings!$B$18)+(U297*Settings!$B$13)+(Y297*Settings!$B$10)+(Z297*Settings!$B$11),VLOOKUP(B297,'Standard Deviations'!A$1:C$672,3,FALSE))</f>
        <v>161.70129457702038</v>
      </c>
      <c r="J297" s="53" cm="1">
        <f t="array" ref="J297">IF(D297="G",I297/AJ297,I297/Q297)</f>
        <v>2.1133970864501928</v>
      </c>
      <c r="K297" s="52" cm="1">
        <f t="array" ref="K297">VLOOKUP(B297,D!A1:F204,6,FALSE)</f>
        <v>-144.95257276757368</v>
      </c>
      <c r="L297" s="54" cm="1">
        <f t="array" ref="L297">IFERROR(K297/H297,"N/A")</f>
        <v>-32.943766538084923</v>
      </c>
      <c r="M297" s="55">
        <v>132.19999999999999</v>
      </c>
      <c r="N297" s="55" cm="1">
        <f t="array" ref="N297">IFERROR(M297-A297,"N/A")</f>
        <v>-163.80000000000001</v>
      </c>
      <c r="O297" s="55"/>
      <c r="P297" s="56" t="str" cm="1">
        <f t="array" ref="P297">_xlfn.XLOOKUP($B297,ADP!A2:A671,ADP!G2:G671)</f>
        <v xml:space="preserve"> </v>
      </c>
      <c r="Q297" s="57" cm="1">
        <f t="array" ref="Q297">IF(Settings!$E$12="YES",VLOOKUP(B297,'Player Data'!A1:E673,5,FALSE),84)</f>
        <v>76.512500000000003</v>
      </c>
      <c r="R297" s="55" cm="1">
        <f t="array" ref="R297">VLOOKUP(B297,'Player Data'!$A1:$AE673,6,FALSE)</f>
        <v>20.714720840320101</v>
      </c>
      <c r="S297" s="57" cm="1">
        <f t="array" ref="S297">VLOOKUP(B297,'Player Data'!$A1:$AE673,7,FALSE)*$Q297*IFERROR((VLOOKUP(P297,Settings!$E$28:$F$33,2,FALSE)+1),1)</f>
        <v>3.8918153381052143</v>
      </c>
      <c r="T297" s="57" cm="1">
        <f t="array" ref="T297">VLOOKUP(B297,'Player Data'!$A1:$AE673,8,FALSE)*$Q297*IFERROR((VLOOKUP(P297,Settings!$E$28:$F$33,2,FALSE)+1),1)</f>
        <v>25.746917552211237</v>
      </c>
      <c r="U297" s="57" cm="1">
        <f t="array" ref="U297">SUM(S297:T297)</f>
        <v>29.638732890316451</v>
      </c>
      <c r="V297" s="57" cm="1">
        <f t="array" ref="V297">VLOOKUP(B297,'Player Data'!$A1:$AE673,10,FALSE)*$Q297*IFERROR(((VLOOKUP(P297,Settings!$E$28:$F$33,2,FALSE)/2)+1),1)</f>
        <v>59.993371556041929</v>
      </c>
      <c r="W297" s="57" cm="1">
        <f t="array" ref="W297">VLOOKUP(B297,'Player Data'!$A1:$AE673,11,FALSE)*$Q297*IFERROR((VLOOKUP(P297,Settings!$E$28:$F$33,2,FALSE)+1),1)</f>
        <v>7.3796690299192357E-3</v>
      </c>
      <c r="X297" s="57" cm="1">
        <f t="array" ref="X297">VLOOKUP(B297,'Player Data'!$A1:$AE673,12,FALSE)*$Q297*IFERROR((VLOOKUP(P297,Settings!$E$28:$F$33,2,FALSE)+1),1)</f>
        <v>5.8170017936502894E-2</v>
      </c>
      <c r="Y297" s="57" cm="1">
        <f t="array" ref="Y297">VLOOKUP(B297,'Player Data'!$A1:$AE673,13,FALSE)*$Q297</f>
        <v>2.3606798679430475E-2</v>
      </c>
      <c r="Z297" s="57" cm="1">
        <f t="array" ref="Z297">VLOOKUP(B297,'Player Data'!$A1:$AE673,14,FALSE)*$Q297</f>
        <v>0.65913101089282267</v>
      </c>
      <c r="AA297" s="57" cm="1">
        <f t="array" ref="AA297">VLOOKUP(B297,'Player Data'!$A1:$AE673,15,FALSE)*$Q297</f>
        <v>84.142218198441526</v>
      </c>
      <c r="AB297" s="57" cm="1">
        <f t="array" ref="AB297">VLOOKUP(B297,'Player Data'!$A1:$AE673,16,FALSE)*$Q297</f>
        <v>39.310571759320815</v>
      </c>
      <c r="AC297" s="57" cm="1">
        <f t="array" ref="AC297">VLOOKUP(B297,'Player Data'!$A1:$AE673,17,FALSE)*$Q297*IFERROR((VLOOKUP(P297,Settings!$E$28:$F$33,2,FALSE)+1),1)</f>
        <v>3.5075857384295688</v>
      </c>
      <c r="AD297" s="57" cm="1">
        <f t="array" ref="AD297">VLOOKUP(B297,'Player Data'!$A1:$AE673,18,FALSE)*$Q297</f>
        <v>22.256822576966442</v>
      </c>
      <c r="AE297" s="57" cm="1">
        <f t="array" ref="AE297">VLOOKUP(B297,'Player Data'!$A1:$AE673,19,FALSE)*$Q297*IFERROR((VLOOKUP(P297,Settings!$E$28:$F$33,2,FALSE)+1),1)</f>
        <v>0.62909095972382756</v>
      </c>
      <c r="AF297" s="57" cm="1">
        <f t="array" ref="AF297">VLOOKUP(B297,'Player Data'!$A1:$AE673,20,FALSE)*$Q297</f>
        <v>0</v>
      </c>
      <c r="AG297" s="57" cm="1">
        <f t="array" ref="AG297">VLOOKUP(B297,'Player Data'!$A1:$AE673,21,FALSE)*$Q297</f>
        <v>0</v>
      </c>
      <c r="AH297" s="59" cm="1">
        <f t="array" ref="AH297">VLOOKUP(B297,'Player Data'!$A1:$AE673,22,FALSE)</f>
        <v>0</v>
      </c>
      <c r="AI297" s="55"/>
      <c r="AJ297" s="57"/>
      <c r="AK297" s="57"/>
      <c r="AL297" s="57"/>
      <c r="AM297" s="57"/>
      <c r="AN297" s="57"/>
      <c r="AO297" s="57"/>
      <c r="AP297" s="57"/>
      <c r="AQ297" s="60"/>
      <c r="AR297" s="61"/>
      <c r="AS297" s="55"/>
    </row>
    <row r="298" spans="1:45" ht="21.25" customHeight="1" x14ac:dyDescent="0.15">
      <c r="A298" s="62">
        <f t="shared" si="4"/>
        <v>297</v>
      </c>
      <c r="B298" s="10" t="s">
        <v>426</v>
      </c>
      <c r="C298" s="47" t="s">
        <v>147</v>
      </c>
      <c r="D298" s="48" t="str" cm="1">
        <f t="array" ref="D298">VLOOKUP(B298,'Player Data'!A1:D673,4,FALSE)</f>
        <v>D</v>
      </c>
      <c r="E298" s="68" cm="1">
        <f t="array" ref="E298">VLOOKUP(B298,D!A1:C204,3,FALSE)</f>
        <v>120</v>
      </c>
      <c r="F298" s="69" t="str" cm="1">
        <f t="array" ref="F298">VLOOKUP(B298,'Player Data'!A1:B673,2,FALSE)</f>
        <v>N.J</v>
      </c>
      <c r="G298" s="66" cm="1">
        <f t="array" ref="G298">VLOOKUP(B298,'Player Data'!A1:D673,3,FALSE)</f>
        <v>31</v>
      </c>
      <c r="H298" s="51" cm="1">
        <f t="array" ref="H298">IFERROR(VLOOKUP(B298,ADP!A1:F671,6,FALSE)/1000000,VLOOKUP(B298,ADP!A1:F671,6,FALSE))</f>
        <v>5.5</v>
      </c>
      <c r="I298" s="52">
        <f>IF(Settings!$E$15="POINTS",((R298*Q298)*Settings!$B$12)+(S298*Settings!$B$2)+(T298*Settings!$B$3)+(U298*Settings!$B$4)+(V298*Settings!$B$5)+(X298*Settings!$B$9)+(AA298*Settings!$B$6)+(W298*Settings!$B$8)+(AB298*Settings!$B$7)+(AC298*Settings!$B$14)+(AD298*Settings!$B$15)+(AE298*Settings!$B$16)+(AF298*Settings!$B$17)+(AG298*Settings!$B$18)+(U298*Settings!$B$13)+(Y298*Settings!$B$10)+(Z298*Settings!$B$11),VLOOKUP(B298,'Standard Deviations'!A$1:C$672,3,FALSE))</f>
        <v>161.47358982685577</v>
      </c>
      <c r="J298" s="53" cm="1">
        <f t="array" ref="J298">IF(D298="G",I298/AJ298,I298/Q298)</f>
        <v>2.1978914462429748</v>
      </c>
      <c r="K298" s="52" cm="1">
        <f t="array" ref="K298">VLOOKUP(B298,D!A1:F204,6,FALSE)</f>
        <v>-145.18027751773829</v>
      </c>
      <c r="L298" s="54" cm="1">
        <f t="array" ref="L298">IFERROR(K298/H298,"N/A")</f>
        <v>-26.396414094134233</v>
      </c>
      <c r="M298" s="85" t="s">
        <v>832</v>
      </c>
      <c r="N298" s="85" t="str" cm="1">
        <f t="array" ref="N298">IFERROR(M298-A298,"N/A")</f>
        <v>N/A</v>
      </c>
      <c r="O298" s="55"/>
      <c r="P298" s="56" t="str" cm="1">
        <f t="array" ref="P298">_xlfn.XLOOKUP($B298,ADP!A2:A671,ADP!G2:G671)</f>
        <v xml:space="preserve"> </v>
      </c>
      <c r="Q298" s="57" cm="1">
        <f t="array" ref="Q298">IF(Settings!$E$12="YES",VLOOKUP(B298,'Player Data'!A1:E673,5,FALSE),84)</f>
        <v>73.467500000000001</v>
      </c>
      <c r="R298" s="55" cm="1">
        <f t="array" ref="R298">VLOOKUP(B298,'Player Data'!$A1:$AE673,6,FALSE)</f>
        <v>20.2645135098571</v>
      </c>
      <c r="S298" s="57" cm="1">
        <f t="array" ref="S298">VLOOKUP(B298,'Player Data'!$A1:$AE673,7,FALSE)*$Q298*IFERROR((VLOOKUP(P298,Settings!$E$28:$F$33,2,FALSE)+1),1)</f>
        <v>2.8532979020597669</v>
      </c>
      <c r="T298" s="57" cm="1">
        <f t="array" ref="T298">VLOOKUP(B298,'Player Data'!$A1:$AE673,8,FALSE)*$Q298*IFERROR((VLOOKUP(P298,Settings!$E$28:$F$33,2,FALSE)+1),1)</f>
        <v>12.645852262892353</v>
      </c>
      <c r="U298" s="57" cm="1">
        <f t="array" ref="U298">SUM(S298:T298)</f>
        <v>15.49915016495212</v>
      </c>
      <c r="V298" s="57" cm="1">
        <f t="array" ref="V298">VLOOKUP(B298,'Player Data'!$A1:$AE673,10,FALSE)*$Q298*IFERROR(((VLOOKUP(P298,Settings!$E$28:$F$33,2,FALSE)/2)+1),1)</f>
        <v>91.51465304927649</v>
      </c>
      <c r="W298" s="57" cm="1">
        <f t="array" ref="W298">VLOOKUP(B298,'Player Data'!$A1:$AE673,11,FALSE)*$Q298*IFERROR((VLOOKUP(P298,Settings!$E$28:$F$33,2,FALSE)+1),1)</f>
        <v>6.563365937799482E-3</v>
      </c>
      <c r="X298" s="57" cm="1">
        <f t="array" ref="X298">VLOOKUP(B298,'Player Data'!$A1:$AE673,12,FALSE)*$Q298*IFERROR((VLOOKUP(P298,Settings!$E$28:$F$33,2,FALSE)+1),1)</f>
        <v>5.3494384541502661E-2</v>
      </c>
      <c r="Y298" s="57" cm="1">
        <f t="array" ref="Y298">VLOOKUP(B298,'Player Data'!$A1:$AE673,13,FALSE)*$Q298</f>
        <v>0.3207764940147213</v>
      </c>
      <c r="Z298" s="57" cm="1">
        <f t="array" ref="Z298">VLOOKUP(B298,'Player Data'!$A1:$AE673,14,FALSE)*$Q298</f>
        <v>0.45848993813610817</v>
      </c>
      <c r="AA298" s="57" cm="1">
        <f t="array" ref="AA298">VLOOKUP(B298,'Player Data'!$A1:$AE673,15,FALSE)*$Q298</f>
        <v>137.41365696936711</v>
      </c>
      <c r="AB298" s="57" cm="1">
        <f t="array" ref="AB298">VLOOKUP(B298,'Player Data'!$A1:$AE673,16,FALSE)*$Q298</f>
        <v>38.056619136761007</v>
      </c>
      <c r="AC298" s="57" cm="1">
        <f t="array" ref="AC298">VLOOKUP(B298,'Player Data'!$A1:$AE673,17,FALSE)*$Q298*IFERROR((VLOOKUP(P298,Settings!$E$28:$F$33,2,FALSE)+1),1)</f>
        <v>-0.91472801983618957</v>
      </c>
      <c r="AD298" s="57" cm="1">
        <f t="array" ref="AD298">VLOOKUP(B298,'Player Data'!$A1:$AE673,18,FALSE)*$Q298</f>
        <v>24.517900487212287</v>
      </c>
      <c r="AE298" s="57" cm="1">
        <f t="array" ref="AE298">VLOOKUP(B298,'Player Data'!$A1:$AE673,19,FALSE)*$Q298*IFERROR((VLOOKUP(P298,Settings!$E$28:$F$33,2,FALSE)+1),1)</f>
        <v>0.42647050203086634</v>
      </c>
      <c r="AF298" s="57" cm="1">
        <f t="array" ref="AF298">VLOOKUP(B298,'Player Data'!$A1:$AE673,20,FALSE)*$Q298</f>
        <v>0</v>
      </c>
      <c r="AG298" s="57" cm="1">
        <f t="array" ref="AG298">VLOOKUP(B298,'Player Data'!$A1:$AE673,21,FALSE)*$Q298</f>
        <v>0</v>
      </c>
      <c r="AH298" s="59" cm="1">
        <f t="array" ref="AH298">VLOOKUP(B298,'Player Data'!$A1:$AE673,22,FALSE)</f>
        <v>0</v>
      </c>
      <c r="AI298" s="55"/>
      <c r="AJ298" s="57"/>
      <c r="AK298" s="57"/>
      <c r="AL298" s="57"/>
      <c r="AM298" s="57"/>
      <c r="AN298" s="57"/>
      <c r="AO298" s="57"/>
      <c r="AP298" s="57"/>
      <c r="AQ298" s="60"/>
      <c r="AR298" s="61"/>
      <c r="AS298" s="55"/>
    </row>
    <row r="299" spans="1:45" ht="21.25" customHeight="1" x14ac:dyDescent="0.15">
      <c r="A299" s="62">
        <f t="shared" si="4"/>
        <v>298</v>
      </c>
      <c r="B299" s="10" t="s">
        <v>427</v>
      </c>
      <c r="C299" s="76"/>
      <c r="D299" s="48" t="str" cm="1">
        <f t="array" ref="D299">VLOOKUP(B299,'Player Data'!A1:D673,4,FALSE)</f>
        <v>G</v>
      </c>
      <c r="E299" s="77" cm="1">
        <f t="array" ref="E299">VLOOKUP(B299,G!A1:D66,3,FALSE)</f>
        <v>33</v>
      </c>
      <c r="F299" s="70" t="str" cm="1">
        <f t="array" ref="F299">VLOOKUP(B299,'Player Data'!A1:B673,2,FALSE)</f>
        <v>MIN</v>
      </c>
      <c r="G299" s="11" cm="1">
        <f t="array" ref="G299">VLOOKUP(B299,'Player Data'!A1:D673,3,FALSE)</f>
        <v>28</v>
      </c>
      <c r="H299" s="51" cm="1">
        <f t="array" ref="H299">IFERROR(VLOOKUP(B299,ADP!A1:F671,6,FALSE)/1000000,VLOOKUP(B299,ADP!A1:F671,6,FALSE))</f>
        <v>6.8</v>
      </c>
      <c r="I299" s="52">
        <f>IF(Settings!$E$15="POINTS",(AJ299*Settings!$B$29)+(AK299*Settings!$B$21)+(AL299*Settings!$B$22)+(AN299*Settings!$B$24)+(AO299*Settings!$B$25)+(AP299*Settings!$B$27)+(AM299*Settings!$B$23),VLOOKUP(B299,'Standard Deviations'!A$1:C$672,3,FALSE))</f>
        <v>213.43280466692636</v>
      </c>
      <c r="J299" s="53" cm="1">
        <f t="array" ref="J299">IF(D299="G",I299/AJ299,I299/Q299)</f>
        <v>6.0980801333407531</v>
      </c>
      <c r="K299" s="52" cm="1">
        <f t="array" ref="K299">VLOOKUP(B299,G!A1:F66,6,FALSE)</f>
        <v>-145.72510326331167</v>
      </c>
      <c r="L299" s="54" cm="1">
        <f t="array" ref="L299">IFERROR(K299/H299,"N/A")</f>
        <v>-21.430162244604656</v>
      </c>
      <c r="M299" s="55">
        <v>127.5</v>
      </c>
      <c r="N299" s="55" cm="1">
        <f t="array" ref="N299">IFERROR(M299-A299,"N/A")</f>
        <v>-170.5</v>
      </c>
      <c r="O299" s="55"/>
      <c r="P299" s="56" t="str" cm="1">
        <f t="array" ref="P299">_xlfn.XLOOKUP($B299,ADP!A2:A671,ADP!G2:G671)</f>
        <v>-</v>
      </c>
      <c r="Q299" s="57"/>
      <c r="R299" s="55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9"/>
      <c r="AI299" s="55"/>
      <c r="AJ299" s="78" cm="1">
        <f t="array" ref="AJ299">VLOOKUP(B299,'Player Data'!$A1:$AE673,24,FALSE)</f>
        <v>35</v>
      </c>
      <c r="AK299" s="57" cm="1">
        <f t="array" ref="AK299">VLOOKUP(B299,'Player Data'!$A1:$AE673,25,FALSE)*$AJ299*IFERROR((VLOOKUP(P299,Settings!$E$28:$F$33,2,FALSE)+1),1)</f>
        <v>17.780602152774041</v>
      </c>
      <c r="AL299" s="57" cm="1">
        <f t="array" ref="AL299">AJ299-AK299-AM299</f>
        <v>13.14850367690333</v>
      </c>
      <c r="AM299" s="57" cm="1">
        <f t="array" ref="AM299">VLOOKUP(B299,'Player Data'!$A1:$AE673,27,FALSE)*$AJ299</f>
        <v>4.0708941703226298</v>
      </c>
      <c r="AN299" s="57" cm="1">
        <f t="array" ref="AN299">VLOOKUP(B299,'Player Data'!$A1:$AE673,28,FALSE)*AJ299</f>
        <v>2.1398076733328923</v>
      </c>
      <c r="AO299" s="57" cm="1">
        <f t="array" ref="AO299">VLOOKUP(B299,'Player Data'!$A1:$AE673,29,FALSE)*$AJ299*IFERROR((VLOOKUP(P299,Settings!$E$28:$F$33,2,FALSE)/4)+1,1)</f>
        <v>899.40393060591805</v>
      </c>
      <c r="AP299" s="57" cm="1">
        <f t="array" ref="AP299">VLOOKUP(B299,'Player Data'!$A1:$AE673,31,FALSE)*$AJ299*(IFERROR(1-(VLOOKUP(P299,Settings!$E$28:$F$33,2,FALSE)/4),1))</f>
        <v>97.250258255895901</v>
      </c>
      <c r="AQ299" s="60" cm="1">
        <f t="array" ref="AQ299">1-(AP299/(AO299+AP299))</f>
        <v>0.9024232684287854</v>
      </c>
      <c r="AR299" s="61" cm="1">
        <f t="array" ref="AR299">AP299/AJ299</f>
        <v>2.7785788073113116</v>
      </c>
      <c r="AS299" s="55"/>
    </row>
    <row r="300" spans="1:45" ht="21.25" customHeight="1" x14ac:dyDescent="0.15">
      <c r="A300" s="62">
        <f t="shared" si="4"/>
        <v>299</v>
      </c>
      <c r="B300" s="10" t="s">
        <v>428</v>
      </c>
      <c r="C300" s="47" t="s">
        <v>147</v>
      </c>
      <c r="D300" s="48" t="str" cm="1">
        <f t="array" ref="D300">VLOOKUP(B300,'Player Data'!A1:D673,4,FALSE)</f>
        <v>C</v>
      </c>
      <c r="E300" s="49" cm="1">
        <f t="array" ref="E300">VLOOKUP(B300,'C'!A1:C210,3,FALSE)</f>
        <v>79</v>
      </c>
      <c r="F300" s="72" t="str" cm="1">
        <f t="array" ref="F300">VLOOKUP(B300,'Player Data'!A1:B673,2,FALSE)</f>
        <v>BOS</v>
      </c>
      <c r="G300" s="66" cm="1">
        <f t="array" ref="G300">VLOOKUP(B300,'Player Data'!A1:D673,3,FALSE)</f>
        <v>31</v>
      </c>
      <c r="H300" s="51" cm="1">
        <f t="array" ref="H300">IFERROR(VLOOKUP(B300,ADP!A1:F671,6,FALSE)/1000000,VLOOKUP(B300,ADP!A1:F671,6,FALSE))</f>
        <v>7.75</v>
      </c>
      <c r="I300" s="52">
        <f>IF(Settings!$E$15="POINTS",((R300*Q300)*Settings!$B$12)+(S300*Settings!$B$2)+(T300*Settings!$B$3)+(U300*Settings!$B$4)+(V300*Settings!$B$5)+(X300*Settings!$B$9)+(AA300*Settings!$B$6)+(W300*Settings!$B$8)+(AB300*Settings!$B$7)+(AC300*Settings!$B$14)+(AD300*Settings!$B$15)+(AE300*Settings!$B$16)+(AF300*Settings!$B$17)+(AG300*Settings!$B$18)+(Y300*Settings!$B$10)+(Z300*Settings!$B$11),VLOOKUP(B300,'Standard Deviations'!A$1:C$672,3,FALSE))</f>
        <v>240.61133703848964</v>
      </c>
      <c r="J300" s="53" cm="1">
        <f t="array" ref="J300">IF(D300="G",I300/AJ300,I300/Q300)</f>
        <v>2.9696854211915165</v>
      </c>
      <c r="K300" s="52" cm="1">
        <f t="array" ref="K300">IF(Settings!$E$18="C/LW/RW",VLOOKUP(B300,'C'!A1:F210,6,FALSE),VLOOKUP(B300,F!A1:F407,6,FALSE))</f>
        <v>-145.92386935459336</v>
      </c>
      <c r="L300" s="54" cm="1">
        <f t="array" ref="L300">IFERROR(K300/H300,"N/A")</f>
        <v>-18.828886368334629</v>
      </c>
      <c r="M300" s="85" t="s">
        <v>832</v>
      </c>
      <c r="N300" s="85" t="str" cm="1">
        <f t="array" ref="N300">IFERROR(M300-A300,"N/A")</f>
        <v>N/A</v>
      </c>
      <c r="O300" s="55"/>
      <c r="P300" s="56" t="str" cm="1">
        <f t="array" ref="P300">_xlfn.XLOOKUP($B300,ADP!A2:A671,ADP!G2:G671)</f>
        <v xml:space="preserve"> </v>
      </c>
      <c r="Q300" s="57" cm="1">
        <f t="array" ref="Q300">IF(Settings!$E$12="YES",VLOOKUP(B300,'Player Data'!A1:E673,5,FALSE),84)</f>
        <v>81.022499999999994</v>
      </c>
      <c r="R300" s="84" cm="1">
        <f t="array" ref="R300">VLOOKUP(B300,'Player Data'!$A1:$AE673,6,FALSE)</f>
        <v>16.833435831179301</v>
      </c>
      <c r="S300" s="57" cm="1">
        <f t="array" ref="S300">VLOOKUP(B300,'Player Data'!$A1:$AE673,7,FALSE)*$Q300*IFERROR((VLOOKUP(P300,Settings!$E$28:$F$33,2,FALSE)+1),1)</f>
        <v>15.657947887497993</v>
      </c>
      <c r="T300" s="57" cm="1">
        <f t="array" ref="T300">VLOOKUP(B300,'Player Data'!$A1:$AE673,8,FALSE)*$Q300*IFERROR((VLOOKUP(P300,Settings!$E$28:$F$33,2,FALSE)+1),1)</f>
        <v>27.446605406765492</v>
      </c>
      <c r="U300" s="57" cm="1">
        <f t="array" ref="U300">SUM(S300:T300)</f>
        <v>43.104553294263482</v>
      </c>
      <c r="V300" s="57" cm="1">
        <f t="array" ref="V300">VLOOKUP(B300,'Player Data'!$A1:$AE673,10,FALSE)*$Q300*IFERROR(((VLOOKUP(P300,Settings!$E$28:$F$33,2,FALSE)/2)+1),1)</f>
        <v>132.84677991966092</v>
      </c>
      <c r="W300" s="57" cm="1">
        <f t="array" ref="W300">VLOOKUP(B300,'Player Data'!$A1:$AE673,11,FALSE)*$Q300*IFERROR((VLOOKUP(P300,Settings!$E$28:$F$33,2,FALSE)+1),1)</f>
        <v>3.3879680853471781</v>
      </c>
      <c r="X300" s="57" cm="1">
        <f t="array" ref="X300">VLOOKUP(B300,'Player Data'!$A1:$AE673,12,FALSE)*$Q300*IFERROR((VLOOKUP(P300,Settings!$E$28:$F$33,2,FALSE)+1),1)</f>
        <v>10.975110052708544</v>
      </c>
      <c r="Y300" s="57" cm="1">
        <f t="array" ref="Y300">VLOOKUP(B300,'Player Data'!$A1:$AE673,13,FALSE)*$Q300</f>
        <v>0.27038884759770121</v>
      </c>
      <c r="Z300" s="57" cm="1">
        <f t="array" ref="Z300">VLOOKUP(B300,'Player Data'!$A1:$AE673,14,FALSE)*$Q300</f>
        <v>0.6254334530243143</v>
      </c>
      <c r="AA300" s="57" cm="1">
        <f t="array" ref="AA300">VLOOKUP(B300,'Player Data'!$A1:$AE673,15,FALSE)*$Q300</f>
        <v>66.547487380271647</v>
      </c>
      <c r="AB300" s="57" cm="1">
        <f t="array" ref="AB300">VLOOKUP(B300,'Player Data'!$A1:$AE673,16,FALSE)*$Q300</f>
        <v>72.447353470834287</v>
      </c>
      <c r="AC300" s="57" cm="1">
        <f t="array" ref="AC300">VLOOKUP(B300,'Player Data'!$A1:$AE673,17,FALSE)*$Q300*IFERROR((VLOOKUP(P300,Settings!$E$28:$F$33,2,FALSE)+1),1)</f>
        <v>-2.8154826292782076</v>
      </c>
      <c r="AD300" s="57" cm="1">
        <f t="array" ref="AD300">VLOOKUP(B300,'Player Data'!$A1:$AE673,18,FALSE)*$Q300</f>
        <v>24.608116150768367</v>
      </c>
      <c r="AE300" s="57" cm="1">
        <f t="array" ref="AE300">VLOOKUP(B300,'Player Data'!$A1:$AE673,19,FALSE)*$Q300*IFERROR((VLOOKUP(P300,Settings!$E$28:$F$33,2,FALSE)+1),1)</f>
        <v>2.1078992580108644</v>
      </c>
      <c r="AF300" s="57" cm="1">
        <f t="array" ref="AF300">VLOOKUP(B300,'Player Data'!$A1:$AE673,20,FALSE)*$Q300</f>
        <v>716.96705810823323</v>
      </c>
      <c r="AG300" s="57" cm="1">
        <f t="array" ref="AG300">VLOOKUP(B300,'Player Data'!$A1:$AE673,21,FALSE)*$Q300</f>
        <v>566.95603354965692</v>
      </c>
      <c r="AH300" s="59" cm="1">
        <f t="array" ref="AH300">VLOOKUP(B300,'Player Data'!$A1:$AE673,22,FALSE)</f>
        <v>0.55841900715597803</v>
      </c>
      <c r="AI300" s="55"/>
      <c r="AJ300" s="57"/>
      <c r="AK300" s="57"/>
      <c r="AL300" s="57"/>
      <c r="AM300" s="57"/>
      <c r="AN300" s="57"/>
      <c r="AO300" s="57"/>
      <c r="AP300" s="57"/>
      <c r="AQ300" s="60"/>
      <c r="AR300" s="61"/>
      <c r="AS300" s="55"/>
    </row>
    <row r="301" spans="1:45" ht="21.25" customHeight="1" x14ac:dyDescent="0.15">
      <c r="A301" s="62">
        <f t="shared" si="4"/>
        <v>300</v>
      </c>
      <c r="B301" s="10" t="s">
        <v>429</v>
      </c>
      <c r="C301" s="47" t="s">
        <v>147</v>
      </c>
      <c r="D301" s="48" t="str" cm="1">
        <f t="array" ref="D301">VLOOKUP(B301,'Player Data'!A1:D673,4,FALSE)</f>
        <v>C</v>
      </c>
      <c r="E301" s="49" cm="1">
        <f t="array" ref="E301">VLOOKUP(B301,'C'!A1:C210,3,FALSE)</f>
        <v>80</v>
      </c>
      <c r="F301" s="72" t="str" cm="1">
        <f t="array" ref="F301">VLOOKUP(B301,'Player Data'!A1:B673,2,FALSE)</f>
        <v>BOS</v>
      </c>
      <c r="G301" s="71" cm="1">
        <f t="array" ref="G301">VLOOKUP(B301,'Player Data'!A1:D673,3,FALSE)</f>
        <v>19</v>
      </c>
      <c r="H301" s="51" cm="1">
        <f t="array" ref="H301">IFERROR(VLOOKUP(B301,ADP!A1:F671,6,FALSE)/1000000,VLOOKUP(B301,ADP!A1:F671,6,FALSE))</f>
        <v>0.97499999999999998</v>
      </c>
      <c r="I301" s="52">
        <f>IF(Settings!$E$15="POINTS",((R301*Q301)*Settings!$B$12)+(S301*Settings!$B$2)+(T301*Settings!$B$3)+(U301*Settings!$B$4)+(V301*Settings!$B$5)+(X301*Settings!$B$9)+(AA301*Settings!$B$6)+(W301*Settings!$B$8)+(AB301*Settings!$B$7)+(AC301*Settings!$B$14)+(AD301*Settings!$B$15)+(AE301*Settings!$B$16)+(AF301*Settings!$B$17)+(AG301*Settings!$B$18)+(Y301*Settings!$B$10)+(Z301*Settings!$B$11),VLOOKUP(B301,'Standard Deviations'!A$1:C$672,3,FALSE))</f>
        <v>240.19310583893491</v>
      </c>
      <c r="J301" s="53" cm="1">
        <f t="array" ref="J301">IF(D301="G",I301/AJ301,I301/Q301)</f>
        <v>3.2458527816072285</v>
      </c>
      <c r="K301" s="52" cm="1">
        <f t="array" ref="K301">IF(Settings!$E$18="C/LW/RW",VLOOKUP(B301,'C'!A1:F210,6,FALSE),VLOOKUP(B301,F!A1:F407,6,FALSE))</f>
        <v>-146.34210055414809</v>
      </c>
      <c r="L301" s="54" cm="1">
        <f t="array" ref="L301">IFERROR(K301/H301,"N/A")</f>
        <v>-150.09446210681855</v>
      </c>
      <c r="M301" s="85" t="s">
        <v>832</v>
      </c>
      <c r="N301" s="85" t="str" cm="1">
        <f t="array" ref="N301">IFERROR(M301-A301,"N/A")</f>
        <v>N/A</v>
      </c>
      <c r="O301" s="55"/>
      <c r="P301" s="56" t="str" cm="1">
        <f t="array" ref="P301">_xlfn.XLOOKUP($B301,ADP!A2:A671,ADP!G2:G671)</f>
        <v xml:space="preserve"> </v>
      </c>
      <c r="Q301" s="57" cm="1">
        <f t="array" ref="Q301">IF(Settings!$E$12="YES",VLOOKUP(B301,'Player Data'!A1:E673,5,FALSE),84)</f>
        <v>74</v>
      </c>
      <c r="R301" s="55" cm="1">
        <f t="array" ref="R301">VLOOKUP(B301,'Player Data'!$A1:$AE673,6,FALSE)</f>
        <v>14</v>
      </c>
      <c r="S301" s="57" cm="1">
        <f t="array" ref="S301">VLOOKUP(B301,'Player Data'!$A1:$AE673,7,FALSE)*$Q301*IFERROR((VLOOKUP(P301,Settings!$E$28:$F$33,2,FALSE)+1),1)</f>
        <v>19.987560906205616</v>
      </c>
      <c r="T301" s="57" cm="1">
        <f t="array" ref="T301">VLOOKUP(B301,'Player Data'!$A1:$AE673,8,FALSE)*$Q301*IFERROR((VLOOKUP(P301,Settings!$E$28:$F$33,2,FALSE)+1),1)</f>
        <v>25.774389209170469</v>
      </c>
      <c r="U301" s="57" cm="1">
        <f t="array" ref="U301">SUM(S301:T301)</f>
        <v>45.761950115376081</v>
      </c>
      <c r="V301" s="57" cm="1">
        <f t="array" ref="V301">VLOOKUP(B301,'Player Data'!$A1:$AE673,10,FALSE)*$Q301*IFERROR(((VLOOKUP(P301,Settings!$E$28:$F$33,2,FALSE)/2)+1),1)</f>
        <v>150.79519479575146</v>
      </c>
      <c r="W301" s="57" cm="1">
        <f t="array" ref="W301">VLOOKUP(B301,'Player Data'!$A1:$AE673,11,FALSE)*$Q301*IFERROR((VLOOKUP(P301,Settings!$E$28:$F$33,2,FALSE)+1),1)</f>
        <v>5.2359005832154004</v>
      </c>
      <c r="X301" s="57" cm="1">
        <f t="array" ref="X301">VLOOKUP(B301,'Player Data'!$A1:$AE673,12,FALSE)*$Q301*IFERROR((VLOOKUP(P301,Settings!$E$28:$F$33,2,FALSE)+1),1)</f>
        <v>11.987706875418739</v>
      </c>
      <c r="Y301" s="57" cm="1">
        <f t="array" ref="Y301">VLOOKUP(B301,'Player Data'!$A1:$AE673,13,FALSE)*$Q301</f>
        <v>0</v>
      </c>
      <c r="Z301" s="57" cm="1">
        <f t="array" ref="Z301">VLOOKUP(B301,'Player Data'!$A1:$AE673,14,FALSE)*$Q301</f>
        <v>0</v>
      </c>
      <c r="AA301" s="57" cm="1">
        <f t="array" ref="AA301">VLOOKUP(B301,'Player Data'!$A1:$AE673,15,FALSE)*$Q301</f>
        <v>31.043902439024372</v>
      </c>
      <c r="AB301" s="57" cm="1">
        <f t="array" ref="AB301">VLOOKUP(B301,'Player Data'!$A1:$AE673,16,FALSE)*$Q301</f>
        <v>87.548837841777242</v>
      </c>
      <c r="AC301" s="57" cm="1">
        <f t="array" ref="AC301">VLOOKUP(B301,'Player Data'!$A1:$AE673,17,FALSE)*$Q301*IFERROR((VLOOKUP(P301,Settings!$E$28:$F$33,2,FALSE)+1),1)</f>
        <v>-0.13536585365853682</v>
      </c>
      <c r="AD301" s="57" cm="1">
        <f t="array" ref="AD301">VLOOKUP(B301,'Player Data'!$A1:$AE673,18,FALSE)*$Q301</f>
        <v>29.900950480379297</v>
      </c>
      <c r="AE301" s="57" cm="1">
        <f t="array" ref="AE301">VLOOKUP(B301,'Player Data'!$A1:$AE673,19,FALSE)*$Q301*IFERROR((VLOOKUP(P301,Settings!$E$28:$F$33,2,FALSE)+1),1)</f>
        <v>2.6907590385632565</v>
      </c>
      <c r="AF301" s="57" cm="1">
        <f t="array" ref="AF301">VLOOKUP(B301,'Player Data'!$A1:$AE673,20,FALSE)*$Q301</f>
        <v>90.243902439024311</v>
      </c>
      <c r="AG301" s="57" cm="1">
        <f t="array" ref="AG301">VLOOKUP(B301,'Player Data'!$A1:$AE673,21,FALSE)*$Q301</f>
        <v>135.36585365853682</v>
      </c>
      <c r="AH301" s="59" cm="1">
        <f t="array" ref="AH301">VLOOKUP(B301,'Player Data'!$A1:$AE673,22,FALSE)</f>
        <v>0.4</v>
      </c>
      <c r="AI301" s="55"/>
      <c r="AJ301" s="57"/>
      <c r="AK301" s="57"/>
      <c r="AL301" s="57"/>
      <c r="AM301" s="57"/>
      <c r="AN301" s="57"/>
      <c r="AO301" s="57"/>
      <c r="AP301" s="57"/>
      <c r="AQ301" s="60"/>
      <c r="AR301" s="61"/>
      <c r="AS301" s="55"/>
    </row>
    <row r="302" spans="1:45" ht="21.25" customHeight="1" x14ac:dyDescent="0.15">
      <c r="A302" s="62">
        <f t="shared" si="4"/>
        <v>301</v>
      </c>
      <c r="B302" s="10" t="s">
        <v>430</v>
      </c>
      <c r="C302" s="47" t="s">
        <v>147</v>
      </c>
      <c r="D302" s="48" t="str" cm="1">
        <f t="array" ref="D302">VLOOKUP(B302,'Player Data'!A1:D673,4,FALSE)</f>
        <v>D</v>
      </c>
      <c r="E302" s="68" cm="1">
        <f t="array" ref="E302">VLOOKUP(B302,D!A1:C204,3,FALSE)</f>
        <v>121</v>
      </c>
      <c r="F302" s="69" t="str" cm="1">
        <f t="array" ref="F302">VLOOKUP(B302,'Player Data'!A1:B673,2,FALSE)</f>
        <v>MTL</v>
      </c>
      <c r="G302" s="71" cm="1">
        <f t="array" ref="G302">VLOOKUP(B302,'Player Data'!A1:D673,3,FALSE)</f>
        <v>24</v>
      </c>
      <c r="H302" s="51" cm="1">
        <f t="array" ref="H302">IFERROR(VLOOKUP(B302,ADP!A1:F671,6,FALSE)/1000000,VLOOKUP(B302,ADP!A1:F671,6,FALSE))</f>
        <v>5.5</v>
      </c>
      <c r="I302" s="52">
        <f>IF(Settings!$E$15="POINTS",((R302*Q302)*Settings!$B$12)+(S302*Settings!$B$2)+(T302*Settings!$B$3)+(U302*Settings!$B$4)+(V302*Settings!$B$5)+(X302*Settings!$B$9)+(AA302*Settings!$B$6)+(W302*Settings!$B$8)+(AB302*Settings!$B$7)+(AC302*Settings!$B$14)+(AD302*Settings!$B$15)+(AE302*Settings!$B$16)+(AF302*Settings!$B$17)+(AG302*Settings!$B$18)+(U302*Settings!$B$13)+(Y302*Settings!$B$10)+(Z302*Settings!$B$11),VLOOKUP(B302,'Standard Deviations'!A$1:C$672,3,FALSE))</f>
        <v>160.30537505021019</v>
      </c>
      <c r="J302" s="53" cm="1">
        <f t="array" ref="J302">IF(D302="G",I302/AJ302,I302/Q302)</f>
        <v>2.2425036728014294</v>
      </c>
      <c r="K302" s="52" cm="1">
        <f t="array" ref="K302">VLOOKUP(B302,D!A1:F204,6,FALSE)</f>
        <v>-146.34849229438387</v>
      </c>
      <c r="L302" s="54" cm="1">
        <f t="array" ref="L302">IFERROR(K302/H302,"N/A")</f>
        <v>-26.608816780797067</v>
      </c>
      <c r="M302" s="85" t="s">
        <v>832</v>
      </c>
      <c r="N302" s="85" t="str" cm="1">
        <f t="array" ref="N302">IFERROR(M302-A302,"N/A")</f>
        <v>N/A</v>
      </c>
      <c r="O302" s="55"/>
      <c r="P302" s="56" t="str" cm="1">
        <f t="array" ref="P302">_xlfn.XLOOKUP($B302,ADP!A2:A671,ADP!G2:G671)</f>
        <v xml:space="preserve"> </v>
      </c>
      <c r="Q302" s="57" cm="1">
        <f t="array" ref="Q302">IF(Settings!$E$12="YES",VLOOKUP(B302,'Player Data'!A1:E673,5,FALSE),84)</f>
        <v>71.484999999999999</v>
      </c>
      <c r="R302" s="55" cm="1">
        <f t="array" ref="R302">VLOOKUP(B302,'Player Data'!$A1:$AE673,6,FALSE)</f>
        <v>18.518178546683298</v>
      </c>
      <c r="S302" s="57" cm="1">
        <f t="array" ref="S302">VLOOKUP(B302,'Player Data'!$A1:$AE673,7,FALSE)*$Q302*IFERROR((VLOOKUP(P302,Settings!$E$28:$F$33,2,FALSE)+1),1)</f>
        <v>5.2200683070635794</v>
      </c>
      <c r="T302" s="57" cm="1">
        <f t="array" ref="T302">VLOOKUP(B302,'Player Data'!$A1:$AE673,8,FALSE)*$Q302*IFERROR((VLOOKUP(P302,Settings!$E$28:$F$33,2,FALSE)+1),1)</f>
        <v>15.322468956559918</v>
      </c>
      <c r="U302" s="57" cm="1">
        <f t="array" ref="U302">SUM(S302:T302)</f>
        <v>20.542537263623498</v>
      </c>
      <c r="V302" s="57" cm="1">
        <f t="array" ref="V302">VLOOKUP(B302,'Player Data'!$A1:$AE673,10,FALSE)*$Q302*IFERROR(((VLOOKUP(P302,Settings!$E$28:$F$33,2,FALSE)/2)+1),1)</f>
        <v>78.389269589826981</v>
      </c>
      <c r="W302" s="57" cm="1">
        <f t="array" ref="W302">VLOOKUP(B302,'Player Data'!$A1:$AE673,11,FALSE)*$Q302*IFERROR((VLOOKUP(P302,Settings!$E$28:$F$33,2,FALSE)+1),1)</f>
        <v>3.3838693498466016E-3</v>
      </c>
      <c r="X302" s="57" cm="1">
        <f t="array" ref="X302">VLOOKUP(B302,'Player Data'!$A1:$AE673,12,FALSE)*$Q302*IFERROR((VLOOKUP(P302,Settings!$E$28:$F$33,2,FALSE)+1),1)</f>
        <v>2.6265028976651429E-2</v>
      </c>
      <c r="Y302" s="57" cm="1">
        <f t="array" ref="Y302">VLOOKUP(B302,'Player Data'!$A1:$AE673,13,FALSE)*$Q302</f>
        <v>2.0157322097366769E-2</v>
      </c>
      <c r="Z302" s="57" cm="1">
        <f t="array" ref="Z302">VLOOKUP(B302,'Player Data'!$A1:$AE673,14,FALSE)*$Q302</f>
        <v>0.45317535281857357</v>
      </c>
      <c r="AA302" s="57" cm="1">
        <f t="array" ref="AA302">VLOOKUP(B302,'Player Data'!$A1:$AE673,15,FALSE)*$Q302</f>
        <v>118.00737616526197</v>
      </c>
      <c r="AB302" s="57" cm="1">
        <f t="array" ref="AB302">VLOOKUP(B302,'Player Data'!$A1:$AE673,16,FALSE)*$Q302</f>
        <v>113.01844166826342</v>
      </c>
      <c r="AC302" s="57" cm="1">
        <f t="array" ref="AC302">VLOOKUP(B302,'Player Data'!$A1:$AE673,17,FALSE)*$Q302*IFERROR((VLOOKUP(P302,Settings!$E$28:$F$33,2,FALSE)+1),1)</f>
        <v>1.093869244039462</v>
      </c>
      <c r="AD302" s="57" cm="1">
        <f t="array" ref="AD302">VLOOKUP(B302,'Player Data'!$A1:$AE673,18,FALSE)*$Q302</f>
        <v>47.525688913864592</v>
      </c>
      <c r="AE302" s="57" cm="1">
        <f t="array" ref="AE302">VLOOKUP(B302,'Player Data'!$A1:$AE673,19,FALSE)*$Q302*IFERROR((VLOOKUP(P302,Settings!$E$28:$F$33,2,FALSE)+1),1)</f>
        <v>0.86908997442472091</v>
      </c>
      <c r="AF302" s="57" cm="1">
        <f t="array" ref="AF302">VLOOKUP(B302,'Player Data'!$A1:$AE673,20,FALSE)*$Q302</f>
        <v>0</v>
      </c>
      <c r="AG302" s="57" cm="1">
        <f t="array" ref="AG302">VLOOKUP(B302,'Player Data'!$A1:$AE673,21,FALSE)*$Q302</f>
        <v>0</v>
      </c>
      <c r="AH302" s="59" cm="1">
        <f t="array" ref="AH302">VLOOKUP(B302,'Player Data'!$A1:$AE673,22,FALSE)</f>
        <v>0</v>
      </c>
      <c r="AI302" s="55"/>
      <c r="AJ302" s="57"/>
      <c r="AK302" s="57"/>
      <c r="AL302" s="57"/>
      <c r="AM302" s="57"/>
      <c r="AN302" s="57"/>
      <c r="AO302" s="57"/>
      <c r="AP302" s="57"/>
      <c r="AQ302" s="60"/>
      <c r="AR302" s="61"/>
      <c r="AS302" s="55"/>
    </row>
    <row r="303" spans="1:45" ht="21.25" customHeight="1" x14ac:dyDescent="0.15">
      <c r="A303" s="62">
        <f t="shared" si="4"/>
        <v>302</v>
      </c>
      <c r="B303" s="10" t="s">
        <v>431</v>
      </c>
      <c r="C303" s="76"/>
      <c r="D303" s="48" t="str" cm="1">
        <f t="array" ref="D303">VLOOKUP(B303,'Player Data'!A1:D673,4,FALSE)</f>
        <v>G</v>
      </c>
      <c r="E303" s="77" cm="1">
        <f t="array" ref="E303">VLOOKUP(B303,G!A1:D66,3,FALSE)</f>
        <v>34</v>
      </c>
      <c r="F303" s="65" t="str" cm="1">
        <f t="array" ref="F303">VLOOKUP(B303,'Player Data'!A1:B673,2,FALSE)</f>
        <v>CAR</v>
      </c>
      <c r="G303" s="11" cm="1">
        <f t="array" ref="G303">VLOOKUP(B303,'Player Data'!A1:D673,3,FALSE)</f>
        <v>28</v>
      </c>
      <c r="H303" s="51" cm="1">
        <f t="array" ref="H303">IFERROR(VLOOKUP(B303,ADP!A1:F671,6,FALSE)/1000000,VLOOKUP(B303,ADP!A1:F671,6,FALSE))</f>
        <v>1.9</v>
      </c>
      <c r="I303" s="52">
        <f>IF(Settings!$E$15="POINTS",(AJ303*Settings!$B$29)+(AK303*Settings!$B$21)+(AL303*Settings!$B$22)+(AN303*Settings!$B$24)+(AO303*Settings!$B$25)+(AP303*Settings!$B$27)+(AM303*Settings!$B$23),VLOOKUP(B303,'Standard Deviations'!A$1:C$672,3,FALSE))</f>
        <v>212.6331284422622</v>
      </c>
      <c r="J303" s="53" cm="1">
        <f t="array" ref="J303">IF(D303="G",I303/AJ303,I303/Q303)</f>
        <v>5.3158282110565551</v>
      </c>
      <c r="K303" s="52" cm="1">
        <f t="array" ref="K303">VLOOKUP(B303,G!A1:F66,6,FALSE)</f>
        <v>-146.52477948797582</v>
      </c>
      <c r="L303" s="54" cm="1">
        <f t="array" ref="L303">IFERROR(K303/H303,"N/A")</f>
        <v>-77.118304993671487</v>
      </c>
      <c r="M303" s="55">
        <v>73.900000000000006</v>
      </c>
      <c r="N303" s="55" cm="1">
        <f t="array" ref="N303">IFERROR(M303-A303,"N/A")</f>
        <v>-228.1</v>
      </c>
      <c r="O303" s="55"/>
      <c r="P303" s="56" t="str" cm="1">
        <f t="array" ref="P303">_xlfn.XLOOKUP($B303,ADP!A2:A671,ADP!G2:G671)</f>
        <v xml:space="preserve"> </v>
      </c>
      <c r="Q303" s="57"/>
      <c r="R303" s="55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9"/>
      <c r="AI303" s="55"/>
      <c r="AJ303" s="78" cm="1">
        <f t="array" ref="AJ303">VLOOKUP(B303,'Player Data'!$A1:$AE673,24,FALSE)</f>
        <v>40</v>
      </c>
      <c r="AK303" s="57" cm="1">
        <f t="array" ref="AK303">VLOOKUP(B303,'Player Data'!$A1:$AE673,25,FALSE)*$AJ303*IFERROR((VLOOKUP(P303,Settings!$E$28:$F$33,2,FALSE)+1),1)</f>
        <v>23.600769165490799</v>
      </c>
      <c r="AL303" s="57" cm="1">
        <f t="array" ref="AL303">AJ303-AK303-AM303</f>
        <v>12.29942312588188</v>
      </c>
      <c r="AM303" s="57" cm="1">
        <f t="array" ref="AM303">VLOOKUP(B303,'Player Data'!$A1:$AE673,27,FALSE)*$AJ303</f>
        <v>4.0998077086273197</v>
      </c>
      <c r="AN303" s="57" cm="1">
        <f t="array" ref="AN303">VLOOKUP(B303,'Player Data'!$A1:$AE673,28,FALSE)*AJ303</f>
        <v>2.5749857296385956</v>
      </c>
      <c r="AO303" s="57" cm="1">
        <f t="array" ref="AO303">VLOOKUP(B303,'Player Data'!$A1:$AE673,29,FALSE)*$AJ303*IFERROR((VLOOKUP(P303,Settings!$E$28:$F$33,2,FALSE)/4)+1,1)</f>
        <v>926.968288523512</v>
      </c>
      <c r="AP303" s="57" cm="1">
        <f t="array" ref="AP303">VLOOKUP(B303,'Player Data'!$A1:$AE673,31,FALSE)*$AJ303*(IFERROR(1-(VLOOKUP(P303,Settings!$E$28:$F$33,2,FALSE)/4),1))</f>
        <v>108.0761030152016</v>
      </c>
      <c r="AQ303" s="60" cm="1">
        <f t="array" ref="AQ303">1-(AP303/(AO303+AP303))</f>
        <v>0.89558312290883102</v>
      </c>
      <c r="AR303" s="61" cm="1">
        <f t="array" ref="AR303">AP303/AJ303</f>
        <v>2.7019025753800401</v>
      </c>
      <c r="AS303" s="55"/>
    </row>
    <row r="304" spans="1:45" ht="21.25" customHeight="1" x14ac:dyDescent="0.15">
      <c r="A304" s="62">
        <f t="shared" si="4"/>
        <v>303</v>
      </c>
      <c r="B304" s="10" t="s">
        <v>432</v>
      </c>
      <c r="C304" s="47" t="s">
        <v>147</v>
      </c>
      <c r="D304" s="48" t="str" cm="1">
        <f t="array" ref="D304">VLOOKUP(B304,'Player Data'!A1:D673,4,FALSE)</f>
        <v>D</v>
      </c>
      <c r="E304" s="68" cm="1">
        <f t="array" ref="E304">VLOOKUP(B304,D!A1:C204,3,FALSE)</f>
        <v>122</v>
      </c>
      <c r="F304" s="18" t="str" cm="1">
        <f t="array" ref="F304">VLOOKUP(B304,'Player Data'!A1:B673,2,FALSE)</f>
        <v>OTT</v>
      </c>
      <c r="G304" s="71" cm="1">
        <f t="array" ref="G304">VLOOKUP(B304,'Player Data'!A1:D673,3,FALSE)</f>
        <v>24</v>
      </c>
      <c r="H304" s="67" cm="1">
        <f t="array" ref="H304">IFERROR(VLOOKUP(B304,ADP!A1:F671,6,FALSE)/1000000,VLOOKUP(B304,ADP!A1:F671,6,FALSE))</f>
        <v>1.6</v>
      </c>
      <c r="I304" s="52">
        <f>IF(Settings!$E$15="POINTS",((R304*Q304)*Settings!$B$12)+(S304*Settings!$B$2)+(T304*Settings!$B$3)+(U304*Settings!$B$4)+(V304*Settings!$B$5)+(X304*Settings!$B$9)+(AA304*Settings!$B$6)+(W304*Settings!$B$8)+(AB304*Settings!$B$7)+(AC304*Settings!$B$14)+(AD304*Settings!$B$15)+(AE304*Settings!$B$16)+(AF304*Settings!$B$17)+(AG304*Settings!$B$18)+(U304*Settings!$B$13)+(Y304*Settings!$B$10)+(Z304*Settings!$B$11),VLOOKUP(B304,'Standard Deviations'!A$1:C$672,3,FALSE))</f>
        <v>159.64928622164089</v>
      </c>
      <c r="J304" s="53" cm="1">
        <f t="array" ref="J304">IF(D304="G",I304/AJ304,I304/Q304)</f>
        <v>2.0009310508743963</v>
      </c>
      <c r="K304" s="52" cm="1">
        <f t="array" ref="K304">VLOOKUP(B304,D!A1:F204,6,FALSE)</f>
        <v>-147.00458112295317</v>
      </c>
      <c r="L304" s="54" cm="1">
        <f t="array" ref="L304">IFERROR(K304/H304,"N/A")</f>
        <v>-91.877863201845727</v>
      </c>
      <c r="M304" s="85" t="s">
        <v>832</v>
      </c>
      <c r="N304" s="85" t="str" cm="1">
        <f t="array" ref="N304">IFERROR(M304-A304,"N/A")</f>
        <v>N/A</v>
      </c>
      <c r="O304" s="55"/>
      <c r="P304" s="56" t="str" cm="1">
        <f t="array" ref="P304">_xlfn.XLOOKUP($B304,ADP!A2:A671,ADP!G2:G671)</f>
        <v xml:space="preserve"> </v>
      </c>
      <c r="Q304" s="57" cm="1">
        <f t="array" ref="Q304">IF(Settings!$E$12="YES",VLOOKUP(B304,'Player Data'!A1:E673,5,FALSE),84)</f>
        <v>79.787499999999994</v>
      </c>
      <c r="R304" s="55" cm="1">
        <f t="array" ref="R304">VLOOKUP(B304,'Player Data'!$A1:$AE673,6,FALSE)</f>
        <v>17.337577970652799</v>
      </c>
      <c r="S304" s="57" cm="1">
        <f t="array" ref="S304">VLOOKUP(B304,'Player Data'!$A1:$AE673,7,FALSE)*$Q304*IFERROR((VLOOKUP(P304,Settings!$E$28:$F$33,2,FALSE)+1),1)</f>
        <v>4.0124018661435441</v>
      </c>
      <c r="T304" s="57" cm="1">
        <f t="array" ref="T304">VLOOKUP(B304,'Player Data'!$A1:$AE673,8,FALSE)*$Q304*IFERROR((VLOOKUP(P304,Settings!$E$28:$F$33,2,FALSE)+1),1)</f>
        <v>14.357357146690449</v>
      </c>
      <c r="U304" s="57" cm="1">
        <f t="array" ref="U304">SUM(S304:T304)</f>
        <v>18.369759012833992</v>
      </c>
      <c r="V304" s="57" cm="1">
        <f t="array" ref="V304">VLOOKUP(B304,'Player Data'!$A1:$AE673,10,FALSE)*$Q304*IFERROR(((VLOOKUP(P304,Settings!$E$28:$F$33,2,FALSE)/2)+1),1)</f>
        <v>95.438165930416531</v>
      </c>
      <c r="W304" s="57" cm="1">
        <f t="array" ref="W304">VLOOKUP(B304,'Player Data'!$A1:$AE673,11,FALSE)*$Q304*IFERROR((VLOOKUP(P304,Settings!$E$28:$F$33,2,FALSE)+1),1)</f>
        <v>2.1506891690561542E-2</v>
      </c>
      <c r="X304" s="57" cm="1">
        <f t="array" ref="X304">VLOOKUP(B304,'Player Data'!$A1:$AE673,12,FALSE)*$Q304*IFERROR((VLOOKUP(P304,Settings!$E$28:$F$33,2,FALSE)+1),1)</f>
        <v>0.16011343316795368</v>
      </c>
      <c r="Y304" s="57" cm="1">
        <f t="array" ref="Y304">VLOOKUP(B304,'Player Data'!$A1:$AE673,13,FALSE)*$Q304</f>
        <v>2.5633087234666806E-2</v>
      </c>
      <c r="Z304" s="57" cm="1">
        <f t="array" ref="Z304">VLOOKUP(B304,'Player Data'!$A1:$AE673,14,FALSE)*$Q304</f>
        <v>1.5603992574316932</v>
      </c>
      <c r="AA304" s="57" cm="1">
        <f t="array" ref="AA304">VLOOKUP(B304,'Player Data'!$A1:$AE673,15,FALSE)*$Q304</f>
        <v>110.200827054662</v>
      </c>
      <c r="AB304" s="57" cm="1">
        <f t="array" ref="AB304">VLOOKUP(B304,'Player Data'!$A1:$AE673,16,FALSE)*$Q304</f>
        <v>125.25956681764895</v>
      </c>
      <c r="AC304" s="57" cm="1">
        <f t="array" ref="AC304">VLOOKUP(B304,'Player Data'!$A1:$AE673,17,FALSE)*$Q304*IFERROR((VLOOKUP(P304,Settings!$E$28:$F$33,2,FALSE)+1),1)</f>
        <v>1.1752260784497432</v>
      </c>
      <c r="AD304" s="57" cm="1">
        <f t="array" ref="AD304">VLOOKUP(B304,'Player Data'!$A1:$AE673,18,FALSE)*$Q304</f>
        <v>40.896659224394014</v>
      </c>
      <c r="AE304" s="57" cm="1">
        <f t="array" ref="AE304">VLOOKUP(B304,'Player Data'!$A1:$AE673,19,FALSE)*$Q304*IFERROR((VLOOKUP(P304,Settings!$E$28:$F$33,2,FALSE)+1),1)</f>
        <v>0.711740622489618</v>
      </c>
      <c r="AF304" s="57" cm="1">
        <f t="array" ref="AF304">VLOOKUP(B304,'Player Data'!$A1:$AE673,20,FALSE)*$Q304</f>
        <v>0</v>
      </c>
      <c r="AG304" s="57" cm="1">
        <f t="array" ref="AG304">VLOOKUP(B304,'Player Data'!$A1:$AE673,21,FALSE)*$Q304</f>
        <v>0</v>
      </c>
      <c r="AH304" s="59" cm="1">
        <f t="array" ref="AH304">VLOOKUP(B304,'Player Data'!$A1:$AE673,22,FALSE)</f>
        <v>0</v>
      </c>
      <c r="AI304" s="55"/>
      <c r="AJ304" s="57"/>
      <c r="AK304" s="57"/>
      <c r="AL304" s="57"/>
      <c r="AM304" s="57"/>
      <c r="AN304" s="57"/>
      <c r="AO304" s="57"/>
      <c r="AP304" s="57"/>
      <c r="AQ304" s="60"/>
      <c r="AR304" s="61"/>
      <c r="AS304" s="55"/>
    </row>
    <row r="305" spans="1:45" ht="21.25" customHeight="1" x14ac:dyDescent="0.15">
      <c r="A305" s="62">
        <f t="shared" si="4"/>
        <v>304</v>
      </c>
      <c r="B305" s="10" t="s">
        <v>433</v>
      </c>
      <c r="C305" s="47" t="s">
        <v>147</v>
      </c>
      <c r="D305" s="48" t="str" cm="1">
        <f t="array" ref="D305">VLOOKUP(B305,'Player Data'!A1:D673,4,FALSE)</f>
        <v>LW,RW</v>
      </c>
      <c r="E305" s="74" cm="1">
        <f t="array" ref="E305">VLOOKUP(B305,RW!A1:F210,3,FALSE)</f>
        <v>84</v>
      </c>
      <c r="F305" s="63" t="str" cm="1">
        <f t="array" ref="F305">VLOOKUP(B305,'Player Data'!A1:B673,2,FALSE)</f>
        <v>CGY</v>
      </c>
      <c r="G305" s="66" cm="1">
        <f t="array" ref="G305">VLOOKUP(B305,'Player Data'!A1:D673,3,FALSE)</f>
        <v>33</v>
      </c>
      <c r="H305" s="51" cm="1">
        <f t="array" ref="H305">IFERROR(VLOOKUP(B305,ADP!A1:F671,6,FALSE)/1000000,VLOOKUP(B305,ADP!A1:F671,6,FALSE))</f>
        <v>10.5</v>
      </c>
      <c r="I305" s="52">
        <f>IF(Settings!$E$15="POINTS",((R305*Q305)*Settings!$B$12)+(S305*Settings!$B$2)+(T305*Settings!$B$3)+(U305*Settings!$B$4)+(V305*Settings!$B$5)+(X305*Settings!$B$9)+(AA305*Settings!$B$6)+(W305*Settings!$B$8)+(AB305*Settings!$B$7)+(AC305*Settings!$B$14)+(AD305*Settings!$B$15)+(AE305*Settings!$B$16)+(AF305*Settings!$B$17)+(AG305*Settings!$B$18)+(Y305*Settings!$B$10)+(Z305*Settings!$B$11),VLOOKUP(B305,'Standard Deviations'!A$1:C$672,3,FALSE))</f>
        <v>247.8910043918896</v>
      </c>
      <c r="J305" s="53" cm="1">
        <f t="array" ref="J305">IF(D305="G",I305/AJ305,I305/Q305)</f>
        <v>3.1735126182351046</v>
      </c>
      <c r="K305" s="52" cm="1">
        <f t="array" ref="K305">IF(Settings!$E$18="C/LW/RW",VLOOKUP(B305,RW!A1:F210,6,FALSE),VLOOKUP(B305,F!A1:F407,6,FALSE))</f>
        <v>-147.05246030166788</v>
      </c>
      <c r="L305" s="54" cm="1">
        <f t="array" ref="L305">IFERROR(K305/H305,"N/A")</f>
        <v>-14.004996219206465</v>
      </c>
      <c r="M305" s="85" t="s">
        <v>832</v>
      </c>
      <c r="N305" s="85" t="str" cm="1">
        <f t="array" ref="N305">IFERROR(M305-A305,"N/A")</f>
        <v>N/A</v>
      </c>
      <c r="O305" s="55"/>
      <c r="P305" s="56" t="str" cm="1">
        <f t="array" ref="P305">_xlfn.XLOOKUP($B305,ADP!A2:A671,ADP!G2:G671)</f>
        <v xml:space="preserve"> </v>
      </c>
      <c r="Q305" s="57" cm="1">
        <f t="array" ref="Q305">IF(Settings!$E$12="YES",VLOOKUP(B305,'Player Data'!A1:E673,5,FALSE),84)</f>
        <v>78.112499999999997</v>
      </c>
      <c r="R305" s="55" cm="1">
        <f t="array" ref="R305">VLOOKUP(B305,'Player Data'!$A1:$AE673,6,FALSE)</f>
        <v>18.223606802591501</v>
      </c>
      <c r="S305" s="57" cm="1">
        <f t="array" ref="S305">VLOOKUP(B305,'Player Data'!$A1:$AE673,7,FALSE)*$Q305*IFERROR((VLOOKUP(P305,Settings!$E$28:$F$33,2,FALSE)+1),1)</f>
        <v>17.952973281766504</v>
      </c>
      <c r="T305" s="57" cm="1">
        <f t="array" ref="T305">VLOOKUP(B305,'Player Data'!$A1:$AE673,8,FALSE)*$Q305*IFERROR((VLOOKUP(P305,Settings!$E$28:$F$33,2,FALSE)+1),1)</f>
        <v>28.158407044662823</v>
      </c>
      <c r="U305" s="57" cm="1">
        <f t="array" ref="U305">SUM(S305:T305)</f>
        <v>46.111380326429327</v>
      </c>
      <c r="V305" s="57" cm="1">
        <f t="array" ref="V305">VLOOKUP(B305,'Player Data'!$A1:$AE673,10,FALSE)*$Q305*IFERROR(((VLOOKUP(P305,Settings!$E$28:$F$33,2,FALSE)/2)+1),1)</f>
        <v>136.4284349945334</v>
      </c>
      <c r="W305" s="57" cm="1">
        <f t="array" ref="W305">VLOOKUP(B305,'Player Data'!$A1:$AE673,11,FALSE)*$Q305*IFERROR((VLOOKUP(P305,Settings!$E$28:$F$33,2,FALSE)+1),1)</f>
        <v>5.6956279138909558</v>
      </c>
      <c r="X305" s="79" cm="1">
        <f t="array" ref="X305">VLOOKUP(B305,'Player Data'!$A1:$AE673,12,FALSE)*$Q305*IFERROR((VLOOKUP(P305,Settings!$E$28:$F$33,2,FALSE)+1),1)</f>
        <v>14.735790166633461</v>
      </c>
      <c r="Y305" s="57" cm="1">
        <f t="array" ref="Y305">VLOOKUP(B305,'Player Data'!$A1:$AE673,13,FALSE)*$Q305</f>
        <v>1.1582554150585929</v>
      </c>
      <c r="Z305" s="57" cm="1">
        <f t="array" ref="Z305">VLOOKUP(B305,'Player Data'!$A1:$AE673,14,FALSE)*$Q305</f>
        <v>1.6307019144350956</v>
      </c>
      <c r="AA305" s="57" cm="1">
        <f t="array" ref="AA305">VLOOKUP(B305,'Player Data'!$A1:$AE673,15,FALSE)*$Q305</f>
        <v>49.952307668532754</v>
      </c>
      <c r="AB305" s="57" cm="1">
        <f t="array" ref="AB305">VLOOKUP(B305,'Player Data'!$A1:$AE673,16,FALSE)*$Q305</f>
        <v>53.199754788921091</v>
      </c>
      <c r="AC305" s="57" cm="1">
        <f t="array" ref="AC305">VLOOKUP(B305,'Player Data'!$A1:$AE673,17,FALSE)*$Q305*IFERROR((VLOOKUP(P305,Settings!$E$28:$F$33,2,FALSE)+1),1)</f>
        <v>-7.6935299963357782</v>
      </c>
      <c r="AD305" s="57" cm="1">
        <f t="array" ref="AD305">VLOOKUP(B305,'Player Data'!$A1:$AE673,18,FALSE)*$Q305</f>
        <v>37.704885821944025</v>
      </c>
      <c r="AE305" s="57" cm="1">
        <f t="array" ref="AE305">VLOOKUP(B305,'Player Data'!$A1:$AE673,19,FALSE)*$Q305*IFERROR((VLOOKUP(P305,Settings!$E$28:$F$33,2,FALSE)+1),1)</f>
        <v>2.5811881742879348</v>
      </c>
      <c r="AF305" s="57" cm="1">
        <f t="array" ref="AF305">VLOOKUP(B305,'Player Data'!$A1:$AE673,20,FALSE)*$Q305</f>
        <v>12.375151369691824</v>
      </c>
      <c r="AG305" s="57" cm="1">
        <f t="array" ref="AG305">VLOOKUP(B305,'Player Data'!$A1:$AE673,21,FALSE)*$Q305</f>
        <v>17.726159136308947</v>
      </c>
      <c r="AH305" s="59" cm="1">
        <f t="array" ref="AH305">VLOOKUP(B305,'Player Data'!$A1:$AE673,22,FALSE)</f>
        <v>0.41111669763430603</v>
      </c>
      <c r="AI305" s="55"/>
      <c r="AJ305" s="57"/>
      <c r="AK305" s="57"/>
      <c r="AL305" s="57"/>
      <c r="AM305" s="57"/>
      <c r="AN305" s="57"/>
      <c r="AO305" s="57"/>
      <c r="AP305" s="57"/>
      <c r="AQ305" s="60"/>
      <c r="AR305" s="61"/>
      <c r="AS305" s="55"/>
    </row>
    <row r="306" spans="1:45" ht="21.25" customHeight="1" x14ac:dyDescent="0.15">
      <c r="A306" s="62">
        <f t="shared" si="4"/>
        <v>305</v>
      </c>
      <c r="B306" s="10" t="s">
        <v>434</v>
      </c>
      <c r="C306" s="76"/>
      <c r="D306" s="48" t="str" cm="1">
        <f t="array" ref="D306">VLOOKUP(B306,'Player Data'!A1:D673,4,FALSE)</f>
        <v>G</v>
      </c>
      <c r="E306" s="77" cm="1">
        <f t="array" ref="E306">VLOOKUP(B306,G!A1:D66,3,FALSE)</f>
        <v>35</v>
      </c>
      <c r="F306" s="70" t="str" cm="1">
        <f t="array" ref="F306">VLOOKUP(B306,'Player Data'!A1:B673,2,FALSE)</f>
        <v>L.A</v>
      </c>
      <c r="G306" s="66" cm="1">
        <f t="array" ref="G306">VLOOKUP(B306,'Player Data'!A1:D673,3,FALSE)</f>
        <v>36</v>
      </c>
      <c r="H306" s="67" cm="1">
        <f t="array" ref="H306">IFERROR(VLOOKUP(B306,ADP!A1:F671,6,FALSE)/1000000,VLOOKUP(B306,ADP!A1:F671,6,FALSE))</f>
        <v>5.25</v>
      </c>
      <c r="I306" s="52">
        <f>IF(Settings!$E$15="POINTS",(AJ306*Settings!$B$29)+(AK306*Settings!$B$21)+(AL306*Settings!$B$22)+(AN306*Settings!$B$24)+(AO306*Settings!$B$25)+(AP306*Settings!$B$27)+(AM306*Settings!$B$23),VLOOKUP(B306,'Standard Deviations'!A$1:C$672,3,FALSE))</f>
        <v>212.00890325552507</v>
      </c>
      <c r="J306" s="53" cm="1">
        <f t="array" ref="J306">IF(D306="G",I306/AJ306,I306/Q306)</f>
        <v>6.0573972358721448</v>
      </c>
      <c r="K306" s="52" cm="1">
        <f t="array" ref="K306">VLOOKUP(B306,G!A1:F66,6,FALSE)</f>
        <v>-147.14900467471296</v>
      </c>
      <c r="L306" s="54" cm="1">
        <f t="array" ref="L306">IFERROR(K306/H306,"N/A")</f>
        <v>-28.028381842802467</v>
      </c>
      <c r="M306" s="55">
        <v>147.69999999999999</v>
      </c>
      <c r="N306" s="55" cm="1">
        <f t="array" ref="N306">IFERROR(M306-A306,"N/A")</f>
        <v>-157.30000000000001</v>
      </c>
      <c r="O306" s="55"/>
      <c r="P306" s="56" t="str" cm="1">
        <f t="array" ref="P306">_xlfn.XLOOKUP($B306,ADP!A2:A671,ADP!G2:G671)</f>
        <v xml:space="preserve"> </v>
      </c>
      <c r="Q306" s="57"/>
      <c r="R306" s="55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9"/>
      <c r="AI306" s="55"/>
      <c r="AJ306" s="78" cm="1">
        <f t="array" ref="AJ306">VLOOKUP(B306,'Player Data'!$A1:$AE673,24,FALSE)</f>
        <v>35</v>
      </c>
      <c r="AK306" s="57" cm="1">
        <f t="array" ref="AK306">VLOOKUP(B306,'Player Data'!$A1:$AE673,25,FALSE)*$AJ306*IFERROR((VLOOKUP(P306,Settings!$E$28:$F$33,2,FALSE)+1),1)</f>
        <v>16.912001293467</v>
      </c>
      <c r="AL306" s="57" cm="1">
        <f t="array" ref="AL306">AJ306-AK306-AM306</f>
        <v>13.56599902989975</v>
      </c>
      <c r="AM306" s="57" cm="1">
        <f t="array" ref="AM306">VLOOKUP(B306,'Player Data'!$A1:$AE673,27,FALSE)*$AJ306</f>
        <v>4.52199967663325</v>
      </c>
      <c r="AN306" s="57" cm="1">
        <f t="array" ref="AN306">VLOOKUP(B306,'Player Data'!$A1:$AE673,28,FALSE)*AJ306</f>
        <v>1.9323154588680285</v>
      </c>
      <c r="AO306" s="57" cm="1">
        <f t="array" ref="AO306">VLOOKUP(B306,'Player Data'!$A1:$AE673,29,FALSE)*$AJ306*IFERROR((VLOOKUP(P306,Settings!$E$28:$F$33,2,FALSE)/4)+1,1)</f>
        <v>911.27419462298099</v>
      </c>
      <c r="AP306" s="57" cm="1">
        <f t="array" ref="AP306">VLOOKUP(B306,'Player Data'!$A1:$AE673,31,FALSE)*$AJ306*(IFERROR(1-(VLOOKUP(P306,Settings!$E$28:$F$33,2,FALSE)/4),1))</f>
        <v>98.765504465078152</v>
      </c>
      <c r="AQ306" s="60" cm="1">
        <f t="array" ref="AQ306">1-(AP306/(AO306+AP306))</f>
        <v>0.90221621530891194</v>
      </c>
      <c r="AR306" s="61" cm="1">
        <f t="array" ref="AR306">AP306/AJ306</f>
        <v>2.8218715561450902</v>
      </c>
      <c r="AS306" s="55"/>
    </row>
    <row r="307" spans="1:45" ht="21.25" customHeight="1" x14ac:dyDescent="0.15">
      <c r="A307" s="62">
        <f t="shared" si="4"/>
        <v>306</v>
      </c>
      <c r="B307" s="10" t="s">
        <v>435</v>
      </c>
      <c r="C307" s="47" t="s">
        <v>147</v>
      </c>
      <c r="D307" s="48" t="str" cm="1">
        <f t="array" ref="D307">VLOOKUP(B307,'Player Data'!A1:D673,4,FALSE)</f>
        <v>D</v>
      </c>
      <c r="E307" s="68" cm="1">
        <f t="array" ref="E307">VLOOKUP(B307,D!A1:C204,3,FALSE)</f>
        <v>123</v>
      </c>
      <c r="F307" s="70" t="str" cm="1">
        <f t="array" ref="F307">VLOOKUP(B307,'Player Data'!A1:B673,2,FALSE)</f>
        <v>MIN</v>
      </c>
      <c r="G307" s="66" cm="1">
        <f t="array" ref="G307">VLOOKUP(B307,'Player Data'!A1:D673,3,FALSE)</f>
        <v>36</v>
      </c>
      <c r="H307" s="67" cm="1">
        <f t="array" ref="H307">IFERROR(VLOOKUP(B307,ADP!A1:F671,6,FALSE)/1000000,VLOOKUP(B307,ADP!A1:F671,6,FALSE))</f>
        <v>7.5750000000000002</v>
      </c>
      <c r="I307" s="52">
        <f>IF(Settings!$E$15="POINTS",((R307*Q307)*Settings!$B$12)+(S307*Settings!$B$2)+(T307*Settings!$B$3)+(U307*Settings!$B$4)+(V307*Settings!$B$5)+(X307*Settings!$B$9)+(AA307*Settings!$B$6)+(W307*Settings!$B$8)+(AB307*Settings!$B$7)+(AC307*Settings!$B$14)+(AD307*Settings!$B$15)+(AE307*Settings!$B$16)+(AF307*Settings!$B$17)+(AG307*Settings!$B$18)+(U307*Settings!$B$13)+(Y307*Settings!$B$10)+(Z307*Settings!$B$11),VLOOKUP(B307,'Standard Deviations'!A$1:C$672,3,FALSE))</f>
        <v>159.09895757540025</v>
      </c>
      <c r="J307" s="53" cm="1">
        <f t="array" ref="J307">IF(D307="G",I307/AJ307,I307/Q307)</f>
        <v>2.1299100716275676</v>
      </c>
      <c r="K307" s="52" cm="1">
        <f t="array" ref="K307">VLOOKUP(B307,D!A1:F204,6,FALSE)</f>
        <v>-147.55490976919381</v>
      </c>
      <c r="L307" s="54" cm="1">
        <f t="array" ref="L307">IFERROR(K307/H307,"N/A")</f>
        <v>-19.479196009134498</v>
      </c>
      <c r="M307" s="85" t="s">
        <v>832</v>
      </c>
      <c r="N307" s="85" t="str" cm="1">
        <f t="array" ref="N307">IFERROR(M307-A307,"N/A")</f>
        <v>N/A</v>
      </c>
      <c r="O307" s="55"/>
      <c r="P307" s="56" t="str" cm="1">
        <f t="array" ref="P307">_xlfn.XLOOKUP($B307,ADP!A2:A671,ADP!G2:G671)</f>
        <v xml:space="preserve"> </v>
      </c>
      <c r="Q307" s="57" cm="1">
        <f t="array" ref="Q307">IF(Settings!$E$12="YES",VLOOKUP(B307,'Player Data'!A1:E673,5,FALSE),84)</f>
        <v>74.697500000000005</v>
      </c>
      <c r="R307" s="55" cm="1">
        <f t="array" ref="R307">VLOOKUP(B307,'Player Data'!$A1:$AE673,6,FALSE)</f>
        <v>19.1687756488307</v>
      </c>
      <c r="S307" s="57" cm="1">
        <f t="array" ref="S307">VLOOKUP(B307,'Player Data'!$A1:$AE673,7,FALSE)*$Q307*IFERROR((VLOOKUP(P307,Settings!$E$28:$F$33,2,FALSE)+1),1)</f>
        <v>2.8186267096894126</v>
      </c>
      <c r="T307" s="57" cm="1">
        <f t="array" ref="T307">VLOOKUP(B307,'Player Data'!$A1:$AE673,8,FALSE)*$Q307*IFERROR((VLOOKUP(P307,Settings!$E$28:$F$33,2,FALSE)+1),1)</f>
        <v>15.313901132224217</v>
      </c>
      <c r="U307" s="57" cm="1">
        <f t="array" ref="U307">SUM(S307:T307)</f>
        <v>18.132527841913628</v>
      </c>
      <c r="V307" s="57" cm="1">
        <f t="array" ref="V307">VLOOKUP(B307,'Player Data'!$A1:$AE673,10,FALSE)*$Q307*IFERROR(((VLOOKUP(P307,Settings!$E$28:$F$33,2,FALSE)/2)+1),1)</f>
        <v>77.391758708511603</v>
      </c>
      <c r="W307" s="57" cm="1">
        <f t="array" ref="W307">VLOOKUP(B307,'Player Data'!$A1:$AE673,11,FALSE)*$Q307*IFERROR((VLOOKUP(P307,Settings!$E$28:$F$33,2,FALSE)+1),1)</f>
        <v>0.43972679560614636</v>
      </c>
      <c r="X307" s="57" cm="1">
        <f t="array" ref="X307">VLOOKUP(B307,'Player Data'!$A1:$AE673,12,FALSE)*$Q307*IFERROR((VLOOKUP(P307,Settings!$E$28:$F$33,2,FALSE)+1),1)</f>
        <v>3.4451192158680297</v>
      </c>
      <c r="Y307" s="57" cm="1">
        <f t="array" ref="Y307">VLOOKUP(B307,'Player Data'!$A1:$AE673,13,FALSE)*$Q307</f>
        <v>1.0250499639470867E-2</v>
      </c>
      <c r="Z307" s="57" cm="1">
        <f t="array" ref="Z307">VLOOKUP(B307,'Player Data'!$A1:$AE673,14,FALSE)*$Q307</f>
        <v>0.10761441684793523</v>
      </c>
      <c r="AA307" s="57" cm="1">
        <f t="array" ref="AA307">VLOOKUP(B307,'Player Data'!$A1:$AE673,15,FALSE)*$Q307</f>
        <v>124.90552212537521</v>
      </c>
      <c r="AB307" s="57" cm="1">
        <f t="array" ref="AB307">VLOOKUP(B307,'Player Data'!$A1:$AE673,16,FALSE)*$Q307</f>
        <v>76.887433055912737</v>
      </c>
      <c r="AC307" s="57" cm="1">
        <f t="array" ref="AC307">VLOOKUP(B307,'Player Data'!$A1:$AE673,17,FALSE)*$Q307*IFERROR((VLOOKUP(P307,Settings!$E$28:$F$33,2,FALSE)+1),1)</f>
        <v>2.8959589225266393</v>
      </c>
      <c r="AD307" s="57" cm="1">
        <f t="array" ref="AD307">VLOOKUP(B307,'Player Data'!$A1:$AE673,18,FALSE)*$Q307</f>
        <v>17.81408937590469</v>
      </c>
      <c r="AE307" s="57" cm="1">
        <f t="array" ref="AE307">VLOOKUP(B307,'Player Data'!$A1:$AE673,19,FALSE)*$Q307*IFERROR((VLOOKUP(P307,Settings!$E$28:$F$33,2,FALSE)+1),1)</f>
        <v>0.4591105879569386</v>
      </c>
      <c r="AF307" s="57" cm="1">
        <f t="array" ref="AF307">VLOOKUP(B307,'Player Data'!$A1:$AE673,20,FALSE)*$Q307</f>
        <v>0</v>
      </c>
      <c r="AG307" s="57" cm="1">
        <f t="array" ref="AG307">VLOOKUP(B307,'Player Data'!$A1:$AE673,21,FALSE)*$Q307</f>
        <v>0</v>
      </c>
      <c r="AH307" s="59" cm="1">
        <f t="array" ref="AH307">VLOOKUP(B307,'Player Data'!$A1:$AE673,22,FALSE)</f>
        <v>0</v>
      </c>
      <c r="AI307" s="55"/>
      <c r="AJ307" s="57"/>
      <c r="AK307" s="57"/>
      <c r="AL307" s="57"/>
      <c r="AM307" s="57"/>
      <c r="AN307" s="57"/>
      <c r="AO307" s="57"/>
      <c r="AP307" s="57"/>
      <c r="AQ307" s="60"/>
      <c r="AR307" s="61"/>
      <c r="AS307" s="55"/>
    </row>
    <row r="308" spans="1:45" ht="21.25" customHeight="1" x14ac:dyDescent="0.15">
      <c r="A308" s="62">
        <f t="shared" si="4"/>
        <v>307</v>
      </c>
      <c r="B308" s="10" t="s">
        <v>436</v>
      </c>
      <c r="C308" s="47" t="s">
        <v>147</v>
      </c>
      <c r="D308" s="48" t="str" cm="1">
        <f t="array" ref="D308">VLOOKUP(B308,'Player Data'!A1:D673,4,FALSE)</f>
        <v>D</v>
      </c>
      <c r="E308" s="68" cm="1">
        <f t="array" ref="E308">VLOOKUP(B308,D!A1:C204,3,FALSE)</f>
        <v>124</v>
      </c>
      <c r="F308" s="65" t="str" cm="1">
        <f t="array" ref="F308">VLOOKUP(B308,'Player Data'!A1:B673,2,FALSE)</f>
        <v>NSH</v>
      </c>
      <c r="G308" s="11" cm="1">
        <f t="array" ref="G308">VLOOKUP(B308,'Player Data'!A1:D673,3,FALSE)</f>
        <v>28</v>
      </c>
      <c r="H308" s="67" cm="1">
        <f t="array" ref="H308">IFERROR(VLOOKUP(B308,ADP!A1:F671,6,FALSE)/1000000,VLOOKUP(B308,ADP!A1:F671,6,FALSE))</f>
        <v>2.75</v>
      </c>
      <c r="I308" s="52">
        <f>IF(Settings!$E$15="POINTS",((R308*Q308)*Settings!$B$12)+(S308*Settings!$B$2)+(T308*Settings!$B$3)+(U308*Settings!$B$4)+(V308*Settings!$B$5)+(X308*Settings!$B$9)+(AA308*Settings!$B$6)+(W308*Settings!$B$8)+(AB308*Settings!$B$7)+(AC308*Settings!$B$14)+(AD308*Settings!$B$15)+(AE308*Settings!$B$16)+(AF308*Settings!$B$17)+(AG308*Settings!$B$18)+(U308*Settings!$B$13)+(Y308*Settings!$B$10)+(Z308*Settings!$B$11),VLOOKUP(B308,'Standard Deviations'!A$1:C$672,3,FALSE))</f>
        <v>158.91058147526866</v>
      </c>
      <c r="J308" s="53" cm="1">
        <f t="array" ref="J308">IF(D308="G",I308/AJ308,I308/Q308)</f>
        <v>1.9403593696421584</v>
      </c>
      <c r="K308" s="52" cm="1">
        <f t="array" ref="K308">VLOOKUP(B308,D!A1:F204,6,FALSE)</f>
        <v>-147.7432858693254</v>
      </c>
      <c r="L308" s="54" cm="1">
        <f t="array" ref="L308">IFERROR(K308/H308,"N/A")</f>
        <v>-53.724831225209236</v>
      </c>
      <c r="M308" s="85" t="s">
        <v>832</v>
      </c>
      <c r="N308" s="85" t="str" cm="1">
        <f t="array" ref="N308">IFERROR(M308-A308,"N/A")</f>
        <v>N/A</v>
      </c>
      <c r="O308" s="55"/>
      <c r="P308" s="56" t="str" cm="1">
        <f t="array" ref="P308">_xlfn.XLOOKUP($B308,ADP!A2:A671,ADP!G2:G671)</f>
        <v xml:space="preserve"> </v>
      </c>
      <c r="Q308" s="57" cm="1">
        <f t="array" ref="Q308">IF(Settings!$E$12="YES",VLOOKUP(B308,'Player Data'!A1:E673,5,FALSE),84)</f>
        <v>81.897499999999994</v>
      </c>
      <c r="R308" s="55" cm="1">
        <f t="array" ref="R308">VLOOKUP(B308,'Player Data'!$A1:$AE673,6,FALSE)</f>
        <v>19.158189761000202</v>
      </c>
      <c r="S308" s="57" cm="1">
        <f t="array" ref="S308">VLOOKUP(B308,'Player Data'!$A1:$AE673,7,FALSE)*$Q308*IFERROR((VLOOKUP(P308,Settings!$E$28:$F$33,2,FALSE)+1),1)</f>
        <v>4.2279616031094962</v>
      </c>
      <c r="T308" s="57" cm="1">
        <f t="array" ref="T308">VLOOKUP(B308,'Player Data'!$A1:$AE673,8,FALSE)*$Q308*IFERROR((VLOOKUP(P308,Settings!$E$28:$F$33,2,FALSE)+1),1)</f>
        <v>16.737751805579038</v>
      </c>
      <c r="U308" s="57" cm="1">
        <f t="array" ref="U308">SUM(S308:T308)</f>
        <v>20.965713408688533</v>
      </c>
      <c r="V308" s="57" cm="1">
        <f t="array" ref="V308">VLOOKUP(B308,'Player Data'!$A1:$AE673,10,FALSE)*$Q308*IFERROR(((VLOOKUP(P308,Settings!$E$28:$F$33,2,FALSE)/2)+1),1)</f>
        <v>81.224388460973628</v>
      </c>
      <c r="W308" s="57" cm="1">
        <f t="array" ref="W308">VLOOKUP(B308,'Player Data'!$A1:$AE673,11,FALSE)*$Q308*IFERROR((VLOOKUP(P308,Settings!$E$28:$F$33,2,FALSE)+1),1)</f>
        <v>1.6651447183267495E-2</v>
      </c>
      <c r="X308" s="57" cm="1">
        <f t="array" ref="X308">VLOOKUP(B308,'Player Data'!$A1:$AE673,12,FALSE)*$Q308*IFERROR((VLOOKUP(P308,Settings!$E$28:$F$33,2,FALSE)+1),1)</f>
        <v>0.12741734691188972</v>
      </c>
      <c r="Y308" s="57" cm="1">
        <f t="array" ref="Y308">VLOOKUP(B308,'Player Data'!$A1:$AE673,13,FALSE)*$Q308</f>
        <v>3.3977123781171556E-2</v>
      </c>
      <c r="Z308" s="57" cm="1">
        <f t="array" ref="Z308">VLOOKUP(B308,'Player Data'!$A1:$AE673,14,FALSE)*$Q308</f>
        <v>1.6805170288998312</v>
      </c>
      <c r="AA308" s="57" cm="1">
        <f t="array" ref="AA308">VLOOKUP(B308,'Player Data'!$A1:$AE673,15,FALSE)*$Q308</f>
        <v>107.1866252858091</v>
      </c>
      <c r="AB308" s="57" cm="1">
        <f t="array" ref="AB308">VLOOKUP(B308,'Player Data'!$A1:$AE673,16,FALSE)*$Q308</f>
        <v>57.675083724692477</v>
      </c>
      <c r="AC308" s="57" cm="1">
        <f t="array" ref="AC308">VLOOKUP(B308,'Player Data'!$A1:$AE673,17,FALSE)*$Q308*IFERROR((VLOOKUP(P308,Settings!$E$28:$F$33,2,FALSE)+1),1)</f>
        <v>-4.6264353148746133</v>
      </c>
      <c r="AD308" s="57" cm="1">
        <f t="array" ref="AD308">VLOOKUP(B308,'Player Data'!$A1:$AE673,18,FALSE)*$Q308</f>
        <v>24.012080091734941</v>
      </c>
      <c r="AE308" s="57" cm="1">
        <f t="array" ref="AE308">VLOOKUP(B308,'Player Data'!$A1:$AE673,19,FALSE)*$Q308*IFERROR((VLOOKUP(P308,Settings!$E$28:$F$33,2,FALSE)+1),1)</f>
        <v>0.58567845111966343</v>
      </c>
      <c r="AF308" s="57" cm="1">
        <f t="array" ref="AF308">VLOOKUP(B308,'Player Data'!$A1:$AE673,20,FALSE)*$Q308</f>
        <v>0</v>
      </c>
      <c r="AG308" s="57" cm="1">
        <f t="array" ref="AG308">VLOOKUP(B308,'Player Data'!$A1:$AE673,21,FALSE)*$Q308</f>
        <v>0</v>
      </c>
      <c r="AH308" s="59" cm="1">
        <f t="array" ref="AH308">VLOOKUP(B308,'Player Data'!$A1:$AE673,22,FALSE)</f>
        <v>0</v>
      </c>
      <c r="AI308" s="55"/>
      <c r="AJ308" s="57"/>
      <c r="AK308" s="57"/>
      <c r="AL308" s="57"/>
      <c r="AM308" s="57"/>
      <c r="AN308" s="57"/>
      <c r="AO308" s="57"/>
      <c r="AP308" s="57"/>
      <c r="AQ308" s="60"/>
      <c r="AR308" s="61"/>
      <c r="AS308" s="55"/>
    </row>
    <row r="309" spans="1:45" ht="21.25" customHeight="1" x14ac:dyDescent="0.15">
      <c r="A309" s="62">
        <f t="shared" si="4"/>
        <v>308</v>
      </c>
      <c r="B309" s="10" t="s">
        <v>437</v>
      </c>
      <c r="C309" s="47" t="s">
        <v>147</v>
      </c>
      <c r="D309" s="48" t="str" cm="1">
        <f t="array" ref="D309">VLOOKUP(B309,'Player Data'!A1:D673,4,FALSE)</f>
        <v>D</v>
      </c>
      <c r="E309" s="68" cm="1">
        <f t="array" ref="E309">VLOOKUP(B309,D!A1:C204,3,FALSE)</f>
        <v>125</v>
      </c>
      <c r="F309" s="50" t="str" cm="1">
        <f t="array" ref="F309">VLOOKUP(B309,'Player Data'!A1:B673,2,FALSE)</f>
        <v>ANA</v>
      </c>
      <c r="G309" s="11" cm="1">
        <f t="array" ref="G309">VLOOKUP(B309,'Player Data'!A1:D673,3,FALSE)</f>
        <v>25</v>
      </c>
      <c r="H309" s="67" cm="1">
        <f t="array" ref="H309">IFERROR(VLOOKUP(B309,ADP!A1:F671,6,FALSE)/1000000,VLOOKUP(B309,ADP!A1:F671,6,FALSE))</f>
        <v>1.1000000000000001</v>
      </c>
      <c r="I309" s="52">
        <f>IF(Settings!$E$15="POINTS",((R309*Q309)*Settings!$B$12)+(S309*Settings!$B$2)+(T309*Settings!$B$3)+(U309*Settings!$B$4)+(V309*Settings!$B$5)+(X309*Settings!$B$9)+(AA309*Settings!$B$6)+(W309*Settings!$B$8)+(AB309*Settings!$B$7)+(AC309*Settings!$B$14)+(AD309*Settings!$B$15)+(AE309*Settings!$B$16)+(AF309*Settings!$B$17)+(AG309*Settings!$B$18)+(U309*Settings!$B$13)+(Y309*Settings!$B$10)+(Z309*Settings!$B$11),VLOOKUP(B309,'Standard Deviations'!A$1:C$672,3,FALSE))</f>
        <v>158.82192591505088</v>
      </c>
      <c r="J309" s="53" cm="1">
        <f t="array" ref="J309">IF(D309="G",I309/AJ309,I309/Q309)</f>
        <v>2.1535176395261137</v>
      </c>
      <c r="K309" s="52" cm="1">
        <f t="array" ref="K309">VLOOKUP(B309,D!A1:F204,6,FALSE)</f>
        <v>-147.83194142954318</v>
      </c>
      <c r="L309" s="54" cm="1">
        <f t="array" ref="L309">IFERROR(K309/H309,"N/A")</f>
        <v>-134.39267402685743</v>
      </c>
      <c r="M309" s="85" t="s">
        <v>832</v>
      </c>
      <c r="N309" s="85" t="str" cm="1">
        <f t="array" ref="N309">IFERROR(M309-A309,"N/A")</f>
        <v>N/A</v>
      </c>
      <c r="O309" s="55"/>
      <c r="P309" s="56" t="str" cm="1">
        <f t="array" ref="P309">_xlfn.XLOOKUP($B309,ADP!A2:A671,ADP!G2:G671)</f>
        <v xml:space="preserve"> </v>
      </c>
      <c r="Q309" s="57" cm="1">
        <f t="array" ref="Q309">IF(Settings!$E$12="YES",VLOOKUP(B309,'Player Data'!A1:E673,5,FALSE),84)</f>
        <v>73.75</v>
      </c>
      <c r="R309" s="82" cm="1">
        <f t="array" ref="R309">VLOOKUP(B309,'Player Data'!$A1:$AE673,6,FALSE)</f>
        <v>19.196620193662</v>
      </c>
      <c r="S309" s="57" cm="1">
        <f t="array" ref="S309">VLOOKUP(B309,'Player Data'!$A1:$AE673,7,FALSE)*$Q309*IFERROR((VLOOKUP(P309,Settings!$E$28:$F$33,2,FALSE)+1),1)</f>
        <v>4.5718908914159533</v>
      </c>
      <c r="T309" s="57" cm="1">
        <f t="array" ref="T309">VLOOKUP(B309,'Player Data'!$A1:$AE673,8,FALSE)*$Q309*IFERROR((VLOOKUP(P309,Settings!$E$28:$F$33,2,FALSE)+1),1)</f>
        <v>17.254074950533447</v>
      </c>
      <c r="U309" s="57" cm="1">
        <f t="array" ref="U309">SUM(S309:T309)</f>
        <v>21.825965841949401</v>
      </c>
      <c r="V309" s="57" cm="1">
        <f t="array" ref="V309">VLOOKUP(B309,'Player Data'!$A1:$AE673,10,FALSE)*$Q309*IFERROR(((VLOOKUP(P309,Settings!$E$28:$F$33,2,FALSE)/2)+1),1)</f>
        <v>72.932013394996247</v>
      </c>
      <c r="W309" s="57" cm="1">
        <f t="array" ref="W309">VLOOKUP(B309,'Player Data'!$A1:$AE673,11,FALSE)*$Q309*IFERROR((VLOOKUP(P309,Settings!$E$28:$F$33,2,FALSE)+1),1)</f>
        <v>1.091160282242358E-2</v>
      </c>
      <c r="X309" s="57" cm="1">
        <f t="array" ref="X309">VLOOKUP(B309,'Player Data'!$A1:$AE673,12,FALSE)*$Q309*IFERROR((VLOOKUP(P309,Settings!$E$28:$F$33,2,FALSE)+1),1)</f>
        <v>8.1411870796435498E-2</v>
      </c>
      <c r="Y309" s="57" cm="1">
        <f t="array" ref="Y309">VLOOKUP(B309,'Player Data'!$A1:$AE673,13,FALSE)*$Q309</f>
        <v>2.6948311889330227E-2</v>
      </c>
      <c r="Z309" s="57" cm="1">
        <f t="array" ref="Z309">VLOOKUP(B309,'Player Data'!$A1:$AE673,14,FALSE)*$Q309</f>
        <v>2.0096914640849346</v>
      </c>
      <c r="AA309" s="57" cm="1">
        <f t="array" ref="AA309">VLOOKUP(B309,'Player Data'!$A1:$AE673,15,FALSE)*$Q309</f>
        <v>109.57383671364636</v>
      </c>
      <c r="AB309" s="57" cm="1">
        <f t="array" ref="AB309">VLOOKUP(B309,'Player Data'!$A1:$AE673,16,FALSE)*$Q309</f>
        <v>94.560467565922565</v>
      </c>
      <c r="AC309" s="57" cm="1">
        <f t="array" ref="AC309">VLOOKUP(B309,'Player Data'!$A1:$AE673,17,FALSE)*$Q309*IFERROR((VLOOKUP(P309,Settings!$E$28:$F$33,2,FALSE)+1),1)</f>
        <v>-4.6266496386898703</v>
      </c>
      <c r="AD309" s="57" cm="1">
        <f t="array" ref="AD309">VLOOKUP(B309,'Player Data'!$A1:$AE673,18,FALSE)*$Q309</f>
        <v>37.521044725394987</v>
      </c>
      <c r="AE309" s="57" cm="1">
        <f t="array" ref="AE309">VLOOKUP(B309,'Player Data'!$A1:$AE673,19,FALSE)*$Q309*IFERROR((VLOOKUP(P309,Settings!$E$28:$F$33,2,FALSE)+1),1)</f>
        <v>0.66794015126220108</v>
      </c>
      <c r="AF309" s="57" cm="1">
        <f t="array" ref="AF309">VLOOKUP(B309,'Player Data'!$A1:$AE673,20,FALSE)*$Q309</f>
        <v>0</v>
      </c>
      <c r="AG309" s="57" cm="1">
        <f t="array" ref="AG309">VLOOKUP(B309,'Player Data'!$A1:$AE673,21,FALSE)*$Q309</f>
        <v>0</v>
      </c>
      <c r="AH309" s="59" cm="1">
        <f t="array" ref="AH309">VLOOKUP(B309,'Player Data'!$A1:$AE673,22,FALSE)</f>
        <v>0</v>
      </c>
      <c r="AI309" s="55"/>
      <c r="AJ309" s="57"/>
      <c r="AK309" s="57"/>
      <c r="AL309" s="57"/>
      <c r="AM309" s="57"/>
      <c r="AN309" s="57"/>
      <c r="AO309" s="57"/>
      <c r="AP309" s="57"/>
      <c r="AQ309" s="60"/>
      <c r="AR309" s="61"/>
      <c r="AS309" s="55"/>
    </row>
    <row r="310" spans="1:45" ht="21.25" customHeight="1" x14ac:dyDescent="0.15">
      <c r="A310" s="62">
        <f t="shared" si="4"/>
        <v>309</v>
      </c>
      <c r="B310" s="10" t="s">
        <v>438</v>
      </c>
      <c r="C310" s="47" t="s">
        <v>147</v>
      </c>
      <c r="D310" s="48" t="str" cm="1">
        <f t="array" ref="D310">VLOOKUP(B310,'Player Data'!A1:D673,4,FALSE)</f>
        <v>LW,RW</v>
      </c>
      <c r="E310" s="74" cm="1">
        <f t="array" ref="E310">VLOOKUP(B310,RW!A1:F210,3,FALSE)</f>
        <v>85</v>
      </c>
      <c r="F310" s="63" t="str" cm="1">
        <f t="array" ref="F310">VLOOKUP(B310,'Player Data'!A1:B673,2,FALSE)</f>
        <v>SEA</v>
      </c>
      <c r="G310" s="11" cm="1">
        <f t="array" ref="G310">VLOOKUP(B310,'Player Data'!A1:D673,3,FALSE)</f>
        <v>30</v>
      </c>
      <c r="H310" s="51" cm="1">
        <f t="array" ref="H310">IFERROR(VLOOKUP(B310,ADP!A1:F671,6,FALSE)/1000000,VLOOKUP(B310,ADP!A1:F671,6,FALSE))</f>
        <v>5.75</v>
      </c>
      <c r="I310" s="52">
        <f>IF(Settings!$E$15="POINTS",((R310*Q310)*Settings!$B$12)+(S310*Settings!$B$2)+(T310*Settings!$B$3)+(U310*Settings!$B$4)+(V310*Settings!$B$5)+(X310*Settings!$B$9)+(AA310*Settings!$B$6)+(W310*Settings!$B$8)+(AB310*Settings!$B$7)+(AC310*Settings!$B$14)+(AD310*Settings!$B$15)+(AE310*Settings!$B$16)+(AF310*Settings!$B$17)+(AG310*Settings!$B$18)+(Y310*Settings!$B$10)+(Z310*Settings!$B$11),VLOOKUP(B310,'Standard Deviations'!A$1:C$672,3,FALSE))</f>
        <v>246.68167413291556</v>
      </c>
      <c r="J310" s="53" cm="1">
        <f t="array" ref="J310">IF(D310="G",I310/AJ310,I310/Q310)</f>
        <v>3.098237555047922</v>
      </c>
      <c r="K310" s="52" cm="1">
        <f t="array" ref="K310">IF(Settings!$E$18="C/LW/RW",VLOOKUP(B310,RW!A1:F210,6,FALSE),VLOOKUP(B310,F!A1:F407,6,FALSE))</f>
        <v>-148.26179056064191</v>
      </c>
      <c r="L310" s="54" cm="1">
        <f t="array" ref="L310">IFERROR(K310/H310,"N/A")</f>
        <v>-25.784659227937723</v>
      </c>
      <c r="M310" s="55">
        <v>132.19999999999999</v>
      </c>
      <c r="N310" s="55" cm="1">
        <f t="array" ref="N310">IFERROR(M310-A310,"N/A")</f>
        <v>-176.8</v>
      </c>
      <c r="O310" s="55"/>
      <c r="P310" s="56" t="str" cm="1">
        <f t="array" ref="P310">_xlfn.XLOOKUP($B310,ADP!A2:A671,ADP!G2:G671)</f>
        <v xml:space="preserve"> </v>
      </c>
      <c r="Q310" s="57" cm="1">
        <f t="array" ref="Q310">IF(Settings!$E$12="YES",VLOOKUP(B310,'Player Data'!A1:E673,5,FALSE),84)</f>
        <v>79.62</v>
      </c>
      <c r="R310" s="55" cm="1">
        <f t="array" ref="R310">VLOOKUP(B310,'Player Data'!$A1:$AE673,6,FALSE)</f>
        <v>16.1041657234932</v>
      </c>
      <c r="S310" s="57" cm="1">
        <f t="array" ref="S310">VLOOKUP(B310,'Player Data'!$A1:$AE673,7,FALSE)*$Q310*IFERROR((VLOOKUP(P310,Settings!$E$28:$F$33,2,FALSE)+1),1)</f>
        <v>25.530228774380273</v>
      </c>
      <c r="T310" s="57" cm="1">
        <f t="array" ref="T310">VLOOKUP(B310,'Player Data'!$A1:$AE673,8,FALSE)*$Q310*IFERROR((VLOOKUP(P310,Settings!$E$28:$F$33,2,FALSE)+1),1)</f>
        <v>18.189059446102107</v>
      </c>
      <c r="U310" s="57" cm="1">
        <f t="array" ref="U310">SUM(S310:T310)</f>
        <v>43.719288220482383</v>
      </c>
      <c r="V310" s="57" cm="1">
        <f t="array" ref="V310">VLOOKUP(B310,'Player Data'!$A1:$AE673,10,FALSE)*$Q310*IFERROR(((VLOOKUP(P310,Settings!$E$28:$F$33,2,FALSE)/2)+1),1)</f>
        <v>189.820432660134</v>
      </c>
      <c r="W310" s="57" cm="1">
        <f t="array" ref="W310">VLOOKUP(B310,'Player Data'!$A1:$AE673,11,FALSE)*$Q310*IFERROR((VLOOKUP(P310,Settings!$E$28:$F$33,2,FALSE)+1),1)</f>
        <v>3.2307156615722801</v>
      </c>
      <c r="X310" s="57" cm="1">
        <f t="array" ref="X310">VLOOKUP(B310,'Player Data'!$A1:$AE673,12,FALSE)*$Q310*IFERROR((VLOOKUP(P310,Settings!$E$28:$F$33,2,FALSE)+1),1)</f>
        <v>5.6626047113158231</v>
      </c>
      <c r="Y310" s="57" cm="1">
        <f t="array" ref="Y310">VLOOKUP(B310,'Player Data'!$A1:$AE673,13,FALSE)*$Q310</f>
        <v>5.5448869761914092E-2</v>
      </c>
      <c r="Z310" s="57" cm="1">
        <f t="array" ref="Z310">VLOOKUP(B310,'Player Data'!$A1:$AE673,14,FALSE)*$Q310</f>
        <v>9.0453748076000318E-2</v>
      </c>
      <c r="AA310" s="57" cm="1">
        <f t="array" ref="AA310">VLOOKUP(B310,'Player Data'!$A1:$AE673,15,FALSE)*$Q310</f>
        <v>29.721069364019247</v>
      </c>
      <c r="AB310" s="57" cm="1">
        <f t="array" ref="AB310">VLOOKUP(B310,'Player Data'!$A1:$AE673,16,FALSE)*$Q310</f>
        <v>157.4991715694417</v>
      </c>
      <c r="AC310" s="57" cm="1">
        <f t="array" ref="AC310">VLOOKUP(B310,'Player Data'!$A1:$AE673,17,FALSE)*$Q310*IFERROR((VLOOKUP(P310,Settings!$E$28:$F$33,2,FALSE)+1),1)</f>
        <v>-6.041987576809424</v>
      </c>
      <c r="AD310" s="57" cm="1">
        <f t="array" ref="AD310">VLOOKUP(B310,'Player Data'!$A1:$AE673,18,FALSE)*$Q310</f>
        <v>36.246012783286403</v>
      </c>
      <c r="AE310" s="57" cm="1">
        <f t="array" ref="AE310">VLOOKUP(B310,'Player Data'!$A1:$AE673,19,FALSE)*$Q310*IFERROR((VLOOKUP(P310,Settings!$E$28:$F$33,2,FALSE)+1),1)</f>
        <v>3.5174319845883044</v>
      </c>
      <c r="AF310" s="57" cm="1">
        <f t="array" ref="AF310">VLOOKUP(B310,'Player Data'!$A1:$AE673,20,FALSE)*$Q310</f>
        <v>6.680686136605452</v>
      </c>
      <c r="AG310" s="57" cm="1">
        <f t="array" ref="AG310">VLOOKUP(B310,'Player Data'!$A1:$AE673,21,FALSE)*$Q310</f>
        <v>10.489565213592401</v>
      </c>
      <c r="AH310" s="59" cm="1">
        <f t="array" ref="AH310">VLOOKUP(B310,'Player Data'!$A1:$AE673,22,FALSE)</f>
        <v>0.38908493535410499</v>
      </c>
      <c r="AI310" s="55"/>
      <c r="AJ310" s="57"/>
      <c r="AK310" s="57"/>
      <c r="AL310" s="57"/>
      <c r="AM310" s="57"/>
      <c r="AN310" s="57"/>
      <c r="AO310" s="57"/>
      <c r="AP310" s="57"/>
      <c r="AQ310" s="60"/>
      <c r="AR310" s="61"/>
      <c r="AS310" s="55"/>
    </row>
    <row r="311" spans="1:45" ht="21.25" customHeight="1" x14ac:dyDescent="0.15">
      <c r="A311" s="62">
        <f t="shared" si="4"/>
        <v>310</v>
      </c>
      <c r="B311" s="10" t="s">
        <v>439</v>
      </c>
      <c r="C311" s="47" t="s">
        <v>147</v>
      </c>
      <c r="D311" s="48" t="str" cm="1">
        <f t="array" ref="D311">VLOOKUP(B311,'Player Data'!A1:D673,4,FALSE)</f>
        <v>D</v>
      </c>
      <c r="E311" s="68" cm="1">
        <f t="array" ref="E311">VLOOKUP(B311,D!A1:C204,3,FALSE)</f>
        <v>126</v>
      </c>
      <c r="F311" s="56" t="str" cm="1">
        <f t="array" ref="F311">VLOOKUP(B311,'Player Data'!A1:B673,2,FALSE)</f>
        <v>PHI</v>
      </c>
      <c r="G311" s="66" cm="1">
        <f t="array" ref="G311">VLOOKUP(B311,'Player Data'!A1:D673,3,FALSE)</f>
        <v>33</v>
      </c>
      <c r="H311" s="51" cm="1">
        <f t="array" ref="H311">IFERROR(VLOOKUP(B311,ADP!A1:F671,6,FALSE)/1000000,VLOOKUP(B311,ADP!A1:F671,6,FALSE))</f>
        <v>2.7</v>
      </c>
      <c r="I311" s="52">
        <f>IF(Settings!$E$15="POINTS",((R311*Q311)*Settings!$B$12)+(S311*Settings!$B$2)+(T311*Settings!$B$3)+(U311*Settings!$B$4)+(V311*Settings!$B$5)+(X311*Settings!$B$9)+(AA311*Settings!$B$6)+(W311*Settings!$B$8)+(AB311*Settings!$B$7)+(AC311*Settings!$B$14)+(AD311*Settings!$B$15)+(AE311*Settings!$B$16)+(AF311*Settings!$B$17)+(AG311*Settings!$B$18)+(U311*Settings!$B$13)+(Y311*Settings!$B$10)+(Z311*Settings!$B$11),VLOOKUP(B311,'Standard Deviations'!A$1:C$672,3,FALSE))</f>
        <v>158.21346002805137</v>
      </c>
      <c r="J311" s="53" cm="1">
        <f t="array" ref="J311">IF(D311="G",I311/AJ311,I311/Q311)</f>
        <v>1.9320831632184565</v>
      </c>
      <c r="K311" s="52" cm="1">
        <f t="array" ref="K311">VLOOKUP(B311,D!A1:F204,6,FALSE)</f>
        <v>-148.44040731654269</v>
      </c>
      <c r="L311" s="54" cm="1">
        <f t="array" ref="L311">IFERROR(K311/H311,"N/A")</f>
        <v>-54.977928635756548</v>
      </c>
      <c r="M311" s="85" t="s">
        <v>832</v>
      </c>
      <c r="N311" s="85" t="str" cm="1">
        <f t="array" ref="N311">IFERROR(M311-A311,"N/A")</f>
        <v>N/A</v>
      </c>
      <c r="O311" s="55"/>
      <c r="P311" s="56" t="str" cm="1">
        <f t="array" ref="P311">_xlfn.XLOOKUP($B311,ADP!A2:A671,ADP!G2:G671)</f>
        <v xml:space="preserve"> </v>
      </c>
      <c r="Q311" s="57" cm="1">
        <f t="array" ref="Q311">IF(Settings!$E$12="YES",VLOOKUP(B311,'Player Data'!A1:E673,5,FALSE),84)</f>
        <v>81.887500000000003</v>
      </c>
      <c r="R311" s="55" cm="1">
        <f t="array" ref="R311">VLOOKUP(B311,'Player Data'!$A1:$AE673,6,FALSE)</f>
        <v>17.637306193597599</v>
      </c>
      <c r="S311" s="57" cm="1">
        <f t="array" ref="S311">VLOOKUP(B311,'Player Data'!$A1:$AE673,7,FALSE)*$Q311*IFERROR((VLOOKUP(P311,Settings!$E$28:$F$33,2,FALSE)+1),1)</f>
        <v>1.3310831781278287</v>
      </c>
      <c r="T311" s="57" cm="1">
        <f t="array" ref="T311">VLOOKUP(B311,'Player Data'!$A1:$AE673,8,FALSE)*$Q311*IFERROR((VLOOKUP(P311,Settings!$E$28:$F$33,2,FALSE)+1),1)</f>
        <v>11.13074200443369</v>
      </c>
      <c r="U311" s="57" cm="1">
        <f t="array" ref="U311">SUM(S311:T311)</f>
        <v>12.461825182561519</v>
      </c>
      <c r="V311" s="57" cm="1">
        <f t="array" ref="V311">VLOOKUP(B311,'Player Data'!$A1:$AE673,10,FALSE)*$Q311*IFERROR(((VLOOKUP(P311,Settings!$E$28:$F$33,2,FALSE)/2)+1),1)</f>
        <v>80.703059519036401</v>
      </c>
      <c r="W311" s="57" cm="1">
        <f t="array" ref="W311">VLOOKUP(B311,'Player Data'!$A1:$AE673,11,FALSE)*$Q311*IFERROR((VLOOKUP(P311,Settings!$E$28:$F$33,2,FALSE)+1),1)</f>
        <v>3.3096861611904361E-3</v>
      </c>
      <c r="X311" s="57" cm="1">
        <f t="array" ref="X311">VLOOKUP(B311,'Player Data'!$A1:$AE673,12,FALSE)*$Q311*IFERROR((VLOOKUP(P311,Settings!$E$28:$F$33,2,FALSE)+1),1)</f>
        <v>4.9050266320779884E-2</v>
      </c>
      <c r="Y311" s="57" cm="1">
        <f t="array" ref="Y311">VLOOKUP(B311,'Player Data'!$A1:$AE673,13,FALSE)*$Q311</f>
        <v>6.8594987503199133E-3</v>
      </c>
      <c r="Z311" s="57" cm="1">
        <f t="array" ref="Z311">VLOOKUP(B311,'Player Data'!$A1:$AE673,14,FALSE)*$Q311</f>
        <v>0.58823510319586447</v>
      </c>
      <c r="AA311" s="57" cm="1">
        <f t="array" ref="AA311">VLOOKUP(B311,'Player Data'!$A1:$AE673,15,FALSE)*$Q311</f>
        <v>159.67833870266395</v>
      </c>
      <c r="AB311" s="57" cm="1">
        <f t="array" ref="AB311">VLOOKUP(B311,'Player Data'!$A1:$AE673,16,FALSE)*$Q311</f>
        <v>123.83270771800252</v>
      </c>
      <c r="AC311" s="57" cm="1">
        <f t="array" ref="AC311">VLOOKUP(B311,'Player Data'!$A1:$AE673,17,FALSE)*$Q311*IFERROR((VLOOKUP(P311,Settings!$E$28:$F$33,2,FALSE)+1),1)</f>
        <v>0.42191471877159425</v>
      </c>
      <c r="AD311" s="57" cm="1">
        <f t="array" ref="AD311">VLOOKUP(B311,'Player Data'!$A1:$AE673,18,FALSE)*$Q311</f>
        <v>41.350426441304478</v>
      </c>
      <c r="AE311" s="57" cm="1">
        <f t="array" ref="AE311">VLOOKUP(B311,'Player Data'!$A1:$AE673,19,FALSE)*$Q311*IFERROR((VLOOKUP(P311,Settings!$E$28:$F$33,2,FALSE)+1),1)</f>
        <v>0.21035767570529781</v>
      </c>
      <c r="AF311" s="57" cm="1">
        <f t="array" ref="AF311">VLOOKUP(B311,'Player Data'!$A1:$AE673,20,FALSE)*$Q311</f>
        <v>0</v>
      </c>
      <c r="AG311" s="57" cm="1">
        <f t="array" ref="AG311">VLOOKUP(B311,'Player Data'!$A1:$AE673,21,FALSE)*$Q311</f>
        <v>0</v>
      </c>
      <c r="AH311" s="59" cm="1">
        <f t="array" ref="AH311">VLOOKUP(B311,'Player Data'!$A1:$AE673,22,FALSE)</f>
        <v>0</v>
      </c>
      <c r="AI311" s="55"/>
      <c r="AJ311" s="57"/>
      <c r="AK311" s="57"/>
      <c r="AL311" s="57"/>
      <c r="AM311" s="57"/>
      <c r="AN311" s="57"/>
      <c r="AO311" s="57"/>
      <c r="AP311" s="57"/>
      <c r="AQ311" s="60"/>
      <c r="AR311" s="61"/>
      <c r="AS311" s="55"/>
    </row>
    <row r="312" spans="1:45" ht="21.25" customHeight="1" x14ac:dyDescent="0.15">
      <c r="A312" s="62">
        <f t="shared" si="4"/>
        <v>311</v>
      </c>
      <c r="B312" s="10" t="s">
        <v>440</v>
      </c>
      <c r="C312" s="47" t="s">
        <v>147</v>
      </c>
      <c r="D312" s="48" t="str" cm="1">
        <f t="array" ref="D312">VLOOKUP(B312,'Player Data'!A1:D673,4,FALSE)</f>
        <v>D</v>
      </c>
      <c r="E312" s="68" cm="1">
        <f t="array" ref="E312">VLOOKUP(B312,D!A1:C204,3,FALSE)</f>
        <v>127</v>
      </c>
      <c r="F312" s="63" t="str" cm="1">
        <f t="array" ref="F312">VLOOKUP(B312,'Player Data'!A1:B673,2,FALSE)</f>
        <v>CGY</v>
      </c>
      <c r="G312" s="11" cm="1">
        <f t="array" ref="G312">VLOOKUP(B312,'Player Data'!A1:D673,3,FALSE)</f>
        <v>29</v>
      </c>
      <c r="H312" s="51" cm="1">
        <f t="array" ref="H312">IFERROR(VLOOKUP(B312,ADP!A1:F671,6,FALSE)/1000000,VLOOKUP(B312,ADP!A1:F671,6,FALSE))</f>
        <v>2.75</v>
      </c>
      <c r="I312" s="52">
        <f>IF(Settings!$E$15="POINTS",((R312*Q312)*Settings!$B$12)+(S312*Settings!$B$2)+(T312*Settings!$B$3)+(U312*Settings!$B$4)+(V312*Settings!$B$5)+(X312*Settings!$B$9)+(AA312*Settings!$B$6)+(W312*Settings!$B$8)+(AB312*Settings!$B$7)+(AC312*Settings!$B$14)+(AD312*Settings!$B$15)+(AE312*Settings!$B$16)+(AF312*Settings!$B$17)+(AG312*Settings!$B$18)+(U312*Settings!$B$13)+(Y312*Settings!$B$10)+(Z312*Settings!$B$11),VLOOKUP(B312,'Standard Deviations'!A$1:C$672,3,FALSE))</f>
        <v>158.04035840014936</v>
      </c>
      <c r="J312" s="53" cm="1">
        <f t="array" ref="J312">IF(D312="G",I312/AJ312,I312/Q312)</f>
        <v>1.9725456615096024</v>
      </c>
      <c r="K312" s="52" cm="1">
        <f t="array" ref="K312">VLOOKUP(B312,D!A1:F204,6,FALSE)</f>
        <v>-148.6135089444447</v>
      </c>
      <c r="L312" s="54" cm="1">
        <f t="array" ref="L312">IFERROR(K312/H312,"N/A")</f>
        <v>-54.041275979798073</v>
      </c>
      <c r="M312" s="85" t="s">
        <v>832</v>
      </c>
      <c r="N312" s="85" t="str" cm="1">
        <f t="array" ref="N312">IFERROR(M312-A312,"N/A")</f>
        <v>N/A</v>
      </c>
      <c r="O312" s="55"/>
      <c r="P312" s="56" t="str" cm="1">
        <f t="array" ref="P312">_xlfn.XLOOKUP($B312,ADP!A2:A671,ADP!G2:G671)</f>
        <v xml:space="preserve"> </v>
      </c>
      <c r="Q312" s="57" cm="1">
        <f t="array" ref="Q312">IF(Settings!$E$12="YES",VLOOKUP(B312,'Player Data'!A1:E673,5,FALSE),84)</f>
        <v>80.12</v>
      </c>
      <c r="R312" s="55" cm="1">
        <f t="array" ref="R312">VLOOKUP(B312,'Player Data'!$A1:$AE673,6,FALSE)</f>
        <v>20.918223843195001</v>
      </c>
      <c r="S312" s="57" cm="1">
        <f t="array" ref="S312">VLOOKUP(B312,'Player Data'!$A1:$AE673,7,FALSE)*$Q312*IFERROR((VLOOKUP(P312,Settings!$E$28:$F$33,2,FALSE)+1),1)</f>
        <v>2.4833496592869411</v>
      </c>
      <c r="T312" s="57" cm="1">
        <f t="array" ref="T312">VLOOKUP(B312,'Player Data'!$A1:$AE673,8,FALSE)*$Q312*IFERROR((VLOOKUP(P312,Settings!$E$28:$F$33,2,FALSE)+1),1)</f>
        <v>14.52265303147788</v>
      </c>
      <c r="U312" s="57" cm="1">
        <f t="array" ref="U312">SUM(S312:T312)</f>
        <v>17.00600269076482</v>
      </c>
      <c r="V312" s="57" cm="1">
        <f t="array" ref="V312">VLOOKUP(B312,'Player Data'!$A1:$AE673,10,FALSE)*$Q312*IFERROR(((VLOOKUP(P312,Settings!$E$28:$F$33,2,FALSE)/2)+1),1)</f>
        <v>68.802897952661951</v>
      </c>
      <c r="W312" s="57" cm="1">
        <f t="array" ref="W312">VLOOKUP(B312,'Player Data'!$A1:$AE673,11,FALSE)*$Q312*IFERROR((VLOOKUP(P312,Settings!$E$28:$F$33,2,FALSE)+1),1)</f>
        <v>1.0377909937075722E-2</v>
      </c>
      <c r="X312" s="57" cm="1">
        <f t="array" ref="X312">VLOOKUP(B312,'Player Data'!$A1:$AE673,12,FALSE)*$Q312*IFERROR((VLOOKUP(P312,Settings!$E$28:$F$33,2,FALSE)+1),1)</f>
        <v>0.10482094072228282</v>
      </c>
      <c r="Y312" s="57" cm="1">
        <f t="array" ref="Y312">VLOOKUP(B312,'Player Data'!$A1:$AE673,13,FALSE)*$Q312</f>
        <v>2.1962296787019536E-2</v>
      </c>
      <c r="Z312" s="57" cm="1">
        <f t="array" ref="Z312">VLOOKUP(B312,'Player Data'!$A1:$AE673,14,FALSE)*$Q312</f>
        <v>0.37911655641189429</v>
      </c>
      <c r="AA312" s="57" cm="1">
        <f t="array" ref="AA312">VLOOKUP(B312,'Player Data'!$A1:$AE673,15,FALSE)*$Q312</f>
        <v>144.27392770877944</v>
      </c>
      <c r="AB312" s="57" cm="1">
        <f t="array" ref="AB312">VLOOKUP(B312,'Player Data'!$A1:$AE673,16,FALSE)*$Q312</f>
        <v>124.33480328130484</v>
      </c>
      <c r="AC312" s="57" cm="1">
        <f t="array" ref="AC312">VLOOKUP(B312,'Player Data'!$A1:$AE673,17,FALSE)*$Q312*IFERROR((VLOOKUP(P312,Settings!$E$28:$F$33,2,FALSE)+1),1)</f>
        <v>-9.2527608121533795</v>
      </c>
      <c r="AD312" s="57" cm="1">
        <f t="array" ref="AD312">VLOOKUP(B312,'Player Data'!$A1:$AE673,18,FALSE)*$Q312</f>
        <v>36.981314058815549</v>
      </c>
      <c r="AE312" s="57" cm="1">
        <f t="array" ref="AE312">VLOOKUP(B312,'Player Data'!$A1:$AE673,19,FALSE)*$Q312*IFERROR((VLOOKUP(P312,Settings!$E$28:$F$33,2,FALSE)+1),1)</f>
        <v>0.35704351989893368</v>
      </c>
      <c r="AF312" s="57" cm="1">
        <f t="array" ref="AF312">VLOOKUP(B312,'Player Data'!$A1:$AE673,20,FALSE)*$Q312</f>
        <v>0</v>
      </c>
      <c r="AG312" s="57" cm="1">
        <f t="array" ref="AG312">VLOOKUP(B312,'Player Data'!$A1:$AE673,21,FALSE)*$Q312</f>
        <v>0</v>
      </c>
      <c r="AH312" s="59" cm="1">
        <f t="array" ref="AH312">VLOOKUP(B312,'Player Data'!$A1:$AE673,22,FALSE)</f>
        <v>0</v>
      </c>
      <c r="AI312" s="55"/>
      <c r="AJ312" s="57"/>
      <c r="AK312" s="57"/>
      <c r="AL312" s="57"/>
      <c r="AM312" s="57"/>
      <c r="AN312" s="57"/>
      <c r="AO312" s="57"/>
      <c r="AP312" s="57"/>
      <c r="AQ312" s="60"/>
      <c r="AR312" s="61"/>
      <c r="AS312" s="55"/>
    </row>
    <row r="313" spans="1:45" ht="21.25" customHeight="1" x14ac:dyDescent="0.15">
      <c r="A313" s="62">
        <f t="shared" si="4"/>
        <v>312</v>
      </c>
      <c r="B313" s="10" t="s">
        <v>441</v>
      </c>
      <c r="C313" s="47" t="s">
        <v>147</v>
      </c>
      <c r="D313" s="48" t="str" cm="1">
        <f t="array" ref="D313">VLOOKUP(B313,'Player Data'!A1:D673,4,FALSE)</f>
        <v>LW</v>
      </c>
      <c r="E313" s="75" cm="1">
        <f t="array" ref="E313">VLOOKUP(B313,LW!A1:C210,3,FALSE)</f>
        <v>70</v>
      </c>
      <c r="F313" s="50" t="str" cm="1">
        <f t="array" ref="F313">VLOOKUP(B313,'Player Data'!A1:B673,2,FALSE)</f>
        <v>ANA</v>
      </c>
      <c r="G313" s="66" cm="1">
        <f t="array" ref="G313">VLOOKUP(B313,'Player Data'!A1:D673,3,FALSE)</f>
        <v>35</v>
      </c>
      <c r="H313" s="67" cm="1">
        <f t="array" ref="H313">IFERROR(VLOOKUP(B313,ADP!A1:F671,6,FALSE)/1000000,VLOOKUP(B313,ADP!A1:F671,6,FALSE))</f>
        <v>6.5</v>
      </c>
      <c r="I313" s="52">
        <f>IF(Settings!$E$15="POINTS",((R313*Q313)*Settings!$B$12)+(S313*Settings!$B$2)+(T313*Settings!$B$3)+(U313*Settings!$B$4)+(V313*Settings!$B$5)+(X313*Settings!$B$9)+(AA313*Settings!$B$6)+(W313*Settings!$B$8)+(AB313*Settings!$B$7)+(AC313*Settings!$B$14)+(AD313*Settings!$B$15)+(AE313*Settings!$B$16)+(AF313*Settings!$B$17)+(AG313*Settings!$B$18)+(Y313*Settings!$B$10)+(Z313*Settings!$B$11),VLOOKUP(B313,'Standard Deviations'!A$1:C$672,3,FALSE))</f>
        <v>250.38342753786964</v>
      </c>
      <c r="J313" s="53" cm="1">
        <f t="array" ref="J313">IF(D313="G",I313/AJ313,I313/Q313)</f>
        <v>3.0964096773890204</v>
      </c>
      <c r="K313" s="52" cm="1">
        <f t="array" ref="K313">IF(Settings!$E$18="C/LW/RW",VLOOKUP(B313,LW!A1:F210,6,FALSE),VLOOKUP(B313,F!A1:F407,6,FALSE))</f>
        <v>-148.92956577585045</v>
      </c>
      <c r="L313" s="54" cm="1">
        <f t="array" ref="L313">IFERROR(K313/H313,"N/A")</f>
        <v>-22.912240888592375</v>
      </c>
      <c r="M313" s="85" t="s">
        <v>832</v>
      </c>
      <c r="N313" s="85" t="str" cm="1">
        <f t="array" ref="N313">IFERROR(M313-A313,"N/A")</f>
        <v>N/A</v>
      </c>
      <c r="O313" s="55"/>
      <c r="P313" s="56" t="str" cm="1">
        <f t="array" ref="P313">_xlfn.XLOOKUP($B313,ADP!A2:A671,ADP!G2:G671)</f>
        <v xml:space="preserve"> </v>
      </c>
      <c r="Q313" s="57" cm="1">
        <f t="array" ref="Q313">IF(Settings!$E$12="YES",VLOOKUP(B313,'Player Data'!A1:E673,5,FALSE),84)</f>
        <v>80.862499999999997</v>
      </c>
      <c r="R313" s="55" cm="1">
        <f t="array" ref="R313">VLOOKUP(B313,'Player Data'!$A1:$AE673,6,FALSE)</f>
        <v>16.843202289126001</v>
      </c>
      <c r="S313" s="57" cm="1">
        <f t="array" ref="S313">VLOOKUP(B313,'Player Data'!$A1:$AE673,7,FALSE)*$Q313*IFERROR((VLOOKUP(P313,Settings!$E$28:$F$33,2,FALSE)+1),1)</f>
        <v>23.153076974439525</v>
      </c>
      <c r="T313" s="57" cm="1">
        <f t="array" ref="T313">VLOOKUP(B313,'Player Data'!$A1:$AE673,8,FALSE)*$Q313*IFERROR((VLOOKUP(P313,Settings!$E$28:$F$33,2,FALSE)+1),1)</f>
        <v>23.384336004543307</v>
      </c>
      <c r="U313" s="57" cm="1">
        <f t="array" ref="U313">SUM(S313:T313)</f>
        <v>46.537412978982829</v>
      </c>
      <c r="V313" s="57" cm="1">
        <f t="array" ref="V313">VLOOKUP(B313,'Player Data'!$A1:$AE673,10,FALSE)*$Q313*IFERROR(((VLOOKUP(P313,Settings!$E$28:$F$33,2,FALSE)/2)+1),1)</f>
        <v>164.00027158888648</v>
      </c>
      <c r="W313" s="57" cm="1">
        <f t="array" ref="W313">VLOOKUP(B313,'Player Data'!$A1:$AE673,11,FALSE)*$Q313*IFERROR((VLOOKUP(P313,Settings!$E$28:$F$33,2,FALSE)+1),1)</f>
        <v>8.181550376703191</v>
      </c>
      <c r="X313" s="79" cm="1">
        <f t="array" ref="X313">VLOOKUP(B313,'Player Data'!$A1:$AE673,12,FALSE)*$Q313*IFERROR((VLOOKUP(P313,Settings!$E$28:$F$33,2,FALSE)+1),1)</f>
        <v>14.848118496856907</v>
      </c>
      <c r="Y313" s="57" cm="1">
        <f t="array" ref="Y313">VLOOKUP(B313,'Player Data'!$A1:$AE673,13,FALSE)*$Q313</f>
        <v>0.76104175557887543</v>
      </c>
      <c r="Z313" s="57" cm="1">
        <f t="array" ref="Z313">VLOOKUP(B313,'Player Data'!$A1:$AE673,14,FALSE)*$Q313</f>
        <v>1.0473894795702303</v>
      </c>
      <c r="AA313" s="57" cm="1">
        <f t="array" ref="AA313">VLOOKUP(B313,'Player Data'!$A1:$AE673,15,FALSE)*$Q313</f>
        <v>25.751089660101602</v>
      </c>
      <c r="AB313" s="57" cm="1">
        <f t="array" ref="AB313">VLOOKUP(B313,'Player Data'!$A1:$AE673,16,FALSE)*$Q313</f>
        <v>82.347112293527459</v>
      </c>
      <c r="AC313" s="57" cm="1">
        <f t="array" ref="AC313">VLOOKUP(B313,'Player Data'!$A1:$AE673,17,FALSE)*$Q313*IFERROR((VLOOKUP(P313,Settings!$E$28:$F$33,2,FALSE)+1),1)</f>
        <v>-1.8482207076714372</v>
      </c>
      <c r="AD313" s="57" cm="1">
        <f t="array" ref="AD313">VLOOKUP(B313,'Player Data'!$A1:$AE673,18,FALSE)*$Q313</f>
        <v>30.613865297910607</v>
      </c>
      <c r="AE313" s="57" cm="1">
        <f t="array" ref="AE313">VLOOKUP(B313,'Player Data'!$A1:$AE673,19,FALSE)*$Q313*IFERROR((VLOOKUP(P313,Settings!$E$28:$F$33,2,FALSE)+1),1)</f>
        <v>3.3825981642582281</v>
      </c>
      <c r="AF313" s="57" cm="1">
        <f t="array" ref="AF313">VLOOKUP(B313,'Player Data'!$A1:$AE673,20,FALSE)*$Q313</f>
        <v>20.932105724311199</v>
      </c>
      <c r="AG313" s="57" cm="1">
        <f t="array" ref="AG313">VLOOKUP(B313,'Player Data'!$A1:$AE673,21,FALSE)*$Q313</f>
        <v>35.435886427819959</v>
      </c>
      <c r="AH313" s="59" cm="1">
        <f t="array" ref="AH313">VLOOKUP(B313,'Player Data'!$A1:$AE673,22,FALSE)</f>
        <v>0.371347371533436</v>
      </c>
      <c r="AI313" s="55"/>
      <c r="AJ313" s="57"/>
      <c r="AK313" s="57"/>
      <c r="AL313" s="57"/>
      <c r="AM313" s="57"/>
      <c r="AN313" s="57"/>
      <c r="AO313" s="57"/>
      <c r="AP313" s="57"/>
      <c r="AQ313" s="60"/>
      <c r="AR313" s="61"/>
      <c r="AS313" s="55"/>
    </row>
    <row r="314" spans="1:45" ht="21.25" customHeight="1" x14ac:dyDescent="0.15">
      <c r="A314" s="62">
        <f t="shared" si="4"/>
        <v>313</v>
      </c>
      <c r="B314" s="10" t="s">
        <v>442</v>
      </c>
      <c r="C314" s="47" t="s">
        <v>147</v>
      </c>
      <c r="D314" s="48" t="str" cm="1">
        <f t="array" ref="D314">VLOOKUP(B314,'Player Data'!A1:D673,4,FALSE)</f>
        <v>D</v>
      </c>
      <c r="E314" s="68" cm="1">
        <f t="array" ref="E314">VLOOKUP(B314,D!A1:C204,3,FALSE)</f>
        <v>128</v>
      </c>
      <c r="F314" s="69" t="str" cm="1">
        <f t="array" ref="F314">VLOOKUP(B314,'Player Data'!A1:B673,2,FALSE)</f>
        <v>CBJ</v>
      </c>
      <c r="G314" s="11" cm="1">
        <f t="array" ref="G314">VLOOKUP(B314,'Player Data'!A1:D673,3,FALSE)</f>
        <v>28</v>
      </c>
      <c r="H314" s="51" cm="1">
        <f t="array" ref="H314">IFERROR(VLOOKUP(B314,ADP!A1:F671,6,FALSE)/1000000,VLOOKUP(B314,ADP!A1:F671,6,FALSE))</f>
        <v>4.125</v>
      </c>
      <c r="I314" s="52">
        <f>IF(Settings!$E$15="POINTS",((R314*Q314)*Settings!$B$12)+(S314*Settings!$B$2)+(T314*Settings!$B$3)+(U314*Settings!$B$4)+(V314*Settings!$B$5)+(X314*Settings!$B$9)+(AA314*Settings!$B$6)+(W314*Settings!$B$8)+(AB314*Settings!$B$7)+(AC314*Settings!$B$14)+(AD314*Settings!$B$15)+(AE314*Settings!$B$16)+(AF314*Settings!$B$17)+(AG314*Settings!$B$18)+(U314*Settings!$B$13)+(Y314*Settings!$B$10)+(Z314*Settings!$B$11),VLOOKUP(B314,'Standard Deviations'!A$1:C$672,3,FALSE))</f>
        <v>157.58477644777065</v>
      </c>
      <c r="J314" s="53" cm="1">
        <f t="array" ref="J314">IF(D314="G",I314/AJ314,I314/Q314)</f>
        <v>2.0181184151600262</v>
      </c>
      <c r="K314" s="52" cm="1">
        <f t="array" ref="K314">VLOOKUP(B314,D!A1:F204,6,FALSE)</f>
        <v>-149.06909089682341</v>
      </c>
      <c r="L314" s="54" cm="1">
        <f t="array" ref="L314">IFERROR(K314/H314,"N/A")</f>
        <v>-36.13796142953295</v>
      </c>
      <c r="M314" s="85" t="s">
        <v>832</v>
      </c>
      <c r="N314" s="85" t="str" cm="1">
        <f t="array" ref="N314">IFERROR(M314-A314,"N/A")</f>
        <v>N/A</v>
      </c>
      <c r="O314" s="55"/>
      <c r="P314" s="56" t="str" cm="1">
        <f t="array" ref="P314">_xlfn.XLOOKUP($B314,ADP!A2:A671,ADP!G2:G671)</f>
        <v xml:space="preserve"> </v>
      </c>
      <c r="Q314" s="57" cm="1">
        <f t="array" ref="Q314">IF(Settings!$E$12="YES",VLOOKUP(B314,'Player Data'!A1:E673,5,FALSE),84)</f>
        <v>78.084999999999994</v>
      </c>
      <c r="R314" s="55" cm="1">
        <f t="array" ref="R314">VLOOKUP(B314,'Player Data'!$A1:$AE673,6,FALSE)</f>
        <v>17.502296677761901</v>
      </c>
      <c r="S314" s="57" cm="1">
        <f t="array" ref="S314">VLOOKUP(B314,'Player Data'!$A1:$AE673,7,FALSE)*$Q314*IFERROR((VLOOKUP(P314,Settings!$E$28:$F$33,2,FALSE)+1),1)</f>
        <v>5.5497435121072858</v>
      </c>
      <c r="T314" s="57" cm="1">
        <f t="array" ref="T314">VLOOKUP(B314,'Player Data'!$A1:$AE673,8,FALSE)*$Q314*IFERROR((VLOOKUP(P314,Settings!$E$28:$F$33,2,FALSE)+1),1)</f>
        <v>12.56268875959929</v>
      </c>
      <c r="U314" s="57" cm="1">
        <f t="array" ref="U314">SUM(S314:T314)</f>
        <v>18.112432271706574</v>
      </c>
      <c r="V314" s="57" cm="1">
        <f t="array" ref="V314">VLOOKUP(B314,'Player Data'!$A1:$AE673,10,FALSE)*$Q314*IFERROR(((VLOOKUP(P314,Settings!$E$28:$F$33,2,FALSE)/2)+1),1)</f>
        <v>78.104825746446849</v>
      </c>
      <c r="W314" s="57" cm="1">
        <f t="array" ref="W314">VLOOKUP(B314,'Player Data'!$A1:$AE673,11,FALSE)*$Q314*IFERROR((VLOOKUP(P314,Settings!$E$28:$F$33,2,FALSE)+1),1)</f>
        <v>8.4615638124772262E-3</v>
      </c>
      <c r="X314" s="57" cm="1">
        <f t="array" ref="X314">VLOOKUP(B314,'Player Data'!$A1:$AE673,12,FALSE)*$Q314*IFERROR((VLOOKUP(P314,Settings!$E$28:$F$33,2,FALSE)+1),1)</f>
        <v>6.788352250094383E-2</v>
      </c>
      <c r="Y314" s="57" cm="1">
        <f t="array" ref="Y314">VLOOKUP(B314,'Player Data'!$A1:$AE673,13,FALSE)*$Q314</f>
        <v>1.6209248624219665E-2</v>
      </c>
      <c r="Z314" s="57" cm="1">
        <f t="array" ref="Z314">VLOOKUP(B314,'Player Data'!$A1:$AE673,14,FALSE)*$Q314</f>
        <v>0.11991153929780365</v>
      </c>
      <c r="AA314" s="57" cm="1">
        <f t="array" ref="AA314">VLOOKUP(B314,'Player Data'!$A1:$AE673,15,FALSE)*$Q314</f>
        <v>128.01454339525748</v>
      </c>
      <c r="AB314" s="57" cm="1">
        <f t="array" ref="AB314">VLOOKUP(B314,'Player Data'!$A1:$AE673,16,FALSE)*$Q314</f>
        <v>75.474739503138323</v>
      </c>
      <c r="AC314" s="57" cm="1">
        <f t="array" ref="AC314">VLOOKUP(B314,'Player Data'!$A1:$AE673,17,FALSE)*$Q314*IFERROR((VLOOKUP(P314,Settings!$E$28:$F$33,2,FALSE)+1),1)</f>
        <v>0.35038435057953365</v>
      </c>
      <c r="AD314" s="57" cm="1">
        <f t="array" ref="AD314">VLOOKUP(B314,'Player Data'!$A1:$AE673,18,FALSE)*$Q314</f>
        <v>36.148223428937158</v>
      </c>
      <c r="AE314" s="57" cm="1">
        <f t="array" ref="AE314">VLOOKUP(B314,'Player Data'!$A1:$AE673,19,FALSE)*$Q314*IFERROR((VLOOKUP(P314,Settings!$E$28:$F$33,2,FALSE)+1),1)</f>
        <v>0.89429253252865248</v>
      </c>
      <c r="AF314" s="57" cm="1">
        <f t="array" ref="AF314">VLOOKUP(B314,'Player Data'!$A1:$AE673,20,FALSE)*$Q314</f>
        <v>0</v>
      </c>
      <c r="AG314" s="57" cm="1">
        <f t="array" ref="AG314">VLOOKUP(B314,'Player Data'!$A1:$AE673,21,FALSE)*$Q314</f>
        <v>0</v>
      </c>
      <c r="AH314" s="59" cm="1">
        <f t="array" ref="AH314">VLOOKUP(B314,'Player Data'!$A1:$AE673,22,FALSE)</f>
        <v>0</v>
      </c>
      <c r="AI314" s="55"/>
      <c r="AJ314" s="57"/>
      <c r="AK314" s="57"/>
      <c r="AL314" s="57"/>
      <c r="AM314" s="57"/>
      <c r="AN314" s="57"/>
      <c r="AO314" s="57"/>
      <c r="AP314" s="57"/>
      <c r="AQ314" s="60"/>
      <c r="AR314" s="61"/>
      <c r="AS314" s="55"/>
    </row>
    <row r="315" spans="1:45" ht="21.25" customHeight="1" x14ac:dyDescent="0.15">
      <c r="A315" s="62">
        <f t="shared" si="4"/>
        <v>314</v>
      </c>
      <c r="B315" s="10" t="s">
        <v>443</v>
      </c>
      <c r="C315" s="47" t="s">
        <v>147</v>
      </c>
      <c r="D315" s="48" t="str" cm="1">
        <f t="array" ref="D315">VLOOKUP(B315,'Player Data'!A1:D673,4,FALSE)</f>
        <v>C</v>
      </c>
      <c r="E315" s="49" cm="1">
        <f t="array" ref="E315">VLOOKUP(B315,'C'!A1:C210,3,FALSE)</f>
        <v>81</v>
      </c>
      <c r="F315" s="73" t="str" cm="1">
        <f t="array" ref="F315">VLOOKUP(B315,'Player Data'!A1:B673,2,FALSE)</f>
        <v>BUF</v>
      </c>
      <c r="G315" s="11" cm="1">
        <f t="array" ref="G315">VLOOKUP(B315,'Player Data'!A1:D673,3,FALSE)</f>
        <v>26</v>
      </c>
      <c r="H315" s="51" cm="1">
        <f t="array" ref="H315">IFERROR(VLOOKUP(B315,ADP!A1:F671,6,FALSE)/1000000,VLOOKUP(B315,ADP!A1:F671,6,FALSE))</f>
        <v>5</v>
      </c>
      <c r="I315" s="52">
        <f>IF(Settings!$E$15="POINTS",((R315*Q315)*Settings!$B$12)+(S315*Settings!$B$2)+(T315*Settings!$B$3)+(U315*Settings!$B$4)+(V315*Settings!$B$5)+(X315*Settings!$B$9)+(AA315*Settings!$B$6)+(W315*Settings!$B$8)+(AB315*Settings!$B$7)+(AC315*Settings!$B$14)+(AD315*Settings!$B$15)+(AE315*Settings!$B$16)+(AF315*Settings!$B$17)+(AG315*Settings!$B$18)+(Y315*Settings!$B$10)+(Z315*Settings!$B$11),VLOOKUP(B315,'Standard Deviations'!A$1:C$672,3,FALSE))</f>
        <v>237.14397314141749</v>
      </c>
      <c r="J315" s="53" cm="1">
        <f t="array" ref="J315">IF(D315="G",I315/AJ315,I315/Q315)</f>
        <v>2.8455000376939941</v>
      </c>
      <c r="K315" s="52" cm="1">
        <f t="array" ref="K315">IF(Settings!$E$18="C/LW/RW",VLOOKUP(B315,'C'!A1:F210,6,FALSE),VLOOKUP(B315,F!A1:F407,6,FALSE))</f>
        <v>-149.39123325166551</v>
      </c>
      <c r="L315" s="54" cm="1">
        <f t="array" ref="L315">IFERROR(K315/H315,"N/A")</f>
        <v>-29.878246650333104</v>
      </c>
      <c r="M315" s="85" t="s">
        <v>832</v>
      </c>
      <c r="N315" s="85" t="str" cm="1">
        <f t="array" ref="N315">IFERROR(M315-A315,"N/A")</f>
        <v>N/A</v>
      </c>
      <c r="O315" s="55"/>
      <c r="P315" s="56" t="str" cm="1">
        <f t="array" ref="P315">_xlfn.XLOOKUP($B315,ADP!A2:A671,ADP!G2:G671)</f>
        <v xml:space="preserve"> </v>
      </c>
      <c r="Q315" s="57" cm="1">
        <f t="array" ref="Q315">IF(Settings!$E$12="YES",VLOOKUP(B315,'Player Data'!A1:E673,5,FALSE),84)</f>
        <v>83.34</v>
      </c>
      <c r="R315" s="55" cm="1">
        <f t="array" ref="R315">VLOOKUP(B315,'Player Data'!$A1:$AE673,6,FALSE)</f>
        <v>17.297900837544201</v>
      </c>
      <c r="S315" s="57" cm="1">
        <f t="array" ref="S315">VLOOKUP(B315,'Player Data'!$A1:$AE673,7,FALSE)*$Q315*IFERROR((VLOOKUP(P315,Settings!$E$28:$F$33,2,FALSE)+1),1)</f>
        <v>17.366281511228586</v>
      </c>
      <c r="T315" s="57" cm="1">
        <f t="array" ref="T315">VLOOKUP(B315,'Player Data'!$A1:$AE673,8,FALSE)*$Q315*IFERROR((VLOOKUP(P315,Settings!$E$28:$F$33,2,FALSE)+1),1)</f>
        <v>34.54744783398899</v>
      </c>
      <c r="U315" s="57" cm="1">
        <f t="array" ref="U315">SUM(S315:T315)</f>
        <v>51.913729345217575</v>
      </c>
      <c r="V315" s="57" cm="1">
        <f t="array" ref="V315">VLOOKUP(B315,'Player Data'!$A1:$AE673,10,FALSE)*$Q315*IFERROR(((VLOOKUP(P315,Settings!$E$28:$F$33,2,FALSE)/2)+1),1)</f>
        <v>105.47887326052174</v>
      </c>
      <c r="W315" s="57" cm="1">
        <f t="array" ref="W315">VLOOKUP(B315,'Player Data'!$A1:$AE673,11,FALSE)*$Q315*IFERROR((VLOOKUP(P315,Settings!$E$28:$F$33,2,FALSE)+1),1)</f>
        <v>0.54902621446842248</v>
      </c>
      <c r="X315" s="57" cm="1">
        <f t="array" ref="X315">VLOOKUP(B315,'Player Data'!$A1:$AE673,12,FALSE)*$Q315*IFERROR((VLOOKUP(P315,Settings!$E$28:$F$33,2,FALSE)+1),1)</f>
        <v>5.2093349359094381</v>
      </c>
      <c r="Y315" s="57" cm="1">
        <f t="array" ref="Y315">VLOOKUP(B315,'Player Data'!$A1:$AE673,13,FALSE)*$Q315</f>
        <v>3.0076225718519871</v>
      </c>
      <c r="Z315" s="57" cm="1">
        <f t="array" ref="Z315">VLOOKUP(B315,'Player Data'!$A1:$AE673,14,FALSE)*$Q315</f>
        <v>5.0474023120995941</v>
      </c>
      <c r="AA315" s="57" cm="1">
        <f t="array" ref="AA315">VLOOKUP(B315,'Player Data'!$A1:$AE673,15,FALSE)*$Q315</f>
        <v>36.813222454989791</v>
      </c>
      <c r="AB315" s="57" cm="1">
        <f t="array" ref="AB315">VLOOKUP(B315,'Player Data'!$A1:$AE673,16,FALSE)*$Q315</f>
        <v>28.82095336459874</v>
      </c>
      <c r="AC315" s="57" cm="1">
        <f t="array" ref="AC315">VLOOKUP(B315,'Player Data'!$A1:$AE673,17,FALSE)*$Q315*IFERROR((VLOOKUP(P315,Settings!$E$28:$F$33,2,FALSE)+1),1)</f>
        <v>2.37536605418715</v>
      </c>
      <c r="AD315" s="57" cm="1">
        <f t="array" ref="AD315">VLOOKUP(B315,'Player Data'!$A1:$AE673,18,FALSE)*$Q315</f>
        <v>19.488422035230396</v>
      </c>
      <c r="AE315" s="57" cm="1">
        <f t="array" ref="AE315">VLOOKUP(B315,'Player Data'!$A1:$AE673,19,FALSE)*$Q315*IFERROR((VLOOKUP(P315,Settings!$E$28:$F$33,2,FALSE)+1),1)</f>
        <v>2.6183139185047617</v>
      </c>
      <c r="AF315" s="57" cm="1">
        <f t="array" ref="AF315">VLOOKUP(B315,'Player Data'!$A1:$AE673,20,FALSE)*$Q315</f>
        <v>624.059237751198</v>
      </c>
      <c r="AG315" s="57" cm="1">
        <f t="array" ref="AG315">VLOOKUP(B315,'Player Data'!$A1:$AE673,21,FALSE)*$Q315</f>
        <v>625.6339266830995</v>
      </c>
      <c r="AH315" s="59" cm="1">
        <f t="array" ref="AH315">VLOOKUP(B315,'Player Data'!$A1:$AE673,22,FALSE)</f>
        <v>0.499369969774695</v>
      </c>
      <c r="AI315" s="55"/>
      <c r="AJ315" s="57"/>
      <c r="AK315" s="57"/>
      <c r="AL315" s="57"/>
      <c r="AM315" s="57"/>
      <c r="AN315" s="57"/>
      <c r="AO315" s="57"/>
      <c r="AP315" s="57"/>
      <c r="AQ315" s="60"/>
      <c r="AR315" s="61"/>
      <c r="AS315" s="55"/>
    </row>
    <row r="316" spans="1:45" ht="21.25" customHeight="1" x14ac:dyDescent="0.15">
      <c r="A316" s="62">
        <f t="shared" si="4"/>
        <v>315</v>
      </c>
      <c r="B316" s="10" t="s">
        <v>444</v>
      </c>
      <c r="C316" s="47" t="s">
        <v>147</v>
      </c>
      <c r="D316" s="48" t="str" cm="1">
        <f t="array" ref="D316">VLOOKUP(B316,'Player Data'!A1:D673,4,FALSE)</f>
        <v>C,LW</v>
      </c>
      <c r="E316" s="74" cm="1">
        <f t="array" ref="E316">VLOOKUP(B316,LW!A1:C210,3,FALSE)</f>
        <v>71</v>
      </c>
      <c r="F316" s="65" t="str" cm="1">
        <f t="array" ref="F316">VLOOKUP(B316,'Player Data'!A1:B673,2,FALSE)</f>
        <v>STL</v>
      </c>
      <c r="G316" s="11" cm="1">
        <f t="array" ref="G316">VLOOKUP(B316,'Player Data'!A1:D673,3,FALSE)</f>
        <v>25</v>
      </c>
      <c r="H316" s="51" cm="1">
        <f t="array" ref="H316">IFERROR(VLOOKUP(B316,ADP!A1:F671,6,FALSE)/1000000,VLOOKUP(B316,ADP!A1:F671,6,FALSE))</f>
        <v>6.8</v>
      </c>
      <c r="I316" s="52">
        <f>IF(Settings!$E$15="POINTS",((R316*Q316)*Settings!$B$12)+(S316*Settings!$B$2)+(T316*Settings!$B$3)+(U316*Settings!$B$4)+(V316*Settings!$B$5)+(X316*Settings!$B$9)+(AA316*Settings!$B$6)+(W316*Settings!$B$8)+(AB316*Settings!$B$7)+(AC316*Settings!$B$14)+(AD316*Settings!$B$15)+(AE316*Settings!$B$16)+(AF316*Settings!$B$17)+(AG316*Settings!$B$18)+(Y316*Settings!$B$10)+(Z316*Settings!$B$11),VLOOKUP(B316,'Standard Deviations'!A$1:C$672,3,FALSE))</f>
        <v>249.80174671123874</v>
      </c>
      <c r="J316" s="53" cm="1">
        <f t="array" ref="J316">IF(D316="G",I316/AJ316,I316/Q316)</f>
        <v>3.0053145658233724</v>
      </c>
      <c r="K316" s="52" cm="1">
        <f t="array" ref="K316">IF(Settings!$E$18="C/LW/RW",VLOOKUP(B316,LW!A1:F210,6,FALSE),VLOOKUP(B316,F!A1:F407,6,FALSE))</f>
        <v>-149.51124660248135</v>
      </c>
      <c r="L316" s="54" cm="1">
        <f t="array" ref="L316">IFERROR(K316/H316,"N/A")</f>
        <v>-21.98694802977667</v>
      </c>
      <c r="M316" s="85" t="s">
        <v>832</v>
      </c>
      <c r="N316" s="85" t="str" cm="1">
        <f t="array" ref="N316">IFERROR(M316-A316,"N/A")</f>
        <v>N/A</v>
      </c>
      <c r="O316" s="55"/>
      <c r="P316" s="56" t="str" cm="1">
        <f t="array" ref="P316">_xlfn.XLOOKUP($B316,ADP!A2:A671,ADP!G2:G671)</f>
        <v xml:space="preserve"> </v>
      </c>
      <c r="Q316" s="57" cm="1">
        <f t="array" ref="Q316">IF(Settings!$E$12="YES",VLOOKUP(B316,'Player Data'!A1:E673,5,FALSE),84)</f>
        <v>83.12</v>
      </c>
      <c r="R316" s="55" cm="1">
        <f t="array" ref="R316">VLOOKUP(B316,'Player Data'!$A1:$AE673,6,FALSE)</f>
        <v>16.5887930709135</v>
      </c>
      <c r="S316" s="57" cm="1">
        <f t="array" ref="S316">VLOOKUP(B316,'Player Data'!$A1:$AE673,7,FALSE)*$Q316*IFERROR((VLOOKUP(P316,Settings!$E$28:$F$33,2,FALSE)+1),1)</f>
        <v>18.777982031773114</v>
      </c>
      <c r="T316" s="57" cm="1">
        <f t="array" ref="T316">VLOOKUP(B316,'Player Data'!$A1:$AE673,8,FALSE)*$Q316*IFERROR((VLOOKUP(P316,Settings!$E$28:$F$33,2,FALSE)+1),1)</f>
        <v>28.84846211533284</v>
      </c>
      <c r="U316" s="57" cm="1">
        <f t="array" ref="U316">SUM(S316:T316)</f>
        <v>47.626444147105957</v>
      </c>
      <c r="V316" s="57" cm="1">
        <f t="array" ref="V316">VLOOKUP(B316,'Player Data'!$A1:$AE673,10,FALSE)*$Q316*IFERROR(((VLOOKUP(P316,Settings!$E$28:$F$33,2,FALSE)/2)+1),1)</f>
        <v>152.66873909157508</v>
      </c>
      <c r="W316" s="57" cm="1">
        <f t="array" ref="W316">VLOOKUP(B316,'Player Data'!$A1:$AE673,11,FALSE)*$Q316*IFERROR((VLOOKUP(P316,Settings!$E$28:$F$33,2,FALSE)+1),1)</f>
        <v>2.6556244988464588</v>
      </c>
      <c r="X316" s="57" cm="1">
        <f t="array" ref="X316">VLOOKUP(B316,'Player Data'!$A1:$AE673,12,FALSE)*$Q316*IFERROR((VLOOKUP(P316,Settings!$E$28:$F$33,2,FALSE)+1),1)</f>
        <v>6.8440018190615239</v>
      </c>
      <c r="Y316" s="57" cm="1">
        <f t="array" ref="Y316">VLOOKUP(B316,'Player Data'!$A1:$AE673,13,FALSE)*$Q316</f>
        <v>0.31859943251123501</v>
      </c>
      <c r="Z316" s="57" cm="1">
        <f t="array" ref="Z316">VLOOKUP(B316,'Player Data'!$A1:$AE673,14,FALSE)*$Q316</f>
        <v>1.5664370245560995</v>
      </c>
      <c r="AA316" s="57" cm="1">
        <f t="array" ref="AA316">VLOOKUP(B316,'Player Data'!$A1:$AE673,15,FALSE)*$Q316</f>
        <v>44.355211761031313</v>
      </c>
      <c r="AB316" s="57" cm="1">
        <f t="array" ref="AB316">VLOOKUP(B316,'Player Data'!$A1:$AE673,16,FALSE)*$Q316</f>
        <v>49.915233335808978</v>
      </c>
      <c r="AC316" s="57" cm="1">
        <f t="array" ref="AC316">VLOOKUP(B316,'Player Data'!$A1:$AE673,17,FALSE)*$Q316*IFERROR((VLOOKUP(P316,Settings!$E$28:$F$33,2,FALSE)+1),1)</f>
        <v>-2.2579794423299169</v>
      </c>
      <c r="AD316" s="57" cm="1">
        <f t="array" ref="AD316">VLOOKUP(B316,'Player Data'!$A1:$AE673,18,FALSE)*$Q316</f>
        <v>34.983928788119208</v>
      </c>
      <c r="AE316" s="57" cm="1">
        <f t="array" ref="AE316">VLOOKUP(B316,'Player Data'!$A1:$AE673,19,FALSE)*$Q316*IFERROR((VLOOKUP(P316,Settings!$E$28:$F$33,2,FALSE)+1),1)</f>
        <v>2.7076168393914521</v>
      </c>
      <c r="AF316" s="57" cm="1">
        <f t="array" ref="AF316">VLOOKUP(B316,'Player Data'!$A1:$AE673,20,FALSE)*$Q316</f>
        <v>267.67452599849344</v>
      </c>
      <c r="AG316" s="57" cm="1">
        <f t="array" ref="AG316">VLOOKUP(B316,'Player Data'!$A1:$AE673,21,FALSE)*$Q316</f>
        <v>338.39677226765434</v>
      </c>
      <c r="AH316" s="59" cm="1">
        <f t="array" ref="AH316">VLOOKUP(B316,'Player Data'!$A1:$AE673,22,FALSE)</f>
        <v>0.44165517615544198</v>
      </c>
      <c r="AI316" s="55"/>
      <c r="AJ316" s="57"/>
      <c r="AK316" s="57"/>
      <c r="AL316" s="57"/>
      <c r="AM316" s="57"/>
      <c r="AN316" s="57"/>
      <c r="AO316" s="57"/>
      <c r="AP316" s="57"/>
      <c r="AQ316" s="60"/>
      <c r="AR316" s="61"/>
      <c r="AS316" s="55"/>
    </row>
    <row r="317" spans="1:45" ht="21.25" customHeight="1" x14ac:dyDescent="0.15">
      <c r="A317" s="62">
        <f t="shared" si="4"/>
        <v>316</v>
      </c>
      <c r="B317" s="10" t="s">
        <v>445</v>
      </c>
      <c r="C317" s="47" t="s">
        <v>147</v>
      </c>
      <c r="D317" s="48" t="str" cm="1">
        <f t="array" ref="D317">VLOOKUP(B317,'Player Data'!A1:D673,4,FALSE)</f>
        <v>C</v>
      </c>
      <c r="E317" s="49" cm="1">
        <f t="array" ref="E317">VLOOKUP(B317,'C'!A1:C210,3,FALSE)</f>
        <v>82</v>
      </c>
      <c r="F317" s="69" t="str" cm="1">
        <f t="array" ref="F317">VLOOKUP(B317,'Player Data'!A1:B673,2,FALSE)</f>
        <v>CBJ</v>
      </c>
      <c r="G317" s="66" cm="1">
        <f t="array" ref="G317">VLOOKUP(B317,'Player Data'!A1:D673,3,FALSE)</f>
        <v>34</v>
      </c>
      <c r="H317" s="51" cm="1">
        <f t="array" ref="H317">IFERROR(VLOOKUP(B317,ADP!A1:F671,6,FALSE)/1000000,VLOOKUP(B317,ADP!A1:F671,6,FALSE))</f>
        <v>6</v>
      </c>
      <c r="I317" s="52">
        <f>IF(Settings!$E$15="POINTS",((R317*Q317)*Settings!$B$12)+(S317*Settings!$B$2)+(T317*Settings!$B$3)+(U317*Settings!$B$4)+(V317*Settings!$B$5)+(X317*Settings!$B$9)+(AA317*Settings!$B$6)+(W317*Settings!$B$8)+(AB317*Settings!$B$7)+(AC317*Settings!$B$14)+(AD317*Settings!$B$15)+(AE317*Settings!$B$16)+(AF317*Settings!$B$17)+(AG317*Settings!$B$18)+(Y317*Settings!$B$10)+(Z317*Settings!$B$11),VLOOKUP(B317,'Standard Deviations'!A$1:C$672,3,FALSE))</f>
        <v>236.58394924025976</v>
      </c>
      <c r="J317" s="53" cm="1">
        <f t="array" ref="J317">IF(D317="G",I317/AJ317,I317/Q317)</f>
        <v>2.8108705764132207</v>
      </c>
      <c r="K317" s="52" cm="1">
        <f t="array" ref="K317">IF(Settings!$E$18="C/LW/RW",VLOOKUP(B317,'C'!A1:F210,6,FALSE),VLOOKUP(B317,F!A1:F407,6,FALSE))</f>
        <v>-149.95125715282325</v>
      </c>
      <c r="L317" s="54" cm="1">
        <f t="array" ref="L317">IFERROR(K317/H317,"N/A")</f>
        <v>-24.991876192137209</v>
      </c>
      <c r="M317" s="85" t="s">
        <v>832</v>
      </c>
      <c r="N317" s="85" t="str" cm="1">
        <f t="array" ref="N317">IFERROR(M317-A317,"N/A")</f>
        <v>N/A</v>
      </c>
      <c r="O317" s="55"/>
      <c r="P317" s="56" t="str" cm="1">
        <f t="array" ref="P317">_xlfn.XLOOKUP($B317,ADP!A2:A671,ADP!G2:G671)</f>
        <v xml:space="preserve"> </v>
      </c>
      <c r="Q317" s="57" cm="1">
        <f t="array" ref="Q317">IF(Settings!$E$12="YES",VLOOKUP(B317,'Player Data'!A1:E673,5,FALSE),84)</f>
        <v>84.167500000000004</v>
      </c>
      <c r="R317" s="84" cm="1">
        <f t="array" ref="R317">VLOOKUP(B317,'Player Data'!$A1:$AE673,6,FALSE)</f>
        <v>16.7791348439297</v>
      </c>
      <c r="S317" s="57" cm="1">
        <f t="array" ref="S317">VLOOKUP(B317,'Player Data'!$A1:$AE673,7,FALSE)*$Q317*IFERROR((VLOOKUP(P317,Settings!$E$28:$F$33,2,FALSE)+1),1)</f>
        <v>17.658843704302448</v>
      </c>
      <c r="T317" s="57" cm="1">
        <f t="array" ref="T317">VLOOKUP(B317,'Player Data'!$A1:$AE673,8,FALSE)*$Q317*IFERROR((VLOOKUP(P317,Settings!$E$28:$F$33,2,FALSE)+1),1)</f>
        <v>27.755358296542877</v>
      </c>
      <c r="U317" s="57" cm="1">
        <f t="array" ref="U317">SUM(S317:T317)</f>
        <v>45.414202000845322</v>
      </c>
      <c r="V317" s="57" cm="1">
        <f t="array" ref="V317">VLOOKUP(B317,'Player Data'!$A1:$AE673,10,FALSE)*$Q317*IFERROR(((VLOOKUP(P317,Settings!$E$28:$F$33,2,FALSE)/2)+1),1)</f>
        <v>130.23646328967516</v>
      </c>
      <c r="W317" s="57" cm="1">
        <f t="array" ref="W317">VLOOKUP(B317,'Player Data'!$A1:$AE673,11,FALSE)*$Q317*IFERROR((VLOOKUP(P317,Settings!$E$28:$F$33,2,FALSE)+1),1)</f>
        <v>3.7110007773425342</v>
      </c>
      <c r="X317" s="57" cm="1">
        <f t="array" ref="X317">VLOOKUP(B317,'Player Data'!$A1:$AE673,12,FALSE)*$Q317*IFERROR((VLOOKUP(P317,Settings!$E$28:$F$33,2,FALSE)+1),1)</f>
        <v>7.1482518321889916</v>
      </c>
      <c r="Y317" s="57" cm="1">
        <f t="array" ref="Y317">VLOOKUP(B317,'Player Data'!$A1:$AE673,13,FALSE)*$Q317</f>
        <v>0.22232783826053334</v>
      </c>
      <c r="Z317" s="57" cm="1">
        <f t="array" ref="Z317">VLOOKUP(B317,'Player Data'!$A1:$AE673,14,FALSE)*$Q317</f>
        <v>0.8618655433605541</v>
      </c>
      <c r="AA317" s="57" cm="1">
        <f t="array" ref="AA317">VLOOKUP(B317,'Player Data'!$A1:$AE673,15,FALSE)*$Q317</f>
        <v>54.425988434673272</v>
      </c>
      <c r="AB317" s="57" cm="1">
        <f t="array" ref="AB317">VLOOKUP(B317,'Player Data'!$A1:$AE673,16,FALSE)*$Q317</f>
        <v>108.39715461924372</v>
      </c>
      <c r="AC317" s="57" cm="1">
        <f t="array" ref="AC317">VLOOKUP(B317,'Player Data'!$A1:$AE673,17,FALSE)*$Q317*IFERROR((VLOOKUP(P317,Settings!$E$28:$F$33,2,FALSE)+1),1)</f>
        <v>2.4924347140566536</v>
      </c>
      <c r="AD317" s="57" cm="1">
        <f t="array" ref="AD317">VLOOKUP(B317,'Player Data'!$A1:$AE673,18,FALSE)*$Q317</f>
        <v>24.518318057846805</v>
      </c>
      <c r="AE317" s="57" cm="1">
        <f t="array" ref="AE317">VLOOKUP(B317,'Player Data'!$A1:$AE673,19,FALSE)*$Q317*IFERROR((VLOOKUP(P317,Settings!$E$28:$F$33,2,FALSE)+1),1)</f>
        <v>2.8455679119938084</v>
      </c>
      <c r="AF317" s="57" cm="1">
        <f t="array" ref="AF317">VLOOKUP(B317,'Player Data'!$A1:$AE673,20,FALSE)*$Q317</f>
        <v>578.72410968942438</v>
      </c>
      <c r="AG317" s="57" cm="1">
        <f t="array" ref="AG317">VLOOKUP(B317,'Player Data'!$A1:$AE673,21,FALSE)*$Q317</f>
        <v>573.51116604433128</v>
      </c>
      <c r="AH317" s="59" cm="1">
        <f t="array" ref="AH317">VLOOKUP(B317,'Player Data'!$A1:$AE673,22,FALSE)</f>
        <v>0.502262100351759</v>
      </c>
      <c r="AI317" s="55"/>
      <c r="AJ317" s="57"/>
      <c r="AK317" s="57"/>
      <c r="AL317" s="57"/>
      <c r="AM317" s="57"/>
      <c r="AN317" s="57"/>
      <c r="AO317" s="57"/>
      <c r="AP317" s="57"/>
      <c r="AQ317" s="60"/>
      <c r="AR317" s="61"/>
      <c r="AS317" s="55"/>
    </row>
    <row r="318" spans="1:45" ht="21.25" customHeight="1" x14ac:dyDescent="0.15">
      <c r="A318" s="62">
        <f t="shared" si="4"/>
        <v>317</v>
      </c>
      <c r="B318" s="10" t="s">
        <v>446</v>
      </c>
      <c r="C318" s="47" t="s">
        <v>147</v>
      </c>
      <c r="D318" s="48" t="str" cm="1">
        <f t="array" ref="D318">VLOOKUP(B318,'Player Data'!A1:D673,4,FALSE)</f>
        <v>LW,RW</v>
      </c>
      <c r="E318" s="74" cm="1">
        <f t="array" ref="E318">VLOOKUP(B318,RW!A1:F210,3,FALSE)</f>
        <v>86</v>
      </c>
      <c r="F318" s="56" t="str" cm="1">
        <f t="array" ref="F318">VLOOKUP(B318,'Player Data'!A1:B673,2,FALSE)</f>
        <v>PHI</v>
      </c>
      <c r="G318" s="71" cm="1">
        <f t="array" ref="G318">VLOOKUP(B318,'Player Data'!A1:D673,3,FALSE)</f>
        <v>24</v>
      </c>
      <c r="H318" s="51" cm="1">
        <f t="array" ref="H318">IFERROR(VLOOKUP(B318,ADP!A1:F671,6,FALSE)/1000000,VLOOKUP(B318,ADP!A1:F671,6,FALSE))</f>
        <v>3.75</v>
      </c>
      <c r="I318" s="52">
        <f>IF(Settings!$E$15="POINTS",((R318*Q318)*Settings!$B$12)+(S318*Settings!$B$2)+(T318*Settings!$B$3)+(U318*Settings!$B$4)+(V318*Settings!$B$5)+(X318*Settings!$B$9)+(AA318*Settings!$B$6)+(W318*Settings!$B$8)+(AB318*Settings!$B$7)+(AC318*Settings!$B$14)+(AD318*Settings!$B$15)+(AE318*Settings!$B$16)+(AF318*Settings!$B$17)+(AG318*Settings!$B$18)+(Y318*Settings!$B$10)+(Z318*Settings!$B$11),VLOOKUP(B318,'Standard Deviations'!A$1:C$672,3,FALSE))</f>
        <v>244.24824323143201</v>
      </c>
      <c r="J318" s="53" cm="1">
        <f t="array" ref="J318">IF(D318="G",I318/AJ318,I318/Q318)</f>
        <v>3.3013211222738663</v>
      </c>
      <c r="K318" s="52" cm="1">
        <f t="array" ref="K318">IF(Settings!$E$18="C/LW/RW",VLOOKUP(B318,RW!A1:F210,6,FALSE),VLOOKUP(B318,F!A1:F407,6,FALSE))</f>
        <v>-150.69522146212546</v>
      </c>
      <c r="L318" s="54" cm="1">
        <f t="array" ref="L318">IFERROR(K318/H318,"N/A")</f>
        <v>-40.185392389900123</v>
      </c>
      <c r="M318" s="55">
        <v>132.69999999999999</v>
      </c>
      <c r="N318" s="55" cm="1">
        <f t="array" ref="N318">IFERROR(M318-A318,"N/A")</f>
        <v>-184.3</v>
      </c>
      <c r="O318" s="55"/>
      <c r="P318" s="56" t="str" cm="1">
        <f t="array" ref="P318">_xlfn.XLOOKUP($B318,ADP!A2:A671,ADP!G2:G671)</f>
        <v>+</v>
      </c>
      <c r="Q318" s="57" cm="1">
        <f t="array" ref="Q318">IF(Settings!$E$12="YES",VLOOKUP(B318,'Player Data'!A1:E673,5,FALSE),84)</f>
        <v>73.984999999999999</v>
      </c>
      <c r="R318" s="55" cm="1">
        <f t="array" ref="R318">VLOOKUP(B318,'Player Data'!$A1:$AE673,6,FALSE)</f>
        <v>17.363458857627201</v>
      </c>
      <c r="S318" s="57" cm="1">
        <f t="array" ref="S318">VLOOKUP(B318,'Player Data'!$A1:$AE673,7,FALSE)*$Q318*IFERROR((VLOOKUP(P318,Settings!$E$28:$F$33,2,FALSE)+1),1)</f>
        <v>25.605637563085608</v>
      </c>
      <c r="T318" s="57" cm="1">
        <f t="array" ref="T318">VLOOKUP(B318,'Player Data'!$A1:$AE673,8,FALSE)*$Q318*IFERROR((VLOOKUP(P318,Settings!$E$28:$F$33,2,FALSE)+1),1)</f>
        <v>18.498286241715213</v>
      </c>
      <c r="U318" s="57" cm="1">
        <f t="array" ref="U318">SUM(S318:T318)</f>
        <v>44.103923804800822</v>
      </c>
      <c r="V318" s="57" cm="1">
        <f t="array" ref="V318">VLOOKUP(B318,'Player Data'!$A1:$AE673,10,FALSE)*$Q318*IFERROR(((VLOOKUP(P318,Settings!$E$28:$F$33,2,FALSE)/2)+1),1)</f>
        <v>152.22981234128164</v>
      </c>
      <c r="W318" s="57" cm="1">
        <f t="array" ref="W318">VLOOKUP(B318,'Player Data'!$A1:$AE673,11,FALSE)*$Q318*IFERROR((VLOOKUP(P318,Settings!$E$28:$F$33,2,FALSE)+1),1)</f>
        <v>4.6827389308019933</v>
      </c>
      <c r="X318" s="57" cm="1">
        <f t="array" ref="X318">VLOOKUP(B318,'Player Data'!$A1:$AE673,12,FALSE)*$Q318*IFERROR((VLOOKUP(P318,Settings!$E$28:$F$33,2,FALSE)+1),1)</f>
        <v>8.7947803111687826</v>
      </c>
      <c r="Y318" s="57" cm="1">
        <f t="array" ref="Y318">VLOOKUP(B318,'Player Data'!$A1:$AE673,13,FALSE)*$Q318</f>
        <v>0.46984228643820536</v>
      </c>
      <c r="Z318" s="57" cm="1">
        <f t="array" ref="Z318">VLOOKUP(B318,'Player Data'!$A1:$AE673,14,FALSE)*$Q318</f>
        <v>0.59036912390430352</v>
      </c>
      <c r="AA318" s="57" cm="1">
        <f t="array" ref="AA318">VLOOKUP(B318,'Player Data'!$A1:$AE673,15,FALSE)*$Q318</f>
        <v>52.872832422631227</v>
      </c>
      <c r="AB318" s="57" cm="1">
        <f t="array" ref="AB318">VLOOKUP(B318,'Player Data'!$A1:$AE673,16,FALSE)*$Q318</f>
        <v>73.341081005809826</v>
      </c>
      <c r="AC318" s="57" cm="1">
        <f t="array" ref="AC318">VLOOKUP(B318,'Player Data'!$A1:$AE673,17,FALSE)*$Q318*IFERROR((VLOOKUP(P318,Settings!$E$28:$F$33,2,FALSE)+1),1)</f>
        <v>2.1483903012067858</v>
      </c>
      <c r="AD318" s="57" cm="1">
        <f t="array" ref="AD318">VLOOKUP(B318,'Player Data'!$A1:$AE673,18,FALSE)*$Q318</f>
        <v>32.622661875146932</v>
      </c>
      <c r="AE318" s="57" cm="1">
        <f t="array" ref="AE318">VLOOKUP(B318,'Player Data'!$A1:$AE673,19,FALSE)*$Q318*IFERROR((VLOOKUP(P318,Settings!$E$28:$F$33,2,FALSE)+1),1)</f>
        <v>4.0465858867654356</v>
      </c>
      <c r="AF318" s="57" cm="1">
        <f t="array" ref="AF318">VLOOKUP(B318,'Player Data'!$A1:$AE673,20,FALSE)*$Q318</f>
        <v>0.77960402954542873</v>
      </c>
      <c r="AG318" s="57" cm="1">
        <f t="array" ref="AG318">VLOOKUP(B318,'Player Data'!$A1:$AE673,21,FALSE)*$Q318</f>
        <v>2.9036582354657008</v>
      </c>
      <c r="AH318" s="59" cm="1">
        <f t="array" ref="AH318">VLOOKUP(B318,'Player Data'!$A1:$AE673,22,FALSE)</f>
        <v>0.21166128650441701</v>
      </c>
      <c r="AI318" s="55"/>
      <c r="AJ318" s="57"/>
      <c r="AK318" s="57"/>
      <c r="AL318" s="57"/>
      <c r="AM318" s="57"/>
      <c r="AN318" s="57"/>
      <c r="AO318" s="57"/>
      <c r="AP318" s="57"/>
      <c r="AQ318" s="60"/>
      <c r="AR318" s="61"/>
      <c r="AS318" s="55"/>
    </row>
    <row r="319" spans="1:45" ht="21.25" customHeight="1" x14ac:dyDescent="0.15">
      <c r="A319" s="62">
        <f t="shared" si="4"/>
        <v>318</v>
      </c>
      <c r="B319" s="10" t="s">
        <v>447</v>
      </c>
      <c r="C319" s="47" t="s">
        <v>147</v>
      </c>
      <c r="D319" s="48" t="str" cm="1">
        <f t="array" ref="D319">VLOOKUP(B319,'Player Data'!A1:D673,4,FALSE)</f>
        <v>D</v>
      </c>
      <c r="E319" s="68" cm="1">
        <f t="array" ref="E319">VLOOKUP(B319,D!A1:C204,3,FALSE)</f>
        <v>129</v>
      </c>
      <c r="F319" s="72" t="str" cm="1">
        <f t="array" ref="F319">VLOOKUP(B319,'Player Data'!A1:B673,2,FALSE)</f>
        <v>DET</v>
      </c>
      <c r="G319" s="66" cm="1">
        <f t="array" ref="G319">VLOOKUP(B319,'Player Data'!A1:D673,3,FALSE)</f>
        <v>35</v>
      </c>
      <c r="H319" s="51" cm="1">
        <f t="array" ref="H319">IFERROR(VLOOKUP(B319,ADP!A1:F671,6,FALSE)/1000000,VLOOKUP(B319,ADP!A1:F671,6,FALSE))</f>
        <v>3.85</v>
      </c>
      <c r="I319" s="52">
        <f>IF(Settings!$E$15="POINTS",((R319*Q319)*Settings!$B$12)+(S319*Settings!$B$2)+(T319*Settings!$B$3)+(U319*Settings!$B$4)+(V319*Settings!$B$5)+(X319*Settings!$B$9)+(AA319*Settings!$B$6)+(W319*Settings!$B$8)+(AB319*Settings!$B$7)+(AC319*Settings!$B$14)+(AD319*Settings!$B$15)+(AE319*Settings!$B$16)+(AF319*Settings!$B$17)+(AG319*Settings!$B$18)+(U319*Settings!$B$13)+(Y319*Settings!$B$10)+(Z319*Settings!$B$11),VLOOKUP(B319,'Standard Deviations'!A$1:C$672,3,FALSE))</f>
        <v>155.62713361750153</v>
      </c>
      <c r="J319" s="53" cm="1">
        <f t="array" ref="J319">IF(D319="G",I319/AJ319,I319/Q319)</f>
        <v>1.8662006009833203</v>
      </c>
      <c r="K319" s="52" cm="1">
        <f t="array" ref="K319">VLOOKUP(B319,D!A1:F204,6,FALSE)</f>
        <v>-151.02673372709253</v>
      </c>
      <c r="L319" s="54" cm="1">
        <f t="array" ref="L319">IFERROR(K319/H319,"N/A")</f>
        <v>-39.227723045998061</v>
      </c>
      <c r="M319" s="85" t="s">
        <v>832</v>
      </c>
      <c r="N319" s="85" t="str" cm="1">
        <f t="array" ref="N319">IFERROR(M319-A319,"N/A")</f>
        <v>N/A</v>
      </c>
      <c r="O319" s="55"/>
      <c r="P319" s="56" t="str" cm="1">
        <f t="array" ref="P319">_xlfn.XLOOKUP($B319,ADP!A2:A671,ADP!G2:G671)</f>
        <v xml:space="preserve"> </v>
      </c>
      <c r="Q319" s="57" cm="1">
        <f t="array" ref="Q319">IF(Settings!$E$12="YES",VLOOKUP(B319,'Player Data'!A1:E673,5,FALSE),84)</f>
        <v>83.392499999999998</v>
      </c>
      <c r="R319" s="55" cm="1">
        <f t="array" ref="R319">VLOOKUP(B319,'Player Data'!$A1:$AE673,6,FALSE)</f>
        <v>20.178353913065301</v>
      </c>
      <c r="S319" s="57" cm="1">
        <f t="array" ref="S319">VLOOKUP(B319,'Player Data'!$A1:$AE673,7,FALSE)*$Q319*IFERROR((VLOOKUP(P319,Settings!$E$28:$F$33,2,FALSE)+1),1)</f>
        <v>2.0902429927318371</v>
      </c>
      <c r="T319" s="57" cm="1">
        <f t="array" ref="T319">VLOOKUP(B319,'Player Data'!$A1:$AE673,8,FALSE)*$Q319*IFERROR((VLOOKUP(P319,Settings!$E$28:$F$33,2,FALSE)+1),1)</f>
        <v>10.020927140435477</v>
      </c>
      <c r="U319" s="57" cm="1">
        <f t="array" ref="U319">SUM(S319:T319)</f>
        <v>12.111170133167313</v>
      </c>
      <c r="V319" s="57" cm="1">
        <f t="array" ref="V319">VLOOKUP(B319,'Player Data'!$A1:$AE673,10,FALSE)*$Q319*IFERROR(((VLOOKUP(P319,Settings!$E$28:$F$33,2,FALSE)/2)+1),1)</f>
        <v>88.042218458342859</v>
      </c>
      <c r="W319" s="57" cm="1">
        <f t="array" ref="W319">VLOOKUP(B319,'Player Data'!$A1:$AE673,11,FALSE)*$Q319*IFERROR((VLOOKUP(P319,Settings!$E$28:$F$33,2,FALSE)+1),1)</f>
        <v>3.6526911864676426E-3</v>
      </c>
      <c r="X319" s="57" cm="1">
        <f t="array" ref="X319">VLOOKUP(B319,'Player Data'!$A1:$AE673,12,FALSE)*$Q319*IFERROR((VLOOKUP(P319,Settings!$E$28:$F$33,2,FALSE)+1),1)</f>
        <v>7.5558720938590201E-2</v>
      </c>
      <c r="Y319" s="57" cm="1">
        <f t="array" ref="Y319">VLOOKUP(B319,'Player Data'!$A1:$AE673,13,FALSE)*$Q319</f>
        <v>7.680903299868566E-3</v>
      </c>
      <c r="Z319" s="57" cm="1">
        <f t="array" ref="Z319">VLOOKUP(B319,'Player Data'!$A1:$AE673,14,FALSE)*$Q319</f>
        <v>8.7669692179146053E-2</v>
      </c>
      <c r="AA319" s="57" cm="1">
        <f t="array" ref="AA319">VLOOKUP(B319,'Player Data'!$A1:$AE673,15,FALSE)*$Q319</f>
        <v>150.21857115142086</v>
      </c>
      <c r="AB319" s="57" cm="1">
        <f t="array" ref="AB319">VLOOKUP(B319,'Player Data'!$A1:$AE673,16,FALSE)*$Q319</f>
        <v>142.5227244440733</v>
      </c>
      <c r="AC319" s="57" cm="1">
        <f t="array" ref="AC319">VLOOKUP(B319,'Player Data'!$A1:$AE673,17,FALSE)*$Q319*IFERROR((VLOOKUP(P319,Settings!$E$28:$F$33,2,FALSE)+1),1)</f>
        <v>-5.1046344366511951</v>
      </c>
      <c r="AD319" s="57" cm="1">
        <f t="array" ref="AD319">VLOOKUP(B319,'Player Data'!$A1:$AE673,18,FALSE)*$Q319</f>
        <v>57.830639656517548</v>
      </c>
      <c r="AE319" s="57" cm="1">
        <f t="array" ref="AE319">VLOOKUP(B319,'Player Data'!$A1:$AE673,19,FALSE)*$Q319*IFERROR((VLOOKUP(P319,Settings!$E$28:$F$33,2,FALSE)+1),1)</f>
        <v>0.32755759426953968</v>
      </c>
      <c r="AF319" s="57" cm="1">
        <f t="array" ref="AF319">VLOOKUP(B319,'Player Data'!$A1:$AE673,20,FALSE)*$Q319</f>
        <v>0</v>
      </c>
      <c r="AG319" s="57" cm="1">
        <f t="array" ref="AG319">VLOOKUP(B319,'Player Data'!$A1:$AE673,21,FALSE)*$Q319</f>
        <v>0</v>
      </c>
      <c r="AH319" s="59" cm="1">
        <f t="array" ref="AH319">VLOOKUP(B319,'Player Data'!$A1:$AE673,22,FALSE)</f>
        <v>0</v>
      </c>
      <c r="AI319" s="55"/>
      <c r="AJ319" s="57"/>
      <c r="AK319" s="57"/>
      <c r="AL319" s="57"/>
      <c r="AM319" s="57"/>
      <c r="AN319" s="57"/>
      <c r="AO319" s="57"/>
      <c r="AP319" s="57"/>
      <c r="AQ319" s="60"/>
      <c r="AR319" s="61"/>
      <c r="AS319" s="55"/>
    </row>
    <row r="320" spans="1:45" ht="21.25" customHeight="1" x14ac:dyDescent="0.15">
      <c r="A320" s="62">
        <f t="shared" si="4"/>
        <v>319</v>
      </c>
      <c r="B320" s="10" t="s">
        <v>448</v>
      </c>
      <c r="C320" s="47" t="s">
        <v>147</v>
      </c>
      <c r="D320" s="48" t="str" cm="1">
        <f t="array" ref="D320">VLOOKUP(B320,'Player Data'!A1:D673,4,FALSE)</f>
        <v>D</v>
      </c>
      <c r="E320" s="68" cm="1">
        <f t="array" ref="E320">VLOOKUP(B320,D!A1:C204,3,FALSE)</f>
        <v>130</v>
      </c>
      <c r="F320" s="63" t="str" cm="1">
        <f t="array" ref="F320">VLOOKUP(B320,'Player Data'!A1:B673,2,FALSE)</f>
        <v>WPG</v>
      </c>
      <c r="G320" s="11" cm="1">
        <f t="array" ref="G320">VLOOKUP(B320,'Player Data'!A1:D673,3,FALSE)</f>
        <v>27</v>
      </c>
      <c r="H320" s="51" cm="1">
        <f t="array" ref="H320">IFERROR(VLOOKUP(B320,ADP!A1:F671,6,FALSE)/1000000,VLOOKUP(B320,ADP!A1:F671,6,FALSE))</f>
        <v>4</v>
      </c>
      <c r="I320" s="52">
        <f>IF(Settings!$E$15="POINTS",((R320*Q320)*Settings!$B$12)+(S320*Settings!$B$2)+(T320*Settings!$B$3)+(U320*Settings!$B$4)+(V320*Settings!$B$5)+(X320*Settings!$B$9)+(AA320*Settings!$B$6)+(W320*Settings!$B$8)+(AB320*Settings!$B$7)+(AC320*Settings!$B$14)+(AD320*Settings!$B$15)+(AE320*Settings!$B$16)+(AF320*Settings!$B$17)+(AG320*Settings!$B$18)+(U320*Settings!$B$13)+(Y320*Settings!$B$10)+(Z320*Settings!$B$11),VLOOKUP(B320,'Standard Deviations'!A$1:C$672,3,FALSE))</f>
        <v>155.1090770014591</v>
      </c>
      <c r="J320" s="53" cm="1">
        <f t="array" ref="J320">IF(D320="G",I320/AJ320,I320/Q320)</f>
        <v>1.8669845570710051</v>
      </c>
      <c r="K320" s="52" cm="1">
        <f t="array" ref="K320">VLOOKUP(B320,D!A1:F204,6,FALSE)</f>
        <v>-151.54479034313496</v>
      </c>
      <c r="L320" s="54" cm="1">
        <f t="array" ref="L320">IFERROR(K320/H320,"N/A")</f>
        <v>-37.886197585783741</v>
      </c>
      <c r="M320" s="85" t="s">
        <v>832</v>
      </c>
      <c r="N320" s="85" t="str" cm="1">
        <f t="array" ref="N320">IFERROR(M320-A320,"N/A")</f>
        <v>N/A</v>
      </c>
      <c r="O320" s="55"/>
      <c r="P320" s="56" t="str" cm="1">
        <f t="array" ref="P320">_xlfn.XLOOKUP($B320,ADP!A2:A671,ADP!G2:G671)</f>
        <v xml:space="preserve"> </v>
      </c>
      <c r="Q320" s="57" cm="1">
        <f t="array" ref="Q320">IF(Settings!$E$12="YES",VLOOKUP(B320,'Player Data'!A1:E673,5,FALSE),84)</f>
        <v>83.08</v>
      </c>
      <c r="R320" s="84" cm="1">
        <f t="array" ref="R320">VLOOKUP(B320,'Player Data'!$A1:$AE673,6,FALSE)</f>
        <v>18.146830843650601</v>
      </c>
      <c r="S320" s="57" cm="1">
        <f t="array" ref="S320">VLOOKUP(B320,'Player Data'!$A1:$AE673,7,FALSE)*$Q320*IFERROR((VLOOKUP(P320,Settings!$E$28:$F$33,2,FALSE)+1),1)</f>
        <v>3.9409301564415697</v>
      </c>
      <c r="T320" s="57" cm="1">
        <f t="array" ref="T320">VLOOKUP(B320,'Player Data'!$A1:$AE673,8,FALSE)*$Q320*IFERROR((VLOOKUP(P320,Settings!$E$28:$F$33,2,FALSE)+1),1)</f>
        <v>13.237547740937345</v>
      </c>
      <c r="U320" s="57" cm="1">
        <f t="array" ref="U320">SUM(S320:T320)</f>
        <v>17.178477897378915</v>
      </c>
      <c r="V320" s="57" cm="1">
        <f t="array" ref="V320">VLOOKUP(B320,'Player Data'!$A1:$AE673,10,FALSE)*$Q320*IFERROR(((VLOOKUP(P320,Settings!$E$28:$F$33,2,FALSE)/2)+1),1)</f>
        <v>79.229772208744421</v>
      </c>
      <c r="W320" s="57" cm="1">
        <f t="array" ref="W320">VLOOKUP(B320,'Player Data'!$A1:$AE673,11,FALSE)*$Q320*IFERROR((VLOOKUP(P320,Settings!$E$28:$F$33,2,FALSE)+1),1)</f>
        <v>8.5995987421704084E-3</v>
      </c>
      <c r="X320" s="57" cm="1">
        <f t="array" ref="X320">VLOOKUP(B320,'Player Data'!$A1:$AE673,12,FALSE)*$Q320*IFERROR((VLOOKUP(P320,Settings!$E$28:$F$33,2,FALSE)+1),1)</f>
        <v>7.1211446284010452E-2</v>
      </c>
      <c r="Y320" s="57" cm="1">
        <f t="array" ref="Y320">VLOOKUP(B320,'Player Data'!$A1:$AE673,13,FALSE)*$Q320</f>
        <v>1.7064193785997214E-2</v>
      </c>
      <c r="Z320" s="57" cm="1">
        <f t="array" ref="Z320">VLOOKUP(B320,'Player Data'!$A1:$AE673,14,FALSE)*$Q320</f>
        <v>0.33035559318947322</v>
      </c>
      <c r="AA320" s="57" cm="1">
        <f t="array" ref="AA320">VLOOKUP(B320,'Player Data'!$A1:$AE673,15,FALSE)*$Q320</f>
        <v>127.11438033095334</v>
      </c>
      <c r="AB320" s="57" cm="1">
        <f t="array" ref="AB320">VLOOKUP(B320,'Player Data'!$A1:$AE673,16,FALSE)*$Q320</f>
        <v>118.02453226628043</v>
      </c>
      <c r="AC320" s="57" cm="1">
        <f t="array" ref="AC320">VLOOKUP(B320,'Player Data'!$A1:$AE673,17,FALSE)*$Q320*IFERROR((VLOOKUP(P320,Settings!$E$28:$F$33,2,FALSE)+1),1)</f>
        <v>0.31477640271281093</v>
      </c>
      <c r="AD320" s="57" cm="1">
        <f t="array" ref="AD320">VLOOKUP(B320,'Player Data'!$A1:$AE673,18,FALSE)*$Q320</f>
        <v>36.063484996642174</v>
      </c>
      <c r="AE320" s="57" cm="1">
        <f t="array" ref="AE320">VLOOKUP(B320,'Player Data'!$A1:$AE673,19,FALSE)*$Q320*IFERROR((VLOOKUP(P320,Settings!$E$28:$F$33,2,FALSE)+1),1)</f>
        <v>0.68481446606877128</v>
      </c>
      <c r="AF320" s="57" cm="1">
        <f t="array" ref="AF320">VLOOKUP(B320,'Player Data'!$A1:$AE673,20,FALSE)*$Q320</f>
        <v>0</v>
      </c>
      <c r="AG320" s="57" cm="1">
        <f t="array" ref="AG320">VLOOKUP(B320,'Player Data'!$A1:$AE673,21,FALSE)*$Q320</f>
        <v>2.3675157724923708E-5</v>
      </c>
      <c r="AH320" s="59" cm="1">
        <f t="array" ref="AH320">VLOOKUP(B320,'Player Data'!$A1:$AE673,22,FALSE)</f>
        <v>0</v>
      </c>
      <c r="AI320" s="55"/>
      <c r="AJ320" s="57"/>
      <c r="AK320" s="57"/>
      <c r="AL320" s="57"/>
      <c r="AM320" s="57"/>
      <c r="AN320" s="57"/>
      <c r="AO320" s="57"/>
      <c r="AP320" s="57"/>
      <c r="AQ320" s="60"/>
      <c r="AR320" s="61"/>
      <c r="AS320" s="55"/>
    </row>
    <row r="321" spans="1:45" ht="21.25" customHeight="1" x14ac:dyDescent="0.15">
      <c r="A321" s="62">
        <f t="shared" si="4"/>
        <v>320</v>
      </c>
      <c r="B321" s="10" t="s">
        <v>449</v>
      </c>
      <c r="C321" s="47" t="s">
        <v>147</v>
      </c>
      <c r="D321" s="48" t="str" cm="1">
        <f t="array" ref="D321">VLOOKUP(B321,'Player Data'!A1:D673,4,FALSE)</f>
        <v>C,LW</v>
      </c>
      <c r="E321" s="74" cm="1">
        <f t="array" ref="E321">VLOOKUP(B321,LW!A1:C210,3,FALSE)</f>
        <v>73</v>
      </c>
      <c r="F321" s="70" t="str" cm="1">
        <f t="array" ref="F321">VLOOKUP(B321,'Player Data'!A1:B673,2,FALSE)</f>
        <v>MIN</v>
      </c>
      <c r="G321" s="66" cm="1">
        <f t="array" ref="G321">VLOOKUP(B321,'Player Data'!A1:D673,3,FALSE)</f>
        <v>34</v>
      </c>
      <c r="H321" s="67" cm="1">
        <f t="array" ref="H321">IFERROR(VLOOKUP(B321,ADP!A1:F671,6,FALSE)/1000000,VLOOKUP(B321,ADP!A1:F671,6,FALSE))</f>
        <v>4.9000000000000004</v>
      </c>
      <c r="I321" s="52">
        <f>IF(Settings!$E$15="POINTS",((R321*Q321)*Settings!$B$12)+(S321*Settings!$B$2)+(T321*Settings!$B$3)+(U321*Settings!$B$4)+(V321*Settings!$B$5)+(X321*Settings!$B$9)+(AA321*Settings!$B$6)+(W321*Settings!$B$8)+(AB321*Settings!$B$7)+(AC321*Settings!$B$14)+(AD321*Settings!$B$15)+(AE321*Settings!$B$16)+(AF321*Settings!$B$17)+(AG321*Settings!$B$18)+(Y321*Settings!$B$10)+(Z321*Settings!$B$11),VLOOKUP(B321,'Standard Deviations'!A$1:C$672,3,FALSE))</f>
        <v>247.62695514849818</v>
      </c>
      <c r="J321" s="53" cm="1">
        <f t="array" ref="J321">IF(D321="G",I321/AJ321,I321/Q321)</f>
        <v>3.0449992947646489</v>
      </c>
      <c r="K321" s="52" cm="1">
        <f t="array" ref="K321">IF(Settings!$E$18="C/LW/RW",VLOOKUP(B321,LW!A1:F210,6,FALSE),VLOOKUP(B321,F!A1:F407,6,FALSE))</f>
        <v>-151.6860381652219</v>
      </c>
      <c r="L321" s="54" cm="1">
        <f t="array" ref="L321">IFERROR(K321/H321,"N/A")</f>
        <v>-30.95633431943304</v>
      </c>
      <c r="M321" s="85" t="s">
        <v>832</v>
      </c>
      <c r="N321" s="85" t="str" cm="1">
        <f t="array" ref="N321">IFERROR(M321-A321,"N/A")</f>
        <v>N/A</v>
      </c>
      <c r="O321" s="55"/>
      <c r="P321" s="56" t="str" cm="1">
        <f t="array" ref="P321">_xlfn.XLOOKUP($B321,ADP!A2:A671,ADP!G2:G671)</f>
        <v xml:space="preserve"> </v>
      </c>
      <c r="Q321" s="57" cm="1">
        <f t="array" ref="Q321">IF(Settings!$E$12="YES",VLOOKUP(B321,'Player Data'!A1:E673,5,FALSE),84)</f>
        <v>81.322500000000005</v>
      </c>
      <c r="R321" s="55" cm="1">
        <f t="array" ref="R321">VLOOKUP(B321,'Player Data'!$A1:$AE673,6,FALSE)</f>
        <v>17.172854437577399</v>
      </c>
      <c r="S321" s="57" cm="1">
        <f t="array" ref="S321">VLOOKUP(B321,'Player Data'!$A1:$AE673,7,FALSE)*$Q321*IFERROR((VLOOKUP(P321,Settings!$E$28:$F$33,2,FALSE)+1),1)</f>
        <v>18.625221802279913</v>
      </c>
      <c r="T321" s="57" cm="1">
        <f t="array" ref="T321">VLOOKUP(B321,'Player Data'!$A1:$AE673,8,FALSE)*$Q321*IFERROR((VLOOKUP(P321,Settings!$E$28:$F$33,2,FALSE)+1),1)</f>
        <v>19.825353072478446</v>
      </c>
      <c r="U321" s="57" cm="1">
        <f t="array" ref="U321">SUM(S321:T321)</f>
        <v>38.45057487475836</v>
      </c>
      <c r="V321" s="57" cm="1">
        <f t="array" ref="V321">VLOOKUP(B321,'Player Data'!$A1:$AE673,10,FALSE)*$Q321*IFERROR(((VLOOKUP(P321,Settings!$E$28:$F$33,2,FALSE)/2)+1),1)</f>
        <v>194.65634467738806</v>
      </c>
      <c r="W321" s="57" cm="1">
        <f t="array" ref="W321">VLOOKUP(B321,'Player Data'!$A1:$AE673,11,FALSE)*$Q321*IFERROR((VLOOKUP(P321,Settings!$E$28:$F$33,2,FALSE)+1),1)</f>
        <v>2.0373103002836817</v>
      </c>
      <c r="X321" s="57" cm="1">
        <f t="array" ref="X321">VLOOKUP(B321,'Player Data'!$A1:$AE673,12,FALSE)*$Q321*IFERROR((VLOOKUP(P321,Settings!$E$28:$F$33,2,FALSE)+1),1)</f>
        <v>3.6325352037757601</v>
      </c>
      <c r="Y321" s="57" cm="1">
        <f t="array" ref="Y321">VLOOKUP(B321,'Player Data'!$A1:$AE673,13,FALSE)*$Q321</f>
        <v>2.4588763739367563</v>
      </c>
      <c r="Z321" s="57" cm="1">
        <f t="array" ref="Z321">VLOOKUP(B321,'Player Data'!$A1:$AE673,14,FALSE)*$Q321</f>
        <v>3.0955240926963832</v>
      </c>
      <c r="AA321" s="57" cm="1">
        <f t="array" ref="AA321">VLOOKUP(B321,'Player Data'!$A1:$AE673,15,FALSE)*$Q321</f>
        <v>56.43799777811379</v>
      </c>
      <c r="AB321" s="57" cm="1">
        <f t="array" ref="AB321">VLOOKUP(B321,'Player Data'!$A1:$AE673,16,FALSE)*$Q321</f>
        <v>161.53237937757993</v>
      </c>
      <c r="AC321" s="57" cm="1">
        <f t="array" ref="AC321">VLOOKUP(B321,'Player Data'!$A1:$AE673,17,FALSE)*$Q321*IFERROR((VLOOKUP(P321,Settings!$E$28:$F$33,2,FALSE)+1),1)</f>
        <v>3.5983417260834405</v>
      </c>
      <c r="AD321" s="57" cm="1">
        <f t="array" ref="AD321">VLOOKUP(B321,'Player Data'!$A1:$AE673,18,FALSE)*$Q321</f>
        <v>48.448139023404451</v>
      </c>
      <c r="AE321" s="57" cm="1">
        <f t="array" ref="AE321">VLOOKUP(B321,'Player Data'!$A1:$AE673,19,FALSE)*$Q321*IFERROR((VLOOKUP(P321,Settings!$E$28:$F$33,2,FALSE)+1),1)</f>
        <v>3.033759845912821</v>
      </c>
      <c r="AF321" s="57" cm="1">
        <f t="array" ref="AF321">VLOOKUP(B321,'Player Data'!$A1:$AE673,20,FALSE)*$Q321</f>
        <v>22.326342070333101</v>
      </c>
      <c r="AG321" s="57" cm="1">
        <f t="array" ref="AG321">VLOOKUP(B321,'Player Data'!$A1:$AE673,21,FALSE)*$Q321</f>
        <v>29.350817943119971</v>
      </c>
      <c r="AH321" s="59" cm="1">
        <f t="array" ref="AH321">VLOOKUP(B321,'Player Data'!$A1:$AE673,22,FALSE)</f>
        <v>0.43203500472009199</v>
      </c>
      <c r="AI321" s="55"/>
      <c r="AJ321" s="57"/>
      <c r="AK321" s="57"/>
      <c r="AL321" s="57"/>
      <c r="AM321" s="57"/>
      <c r="AN321" s="57"/>
      <c r="AO321" s="57"/>
      <c r="AP321" s="57"/>
      <c r="AQ321" s="60"/>
      <c r="AR321" s="61"/>
      <c r="AS321" s="55"/>
    </row>
    <row r="322" spans="1:45" ht="21.25" customHeight="1" x14ac:dyDescent="0.15">
      <c r="A322" s="62">
        <f t="shared" ref="A322:A385" si="5">RANK(K322,K$2:K$671)</f>
        <v>321</v>
      </c>
      <c r="B322" s="10" t="s">
        <v>450</v>
      </c>
      <c r="C322" s="47" t="s">
        <v>147</v>
      </c>
      <c r="D322" s="48" t="str" cm="1">
        <f t="array" ref="D322">VLOOKUP(B322,'Player Data'!A1:D673,4,FALSE)</f>
        <v>D</v>
      </c>
      <c r="E322" s="68" cm="1">
        <f t="array" ref="E322">VLOOKUP(B322,D!A1:C204,3,FALSE)</f>
        <v>131</v>
      </c>
      <c r="F322" s="63" t="str" cm="1">
        <f t="array" ref="F322">VLOOKUP(B322,'Player Data'!A1:B673,2,FALSE)</f>
        <v>DAL</v>
      </c>
      <c r="G322" s="66" cm="1">
        <f t="array" ref="G322">VLOOKUP(B322,'Player Data'!A1:D673,3,FALSE)</f>
        <v>36</v>
      </c>
      <c r="H322" s="67" cm="1">
        <f t="array" ref="H322">IFERROR(VLOOKUP(B322,ADP!A1:F671,6,FALSE)/1000000,VLOOKUP(B322,ADP!A1:F671,6,FALSE))</f>
        <v>1.5</v>
      </c>
      <c r="I322" s="52">
        <f>IF(Settings!$E$15="POINTS",((R322*Q322)*Settings!$B$12)+(S322*Settings!$B$2)+(T322*Settings!$B$3)+(U322*Settings!$B$4)+(V322*Settings!$B$5)+(X322*Settings!$B$9)+(AA322*Settings!$B$6)+(W322*Settings!$B$8)+(AB322*Settings!$B$7)+(AC322*Settings!$B$14)+(AD322*Settings!$B$15)+(AE322*Settings!$B$16)+(AF322*Settings!$B$17)+(AG322*Settings!$B$18)+(U322*Settings!$B$13)+(Y322*Settings!$B$10)+(Z322*Settings!$B$11),VLOOKUP(B322,'Standard Deviations'!A$1:C$672,3,FALSE))</f>
        <v>154.11410230519593</v>
      </c>
      <c r="J322" s="53" cm="1">
        <f t="array" ref="J322">IF(D322="G",I322/AJ322,I322/Q322)</f>
        <v>1.9163653606714242</v>
      </c>
      <c r="K322" s="52" cm="1">
        <f t="array" ref="K322">VLOOKUP(B322,D!A1:F204,6,FALSE)</f>
        <v>-152.53976503939813</v>
      </c>
      <c r="L322" s="54" cm="1">
        <f t="array" ref="L322">IFERROR(K322/H322,"N/A")</f>
        <v>-101.69317669293208</v>
      </c>
      <c r="M322" s="85" t="s">
        <v>832</v>
      </c>
      <c r="N322" s="85" t="str" cm="1">
        <f t="array" ref="N322">IFERROR(M322-A322,"N/A")</f>
        <v>N/A</v>
      </c>
      <c r="O322" s="55"/>
      <c r="P322" s="56" t="str" cm="1">
        <f t="array" ref="P322">_xlfn.XLOOKUP($B322,ADP!A2:A671,ADP!G2:G671)</f>
        <v xml:space="preserve"> </v>
      </c>
      <c r="Q322" s="57" cm="1">
        <f t="array" ref="Q322">IF(Settings!$E$12="YES",VLOOKUP(B322,'Player Data'!A1:E673,5,FALSE),84)</f>
        <v>80.42</v>
      </c>
      <c r="R322" s="84" cm="1">
        <f t="array" ref="R322">VLOOKUP(B322,'Player Data'!$A1:$AE673,6,FALSE)</f>
        <v>18.022558241298601</v>
      </c>
      <c r="S322" s="57" cm="1">
        <f t="array" ref="S322">VLOOKUP(B322,'Player Data'!$A1:$AE673,7,FALSE)*$Q322*IFERROR((VLOOKUP(P322,Settings!$E$28:$F$33,2,FALSE)+1),1)</f>
        <v>2.9301846783158716</v>
      </c>
      <c r="T322" s="57" cm="1">
        <f t="array" ref="T322">VLOOKUP(B322,'Player Data'!$A1:$AE673,8,FALSE)*$Q322*IFERROR((VLOOKUP(P322,Settings!$E$28:$F$33,2,FALSE)+1),1)</f>
        <v>14.332413392200671</v>
      </c>
      <c r="U322" s="57" cm="1">
        <f t="array" ref="U322">SUM(S322:T322)</f>
        <v>17.262598070516542</v>
      </c>
      <c r="V322" s="57" cm="1">
        <f t="array" ref="V322">VLOOKUP(B322,'Player Data'!$A1:$AE673,10,FALSE)*$Q322*IFERROR(((VLOOKUP(P322,Settings!$E$28:$F$33,2,FALSE)/2)+1),1)</f>
        <v>80.718547560333761</v>
      </c>
      <c r="W322" s="57" cm="1">
        <f t="array" ref="W322">VLOOKUP(B322,'Player Data'!$A1:$AE673,11,FALSE)*$Q322*IFERROR((VLOOKUP(P322,Settings!$E$28:$F$33,2,FALSE)+1),1)</f>
        <v>4.5245332584824922E-3</v>
      </c>
      <c r="X322" s="57" cm="1">
        <f t="array" ref="X322">VLOOKUP(B322,'Player Data'!$A1:$AE673,12,FALSE)*$Q322*IFERROR((VLOOKUP(P322,Settings!$E$28:$F$33,2,FALSE)+1),1)</f>
        <v>6.5385703374496854E-2</v>
      </c>
      <c r="Y322" s="57" cm="1">
        <f t="array" ref="Y322">VLOOKUP(B322,'Player Data'!$A1:$AE673,13,FALSE)*$Q322</f>
        <v>0.45079497184503481</v>
      </c>
      <c r="Z322" s="57" cm="1">
        <f t="array" ref="Z322">VLOOKUP(B322,'Player Data'!$A1:$AE673,14,FALSE)*$Q322</f>
        <v>0.81935330207936252</v>
      </c>
      <c r="AA322" s="57" cm="1">
        <f t="array" ref="AA322">VLOOKUP(B322,'Player Data'!$A1:$AE673,15,FALSE)*$Q322</f>
        <v>122.16459061605116</v>
      </c>
      <c r="AB322" s="57" cm="1">
        <f t="array" ref="AB322">VLOOKUP(B322,'Player Data'!$A1:$AE673,16,FALSE)*$Q322</f>
        <v>90.130059631551305</v>
      </c>
      <c r="AC322" s="57" cm="1">
        <f t="array" ref="AC322">VLOOKUP(B322,'Player Data'!$A1:$AE673,17,FALSE)*$Q322*IFERROR((VLOOKUP(P322,Settings!$E$28:$F$33,2,FALSE)+1),1)</f>
        <v>2.9943957047434027</v>
      </c>
      <c r="AD322" s="57" cm="1">
        <f t="array" ref="AD322">VLOOKUP(B322,'Player Data'!$A1:$AE673,18,FALSE)*$Q322</f>
        <v>55.161590257090069</v>
      </c>
      <c r="AE322" s="57" cm="1">
        <f t="array" ref="AE322">VLOOKUP(B322,'Player Data'!$A1:$AE673,19,FALSE)*$Q322*IFERROR((VLOOKUP(P322,Settings!$E$28:$F$33,2,FALSE)+1),1)</f>
        <v>0.49556101698444305</v>
      </c>
      <c r="AF322" s="57" cm="1">
        <f t="array" ref="AF322">VLOOKUP(B322,'Player Data'!$A1:$AE673,20,FALSE)*$Q322</f>
        <v>0</v>
      </c>
      <c r="AG322" s="57" cm="1">
        <f t="array" ref="AG322">VLOOKUP(B322,'Player Data'!$A1:$AE673,21,FALSE)*$Q322</f>
        <v>0</v>
      </c>
      <c r="AH322" s="59" cm="1">
        <f t="array" ref="AH322">VLOOKUP(B322,'Player Data'!$A1:$AE673,22,FALSE)</f>
        <v>0</v>
      </c>
      <c r="AI322" s="55"/>
      <c r="AJ322" s="57"/>
      <c r="AK322" s="57"/>
      <c r="AL322" s="57"/>
      <c r="AM322" s="57"/>
      <c r="AN322" s="57"/>
      <c r="AO322" s="57"/>
      <c r="AP322" s="57"/>
      <c r="AQ322" s="60"/>
      <c r="AR322" s="61"/>
      <c r="AS322" s="55"/>
    </row>
    <row r="323" spans="1:45" ht="21.25" customHeight="1" x14ac:dyDescent="0.15">
      <c r="A323" s="62">
        <f t="shared" si="5"/>
        <v>322</v>
      </c>
      <c r="B323" s="10" t="s">
        <v>451</v>
      </c>
      <c r="C323" s="47" t="s">
        <v>147</v>
      </c>
      <c r="D323" s="48" t="str" cm="1">
        <f t="array" ref="D323">VLOOKUP(B323,'Player Data'!A1:D673,4,FALSE)</f>
        <v>C,RW</v>
      </c>
      <c r="E323" s="74" cm="1">
        <f t="array" ref="E323">VLOOKUP(B323,RW!A1:F210,3,FALSE)</f>
        <v>87</v>
      </c>
      <c r="F323" s="63" t="str" cm="1">
        <f t="array" ref="F323">VLOOKUP(B323,'Player Data'!A1:B673,2,FALSE)</f>
        <v>DAL</v>
      </c>
      <c r="G323" s="66" cm="1">
        <f t="array" ref="G323">VLOOKUP(B323,'Player Data'!A1:D673,3,FALSE)</f>
        <v>35</v>
      </c>
      <c r="H323" s="51" cm="1">
        <f t="array" ref="H323">IFERROR(VLOOKUP(B323,ADP!A1:F671,6,FALSE)/1000000,VLOOKUP(B323,ADP!A1:F671,6,FALSE))</f>
        <v>4.5</v>
      </c>
      <c r="I323" s="52">
        <f>IF(Settings!$E$15="POINTS",((R323*Q323)*Settings!$B$12)+(S323*Settings!$B$2)+(T323*Settings!$B$3)+(U323*Settings!$B$4)+(V323*Settings!$B$5)+(X323*Settings!$B$9)+(AA323*Settings!$B$6)+(W323*Settings!$B$8)+(AB323*Settings!$B$7)+(AC323*Settings!$B$14)+(AD323*Settings!$B$15)+(AE323*Settings!$B$16)+(AF323*Settings!$B$17)+(AG323*Settings!$B$18)+(Y323*Settings!$B$10)+(Z323*Settings!$B$11),VLOOKUP(B323,'Standard Deviations'!A$1:C$672,3,FALSE))</f>
        <v>242.34785746409622</v>
      </c>
      <c r="J323" s="53" cm="1">
        <f t="array" ref="J323">IF(D323="G",I323/AJ323,I323/Q323)</f>
        <v>3.0525283555007872</v>
      </c>
      <c r="K323" s="52" cm="1">
        <f t="array" ref="K323">IF(Settings!$E$18="C/LW/RW",VLOOKUP(B323,RW!A1:F210,6,FALSE),VLOOKUP(B323,F!A1:F407,6,FALSE))</f>
        <v>-152.59560722946125</v>
      </c>
      <c r="L323" s="54" cm="1">
        <f t="array" ref="L323">IFERROR(K323/H323,"N/A")</f>
        <v>-33.91013493988028</v>
      </c>
      <c r="M323" s="55">
        <v>136.6</v>
      </c>
      <c r="N323" s="55" cm="1">
        <f t="array" ref="N323">IFERROR(M323-A323,"N/A")</f>
        <v>-185.4</v>
      </c>
      <c r="O323" s="55"/>
      <c r="P323" s="56" t="str" cm="1">
        <f t="array" ref="P323">_xlfn.XLOOKUP($B323,ADP!A2:A671,ADP!G2:G671)</f>
        <v xml:space="preserve"> </v>
      </c>
      <c r="Q323" s="57" cm="1">
        <f t="array" ref="Q323">IF(Settings!$E$12="YES",VLOOKUP(B323,'Player Data'!A1:E673,5,FALSE),84)</f>
        <v>79.392499999999998</v>
      </c>
      <c r="R323" s="84" cm="1">
        <f t="array" ref="R323">VLOOKUP(B323,'Player Data'!$A1:$AE673,6,FALSE)</f>
        <v>15.1689998895879</v>
      </c>
      <c r="S323" s="57" cm="1">
        <f t="array" ref="S323">VLOOKUP(B323,'Player Data'!$A1:$AE673,7,FALSE)*$Q323*IFERROR((VLOOKUP(P323,Settings!$E$28:$F$33,2,FALSE)+1),1)</f>
        <v>19.078155478646671</v>
      </c>
      <c r="T323" s="57" cm="1">
        <f t="array" ref="T323">VLOOKUP(B323,'Player Data'!$A1:$AE673,8,FALSE)*$Q323*IFERROR((VLOOKUP(P323,Settings!$E$28:$F$33,2,FALSE)+1),1)</f>
        <v>33.11674418751484</v>
      </c>
      <c r="U323" s="57" cm="1">
        <f t="array" ref="U323">SUM(S323:T323)</f>
        <v>52.194899666161511</v>
      </c>
      <c r="V323" s="57" cm="1">
        <f t="array" ref="V323">VLOOKUP(B323,'Player Data'!$A1:$AE673,10,FALSE)*$Q323*IFERROR(((VLOOKUP(P323,Settings!$E$28:$F$33,2,FALSE)/2)+1),1)</f>
        <v>120.13168020818905</v>
      </c>
      <c r="W323" s="57" cm="1">
        <f t="array" ref="W323">VLOOKUP(B323,'Player Data'!$A1:$AE673,11,FALSE)*$Q323*IFERROR((VLOOKUP(P323,Settings!$E$28:$F$33,2,FALSE)+1),1)</f>
        <v>3.6052600472656673</v>
      </c>
      <c r="X323" s="57" cm="1">
        <f t="array" ref="X323">VLOOKUP(B323,'Player Data'!$A1:$AE673,12,FALSE)*$Q323*IFERROR((VLOOKUP(P323,Settings!$E$28:$F$33,2,FALSE)+1),1)</f>
        <v>10.968945163393313</v>
      </c>
      <c r="Y323" s="57" cm="1">
        <f t="array" ref="Y323">VLOOKUP(B323,'Player Data'!$A1:$AE673,13,FALSE)*$Q323</f>
        <v>5.8060018295339414E-3</v>
      </c>
      <c r="Z323" s="57" cm="1">
        <f t="array" ref="Z323">VLOOKUP(B323,'Player Data'!$A1:$AE673,14,FALSE)*$Q323</f>
        <v>9.752721275058716E-3</v>
      </c>
      <c r="AA323" s="57" cm="1">
        <f t="array" ref="AA323">VLOOKUP(B323,'Player Data'!$A1:$AE673,15,FALSE)*$Q323</f>
        <v>29.43724095369765</v>
      </c>
      <c r="AB323" s="57" cm="1">
        <f t="array" ref="AB323">VLOOKUP(B323,'Player Data'!$A1:$AE673,16,FALSE)*$Q323</f>
        <v>40.883881961051678</v>
      </c>
      <c r="AC323" s="57" cm="1">
        <f t="array" ref="AC323">VLOOKUP(B323,'Player Data'!$A1:$AE673,17,FALSE)*$Q323*IFERROR((VLOOKUP(P323,Settings!$E$28:$F$33,2,FALSE)+1),1)</f>
        <v>4.822213472494651</v>
      </c>
      <c r="AD323" s="57" cm="1">
        <f t="array" ref="AD323">VLOOKUP(B323,'Player Data'!$A1:$AE673,18,FALSE)*$Q323</f>
        <v>16.034075830082678</v>
      </c>
      <c r="AE323" s="57" cm="1">
        <f t="array" ref="AE323">VLOOKUP(B323,'Player Data'!$A1:$AE673,19,FALSE)*$Q323*IFERROR((VLOOKUP(P323,Settings!$E$28:$F$33,2,FALSE)+1),1)</f>
        <v>3.2265509410210265</v>
      </c>
      <c r="AF323" s="57" cm="1">
        <f t="array" ref="AF323">VLOOKUP(B323,'Player Data'!$A1:$AE673,20,FALSE)*$Q323</f>
        <v>347.71231240115895</v>
      </c>
      <c r="AG323" s="57" cm="1">
        <f t="array" ref="AG323">VLOOKUP(B323,'Player Data'!$A1:$AE673,21,FALSE)*$Q323</f>
        <v>303.01505765568595</v>
      </c>
      <c r="AH323" s="59" cm="1">
        <f t="array" ref="AH323">VLOOKUP(B323,'Player Data'!$A1:$AE673,22,FALSE)</f>
        <v>0.53434407157452801</v>
      </c>
      <c r="AI323" s="55"/>
      <c r="AJ323" s="57"/>
      <c r="AK323" s="57"/>
      <c r="AL323" s="57"/>
      <c r="AM323" s="57"/>
      <c r="AN323" s="57"/>
      <c r="AO323" s="57"/>
      <c r="AP323" s="57"/>
      <c r="AQ323" s="60"/>
      <c r="AR323" s="61"/>
      <c r="AS323" s="55"/>
    </row>
    <row r="324" spans="1:45" ht="21.25" customHeight="1" x14ac:dyDescent="0.15">
      <c r="A324" s="62">
        <f t="shared" si="5"/>
        <v>323</v>
      </c>
      <c r="B324" s="10" t="s">
        <v>452</v>
      </c>
      <c r="C324" s="76"/>
      <c r="D324" s="48" t="str" cm="1">
        <f t="array" ref="D324">VLOOKUP(B324,'Player Data'!A1:D673,4,FALSE)</f>
        <v>G</v>
      </c>
      <c r="E324" s="77" cm="1">
        <f t="array" ref="E324">VLOOKUP(B324,G!A1:D66,3,FALSE)</f>
        <v>36</v>
      </c>
      <c r="F324" s="73" t="str" cm="1">
        <f t="array" ref="F324">VLOOKUP(B324,'Player Data'!A1:B673,2,FALSE)</f>
        <v>BUF</v>
      </c>
      <c r="G324" s="66" cm="1">
        <f t="array" ref="G324">VLOOKUP(B324,'Player Data'!A1:D673,3,FALSE)</f>
        <v>33</v>
      </c>
      <c r="H324" s="67" cm="1">
        <f t="array" ref="H324">IFERROR(VLOOKUP(B324,ADP!A1:F671,6,FALSE)/1000000,VLOOKUP(B324,ADP!A1:F671,6,FALSE))</f>
        <v>1.5</v>
      </c>
      <c r="I324" s="52">
        <f>IF(Settings!$E$15="POINTS",(AJ324*Settings!$B$29)+(AK324*Settings!$B$21)+(AL324*Settings!$B$22)+(AN324*Settings!$B$24)+(AO324*Settings!$B$25)+(AP324*Settings!$B$27)+(AM324*Settings!$B$23),VLOOKUP(B324,'Standard Deviations'!A$1:C$672,3,FALSE))</f>
        <v>206.45173256723405</v>
      </c>
      <c r="J324" s="53" cm="1">
        <f t="array" ref="J324">IF(D324="G",I324/AJ324,I324/Q324)</f>
        <v>5.8986209304924015</v>
      </c>
      <c r="K324" s="52" cm="1">
        <f t="array" ref="K324">VLOOKUP(B324,G!A1:F66,6,FALSE)</f>
        <v>-152.70617536300398</v>
      </c>
      <c r="L324" s="54" cm="1">
        <f t="array" ref="L324">IFERROR(K324/H324,"N/A")</f>
        <v>-101.80411690866931</v>
      </c>
      <c r="M324" s="55">
        <v>153.30000000000001</v>
      </c>
      <c r="N324" s="55" cm="1">
        <f t="array" ref="N324">IFERROR(M324-A324,"N/A")</f>
        <v>-169.7</v>
      </c>
      <c r="O324" s="55"/>
      <c r="P324" s="56" t="str" cm="1">
        <f t="array" ref="P324">_xlfn.XLOOKUP($B324,ADP!A2:A671,ADP!G2:G671)</f>
        <v xml:space="preserve"> </v>
      </c>
      <c r="Q324" s="57"/>
      <c r="R324" s="55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9"/>
      <c r="AI324" s="55"/>
      <c r="AJ324" s="78" cm="1">
        <f t="array" ref="AJ324">VLOOKUP(B324,'Player Data'!$A1:$AE673,24,FALSE)</f>
        <v>35</v>
      </c>
      <c r="AK324" s="57" cm="1">
        <f t="array" ref="AK324">VLOOKUP(B324,'Player Data'!$A1:$AE673,25,FALSE)*$AJ324*IFERROR((VLOOKUP(P324,Settings!$E$28:$F$33,2,FALSE)+1),1)</f>
        <v>18.180405157214999</v>
      </c>
      <c r="AL324" s="57" cm="1">
        <f t="array" ref="AL324">AJ324-AK324-AM324</f>
        <v>12.614696132088751</v>
      </c>
      <c r="AM324" s="57" cm="1">
        <f t="array" ref="AM324">VLOOKUP(B324,'Player Data'!$A1:$AE673,27,FALSE)*$AJ324</f>
        <v>4.2048987106962503</v>
      </c>
      <c r="AN324" s="57" cm="1">
        <f t="array" ref="AN324">VLOOKUP(B324,'Player Data'!$A1:$AE673,28,FALSE)*AJ324</f>
        <v>1.7592971857415989</v>
      </c>
      <c r="AO324" s="57" cm="1">
        <f t="array" ref="AO324">VLOOKUP(B324,'Player Data'!$A1:$AE673,29,FALSE)*$AJ324*IFERROR((VLOOKUP(P324,Settings!$E$28:$F$33,2,FALSE)/4)+1,1)</f>
        <v>906.483289107004</v>
      </c>
      <c r="AP324" s="57" cm="1">
        <f t="array" ref="AP324">VLOOKUP(B324,'Player Data'!$A1:$AE673,31,FALSE)*$AJ324*(IFERROR(1-(VLOOKUP(P324,Settings!$E$28:$F$33,2,FALSE)/4),1))</f>
        <v>101.03014154788485</v>
      </c>
      <c r="AQ324" s="60" cm="1">
        <f t="array" ref="AQ324">1-(AP324/(AO324+AP324))</f>
        <v>0.89972328062940587</v>
      </c>
      <c r="AR324" s="61" cm="1">
        <f t="array" ref="AR324">AP324/AJ324</f>
        <v>2.8865754727967099</v>
      </c>
      <c r="AS324" s="55"/>
    </row>
    <row r="325" spans="1:45" ht="21.25" customHeight="1" x14ac:dyDescent="0.15">
      <c r="A325" s="62">
        <f t="shared" si="5"/>
        <v>324</v>
      </c>
      <c r="B325" s="10" t="s">
        <v>453</v>
      </c>
      <c r="C325" s="47" t="s">
        <v>128</v>
      </c>
      <c r="D325" s="48" t="str" cm="1">
        <f t="array" ref="D325">VLOOKUP(B325,'Player Data'!A1:D673,4,FALSE)</f>
        <v>C,LW</v>
      </c>
      <c r="E325" s="74" cm="1">
        <f t="array" ref="E325">VLOOKUP(B325,LW!A1:C210,3,FALSE)</f>
        <v>75</v>
      </c>
      <c r="F325" s="56" t="str" cm="1">
        <f t="array" ref="F325">VLOOKUP(B325,'Player Data'!A1:B673,2,FALSE)</f>
        <v>WSH</v>
      </c>
      <c r="G325" s="11" cm="1">
        <f t="array" ref="G325">VLOOKUP(B325,'Player Data'!A1:D673,3,FALSE)</f>
        <v>28</v>
      </c>
      <c r="H325" s="51" cm="1">
        <f t="array" ref="H325">IFERROR(VLOOKUP(B325,ADP!A1:F671,6,FALSE)/1000000,VLOOKUP(B325,ADP!A1:F671,6,FALSE))</f>
        <v>8.5</v>
      </c>
      <c r="I325" s="52">
        <f>IF(Settings!$E$15="POINTS",((R325*Q325)*Settings!$B$12)+(S325*Settings!$B$2)+(T325*Settings!$B$3)+(U325*Settings!$B$4)+(V325*Settings!$B$5)+(X325*Settings!$B$9)+(AA325*Settings!$B$6)+(W325*Settings!$B$8)+(AB325*Settings!$B$7)+(AC325*Settings!$B$14)+(AD325*Settings!$B$15)+(AE325*Settings!$B$16)+(AF325*Settings!$B$17)+(AG325*Settings!$B$18)+(Y325*Settings!$B$10)+(Z325*Settings!$B$11),VLOOKUP(B325,'Standard Deviations'!A$1:C$672,3,FALSE))</f>
        <v>246.56140976422114</v>
      </c>
      <c r="J325" s="53" cm="1">
        <f t="array" ref="J325">IF(D325="G",I325/AJ325,I325/Q325)</f>
        <v>3.3041161816371889</v>
      </c>
      <c r="K325" s="52" cm="1">
        <f t="array" ref="K325">IF(Settings!$E$18="C/LW/RW",VLOOKUP(B325,LW!A1:F210,6,FALSE),VLOOKUP(B325,F!A1:F407,6,FALSE))</f>
        <v>-152.75158354949895</v>
      </c>
      <c r="L325" s="54" cm="1">
        <f t="array" ref="L325">IFERROR(K325/H325,"N/A")</f>
        <v>-17.970774535235169</v>
      </c>
      <c r="M325" s="85" t="s">
        <v>832</v>
      </c>
      <c r="N325" s="85" t="str" cm="1">
        <f t="array" ref="N325">IFERROR(M325-A325,"N/A")</f>
        <v>N/A</v>
      </c>
      <c r="O325" s="55"/>
      <c r="P325" s="56" t="str" cm="1">
        <f t="array" ref="P325">_xlfn.XLOOKUP($B325,ADP!A2:A671,ADP!G2:G671)</f>
        <v xml:space="preserve"> </v>
      </c>
      <c r="Q325" s="57" cm="1">
        <f t="array" ref="Q325">IF(Settings!$E$12="YES",VLOOKUP(B325,'Player Data'!A1:E673,5,FALSE),84)</f>
        <v>74.622500000000002</v>
      </c>
      <c r="R325" s="55" cm="1">
        <f t="array" ref="R325">VLOOKUP(B325,'Player Data'!$A1:$AE673,6,FALSE)</f>
        <v>16.763289341423999</v>
      </c>
      <c r="S325" s="57" cm="1">
        <f t="array" ref="S325">VLOOKUP(B325,'Player Data'!$A1:$AE673,7,FALSE)*$Q325*IFERROR((VLOOKUP(P325,Settings!$E$28:$F$33,2,FALSE)+1),1)</f>
        <v>16.620701098648254</v>
      </c>
      <c r="T325" s="57" cm="1">
        <f t="array" ref="T325">VLOOKUP(B325,'Player Data'!$A1:$AE673,8,FALSE)*$Q325*IFERROR((VLOOKUP(P325,Settings!$E$28:$F$33,2,FALSE)+1),1)</f>
        <v>33.472791082236981</v>
      </c>
      <c r="U325" s="57" cm="1">
        <f t="array" ref="U325">SUM(S325:T325)</f>
        <v>50.093492180885235</v>
      </c>
      <c r="V325" s="57" cm="1">
        <f t="array" ref="V325">VLOOKUP(B325,'Player Data'!$A1:$AE673,10,FALSE)*$Q325*IFERROR(((VLOOKUP(P325,Settings!$E$28:$F$33,2,FALSE)/2)+1),1)</f>
        <v>125.44140749155149</v>
      </c>
      <c r="W325" s="57" cm="1">
        <f t="array" ref="W325">VLOOKUP(B325,'Player Data'!$A1:$AE673,11,FALSE)*$Q325*IFERROR((VLOOKUP(P325,Settings!$E$28:$F$33,2,FALSE)+1),1)</f>
        <v>5.2722947857945135</v>
      </c>
      <c r="X325" s="57" cm="1">
        <f t="array" ref="X325">VLOOKUP(B325,'Player Data'!$A1:$AE673,12,FALSE)*$Q325*IFERROR((VLOOKUP(P325,Settings!$E$28:$F$33,2,FALSE)+1),1)</f>
        <v>12.081560694040038</v>
      </c>
      <c r="Y325" s="57" cm="1">
        <f t="array" ref="Y325">VLOOKUP(B325,'Player Data'!$A1:$AE673,13,FALSE)*$Q325</f>
        <v>9.2068979442244417E-2</v>
      </c>
      <c r="Z325" s="57" cm="1">
        <f t="array" ref="Z325">VLOOKUP(B325,'Player Data'!$A1:$AE673,14,FALSE)*$Q325</f>
        <v>0.15071168777316427</v>
      </c>
      <c r="AA325" s="57" cm="1">
        <f t="array" ref="AA325">VLOOKUP(B325,'Player Data'!$A1:$AE673,15,FALSE)*$Q325</f>
        <v>42.655914187952938</v>
      </c>
      <c r="AB325" s="57" cm="1">
        <f t="array" ref="AB325">VLOOKUP(B325,'Player Data'!$A1:$AE673,16,FALSE)*$Q325</f>
        <v>65.682744891660974</v>
      </c>
      <c r="AC325" s="57" cm="1">
        <f t="array" ref="AC325">VLOOKUP(B325,'Player Data'!$A1:$AE673,17,FALSE)*$Q325*IFERROR((VLOOKUP(P325,Settings!$E$28:$F$33,2,FALSE)+1),1)</f>
        <v>4.5785282871238362</v>
      </c>
      <c r="AD325" s="57" cm="1">
        <f t="array" ref="AD325">VLOOKUP(B325,'Player Data'!$A1:$AE673,18,FALSE)*$Q325</f>
        <v>45.9203001488086</v>
      </c>
      <c r="AE325" s="57" cm="1">
        <f t="array" ref="AE325">VLOOKUP(B325,'Player Data'!$A1:$AE673,19,FALSE)*$Q325*IFERROR((VLOOKUP(P325,Settings!$E$28:$F$33,2,FALSE)+1),1)</f>
        <v>2.4892710137880112</v>
      </c>
      <c r="AF325" s="57" cm="1">
        <f t="array" ref="AF325">VLOOKUP(B325,'Player Data'!$A1:$AE673,20,FALSE)*$Q325</f>
        <v>474.18732727616288</v>
      </c>
      <c r="AG325" s="57" cm="1">
        <f t="array" ref="AG325">VLOOKUP(B325,'Player Data'!$A1:$AE673,21,FALSE)*$Q325</f>
        <v>488.53440678553403</v>
      </c>
      <c r="AH325" s="59" cm="1">
        <f t="array" ref="AH325">VLOOKUP(B325,'Player Data'!$A1:$AE673,22,FALSE)</f>
        <v>0.49254868826486298</v>
      </c>
      <c r="AI325" s="55"/>
      <c r="AJ325" s="57"/>
      <c r="AK325" s="57"/>
      <c r="AL325" s="57"/>
      <c r="AM325" s="57"/>
      <c r="AN325" s="57"/>
      <c r="AO325" s="57"/>
      <c r="AP325" s="57"/>
      <c r="AQ325" s="60"/>
      <c r="AR325" s="61"/>
      <c r="AS325" s="55"/>
    </row>
    <row r="326" spans="1:45" ht="21.25" customHeight="1" x14ac:dyDescent="0.15">
      <c r="A326" s="62">
        <f t="shared" si="5"/>
        <v>325</v>
      </c>
      <c r="B326" s="10" t="s">
        <v>454</v>
      </c>
      <c r="C326" s="47" t="s">
        <v>128</v>
      </c>
      <c r="D326" s="48" t="str" cm="1">
        <f t="array" ref="D326">VLOOKUP(B326,'Player Data'!A1:D673,4,FALSE)</f>
        <v>LW</v>
      </c>
      <c r="E326" s="75" cm="1">
        <f t="array" ref="E326">VLOOKUP(B326,LW!A1:C210,3,FALSE)</f>
        <v>76</v>
      </c>
      <c r="F326" s="56" t="str" cm="1">
        <f t="array" ref="F326">VLOOKUP(B326,'Player Data'!A1:B673,2,FALSE)</f>
        <v>S.J</v>
      </c>
      <c r="G326" s="66" cm="1">
        <f t="array" ref="G326">VLOOKUP(B326,'Player Data'!A1:D673,3,FALSE)</f>
        <v>31</v>
      </c>
      <c r="H326" s="51" cm="1">
        <f t="array" ref="H326">IFERROR(VLOOKUP(B326,ADP!A1:F671,6,FALSE)/1000000,VLOOKUP(B326,ADP!A1:F671,6,FALSE))</f>
        <v>6.75</v>
      </c>
      <c r="I326" s="52">
        <f>IF(Settings!$E$15="POINTS",((R326*Q326)*Settings!$B$12)+(S326*Settings!$B$2)+(T326*Settings!$B$3)+(U326*Settings!$B$4)+(V326*Settings!$B$5)+(X326*Settings!$B$9)+(AA326*Settings!$B$6)+(W326*Settings!$B$8)+(AB326*Settings!$B$7)+(AC326*Settings!$B$14)+(AD326*Settings!$B$15)+(AE326*Settings!$B$16)+(AF326*Settings!$B$17)+(AG326*Settings!$B$18)+(Y326*Settings!$B$10)+(Z326*Settings!$B$11),VLOOKUP(B326,'Standard Deviations'!A$1:C$672,3,FALSE))</f>
        <v>246.21496204163947</v>
      </c>
      <c r="J326" s="53" cm="1">
        <f t="array" ref="J326">IF(D326="G",I326/AJ326,I326/Q326)</f>
        <v>3.1287243413385792</v>
      </c>
      <c r="K326" s="52" cm="1">
        <f t="array" ref="K326">IF(Settings!$E$18="C/LW/RW",VLOOKUP(B326,LW!A1:F210,6,FALSE),VLOOKUP(B326,F!A1:F407,6,FALSE))</f>
        <v>-153.09803127208062</v>
      </c>
      <c r="L326" s="54" cm="1">
        <f t="array" ref="L326">IFERROR(K326/H326,"N/A")</f>
        <v>-22.681189818086018</v>
      </c>
      <c r="M326" s="55">
        <v>132.19999999999999</v>
      </c>
      <c r="N326" s="55" cm="1">
        <f t="array" ref="N326">IFERROR(M326-A326,"N/A")</f>
        <v>-192.8</v>
      </c>
      <c r="O326" s="55"/>
      <c r="P326" s="56" t="str" cm="1">
        <f t="array" ref="P326">_xlfn.XLOOKUP($B326,ADP!A2:A671,ADP!G2:G671)</f>
        <v xml:space="preserve"> </v>
      </c>
      <c r="Q326" s="57" cm="1">
        <f t="array" ref="Q326">IF(Settings!$E$12="YES",VLOOKUP(B326,'Player Data'!A1:E673,5,FALSE),84)</f>
        <v>78.694999999999993</v>
      </c>
      <c r="R326" s="84" cm="1">
        <f t="array" ref="R326">VLOOKUP(B326,'Player Data'!$A1:$AE673,6,FALSE)</f>
        <v>16.168115199427</v>
      </c>
      <c r="S326" s="57" cm="1">
        <f t="array" ref="S326">VLOOKUP(B326,'Player Data'!$A1:$AE673,7,FALSE)*$Q326*IFERROR((VLOOKUP(P326,Settings!$E$28:$F$33,2,FALSE)+1),1)</f>
        <v>21.401310058369013</v>
      </c>
      <c r="T326" s="57" cm="1">
        <f t="array" ref="T326">VLOOKUP(B326,'Player Data'!$A1:$AE673,8,FALSE)*$Q326*IFERROR((VLOOKUP(P326,Settings!$E$28:$F$33,2,FALSE)+1),1)</f>
        <v>28.873047450194417</v>
      </c>
      <c r="U326" s="57" cm="1">
        <f t="array" ref="U326">SUM(S326:T326)</f>
        <v>50.274357508563426</v>
      </c>
      <c r="V326" s="57" cm="1">
        <f t="array" ref="V326">VLOOKUP(B326,'Player Data'!$A1:$AE673,10,FALSE)*$Q326*IFERROR(((VLOOKUP(P326,Settings!$E$28:$F$33,2,FALSE)/2)+1),1)</f>
        <v>140.57324815121251</v>
      </c>
      <c r="W326" s="57" cm="1">
        <f t="array" ref="W326">VLOOKUP(B326,'Player Data'!$A1:$AE673,11,FALSE)*$Q326*IFERROR((VLOOKUP(P326,Settings!$E$28:$F$33,2,FALSE)+1),1)</f>
        <v>4.2354664671987861</v>
      </c>
      <c r="X326" s="57" cm="1">
        <f t="array" ref="X326">VLOOKUP(B326,'Player Data'!$A1:$AE673,12,FALSE)*$Q326*IFERROR((VLOOKUP(P326,Settings!$E$28:$F$33,2,FALSE)+1),1)</f>
        <v>9.2863284274088205</v>
      </c>
      <c r="Y326" s="57" cm="1">
        <f t="array" ref="Y326">VLOOKUP(B326,'Player Data'!$A1:$AE673,13,FALSE)*$Q326</f>
        <v>2.3971550130908358E-2</v>
      </c>
      <c r="Z326" s="57" cm="1">
        <f t="array" ref="Z326">VLOOKUP(B326,'Player Data'!$A1:$AE673,14,FALSE)*$Q326</f>
        <v>3.9668619586017806E-2</v>
      </c>
      <c r="AA326" s="57" cm="1">
        <f t="array" ref="AA326">VLOOKUP(B326,'Player Data'!$A1:$AE673,15,FALSE)*$Q326</f>
        <v>31.558536786696141</v>
      </c>
      <c r="AB326" s="57" cm="1">
        <f t="array" ref="AB326">VLOOKUP(B326,'Player Data'!$A1:$AE673,16,FALSE)*$Q326</f>
        <v>94.477038564038011</v>
      </c>
      <c r="AC326" s="57" cm="1">
        <f t="array" ref="AC326">VLOOKUP(B326,'Player Data'!$A1:$AE673,17,FALSE)*$Q326*IFERROR((VLOOKUP(P326,Settings!$E$28:$F$33,2,FALSE)+1),1)</f>
        <v>0.33526945815135267</v>
      </c>
      <c r="AD326" s="57" cm="1">
        <f t="array" ref="AD326">VLOOKUP(B326,'Player Data'!$A1:$AE673,18,FALSE)*$Q326</f>
        <v>50.810299535778391</v>
      </c>
      <c r="AE326" s="57" cm="1">
        <f t="array" ref="AE326">VLOOKUP(B326,'Player Data'!$A1:$AE673,19,FALSE)*$Q326*IFERROR((VLOOKUP(P326,Settings!$E$28:$F$33,2,FALSE)+1),1)</f>
        <v>2.9925353083094612</v>
      </c>
      <c r="AF326" s="57" cm="1">
        <f t="array" ref="AF326">VLOOKUP(B326,'Player Data'!$A1:$AE673,20,FALSE)*$Q326</f>
        <v>15.948021869395962</v>
      </c>
      <c r="AG326" s="57" cm="1">
        <f t="array" ref="AG326">VLOOKUP(B326,'Player Data'!$A1:$AE673,21,FALSE)*$Q326</f>
        <v>22.341681955421684</v>
      </c>
      <c r="AH326" s="59" cm="1">
        <f t="array" ref="AH326">VLOOKUP(B326,'Player Data'!$A1:$AE673,22,FALSE)</f>
        <v>0.416509407917101</v>
      </c>
      <c r="AI326" s="55"/>
      <c r="AJ326" s="57"/>
      <c r="AK326" s="57"/>
      <c r="AL326" s="57"/>
      <c r="AM326" s="57"/>
      <c r="AN326" s="57"/>
      <c r="AO326" s="57"/>
      <c r="AP326" s="57"/>
      <c r="AQ326" s="60"/>
      <c r="AR326" s="61"/>
      <c r="AS326" s="55"/>
    </row>
    <row r="327" spans="1:45" ht="21.25" customHeight="1" x14ac:dyDescent="0.15">
      <c r="A327" s="62">
        <f t="shared" si="5"/>
        <v>326</v>
      </c>
      <c r="B327" s="10" t="s">
        <v>455</v>
      </c>
      <c r="C327" s="47" t="s">
        <v>128</v>
      </c>
      <c r="D327" s="48" t="str" cm="1">
        <f t="array" ref="D327">VLOOKUP(B327,'Player Data'!A1:D673,4,FALSE)</f>
        <v>C,RW</v>
      </c>
      <c r="E327" s="74" cm="1">
        <f t="array" ref="E327">VLOOKUP(B327,RW!A1:F210,3,FALSE)</f>
        <v>88</v>
      </c>
      <c r="F327" s="72" t="str" cm="1">
        <f t="array" ref="F327">VLOOKUP(B327,'Player Data'!A1:B673,2,FALSE)</f>
        <v>NYI</v>
      </c>
      <c r="G327" s="71" cm="1">
        <f t="array" ref="G327">VLOOKUP(B327,'Player Data'!A1:D673,3,FALSE)</f>
        <v>21</v>
      </c>
      <c r="H327" s="51" cm="1">
        <f t="array" ref="H327">IFERROR(VLOOKUP(B327,ADP!A1:F671,6,FALSE)/1000000,VLOOKUP(B327,ADP!A1:F671,6,FALSE))</f>
        <v>0.94083300000000003</v>
      </c>
      <c r="I327" s="52">
        <f>IF(Settings!$E$15="POINTS",((R327*Q327)*Settings!$B$12)+(S327*Settings!$B$2)+(T327*Settings!$B$3)+(U327*Settings!$B$4)+(V327*Settings!$B$5)+(X327*Settings!$B$9)+(AA327*Settings!$B$6)+(W327*Settings!$B$8)+(AB327*Settings!$B$7)+(AC327*Settings!$B$14)+(AD327*Settings!$B$15)+(AE327*Settings!$B$16)+(AF327*Settings!$B$17)+(AG327*Settings!$B$18)+(Y327*Settings!$B$10)+(Z327*Settings!$B$11),VLOOKUP(B327,'Standard Deviations'!A$1:C$672,3,FALSE))</f>
        <v>241.6266570721115</v>
      </c>
      <c r="J327" s="53" cm="1">
        <f t="array" ref="J327">IF(D327="G",I327/AJ327,I327/Q327)</f>
        <v>3.1390276982411369</v>
      </c>
      <c r="K327" s="52" cm="1">
        <f t="array" ref="K327">IF(Settings!$E$18="C/LW/RW",VLOOKUP(B327,RW!A1:F210,6,FALSE),VLOOKUP(B327,F!A1:F407,6,FALSE))</f>
        <v>-153.31680762144597</v>
      </c>
      <c r="L327" s="54" cm="1">
        <f t="array" ref="L327">IFERROR(K327/H327,"N/A")</f>
        <v>-162.95857779376996</v>
      </c>
      <c r="M327" s="85" t="s">
        <v>832</v>
      </c>
      <c r="N327" s="85" t="str" cm="1">
        <f t="array" ref="N327">IFERROR(M327-A327,"N/A")</f>
        <v>N/A</v>
      </c>
      <c r="O327" s="55"/>
      <c r="P327" s="56" t="str" cm="1">
        <f t="array" ref="P327">_xlfn.XLOOKUP($B327,ADP!A2:A671,ADP!G2:G671)</f>
        <v xml:space="preserve"> </v>
      </c>
      <c r="Q327" s="57" cm="1">
        <f t="array" ref="Q327">IF(Settings!$E$12="YES",VLOOKUP(B327,'Player Data'!A1:E673,5,FALSE),84)</f>
        <v>76.974999999999994</v>
      </c>
      <c r="R327" s="82" cm="1">
        <f t="array" ref="R327">VLOOKUP(B327,'Player Data'!$A1:$AE673,6,FALSE)</f>
        <v>16.164211532783799</v>
      </c>
      <c r="S327" s="57" cm="1">
        <f t="array" ref="S327">VLOOKUP(B327,'Player Data'!$A1:$AE673,7,FALSE)*$Q327*IFERROR((VLOOKUP(P327,Settings!$E$28:$F$33,2,FALSE)+1),1)</f>
        <v>19.961502074298956</v>
      </c>
      <c r="T327" s="57" cm="1">
        <f t="array" ref="T327">VLOOKUP(B327,'Player Data'!$A1:$AE673,8,FALSE)*$Q327*IFERROR((VLOOKUP(P327,Settings!$E$28:$F$33,2,FALSE)+1),1)</f>
        <v>26.418509365873465</v>
      </c>
      <c r="U327" s="57" cm="1">
        <f t="array" ref="U327">SUM(S327:T327)</f>
        <v>46.380011440172424</v>
      </c>
      <c r="V327" s="57" cm="1">
        <f t="array" ref="V327">VLOOKUP(B327,'Player Data'!$A1:$AE673,10,FALSE)*$Q327*IFERROR(((VLOOKUP(P327,Settings!$E$28:$F$33,2,FALSE)/2)+1),1)</f>
        <v>124.27751088830254</v>
      </c>
      <c r="W327" s="57" cm="1">
        <f t="array" ref="W327">VLOOKUP(B327,'Player Data'!$A1:$AE673,11,FALSE)*$Q327*IFERROR((VLOOKUP(P327,Settings!$E$28:$F$33,2,FALSE)+1),1)</f>
        <v>7.9103918565797686</v>
      </c>
      <c r="X327" s="79" cm="1">
        <f t="array" ref="X327">VLOOKUP(B327,'Player Data'!$A1:$AE673,12,FALSE)*$Q327*IFERROR((VLOOKUP(P327,Settings!$E$28:$F$33,2,FALSE)+1),1)</f>
        <v>18.55978831352477</v>
      </c>
      <c r="Y327" s="57" cm="1">
        <f t="array" ref="Y327">VLOOKUP(B327,'Player Data'!$A1:$AE673,13,FALSE)*$Q327</f>
        <v>0</v>
      </c>
      <c r="Z327" s="57" cm="1">
        <f t="array" ref="Z327">VLOOKUP(B327,'Player Data'!$A1:$AE673,14,FALSE)*$Q327</f>
        <v>0</v>
      </c>
      <c r="AA327" s="57" cm="1">
        <f t="array" ref="AA327">VLOOKUP(B327,'Player Data'!$A1:$AE673,15,FALSE)*$Q327</f>
        <v>43.576157987836396</v>
      </c>
      <c r="AB327" s="57" cm="1">
        <f t="array" ref="AB327">VLOOKUP(B327,'Player Data'!$A1:$AE673,16,FALSE)*$Q327</f>
        <v>37.703455140098654</v>
      </c>
      <c r="AC327" s="57" cm="1">
        <f t="array" ref="AC327">VLOOKUP(B327,'Player Data'!$A1:$AE673,17,FALSE)*$Q327*IFERROR((VLOOKUP(P327,Settings!$E$28:$F$33,2,FALSE)+1),1)</f>
        <v>-5.7006930355501408</v>
      </c>
      <c r="AD327" s="57" cm="1">
        <f t="array" ref="AD327">VLOOKUP(B327,'Player Data'!$A1:$AE673,18,FALSE)*$Q327</f>
        <v>30.717954075877767</v>
      </c>
      <c r="AE327" s="57" cm="1">
        <f t="array" ref="AE327">VLOOKUP(B327,'Player Data'!$A1:$AE673,19,FALSE)*$Q327*IFERROR((VLOOKUP(P327,Settings!$E$28:$F$33,2,FALSE)+1),1)</f>
        <v>2.9152071748917949</v>
      </c>
      <c r="AF327" s="57" cm="1">
        <f t="array" ref="AF327">VLOOKUP(B327,'Player Data'!$A1:$AE673,20,FALSE)*$Q327</f>
        <v>161.50981267593465</v>
      </c>
      <c r="AG327" s="57" cm="1">
        <f t="array" ref="AG327">VLOOKUP(B327,'Player Data'!$A1:$AE673,21,FALSE)*$Q327</f>
        <v>272.07808016231689</v>
      </c>
      <c r="AH327" s="59" cm="1">
        <f t="array" ref="AH327">VLOOKUP(B327,'Player Data'!$A1:$AE673,22,FALSE)</f>
        <v>0.37249613133498</v>
      </c>
      <c r="AI327" s="55"/>
      <c r="AJ327" s="57"/>
      <c r="AK327" s="57"/>
      <c r="AL327" s="57"/>
      <c r="AM327" s="57"/>
      <c r="AN327" s="57"/>
      <c r="AO327" s="57"/>
      <c r="AP327" s="57"/>
      <c r="AQ327" s="60"/>
      <c r="AR327" s="61"/>
      <c r="AS327" s="55"/>
    </row>
    <row r="328" spans="1:45" ht="21.25" customHeight="1" x14ac:dyDescent="0.15">
      <c r="A328" s="62">
        <f t="shared" si="5"/>
        <v>327</v>
      </c>
      <c r="B328" s="10" t="s">
        <v>456</v>
      </c>
      <c r="C328" s="47" t="s">
        <v>147</v>
      </c>
      <c r="D328" s="48" t="str" cm="1">
        <f t="array" ref="D328">VLOOKUP(B328,'Player Data'!A1:D673,4,FALSE)</f>
        <v>D</v>
      </c>
      <c r="E328" s="68" cm="1">
        <f t="array" ref="E328">VLOOKUP(B328,D!A1:C204,3,FALSE)</f>
        <v>132</v>
      </c>
      <c r="F328" s="63" t="str" cm="1">
        <f t="array" ref="F328">VLOOKUP(B328,'Player Data'!A1:B673,2,FALSE)</f>
        <v>EDM</v>
      </c>
      <c r="G328" s="66" cm="1">
        <f t="array" ref="G328">VLOOKUP(B328,'Player Data'!A1:D673,3,FALSE)</f>
        <v>33</v>
      </c>
      <c r="H328" s="51" cm="1">
        <f t="array" ref="H328">IFERROR(VLOOKUP(B328,ADP!A1:F671,6,FALSE)/1000000,VLOOKUP(B328,ADP!A1:F671,6,FALSE))</f>
        <v>4.0999999999999996</v>
      </c>
      <c r="I328" s="52">
        <f>IF(Settings!$E$15="POINTS",((R328*Q328)*Settings!$B$12)+(S328*Settings!$B$2)+(T328*Settings!$B$3)+(U328*Settings!$B$4)+(V328*Settings!$B$5)+(X328*Settings!$B$9)+(AA328*Settings!$B$6)+(W328*Settings!$B$8)+(AB328*Settings!$B$7)+(AC328*Settings!$B$14)+(AD328*Settings!$B$15)+(AE328*Settings!$B$16)+(AF328*Settings!$B$17)+(AG328*Settings!$B$18)+(U328*Settings!$B$13)+(Y328*Settings!$B$10)+(Z328*Settings!$B$11),VLOOKUP(B328,'Standard Deviations'!A$1:C$672,3,FALSE))</f>
        <v>153.20643313502731</v>
      </c>
      <c r="J328" s="53" cm="1">
        <f t="array" ref="J328">IF(D328="G",I328/AJ328,I328/Q328)</f>
        <v>1.9604150113247256</v>
      </c>
      <c r="K328" s="52" cm="1">
        <f t="array" ref="K328">VLOOKUP(B328,D!A1:F204,6,FALSE)</f>
        <v>-153.44743420956675</v>
      </c>
      <c r="L328" s="54" cm="1">
        <f t="array" ref="L328">IFERROR(K328/H328,"N/A")</f>
        <v>-37.426203465747989</v>
      </c>
      <c r="M328" s="85" t="s">
        <v>832</v>
      </c>
      <c r="N328" s="85" t="str" cm="1">
        <f t="array" ref="N328">IFERROR(M328-A328,"N/A")</f>
        <v>N/A</v>
      </c>
      <c r="O328" s="55"/>
      <c r="P328" s="56" t="str" cm="1">
        <f t="array" ref="P328">_xlfn.XLOOKUP($B328,ADP!A2:A671,ADP!G2:G671)</f>
        <v xml:space="preserve"> </v>
      </c>
      <c r="Q328" s="57" cm="1">
        <f t="array" ref="Q328">IF(Settings!$E$12="YES",VLOOKUP(B328,'Player Data'!A1:E673,5,FALSE),84)</f>
        <v>78.150000000000006</v>
      </c>
      <c r="R328" s="82" cm="1">
        <f t="array" ref="R328">VLOOKUP(B328,'Player Data'!$A1:$AE673,6,FALSE)</f>
        <v>19.159117642163</v>
      </c>
      <c r="S328" s="57" cm="1">
        <f t="array" ref="S328">VLOOKUP(B328,'Player Data'!$A1:$AE673,7,FALSE)*$Q328*IFERROR((VLOOKUP(P328,Settings!$E$28:$F$33,2,FALSE)+1),1)</f>
        <v>1.8494518846934063</v>
      </c>
      <c r="T328" s="57" cm="1">
        <f t="array" ref="T328">VLOOKUP(B328,'Player Data'!$A1:$AE673,8,FALSE)*$Q328*IFERROR((VLOOKUP(P328,Settings!$E$28:$F$33,2,FALSE)+1),1)</f>
        <v>13.295120249379613</v>
      </c>
      <c r="U328" s="57" cm="1">
        <f t="array" ref="U328">SUM(S328:T328)</f>
        <v>15.144572134073019</v>
      </c>
      <c r="V328" s="57" cm="1">
        <f t="array" ref="V328">VLOOKUP(B328,'Player Data'!$A1:$AE673,10,FALSE)*$Q328*IFERROR(((VLOOKUP(P328,Settings!$E$28:$F$33,2,FALSE)/2)+1),1)</f>
        <v>69.228345847001023</v>
      </c>
      <c r="W328" s="57" cm="1">
        <f t="array" ref="W328">VLOOKUP(B328,'Player Data'!$A1:$AE673,11,FALSE)*$Q328*IFERROR((VLOOKUP(P328,Settings!$E$28:$F$33,2,FALSE)+1),1)</f>
        <v>2.6726367674329977E-3</v>
      </c>
      <c r="X328" s="57" cm="1">
        <f t="array" ref="X328">VLOOKUP(B328,'Player Data'!$A1:$AE673,12,FALSE)*$Q328*IFERROR((VLOOKUP(P328,Settings!$E$28:$F$33,2,FALSE)+1),1)</f>
        <v>3.5048102773703856E-2</v>
      </c>
      <c r="Y328" s="57" cm="1">
        <f t="array" ref="Y328">VLOOKUP(B328,'Player Data'!$A1:$AE673,13,FALSE)*$Q328</f>
        <v>9.4051377092043247E-3</v>
      </c>
      <c r="Z328" s="57" cm="1">
        <f t="array" ref="Z328">VLOOKUP(B328,'Player Data'!$A1:$AE673,14,FALSE)*$Q328</f>
        <v>0.63108149327847929</v>
      </c>
      <c r="AA328" s="57" cm="1">
        <f t="array" ref="AA328">VLOOKUP(B328,'Player Data'!$A1:$AE673,15,FALSE)*$Q328</f>
        <v>144.98482842651111</v>
      </c>
      <c r="AB328" s="57" cm="1">
        <f t="array" ref="AB328">VLOOKUP(B328,'Player Data'!$A1:$AE673,16,FALSE)*$Q328</f>
        <v>100.91520566631596</v>
      </c>
      <c r="AC328" s="57" cm="1">
        <f t="array" ref="AC328">VLOOKUP(B328,'Player Data'!$A1:$AE673,17,FALSE)*$Q328*IFERROR((VLOOKUP(P328,Settings!$E$28:$F$33,2,FALSE)+1),1)</f>
        <v>5.1532309712901903</v>
      </c>
      <c r="AD328" s="57" cm="1">
        <f t="array" ref="AD328">VLOOKUP(B328,'Player Data'!$A1:$AE673,18,FALSE)*$Q328</f>
        <v>60.954188237307363</v>
      </c>
      <c r="AE328" s="57" cm="1">
        <f t="array" ref="AE328">VLOOKUP(B328,'Player Data'!$A1:$AE673,19,FALSE)*$Q328*IFERROR((VLOOKUP(P328,Settings!$E$28:$F$33,2,FALSE)+1),1)</f>
        <v>0.32465565847963168</v>
      </c>
      <c r="AF328" s="57" cm="1">
        <f t="array" ref="AF328">VLOOKUP(B328,'Player Data'!$A1:$AE673,20,FALSE)*$Q328</f>
        <v>0</v>
      </c>
      <c r="AG328" s="57" cm="1">
        <f t="array" ref="AG328">VLOOKUP(B328,'Player Data'!$A1:$AE673,21,FALSE)*$Q328</f>
        <v>0</v>
      </c>
      <c r="AH328" s="59" cm="1">
        <f t="array" ref="AH328">VLOOKUP(B328,'Player Data'!$A1:$AE673,22,FALSE)</f>
        <v>0</v>
      </c>
      <c r="AI328" s="55"/>
      <c r="AJ328" s="57"/>
      <c r="AK328" s="57"/>
      <c r="AL328" s="57"/>
      <c r="AM328" s="57"/>
      <c r="AN328" s="57"/>
      <c r="AO328" s="57"/>
      <c r="AP328" s="57"/>
      <c r="AQ328" s="60"/>
      <c r="AR328" s="61"/>
      <c r="AS328" s="55"/>
    </row>
    <row r="329" spans="1:45" ht="21.25" customHeight="1" x14ac:dyDescent="0.15">
      <c r="A329" s="62">
        <f t="shared" si="5"/>
        <v>328</v>
      </c>
      <c r="B329" s="10" t="s">
        <v>457</v>
      </c>
      <c r="C329" s="47" t="s">
        <v>147</v>
      </c>
      <c r="D329" s="48" t="str" cm="1">
        <f t="array" ref="D329">VLOOKUP(B329,'Player Data'!A1:D673,4,FALSE)</f>
        <v>D</v>
      </c>
      <c r="E329" s="68" cm="1">
        <f t="array" ref="E329">VLOOKUP(B329,D!A1:C204,3,FALSE)</f>
        <v>133</v>
      </c>
      <c r="F329" s="56" t="str" cm="1">
        <f t="array" ref="F329">VLOOKUP(B329,'Player Data'!A1:B673,2,FALSE)</f>
        <v>PHI</v>
      </c>
      <c r="G329" s="66" cm="1">
        <f t="array" ref="G329">VLOOKUP(B329,'Player Data'!A1:D673,3,FALSE)</f>
        <v>31</v>
      </c>
      <c r="H329" s="67" cm="1">
        <f t="array" ref="H329">IFERROR(VLOOKUP(B329,ADP!A1:F671,6,FALSE)/1000000,VLOOKUP(B329,ADP!A1:F671,6,FALSE))</f>
        <v>5.0999999999999996</v>
      </c>
      <c r="I329" s="52">
        <f>IF(Settings!$E$15="POINTS",((R329*Q329)*Settings!$B$12)+(S329*Settings!$B$2)+(T329*Settings!$B$3)+(U329*Settings!$B$4)+(V329*Settings!$B$5)+(X329*Settings!$B$9)+(AA329*Settings!$B$6)+(W329*Settings!$B$8)+(AB329*Settings!$B$7)+(AC329*Settings!$B$14)+(AD329*Settings!$B$15)+(AE329*Settings!$B$16)+(AF329*Settings!$B$17)+(AG329*Settings!$B$18)+(U329*Settings!$B$13)+(Y329*Settings!$B$10)+(Z329*Settings!$B$11),VLOOKUP(B329,'Standard Deviations'!A$1:C$672,3,FALSE))</f>
        <v>153.0583300216752</v>
      </c>
      <c r="J329" s="53" cm="1">
        <f t="array" ref="J329">IF(D329="G",I329/AJ329,I329/Q329)</f>
        <v>2.1999831833220767</v>
      </c>
      <c r="K329" s="52" cm="1">
        <f t="array" ref="K329">VLOOKUP(B329,D!A1:F204,6,FALSE)</f>
        <v>-153.59553732291886</v>
      </c>
      <c r="L329" s="54" cm="1">
        <f t="array" ref="L329">IFERROR(K329/H329,"N/A")</f>
        <v>-30.116772024101738</v>
      </c>
      <c r="M329" s="85" t="s">
        <v>832</v>
      </c>
      <c r="N329" s="85" t="str" cm="1">
        <f t="array" ref="N329">IFERROR(M329-A329,"N/A")</f>
        <v>N/A</v>
      </c>
      <c r="O329" s="55"/>
      <c r="P329" s="56" t="str" cm="1">
        <f t="array" ref="P329">_xlfn.XLOOKUP($B329,ADP!A2:A671,ADP!G2:G671)</f>
        <v xml:space="preserve"> </v>
      </c>
      <c r="Q329" s="57" cm="1">
        <f t="array" ref="Q329">IF(Settings!$E$12="YES",VLOOKUP(B329,'Player Data'!A1:E673,5,FALSE),84)</f>
        <v>69.572500000000005</v>
      </c>
      <c r="R329" s="55" cm="1">
        <f t="array" ref="R329">VLOOKUP(B329,'Player Data'!$A1:$AE673,6,FALSE)</f>
        <v>21.007060188296901</v>
      </c>
      <c r="S329" s="57" cm="1">
        <f t="array" ref="S329">VLOOKUP(B329,'Player Data'!$A1:$AE673,7,FALSE)*$Q329*IFERROR((VLOOKUP(P329,Settings!$E$28:$F$33,2,FALSE)+1),1)</f>
        <v>2.1966854386877381</v>
      </c>
      <c r="T329" s="57" cm="1">
        <f t="array" ref="T329">VLOOKUP(B329,'Player Data'!$A1:$AE673,8,FALSE)*$Q329*IFERROR((VLOOKUP(P329,Settings!$E$28:$F$33,2,FALSE)+1),1)</f>
        <v>15.917139529951347</v>
      </c>
      <c r="U329" s="57" cm="1">
        <f t="array" ref="U329">SUM(S329:T329)</f>
        <v>18.113824968639086</v>
      </c>
      <c r="V329" s="57" cm="1">
        <f t="array" ref="V329">VLOOKUP(B329,'Player Data'!$A1:$AE673,10,FALSE)*$Q329*IFERROR(((VLOOKUP(P329,Settings!$E$28:$F$33,2,FALSE)/2)+1),1)</f>
        <v>88.260077426679558</v>
      </c>
      <c r="W329" s="57" cm="1">
        <f t="array" ref="W329">VLOOKUP(B329,'Player Data'!$A1:$AE673,11,FALSE)*$Q329*IFERROR((VLOOKUP(P329,Settings!$E$28:$F$33,2,FALSE)+1),1)</f>
        <v>4.520080659718019E-2</v>
      </c>
      <c r="X329" s="57" cm="1">
        <f t="array" ref="X329">VLOOKUP(B329,'Player Data'!$A1:$AE673,12,FALSE)*$Q329*IFERROR((VLOOKUP(P329,Settings!$E$28:$F$33,2,FALSE)+1),1)</f>
        <v>1.2596206948615338</v>
      </c>
      <c r="Y329" s="57" cm="1">
        <f t="array" ref="Y329">VLOOKUP(B329,'Player Data'!$A1:$AE673,13,FALSE)*$Q329</f>
        <v>1.3094826878676568E-2</v>
      </c>
      <c r="Z329" s="57" cm="1">
        <f t="array" ref="Z329">VLOOKUP(B329,'Player Data'!$A1:$AE673,14,FALSE)*$Q329</f>
        <v>0.67168507235453601</v>
      </c>
      <c r="AA329" s="57" cm="1">
        <f t="array" ref="AA329">VLOOKUP(B329,'Player Data'!$A1:$AE673,15,FALSE)*$Q329</f>
        <v>105.31102127040421</v>
      </c>
      <c r="AB329" s="57" cm="1">
        <f t="array" ref="AB329">VLOOKUP(B329,'Player Data'!$A1:$AE673,16,FALSE)*$Q329</f>
        <v>85.278827276037674</v>
      </c>
      <c r="AC329" s="57" cm="1">
        <f t="array" ref="AC329">VLOOKUP(B329,'Player Data'!$A1:$AE673,17,FALSE)*$Q329*IFERROR((VLOOKUP(P329,Settings!$E$28:$F$33,2,FALSE)+1),1)</f>
        <v>0.92231567709735174</v>
      </c>
      <c r="AD329" s="57" cm="1">
        <f t="array" ref="AD329">VLOOKUP(B329,'Player Data'!$A1:$AE673,18,FALSE)*$Q329</f>
        <v>24.577828129426113</v>
      </c>
      <c r="AE329" s="57" cm="1">
        <f t="array" ref="AE329">VLOOKUP(B329,'Player Data'!$A1:$AE673,19,FALSE)*$Q329*IFERROR((VLOOKUP(P329,Settings!$E$28:$F$33,2,FALSE)+1),1)</f>
        <v>0.3471530936090369</v>
      </c>
      <c r="AF329" s="57" cm="1">
        <f t="array" ref="AF329">VLOOKUP(B329,'Player Data'!$A1:$AE673,20,FALSE)*$Q329</f>
        <v>0</v>
      </c>
      <c r="AG329" s="57" cm="1">
        <f t="array" ref="AG329">VLOOKUP(B329,'Player Data'!$A1:$AE673,21,FALSE)*$Q329</f>
        <v>0</v>
      </c>
      <c r="AH329" s="59" cm="1">
        <f t="array" ref="AH329">VLOOKUP(B329,'Player Data'!$A1:$AE673,22,FALSE)</f>
        <v>0</v>
      </c>
      <c r="AI329" s="55"/>
      <c r="AJ329" s="57"/>
      <c r="AK329" s="57"/>
      <c r="AL329" s="57"/>
      <c r="AM329" s="57"/>
      <c r="AN329" s="57"/>
      <c r="AO329" s="57"/>
      <c r="AP329" s="57"/>
      <c r="AQ329" s="60"/>
      <c r="AR329" s="61"/>
      <c r="AS329" s="55"/>
    </row>
    <row r="330" spans="1:45" ht="21.25" customHeight="1" x14ac:dyDescent="0.15">
      <c r="A330" s="62">
        <f t="shared" si="5"/>
        <v>329</v>
      </c>
      <c r="B330" s="10" t="s">
        <v>458</v>
      </c>
      <c r="C330" s="47" t="s">
        <v>128</v>
      </c>
      <c r="D330" s="48" t="str" cm="1">
        <f t="array" ref="D330">VLOOKUP(B330,'Player Data'!A1:D673,4,FALSE)</f>
        <v>LW</v>
      </c>
      <c r="E330" s="75" cm="1">
        <f t="array" ref="E330">VLOOKUP(B330,LW!A1:C210,3,FALSE)</f>
        <v>78</v>
      </c>
      <c r="F330" s="63" t="str" cm="1">
        <f t="array" ref="F330">VLOOKUP(B330,'Player Data'!A1:B673,2,FALSE)</f>
        <v>VGK</v>
      </c>
      <c r="G330" s="11" cm="1">
        <f t="array" ref="G330">VLOOKUP(B330,'Player Data'!A1:D673,3,FALSE)</f>
        <v>30</v>
      </c>
      <c r="H330" s="51" cm="1">
        <f t="array" ref="H330">IFERROR(VLOOKUP(B330,ADP!A1:F671,6,FALSE)/1000000,VLOOKUP(B330,ADP!A1:F671,6,FALSE))</f>
        <v>5</v>
      </c>
      <c r="I330" s="52">
        <f>IF(Settings!$E$15="POINTS",((R330*Q330)*Settings!$B$12)+(S330*Settings!$B$2)+(T330*Settings!$B$3)+(U330*Settings!$B$4)+(V330*Settings!$B$5)+(X330*Settings!$B$9)+(AA330*Settings!$B$6)+(W330*Settings!$B$8)+(AB330*Settings!$B$7)+(AC330*Settings!$B$14)+(AD330*Settings!$B$15)+(AE330*Settings!$B$16)+(AF330*Settings!$B$17)+(AG330*Settings!$B$18)+(Y330*Settings!$B$10)+(Z330*Settings!$B$11),VLOOKUP(B330,'Standard Deviations'!A$1:C$672,3,FALSE))</f>
        <v>244.14782927288812</v>
      </c>
      <c r="J330" s="53" cm="1">
        <f t="array" ref="J330">IF(D330="G",I330/AJ330,I330/Q330)</f>
        <v>2.9636784325429488</v>
      </c>
      <c r="K330" s="52" cm="1">
        <f t="array" ref="K330">IF(Settings!$E$18="C/LW/RW",VLOOKUP(B330,LW!A1:F210,6,FALSE),VLOOKUP(B330,F!A1:F407,6,FALSE))</f>
        <v>-155.16516404083197</v>
      </c>
      <c r="L330" s="54" cm="1">
        <f t="array" ref="L330">IFERROR(K330/H330,"N/A")</f>
        <v>-31.033032808166393</v>
      </c>
      <c r="M330" s="55">
        <v>146.6</v>
      </c>
      <c r="N330" s="55" cm="1">
        <f t="array" ref="N330">IFERROR(M330-A330,"N/A")</f>
        <v>-182.4</v>
      </c>
      <c r="O330" s="55"/>
      <c r="P330" s="56" t="str" cm="1">
        <f t="array" ref="P330">_xlfn.XLOOKUP($B330,ADP!A2:A671,ADP!G2:G671)</f>
        <v xml:space="preserve"> </v>
      </c>
      <c r="Q330" s="57" cm="1">
        <f t="array" ref="Q330">IF(Settings!$E$12="YES",VLOOKUP(B330,'Player Data'!A1:E673,5,FALSE),84)</f>
        <v>82.38</v>
      </c>
      <c r="R330" s="55" cm="1">
        <f t="array" ref="R330">VLOOKUP(B330,'Player Data'!$A1:$AE673,6,FALSE)</f>
        <v>15.6925474919429</v>
      </c>
      <c r="S330" s="57" cm="1">
        <f t="array" ref="S330">VLOOKUP(B330,'Player Data'!$A1:$AE673,7,FALSE)*$Q330*IFERROR((VLOOKUP(P330,Settings!$E$28:$F$33,2,FALSE)+1),1)</f>
        <v>21.632139674830608</v>
      </c>
      <c r="T330" s="57" cm="1">
        <f t="array" ref="T330">VLOOKUP(B330,'Player Data'!$A1:$AE673,8,FALSE)*$Q330*IFERROR((VLOOKUP(P330,Settings!$E$28:$F$33,2,FALSE)+1),1)</f>
        <v>30.932629921635357</v>
      </c>
      <c r="U330" s="57" cm="1">
        <f t="array" ref="U330">SUM(S330:T330)</f>
        <v>52.564769596465965</v>
      </c>
      <c r="V330" s="57" cm="1">
        <f t="array" ref="V330">VLOOKUP(B330,'Player Data'!$A1:$AE673,10,FALSE)*$Q330*IFERROR(((VLOOKUP(P330,Settings!$E$28:$F$33,2,FALSE)/2)+1),1)</f>
        <v>128.55587861699527</v>
      </c>
      <c r="W330" s="57" cm="1">
        <f t="array" ref="W330">VLOOKUP(B330,'Player Data'!$A1:$AE673,11,FALSE)*$Q330*IFERROR((VLOOKUP(P330,Settings!$E$28:$F$33,2,FALSE)+1),1)</f>
        <v>1.604227804762278</v>
      </c>
      <c r="X330" s="57" cm="1">
        <f t="array" ref="X330">VLOOKUP(B330,'Player Data'!$A1:$AE673,12,FALSE)*$Q330*IFERROR((VLOOKUP(P330,Settings!$E$28:$F$33,2,FALSE)+1),1)</f>
        <v>3.6680278298709195</v>
      </c>
      <c r="Y330" s="57" cm="1">
        <f t="array" ref="Y330">VLOOKUP(B330,'Player Data'!$A1:$AE673,13,FALSE)*$Q330</f>
        <v>2.5013701882188656E-3</v>
      </c>
      <c r="Z330" s="57" cm="1">
        <f t="array" ref="Z330">VLOOKUP(B330,'Player Data'!$A1:$AE673,14,FALSE)*$Q330</f>
        <v>4.0760180622350607E-3</v>
      </c>
      <c r="AA330" s="57" cm="1">
        <f t="array" ref="AA330">VLOOKUP(B330,'Player Data'!$A1:$AE673,15,FALSE)*$Q330</f>
        <v>37.006954654118907</v>
      </c>
      <c r="AB330" s="57" cm="1">
        <f t="array" ref="AB330">VLOOKUP(B330,'Player Data'!$A1:$AE673,16,FALSE)*$Q330</f>
        <v>125.5280215957539</v>
      </c>
      <c r="AC330" s="57" cm="1">
        <f t="array" ref="AC330">VLOOKUP(B330,'Player Data'!$A1:$AE673,17,FALSE)*$Q330*IFERROR((VLOOKUP(P330,Settings!$E$28:$F$33,2,FALSE)+1),1)</f>
        <v>7.0370075510481884</v>
      </c>
      <c r="AD330" s="57" cm="1">
        <f t="array" ref="AD330">VLOOKUP(B330,'Player Data'!$A1:$AE673,18,FALSE)*$Q330</f>
        <v>22.246269251209231</v>
      </c>
      <c r="AE330" s="57" cm="1">
        <f t="array" ref="AE330">VLOOKUP(B330,'Player Data'!$A1:$AE673,19,FALSE)*$Q330*IFERROR((VLOOKUP(P330,Settings!$E$28:$F$33,2,FALSE)+1),1)</f>
        <v>4.1269240636392936</v>
      </c>
      <c r="AF330" s="57" cm="1">
        <f t="array" ref="AF330">VLOOKUP(B330,'Player Data'!$A1:$AE673,20,FALSE)*$Q330</f>
        <v>17.975328190958333</v>
      </c>
      <c r="AG330" s="57" cm="1">
        <f t="array" ref="AG330">VLOOKUP(B330,'Player Data'!$A1:$AE673,21,FALSE)*$Q330</f>
        <v>37.145840575632235</v>
      </c>
      <c r="AH330" s="59" cm="1">
        <f t="array" ref="AH330">VLOOKUP(B330,'Player Data'!$A1:$AE673,22,FALSE)</f>
        <v>0.326105715701974</v>
      </c>
      <c r="AI330" s="55"/>
      <c r="AJ330" s="57"/>
      <c r="AK330" s="57"/>
      <c r="AL330" s="57"/>
      <c r="AM330" s="57"/>
      <c r="AN330" s="57"/>
      <c r="AO330" s="57"/>
      <c r="AP330" s="57"/>
      <c r="AQ330" s="60"/>
      <c r="AR330" s="61"/>
      <c r="AS330" s="55"/>
    </row>
    <row r="331" spans="1:45" ht="21.25" customHeight="1" x14ac:dyDescent="0.15">
      <c r="A331" s="62">
        <f t="shared" si="5"/>
        <v>330</v>
      </c>
      <c r="B331" s="10" t="s">
        <v>459</v>
      </c>
      <c r="C331" s="47" t="s">
        <v>147</v>
      </c>
      <c r="D331" s="48" t="str" cm="1">
        <f t="array" ref="D331">VLOOKUP(B331,'Player Data'!A1:D673,4,FALSE)</f>
        <v>D</v>
      </c>
      <c r="E331" s="68" cm="1">
        <f t="array" ref="E331">VLOOKUP(B331,D!A1:C204,3,FALSE)</f>
        <v>134</v>
      </c>
      <c r="F331" s="50" t="str" cm="1">
        <f t="array" ref="F331">VLOOKUP(B331,'Player Data'!A1:B673,2,FALSE)</f>
        <v>COL</v>
      </c>
      <c r="G331" s="66" cm="1">
        <f t="array" ref="G331">VLOOKUP(B331,'Player Data'!A1:D673,3,FALSE)</f>
        <v>32</v>
      </c>
      <c r="H331" s="51" cm="1">
        <f t="array" ref="H331">IFERROR(VLOOKUP(B331,ADP!A1:F671,6,FALSE)/1000000,VLOOKUP(B331,ADP!A1:F671,6,FALSE))</f>
        <v>4.5</v>
      </c>
      <c r="I331" s="52">
        <f>IF(Settings!$E$15="POINTS",((R331*Q331)*Settings!$B$12)+(S331*Settings!$B$2)+(T331*Settings!$B$3)+(U331*Settings!$B$4)+(V331*Settings!$B$5)+(X331*Settings!$B$9)+(AA331*Settings!$B$6)+(W331*Settings!$B$8)+(AB331*Settings!$B$7)+(AC331*Settings!$B$14)+(AD331*Settings!$B$15)+(AE331*Settings!$B$16)+(AF331*Settings!$B$17)+(AG331*Settings!$B$18)+(U331*Settings!$B$13)+(Y331*Settings!$B$10)+(Z331*Settings!$B$11),VLOOKUP(B331,'Standard Deviations'!A$1:C$672,3,FALSE))</f>
        <v>151.13376031051044</v>
      </c>
      <c r="J331" s="53" cm="1">
        <f t="array" ref="J331">IF(D331="G",I331/AJ331,I331/Q331)</f>
        <v>1.7947779035182192</v>
      </c>
      <c r="K331" s="52" cm="1">
        <f t="array" ref="K331">VLOOKUP(B331,D!A1:F204,6,FALSE)</f>
        <v>-155.52010703408362</v>
      </c>
      <c r="L331" s="54" cm="1">
        <f t="array" ref="L331">IFERROR(K331/H331,"N/A")</f>
        <v>-34.560023785351916</v>
      </c>
      <c r="M331" s="85" t="s">
        <v>832</v>
      </c>
      <c r="N331" s="85" t="str" cm="1">
        <f t="array" ref="N331">IFERROR(M331-A331,"N/A")</f>
        <v>N/A</v>
      </c>
      <c r="O331" s="81"/>
      <c r="P331" s="56" t="str" cm="1">
        <f t="array" ref="P331">_xlfn.XLOOKUP($B331,ADP!A2:A671,ADP!G2:G671)</f>
        <v xml:space="preserve"> </v>
      </c>
      <c r="Q331" s="57" cm="1">
        <f t="array" ref="Q331">IF(Settings!$E$12="YES",VLOOKUP(B331,'Player Data'!A1:E673,5,FALSE),84)</f>
        <v>84.207499999999996</v>
      </c>
      <c r="R331" s="55" cm="1">
        <f t="array" ref="R331">VLOOKUP(B331,'Player Data'!$A1:$AE673,6,FALSE)</f>
        <v>18.832098212497801</v>
      </c>
      <c r="S331" s="57" cm="1">
        <f t="array" ref="S331">VLOOKUP(B331,'Player Data'!$A1:$AE673,7,FALSE)*$Q331*IFERROR((VLOOKUP(P331,Settings!$E$28:$F$33,2,FALSE)+1),1)</f>
        <v>2.1756265576736502</v>
      </c>
      <c r="T331" s="57" cm="1">
        <f t="array" ref="T331">VLOOKUP(B331,'Player Data'!$A1:$AE673,8,FALSE)*$Q331*IFERROR((VLOOKUP(P331,Settings!$E$28:$F$33,2,FALSE)+1),1)</f>
        <v>13.819013254695673</v>
      </c>
      <c r="U331" s="57" cm="1">
        <f t="array" ref="U331">SUM(S331:T331)</f>
        <v>15.994639812369323</v>
      </c>
      <c r="V331" s="57" cm="1">
        <f t="array" ref="V331">VLOOKUP(B331,'Player Data'!$A1:$AE673,10,FALSE)*$Q331*IFERROR(((VLOOKUP(P331,Settings!$E$28:$F$33,2,FALSE)/2)+1),1)</f>
        <v>95.838234048201031</v>
      </c>
      <c r="W331" s="57" cm="1">
        <f t="array" ref="W331">VLOOKUP(B331,'Player Data'!$A1:$AE673,11,FALSE)*$Q331*IFERROR((VLOOKUP(P331,Settings!$E$28:$F$33,2,FALSE)+1),1)</f>
        <v>1.539294946640957E-2</v>
      </c>
      <c r="X331" s="57" cm="1">
        <f t="array" ref="X331">VLOOKUP(B331,'Player Data'!$A1:$AE673,12,FALSE)*$Q331*IFERROR((VLOOKUP(P331,Settings!$E$28:$F$33,2,FALSE)+1),1)</f>
        <v>0.25729546007014087</v>
      </c>
      <c r="Y331" s="57" cm="1">
        <f t="array" ref="Y331">VLOOKUP(B331,'Player Data'!$A1:$AE673,13,FALSE)*$Q331</f>
        <v>1.084748692971285E-2</v>
      </c>
      <c r="Z331" s="57" cm="1">
        <f t="array" ref="Z331">VLOOKUP(B331,'Player Data'!$A1:$AE673,14,FALSE)*$Q331</f>
        <v>5.8301322672017764E-2</v>
      </c>
      <c r="AA331" s="57" cm="1">
        <f t="array" ref="AA331">VLOOKUP(B331,'Player Data'!$A1:$AE673,15,FALSE)*$Q331</f>
        <v>109.83025413311962</v>
      </c>
      <c r="AB331" s="57" cm="1">
        <f t="array" ref="AB331">VLOOKUP(B331,'Player Data'!$A1:$AE673,16,FALSE)*$Q331</f>
        <v>36.941522601544428</v>
      </c>
      <c r="AC331" s="57" cm="1">
        <f t="array" ref="AC331">VLOOKUP(B331,'Player Data'!$A1:$AE673,17,FALSE)*$Q331*IFERROR((VLOOKUP(P331,Settings!$E$28:$F$33,2,FALSE)+1),1)</f>
        <v>3.9792471425617002</v>
      </c>
      <c r="AD331" s="57" cm="1">
        <f t="array" ref="AD331">VLOOKUP(B331,'Player Data'!$A1:$AE673,18,FALSE)*$Q331</f>
        <v>32.464387853437728</v>
      </c>
      <c r="AE331" s="57" cm="1">
        <f t="array" ref="AE331">VLOOKUP(B331,'Player Data'!$A1:$AE673,19,FALSE)*$Q331*IFERROR((VLOOKUP(P331,Settings!$E$28:$F$33,2,FALSE)+1),1)</f>
        <v>0.39267277033003456</v>
      </c>
      <c r="AF331" s="57" cm="1">
        <f t="array" ref="AF331">VLOOKUP(B331,'Player Data'!$A1:$AE673,20,FALSE)*$Q331</f>
        <v>0</v>
      </c>
      <c r="AG331" s="57" cm="1">
        <f t="array" ref="AG331">VLOOKUP(B331,'Player Data'!$A1:$AE673,21,FALSE)*$Q331</f>
        <v>0</v>
      </c>
      <c r="AH331" s="59" cm="1">
        <f t="array" ref="AH331">VLOOKUP(B331,'Player Data'!$A1:$AE673,22,FALSE)</f>
        <v>0</v>
      </c>
      <c r="AI331" s="55"/>
      <c r="AJ331" s="57"/>
      <c r="AK331" s="57"/>
      <c r="AL331" s="57"/>
      <c r="AM331" s="57"/>
      <c r="AN331" s="57"/>
      <c r="AO331" s="57"/>
      <c r="AP331" s="57"/>
      <c r="AQ331" s="60"/>
      <c r="AR331" s="61"/>
      <c r="AS331" s="55"/>
    </row>
    <row r="332" spans="1:45" ht="21.25" customHeight="1" x14ac:dyDescent="0.15">
      <c r="A332" s="62">
        <f t="shared" si="5"/>
        <v>331</v>
      </c>
      <c r="B332" s="10" t="s">
        <v>460</v>
      </c>
      <c r="C332" s="47" t="s">
        <v>147</v>
      </c>
      <c r="D332" s="48" t="str" cm="1">
        <f t="array" ref="D332">VLOOKUP(B332,'Player Data'!A1:D673,4,FALSE)</f>
        <v>D</v>
      </c>
      <c r="E332" s="68" cm="1">
        <f t="array" ref="E332">VLOOKUP(B332,D!A1:C204,3,FALSE)</f>
        <v>135</v>
      </c>
      <c r="F332" s="73" t="str" cm="1">
        <f t="array" ref="F332">VLOOKUP(B332,'Player Data'!A1:B673,2,FALSE)</f>
        <v>BUF</v>
      </c>
      <c r="G332" s="11" cm="1">
        <f t="array" ref="G332">VLOOKUP(B332,'Player Data'!A1:D673,3,FALSE)</f>
        <v>25</v>
      </c>
      <c r="H332" s="67" cm="1">
        <f t="array" ref="H332">IFERROR(VLOOKUP(B332,ADP!A1:F671,6,FALSE)/1000000,VLOOKUP(B332,ADP!A1:F671,6,FALSE))</f>
        <v>0.9</v>
      </c>
      <c r="I332" s="52">
        <f>IF(Settings!$E$15="POINTS",((R332*Q332)*Settings!$B$12)+(S332*Settings!$B$2)+(T332*Settings!$B$3)+(U332*Settings!$B$4)+(V332*Settings!$B$5)+(X332*Settings!$B$9)+(AA332*Settings!$B$6)+(W332*Settings!$B$8)+(AB332*Settings!$B$7)+(AC332*Settings!$B$14)+(AD332*Settings!$B$15)+(AE332*Settings!$B$16)+(AF332*Settings!$B$17)+(AG332*Settings!$B$18)+(U332*Settings!$B$13)+(Y332*Settings!$B$10)+(Z332*Settings!$B$11),VLOOKUP(B332,'Standard Deviations'!A$1:C$672,3,FALSE))</f>
        <v>150.8945185510409</v>
      </c>
      <c r="J332" s="53" cm="1">
        <f t="array" ref="J332">IF(D332="G",I332/AJ332,I332/Q332)</f>
        <v>2.1359546825825029</v>
      </c>
      <c r="K332" s="52" cm="1">
        <f t="array" ref="K332">VLOOKUP(B332,D!A1:F204,6,FALSE)</f>
        <v>-155.75934879355316</v>
      </c>
      <c r="L332" s="54" cm="1">
        <f t="array" ref="L332">IFERROR(K332/H332,"N/A")</f>
        <v>-173.06594310394794</v>
      </c>
      <c r="M332" s="85" t="s">
        <v>832</v>
      </c>
      <c r="N332" s="85" t="str" cm="1">
        <f t="array" ref="N332">IFERROR(M332-A332,"N/A")</f>
        <v>N/A</v>
      </c>
      <c r="O332" s="83"/>
      <c r="P332" s="56" t="str" cm="1">
        <f t="array" ref="P332">_xlfn.XLOOKUP($B332,ADP!A2:A671,ADP!G2:G671)</f>
        <v xml:space="preserve"> </v>
      </c>
      <c r="Q332" s="57" cm="1">
        <f t="array" ref="Q332">IF(Settings!$E$12="YES",VLOOKUP(B332,'Player Data'!A1:E673,5,FALSE),84)</f>
        <v>70.644999999999996</v>
      </c>
      <c r="R332" s="55" cm="1">
        <f t="array" ref="R332">VLOOKUP(B332,'Player Data'!$A1:$AE673,6,FALSE)</f>
        <v>17.321868122996801</v>
      </c>
      <c r="S332" s="57" cm="1">
        <f t="array" ref="S332">VLOOKUP(B332,'Player Data'!$A1:$AE673,7,FALSE)*$Q332*IFERROR((VLOOKUP(P332,Settings!$E$28:$F$33,2,FALSE)+1),1)</f>
        <v>5.5369643182724761</v>
      </c>
      <c r="T332" s="57" cm="1">
        <f t="array" ref="T332">VLOOKUP(B332,'Player Data'!$A1:$AE673,8,FALSE)*$Q332*IFERROR((VLOOKUP(P332,Settings!$E$28:$F$33,2,FALSE)+1),1)</f>
        <v>13.702000962566339</v>
      </c>
      <c r="U332" s="57" cm="1">
        <f t="array" ref="U332">SUM(S332:T332)</f>
        <v>19.238965280838816</v>
      </c>
      <c r="V332" s="57" cm="1">
        <f t="array" ref="V332">VLOOKUP(B332,'Player Data'!$A1:$AE673,10,FALSE)*$Q332*IFERROR(((VLOOKUP(P332,Settings!$E$28:$F$33,2,FALSE)/2)+1),1)</f>
        <v>90.621118516534011</v>
      </c>
      <c r="W332" s="57" cm="1">
        <f t="array" ref="W332">VLOOKUP(B332,'Player Data'!$A1:$AE673,11,FALSE)*$Q332*IFERROR((VLOOKUP(P332,Settings!$E$28:$F$33,2,FALSE)+1),1)</f>
        <v>9.7516496268163586E-3</v>
      </c>
      <c r="X332" s="57" cm="1">
        <f t="array" ref="X332">VLOOKUP(B332,'Player Data'!$A1:$AE673,12,FALSE)*$Q332*IFERROR((VLOOKUP(P332,Settings!$E$28:$F$33,2,FALSE)+1),1)</f>
        <v>7.3753400449523374E-2</v>
      </c>
      <c r="Y332" s="57" cm="1">
        <f t="array" ref="Y332">VLOOKUP(B332,'Player Data'!$A1:$AE673,13,FALSE)*$Q332</f>
        <v>0.65059583655513786</v>
      </c>
      <c r="Z332" s="57" cm="1">
        <f t="array" ref="Z332">VLOOKUP(B332,'Player Data'!$A1:$AE673,14,FALSE)*$Q332</f>
        <v>1.3999417799712846</v>
      </c>
      <c r="AA332" s="57" cm="1">
        <f t="array" ref="AA332">VLOOKUP(B332,'Player Data'!$A1:$AE673,15,FALSE)*$Q332</f>
        <v>92.786736539673328</v>
      </c>
      <c r="AB332" s="57" cm="1">
        <f t="array" ref="AB332">VLOOKUP(B332,'Player Data'!$A1:$AE673,16,FALSE)*$Q332</f>
        <v>108.55687138064289</v>
      </c>
      <c r="AC332" s="57" cm="1">
        <f t="array" ref="AC332">VLOOKUP(B332,'Player Data'!$A1:$AE673,17,FALSE)*$Q332*IFERROR((VLOOKUP(P332,Settings!$E$28:$F$33,2,FALSE)+1),1)</f>
        <v>-0.53264333104721517</v>
      </c>
      <c r="AD332" s="57" cm="1">
        <f t="array" ref="AD332">VLOOKUP(B332,'Player Data'!$A1:$AE673,18,FALSE)*$Q332</f>
        <v>36.228461148607089</v>
      </c>
      <c r="AE332" s="57" cm="1">
        <f t="array" ref="AE332">VLOOKUP(B332,'Player Data'!$A1:$AE673,19,FALSE)*$Q332*IFERROR((VLOOKUP(P332,Settings!$E$28:$F$33,2,FALSE)+1),1)</f>
        <v>0.83480800028626179</v>
      </c>
      <c r="AF332" s="57" cm="1">
        <f t="array" ref="AF332">VLOOKUP(B332,'Player Data'!$A1:$AE673,20,FALSE)*$Q332</f>
        <v>0</v>
      </c>
      <c r="AG332" s="57" cm="1">
        <f t="array" ref="AG332">VLOOKUP(B332,'Player Data'!$A1:$AE673,21,FALSE)*$Q332</f>
        <v>0</v>
      </c>
      <c r="AH332" s="59" cm="1">
        <f t="array" ref="AH332">VLOOKUP(B332,'Player Data'!$A1:$AE673,22,FALSE)</f>
        <v>0</v>
      </c>
      <c r="AI332" s="55"/>
      <c r="AJ332" s="57"/>
      <c r="AK332" s="57"/>
      <c r="AL332" s="57"/>
      <c r="AM332" s="57"/>
      <c r="AN332" s="57"/>
      <c r="AO332" s="57"/>
      <c r="AP332" s="57"/>
      <c r="AQ332" s="60"/>
      <c r="AR332" s="61"/>
      <c r="AS332" s="55"/>
    </row>
    <row r="333" spans="1:45" ht="21.25" customHeight="1" x14ac:dyDescent="0.15">
      <c r="A333" s="62">
        <f t="shared" si="5"/>
        <v>332</v>
      </c>
      <c r="B333" s="10" t="s">
        <v>461</v>
      </c>
      <c r="C333" s="76"/>
      <c r="D333" s="48" t="str" cm="1">
        <f t="array" ref="D333">VLOOKUP(B333,'Player Data'!A1:D673,4,FALSE)</f>
        <v>G</v>
      </c>
      <c r="E333" s="77" cm="1">
        <f t="array" ref="E333">VLOOKUP(B333,G!A1:D66,3,FALSE)</f>
        <v>37</v>
      </c>
      <c r="F333" s="73" t="str" cm="1">
        <f t="array" ref="F333">VLOOKUP(B333,'Player Data'!A1:B673,2,FALSE)</f>
        <v>PHI</v>
      </c>
      <c r="G333" s="11" cm="1">
        <f t="array" ref="G333">VLOOKUP(B333,'Player Data'!A1:D673,3,FALSE)</f>
        <v>28</v>
      </c>
      <c r="H333" s="51" cm="1">
        <f t="array" ref="H333">IFERROR(VLOOKUP(B333,ADP!A1:F671,6,FALSE)/1000000,VLOOKUP(B333,ADP!A1:F671,6,FALSE))</f>
        <v>3.6659999999999999</v>
      </c>
      <c r="I333" s="52">
        <f>IF(Settings!$E$15="POINTS",(AJ333*Settings!$B$29)+(AK333*Settings!$B$21)+(AL333*Settings!$B$22)+(AN333*Settings!$B$24)+(AO333*Settings!$B$25)+(AP333*Settings!$B$27)+(AM333*Settings!$B$23),VLOOKUP(B333,'Standard Deviations'!A$1:C$672,3,FALSE))</f>
        <v>202.86790487137984</v>
      </c>
      <c r="J333" s="53" cm="1">
        <f t="array" ref="J333">IF(D333="G",I333/AJ333,I333/Q333)</f>
        <v>5.7962258534679956</v>
      </c>
      <c r="K333" s="52" cm="1">
        <f t="array" ref="K333">VLOOKUP(B333,G!A1:F66,6,FALSE)</f>
        <v>-156.29000305885819</v>
      </c>
      <c r="L333" s="54" cm="1">
        <f t="array" ref="L333">IFERROR(K333/H333,"N/A")</f>
        <v>-42.632297615618711</v>
      </c>
      <c r="M333" s="55">
        <v>132</v>
      </c>
      <c r="N333" s="55" cm="1">
        <f t="array" ref="N333">IFERROR(M333-A333,"N/A")</f>
        <v>-200</v>
      </c>
      <c r="O333" s="55"/>
      <c r="P333" s="56" t="str" cm="1">
        <f t="array" ref="P333">_xlfn.XLOOKUP($B333,ADP!A2:A671,ADP!G2:G671)</f>
        <v xml:space="preserve"> </v>
      </c>
      <c r="Q333" s="57"/>
      <c r="R333" s="55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9"/>
      <c r="AI333" s="55"/>
      <c r="AJ333" s="78" cm="1">
        <f t="array" ref="AJ333">VLOOKUP(B333,'Player Data'!$A1:$AE673,24,FALSE)</f>
        <v>35</v>
      </c>
      <c r="AK333" s="57" cm="1">
        <f t="array" ref="AK333">VLOOKUP(B333,'Player Data'!$A1:$AE673,25,FALSE)*$AJ333*IFERROR((VLOOKUP(P333,Settings!$E$28:$F$33,2,FALSE)+1),1)</f>
        <v>17.840882202991398</v>
      </c>
      <c r="AL333" s="57" cm="1">
        <f t="array" ref="AL333">AJ333-AK333-AM333</f>
        <v>12.869338347756452</v>
      </c>
      <c r="AM333" s="57" cm="1">
        <f t="array" ref="AM333">VLOOKUP(B333,'Player Data'!$A1:$AE673,27,FALSE)*$AJ333</f>
        <v>4.2897794492521495</v>
      </c>
      <c r="AN333" s="57" cm="1">
        <f t="array" ref="AN333">VLOOKUP(B333,'Player Data'!$A1:$AE673,28,FALSE)*AJ333</f>
        <v>2.1843182203873135</v>
      </c>
      <c r="AO333" s="57" cm="1">
        <f t="array" ref="AO333">VLOOKUP(B333,'Player Data'!$A1:$AE673,29,FALSE)*$AJ333*IFERROR((VLOOKUP(P333,Settings!$E$28:$F$33,2,FALSE)/4)+1,1)</f>
        <v>867.12411408503294</v>
      </c>
      <c r="AP333" s="57" cm="1">
        <f t="array" ref="AP333">VLOOKUP(B333,'Player Data'!$A1:$AE673,31,FALSE)*$AJ333*(IFERROR(1-(VLOOKUP(P333,Settings!$E$28:$F$33,2,FALSE)/4),1))</f>
        <v>95.467039000166039</v>
      </c>
      <c r="AQ333" s="60" cm="1">
        <f t="array" ref="AQ333">1-(AP333/(AO333+AP333))</f>
        <v>0.90082285849585797</v>
      </c>
      <c r="AR333" s="61" cm="1">
        <f t="array" ref="AR333">AP333/AJ333</f>
        <v>2.7276296857190299</v>
      </c>
      <c r="AS333" s="55"/>
    </row>
    <row r="334" spans="1:45" ht="21.25" customHeight="1" x14ac:dyDescent="0.15">
      <c r="A334" s="62">
        <f t="shared" si="5"/>
        <v>333</v>
      </c>
      <c r="B334" s="10" t="s">
        <v>462</v>
      </c>
      <c r="C334" s="47" t="s">
        <v>147</v>
      </c>
      <c r="D334" s="48" t="str" cm="1">
        <f t="array" ref="D334">VLOOKUP(B334,'Player Data'!A1:D673,4,FALSE)</f>
        <v>D</v>
      </c>
      <c r="E334" s="68" cm="1">
        <f t="array" ref="E334">VLOOKUP(B334,D!A1:C204,3,FALSE)</f>
        <v>136</v>
      </c>
      <c r="F334" s="72" t="str" cm="1">
        <f t="array" ref="F334">VLOOKUP(B334,'Player Data'!A1:B673,2,FALSE)</f>
        <v>PIT</v>
      </c>
      <c r="G334" s="11" cm="1">
        <f t="array" ref="G334">VLOOKUP(B334,'Player Data'!A1:D673,3,FALSE)</f>
        <v>25</v>
      </c>
      <c r="H334" s="51" cm="1">
        <f t="array" ref="H334">IFERROR(VLOOKUP(B334,ADP!A1:F671,6,FALSE)/1000000,VLOOKUP(B334,ADP!A1:F671,6,FALSE))</f>
        <v>3.25</v>
      </c>
      <c r="I334" s="52">
        <f>IF(Settings!$E$15="POINTS",((R334*Q334)*Settings!$B$12)+(S334*Settings!$B$2)+(T334*Settings!$B$3)+(U334*Settings!$B$4)+(V334*Settings!$B$5)+(X334*Settings!$B$9)+(AA334*Settings!$B$6)+(W334*Settings!$B$8)+(AB334*Settings!$B$7)+(AC334*Settings!$B$14)+(AD334*Settings!$B$15)+(AE334*Settings!$B$16)+(AF334*Settings!$B$17)+(AG334*Settings!$B$18)+(U334*Settings!$B$13)+(Y334*Settings!$B$10)+(Z334*Settings!$B$11),VLOOKUP(B334,'Standard Deviations'!A$1:C$672,3,FALSE))</f>
        <v>150.28323953847669</v>
      </c>
      <c r="J334" s="53" cm="1">
        <f t="array" ref="J334">IF(D334="G",I334/AJ334,I334/Q334)</f>
        <v>2.0888628749527656</v>
      </c>
      <c r="K334" s="52" cm="1">
        <f t="array" ref="K334">VLOOKUP(B334,D!A1:F204,6,FALSE)</f>
        <v>-156.37062780611737</v>
      </c>
      <c r="L334" s="54" cm="1">
        <f t="array" ref="L334">IFERROR(K334/H334,"N/A")</f>
        <v>-48.114039324959194</v>
      </c>
      <c r="M334" s="85" t="s">
        <v>832</v>
      </c>
      <c r="N334" s="85" t="str" cm="1">
        <f t="array" ref="N334">IFERROR(M334-A334,"N/A")</f>
        <v>N/A</v>
      </c>
      <c r="O334" s="55"/>
      <c r="P334" s="56" t="str" cm="1">
        <f t="array" ref="P334">_xlfn.XLOOKUP($B334,ADP!A2:A671,ADP!G2:G671)</f>
        <v xml:space="preserve"> </v>
      </c>
      <c r="Q334" s="57" cm="1">
        <f t="array" ref="Q334">IF(Settings!$E$12="YES",VLOOKUP(B334,'Player Data'!A1:E673,5,FALSE),84)</f>
        <v>71.944999999999993</v>
      </c>
      <c r="R334" s="82" cm="1">
        <f t="array" ref="R334">VLOOKUP(B334,'Player Data'!$A1:$AE673,6,FALSE)</f>
        <v>18.983406655728899</v>
      </c>
      <c r="S334" s="57" cm="1">
        <f t="array" ref="S334">VLOOKUP(B334,'Player Data'!$A1:$AE673,7,FALSE)*$Q334*IFERROR((VLOOKUP(P334,Settings!$E$28:$F$33,2,FALSE)+1),1)</f>
        <v>3.2887884056349019</v>
      </c>
      <c r="T334" s="57" cm="1">
        <f t="array" ref="T334">VLOOKUP(B334,'Player Data'!$A1:$AE673,8,FALSE)*$Q334*IFERROR((VLOOKUP(P334,Settings!$E$28:$F$33,2,FALSE)+1),1)</f>
        <v>17.63426334319028</v>
      </c>
      <c r="U334" s="57" cm="1">
        <f t="array" ref="U334">SUM(S334:T334)</f>
        <v>20.923051748825181</v>
      </c>
      <c r="V334" s="57" cm="1">
        <f t="array" ref="V334">VLOOKUP(B334,'Player Data'!$A1:$AE673,10,FALSE)*$Q334*IFERROR(((VLOOKUP(P334,Settings!$E$28:$F$33,2,FALSE)/2)+1),1)</f>
        <v>72.606074524174375</v>
      </c>
      <c r="W334" s="57" cm="1">
        <f t="array" ref="W334">VLOOKUP(B334,'Player Data'!$A1:$AE673,11,FALSE)*$Q334*IFERROR((VLOOKUP(P334,Settings!$E$28:$F$33,2,FALSE)+1),1)</f>
        <v>9.1515294589424104E-3</v>
      </c>
      <c r="X334" s="57" cm="1">
        <f t="array" ref="X334">VLOOKUP(B334,'Player Data'!$A1:$AE673,12,FALSE)*$Q334*IFERROR((VLOOKUP(P334,Settings!$E$28:$F$33,2,FALSE)+1),1)</f>
        <v>0.10167470697794369</v>
      </c>
      <c r="Y334" s="57" cm="1">
        <f t="array" ref="Y334">VLOOKUP(B334,'Player Data'!$A1:$AE673,13,FALSE)*$Q334</f>
        <v>5.0576863931046344E-2</v>
      </c>
      <c r="Z334" s="57" cm="1">
        <f t="array" ref="Z334">VLOOKUP(B334,'Player Data'!$A1:$AE673,14,FALSE)*$Q334</f>
        <v>0.16767606402193699</v>
      </c>
      <c r="AA334" s="57" cm="1">
        <f t="array" ref="AA334">VLOOKUP(B334,'Player Data'!$A1:$AE673,15,FALSE)*$Q334</f>
        <v>101.88339251782816</v>
      </c>
      <c r="AB334" s="57" cm="1">
        <f t="array" ref="AB334">VLOOKUP(B334,'Player Data'!$A1:$AE673,16,FALSE)*$Q334</f>
        <v>101.08756082723482</v>
      </c>
      <c r="AC334" s="57" cm="1">
        <f t="array" ref="AC334">VLOOKUP(B334,'Player Data'!$A1:$AE673,17,FALSE)*$Q334*IFERROR((VLOOKUP(P334,Settings!$E$28:$F$33,2,FALSE)+1),1)</f>
        <v>1.5858722734674351</v>
      </c>
      <c r="AD334" s="57" cm="1">
        <f t="array" ref="AD334">VLOOKUP(B334,'Player Data'!$A1:$AE673,18,FALSE)*$Q334</f>
        <v>25.776036298250883</v>
      </c>
      <c r="AE334" s="57" cm="1">
        <f t="array" ref="AE334">VLOOKUP(B334,'Player Data'!$A1:$AE673,19,FALSE)*$Q334*IFERROR((VLOOKUP(P334,Settings!$E$28:$F$33,2,FALSE)+1),1)</f>
        <v>0.4768325233596738</v>
      </c>
      <c r="AF334" s="57" cm="1">
        <f t="array" ref="AF334">VLOOKUP(B334,'Player Data'!$A1:$AE673,20,FALSE)*$Q334</f>
        <v>0</v>
      </c>
      <c r="AG334" s="57" cm="1">
        <f t="array" ref="AG334">VLOOKUP(B334,'Player Data'!$A1:$AE673,21,FALSE)*$Q334</f>
        <v>0</v>
      </c>
      <c r="AH334" s="59" cm="1">
        <f t="array" ref="AH334">VLOOKUP(B334,'Player Data'!$A1:$AE673,22,FALSE)</f>
        <v>0</v>
      </c>
      <c r="AI334" s="55"/>
      <c r="AJ334" s="57"/>
      <c r="AK334" s="57"/>
      <c r="AL334" s="57"/>
      <c r="AM334" s="57"/>
      <c r="AN334" s="57"/>
      <c r="AO334" s="57"/>
      <c r="AP334" s="57"/>
      <c r="AQ334" s="60"/>
      <c r="AR334" s="61"/>
      <c r="AS334" s="55"/>
    </row>
    <row r="335" spans="1:45" ht="21.25" customHeight="1" x14ac:dyDescent="0.15">
      <c r="A335" s="62">
        <f t="shared" si="5"/>
        <v>334</v>
      </c>
      <c r="B335" s="10" t="s">
        <v>463</v>
      </c>
      <c r="C335" s="47" t="s">
        <v>147</v>
      </c>
      <c r="D335" s="48" t="str" cm="1">
        <f t="array" ref="D335">VLOOKUP(B335,'Player Data'!A1:D673,4,FALSE)</f>
        <v>LW,RW</v>
      </c>
      <c r="E335" s="74" cm="1">
        <f t="array" ref="E335">VLOOKUP(B335,RW!A1:F210,3,FALSE)</f>
        <v>89</v>
      </c>
      <c r="F335" s="72" t="str" cm="1">
        <f t="array" ref="F335">VLOOKUP(B335,'Player Data'!A1:B673,2,FALSE)</f>
        <v>NYI</v>
      </c>
      <c r="G335" s="11" cm="1">
        <f t="array" ref="G335">VLOOKUP(B335,'Player Data'!A1:D673,3,FALSE)</f>
        <v>25</v>
      </c>
      <c r="H335" s="67" cm="1">
        <f t="array" ref="H335">IFERROR(VLOOKUP(B335,ADP!A1:F671,6,FALSE)/1000000,VLOOKUP(B335,ADP!A1:F671,6,FALSE))</f>
        <v>3.625</v>
      </c>
      <c r="I335" s="52">
        <f>IF(Settings!$E$15="POINTS",((R335*Q335)*Settings!$B$12)+(S335*Settings!$B$2)+(T335*Settings!$B$3)+(U335*Settings!$B$4)+(V335*Settings!$B$5)+(X335*Settings!$B$9)+(AA335*Settings!$B$6)+(W335*Settings!$B$8)+(AB335*Settings!$B$7)+(AC335*Settings!$B$14)+(AD335*Settings!$B$15)+(AE335*Settings!$B$16)+(AF335*Settings!$B$17)+(AG335*Settings!$B$18)+(Y335*Settings!$B$10)+(Z335*Settings!$B$11),VLOOKUP(B335,'Standard Deviations'!A$1:C$672,3,FALSE))</f>
        <v>238.25643493939344</v>
      </c>
      <c r="J335" s="53" cm="1">
        <f t="array" ref="J335">IF(D335="G",I335/AJ335,I335/Q335)</f>
        <v>2.9114246341955576</v>
      </c>
      <c r="K335" s="52" cm="1">
        <f t="array" ref="K335">IF(Settings!$E$18="C/LW/RW",VLOOKUP(B335,RW!A1:F210,6,FALSE),VLOOKUP(B335,F!A1:F407,6,FALSE))</f>
        <v>-156.68702975416403</v>
      </c>
      <c r="L335" s="54" cm="1">
        <f t="array" ref="L335">IFERROR(K335/H335,"N/A")</f>
        <v>-43.224008208045248</v>
      </c>
      <c r="M335" s="85" t="s">
        <v>832</v>
      </c>
      <c r="N335" s="85" t="str" cm="1">
        <f t="array" ref="N335">IFERROR(M335-A335,"N/A")</f>
        <v>N/A</v>
      </c>
      <c r="O335" s="55"/>
      <c r="P335" s="56" t="str" cm="1">
        <f t="array" ref="P335">_xlfn.XLOOKUP($B335,ADP!A2:A671,ADP!G2:G671)</f>
        <v xml:space="preserve"> </v>
      </c>
      <c r="Q335" s="57" cm="1">
        <f t="array" ref="Q335">IF(Settings!$E$12="YES",VLOOKUP(B335,'Player Data'!A1:E673,5,FALSE),84)</f>
        <v>81.834999999999994</v>
      </c>
      <c r="R335" s="55" cm="1">
        <f t="array" ref="R335">VLOOKUP(B335,'Player Data'!$A1:$AE673,6,FALSE)</f>
        <v>17.634536180997699</v>
      </c>
      <c r="S335" s="57" cm="1">
        <f t="array" ref="S335">VLOOKUP(B335,'Player Data'!$A1:$AE673,7,FALSE)*$Q335*IFERROR((VLOOKUP(P335,Settings!$E$28:$F$33,2,FALSE)+1),1)</f>
        <v>22.133641548230599</v>
      </c>
      <c r="T335" s="57" cm="1">
        <f t="array" ref="T335">VLOOKUP(B335,'Player Data'!$A1:$AE673,8,FALSE)*$Q335*IFERROR((VLOOKUP(P335,Settings!$E$28:$F$33,2,FALSE)+1),1)</f>
        <v>25.793145108559436</v>
      </c>
      <c r="U335" s="57" cm="1">
        <f t="array" ref="U335">SUM(S335:T335)</f>
        <v>47.926786656790036</v>
      </c>
      <c r="V335" s="57" cm="1">
        <f t="array" ref="V335">VLOOKUP(B335,'Player Data'!$A1:$AE673,10,FALSE)*$Q335*IFERROR(((VLOOKUP(P335,Settings!$E$28:$F$33,2,FALSE)/2)+1),1)</f>
        <v>114.16454644536205</v>
      </c>
      <c r="W335" s="57" cm="1">
        <f t="array" ref="W335">VLOOKUP(B335,'Player Data'!$A1:$AE673,11,FALSE)*$Q335*IFERROR((VLOOKUP(P335,Settings!$E$28:$F$33,2,FALSE)+1),1)</f>
        <v>1.6442215297457765</v>
      </c>
      <c r="X335" s="57" cm="1">
        <f t="array" ref="X335">VLOOKUP(B335,'Player Data'!$A1:$AE673,12,FALSE)*$Q335*IFERROR((VLOOKUP(P335,Settings!$E$28:$F$33,2,FALSE)+1),1)</f>
        <v>5.1350517004801626</v>
      </c>
      <c r="Y335" s="57" cm="1">
        <f t="array" ref="Y335">VLOOKUP(B335,'Player Data'!$A1:$AE673,13,FALSE)*$Q335</f>
        <v>2.6922227635346689</v>
      </c>
      <c r="Z335" s="57" cm="1">
        <f t="array" ref="Z335">VLOOKUP(B335,'Player Data'!$A1:$AE673,14,FALSE)*$Q335</f>
        <v>5.465633695089096</v>
      </c>
      <c r="AA335" s="57" cm="1">
        <f t="array" ref="AA335">VLOOKUP(B335,'Player Data'!$A1:$AE673,15,FALSE)*$Q335</f>
        <v>53.586232701546095</v>
      </c>
      <c r="AB335" s="57" cm="1">
        <f t="array" ref="AB335">VLOOKUP(B335,'Player Data'!$A1:$AE673,16,FALSE)*$Q335</f>
        <v>29.833723729856782</v>
      </c>
      <c r="AC335" s="57" cm="1">
        <f t="array" ref="AC335">VLOOKUP(B335,'Player Data'!$A1:$AE673,17,FALSE)*$Q335*IFERROR((VLOOKUP(P335,Settings!$E$28:$F$33,2,FALSE)+1),1)</f>
        <v>-3.0466542801849354</v>
      </c>
      <c r="AD335" s="57" cm="1">
        <f t="array" ref="AD335">VLOOKUP(B335,'Player Data'!$A1:$AE673,18,FALSE)*$Q335</f>
        <v>19.531468726258733</v>
      </c>
      <c r="AE335" s="57" cm="1">
        <f t="array" ref="AE335">VLOOKUP(B335,'Player Data'!$A1:$AE673,19,FALSE)*$Q335*IFERROR((VLOOKUP(P335,Settings!$E$28:$F$33,2,FALSE)+1),1)</f>
        <v>3.2324296241695074</v>
      </c>
      <c r="AF335" s="57" cm="1">
        <f t="array" ref="AF335">VLOOKUP(B335,'Player Data'!$A1:$AE673,20,FALSE)*$Q335</f>
        <v>4.2284951596670775</v>
      </c>
      <c r="AG335" s="57" cm="1">
        <f t="array" ref="AG335">VLOOKUP(B335,'Player Data'!$A1:$AE673,21,FALSE)*$Q335</f>
        <v>13.48260717942915</v>
      </c>
      <c r="AH335" s="59" cm="1">
        <f t="array" ref="AH335">VLOOKUP(B335,'Player Data'!$A1:$AE673,22,FALSE)</f>
        <v>0.23874827657299</v>
      </c>
      <c r="AI335" s="55"/>
      <c r="AJ335" s="57"/>
      <c r="AK335" s="57"/>
      <c r="AL335" s="57"/>
      <c r="AM335" s="57"/>
      <c r="AN335" s="57"/>
      <c r="AO335" s="57"/>
      <c r="AP335" s="57"/>
      <c r="AQ335" s="60"/>
      <c r="AR335" s="61"/>
      <c r="AS335" s="55"/>
    </row>
    <row r="336" spans="1:45" ht="21.25" customHeight="1" x14ac:dyDescent="0.15">
      <c r="A336" s="62">
        <f t="shared" si="5"/>
        <v>335</v>
      </c>
      <c r="B336" s="10" t="s">
        <v>464</v>
      </c>
      <c r="C336" s="47" t="s">
        <v>147</v>
      </c>
      <c r="D336" s="48" t="str" cm="1">
        <f t="array" ref="D336">VLOOKUP(B336,'Player Data'!A1:D673,4,FALSE)</f>
        <v>D</v>
      </c>
      <c r="E336" s="68" cm="1">
        <f t="array" ref="E336">VLOOKUP(B336,D!A1:C204,3,FALSE)</f>
        <v>137</v>
      </c>
      <c r="F336" s="56" t="str" cm="1">
        <f t="array" ref="F336">VLOOKUP(B336,'Player Data'!A1:B673,2,FALSE)</f>
        <v>NYR</v>
      </c>
      <c r="G336" s="11" cm="1">
        <f t="array" ref="G336">VLOOKUP(B336,'Player Data'!A1:D673,3,FALSE)</f>
        <v>25</v>
      </c>
      <c r="H336" s="67" cm="1">
        <f t="array" ref="H336">IFERROR(VLOOKUP(B336,ADP!A1:F671,6,FALSE)/1000000,VLOOKUP(B336,ADP!A1:F671,6,FALSE))</f>
        <v>0.8125</v>
      </c>
      <c r="I336" s="52">
        <f>IF(Settings!$E$15="POINTS",((R336*Q336)*Settings!$B$12)+(S336*Settings!$B$2)+(T336*Settings!$B$3)+(U336*Settings!$B$4)+(V336*Settings!$B$5)+(X336*Settings!$B$9)+(AA336*Settings!$B$6)+(W336*Settings!$B$8)+(AB336*Settings!$B$7)+(AC336*Settings!$B$14)+(AD336*Settings!$B$15)+(AE336*Settings!$B$16)+(AF336*Settings!$B$17)+(AG336*Settings!$B$18)+(U336*Settings!$B$13)+(Y336*Settings!$B$10)+(Z336*Settings!$B$11),VLOOKUP(B336,'Standard Deviations'!A$1:C$672,3,FALSE))</f>
        <v>149.9112766758868</v>
      </c>
      <c r="J336" s="53" cm="1">
        <f t="array" ref="J336">IF(D336="G",I336/AJ336,I336/Q336)</f>
        <v>1.8767060174747972</v>
      </c>
      <c r="K336" s="52" cm="1">
        <f t="array" ref="K336">VLOOKUP(B336,D!A1:F204,6,FALSE)</f>
        <v>-156.74259066870727</v>
      </c>
      <c r="L336" s="54" cm="1">
        <f t="array" ref="L336">IFERROR(K336/H336,"N/A")</f>
        <v>-192.91395774610126</v>
      </c>
      <c r="M336" s="85" t="s">
        <v>832</v>
      </c>
      <c r="N336" s="85" t="str" cm="1">
        <f t="array" ref="N336">IFERROR(M336-A336,"N/A")</f>
        <v>N/A</v>
      </c>
      <c r="O336" s="81"/>
      <c r="P336" s="56" t="str" cm="1">
        <f t="array" ref="P336">_xlfn.XLOOKUP($B336,ADP!A2:A671,ADP!G2:G671)</f>
        <v xml:space="preserve"> </v>
      </c>
      <c r="Q336" s="57" cm="1">
        <f t="array" ref="Q336">IF(Settings!$E$12="YES",VLOOKUP(B336,'Player Data'!A1:E673,5,FALSE),84)</f>
        <v>79.88</v>
      </c>
      <c r="R336" s="55" cm="1">
        <f t="array" ref="R336">VLOOKUP(B336,'Player Data'!$A1:$AE673,6,FALSE)</f>
        <v>17.380032446201799</v>
      </c>
      <c r="S336" s="57" cm="1">
        <f t="array" ref="S336">VLOOKUP(B336,'Player Data'!$A1:$AE673,7,FALSE)*$Q336*IFERROR((VLOOKUP(P336,Settings!$E$28:$F$33,2,FALSE)+1),1)</f>
        <v>5.772467084181133</v>
      </c>
      <c r="T336" s="57" cm="1">
        <f t="array" ref="T336">VLOOKUP(B336,'Player Data'!$A1:$AE673,8,FALSE)*$Q336*IFERROR((VLOOKUP(P336,Settings!$E$28:$F$33,2,FALSE)+1),1)</f>
        <v>14.216386620632212</v>
      </c>
      <c r="U336" s="57" cm="1">
        <f t="array" ref="U336">SUM(S336:T336)</f>
        <v>19.988853704813344</v>
      </c>
      <c r="V336" s="57" cm="1">
        <f t="array" ref="V336">VLOOKUP(B336,'Player Data'!$A1:$AE673,10,FALSE)*$Q336*IFERROR(((VLOOKUP(P336,Settings!$E$28:$F$33,2,FALSE)/2)+1),1)</f>
        <v>85.862322092005414</v>
      </c>
      <c r="W336" s="57" cm="1">
        <f t="array" ref="W336">VLOOKUP(B336,'Player Data'!$A1:$AE673,11,FALSE)*$Q336*IFERROR((VLOOKUP(P336,Settings!$E$28:$F$33,2,FALSE)+1),1)</f>
        <v>2.2567592717069613E-2</v>
      </c>
      <c r="X336" s="57" cm="1">
        <f t="array" ref="X336">VLOOKUP(B336,'Player Data'!$A1:$AE673,12,FALSE)*$Q336*IFERROR((VLOOKUP(P336,Settings!$E$28:$F$33,2,FALSE)+1),1)</f>
        <v>0.16999615423932865</v>
      </c>
      <c r="Y336" s="57" cm="1">
        <f t="array" ref="Y336">VLOOKUP(B336,'Player Data'!$A1:$AE673,13,FALSE)*$Q336</f>
        <v>4.0254032353556062E-2</v>
      </c>
      <c r="Z336" s="57" cm="1">
        <f t="array" ref="Z336">VLOOKUP(B336,'Player Data'!$A1:$AE673,14,FALSE)*$Q336</f>
        <v>0.13862435498792336</v>
      </c>
      <c r="AA336" s="57" cm="1">
        <f t="array" ref="AA336">VLOOKUP(B336,'Player Data'!$A1:$AE673,15,FALSE)*$Q336</f>
        <v>93.40986801243362</v>
      </c>
      <c r="AB336" s="57" cm="1">
        <f t="array" ref="AB336">VLOOKUP(B336,'Player Data'!$A1:$AE673,16,FALSE)*$Q336</f>
        <v>109.72583138303823</v>
      </c>
      <c r="AC336" s="57" cm="1">
        <f t="array" ref="AC336">VLOOKUP(B336,'Player Data'!$A1:$AE673,17,FALSE)*$Q336*IFERROR((VLOOKUP(P336,Settings!$E$28:$F$33,2,FALSE)+1),1)</f>
        <v>-0.65290231604631654</v>
      </c>
      <c r="AD336" s="57" cm="1">
        <f t="array" ref="AD336">VLOOKUP(B336,'Player Data'!$A1:$AE673,18,FALSE)*$Q336</f>
        <v>38.068530746088548</v>
      </c>
      <c r="AE336" s="57" cm="1">
        <f t="array" ref="AE336">VLOOKUP(B336,'Player Data'!$A1:$AE673,19,FALSE)*$Q336*IFERROR((VLOOKUP(P336,Settings!$E$28:$F$33,2,FALSE)+1),1)</f>
        <v>0.90687646835614599</v>
      </c>
      <c r="AF336" s="57" cm="1">
        <f t="array" ref="AF336">VLOOKUP(B336,'Player Data'!$A1:$AE673,20,FALSE)*$Q336</f>
        <v>0</v>
      </c>
      <c r="AG336" s="57" cm="1">
        <f t="array" ref="AG336">VLOOKUP(B336,'Player Data'!$A1:$AE673,21,FALSE)*$Q336</f>
        <v>0</v>
      </c>
      <c r="AH336" s="59" cm="1">
        <f t="array" ref="AH336">VLOOKUP(B336,'Player Data'!$A1:$AE673,22,FALSE)</f>
        <v>0</v>
      </c>
      <c r="AI336" s="55"/>
      <c r="AJ336" s="57"/>
      <c r="AK336" s="57"/>
      <c r="AL336" s="57"/>
      <c r="AM336" s="57"/>
      <c r="AN336" s="57"/>
      <c r="AO336" s="57"/>
      <c r="AP336" s="57"/>
      <c r="AQ336" s="60"/>
      <c r="AR336" s="61"/>
      <c r="AS336" s="55"/>
    </row>
    <row r="337" spans="1:45" ht="21.25" customHeight="1" x14ac:dyDescent="0.15">
      <c r="A337" s="62">
        <f t="shared" si="5"/>
        <v>336</v>
      </c>
      <c r="B337" s="10" t="s">
        <v>465</v>
      </c>
      <c r="C337" s="47" t="s">
        <v>147</v>
      </c>
      <c r="D337" s="48" t="str" cm="1">
        <f t="array" ref="D337">VLOOKUP(B337,'Player Data'!A1:D673,4,FALSE)</f>
        <v>LW,RW</v>
      </c>
      <c r="E337" s="74" cm="1">
        <f t="array" ref="E337">VLOOKUP(B337,RW!A1:F210,3,FALSE)</f>
        <v>90</v>
      </c>
      <c r="F337" s="50" t="str" cm="1">
        <f t="array" ref="F337">VLOOKUP(B337,'Player Data'!A1:B673,2,FALSE)</f>
        <v>COL</v>
      </c>
      <c r="G337" s="66" cm="1">
        <f t="array" ref="G337">VLOOKUP(B337,'Player Data'!A1:D673,3,FALSE)</f>
        <v>31</v>
      </c>
      <c r="H337" s="67" cm="1">
        <f t="array" ref="H337">IFERROR(VLOOKUP(B337,ADP!A1:F671,6,FALSE)/1000000,VLOOKUP(B337,ADP!A1:F671,6,FALSE))</f>
        <v>4.5</v>
      </c>
      <c r="I337" s="52">
        <f>IF(Settings!$E$15="POINTS",((R337*Q337)*Settings!$B$12)+(S337*Settings!$B$2)+(T337*Settings!$B$3)+(U337*Settings!$B$4)+(V337*Settings!$B$5)+(X337*Settings!$B$9)+(AA337*Settings!$B$6)+(W337*Settings!$B$8)+(AB337*Settings!$B$7)+(AC337*Settings!$B$14)+(AD337*Settings!$B$15)+(AE337*Settings!$B$16)+(AF337*Settings!$B$17)+(AG337*Settings!$B$18)+(Y337*Settings!$B$10)+(Z337*Settings!$B$11),VLOOKUP(B337,'Standard Deviations'!A$1:C$672,3,FALSE))</f>
        <v>237.93001367595139</v>
      </c>
      <c r="J337" s="53" cm="1">
        <f t="array" ref="J337">IF(D337="G",I337/AJ337,I337/Q337)</f>
        <v>3.1137577448186016</v>
      </c>
      <c r="K337" s="52" cm="1">
        <f t="array" ref="K337">IF(Settings!$E$18="C/LW/RW",VLOOKUP(B337,RW!A1:F210,6,FALSE),VLOOKUP(B337,F!A1:F407,6,FALSE))</f>
        <v>-157.01345101760609</v>
      </c>
      <c r="L337" s="54" cm="1">
        <f t="array" ref="L337">IFERROR(K337/H337,"N/A")</f>
        <v>-34.891878003912467</v>
      </c>
      <c r="M337" s="55">
        <v>135.9</v>
      </c>
      <c r="N337" s="55" cm="1">
        <f t="array" ref="N337">IFERROR(M337-A337,"N/A")</f>
        <v>-200.1</v>
      </c>
      <c r="O337" s="83"/>
      <c r="P337" s="56" t="str" cm="1">
        <f t="array" ref="P337">_xlfn.XLOOKUP($B337,ADP!A2:A671,ADP!G2:G671)</f>
        <v xml:space="preserve"> </v>
      </c>
      <c r="Q337" s="57" cm="1">
        <f t="array" ref="Q337">IF(Settings!$E$12="YES",VLOOKUP(B337,'Player Data'!A1:E673,5,FALSE),84)</f>
        <v>76.412499999999994</v>
      </c>
      <c r="R337" s="84" cm="1">
        <f t="array" ref="R337">VLOOKUP(B337,'Player Data'!$A1:$AE673,6,FALSE)</f>
        <v>17.522127621406799</v>
      </c>
      <c r="S337" s="57" cm="1">
        <f t="array" ref="S337">VLOOKUP(B337,'Player Data'!$A1:$AE673,7,FALSE)*$Q337*IFERROR((VLOOKUP(P337,Settings!$E$28:$F$33,2,FALSE)+1),1)</f>
        <v>22.174476851166858</v>
      </c>
      <c r="T337" s="57" cm="1">
        <f t="array" ref="T337">VLOOKUP(B337,'Player Data'!$A1:$AE673,8,FALSE)*$Q337*IFERROR((VLOOKUP(P337,Settings!$E$28:$F$33,2,FALSE)+1),1)</f>
        <v>23.998742433008999</v>
      </c>
      <c r="U337" s="57" cm="1">
        <f t="array" ref="U337">SUM(S337:T337)</f>
        <v>46.173219284175858</v>
      </c>
      <c r="V337" s="57" cm="1">
        <f t="array" ref="V337">VLOOKUP(B337,'Player Data'!$A1:$AE673,10,FALSE)*$Q337*IFERROR(((VLOOKUP(P337,Settings!$E$28:$F$33,2,FALSE)/2)+1),1)</f>
        <v>153.87271527211698</v>
      </c>
      <c r="W337" s="57" cm="1">
        <f t="array" ref="W337">VLOOKUP(B337,'Player Data'!$A1:$AE673,11,FALSE)*$Q337*IFERROR((VLOOKUP(P337,Settings!$E$28:$F$33,2,FALSE)+1),1)</f>
        <v>1.6300670268981061</v>
      </c>
      <c r="X337" s="57" cm="1">
        <f t="array" ref="X337">VLOOKUP(B337,'Player Data'!$A1:$AE673,12,FALSE)*$Q337*IFERROR((VLOOKUP(P337,Settings!$E$28:$F$33,2,FALSE)+1),1)</f>
        <v>3.8161813428630422</v>
      </c>
      <c r="Y337" s="57" cm="1">
        <f t="array" ref="Y337">VLOOKUP(B337,'Player Data'!$A1:$AE673,13,FALSE)*$Q337</f>
        <v>0.30953469183053578</v>
      </c>
      <c r="Z337" s="57" cm="1">
        <f t="array" ref="Z337">VLOOKUP(B337,'Player Data'!$A1:$AE673,14,FALSE)*$Q337</f>
        <v>0.36640790321290184</v>
      </c>
      <c r="AA337" s="57" cm="1">
        <f t="array" ref="AA337">VLOOKUP(B337,'Player Data'!$A1:$AE673,15,FALSE)*$Q337</f>
        <v>36.582817882578738</v>
      </c>
      <c r="AB337" s="57" cm="1">
        <f t="array" ref="AB337">VLOOKUP(B337,'Player Data'!$A1:$AE673,16,FALSE)*$Q337</f>
        <v>48.27257092105112</v>
      </c>
      <c r="AC337" s="57" cm="1">
        <f t="array" ref="AC337">VLOOKUP(B337,'Player Data'!$A1:$AE673,17,FALSE)*$Q337*IFERROR((VLOOKUP(P337,Settings!$E$28:$F$33,2,FALSE)+1),1)</f>
        <v>10.283922837715071</v>
      </c>
      <c r="AD337" s="57" cm="1">
        <f t="array" ref="AD337">VLOOKUP(B337,'Player Data'!$A1:$AE673,18,FALSE)*$Q337</f>
        <v>25.392555540726331</v>
      </c>
      <c r="AE337" s="57" cm="1">
        <f t="array" ref="AE337">VLOOKUP(B337,'Player Data'!$A1:$AE673,19,FALSE)*$Q337*IFERROR((VLOOKUP(P337,Settings!$E$28:$F$33,2,FALSE)+1),1)</f>
        <v>4.0022094899767415</v>
      </c>
      <c r="AF337" s="57" cm="1">
        <f t="array" ref="AF337">VLOOKUP(B337,'Player Data'!$A1:$AE673,20,FALSE)*$Q337</f>
        <v>6.2459925106669791</v>
      </c>
      <c r="AG337" s="57" cm="1">
        <f t="array" ref="AG337">VLOOKUP(B337,'Player Data'!$A1:$AE673,21,FALSE)*$Q337</f>
        <v>15.190353823729822</v>
      </c>
      <c r="AH337" s="59" cm="1">
        <f t="array" ref="AH337">VLOOKUP(B337,'Player Data'!$A1:$AE673,22,FALSE)</f>
        <v>0.29137393160347702</v>
      </c>
      <c r="AI337" s="55"/>
      <c r="AJ337" s="57"/>
      <c r="AK337" s="57"/>
      <c r="AL337" s="57"/>
      <c r="AM337" s="57"/>
      <c r="AN337" s="57"/>
      <c r="AO337" s="57"/>
      <c r="AP337" s="57"/>
      <c r="AQ337" s="60"/>
      <c r="AR337" s="61"/>
      <c r="AS337" s="55"/>
    </row>
    <row r="338" spans="1:45" ht="21.25" customHeight="1" x14ac:dyDescent="0.15">
      <c r="A338" s="62">
        <f t="shared" si="5"/>
        <v>337</v>
      </c>
      <c r="B338" s="10" t="s">
        <v>466</v>
      </c>
      <c r="C338" s="47" t="s">
        <v>147</v>
      </c>
      <c r="D338" s="48" t="str" cm="1">
        <f t="array" ref="D338">VLOOKUP(B338,'Player Data'!A1:D673,4,FALSE)</f>
        <v>D</v>
      </c>
      <c r="E338" s="68" cm="1">
        <f t="array" ref="E338">VLOOKUP(B338,D!A1:C204,3,FALSE)</f>
        <v>138</v>
      </c>
      <c r="F338" s="65" t="str" cm="1">
        <f t="array" ref="F338">VLOOKUP(B338,'Player Data'!A1:B673,2,FALSE)</f>
        <v>CAR</v>
      </c>
      <c r="G338" s="11" cm="1">
        <f t="array" ref="G338">VLOOKUP(B338,'Player Data'!A1:D673,3,FALSE)</f>
        <v>30</v>
      </c>
      <c r="H338" s="67" cm="1">
        <f t="array" ref="H338">IFERROR(VLOOKUP(B338,ADP!A1:F671,6,FALSE)/1000000,VLOOKUP(B338,ADP!A1:F671,6,FALSE))</f>
        <v>3.0249999999999999</v>
      </c>
      <c r="I338" s="52">
        <f>IF(Settings!$E$15="POINTS",((R338*Q338)*Settings!$B$12)+(S338*Settings!$B$2)+(T338*Settings!$B$3)+(U338*Settings!$B$4)+(V338*Settings!$B$5)+(X338*Settings!$B$9)+(AA338*Settings!$B$6)+(W338*Settings!$B$8)+(AB338*Settings!$B$7)+(AC338*Settings!$B$14)+(AD338*Settings!$B$15)+(AE338*Settings!$B$16)+(AF338*Settings!$B$17)+(AG338*Settings!$B$18)+(U338*Settings!$B$13)+(Y338*Settings!$B$10)+(Z338*Settings!$B$11),VLOOKUP(B338,'Standard Deviations'!A$1:C$672,3,FALSE))</f>
        <v>148.72865400801359</v>
      </c>
      <c r="J338" s="53" cm="1">
        <f t="array" ref="J338">IF(D338="G",I338/AJ338,I338/Q338)</f>
        <v>1.8397334818692346</v>
      </c>
      <c r="K338" s="52" cm="1">
        <f t="array" ref="K338">VLOOKUP(B338,D!A1:F204,6,FALSE)</f>
        <v>-157.92521333658047</v>
      </c>
      <c r="L338" s="54" cm="1">
        <f t="array" ref="L338">IFERROR(K338/H338,"N/A")</f>
        <v>-52.206682094737346</v>
      </c>
      <c r="M338" s="85" t="s">
        <v>832</v>
      </c>
      <c r="N338" s="85" t="str" cm="1">
        <f t="array" ref="N338">IFERROR(M338-A338,"N/A")</f>
        <v>N/A</v>
      </c>
      <c r="O338" s="55"/>
      <c r="P338" s="56" t="str" cm="1">
        <f t="array" ref="P338">_xlfn.XLOOKUP($B338,ADP!A2:A671,ADP!G2:G671)</f>
        <v xml:space="preserve"> </v>
      </c>
      <c r="Q338" s="57" cm="1">
        <f t="array" ref="Q338">IF(Settings!$E$12="YES",VLOOKUP(B338,'Player Data'!A1:E673,5,FALSE),84)</f>
        <v>80.842500000000001</v>
      </c>
      <c r="R338" s="84" cm="1">
        <f t="array" ref="R338">VLOOKUP(B338,'Player Data'!$A1:$AE673,6,FALSE)</f>
        <v>19.090902638031899</v>
      </c>
      <c r="S338" s="57" cm="1">
        <f t="array" ref="S338">VLOOKUP(B338,'Player Data'!$A1:$AE673,7,FALSE)*$Q338*IFERROR((VLOOKUP(P338,Settings!$E$28:$F$33,2,FALSE)+1),1)</f>
        <v>4.3504618706765488</v>
      </c>
      <c r="T338" s="57" cm="1">
        <f t="array" ref="T338">VLOOKUP(B338,'Player Data'!$A1:$AE673,8,FALSE)*$Q338*IFERROR((VLOOKUP(P338,Settings!$E$28:$F$33,2,FALSE)+1),1)</f>
        <v>14.39845250727844</v>
      </c>
      <c r="U338" s="57" cm="1">
        <f t="array" ref="U338">SUM(S338:T338)</f>
        <v>18.748914377954989</v>
      </c>
      <c r="V338" s="57" cm="1">
        <f t="array" ref="V338">VLOOKUP(B338,'Player Data'!$A1:$AE673,10,FALSE)*$Q338*IFERROR(((VLOOKUP(P338,Settings!$E$28:$F$33,2,FALSE)/2)+1),1)</f>
        <v>102.40532544915018</v>
      </c>
      <c r="W338" s="57" cm="1">
        <f t="array" ref="W338">VLOOKUP(B338,'Player Data'!$A1:$AE673,11,FALSE)*$Q338*IFERROR((VLOOKUP(P338,Settings!$E$28:$F$33,2,FALSE)+1),1)</f>
        <v>9.4762060019372273E-3</v>
      </c>
      <c r="X338" s="57" cm="1">
        <f t="array" ref="X338">VLOOKUP(B338,'Player Data'!$A1:$AE673,12,FALSE)*$Q338*IFERROR((VLOOKUP(P338,Settings!$E$28:$F$33,2,FALSE)+1),1)</f>
        <v>8.3451935822469028E-2</v>
      </c>
      <c r="Y338" s="57" cm="1">
        <f t="array" ref="Y338">VLOOKUP(B338,'Player Data'!$A1:$AE673,13,FALSE)*$Q338</f>
        <v>2.0356312512400127E-2</v>
      </c>
      <c r="Z338" s="57" cm="1">
        <f t="array" ref="Z338">VLOOKUP(B338,'Player Data'!$A1:$AE673,14,FALSE)*$Q338</f>
        <v>0.4189037315617235</v>
      </c>
      <c r="AA338" s="57" cm="1">
        <f t="array" ref="AA338">VLOOKUP(B338,'Player Data'!$A1:$AE673,15,FALSE)*$Q338</f>
        <v>81.553784964378664</v>
      </c>
      <c r="AB338" s="57" cm="1">
        <f t="array" ref="AB338">VLOOKUP(B338,'Player Data'!$A1:$AE673,16,FALSE)*$Q338</f>
        <v>54.628058118624217</v>
      </c>
      <c r="AC338" s="57" cm="1">
        <f t="array" ref="AC338">VLOOKUP(B338,'Player Data'!$A1:$AE673,17,FALSE)*$Q338*IFERROR((VLOOKUP(P338,Settings!$E$28:$F$33,2,FALSE)+1),1)</f>
        <v>6.094609255196989</v>
      </c>
      <c r="AD338" s="57" cm="1">
        <f t="array" ref="AD338">VLOOKUP(B338,'Player Data'!$A1:$AE673,18,FALSE)*$Q338</f>
        <v>32.177493072743552</v>
      </c>
      <c r="AE338" s="57" cm="1">
        <f t="array" ref="AE338">VLOOKUP(B338,'Player Data'!$A1:$AE673,19,FALSE)*$Q338*IFERROR((VLOOKUP(P338,Settings!$E$28:$F$33,2,FALSE)+1),1)</f>
        <v>0.74708643171916822</v>
      </c>
      <c r="AF338" s="57" cm="1">
        <f t="array" ref="AF338">VLOOKUP(B338,'Player Data'!$A1:$AE673,20,FALSE)*$Q338</f>
        <v>0</v>
      </c>
      <c r="AG338" s="57" cm="1">
        <f t="array" ref="AG338">VLOOKUP(B338,'Player Data'!$A1:$AE673,21,FALSE)*$Q338</f>
        <v>0</v>
      </c>
      <c r="AH338" s="59" cm="1">
        <f t="array" ref="AH338">VLOOKUP(B338,'Player Data'!$A1:$AE673,22,FALSE)</f>
        <v>0</v>
      </c>
      <c r="AI338" s="55"/>
      <c r="AJ338" s="57"/>
      <c r="AK338" s="57"/>
      <c r="AL338" s="57"/>
      <c r="AM338" s="57"/>
      <c r="AN338" s="57"/>
      <c r="AO338" s="57"/>
      <c r="AP338" s="57"/>
      <c r="AQ338" s="60"/>
      <c r="AR338" s="61"/>
      <c r="AS338" s="55"/>
    </row>
    <row r="339" spans="1:45" ht="21.25" customHeight="1" x14ac:dyDescent="0.15">
      <c r="A339" s="62">
        <f t="shared" si="5"/>
        <v>338</v>
      </c>
      <c r="B339" s="10" t="s">
        <v>467</v>
      </c>
      <c r="C339" s="47" t="s">
        <v>147</v>
      </c>
      <c r="D339" s="48" t="str" cm="1">
        <f t="array" ref="D339">VLOOKUP(B339,'Player Data'!A1:D673,4,FALSE)</f>
        <v>D</v>
      </c>
      <c r="E339" s="68" cm="1">
        <f t="array" ref="E339">VLOOKUP(B339,D!A1:C204,3,FALSE)</f>
        <v>139</v>
      </c>
      <c r="F339" s="63" t="str" cm="1">
        <f t="array" ref="F339">VLOOKUP(B339,'Player Data'!A1:B673,2,FALSE)</f>
        <v>WPG</v>
      </c>
      <c r="G339" s="66" cm="1">
        <f t="array" ref="G339">VLOOKUP(B339,'Player Data'!A1:D673,3,FALSE)</f>
        <v>33</v>
      </c>
      <c r="H339" s="51" cm="1">
        <f t="array" ref="H339">IFERROR(VLOOKUP(B339,ADP!A1:F671,6,FALSE)/1000000,VLOOKUP(B339,ADP!A1:F671,6,FALSE))</f>
        <v>4.9000000000000004</v>
      </c>
      <c r="I339" s="52">
        <f>IF(Settings!$E$15="POINTS",((R339*Q339)*Settings!$B$12)+(S339*Settings!$B$2)+(T339*Settings!$B$3)+(U339*Settings!$B$4)+(V339*Settings!$B$5)+(X339*Settings!$B$9)+(AA339*Settings!$B$6)+(W339*Settings!$B$8)+(AB339*Settings!$B$7)+(AC339*Settings!$B$14)+(AD339*Settings!$B$15)+(AE339*Settings!$B$16)+(AF339*Settings!$B$17)+(AG339*Settings!$B$18)+(U339*Settings!$B$13)+(Y339*Settings!$B$10)+(Z339*Settings!$B$11),VLOOKUP(B339,'Standard Deviations'!A$1:C$672,3,FALSE))</f>
        <v>148.22185214323531</v>
      </c>
      <c r="J339" s="53" cm="1">
        <f t="array" ref="J339">IF(D339="G",I339/AJ339,I339/Q339)</f>
        <v>1.7639158888877224</v>
      </c>
      <c r="K339" s="52" cm="1">
        <f t="array" ref="K339">VLOOKUP(B339,D!A1:F204,6,FALSE)</f>
        <v>-158.43201520135875</v>
      </c>
      <c r="L339" s="54" cm="1">
        <f t="array" ref="L339">IFERROR(K339/H339,"N/A")</f>
        <v>-32.333064326807907</v>
      </c>
      <c r="M339" s="85" t="s">
        <v>832</v>
      </c>
      <c r="N339" s="85" t="str" cm="1">
        <f t="array" ref="N339">IFERROR(M339-A339,"N/A")</f>
        <v>N/A</v>
      </c>
      <c r="O339" s="55"/>
      <c r="P339" s="56" t="str" cm="1">
        <f t="array" ref="P339">_xlfn.XLOOKUP($B339,ADP!A2:A671,ADP!G2:G671)</f>
        <v xml:space="preserve"> </v>
      </c>
      <c r="Q339" s="57" cm="1">
        <f t="array" ref="Q339">IF(Settings!$E$12="YES",VLOOKUP(B339,'Player Data'!A1:E673,5,FALSE),84)</f>
        <v>84.03</v>
      </c>
      <c r="R339" s="55" cm="1">
        <f t="array" ref="R339">VLOOKUP(B339,'Player Data'!$A1:$AE673,6,FALSE)</f>
        <v>21.430550120045702</v>
      </c>
      <c r="S339" s="57" cm="1">
        <f t="array" ref="S339">VLOOKUP(B339,'Player Data'!$A1:$AE673,7,FALSE)*$Q339*IFERROR((VLOOKUP(P339,Settings!$E$28:$F$33,2,FALSE)+1),1)</f>
        <v>1.1874327141205094</v>
      </c>
      <c r="T339" s="57" cm="1">
        <f t="array" ref="T339">VLOOKUP(B339,'Player Data'!$A1:$AE673,8,FALSE)*$Q339*IFERROR((VLOOKUP(P339,Settings!$E$28:$F$33,2,FALSE)+1),1)</f>
        <v>17.892656471384182</v>
      </c>
      <c r="U339" s="57" cm="1">
        <f t="array" ref="U339">SUM(S339:T339)</f>
        <v>19.08008918550469</v>
      </c>
      <c r="V339" s="57" cm="1">
        <f t="array" ref="V339">VLOOKUP(B339,'Player Data'!$A1:$AE673,10,FALSE)*$Q339*IFERROR(((VLOOKUP(P339,Settings!$E$28:$F$33,2,FALSE)/2)+1),1)</f>
        <v>61.649270480026559</v>
      </c>
      <c r="W339" s="57" cm="1">
        <f t="array" ref="W339">VLOOKUP(B339,'Player Data'!$A1:$AE673,11,FALSE)*$Q339*IFERROR((VLOOKUP(P339,Settings!$E$28:$F$33,2,FALSE)+1),1)</f>
        <v>2.7944653022725957E-3</v>
      </c>
      <c r="X339" s="57" cm="1">
        <f t="array" ref="X339">VLOOKUP(B339,'Player Data'!$A1:$AE673,12,FALSE)*$Q339*IFERROR((VLOOKUP(P339,Settings!$E$28:$F$33,2,FALSE)+1),1)</f>
        <v>8.0389625896932909E-2</v>
      </c>
      <c r="Y339" s="57" cm="1">
        <f t="array" ref="Y339">VLOOKUP(B339,'Player Data'!$A1:$AE673,13,FALSE)*$Q339</f>
        <v>6.7854587779679551E-3</v>
      </c>
      <c r="Z339" s="57" cm="1">
        <f t="array" ref="Z339">VLOOKUP(B339,'Player Data'!$A1:$AE673,14,FALSE)*$Q339</f>
        <v>0.83052368375747387</v>
      </c>
      <c r="AA339" s="57" cm="1">
        <f t="array" ref="AA339">VLOOKUP(B339,'Player Data'!$A1:$AE673,15,FALSE)*$Q339</f>
        <v>118.49207207410711</v>
      </c>
      <c r="AB339" s="57" cm="1">
        <f t="array" ref="AB339">VLOOKUP(B339,'Player Data'!$A1:$AE673,16,FALSE)*$Q339</f>
        <v>118.65916960813192</v>
      </c>
      <c r="AC339" s="57" cm="1">
        <f t="array" ref="AC339">VLOOKUP(B339,'Player Data'!$A1:$AE673,17,FALSE)*$Q339*IFERROR((VLOOKUP(P339,Settings!$E$28:$F$33,2,FALSE)+1),1)</f>
        <v>3.0945139185065438</v>
      </c>
      <c r="AD339" s="57" cm="1">
        <f t="array" ref="AD339">VLOOKUP(B339,'Player Data'!$A1:$AE673,18,FALSE)*$Q339</f>
        <v>39.665841002595293</v>
      </c>
      <c r="AE339" s="57" cm="1">
        <f t="array" ref="AE339">VLOOKUP(B339,'Player Data'!$A1:$AE673,19,FALSE)*$Q339*IFERROR((VLOOKUP(P339,Settings!$E$28:$F$33,2,FALSE)+1),1)</f>
        <v>0.20633989130304101</v>
      </c>
      <c r="AF339" s="57" cm="1">
        <f t="array" ref="AF339">VLOOKUP(B339,'Player Data'!$A1:$AE673,20,FALSE)*$Q339</f>
        <v>0</v>
      </c>
      <c r="AG339" s="57" cm="1">
        <f t="array" ref="AG339">VLOOKUP(B339,'Player Data'!$A1:$AE673,21,FALSE)*$Q339</f>
        <v>0</v>
      </c>
      <c r="AH339" s="59" cm="1">
        <f t="array" ref="AH339">VLOOKUP(B339,'Player Data'!$A1:$AE673,22,FALSE)</f>
        <v>0</v>
      </c>
      <c r="AI339" s="55"/>
      <c r="AJ339" s="57"/>
      <c r="AK339" s="57"/>
      <c r="AL339" s="57"/>
      <c r="AM339" s="57"/>
      <c r="AN339" s="57"/>
      <c r="AO339" s="57"/>
      <c r="AP339" s="57"/>
      <c r="AQ339" s="60"/>
      <c r="AR339" s="61"/>
      <c r="AS339" s="55"/>
    </row>
    <row r="340" spans="1:45" ht="21.25" customHeight="1" x14ac:dyDescent="0.15">
      <c r="A340" s="62">
        <f t="shared" si="5"/>
        <v>339</v>
      </c>
      <c r="B340" s="10" t="s">
        <v>468</v>
      </c>
      <c r="C340" s="47" t="s">
        <v>147</v>
      </c>
      <c r="D340" s="48" t="str" cm="1">
        <f t="array" ref="D340">VLOOKUP(B340,'Player Data'!A1:D673,4,FALSE)</f>
        <v>D</v>
      </c>
      <c r="E340" s="68" cm="1">
        <f t="array" ref="E340">VLOOKUP(B340,D!A1:C204,3,FALSE)</f>
        <v>140</v>
      </c>
      <c r="F340" s="50" t="str" cm="1">
        <f t="array" ref="F340">VLOOKUP(B340,'Player Data'!A1:B673,2,FALSE)</f>
        <v>ANA</v>
      </c>
      <c r="G340" s="71" cm="1">
        <f t="array" ref="G340">VLOOKUP(B340,'Player Data'!A1:D673,3,FALSE)</f>
        <v>24</v>
      </c>
      <c r="H340" s="51" cm="1">
        <f t="array" ref="H340">IFERROR(VLOOKUP(B340,ADP!A1:F671,6,FALSE)/1000000,VLOOKUP(B340,ADP!A1:F671,6,FALSE))</f>
        <v>1.1499999999999999</v>
      </c>
      <c r="I340" s="52">
        <f>IF(Settings!$E$15="POINTS",((R340*Q340)*Settings!$B$12)+(S340*Settings!$B$2)+(T340*Settings!$B$3)+(U340*Settings!$B$4)+(V340*Settings!$B$5)+(X340*Settings!$B$9)+(AA340*Settings!$B$6)+(W340*Settings!$B$8)+(AB340*Settings!$B$7)+(AC340*Settings!$B$14)+(AD340*Settings!$B$15)+(AE340*Settings!$B$16)+(AF340*Settings!$B$17)+(AG340*Settings!$B$18)+(U340*Settings!$B$13)+(Y340*Settings!$B$10)+(Z340*Settings!$B$11),VLOOKUP(B340,'Standard Deviations'!A$1:C$672,3,FALSE))</f>
        <v>147.74213638014885</v>
      </c>
      <c r="J340" s="53" cm="1">
        <f t="array" ref="J340">IF(D340="G",I340/AJ340,I340/Q340)</f>
        <v>1.8988771464577963</v>
      </c>
      <c r="K340" s="52" cm="1">
        <f t="array" ref="K340">VLOOKUP(B340,D!A1:F204,6,FALSE)</f>
        <v>-158.91173096444521</v>
      </c>
      <c r="L340" s="54" cm="1">
        <f t="array" ref="L340">IFERROR(K340/H340,"N/A")</f>
        <v>-138.18411388212627</v>
      </c>
      <c r="M340" s="85" t="s">
        <v>832</v>
      </c>
      <c r="N340" s="85" t="str" cm="1">
        <f t="array" ref="N340">IFERROR(M340-A340,"N/A")</f>
        <v>N/A</v>
      </c>
      <c r="O340" s="55"/>
      <c r="P340" s="56" t="str" cm="1">
        <f t="array" ref="P340">_xlfn.XLOOKUP($B340,ADP!A2:A671,ADP!G2:G671)</f>
        <v xml:space="preserve"> </v>
      </c>
      <c r="Q340" s="57" cm="1">
        <f t="array" ref="Q340">IF(Settings!$E$12="YES",VLOOKUP(B340,'Player Data'!A1:E673,5,FALSE),84)</f>
        <v>77.805000000000007</v>
      </c>
      <c r="R340" s="82" cm="1">
        <f t="array" ref="R340">VLOOKUP(B340,'Player Data'!$A1:$AE673,6,FALSE)</f>
        <v>15.9837157062716</v>
      </c>
      <c r="S340" s="57" cm="1">
        <f t="array" ref="S340">VLOOKUP(B340,'Player Data'!$A1:$AE673,7,FALSE)*$Q340*IFERROR((VLOOKUP(P340,Settings!$E$28:$F$33,2,FALSE)+1),1)</f>
        <v>5.0083242348383754</v>
      </c>
      <c r="T340" s="57" cm="1">
        <f t="array" ref="T340">VLOOKUP(B340,'Player Data'!$A1:$AE673,8,FALSE)*$Q340*IFERROR((VLOOKUP(P340,Settings!$E$28:$F$33,2,FALSE)+1),1)</f>
        <v>12.498557939225881</v>
      </c>
      <c r="U340" s="57" cm="1">
        <f t="array" ref="U340">SUM(S340:T340)</f>
        <v>17.506882174064256</v>
      </c>
      <c r="V340" s="57" cm="1">
        <f t="array" ref="V340">VLOOKUP(B340,'Player Data'!$A1:$AE673,10,FALSE)*$Q340*IFERROR(((VLOOKUP(P340,Settings!$E$28:$F$33,2,FALSE)/2)+1),1)</f>
        <v>86.756396962570548</v>
      </c>
      <c r="W340" s="57" cm="1">
        <f t="array" ref="W340">VLOOKUP(B340,'Player Data'!$A1:$AE673,11,FALSE)*$Q340*IFERROR((VLOOKUP(P340,Settings!$E$28:$F$33,2,FALSE)+1),1)</f>
        <v>1.1336383791300352E-2</v>
      </c>
      <c r="X340" s="57" cm="1">
        <f t="array" ref="X340">VLOOKUP(B340,'Player Data'!$A1:$AE673,12,FALSE)*$Q340*IFERROR((VLOOKUP(P340,Settings!$E$28:$F$33,2,FALSE)+1),1)</f>
        <v>8.4517776296601774E-2</v>
      </c>
      <c r="Y340" s="57" cm="1">
        <f t="array" ref="Y340">VLOOKUP(B340,'Player Data'!$A1:$AE673,13,FALSE)*$Q340</f>
        <v>4.8162806852652618E-2</v>
      </c>
      <c r="Z340" s="57" cm="1">
        <f t="array" ref="Z340">VLOOKUP(B340,'Player Data'!$A1:$AE673,14,FALSE)*$Q340</f>
        <v>0.95053916326827315</v>
      </c>
      <c r="AA340" s="57" cm="1">
        <f t="array" ref="AA340">VLOOKUP(B340,'Player Data'!$A1:$AE673,15,FALSE)*$Q340</f>
        <v>101.61646887421183</v>
      </c>
      <c r="AB340" s="57" cm="1">
        <f t="array" ref="AB340">VLOOKUP(B340,'Player Data'!$A1:$AE673,16,FALSE)*$Q340</f>
        <v>67.853979381931993</v>
      </c>
      <c r="AC340" s="57" cm="1">
        <f t="array" ref="AC340">VLOOKUP(B340,'Player Data'!$A1:$AE673,17,FALSE)*$Q340*IFERROR((VLOOKUP(P340,Settings!$E$28:$F$33,2,FALSE)+1),1)</f>
        <v>-3.599322224035284</v>
      </c>
      <c r="AD340" s="57" cm="1">
        <f t="array" ref="AD340">VLOOKUP(B340,'Player Data'!$A1:$AE673,18,FALSE)*$Q340</f>
        <v>30.590083188968119</v>
      </c>
      <c r="AE340" s="57" cm="1">
        <f t="array" ref="AE340">VLOOKUP(B340,'Player Data'!$A1:$AE673,19,FALSE)*$Q340*IFERROR((VLOOKUP(P340,Settings!$E$28:$F$33,2,FALSE)+1),1)</f>
        <v>0.73170181144721813</v>
      </c>
      <c r="AF340" s="57" cm="1">
        <f t="array" ref="AF340">VLOOKUP(B340,'Player Data'!$A1:$AE673,20,FALSE)*$Q340</f>
        <v>0</v>
      </c>
      <c r="AG340" s="57" cm="1">
        <f t="array" ref="AG340">VLOOKUP(B340,'Player Data'!$A1:$AE673,21,FALSE)*$Q340</f>
        <v>2.6885252676306481</v>
      </c>
      <c r="AH340" s="59" cm="1">
        <f t="array" ref="AH340">VLOOKUP(B340,'Player Data'!$A1:$AE673,22,FALSE)</f>
        <v>0</v>
      </c>
      <c r="AI340" s="55"/>
      <c r="AJ340" s="57"/>
      <c r="AK340" s="57"/>
      <c r="AL340" s="57"/>
      <c r="AM340" s="57"/>
      <c r="AN340" s="57"/>
      <c r="AO340" s="57"/>
      <c r="AP340" s="57"/>
      <c r="AQ340" s="60"/>
      <c r="AR340" s="61"/>
      <c r="AS340" s="55"/>
    </row>
    <row r="341" spans="1:45" ht="21.25" customHeight="1" x14ac:dyDescent="0.15">
      <c r="A341" s="62">
        <f t="shared" si="5"/>
        <v>340</v>
      </c>
      <c r="B341" s="10" t="s">
        <v>469</v>
      </c>
      <c r="C341" s="47" t="s">
        <v>147</v>
      </c>
      <c r="D341" s="48" t="str" cm="1">
        <f t="array" ref="D341">VLOOKUP(B341,'Player Data'!A1:D673,4,FALSE)</f>
        <v>D</v>
      </c>
      <c r="E341" s="68" cm="1">
        <f t="array" ref="E341">VLOOKUP(B341,D!A1:C204,3,FALSE)</f>
        <v>141</v>
      </c>
      <c r="F341" s="63" t="str" cm="1">
        <f t="array" ref="F341">VLOOKUP(B341,'Player Data'!A1:B673,2,FALSE)</f>
        <v>EDM</v>
      </c>
      <c r="G341" s="11" cm="1">
        <f t="array" ref="G341">VLOOKUP(B341,'Player Data'!A1:D673,3,FALSE)</f>
        <v>26</v>
      </c>
      <c r="H341" s="67" cm="1">
        <f t="array" ref="H341">IFERROR(VLOOKUP(B341,ADP!A1:F671,6,FALSE)/1000000,VLOOKUP(B341,ADP!A1:F671,6,FALSE))</f>
        <v>1.3</v>
      </c>
      <c r="I341" s="52">
        <f>IF(Settings!$E$15="POINTS",((R341*Q341)*Settings!$B$12)+(S341*Settings!$B$2)+(T341*Settings!$B$3)+(U341*Settings!$B$4)+(V341*Settings!$B$5)+(X341*Settings!$B$9)+(AA341*Settings!$B$6)+(W341*Settings!$B$8)+(AB341*Settings!$B$7)+(AC341*Settings!$B$14)+(AD341*Settings!$B$15)+(AE341*Settings!$B$16)+(AF341*Settings!$B$17)+(AG341*Settings!$B$18)+(U341*Settings!$B$13)+(Y341*Settings!$B$10)+(Z341*Settings!$B$11),VLOOKUP(B341,'Standard Deviations'!A$1:C$672,3,FALSE))</f>
        <v>146.97874719219143</v>
      </c>
      <c r="J341" s="53" cm="1">
        <f t="array" ref="J341">IF(D341="G",I341/AJ341,I341/Q341)</f>
        <v>1.8319674335309912</v>
      </c>
      <c r="K341" s="52" cm="1">
        <f t="array" ref="K341">VLOOKUP(B341,D!A1:F204,6,FALSE)</f>
        <v>-159.67512015240263</v>
      </c>
      <c r="L341" s="54" cm="1">
        <f t="array" ref="L341">IFERROR(K341/H341,"N/A")</f>
        <v>-122.82701550184817</v>
      </c>
      <c r="M341" s="85" t="s">
        <v>832</v>
      </c>
      <c r="N341" s="85" t="str" cm="1">
        <f t="array" ref="N341">IFERROR(M341-A341,"N/A")</f>
        <v>N/A</v>
      </c>
      <c r="O341" s="55"/>
      <c r="P341" s="56" t="str" cm="1">
        <f t="array" ref="P341">_xlfn.XLOOKUP($B341,ADP!A2:A671,ADP!G2:G671)</f>
        <v xml:space="preserve"> </v>
      </c>
      <c r="Q341" s="57" cm="1">
        <f t="array" ref="Q341">IF(Settings!$E$12="YES",VLOOKUP(B341,'Player Data'!A1:E673,5,FALSE),84)</f>
        <v>80.23</v>
      </c>
      <c r="R341" s="82" cm="1">
        <f t="array" ref="R341">VLOOKUP(B341,'Player Data'!$A1:$AE673,6,FALSE)</f>
        <v>17.2698256186974</v>
      </c>
      <c r="S341" s="57" cm="1">
        <f t="array" ref="S341">VLOOKUP(B341,'Player Data'!$A1:$AE673,7,FALSE)*$Q341*IFERROR((VLOOKUP(P341,Settings!$E$28:$F$33,2,FALSE)+1),1)</f>
        <v>3.0101544166011367</v>
      </c>
      <c r="T341" s="57" cm="1">
        <f t="array" ref="T341">VLOOKUP(B341,'Player Data'!$A1:$AE673,8,FALSE)*$Q341*IFERROR((VLOOKUP(P341,Settings!$E$28:$F$33,2,FALSE)+1),1)</f>
        <v>14.794531599787978</v>
      </c>
      <c r="U341" s="57" cm="1">
        <f t="array" ref="U341">SUM(S341:T341)</f>
        <v>17.804686016389116</v>
      </c>
      <c r="V341" s="57" cm="1">
        <f t="array" ref="V341">VLOOKUP(B341,'Player Data'!$A1:$AE673,10,FALSE)*$Q341*IFERROR(((VLOOKUP(P341,Settings!$E$28:$F$33,2,FALSE)/2)+1),1)</f>
        <v>67.815401706146261</v>
      </c>
      <c r="W341" s="57" cm="1">
        <f t="array" ref="W341">VLOOKUP(B341,'Player Data'!$A1:$AE673,11,FALSE)*$Q341*IFERROR((VLOOKUP(P341,Settings!$E$28:$F$33,2,FALSE)+1),1)</f>
        <v>2.2252868149043336E-3</v>
      </c>
      <c r="X341" s="57" cm="1">
        <f t="array" ref="X341">VLOOKUP(B341,'Player Data'!$A1:$AE673,12,FALSE)*$Q341*IFERROR((VLOOKUP(P341,Settings!$E$28:$F$33,2,FALSE)+1),1)</f>
        <v>2.6674883789081897E-2</v>
      </c>
      <c r="Y341" s="57" cm="1">
        <f t="array" ref="Y341">VLOOKUP(B341,'Player Data'!$A1:$AE673,13,FALSE)*$Q341</f>
        <v>2.1467679457277112E-2</v>
      </c>
      <c r="Z341" s="57" cm="1">
        <f t="array" ref="Z341">VLOOKUP(B341,'Player Data'!$A1:$AE673,14,FALSE)*$Q341</f>
        <v>0.28431971839241638</v>
      </c>
      <c r="AA341" s="57" cm="1">
        <f t="array" ref="AA341">VLOOKUP(B341,'Player Data'!$A1:$AE673,15,FALSE)*$Q341</f>
        <v>118.69198737553891</v>
      </c>
      <c r="AB341" s="57" cm="1">
        <f t="array" ref="AB341">VLOOKUP(B341,'Player Data'!$A1:$AE673,16,FALSE)*$Q341</f>
        <v>129.833081511394</v>
      </c>
      <c r="AC341" s="57" cm="1">
        <f t="array" ref="AC341">VLOOKUP(B341,'Player Data'!$A1:$AE673,17,FALSE)*$Q341*IFERROR((VLOOKUP(P341,Settings!$E$28:$F$33,2,FALSE)+1),1)</f>
        <v>5.021119448969972</v>
      </c>
      <c r="AD341" s="57" cm="1">
        <f t="array" ref="AD341">VLOOKUP(B341,'Player Data'!$A1:$AE673,18,FALSE)*$Q341</f>
        <v>26.328201597067789</v>
      </c>
      <c r="AE341" s="57" cm="1">
        <f t="array" ref="AE341">VLOOKUP(B341,'Player Data'!$A1:$AE673,19,FALSE)*$Q341*IFERROR((VLOOKUP(P341,Settings!$E$28:$F$33,2,FALSE)+1),1)</f>
        <v>0.52840718503418704</v>
      </c>
      <c r="AF341" s="57" cm="1">
        <f t="array" ref="AF341">VLOOKUP(B341,'Player Data'!$A1:$AE673,20,FALSE)*$Q341</f>
        <v>0</v>
      </c>
      <c r="AG341" s="57" cm="1">
        <f t="array" ref="AG341">VLOOKUP(B341,'Player Data'!$A1:$AE673,21,FALSE)*$Q341</f>
        <v>0</v>
      </c>
      <c r="AH341" s="59" cm="1">
        <f t="array" ref="AH341">VLOOKUP(B341,'Player Data'!$A1:$AE673,22,FALSE)</f>
        <v>0</v>
      </c>
      <c r="AI341" s="55"/>
      <c r="AJ341" s="57"/>
      <c r="AK341" s="57"/>
      <c r="AL341" s="57"/>
      <c r="AM341" s="57"/>
      <c r="AN341" s="57"/>
      <c r="AO341" s="57"/>
      <c r="AP341" s="57"/>
      <c r="AQ341" s="60"/>
      <c r="AR341" s="61"/>
      <c r="AS341" s="55"/>
    </row>
    <row r="342" spans="1:45" ht="21.25" customHeight="1" x14ac:dyDescent="0.15">
      <c r="A342" s="62">
        <f t="shared" si="5"/>
        <v>341</v>
      </c>
      <c r="B342" s="10" t="s">
        <v>470</v>
      </c>
      <c r="C342" s="47" t="s">
        <v>147</v>
      </c>
      <c r="D342" s="48" t="str" cm="1">
        <f t="array" ref="D342">VLOOKUP(B342,'Player Data'!A1:D673,4,FALSE)</f>
        <v>D</v>
      </c>
      <c r="E342" s="68" cm="1">
        <f t="array" ref="E342">VLOOKUP(B342,D!A1:C204,3,FALSE)</f>
        <v>142</v>
      </c>
      <c r="F342" s="72" t="str" cm="1">
        <f t="array" ref="F342">VLOOKUP(B342,'Player Data'!A1:B673,2,FALSE)</f>
        <v>PIT</v>
      </c>
      <c r="G342" s="11" cm="1">
        <f t="array" ref="G342">VLOOKUP(B342,'Player Data'!A1:D673,3,FALSE)</f>
        <v>28</v>
      </c>
      <c r="H342" s="67" cm="1">
        <f t="array" ref="H342">IFERROR(VLOOKUP(B342,ADP!A1:F671,6,FALSE)/1000000,VLOOKUP(B342,ADP!A1:F671,6,FALSE))</f>
        <v>5</v>
      </c>
      <c r="I342" s="52">
        <f>IF(Settings!$E$15="POINTS",((R342*Q342)*Settings!$B$12)+(S342*Settings!$B$2)+(T342*Settings!$B$3)+(U342*Settings!$B$4)+(V342*Settings!$B$5)+(X342*Settings!$B$9)+(AA342*Settings!$B$6)+(W342*Settings!$B$8)+(AB342*Settings!$B$7)+(AC342*Settings!$B$14)+(AD342*Settings!$B$15)+(AE342*Settings!$B$16)+(AF342*Settings!$B$17)+(AG342*Settings!$B$18)+(U342*Settings!$B$13)+(Y342*Settings!$B$10)+(Z342*Settings!$B$11),VLOOKUP(B342,'Standard Deviations'!A$1:C$672,3,FALSE))</f>
        <v>146.44767816990642</v>
      </c>
      <c r="J342" s="53" cm="1">
        <f t="array" ref="J342">IF(D342="G",I342/AJ342,I342/Q342)</f>
        <v>1.9121616212816244</v>
      </c>
      <c r="K342" s="52" cm="1">
        <f t="array" ref="K342">VLOOKUP(B342,D!A1:F204,6,FALSE)</f>
        <v>-160.20618917468764</v>
      </c>
      <c r="L342" s="54" cm="1">
        <f t="array" ref="L342">IFERROR(K342/H342,"N/A")</f>
        <v>-32.041237834937526</v>
      </c>
      <c r="M342" s="85" t="s">
        <v>832</v>
      </c>
      <c r="N342" s="85" t="str" cm="1">
        <f t="array" ref="N342">IFERROR(M342-A342,"N/A")</f>
        <v>N/A</v>
      </c>
      <c r="O342" s="55"/>
      <c r="P342" s="56" t="str" cm="1">
        <f t="array" ref="P342">_xlfn.XLOOKUP($B342,ADP!A2:A671,ADP!G2:G671)</f>
        <v xml:space="preserve"> </v>
      </c>
      <c r="Q342" s="57" cm="1">
        <f t="array" ref="Q342">IF(Settings!$E$12="YES",VLOOKUP(B342,'Player Data'!A1:E673,5,FALSE),84)</f>
        <v>76.587500000000006</v>
      </c>
      <c r="R342" s="55" cm="1">
        <f t="array" ref="R342">VLOOKUP(B342,'Player Data'!$A1:$AE673,6,FALSE)</f>
        <v>18.331920631986801</v>
      </c>
      <c r="S342" s="57" cm="1">
        <f t="array" ref="S342">VLOOKUP(B342,'Player Data'!$A1:$AE673,7,FALSE)*$Q342*IFERROR((VLOOKUP(P342,Settings!$E$28:$F$33,2,FALSE)+1),1)</f>
        <v>3.1461357087435431</v>
      </c>
      <c r="T342" s="57" cm="1">
        <f t="array" ref="T342">VLOOKUP(B342,'Player Data'!$A1:$AE673,8,FALSE)*$Q342*IFERROR((VLOOKUP(P342,Settings!$E$28:$F$33,2,FALSE)+1),1)</f>
        <v>18.760202593309184</v>
      </c>
      <c r="U342" s="57" cm="1">
        <f t="array" ref="U342">SUM(S342:T342)</f>
        <v>21.906338302052728</v>
      </c>
      <c r="V342" s="57" cm="1">
        <f t="array" ref="V342">VLOOKUP(B342,'Player Data'!$A1:$AE673,10,FALSE)*$Q342*IFERROR(((VLOOKUP(P342,Settings!$E$28:$F$33,2,FALSE)/2)+1),1)</f>
        <v>68.996122393896087</v>
      </c>
      <c r="W342" s="57" cm="1">
        <f t="array" ref="W342">VLOOKUP(B342,'Player Data'!$A1:$AE673,11,FALSE)*$Q342*IFERROR((VLOOKUP(P342,Settings!$E$28:$F$33,2,FALSE)+1),1)</f>
        <v>3.7424842910398115E-3</v>
      </c>
      <c r="X342" s="57" cm="1">
        <f t="array" ref="X342">VLOOKUP(B342,'Player Data'!$A1:$AE673,12,FALSE)*$Q342*IFERROR((VLOOKUP(P342,Settings!$E$28:$F$33,2,FALSE)+1),1)</f>
        <v>7.1134251554081415E-2</v>
      </c>
      <c r="Y342" s="57" cm="1">
        <f t="array" ref="Y342">VLOOKUP(B342,'Player Data'!$A1:$AE673,13,FALSE)*$Q342</f>
        <v>2.0546773917614336E-2</v>
      </c>
      <c r="Z342" s="57" cm="1">
        <f t="array" ref="Z342">VLOOKUP(B342,'Player Data'!$A1:$AE673,14,FALSE)*$Q342</f>
        <v>8.0512016149741503E-2</v>
      </c>
      <c r="AA342" s="57" cm="1">
        <f t="array" ref="AA342">VLOOKUP(B342,'Player Data'!$A1:$AE673,15,FALSE)*$Q342</f>
        <v>92.157911598192726</v>
      </c>
      <c r="AB342" s="57" cm="1">
        <f t="array" ref="AB342">VLOOKUP(B342,'Player Data'!$A1:$AE673,16,FALSE)*$Q342</f>
        <v>49.131468314816352</v>
      </c>
      <c r="AC342" s="57" cm="1">
        <f t="array" ref="AC342">VLOOKUP(B342,'Player Data'!$A1:$AE673,17,FALSE)*$Q342*IFERROR((VLOOKUP(P342,Settings!$E$28:$F$33,2,FALSE)+1),1)</f>
        <v>0.20798825857414072</v>
      </c>
      <c r="AD342" s="57" cm="1">
        <f t="array" ref="AD342">VLOOKUP(B342,'Player Data'!$A1:$AE673,18,FALSE)*$Q342</f>
        <v>22.356328187613308</v>
      </c>
      <c r="AE342" s="57" cm="1">
        <f t="array" ref="AE342">VLOOKUP(B342,'Player Data'!$A1:$AE673,19,FALSE)*$Q342*IFERROR((VLOOKUP(P342,Settings!$E$28:$F$33,2,FALSE)+1),1)</f>
        <v>0.4561496952074513</v>
      </c>
      <c r="AF342" s="57" cm="1">
        <f t="array" ref="AF342">VLOOKUP(B342,'Player Data'!$A1:$AE673,20,FALSE)*$Q342</f>
        <v>0</v>
      </c>
      <c r="AG342" s="57" cm="1">
        <f t="array" ref="AG342">VLOOKUP(B342,'Player Data'!$A1:$AE673,21,FALSE)*$Q342</f>
        <v>0</v>
      </c>
      <c r="AH342" s="59" cm="1">
        <f t="array" ref="AH342">VLOOKUP(B342,'Player Data'!$A1:$AE673,22,FALSE)</f>
        <v>0</v>
      </c>
      <c r="AI342" s="55"/>
      <c r="AJ342" s="57"/>
      <c r="AK342" s="57"/>
      <c r="AL342" s="57"/>
      <c r="AM342" s="57"/>
      <c r="AN342" s="57"/>
      <c r="AO342" s="57"/>
      <c r="AP342" s="57"/>
      <c r="AQ342" s="60"/>
      <c r="AR342" s="61"/>
      <c r="AS342" s="55"/>
    </row>
    <row r="343" spans="1:45" ht="21.25" customHeight="1" x14ac:dyDescent="0.15">
      <c r="A343" s="62">
        <f t="shared" si="5"/>
        <v>342</v>
      </c>
      <c r="B343" s="10" t="s">
        <v>471</v>
      </c>
      <c r="C343" s="47" t="s">
        <v>147</v>
      </c>
      <c r="D343" s="48" t="str" cm="1">
        <f t="array" ref="D343">VLOOKUP(B343,'Player Data'!A1:D673,4,FALSE)</f>
        <v>LW</v>
      </c>
      <c r="E343" s="75" cm="1">
        <f t="array" ref="E343">VLOOKUP(B343,LW!A1:C210,3,FALSE)</f>
        <v>79</v>
      </c>
      <c r="F343" s="69" t="str" cm="1">
        <f t="array" ref="F343">VLOOKUP(B343,'Player Data'!A1:B673,2,FALSE)</f>
        <v>CBJ</v>
      </c>
      <c r="G343" s="11" cm="1">
        <f t="array" ref="G343">VLOOKUP(B343,'Player Data'!A1:D673,3,FALSE)</f>
        <v>25</v>
      </c>
      <c r="H343" s="67" cm="1">
        <f t="array" ref="H343">IFERROR(VLOOKUP(B343,ADP!A1:F671,6,FALSE)/1000000,VLOOKUP(B343,ADP!A1:F671,6,FALSE))</f>
        <v>4.1749999999999998</v>
      </c>
      <c r="I343" s="52">
        <f>IF(Settings!$E$15="POINTS",((R343*Q343)*Settings!$B$12)+(S343*Settings!$B$2)+(T343*Settings!$B$3)+(U343*Settings!$B$4)+(V343*Settings!$B$5)+(X343*Settings!$B$9)+(AA343*Settings!$B$6)+(W343*Settings!$B$8)+(AB343*Settings!$B$7)+(AC343*Settings!$B$14)+(AD343*Settings!$B$15)+(AE343*Settings!$B$16)+(AF343*Settings!$B$17)+(AG343*Settings!$B$18)+(Y343*Settings!$B$10)+(Z343*Settings!$B$11),VLOOKUP(B343,'Standard Deviations'!A$1:C$672,3,FALSE))</f>
        <v>239.05364304708453</v>
      </c>
      <c r="J343" s="53" cm="1">
        <f t="array" ref="J343">IF(D343="G",I343/AJ343,I343/Q343)</f>
        <v>3.0367586769192649</v>
      </c>
      <c r="K343" s="52" cm="1">
        <f t="array" ref="K343">IF(Settings!$E$18="C/LW/RW",VLOOKUP(B343,LW!A1:F210,6,FALSE),VLOOKUP(B343,F!A1:F407,6,FALSE))</f>
        <v>-160.25935026663555</v>
      </c>
      <c r="L343" s="54" cm="1">
        <f t="array" ref="L343">IFERROR(K343/H343,"N/A")</f>
        <v>-38.385473117757023</v>
      </c>
      <c r="M343" s="85" t="s">
        <v>832</v>
      </c>
      <c r="N343" s="85" t="str" cm="1">
        <f t="array" ref="N343">IFERROR(M343-A343,"N/A")</f>
        <v>N/A</v>
      </c>
      <c r="O343" s="55"/>
      <c r="P343" s="56" t="str" cm="1">
        <f t="array" ref="P343">_xlfn.XLOOKUP($B343,ADP!A2:A671,ADP!G2:G671)</f>
        <v xml:space="preserve"> </v>
      </c>
      <c r="Q343" s="57" cm="1">
        <f t="array" ref="Q343">IF(Settings!$E$12="YES",VLOOKUP(B343,'Player Data'!A1:E673,5,FALSE),84)</f>
        <v>78.72</v>
      </c>
      <c r="R343" s="82" cm="1">
        <f t="array" ref="R343">VLOOKUP(B343,'Player Data'!$A1:$AE673,6,FALSE)</f>
        <v>15.1187832627223</v>
      </c>
      <c r="S343" s="57" cm="1">
        <f t="array" ref="S343">VLOOKUP(B343,'Player Data'!$A1:$AE673,7,FALSE)*$Q343*IFERROR((VLOOKUP(P343,Settings!$E$28:$F$33,2,FALSE)+1),1)</f>
        <v>21.770949138201829</v>
      </c>
      <c r="T343" s="57" cm="1">
        <f t="array" ref="T343">VLOOKUP(B343,'Player Data'!$A1:$AE673,8,FALSE)*$Q343*IFERROR((VLOOKUP(P343,Settings!$E$28:$F$33,2,FALSE)+1),1)</f>
        <v>22.287978626109492</v>
      </c>
      <c r="U343" s="57" cm="1">
        <f t="array" ref="U343">SUM(S343:T343)</f>
        <v>44.058927764311321</v>
      </c>
      <c r="V343" s="57" cm="1">
        <f t="array" ref="V343">VLOOKUP(B343,'Player Data'!$A1:$AE673,10,FALSE)*$Q343*IFERROR(((VLOOKUP(P343,Settings!$E$28:$F$33,2,FALSE)/2)+1),1)</f>
        <v>149.58632213196699</v>
      </c>
      <c r="W343" s="57" cm="1">
        <f t="array" ref="W343">VLOOKUP(B343,'Player Data'!$A1:$AE673,11,FALSE)*$Q343*IFERROR((VLOOKUP(P343,Settings!$E$28:$F$33,2,FALSE)+1),1)</f>
        <v>8.265724094231695</v>
      </c>
      <c r="X343" s="79" cm="1">
        <f t="array" ref="X343">VLOOKUP(B343,'Player Data'!$A1:$AE673,12,FALSE)*$Q343*IFERROR((VLOOKUP(P343,Settings!$E$28:$F$33,2,FALSE)+1),1)</f>
        <v>12.145311452844242</v>
      </c>
      <c r="Y343" s="57" cm="1">
        <f t="array" ref="Y343">VLOOKUP(B343,'Player Data'!$A1:$AE673,13,FALSE)*$Q343</f>
        <v>2.9508820930926154E-3</v>
      </c>
      <c r="Z343" s="57" cm="1">
        <f t="array" ref="Z343">VLOOKUP(B343,'Player Data'!$A1:$AE673,14,FALSE)*$Q343</f>
        <v>4.8471693843540513E-3</v>
      </c>
      <c r="AA343" s="57" cm="1">
        <f t="array" ref="AA343">VLOOKUP(B343,'Player Data'!$A1:$AE673,15,FALSE)*$Q343</f>
        <v>39.867080131876904</v>
      </c>
      <c r="AB343" s="57" cm="1">
        <f t="array" ref="AB343">VLOOKUP(B343,'Player Data'!$A1:$AE673,16,FALSE)*$Q343</f>
        <v>109.26874119445517</v>
      </c>
      <c r="AC343" s="57" cm="1">
        <f t="array" ref="AC343">VLOOKUP(B343,'Player Data'!$A1:$AE673,17,FALSE)*$Q343*IFERROR((VLOOKUP(P343,Settings!$E$28:$F$33,2,FALSE)+1),1)</f>
        <v>3.4242710294654857</v>
      </c>
      <c r="AD343" s="57" cm="1">
        <f t="array" ref="AD343">VLOOKUP(B343,'Player Data'!$A1:$AE673,18,FALSE)*$Q343</f>
        <v>50.546587151983559</v>
      </c>
      <c r="AE343" s="57" cm="1">
        <f t="array" ref="AE343">VLOOKUP(B343,'Player Data'!$A1:$AE673,19,FALSE)*$Q343*IFERROR((VLOOKUP(P343,Settings!$E$28:$F$33,2,FALSE)+1),1)</f>
        <v>3.508197666771498</v>
      </c>
      <c r="AF343" s="57" cm="1">
        <f t="array" ref="AF343">VLOOKUP(B343,'Player Data'!$A1:$AE673,20,FALSE)*$Q343</f>
        <v>56.672541701711623</v>
      </c>
      <c r="AG343" s="57" cm="1">
        <f t="array" ref="AG343">VLOOKUP(B343,'Player Data'!$A1:$AE673,21,FALSE)*$Q343</f>
        <v>102.04069595147945</v>
      </c>
      <c r="AH343" s="59" cm="1">
        <f t="array" ref="AH343">VLOOKUP(B343,'Player Data'!$A1:$AE673,22,FALSE)</f>
        <v>0.35707507791850701</v>
      </c>
      <c r="AI343" s="55"/>
      <c r="AJ343" s="57"/>
      <c r="AK343" s="57"/>
      <c r="AL343" s="57"/>
      <c r="AM343" s="57"/>
      <c r="AN343" s="57"/>
      <c r="AO343" s="57"/>
      <c r="AP343" s="57"/>
      <c r="AQ343" s="60"/>
      <c r="AR343" s="61"/>
      <c r="AS343" s="55"/>
    </row>
    <row r="344" spans="1:45" ht="21.25" customHeight="1" x14ac:dyDescent="0.15">
      <c r="A344" s="62">
        <f t="shared" si="5"/>
        <v>343</v>
      </c>
      <c r="B344" s="10" t="s">
        <v>472</v>
      </c>
      <c r="C344" s="47" t="s">
        <v>147</v>
      </c>
      <c r="D344" s="48" t="str" cm="1">
        <f t="array" ref="D344">VLOOKUP(B344,'Player Data'!A1:D673,4,FALSE)</f>
        <v>C,RW</v>
      </c>
      <c r="E344" s="74" cm="1">
        <f t="array" ref="E344">VLOOKUP(B344,RW!A1:F210,3,FALSE)</f>
        <v>91</v>
      </c>
      <c r="F344" s="69" t="str" cm="1">
        <f t="array" ref="F344">VLOOKUP(B344,'Player Data'!A1:B673,2,FALSE)</f>
        <v>N.J</v>
      </c>
      <c r="G344" s="71" cm="1">
        <f t="array" ref="G344">VLOOKUP(B344,'Player Data'!A1:D673,3,FALSE)</f>
        <v>24</v>
      </c>
      <c r="H344" s="67" cm="1">
        <f t="array" ref="H344">IFERROR(VLOOKUP(B344,ADP!A1:F671,6,FALSE)/1000000,VLOOKUP(B344,ADP!A1:F671,6,FALSE))</f>
        <v>4</v>
      </c>
      <c r="I344" s="52">
        <f>IF(Settings!$E$15="POINTS",((R344*Q344)*Settings!$B$12)+(S344*Settings!$B$2)+(T344*Settings!$B$3)+(U344*Settings!$B$4)+(V344*Settings!$B$5)+(X344*Settings!$B$9)+(AA344*Settings!$B$6)+(W344*Settings!$B$8)+(AB344*Settings!$B$7)+(AC344*Settings!$B$14)+(AD344*Settings!$B$15)+(AE344*Settings!$B$16)+(AF344*Settings!$B$17)+(AG344*Settings!$B$18)+(Y344*Settings!$B$10)+(Z344*Settings!$B$11),VLOOKUP(B344,'Standard Deviations'!A$1:C$672,3,FALSE))</f>
        <v>234.35865127818147</v>
      </c>
      <c r="J344" s="53" cm="1">
        <f t="array" ref="J344">IF(D344="G",I344/AJ344,I344/Q344)</f>
        <v>2.788987876689057</v>
      </c>
      <c r="K344" s="52" cm="1">
        <f t="array" ref="K344">IF(Settings!$E$18="C/LW/RW",VLOOKUP(B344,RW!A1:F210,6,FALSE),VLOOKUP(B344,F!A1:F407,6,FALSE))</f>
        <v>-160.584813415376</v>
      </c>
      <c r="L344" s="54" cm="1">
        <f t="array" ref="L344">IFERROR(K344/H344,"N/A")</f>
        <v>-40.146203353844001</v>
      </c>
      <c r="M344" s="85" t="s">
        <v>832</v>
      </c>
      <c r="N344" s="85" t="str" cm="1">
        <f t="array" ref="N344">IFERROR(M344-A344,"N/A")</f>
        <v>N/A</v>
      </c>
      <c r="O344" s="55"/>
      <c r="P344" s="56" t="str" cm="1">
        <f t="array" ref="P344">_xlfn.XLOOKUP($B344,ADP!A2:A671,ADP!G2:G671)</f>
        <v xml:space="preserve"> </v>
      </c>
      <c r="Q344" s="57" cm="1">
        <f t="array" ref="Q344">IF(Settings!$E$12="YES",VLOOKUP(B344,'Player Data'!A1:E673,5,FALSE),84)</f>
        <v>84.03</v>
      </c>
      <c r="R344" s="55" cm="1">
        <f t="array" ref="R344">VLOOKUP(B344,'Player Data'!$A1:$AE673,6,FALSE)</f>
        <v>17.824040936512301</v>
      </c>
      <c r="S344" s="57" cm="1">
        <f t="array" ref="S344">VLOOKUP(B344,'Player Data'!$A1:$AE673,7,FALSE)*$Q344*IFERROR((VLOOKUP(P344,Settings!$E$28:$F$33,2,FALSE)+1),1)</f>
        <v>20.259666720591969</v>
      </c>
      <c r="T344" s="57" cm="1">
        <f t="array" ref="T344">VLOOKUP(B344,'Player Data'!$A1:$AE673,8,FALSE)*$Q344*IFERROR((VLOOKUP(P344,Settings!$E$28:$F$33,2,FALSE)+1),1)</f>
        <v>20.896979747335312</v>
      </c>
      <c r="U344" s="57" cm="1">
        <f t="array" ref="U344">SUM(S344:T344)</f>
        <v>41.156646467927281</v>
      </c>
      <c r="V344" s="57" cm="1">
        <f t="array" ref="V344">VLOOKUP(B344,'Player Data'!$A1:$AE673,10,FALSE)*$Q344*IFERROR(((VLOOKUP(P344,Settings!$E$28:$F$33,2,FALSE)/2)+1),1)</f>
        <v>154.29674502197727</v>
      </c>
      <c r="W344" s="57" cm="1">
        <f t="array" ref="W344">VLOOKUP(B344,'Player Data'!$A1:$AE673,11,FALSE)*$Q344*IFERROR((VLOOKUP(P344,Settings!$E$28:$F$33,2,FALSE)+1),1)</f>
        <v>3.747154389399495</v>
      </c>
      <c r="X344" s="57" cm="1">
        <f t="array" ref="X344">VLOOKUP(B344,'Player Data'!$A1:$AE673,12,FALSE)*$Q344*IFERROR((VLOOKUP(P344,Settings!$E$28:$F$33,2,FALSE)+1),1)</f>
        <v>6.6869906515459538</v>
      </c>
      <c r="Y344" s="57" cm="1">
        <f t="array" ref="Y344">VLOOKUP(B344,'Player Data'!$A1:$AE673,13,FALSE)*$Q344</f>
        <v>1.382438152280256</v>
      </c>
      <c r="Z344" s="57" cm="1">
        <f t="array" ref="Z344">VLOOKUP(B344,'Player Data'!$A1:$AE673,14,FALSE)*$Q344</f>
        <v>1.4819539155365662</v>
      </c>
      <c r="AA344" s="57" cm="1">
        <f t="array" ref="AA344">VLOOKUP(B344,'Player Data'!$A1:$AE673,15,FALSE)*$Q344</f>
        <v>51.142789592656904</v>
      </c>
      <c r="AB344" s="57" cm="1">
        <f t="array" ref="AB344">VLOOKUP(B344,'Player Data'!$A1:$AE673,16,FALSE)*$Q344</f>
        <v>41.576787792682012</v>
      </c>
      <c r="AC344" s="57" cm="1">
        <f t="array" ref="AC344">VLOOKUP(B344,'Player Data'!$A1:$AE673,17,FALSE)*$Q344*IFERROR((VLOOKUP(P344,Settings!$E$28:$F$33,2,FALSE)+1),1)</f>
        <v>-6.651017945025943E-2</v>
      </c>
      <c r="AD344" s="57" cm="1">
        <f t="array" ref="AD344">VLOOKUP(B344,'Player Data'!$A1:$AE673,18,FALSE)*$Q344</f>
        <v>23.240963857783843</v>
      </c>
      <c r="AE344" s="57" cm="1">
        <f t="array" ref="AE344">VLOOKUP(B344,'Player Data'!$A1:$AE673,19,FALSE)*$Q344*IFERROR((VLOOKUP(P344,Settings!$E$28:$F$33,2,FALSE)+1),1)</f>
        <v>3.0281276382223079</v>
      </c>
      <c r="AF344" s="57" cm="1">
        <f t="array" ref="AF344">VLOOKUP(B344,'Player Data'!$A1:$AE673,20,FALSE)*$Q344</f>
        <v>115.6775179204745</v>
      </c>
      <c r="AG344" s="57" cm="1">
        <f t="array" ref="AG344">VLOOKUP(B344,'Player Data'!$A1:$AE673,21,FALSE)*$Q344</f>
        <v>168.01907799973765</v>
      </c>
      <c r="AH344" s="59" cm="1">
        <f t="array" ref="AH344">VLOOKUP(B344,'Player Data'!$A1:$AE673,22,FALSE)</f>
        <v>0.40775081401755198</v>
      </c>
      <c r="AI344" s="55"/>
      <c r="AJ344" s="57"/>
      <c r="AK344" s="57"/>
      <c r="AL344" s="57"/>
      <c r="AM344" s="57"/>
      <c r="AN344" s="57"/>
      <c r="AO344" s="57"/>
      <c r="AP344" s="57"/>
      <c r="AQ344" s="60"/>
      <c r="AR344" s="61"/>
      <c r="AS344" s="55"/>
    </row>
    <row r="345" spans="1:45" ht="21.25" customHeight="1" x14ac:dyDescent="0.15">
      <c r="A345" s="62">
        <f t="shared" si="5"/>
        <v>344</v>
      </c>
      <c r="B345" s="10" t="s">
        <v>473</v>
      </c>
      <c r="C345" s="47" t="s">
        <v>147</v>
      </c>
      <c r="D345" s="48" t="str" cm="1">
        <f t="array" ref="D345">VLOOKUP(B345,'Player Data'!A1:D673,4,FALSE)</f>
        <v>LW,RW</v>
      </c>
      <c r="E345" s="74" cm="1">
        <f t="array" ref="E345">VLOOKUP(B345,RW!A1:F210,3,FALSE)</f>
        <v>92</v>
      </c>
      <c r="F345" s="63" t="str" cm="1">
        <f t="array" ref="F345">VLOOKUP(B345,'Player Data'!A1:B673,2,FALSE)</f>
        <v>CGY</v>
      </c>
      <c r="G345" s="11" cm="1">
        <f t="array" ref="G345">VLOOKUP(B345,'Player Data'!A1:D673,3,FALSE)</f>
        <v>26</v>
      </c>
      <c r="H345" s="51" cm="1">
        <f t="array" ref="H345">IFERROR(VLOOKUP(B345,ADP!A1:F671,6,FALSE)/1000000,VLOOKUP(B345,ADP!A1:F671,6,FALSE))</f>
        <v>5</v>
      </c>
      <c r="I345" s="52">
        <f>IF(Settings!$E$15="POINTS",((R345*Q345)*Settings!$B$12)+(S345*Settings!$B$2)+(T345*Settings!$B$3)+(U345*Settings!$B$4)+(V345*Settings!$B$5)+(X345*Settings!$B$9)+(AA345*Settings!$B$6)+(W345*Settings!$B$8)+(AB345*Settings!$B$7)+(AC345*Settings!$B$14)+(AD345*Settings!$B$15)+(AE345*Settings!$B$16)+(AF345*Settings!$B$17)+(AG345*Settings!$B$18)+(Y345*Settings!$B$10)+(Z345*Settings!$B$11),VLOOKUP(B345,'Standard Deviations'!A$1:C$672,3,FALSE))</f>
        <v>234.23682361122701</v>
      </c>
      <c r="J345" s="53" cm="1">
        <f t="array" ref="J345">IF(D345="G",I345/AJ345,I345/Q345)</f>
        <v>2.7921068463954111</v>
      </c>
      <c r="K345" s="52" cm="1">
        <f t="array" ref="K345">IF(Settings!$E$18="C/LW/RW",VLOOKUP(B345,RW!A1:F210,6,FALSE),VLOOKUP(B345,F!A1:F407,6,FALSE))</f>
        <v>-160.70664108233046</v>
      </c>
      <c r="L345" s="54" cm="1">
        <f t="array" ref="L345">IFERROR(K345/H345,"N/A")</f>
        <v>-32.141328216466093</v>
      </c>
      <c r="M345" s="85" t="s">
        <v>832</v>
      </c>
      <c r="N345" s="85" t="str" cm="1">
        <f t="array" ref="N345">IFERROR(M345-A345,"N/A")</f>
        <v>N/A</v>
      </c>
      <c r="O345" s="55"/>
      <c r="P345" s="56" t="str" cm="1">
        <f t="array" ref="P345">_xlfn.XLOOKUP($B345,ADP!A2:A671,ADP!G2:G671)</f>
        <v xml:space="preserve"> </v>
      </c>
      <c r="Q345" s="57" cm="1">
        <f t="array" ref="Q345">IF(Settings!$E$12="YES",VLOOKUP(B345,'Player Data'!A1:E673,5,FALSE),84)</f>
        <v>83.892499999999998</v>
      </c>
      <c r="R345" s="55" cm="1">
        <f t="array" ref="R345">VLOOKUP(B345,'Player Data'!$A1:$AE673,6,FALSE)</f>
        <v>17.119818721417602</v>
      </c>
      <c r="S345" s="57" cm="1">
        <f t="array" ref="S345">VLOOKUP(B345,'Player Data'!$A1:$AE673,7,FALSE)*$Q345*IFERROR((VLOOKUP(P345,Settings!$E$28:$F$33,2,FALSE)+1),1)</f>
        <v>19.526363473697664</v>
      </c>
      <c r="T345" s="57" cm="1">
        <f t="array" ref="T345">VLOOKUP(B345,'Player Data'!$A1:$AE673,8,FALSE)*$Q345*IFERROR((VLOOKUP(P345,Settings!$E$28:$F$33,2,FALSE)+1),1)</f>
        <v>20.497963407416758</v>
      </c>
      <c r="U345" s="57" cm="1">
        <f t="array" ref="U345">SUM(S345:T345)</f>
        <v>40.024326881114419</v>
      </c>
      <c r="V345" s="57" cm="1">
        <f t="array" ref="V345">VLOOKUP(B345,'Player Data'!$A1:$AE673,10,FALSE)*$Q345*IFERROR(((VLOOKUP(P345,Settings!$E$28:$F$33,2,FALSE)/2)+1),1)</f>
        <v>157.84636371142321</v>
      </c>
      <c r="W345" s="57" cm="1">
        <f t="array" ref="W345">VLOOKUP(B345,'Player Data'!$A1:$AE673,11,FALSE)*$Q345*IFERROR((VLOOKUP(P345,Settings!$E$28:$F$33,2,FALSE)+1),1)</f>
        <v>1.0039654212732629</v>
      </c>
      <c r="X345" s="57" cm="1">
        <f t="array" ref="X345">VLOOKUP(B345,'Player Data'!$A1:$AE673,12,FALSE)*$Q345*IFERROR((VLOOKUP(P345,Settings!$E$28:$F$33,2,FALSE)+1),1)</f>
        <v>3.7392545255175098</v>
      </c>
      <c r="Y345" s="57" cm="1">
        <f t="array" ref="Y345">VLOOKUP(B345,'Player Data'!$A1:$AE673,13,FALSE)*$Q345</f>
        <v>2.6515878410419682</v>
      </c>
      <c r="Z345" s="57" cm="1">
        <f t="array" ref="Z345">VLOOKUP(B345,'Player Data'!$A1:$AE673,14,FALSE)*$Q345</f>
        <v>3.6539871929468837</v>
      </c>
      <c r="AA345" s="57" cm="1">
        <f t="array" ref="AA345">VLOOKUP(B345,'Player Data'!$A1:$AE673,15,FALSE)*$Q345</f>
        <v>55.694838787415442</v>
      </c>
      <c r="AB345" s="57" cm="1">
        <f t="array" ref="AB345">VLOOKUP(B345,'Player Data'!$A1:$AE673,16,FALSE)*$Q345</f>
        <v>68.190544602736708</v>
      </c>
      <c r="AC345" s="57" cm="1">
        <f t="array" ref="AC345">VLOOKUP(B345,'Player Data'!$A1:$AE673,17,FALSE)*$Q345*IFERROR((VLOOKUP(P345,Settings!$E$28:$F$33,2,FALSE)+1),1)</f>
        <v>-7.6566260742954517</v>
      </c>
      <c r="AD345" s="57" cm="1">
        <f t="array" ref="AD345">VLOOKUP(B345,'Player Data'!$A1:$AE673,18,FALSE)*$Q345</f>
        <v>32.679685932093342</v>
      </c>
      <c r="AE345" s="57" cm="1">
        <f t="array" ref="AE345">VLOOKUP(B345,'Player Data'!$A1:$AE673,19,FALSE)*$Q345*IFERROR((VLOOKUP(P345,Settings!$E$28:$F$33,2,FALSE)+1),1)</f>
        <v>2.8074023001162183</v>
      </c>
      <c r="AF345" s="57" cm="1">
        <f t="array" ref="AF345">VLOOKUP(B345,'Player Data'!$A1:$AE673,20,FALSE)*$Q345</f>
        <v>26.30846070990302</v>
      </c>
      <c r="AG345" s="57" cm="1">
        <f t="array" ref="AG345">VLOOKUP(B345,'Player Data'!$A1:$AE673,21,FALSE)*$Q345</f>
        <v>38.055709500040244</v>
      </c>
      <c r="AH345" s="59" cm="1">
        <f t="array" ref="AH345">VLOOKUP(B345,'Player Data'!$A1:$AE673,22,FALSE)</f>
        <v>0.408743880703969</v>
      </c>
      <c r="AI345" s="55"/>
      <c r="AJ345" s="57"/>
      <c r="AK345" s="57"/>
      <c r="AL345" s="57"/>
      <c r="AM345" s="57"/>
      <c r="AN345" s="57"/>
      <c r="AO345" s="57"/>
      <c r="AP345" s="57"/>
      <c r="AQ345" s="60"/>
      <c r="AR345" s="61"/>
      <c r="AS345" s="55"/>
    </row>
    <row r="346" spans="1:45" ht="21.25" customHeight="1" x14ac:dyDescent="0.15">
      <c r="A346" s="62">
        <f t="shared" si="5"/>
        <v>345</v>
      </c>
      <c r="B346" s="10" t="s">
        <v>474</v>
      </c>
      <c r="C346" s="47" t="s">
        <v>147</v>
      </c>
      <c r="D346" s="48" t="str" cm="1">
        <f t="array" ref="D346">VLOOKUP(B346,'Player Data'!A1:D673,4,FALSE)</f>
        <v>D</v>
      </c>
      <c r="E346" s="68" cm="1">
        <f t="array" ref="E346">VLOOKUP(B346,D!A1:C204,3,FALSE)</f>
        <v>143</v>
      </c>
      <c r="F346" s="56" t="str" cm="1">
        <f t="array" ref="F346">VLOOKUP(B346,'Player Data'!A1:B673,2,FALSE)</f>
        <v>UTA</v>
      </c>
      <c r="G346" s="66" cm="1">
        <f t="array" ref="G346">VLOOKUP(B346,'Player Data'!A1:D673,3,FALSE)</f>
        <v>35</v>
      </c>
      <c r="H346" s="51" cm="1">
        <f t="array" ref="H346">IFERROR(VLOOKUP(B346,ADP!A1:F671,6,FALSE)/1000000,VLOOKUP(B346,ADP!A1:F671,6,FALSE))</f>
        <v>3.5</v>
      </c>
      <c r="I346" s="52">
        <f>IF(Settings!$E$15="POINTS",((R346*Q346)*Settings!$B$12)+(S346*Settings!$B$2)+(T346*Settings!$B$3)+(U346*Settings!$B$4)+(V346*Settings!$B$5)+(X346*Settings!$B$9)+(AA346*Settings!$B$6)+(W346*Settings!$B$8)+(AB346*Settings!$B$7)+(AC346*Settings!$B$14)+(AD346*Settings!$B$15)+(AE346*Settings!$B$16)+(AF346*Settings!$B$17)+(AG346*Settings!$B$18)+(U346*Settings!$B$13)+(Y346*Settings!$B$10)+(Z346*Settings!$B$11),VLOOKUP(B346,'Standard Deviations'!A$1:C$672,3,FALSE))</f>
        <v>145.45647243133436</v>
      </c>
      <c r="J346" s="53" cm="1">
        <f t="array" ref="J346">IF(D346="G",I346/AJ346,I346/Q346)</f>
        <v>1.7770016789607763</v>
      </c>
      <c r="K346" s="52" cm="1">
        <f t="array" ref="K346">VLOOKUP(B346,D!A1:F204,6,FALSE)</f>
        <v>-161.1973949132597</v>
      </c>
      <c r="L346" s="54" cm="1">
        <f t="array" ref="L346">IFERROR(K346/H346,"N/A")</f>
        <v>-46.056398546645632</v>
      </c>
      <c r="M346" s="85" t="s">
        <v>832</v>
      </c>
      <c r="N346" s="85" t="str" cm="1">
        <f t="array" ref="N346">IFERROR(M346-A346,"N/A")</f>
        <v>N/A</v>
      </c>
      <c r="O346" s="55"/>
      <c r="P346" s="56" t="str" cm="1">
        <f t="array" ref="P346">_xlfn.XLOOKUP($B346,ADP!A2:A671,ADP!G2:G671)</f>
        <v xml:space="preserve"> </v>
      </c>
      <c r="Q346" s="57" cm="1">
        <f t="array" ref="Q346">IF(Settings!$E$12="YES",VLOOKUP(B346,'Player Data'!A1:E673,5,FALSE),84)</f>
        <v>81.855000000000004</v>
      </c>
      <c r="R346" s="55" cm="1">
        <f t="array" ref="R346">VLOOKUP(B346,'Player Data'!$A1:$AE673,6,FALSE)</f>
        <v>19.194290169588399</v>
      </c>
      <c r="S346" s="57" cm="1">
        <f t="array" ref="S346">VLOOKUP(B346,'Player Data'!$A1:$AE673,7,FALSE)*$Q346*IFERROR((VLOOKUP(P346,Settings!$E$28:$F$33,2,FALSE)+1),1)</f>
        <v>4.0847107050934541</v>
      </c>
      <c r="T346" s="57" cm="1">
        <f t="array" ref="T346">VLOOKUP(B346,'Player Data'!$A1:$AE673,8,FALSE)*$Q346*IFERROR((VLOOKUP(P346,Settings!$E$28:$F$33,2,FALSE)+1),1)</f>
        <v>14.101534953842618</v>
      </c>
      <c r="U346" s="57" cm="1">
        <f t="array" ref="U346">SUM(S346:T346)</f>
        <v>18.186245658936073</v>
      </c>
      <c r="V346" s="57" cm="1">
        <f t="array" ref="V346">VLOOKUP(B346,'Player Data'!$A1:$AE673,10,FALSE)*$Q346*IFERROR(((VLOOKUP(P346,Settings!$E$28:$F$33,2,FALSE)/2)+1),1)</f>
        <v>79.691657821630002</v>
      </c>
      <c r="W346" s="57" cm="1">
        <f t="array" ref="W346">VLOOKUP(B346,'Player Data'!$A1:$AE673,11,FALSE)*$Q346*IFERROR((VLOOKUP(P346,Settings!$E$28:$F$33,2,FALSE)+1),1)</f>
        <v>3.0337906171055459E-2</v>
      </c>
      <c r="X346" s="57" cm="1">
        <f t="array" ref="X346">VLOOKUP(B346,'Player Data'!$A1:$AE673,12,FALSE)*$Q346*IFERROR((VLOOKUP(P346,Settings!$E$28:$F$33,2,FALSE)+1),1)</f>
        <v>0.28866280704648972</v>
      </c>
      <c r="Y346" s="57" cm="1">
        <f t="array" ref="Y346">VLOOKUP(B346,'Player Data'!$A1:$AE673,13,FALSE)*$Q346</f>
        <v>1.7840647704009442E-2</v>
      </c>
      <c r="Z346" s="57" cm="1">
        <f t="array" ref="Z346">VLOOKUP(B346,'Player Data'!$A1:$AE673,14,FALSE)*$Q346</f>
        <v>0.13294197903405</v>
      </c>
      <c r="AA346" s="57" cm="1">
        <f t="array" ref="AA346">VLOOKUP(B346,'Player Data'!$A1:$AE673,15,FALSE)*$Q346</f>
        <v>101.26060351526115</v>
      </c>
      <c r="AB346" s="57" cm="1">
        <f t="array" ref="AB346">VLOOKUP(B346,'Player Data'!$A1:$AE673,16,FALSE)*$Q346</f>
        <v>83.294906138860838</v>
      </c>
      <c r="AC346" s="57" cm="1">
        <f t="array" ref="AC346">VLOOKUP(B346,'Player Data'!$A1:$AE673,17,FALSE)*$Q346*IFERROR((VLOOKUP(P346,Settings!$E$28:$F$33,2,FALSE)+1),1)</f>
        <v>3.7848389182898927</v>
      </c>
      <c r="AD346" s="57" cm="1">
        <f t="array" ref="AD346">VLOOKUP(B346,'Player Data'!$A1:$AE673,18,FALSE)*$Q346</f>
        <v>28.513933943362371</v>
      </c>
      <c r="AE346" s="57" cm="1">
        <f t="array" ref="AE346">VLOOKUP(B346,'Player Data'!$A1:$AE673,19,FALSE)*$Q346*IFERROR((VLOOKUP(P346,Settings!$E$28:$F$33,2,FALSE)+1),1)</f>
        <v>0.660271455457213</v>
      </c>
      <c r="AF346" s="57" cm="1">
        <f t="array" ref="AF346">VLOOKUP(B346,'Player Data'!$A1:$AE673,20,FALSE)*$Q346</f>
        <v>0</v>
      </c>
      <c r="AG346" s="57" cm="1">
        <f t="array" ref="AG346">VLOOKUP(B346,'Player Data'!$A1:$AE673,21,FALSE)*$Q346</f>
        <v>0</v>
      </c>
      <c r="AH346" s="59" cm="1">
        <f t="array" ref="AH346">VLOOKUP(B346,'Player Data'!$A1:$AE673,22,FALSE)</f>
        <v>0</v>
      </c>
      <c r="AI346" s="55"/>
      <c r="AJ346" s="57"/>
      <c r="AK346" s="57"/>
      <c r="AL346" s="57"/>
      <c r="AM346" s="57"/>
      <c r="AN346" s="57"/>
      <c r="AO346" s="57"/>
      <c r="AP346" s="57"/>
      <c r="AQ346" s="60"/>
      <c r="AR346" s="61"/>
      <c r="AS346" s="55"/>
    </row>
    <row r="347" spans="1:45" ht="21.25" customHeight="1" x14ac:dyDescent="0.15">
      <c r="A347" s="62">
        <f t="shared" si="5"/>
        <v>346</v>
      </c>
      <c r="B347" s="10" t="s">
        <v>475</v>
      </c>
      <c r="C347" s="47" t="s">
        <v>128</v>
      </c>
      <c r="D347" s="48" t="str" cm="1">
        <f t="array" ref="D347">VLOOKUP(B347,'Player Data'!A1:D673,4,FALSE)</f>
        <v>LW,RW</v>
      </c>
      <c r="E347" s="74" cm="1">
        <f t="array" ref="E347">VLOOKUP(B347,RW!A1:F210,3,FALSE)</f>
        <v>93</v>
      </c>
      <c r="F347" s="56" t="str" cm="1">
        <f t="array" ref="F347">VLOOKUP(B347,'Player Data'!A1:B673,2,FALSE)</f>
        <v>S.J</v>
      </c>
      <c r="G347" s="66" cm="1">
        <f t="array" ref="G347">VLOOKUP(B347,'Player Data'!A1:D673,3,FALSE)</f>
        <v>31</v>
      </c>
      <c r="H347" s="51" cm="1">
        <f t="array" ref="H347">IFERROR(VLOOKUP(B347,ADP!A1:F671,6,FALSE)/1000000,VLOOKUP(B347,ADP!A1:F671,6,FALSE))</f>
        <v>5.75</v>
      </c>
      <c r="I347" s="52">
        <f>IF(Settings!$E$15="POINTS",((R347*Q347)*Settings!$B$12)+(S347*Settings!$B$2)+(T347*Settings!$B$3)+(U347*Settings!$B$4)+(V347*Settings!$B$5)+(X347*Settings!$B$9)+(AA347*Settings!$B$6)+(W347*Settings!$B$8)+(AB347*Settings!$B$7)+(AC347*Settings!$B$14)+(AD347*Settings!$B$15)+(AE347*Settings!$B$16)+(AF347*Settings!$B$17)+(AG347*Settings!$B$18)+(Y347*Settings!$B$10)+(Z347*Settings!$B$11),VLOOKUP(B347,'Standard Deviations'!A$1:C$672,3,FALSE))</f>
        <v>233.42358565716344</v>
      </c>
      <c r="J347" s="53" cm="1">
        <f t="array" ref="J347">IF(D347="G",I347/AJ347,I347/Q347)</f>
        <v>2.9067129774878704</v>
      </c>
      <c r="K347" s="52" cm="1">
        <f t="array" ref="K347">IF(Settings!$E$18="C/LW/RW",VLOOKUP(B347,RW!A1:F210,6,FALSE),VLOOKUP(B347,F!A1:F407,6,FALSE))</f>
        <v>-161.51987903639403</v>
      </c>
      <c r="L347" s="54" cm="1">
        <f t="array" ref="L347">IFERROR(K347/H347,"N/A")</f>
        <v>-28.090413745459831</v>
      </c>
      <c r="M347" s="55">
        <v>138.4</v>
      </c>
      <c r="N347" s="55" cm="1">
        <f t="array" ref="N347">IFERROR(M347-A347,"N/A")</f>
        <v>-207.6</v>
      </c>
      <c r="O347" s="55"/>
      <c r="P347" s="56" t="str" cm="1">
        <f t="array" ref="P347">_xlfn.XLOOKUP($B347,ADP!A2:A671,ADP!G2:G671)</f>
        <v xml:space="preserve"> </v>
      </c>
      <c r="Q347" s="57" cm="1">
        <f t="array" ref="Q347">IF(Settings!$E$12="YES",VLOOKUP(B347,'Player Data'!A1:E673,5,FALSE),84)</f>
        <v>80.305000000000007</v>
      </c>
      <c r="R347" s="55" cm="1">
        <f t="array" ref="R347">VLOOKUP(B347,'Player Data'!$A1:$AE673,6,FALSE)</f>
        <v>17.038570123068801</v>
      </c>
      <c r="S347" s="57" cm="1">
        <f t="array" ref="S347">VLOOKUP(B347,'Player Data'!$A1:$AE673,7,FALSE)*$Q347*IFERROR((VLOOKUP(P347,Settings!$E$28:$F$33,2,FALSE)+1),1)</f>
        <v>20.535322140109393</v>
      </c>
      <c r="T347" s="57" cm="1">
        <f t="array" ref="T347">VLOOKUP(B347,'Player Data'!$A1:$AE673,8,FALSE)*$Q347*IFERROR((VLOOKUP(P347,Settings!$E$28:$F$33,2,FALSE)+1),1)</f>
        <v>18.597803192351417</v>
      </c>
      <c r="U347" s="57" cm="1">
        <f t="array" ref="U347">SUM(S347:T347)</f>
        <v>39.133125332460807</v>
      </c>
      <c r="V347" s="57" cm="1">
        <f t="array" ref="V347">VLOOKUP(B347,'Player Data'!$A1:$AE673,10,FALSE)*$Q347*IFERROR(((VLOOKUP(P347,Settings!$E$28:$F$33,2,FALSE)/2)+1),1)</f>
        <v>175.40570029824289</v>
      </c>
      <c r="W347" s="57" cm="1">
        <f t="array" ref="W347">VLOOKUP(B347,'Player Data'!$A1:$AE673,11,FALSE)*$Q347*IFERROR((VLOOKUP(P347,Settings!$E$28:$F$33,2,FALSE)+1),1)</f>
        <v>3.9654611016323318</v>
      </c>
      <c r="X347" s="57" cm="1">
        <f t="array" ref="X347">VLOOKUP(B347,'Player Data'!$A1:$AE673,12,FALSE)*$Q347*IFERROR((VLOOKUP(P347,Settings!$E$28:$F$33,2,FALSE)+1),1)</f>
        <v>7.8848076235757052</v>
      </c>
      <c r="Y347" s="57" cm="1">
        <f t="array" ref="Y347">VLOOKUP(B347,'Player Data'!$A1:$AE673,13,FALSE)*$Q347</f>
        <v>1.5361218916689985</v>
      </c>
      <c r="Z347" s="57" cm="1">
        <f t="array" ref="Z347">VLOOKUP(B347,'Player Data'!$A1:$AE673,14,FALSE)*$Q347</f>
        <v>2.1838048610817422</v>
      </c>
      <c r="AA347" s="57" cm="1">
        <f t="array" ref="AA347">VLOOKUP(B347,'Player Data'!$A1:$AE673,15,FALSE)*$Q347</f>
        <v>36.505494052004202</v>
      </c>
      <c r="AB347" s="57" cm="1">
        <f t="array" ref="AB347">VLOOKUP(B347,'Player Data'!$A1:$AE673,16,FALSE)*$Q347</f>
        <v>354.62718509960081</v>
      </c>
      <c r="AC347" s="57" cm="1">
        <f t="array" ref="AC347">VLOOKUP(B347,'Player Data'!$A1:$AE673,17,FALSE)*$Q347*IFERROR((VLOOKUP(P347,Settings!$E$28:$F$33,2,FALSE)+1),1)</f>
        <v>-1.3001461277119541</v>
      </c>
      <c r="AD347" s="57" cm="1">
        <f t="array" ref="AD347">VLOOKUP(B347,'Player Data'!$A1:$AE673,18,FALSE)*$Q347</f>
        <v>44.027147887859059</v>
      </c>
      <c r="AE347" s="57" cm="1">
        <f t="array" ref="AE347">VLOOKUP(B347,'Player Data'!$A1:$AE673,19,FALSE)*$Q347*IFERROR((VLOOKUP(P347,Settings!$E$28:$F$33,2,FALSE)+1),1)</f>
        <v>2.871444617370758</v>
      </c>
      <c r="AF347" s="57" cm="1">
        <f t="array" ref="AF347">VLOOKUP(B347,'Player Data'!$A1:$AE673,20,FALSE)*$Q347</f>
        <v>20.803088159794161</v>
      </c>
      <c r="AG347" s="57" cm="1">
        <f t="array" ref="AG347">VLOOKUP(B347,'Player Data'!$A1:$AE673,21,FALSE)*$Q347</f>
        <v>29.628884080295407</v>
      </c>
      <c r="AH347" s="59" cm="1">
        <f t="array" ref="AH347">VLOOKUP(B347,'Player Data'!$A1:$AE673,22,FALSE)</f>
        <v>0.41249800941271397</v>
      </c>
      <c r="AI347" s="55"/>
      <c r="AJ347" s="57"/>
      <c r="AK347" s="57"/>
      <c r="AL347" s="57"/>
      <c r="AM347" s="57"/>
      <c r="AN347" s="57"/>
      <c r="AO347" s="57"/>
      <c r="AP347" s="57"/>
      <c r="AQ347" s="60"/>
      <c r="AR347" s="61"/>
      <c r="AS347" s="55"/>
    </row>
    <row r="348" spans="1:45" ht="21.25" customHeight="1" x14ac:dyDescent="0.15">
      <c r="A348" s="62">
        <f t="shared" si="5"/>
        <v>347</v>
      </c>
      <c r="B348" s="10" t="s">
        <v>476</v>
      </c>
      <c r="C348" s="47" t="s">
        <v>147</v>
      </c>
      <c r="D348" s="48" t="str" cm="1">
        <f t="array" ref="D348">VLOOKUP(B348,'Player Data'!A1:D673,4,FALSE)</f>
        <v>C</v>
      </c>
      <c r="E348" s="49" cm="1">
        <f t="array" ref="E348">VLOOKUP(B348,'C'!A1:C210,3,FALSE)</f>
        <v>88</v>
      </c>
      <c r="F348" s="56" t="str" cm="1">
        <f t="array" ref="F348">VLOOKUP(B348,'Player Data'!A1:B673,2,FALSE)</f>
        <v>PHI</v>
      </c>
      <c r="G348" s="11" cm="1">
        <f t="array" ref="G348">VLOOKUP(B348,'Player Data'!A1:D673,3,FALSE)</f>
        <v>30</v>
      </c>
      <c r="H348" s="51" cm="1">
        <f t="array" ref="H348">IFERROR(VLOOKUP(B348,ADP!A1:F671,6,FALSE)/1000000,VLOOKUP(B348,ADP!A1:F671,6,FALSE))</f>
        <v>5.15</v>
      </c>
      <c r="I348" s="52">
        <f>IF(Settings!$E$15="POINTS",((R348*Q348)*Settings!$B$12)+(S348*Settings!$B$2)+(T348*Settings!$B$3)+(U348*Settings!$B$4)+(V348*Settings!$B$5)+(X348*Settings!$B$9)+(AA348*Settings!$B$6)+(W348*Settings!$B$8)+(AB348*Settings!$B$7)+(AC348*Settings!$B$14)+(AD348*Settings!$B$15)+(AE348*Settings!$B$16)+(AF348*Settings!$B$17)+(AG348*Settings!$B$18)+(Y348*Settings!$B$10)+(Z348*Settings!$B$11),VLOOKUP(B348,'Standard Deviations'!A$1:C$672,3,FALSE))</f>
        <v>224.20574935999457</v>
      </c>
      <c r="J348" s="53" cm="1">
        <f t="array" ref="J348">IF(D348="G",I348/AJ348,I348/Q348)</f>
        <v>2.8570340791334132</v>
      </c>
      <c r="K348" s="52" cm="1">
        <f t="array" ref="K348">IF(Settings!$E$18="C/LW/RW",VLOOKUP(B348,'C'!A1:F210,6,FALSE),VLOOKUP(B348,F!A1:F407,6,FALSE))</f>
        <v>-162.32945703308843</v>
      </c>
      <c r="L348" s="54" cm="1">
        <f t="array" ref="L348">IFERROR(K348/H348,"N/A")</f>
        <v>-31.520282919046295</v>
      </c>
      <c r="M348" s="85" t="s">
        <v>832</v>
      </c>
      <c r="N348" s="85" t="str" cm="1">
        <f t="array" ref="N348">IFERROR(M348-A348,"N/A")</f>
        <v>N/A</v>
      </c>
      <c r="O348" s="55"/>
      <c r="P348" s="56" t="str" cm="1">
        <f t="array" ref="P348">_xlfn.XLOOKUP($B348,ADP!A2:A671,ADP!G2:G671)</f>
        <v xml:space="preserve"> </v>
      </c>
      <c r="Q348" s="57" cm="1">
        <f t="array" ref="Q348">IF(Settings!$E$12="YES",VLOOKUP(B348,'Player Data'!A1:E673,5,FALSE),84)</f>
        <v>78.474999999999994</v>
      </c>
      <c r="R348" s="84" cm="1">
        <f t="array" ref="R348">VLOOKUP(B348,'Player Data'!$A1:$AE673,6,FALSE)</f>
        <v>17.441206933082402</v>
      </c>
      <c r="S348" s="57" cm="1">
        <f t="array" ref="S348">VLOOKUP(B348,'Player Data'!$A1:$AE673,7,FALSE)*$Q348*IFERROR((VLOOKUP(P348,Settings!$E$28:$F$33,2,FALSE)+1),1)</f>
        <v>15.299666140021374</v>
      </c>
      <c r="T348" s="57" cm="1">
        <f t="array" ref="T348">VLOOKUP(B348,'Player Data'!$A1:$AE673,8,FALSE)*$Q348*IFERROR((VLOOKUP(P348,Settings!$E$28:$F$33,2,FALSE)+1),1)</f>
        <v>26.436737799660982</v>
      </c>
      <c r="U348" s="57" cm="1">
        <f t="array" ref="U348">SUM(S348:T348)</f>
        <v>41.736403939682354</v>
      </c>
      <c r="V348" s="57" cm="1">
        <f t="array" ref="V348">VLOOKUP(B348,'Player Data'!$A1:$AE673,10,FALSE)*$Q348*IFERROR(((VLOOKUP(P348,Settings!$E$28:$F$33,2,FALSE)/2)+1),1)</f>
        <v>132.56415427386014</v>
      </c>
      <c r="W348" s="57" cm="1">
        <f t="array" ref="W348">VLOOKUP(B348,'Player Data'!$A1:$AE673,11,FALSE)*$Q348*IFERROR((VLOOKUP(P348,Settings!$E$28:$F$33,2,FALSE)+1),1)</f>
        <v>2.4949253868585997</v>
      </c>
      <c r="X348" s="57" cm="1">
        <f t="array" ref="X348">VLOOKUP(B348,'Player Data'!$A1:$AE673,12,FALSE)*$Q348*IFERROR((VLOOKUP(P348,Settings!$E$28:$F$33,2,FALSE)+1),1)</f>
        <v>4.7933510618165993</v>
      </c>
      <c r="Y348" s="57" cm="1">
        <f t="array" ref="Y348">VLOOKUP(B348,'Player Data'!$A1:$AE673,13,FALSE)*$Q348</f>
        <v>7.4054416184319072E-2</v>
      </c>
      <c r="Z348" s="57" cm="1">
        <f t="array" ref="Z348">VLOOKUP(B348,'Player Data'!$A1:$AE673,14,FALSE)*$Q348</f>
        <v>0.54395161905478806</v>
      </c>
      <c r="AA348" s="57" cm="1">
        <f t="array" ref="AA348">VLOOKUP(B348,'Player Data'!$A1:$AE673,15,FALSE)*$Q348</f>
        <v>54.754315446292154</v>
      </c>
      <c r="AB348" s="57" cm="1">
        <f t="array" ref="AB348">VLOOKUP(B348,'Player Data'!$A1:$AE673,16,FALSE)*$Q348</f>
        <v>45.139613850401396</v>
      </c>
      <c r="AC348" s="57" cm="1">
        <f t="array" ref="AC348">VLOOKUP(B348,'Player Data'!$A1:$AE673,17,FALSE)*$Q348*IFERROR((VLOOKUP(P348,Settings!$E$28:$F$33,2,FALSE)+1),1)</f>
        <v>0.25481191047010188</v>
      </c>
      <c r="AD348" s="57" cm="1">
        <f t="array" ref="AD348">VLOOKUP(B348,'Player Data'!$A1:$AE673,18,FALSE)*$Q348</f>
        <v>23.880261049120946</v>
      </c>
      <c r="AE348" s="57" cm="1">
        <f t="array" ref="AE348">VLOOKUP(B348,'Player Data'!$A1:$AE673,19,FALSE)*$Q348*IFERROR((VLOOKUP(P348,Settings!$E$28:$F$33,2,FALSE)+1),1)</f>
        <v>2.417882113729835</v>
      </c>
      <c r="AF348" s="57" cm="1">
        <f t="array" ref="AF348">VLOOKUP(B348,'Player Data'!$A1:$AE673,20,FALSE)*$Q348</f>
        <v>596.49138459409608</v>
      </c>
      <c r="AG348" s="57" cm="1">
        <f t="array" ref="AG348">VLOOKUP(B348,'Player Data'!$A1:$AE673,21,FALSE)*$Q348</f>
        <v>482.32074381898008</v>
      </c>
      <c r="AH348" s="59" cm="1">
        <f t="array" ref="AH348">VLOOKUP(B348,'Player Data'!$A1:$AE673,22,FALSE)</f>
        <v>0.55291497832113701</v>
      </c>
      <c r="AI348" s="55"/>
      <c r="AJ348" s="57"/>
      <c r="AK348" s="57"/>
      <c r="AL348" s="57"/>
      <c r="AM348" s="57"/>
      <c r="AN348" s="57"/>
      <c r="AO348" s="57"/>
      <c r="AP348" s="57"/>
      <c r="AQ348" s="60"/>
      <c r="AR348" s="61"/>
      <c r="AS348" s="55"/>
    </row>
    <row r="349" spans="1:45" ht="21.25" customHeight="1" x14ac:dyDescent="0.15">
      <c r="A349" s="62">
        <f t="shared" si="5"/>
        <v>348</v>
      </c>
      <c r="B349" s="10" t="s">
        <v>477</v>
      </c>
      <c r="C349" s="47" t="s">
        <v>147</v>
      </c>
      <c r="D349" s="48" t="str" cm="1">
        <f t="array" ref="D349">VLOOKUP(B349,'Player Data'!A1:D673,4,FALSE)</f>
        <v>D</v>
      </c>
      <c r="E349" s="68" cm="1">
        <f t="array" ref="E349">VLOOKUP(B349,D!A1:C204,3,FALSE)</f>
        <v>144</v>
      </c>
      <c r="F349" s="69" t="str" cm="1">
        <f t="array" ref="F349">VLOOKUP(B349,'Player Data'!A1:B673,2,FALSE)</f>
        <v>N.J</v>
      </c>
      <c r="G349" s="11" cm="1">
        <f t="array" ref="G349">VLOOKUP(B349,'Player Data'!A1:D673,3,FALSE)</f>
        <v>29</v>
      </c>
      <c r="H349" s="51" cm="1">
        <f t="array" ref="H349">IFERROR(VLOOKUP(B349,ADP!A1:F671,6,FALSE)/1000000,VLOOKUP(B349,ADP!A1:F671,6,FALSE))</f>
        <v>3.4</v>
      </c>
      <c r="I349" s="52">
        <f>IF(Settings!$E$15="POINTS",((R349*Q349)*Settings!$B$12)+(S349*Settings!$B$2)+(T349*Settings!$B$3)+(U349*Settings!$B$4)+(V349*Settings!$B$5)+(X349*Settings!$B$9)+(AA349*Settings!$B$6)+(W349*Settings!$B$8)+(AB349*Settings!$B$7)+(AC349*Settings!$B$14)+(AD349*Settings!$B$15)+(AE349*Settings!$B$16)+(AF349*Settings!$B$17)+(AG349*Settings!$B$18)+(U349*Settings!$B$13)+(Y349*Settings!$B$10)+(Z349*Settings!$B$11),VLOOKUP(B349,'Standard Deviations'!A$1:C$672,3,FALSE))</f>
        <v>144.12428474459983</v>
      </c>
      <c r="J349" s="53" cm="1">
        <f t="array" ref="J349">IF(D349="G",I349/AJ349,I349/Q349)</f>
        <v>1.852080634106722</v>
      </c>
      <c r="K349" s="52" cm="1">
        <f t="array" ref="K349">VLOOKUP(B349,D!A1:F204,6,FALSE)</f>
        <v>-162.52958259999423</v>
      </c>
      <c r="L349" s="54" cm="1">
        <f t="array" ref="L349">IFERROR(K349/H349,"N/A")</f>
        <v>-47.802818411763006</v>
      </c>
      <c r="M349" s="85" t="s">
        <v>832</v>
      </c>
      <c r="N349" s="85" t="str" cm="1">
        <f t="array" ref="N349">IFERROR(M349-A349,"N/A")</f>
        <v>N/A</v>
      </c>
      <c r="O349" s="55"/>
      <c r="P349" s="56" t="str" cm="1">
        <f t="array" ref="P349">_xlfn.XLOOKUP($B349,ADP!A2:A671,ADP!G2:G671)</f>
        <v xml:space="preserve"> </v>
      </c>
      <c r="Q349" s="57" cm="1">
        <f t="array" ref="Q349">IF(Settings!$E$12="YES",VLOOKUP(B349,'Player Data'!A1:E673,5,FALSE),84)</f>
        <v>77.817499999999995</v>
      </c>
      <c r="R349" s="55" cm="1">
        <f t="array" ref="R349">VLOOKUP(B349,'Player Data'!$A1:$AE673,6,FALSE)</f>
        <v>19.558484622980199</v>
      </c>
      <c r="S349" s="57" cm="1">
        <f t="array" ref="S349">VLOOKUP(B349,'Player Data'!$A1:$AE673,7,FALSE)*$Q349*IFERROR((VLOOKUP(P349,Settings!$E$28:$F$33,2,FALSE)+1),1)</f>
        <v>1.8181477833850781</v>
      </c>
      <c r="T349" s="57" cm="1">
        <f t="array" ref="T349">VLOOKUP(B349,'Player Data'!$A1:$AE673,8,FALSE)*$Q349*IFERROR((VLOOKUP(P349,Settings!$E$28:$F$33,2,FALSE)+1),1)</f>
        <v>13.837433204577087</v>
      </c>
      <c r="U349" s="57" cm="1">
        <f t="array" ref="U349">SUM(S349:T349)</f>
        <v>15.655580987962164</v>
      </c>
      <c r="V349" s="57" cm="1">
        <f t="array" ref="V349">VLOOKUP(B349,'Player Data'!$A1:$AE673,10,FALSE)*$Q349*IFERROR(((VLOOKUP(P349,Settings!$E$28:$F$33,2,FALSE)/2)+1),1)</f>
        <v>65.949885185079239</v>
      </c>
      <c r="W349" s="57" cm="1">
        <f t="array" ref="W349">VLOOKUP(B349,'Player Data'!$A1:$AE673,11,FALSE)*$Q349*IFERROR((VLOOKUP(P349,Settings!$E$28:$F$33,2,FALSE)+1),1)</f>
        <v>6.9728410193232379E-3</v>
      </c>
      <c r="X349" s="57" cm="1">
        <f t="array" ref="X349">VLOOKUP(B349,'Player Data'!$A1:$AE673,12,FALSE)*$Q349*IFERROR((VLOOKUP(P349,Settings!$E$28:$F$33,2,FALSE)+1),1)</f>
        <v>5.7816549404781273E-2</v>
      </c>
      <c r="Y349" s="57" cm="1">
        <f t="array" ref="Y349">VLOOKUP(B349,'Player Data'!$A1:$AE673,13,FALSE)*$Q349</f>
        <v>1.530299693907756E-2</v>
      </c>
      <c r="Z349" s="57" cm="1">
        <f t="array" ref="Z349">VLOOKUP(B349,'Player Data'!$A1:$AE673,14,FALSE)*$Q349</f>
        <v>1.005995822939697</v>
      </c>
      <c r="AA349" s="57" cm="1">
        <f t="array" ref="AA349">VLOOKUP(B349,'Player Data'!$A1:$AE673,15,FALSE)*$Q349</f>
        <v>126.23757363165849</v>
      </c>
      <c r="AB349" s="57" cm="1">
        <f t="array" ref="AB349">VLOOKUP(B349,'Player Data'!$A1:$AE673,16,FALSE)*$Q349</f>
        <v>89.052084848940211</v>
      </c>
      <c r="AC349" s="57" cm="1">
        <f t="array" ref="AC349">VLOOKUP(B349,'Player Data'!$A1:$AE673,17,FALSE)*$Q349*IFERROR((VLOOKUP(P349,Settings!$E$28:$F$33,2,FALSE)+1),1)</f>
        <v>-1.3632504318601191</v>
      </c>
      <c r="AD349" s="57" cm="1">
        <f t="array" ref="AD349">VLOOKUP(B349,'Player Data'!$A1:$AE673,18,FALSE)*$Q349</f>
        <v>37.133859751546574</v>
      </c>
      <c r="AE349" s="57" cm="1">
        <f t="array" ref="AE349">VLOOKUP(B349,'Player Data'!$A1:$AE673,19,FALSE)*$Q349*IFERROR((VLOOKUP(P349,Settings!$E$28:$F$33,2,FALSE)+1),1)</f>
        <v>0.27175094384178988</v>
      </c>
      <c r="AF349" s="57" cm="1">
        <f t="array" ref="AF349">VLOOKUP(B349,'Player Data'!$A1:$AE673,20,FALSE)*$Q349</f>
        <v>0</v>
      </c>
      <c r="AG349" s="57" cm="1">
        <f t="array" ref="AG349">VLOOKUP(B349,'Player Data'!$A1:$AE673,21,FALSE)*$Q349</f>
        <v>0</v>
      </c>
      <c r="AH349" s="59" cm="1">
        <f t="array" ref="AH349">VLOOKUP(B349,'Player Data'!$A1:$AE673,22,FALSE)</f>
        <v>0</v>
      </c>
      <c r="AI349" s="55"/>
      <c r="AJ349" s="57"/>
      <c r="AK349" s="57"/>
      <c r="AL349" s="57"/>
      <c r="AM349" s="57"/>
      <c r="AN349" s="57"/>
      <c r="AO349" s="57"/>
      <c r="AP349" s="57"/>
      <c r="AQ349" s="60"/>
      <c r="AR349" s="61"/>
      <c r="AS349" s="55"/>
    </row>
    <row r="350" spans="1:45" ht="21.25" customHeight="1" x14ac:dyDescent="0.15">
      <c r="A350" s="62">
        <f t="shared" si="5"/>
        <v>349</v>
      </c>
      <c r="B350" s="10" t="s">
        <v>478</v>
      </c>
      <c r="C350" s="47" t="s">
        <v>147</v>
      </c>
      <c r="D350" s="48" t="str" cm="1">
        <f t="array" ref="D350">VLOOKUP(B350,'Player Data'!A1:D673,4,FALSE)</f>
        <v>C</v>
      </c>
      <c r="E350" s="49" cm="1">
        <f t="array" ref="E350">VLOOKUP(B350,'C'!A1:C210,3,FALSE)</f>
        <v>89</v>
      </c>
      <c r="F350" s="63" t="str" cm="1">
        <f t="array" ref="F350">VLOOKUP(B350,'Player Data'!A1:B673,2,FALSE)</f>
        <v>CGY</v>
      </c>
      <c r="G350" s="66" cm="1">
        <f t="array" ref="G350">VLOOKUP(B350,'Player Data'!A1:D673,3,FALSE)</f>
        <v>37</v>
      </c>
      <c r="H350" s="51" cm="1">
        <f t="array" ref="H350">IFERROR(VLOOKUP(B350,ADP!A1:F671,6,FALSE)/1000000,VLOOKUP(B350,ADP!A1:F671,6,FALSE))</f>
        <v>3.25</v>
      </c>
      <c r="I350" s="52">
        <f>IF(Settings!$E$15="POINTS",((R350*Q350)*Settings!$B$12)+(S350*Settings!$B$2)+(T350*Settings!$B$3)+(U350*Settings!$B$4)+(V350*Settings!$B$5)+(X350*Settings!$B$9)+(AA350*Settings!$B$6)+(W350*Settings!$B$8)+(AB350*Settings!$B$7)+(AC350*Settings!$B$14)+(AD350*Settings!$B$15)+(AE350*Settings!$B$16)+(AF350*Settings!$B$17)+(AG350*Settings!$B$18)+(Y350*Settings!$B$10)+(Z350*Settings!$B$11),VLOOKUP(B350,'Standard Deviations'!A$1:C$672,3,FALSE))</f>
        <v>223.39440162916191</v>
      </c>
      <c r="J350" s="53" cm="1">
        <f t="array" ref="J350">IF(D350="G",I350/AJ350,I350/Q350)</f>
        <v>2.6848675155238495</v>
      </c>
      <c r="K350" s="52" cm="1">
        <f t="array" ref="K350">IF(Settings!$E$18="C/LW/RW",VLOOKUP(B350,'C'!A1:F210,6,FALSE),VLOOKUP(B350,F!A1:F407,6,FALSE))</f>
        <v>-163.1408047639211</v>
      </c>
      <c r="L350" s="54" cm="1">
        <f t="array" ref="L350">IFERROR(K350/H350,"N/A")</f>
        <v>-50.197170696591108</v>
      </c>
      <c r="M350" s="85" t="s">
        <v>832</v>
      </c>
      <c r="N350" s="85" t="str" cm="1">
        <f t="array" ref="N350">IFERROR(M350-A350,"N/A")</f>
        <v>N/A</v>
      </c>
      <c r="O350" s="55"/>
      <c r="P350" s="56" t="str" cm="1">
        <f t="array" ref="P350">_xlfn.XLOOKUP($B350,ADP!A2:A671,ADP!G2:G671)</f>
        <v xml:space="preserve"> </v>
      </c>
      <c r="Q350" s="57" cm="1">
        <f t="array" ref="Q350">IF(Settings!$E$12="YES",VLOOKUP(B350,'Player Data'!A1:E673,5,FALSE),84)</f>
        <v>83.204999999999998</v>
      </c>
      <c r="R350" s="55" cm="1">
        <f t="array" ref="R350">VLOOKUP(B350,'Player Data'!$A1:$AE673,6,FALSE)</f>
        <v>18.218013500381101</v>
      </c>
      <c r="S350" s="57" cm="1">
        <f t="array" ref="S350">VLOOKUP(B350,'Player Data'!$A1:$AE673,7,FALSE)*$Q350*IFERROR((VLOOKUP(P350,Settings!$E$28:$F$33,2,FALSE)+1),1)</f>
        <v>14.445477142558047</v>
      </c>
      <c r="T350" s="57" cm="1">
        <f t="array" ref="T350">VLOOKUP(B350,'Player Data'!$A1:$AE673,8,FALSE)*$Q350*IFERROR((VLOOKUP(P350,Settings!$E$28:$F$33,2,FALSE)+1),1)</f>
        <v>20.963933068433786</v>
      </c>
      <c r="U350" s="57" cm="1">
        <f t="array" ref="U350">SUM(S350:T350)</f>
        <v>35.409410210991837</v>
      </c>
      <c r="V350" s="57" cm="1">
        <f t="array" ref="V350">VLOOKUP(B350,'Player Data'!$A1:$AE673,10,FALSE)*$Q350*IFERROR(((VLOOKUP(P350,Settings!$E$28:$F$33,2,FALSE)/2)+1),1)</f>
        <v>184.68296285222908</v>
      </c>
      <c r="W350" s="57" cm="1">
        <f t="array" ref="W350">VLOOKUP(B350,'Player Data'!$A1:$AE673,11,FALSE)*$Q350*IFERROR((VLOOKUP(P350,Settings!$E$28:$F$33,2,FALSE)+1),1)</f>
        <v>1.0209959904867278</v>
      </c>
      <c r="X350" s="57" cm="1">
        <f t="array" ref="X350">VLOOKUP(B350,'Player Data'!$A1:$AE673,12,FALSE)*$Q350*IFERROR((VLOOKUP(P350,Settings!$E$28:$F$33,2,FALSE)+1),1)</f>
        <v>3.1740982767578028</v>
      </c>
      <c r="Y350" s="57" cm="1">
        <f t="array" ref="Y350">VLOOKUP(B350,'Player Data'!$A1:$AE673,13,FALSE)*$Q350</f>
        <v>0.71196437456412798</v>
      </c>
      <c r="Z350" s="57" cm="1">
        <f t="array" ref="Z350">VLOOKUP(B350,'Player Data'!$A1:$AE673,14,FALSE)*$Q350</f>
        <v>2.8722979328281468</v>
      </c>
      <c r="AA350" s="57" cm="1">
        <f t="array" ref="AA350">VLOOKUP(B350,'Player Data'!$A1:$AE673,15,FALSE)*$Q350</f>
        <v>37.556586720971922</v>
      </c>
      <c r="AB350" s="57" cm="1">
        <f t="array" ref="AB350">VLOOKUP(B350,'Player Data'!$A1:$AE673,16,FALSE)*$Q350</f>
        <v>38.794274404370206</v>
      </c>
      <c r="AC350" s="57" cm="1">
        <f t="array" ref="AC350">VLOOKUP(B350,'Player Data'!$A1:$AE673,17,FALSE)*$Q350*IFERROR((VLOOKUP(P350,Settings!$E$28:$F$33,2,FALSE)+1),1)</f>
        <v>-7.807976826452145</v>
      </c>
      <c r="AD350" s="57" cm="1">
        <f t="array" ref="AD350">VLOOKUP(B350,'Player Data'!$A1:$AE673,18,FALSE)*$Q350</f>
        <v>26.010915709735805</v>
      </c>
      <c r="AE350" s="57" cm="1">
        <f t="array" ref="AE350">VLOOKUP(B350,'Player Data'!$A1:$AE673,19,FALSE)*$Q350*IFERROR((VLOOKUP(P350,Settings!$E$28:$F$33,2,FALSE)+1),1)</f>
        <v>2.0768980261440415</v>
      </c>
      <c r="AF350" s="57" cm="1">
        <f t="array" ref="AF350">VLOOKUP(B350,'Player Data'!$A1:$AE673,20,FALSE)*$Q350</f>
        <v>740.13842933725311</v>
      </c>
      <c r="AG350" s="57" cm="1">
        <f t="array" ref="AG350">VLOOKUP(B350,'Player Data'!$A1:$AE673,21,FALSE)*$Q350</f>
        <v>753.06594476018358</v>
      </c>
      <c r="AH350" s="59" cm="1">
        <f t="array" ref="AH350">VLOOKUP(B350,'Player Data'!$A1:$AE673,22,FALSE)</f>
        <v>0.495671216999098</v>
      </c>
      <c r="AI350" s="55"/>
      <c r="AJ350" s="57"/>
      <c r="AK350" s="57"/>
      <c r="AL350" s="57"/>
      <c r="AM350" s="57"/>
      <c r="AN350" s="57"/>
      <c r="AO350" s="57"/>
      <c r="AP350" s="57"/>
      <c r="AQ350" s="60"/>
      <c r="AR350" s="61"/>
      <c r="AS350" s="55"/>
    </row>
    <row r="351" spans="1:45" ht="21.25" customHeight="1" x14ac:dyDescent="0.15">
      <c r="A351" s="62">
        <f t="shared" si="5"/>
        <v>350</v>
      </c>
      <c r="B351" s="10" t="s">
        <v>479</v>
      </c>
      <c r="C351" s="47" t="s">
        <v>147</v>
      </c>
      <c r="D351" s="48" t="str" cm="1">
        <f t="array" ref="D351">VLOOKUP(B351,'Player Data'!A1:D673,4,FALSE)</f>
        <v>D</v>
      </c>
      <c r="E351" s="68" cm="1">
        <f t="array" ref="E351">VLOOKUP(B351,D!A1:C204,3,FALSE)</f>
        <v>145</v>
      </c>
      <c r="F351" s="63" t="str" cm="1">
        <f t="array" ref="F351">VLOOKUP(B351,'Player Data'!A1:B673,2,FALSE)</f>
        <v>SEA</v>
      </c>
      <c r="G351" s="71" cm="1">
        <f t="array" ref="G351">VLOOKUP(B351,'Player Data'!A1:D673,3,FALSE)</f>
        <v>24</v>
      </c>
      <c r="H351" s="67" cm="1">
        <f t="array" ref="H351">IFERROR(VLOOKUP(B351,ADP!A1:F671,6,FALSE)/1000000,VLOOKUP(B351,ADP!A1:F671,6,FALSE))</f>
        <v>2.0499999999999998</v>
      </c>
      <c r="I351" s="52">
        <f>IF(Settings!$E$15="POINTS",((R351*Q351)*Settings!$B$12)+(S351*Settings!$B$2)+(T351*Settings!$B$3)+(U351*Settings!$B$4)+(V351*Settings!$B$5)+(X351*Settings!$B$9)+(AA351*Settings!$B$6)+(W351*Settings!$B$8)+(AB351*Settings!$B$7)+(AC351*Settings!$B$14)+(AD351*Settings!$B$15)+(AE351*Settings!$B$16)+(AF351*Settings!$B$17)+(AG351*Settings!$B$18)+(U351*Settings!$B$13)+(Y351*Settings!$B$10)+(Z351*Settings!$B$11),VLOOKUP(B351,'Standard Deviations'!A$1:C$672,3,FALSE))</f>
        <v>143.00060082291617</v>
      </c>
      <c r="J351" s="53" cm="1">
        <f t="array" ref="J351">IF(D351="G",I351/AJ351,I351/Q351)</f>
        <v>1.8932953902146983</v>
      </c>
      <c r="K351" s="52" cm="1">
        <f t="array" ref="K351">VLOOKUP(B351,D!A1:F204,6,FALSE)</f>
        <v>-163.65326652167789</v>
      </c>
      <c r="L351" s="54" cm="1">
        <f t="array" ref="L351">IFERROR(K351/H351,"N/A")</f>
        <v>-79.830861717891665</v>
      </c>
      <c r="M351" s="85" t="s">
        <v>832</v>
      </c>
      <c r="N351" s="85" t="str" cm="1">
        <f t="array" ref="N351">IFERROR(M351-A351,"N/A")</f>
        <v>N/A</v>
      </c>
      <c r="O351" s="55"/>
      <c r="P351" s="56" t="str" cm="1">
        <f t="array" ref="P351">_xlfn.XLOOKUP($B351,ADP!A2:A671,ADP!G2:G671)</f>
        <v xml:space="preserve"> </v>
      </c>
      <c r="Q351" s="57" cm="1">
        <f t="array" ref="Q351">IF(Settings!$E$12="YES",VLOOKUP(B351,'Player Data'!A1:E673,5,FALSE),84)</f>
        <v>75.53</v>
      </c>
      <c r="R351" s="55" cm="1">
        <f t="array" ref="R351">VLOOKUP(B351,'Player Data'!$A1:$AE673,6,FALSE)</f>
        <v>18.182856888202199</v>
      </c>
      <c r="S351" s="57" cm="1">
        <f t="array" ref="S351">VLOOKUP(B351,'Player Data'!$A1:$AE673,7,FALSE)*$Q351*IFERROR((VLOOKUP(P351,Settings!$E$28:$F$33,2,FALSE)+1),1)</f>
        <v>6.765491732729771</v>
      </c>
      <c r="T351" s="57" cm="1">
        <f t="array" ref="T351">VLOOKUP(B351,'Player Data'!$A1:$AE673,8,FALSE)*$Q351*IFERROR((VLOOKUP(P351,Settings!$E$28:$F$33,2,FALSE)+1),1)</f>
        <v>14.31364080133323</v>
      </c>
      <c r="U351" s="57" cm="1">
        <f t="array" ref="U351">SUM(S351:T351)</f>
        <v>21.079132534063</v>
      </c>
      <c r="V351" s="57" cm="1">
        <f t="array" ref="V351">VLOOKUP(B351,'Player Data'!$A1:$AE673,10,FALSE)*$Q351*IFERROR(((VLOOKUP(P351,Settings!$E$28:$F$33,2,FALSE)/2)+1),1)</f>
        <v>60.981973394139473</v>
      </c>
      <c r="W351" s="57" cm="1">
        <f t="array" ref="W351">VLOOKUP(B351,'Player Data'!$A1:$AE673,11,FALSE)*$Q351*IFERROR((VLOOKUP(P351,Settings!$E$28:$F$33,2,FALSE)+1),1)</f>
        <v>4.3638756022586697E-2</v>
      </c>
      <c r="X351" s="57" cm="1">
        <f t="array" ref="X351">VLOOKUP(B351,'Player Data'!$A1:$AE673,12,FALSE)*$Q351*IFERROR((VLOOKUP(P351,Settings!$E$28:$F$33,2,FALSE)+1),1)</f>
        <v>1.3892310649038924</v>
      </c>
      <c r="Y351" s="57" cm="1">
        <f t="array" ref="Y351">VLOOKUP(B351,'Player Data'!$A1:$AE673,13,FALSE)*$Q351</f>
        <v>0.65113666216249566</v>
      </c>
      <c r="Z351" s="57" cm="1">
        <f t="array" ref="Z351">VLOOKUP(B351,'Player Data'!$A1:$AE673,14,FALSE)*$Q351</f>
        <v>0.73712745193678586</v>
      </c>
      <c r="AA351" s="57" cm="1">
        <f t="array" ref="AA351">VLOOKUP(B351,'Player Data'!$A1:$AE673,15,FALSE)*$Q351</f>
        <v>94.291716013633504</v>
      </c>
      <c r="AB351" s="57" cm="1">
        <f t="array" ref="AB351">VLOOKUP(B351,'Player Data'!$A1:$AE673,16,FALSE)*$Q351</f>
        <v>81.140608408647722</v>
      </c>
      <c r="AC351" s="57" cm="1">
        <f t="array" ref="AC351">VLOOKUP(B351,'Player Data'!$A1:$AE673,17,FALSE)*$Q351*IFERROR((VLOOKUP(P351,Settings!$E$28:$F$33,2,FALSE)+1),1)</f>
        <v>-6.3922849009419087</v>
      </c>
      <c r="AD351" s="57" cm="1">
        <f t="array" ref="AD351">VLOOKUP(B351,'Player Data'!$A1:$AE673,18,FALSE)*$Q351</f>
        <v>37.480164449424429</v>
      </c>
      <c r="AE351" s="57" cm="1">
        <f t="array" ref="AE351">VLOOKUP(B351,'Player Data'!$A1:$AE673,19,FALSE)*$Q351*IFERROR((VLOOKUP(P351,Settings!$E$28:$F$33,2,FALSE)+1),1)</f>
        <v>0.93211687300083745</v>
      </c>
      <c r="AF351" s="57" cm="1">
        <f t="array" ref="AF351">VLOOKUP(B351,'Player Data'!$A1:$AE673,20,FALSE)*$Q351</f>
        <v>0</v>
      </c>
      <c r="AG351" s="57" cm="1">
        <f t="array" ref="AG351">VLOOKUP(B351,'Player Data'!$A1:$AE673,21,FALSE)*$Q351</f>
        <v>0</v>
      </c>
      <c r="AH351" s="59" cm="1">
        <f t="array" ref="AH351">VLOOKUP(B351,'Player Data'!$A1:$AE673,22,FALSE)</f>
        <v>0</v>
      </c>
      <c r="AI351" s="55"/>
      <c r="AJ351" s="57"/>
      <c r="AK351" s="57"/>
      <c r="AL351" s="57"/>
      <c r="AM351" s="57"/>
      <c r="AN351" s="57"/>
      <c r="AO351" s="57"/>
      <c r="AP351" s="57"/>
      <c r="AQ351" s="60"/>
      <c r="AR351" s="61"/>
      <c r="AS351" s="55"/>
    </row>
    <row r="352" spans="1:45" ht="21.25" customHeight="1" x14ac:dyDescent="0.15">
      <c r="A352" s="62">
        <f t="shared" si="5"/>
        <v>351</v>
      </c>
      <c r="B352" s="10" t="s">
        <v>480</v>
      </c>
      <c r="C352" s="47" t="s">
        <v>147</v>
      </c>
      <c r="D352" s="48" t="str" cm="1">
        <f t="array" ref="D352">VLOOKUP(B352,'Player Data'!A1:D673,4,FALSE)</f>
        <v>D</v>
      </c>
      <c r="E352" s="68" cm="1">
        <f t="array" ref="E352">VLOOKUP(B352,D!A1:C204,3,FALSE)</f>
        <v>146</v>
      </c>
      <c r="F352" s="72" t="str" cm="1">
        <f t="array" ref="F352">VLOOKUP(B352,'Player Data'!A1:B673,2,FALSE)</f>
        <v>FLA</v>
      </c>
      <c r="G352" s="11" cm="1">
        <f t="array" ref="G352">VLOOKUP(B352,'Player Data'!A1:D673,3,FALSE)</f>
        <v>30</v>
      </c>
      <c r="H352" s="51" cm="1">
        <f t="array" ref="H352">IFERROR(VLOOKUP(B352,ADP!A1:F671,6,FALSE)/1000000,VLOOKUP(B352,ADP!A1:F671,6,FALSE))</f>
        <v>5</v>
      </c>
      <c r="I352" s="52">
        <f>IF(Settings!$E$15="POINTS",((R352*Q352)*Settings!$B$12)+(S352*Settings!$B$2)+(T352*Settings!$B$3)+(U352*Settings!$B$4)+(V352*Settings!$B$5)+(X352*Settings!$B$9)+(AA352*Settings!$B$6)+(W352*Settings!$B$8)+(AB352*Settings!$B$7)+(AC352*Settings!$B$14)+(AD352*Settings!$B$15)+(AE352*Settings!$B$16)+(AF352*Settings!$B$17)+(AG352*Settings!$B$18)+(U352*Settings!$B$13)+(Y352*Settings!$B$10)+(Z352*Settings!$B$11),VLOOKUP(B352,'Standard Deviations'!A$1:C$672,3,FALSE))</f>
        <v>142.89431006073769</v>
      </c>
      <c r="J352" s="53" cm="1">
        <f t="array" ref="J352">IF(D352="G",I352/AJ352,I352/Q352)</f>
        <v>1.7702466558565126</v>
      </c>
      <c r="K352" s="52" cm="1">
        <f t="array" ref="K352">VLOOKUP(B352,D!A1:F204,6,FALSE)</f>
        <v>-163.75955728385637</v>
      </c>
      <c r="L352" s="54" cm="1">
        <f t="array" ref="L352">IFERROR(K352/H352,"N/A")</f>
        <v>-32.751911456771275</v>
      </c>
      <c r="M352" s="85" t="s">
        <v>832</v>
      </c>
      <c r="N352" s="85" t="str" cm="1">
        <f t="array" ref="N352">IFERROR(M352-A352,"N/A")</f>
        <v>N/A</v>
      </c>
      <c r="O352" s="55"/>
      <c r="P352" s="56" t="str" cm="1">
        <f t="array" ref="P352">_xlfn.XLOOKUP($B352,ADP!A2:A671,ADP!G2:G671)</f>
        <v xml:space="preserve"> </v>
      </c>
      <c r="Q352" s="57" cm="1">
        <f t="array" ref="Q352">IF(Settings!$E$12="YES",VLOOKUP(B352,'Player Data'!A1:E673,5,FALSE),84)</f>
        <v>80.72</v>
      </c>
      <c r="R352" s="55" cm="1">
        <f t="array" ref="R352">VLOOKUP(B352,'Player Data'!$A1:$AE673,6,FALSE)</f>
        <v>19.920551155285999</v>
      </c>
      <c r="S352" s="57" cm="1">
        <f t="array" ref="S352">VLOOKUP(B352,'Player Data'!$A1:$AE673,7,FALSE)*$Q352*IFERROR((VLOOKUP(P352,Settings!$E$28:$F$33,2,FALSE)+1),1)</f>
        <v>3.2709630635472546</v>
      </c>
      <c r="T352" s="57" cm="1">
        <f t="array" ref="T352">VLOOKUP(B352,'Player Data'!$A1:$AE673,8,FALSE)*$Q352*IFERROR((VLOOKUP(P352,Settings!$E$28:$F$33,2,FALSE)+1),1)</f>
        <v>13.128204443764075</v>
      </c>
      <c r="U352" s="57" cm="1">
        <f t="array" ref="U352">SUM(S352:T352)</f>
        <v>16.399167507311329</v>
      </c>
      <c r="V352" s="57" cm="1">
        <f t="array" ref="V352">VLOOKUP(B352,'Player Data'!$A1:$AE673,10,FALSE)*$Q352*IFERROR(((VLOOKUP(P352,Settings!$E$28:$F$33,2,FALSE)/2)+1),1)</f>
        <v>85.174481439359042</v>
      </c>
      <c r="W352" s="57" cm="1">
        <f t="array" ref="W352">VLOOKUP(B352,'Player Data'!$A1:$AE673,11,FALSE)*$Q352*IFERROR((VLOOKUP(P352,Settings!$E$28:$F$33,2,FALSE)+1),1)</f>
        <v>6.2929783397458602E-3</v>
      </c>
      <c r="X352" s="57" cm="1">
        <f t="array" ref="X352">VLOOKUP(B352,'Player Data'!$A1:$AE673,12,FALSE)*$Q352*IFERROR((VLOOKUP(P352,Settings!$E$28:$F$33,2,FALSE)+1),1)</f>
        <v>5.9525389565853036E-2</v>
      </c>
      <c r="Y352" s="57" cm="1">
        <f t="array" ref="Y352">VLOOKUP(B352,'Player Data'!$A1:$AE673,13,FALSE)*$Q352</f>
        <v>1.1350214540757299E-2</v>
      </c>
      <c r="Z352" s="57" cm="1">
        <f t="array" ref="Z352">VLOOKUP(B352,'Player Data'!$A1:$AE673,14,FALSE)*$Q352</f>
        <v>0.23058081647060674</v>
      </c>
      <c r="AA352" s="57" cm="1">
        <f t="array" ref="AA352">VLOOKUP(B352,'Player Data'!$A1:$AE673,15,FALSE)*$Q352</f>
        <v>101.63892122617541</v>
      </c>
      <c r="AB352" s="57" cm="1">
        <f t="array" ref="AB352">VLOOKUP(B352,'Player Data'!$A1:$AE673,16,FALSE)*$Q352</f>
        <v>128.37976347355124</v>
      </c>
      <c r="AC352" s="57" cm="1">
        <f t="array" ref="AC352">VLOOKUP(B352,'Player Data'!$A1:$AE673,17,FALSE)*$Q352*IFERROR((VLOOKUP(P352,Settings!$E$28:$F$33,2,FALSE)+1),1)</f>
        <v>2.9316472821647248</v>
      </c>
      <c r="AD352" s="57" cm="1">
        <f t="array" ref="AD352">VLOOKUP(B352,'Player Data'!$A1:$AE673,18,FALSE)*$Q352</f>
        <v>52.195190132010715</v>
      </c>
      <c r="AE352" s="57" cm="1">
        <f t="array" ref="AE352">VLOOKUP(B352,'Player Data'!$A1:$AE673,19,FALSE)*$Q352*IFERROR((VLOOKUP(P352,Settings!$E$28:$F$33,2,FALSE)+1),1)</f>
        <v>0.54460150729264112</v>
      </c>
      <c r="AF352" s="57" cm="1">
        <f t="array" ref="AF352">VLOOKUP(B352,'Player Data'!$A1:$AE673,20,FALSE)*$Q352</f>
        <v>0</v>
      </c>
      <c r="AG352" s="57" cm="1">
        <f t="array" ref="AG352">VLOOKUP(B352,'Player Data'!$A1:$AE673,21,FALSE)*$Q352</f>
        <v>0</v>
      </c>
      <c r="AH352" s="59" cm="1">
        <f t="array" ref="AH352">VLOOKUP(B352,'Player Data'!$A1:$AE673,22,FALSE)</f>
        <v>0</v>
      </c>
      <c r="AI352" s="55"/>
      <c r="AJ352" s="57"/>
      <c r="AK352" s="57"/>
      <c r="AL352" s="57"/>
      <c r="AM352" s="57"/>
      <c r="AN352" s="57"/>
      <c r="AO352" s="57"/>
      <c r="AP352" s="57"/>
      <c r="AQ352" s="60"/>
      <c r="AR352" s="61"/>
      <c r="AS352" s="55"/>
    </row>
    <row r="353" spans="1:45" ht="21.25" customHeight="1" x14ac:dyDescent="0.15">
      <c r="A353" s="62">
        <f t="shared" si="5"/>
        <v>352</v>
      </c>
      <c r="B353" s="10" t="s">
        <v>481</v>
      </c>
      <c r="C353" s="47" t="s">
        <v>147</v>
      </c>
      <c r="D353" s="48" t="str" cm="1">
        <f t="array" ref="D353">VLOOKUP(B353,'Player Data'!A1:D673,4,FALSE)</f>
        <v>D</v>
      </c>
      <c r="E353" s="68" cm="1">
        <f t="array" ref="E353">VLOOKUP(B353,D!A1:C204,3,FALSE)</f>
        <v>147</v>
      </c>
      <c r="F353" s="56" t="str" cm="1">
        <f t="array" ref="F353">VLOOKUP(B353,'Player Data'!A1:B673,2,FALSE)</f>
        <v>CHI</v>
      </c>
      <c r="G353" s="71" cm="1">
        <f t="array" ref="G353">VLOOKUP(B353,'Player Data'!A1:D673,3,FALSE)</f>
        <v>24</v>
      </c>
      <c r="H353" s="67" cm="1">
        <f t="array" ref="H353">IFERROR(VLOOKUP(B353,ADP!A1:F671,6,FALSE)/1000000,VLOOKUP(B353,ADP!A1:F671,6,FALSE))</f>
        <v>1.7</v>
      </c>
      <c r="I353" s="52">
        <f>IF(Settings!$E$15="POINTS",((R353*Q353)*Settings!$B$12)+(S353*Settings!$B$2)+(T353*Settings!$B$3)+(U353*Settings!$B$4)+(V353*Settings!$B$5)+(X353*Settings!$B$9)+(AA353*Settings!$B$6)+(W353*Settings!$B$8)+(AB353*Settings!$B$7)+(AC353*Settings!$B$14)+(AD353*Settings!$B$15)+(AE353*Settings!$B$16)+(AF353*Settings!$B$17)+(AG353*Settings!$B$18)+(U353*Settings!$B$13)+(Y353*Settings!$B$10)+(Z353*Settings!$B$11),VLOOKUP(B353,'Standard Deviations'!A$1:C$672,3,FALSE))</f>
        <v>142.88400130384966</v>
      </c>
      <c r="J353" s="53" cm="1">
        <f t="array" ref="J353">IF(D353="G",I353/AJ353,I353/Q353)</f>
        <v>1.912643080166651</v>
      </c>
      <c r="K353" s="52" cm="1">
        <f t="array" ref="K353">VLOOKUP(B353,D!A1:F204,6,FALSE)</f>
        <v>-163.7698660407444</v>
      </c>
      <c r="L353" s="54" cm="1">
        <f t="array" ref="L353">IFERROR(K353/H353,"N/A")</f>
        <v>-96.335215318084948</v>
      </c>
      <c r="M353" s="85" t="s">
        <v>832</v>
      </c>
      <c r="N353" s="85" t="str" cm="1">
        <f t="array" ref="N353">IFERROR(M353-A353,"N/A")</f>
        <v>N/A</v>
      </c>
      <c r="O353" s="55"/>
      <c r="P353" s="56" t="str" cm="1">
        <f t="array" ref="P353">_xlfn.XLOOKUP($B353,ADP!A2:A671,ADP!G2:G671)</f>
        <v xml:space="preserve"> </v>
      </c>
      <c r="Q353" s="57" cm="1">
        <f t="array" ref="Q353">IF(Settings!$E$12="YES",VLOOKUP(B353,'Player Data'!A1:E673,5,FALSE),84)</f>
        <v>74.704999999999998</v>
      </c>
      <c r="R353" s="55" cm="1">
        <f t="array" ref="R353">VLOOKUP(B353,'Player Data'!$A1:$AE673,6,FALSE)</f>
        <v>19.8329276735479</v>
      </c>
      <c r="S353" s="57" cm="1">
        <f t="array" ref="S353">VLOOKUP(B353,'Player Data'!$A1:$AE673,7,FALSE)*$Q353*IFERROR((VLOOKUP(P353,Settings!$E$28:$F$33,2,FALSE)+1),1)</f>
        <v>5.9040527047908729</v>
      </c>
      <c r="T353" s="57" cm="1">
        <f t="array" ref="T353">VLOOKUP(B353,'Player Data'!$A1:$AE673,8,FALSE)*$Q353*IFERROR((VLOOKUP(P353,Settings!$E$28:$F$33,2,FALSE)+1),1)</f>
        <v>12.748635256364988</v>
      </c>
      <c r="U353" s="57" cm="1">
        <f t="array" ref="U353">SUM(S353:T353)</f>
        <v>18.652687961155863</v>
      </c>
      <c r="V353" s="57" cm="1">
        <f t="array" ref="V353">VLOOKUP(B353,'Player Data'!$A1:$AE673,10,FALSE)*$Q353*IFERROR(((VLOOKUP(P353,Settings!$E$28:$F$33,2,FALSE)/2)+1),1)</f>
        <v>82.164752726529585</v>
      </c>
      <c r="W353" s="57" cm="1">
        <f t="array" ref="W353">VLOOKUP(B353,'Player Data'!$A1:$AE673,11,FALSE)*$Q353*IFERROR((VLOOKUP(P353,Settings!$E$28:$F$33,2,FALSE)+1),1)</f>
        <v>1.0487493752896159E-2</v>
      </c>
      <c r="X353" s="57" cm="1">
        <f t="array" ref="X353">VLOOKUP(B353,'Player Data'!$A1:$AE673,12,FALSE)*$Q353*IFERROR((VLOOKUP(P353,Settings!$E$28:$F$33,2,FALSE)+1),1)</f>
        <v>7.78496709798637E-2</v>
      </c>
      <c r="Y353" s="57" cm="1">
        <f t="array" ref="Y353">VLOOKUP(B353,'Player Data'!$A1:$AE673,13,FALSE)*$Q353</f>
        <v>2.9780556798576021E-2</v>
      </c>
      <c r="Z353" s="57" cm="1">
        <f t="array" ref="Z353">VLOOKUP(B353,'Player Data'!$A1:$AE673,14,FALSE)*$Q353</f>
        <v>0.15598130523781664</v>
      </c>
      <c r="AA353" s="57" cm="1">
        <f t="array" ref="AA353">VLOOKUP(B353,'Player Data'!$A1:$AE673,15,FALSE)*$Q353</f>
        <v>91.219460161799248</v>
      </c>
      <c r="AB353" s="57" cm="1">
        <f t="array" ref="AB353">VLOOKUP(B353,'Player Data'!$A1:$AE673,16,FALSE)*$Q353</f>
        <v>56.494469538685465</v>
      </c>
      <c r="AC353" s="57" cm="1">
        <f t="array" ref="AC353">VLOOKUP(B353,'Player Data'!$A1:$AE673,17,FALSE)*$Q353*IFERROR((VLOOKUP(P353,Settings!$E$28:$F$33,2,FALSE)+1),1)</f>
        <v>-8.3873322063000373</v>
      </c>
      <c r="AD353" s="57" cm="1">
        <f t="array" ref="AD353">VLOOKUP(B353,'Player Data'!$A1:$AE673,18,FALSE)*$Q353</f>
        <v>33.264276380147578</v>
      </c>
      <c r="AE353" s="57" cm="1">
        <f t="array" ref="AE353">VLOOKUP(B353,'Player Data'!$A1:$AE673,19,FALSE)*$Q353*IFERROR((VLOOKUP(P353,Settings!$E$28:$F$33,2,FALSE)+1),1)</f>
        <v>0.72865485619107329</v>
      </c>
      <c r="AF353" s="57" cm="1">
        <f t="array" ref="AF353">VLOOKUP(B353,'Player Data'!$A1:$AE673,20,FALSE)*$Q353</f>
        <v>0</v>
      </c>
      <c r="AG353" s="57" cm="1">
        <f t="array" ref="AG353">VLOOKUP(B353,'Player Data'!$A1:$AE673,21,FALSE)*$Q353</f>
        <v>0</v>
      </c>
      <c r="AH353" s="59" cm="1">
        <f t="array" ref="AH353">VLOOKUP(B353,'Player Data'!$A1:$AE673,22,FALSE)</f>
        <v>0</v>
      </c>
      <c r="AI353" s="55"/>
      <c r="AJ353" s="57"/>
      <c r="AK353" s="57"/>
      <c r="AL353" s="57"/>
      <c r="AM353" s="57"/>
      <c r="AN353" s="57"/>
      <c r="AO353" s="57"/>
      <c r="AP353" s="57"/>
      <c r="AQ353" s="60"/>
      <c r="AR353" s="61"/>
      <c r="AS353" s="55"/>
    </row>
    <row r="354" spans="1:45" ht="21.25" customHeight="1" x14ac:dyDescent="0.15">
      <c r="A354" s="62">
        <f t="shared" si="5"/>
        <v>353</v>
      </c>
      <c r="B354" s="10" t="s">
        <v>482</v>
      </c>
      <c r="C354" s="47" t="s">
        <v>147</v>
      </c>
      <c r="D354" s="48" t="str" cm="1">
        <f t="array" ref="D354">VLOOKUP(B354,'Player Data'!A1:D673,4,FALSE)</f>
        <v>D</v>
      </c>
      <c r="E354" s="68" cm="1">
        <f t="array" ref="E354">VLOOKUP(B354,D!A1:C204,3,FALSE)</f>
        <v>148</v>
      </c>
      <c r="F354" s="65" t="str" cm="1">
        <f t="array" ref="F354">VLOOKUP(B354,'Player Data'!A1:B673,2,FALSE)</f>
        <v>STL</v>
      </c>
      <c r="G354" s="71" cm="1">
        <f t="array" ref="G354">VLOOKUP(B354,'Player Data'!A1:D673,3,FALSE)</f>
        <v>21</v>
      </c>
      <c r="H354" s="51" cm="1">
        <f t="array" ref="H354">IFERROR(VLOOKUP(B354,ADP!A1:F671,6,FALSE)/1000000,VLOOKUP(B354,ADP!A1:F671,6,FALSE))</f>
        <v>0.94083300000000003</v>
      </c>
      <c r="I354" s="52">
        <f>IF(Settings!$E$15="POINTS",((R354*Q354)*Settings!$B$12)+(S354*Settings!$B$2)+(T354*Settings!$B$3)+(U354*Settings!$B$4)+(V354*Settings!$B$5)+(X354*Settings!$B$9)+(AA354*Settings!$B$6)+(W354*Settings!$B$8)+(AB354*Settings!$B$7)+(AC354*Settings!$B$14)+(AD354*Settings!$B$15)+(AE354*Settings!$B$16)+(AF354*Settings!$B$17)+(AG354*Settings!$B$18)+(U354*Settings!$B$13)+(Y354*Settings!$B$10)+(Z354*Settings!$B$11),VLOOKUP(B354,'Standard Deviations'!A$1:C$672,3,FALSE))</f>
        <v>142.74476855708286</v>
      </c>
      <c r="J354" s="53" cm="1">
        <f t="array" ref="J354">IF(D354="G",I354/AJ354,I354/Q354)</f>
        <v>2.039210979386898</v>
      </c>
      <c r="K354" s="52" cm="1">
        <f t="array" ref="K354">VLOOKUP(B354,D!A1:F204,6,FALSE)</f>
        <v>-163.9090987875112</v>
      </c>
      <c r="L354" s="54" cm="1">
        <f t="array" ref="L354">IFERROR(K354/H354,"N/A")</f>
        <v>-174.21699577662687</v>
      </c>
      <c r="M354" s="85" t="s">
        <v>832</v>
      </c>
      <c r="N354" s="85" t="str" cm="1">
        <f t="array" ref="N354">IFERROR(M354-A354,"N/A")</f>
        <v>N/A</v>
      </c>
      <c r="O354" s="55"/>
      <c r="P354" s="56" t="str" cm="1">
        <f t="array" ref="P354">_xlfn.XLOOKUP($B354,ADP!A2:A671,ADP!G2:G671)</f>
        <v xml:space="preserve"> </v>
      </c>
      <c r="Q354" s="57" cm="1">
        <f t="array" ref="Q354">IF(Settings!$E$12="YES",VLOOKUP(B354,'Player Data'!A1:E673,5,FALSE),84)</f>
        <v>70</v>
      </c>
      <c r="R354" s="82" cm="1">
        <f t="array" ref="R354">VLOOKUP(B354,'Player Data'!$A1:$AE673,6,FALSE)</f>
        <v>16.870116309436099</v>
      </c>
      <c r="S354" s="57" cm="1">
        <f t="array" ref="S354">VLOOKUP(B354,'Player Data'!$A1:$AE673,7,FALSE)*$Q354*IFERROR((VLOOKUP(P354,Settings!$E$28:$F$33,2,FALSE)+1),1)</f>
        <v>6.7468130197809746</v>
      </c>
      <c r="T354" s="57" cm="1">
        <f t="array" ref="T354">VLOOKUP(B354,'Player Data'!$A1:$AE673,8,FALSE)*$Q354*IFERROR((VLOOKUP(P354,Settings!$E$28:$F$33,2,FALSE)+1),1)</f>
        <v>13.690946452758819</v>
      </c>
      <c r="U354" s="57" cm="1">
        <f t="array" ref="U354">SUM(S354:T354)</f>
        <v>20.437759472539796</v>
      </c>
      <c r="V354" s="57" cm="1">
        <f t="array" ref="V354">VLOOKUP(B354,'Player Data'!$A1:$AE673,10,FALSE)*$Q354*IFERROR(((VLOOKUP(P354,Settings!$E$28:$F$33,2,FALSE)/2)+1),1)</f>
        <v>82.616300144369603</v>
      </c>
      <c r="W354" s="57" cm="1">
        <f t="array" ref="W354">VLOOKUP(B354,'Player Data'!$A1:$AE673,11,FALSE)*$Q354*IFERROR((VLOOKUP(P354,Settings!$E$28:$F$33,2,FALSE)+1),1)</f>
        <v>1.1790370793027961E-2</v>
      </c>
      <c r="X354" s="57" cm="1">
        <f t="array" ref="X354">VLOOKUP(B354,'Player Data'!$A1:$AE673,12,FALSE)*$Q354*IFERROR((VLOOKUP(P354,Settings!$E$28:$F$33,2,FALSE)+1),1)</f>
        <v>8.5844101782781304E-2</v>
      </c>
      <c r="Y354" s="57" cm="1">
        <f t="array" ref="Y354">VLOOKUP(B354,'Player Data'!$A1:$AE673,13,FALSE)*$Q354</f>
        <v>2.517859587180105E-2</v>
      </c>
      <c r="Z354" s="57" cm="1">
        <f t="array" ref="Z354">VLOOKUP(B354,'Player Data'!$A1:$AE673,14,FALSE)*$Q354</f>
        <v>8.2088166815435903E-2</v>
      </c>
      <c r="AA354" s="57" cm="1">
        <f t="array" ref="AA354">VLOOKUP(B354,'Player Data'!$A1:$AE673,15,FALSE)*$Q354</f>
        <v>79.910815597360994</v>
      </c>
      <c r="AB354" s="57" cm="1">
        <f t="array" ref="AB354">VLOOKUP(B354,'Player Data'!$A1:$AE673,16,FALSE)*$Q354</f>
        <v>67.852473824269197</v>
      </c>
      <c r="AC354" s="57" cm="1">
        <f t="array" ref="AC354">VLOOKUP(B354,'Player Data'!$A1:$AE673,17,FALSE)*$Q354*IFERROR((VLOOKUP(P354,Settings!$E$28:$F$33,2,FALSE)+1),1)</f>
        <v>-0.50678648345176114</v>
      </c>
      <c r="AD354" s="57" cm="1">
        <f t="array" ref="AD354">VLOOKUP(B354,'Player Data'!$A1:$AE673,18,FALSE)*$Q354</f>
        <v>27.57266099976059</v>
      </c>
      <c r="AE354" s="57" cm="1">
        <f t="array" ref="AE354">VLOOKUP(B354,'Player Data'!$A1:$AE673,19,FALSE)*$Q354*IFERROR((VLOOKUP(P354,Settings!$E$28:$F$33,2,FALSE)+1),1)</f>
        <v>0.97283001515682499</v>
      </c>
      <c r="AF354" s="57" cm="1">
        <f t="array" ref="AF354">VLOOKUP(B354,'Player Data'!$A1:$AE673,20,FALSE)*$Q354</f>
        <v>0</v>
      </c>
      <c r="AG354" s="57" cm="1">
        <f t="array" ref="AG354">VLOOKUP(B354,'Player Data'!$A1:$AE673,21,FALSE)*$Q354</f>
        <v>0</v>
      </c>
      <c r="AH354" s="59" cm="1">
        <f t="array" ref="AH354">VLOOKUP(B354,'Player Data'!$A1:$AE673,22,FALSE)</f>
        <v>0</v>
      </c>
      <c r="AI354" s="55"/>
      <c r="AJ354" s="57"/>
      <c r="AK354" s="57"/>
      <c r="AL354" s="57"/>
      <c r="AM354" s="57"/>
      <c r="AN354" s="57"/>
      <c r="AO354" s="57"/>
      <c r="AP354" s="57"/>
      <c r="AQ354" s="60"/>
      <c r="AR354" s="61"/>
      <c r="AS354" s="55"/>
    </row>
    <row r="355" spans="1:45" ht="21.25" customHeight="1" x14ac:dyDescent="0.15">
      <c r="A355" s="62">
        <f t="shared" si="5"/>
        <v>354</v>
      </c>
      <c r="B355" s="10" t="s">
        <v>483</v>
      </c>
      <c r="C355" s="76"/>
      <c r="D355" s="48" t="str" cm="1">
        <f t="array" ref="D355">VLOOKUP(B355,'Player Data'!A1:D673,4,FALSE)</f>
        <v>G</v>
      </c>
      <c r="E355" s="77" cm="1">
        <f t="array" ref="E355">VLOOKUP(B355,G!A1:D66,3,FALSE)</f>
        <v>38</v>
      </c>
      <c r="F355" s="50" t="str" cm="1">
        <f t="array" ref="F355">VLOOKUP(B355,'Player Data'!A1:B673,2,FALSE)</f>
        <v>S.J</v>
      </c>
      <c r="G355" s="11" cm="1">
        <f t="array" ref="G355">VLOOKUP(B355,'Player Data'!A1:D673,3,FALSE)</f>
        <v>30</v>
      </c>
      <c r="H355" s="51" cm="1">
        <f t="array" ref="H355">IFERROR(VLOOKUP(B355,ADP!A1:F671,6,FALSE)/1000000,VLOOKUP(B355,ADP!A1:F671,6,FALSE))</f>
        <v>3</v>
      </c>
      <c r="I355" s="52">
        <f>IF(Settings!$E$15="POINTS",(AJ355*Settings!$B$29)+(AK355*Settings!$B$21)+(AL355*Settings!$B$22)+(AN355*Settings!$B$24)+(AO355*Settings!$B$25)+(AP355*Settings!$B$27)+(AM355*Settings!$B$23),VLOOKUP(B355,'Standard Deviations'!A$1:C$672,3,FALSE))</f>
        <v>195.03524604538813</v>
      </c>
      <c r="J355" s="53" cm="1">
        <f t="array" ref="J355">IF(D355="G",I355/AJ355,I355/Q355)</f>
        <v>5.5724356012968039</v>
      </c>
      <c r="K355" s="52" cm="1">
        <f t="array" ref="K355">VLOOKUP(B355,G!A1:F66,6,FALSE)</f>
        <v>-164.12266188484989</v>
      </c>
      <c r="L355" s="54" cm="1">
        <f t="array" ref="L355">IFERROR(K355/H355,"N/A")</f>
        <v>-54.707553961616632</v>
      </c>
      <c r="M355" s="85" t="s">
        <v>832</v>
      </c>
      <c r="N355" s="85" t="str" cm="1">
        <f t="array" ref="N355">IFERROR(M355-A355,"N/A")</f>
        <v>N/A</v>
      </c>
      <c r="O355" s="55"/>
      <c r="P355" s="56" t="str" cm="1">
        <f t="array" ref="P355">_xlfn.XLOOKUP($B355,ADP!A2:A671,ADP!G2:G671)</f>
        <v xml:space="preserve"> </v>
      </c>
      <c r="Q355" s="57"/>
      <c r="R355" s="55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9"/>
      <c r="AI355" s="55"/>
      <c r="AJ355" s="78" cm="1">
        <f t="array" ref="AJ355">VLOOKUP(B355,'Player Data'!$A1:$AE673,24,FALSE)</f>
        <v>35</v>
      </c>
      <c r="AK355" s="57" cm="1">
        <f t="array" ref="AK355">VLOOKUP(B355,'Player Data'!$A1:$AE673,25,FALSE)*$AJ355*IFERROR((VLOOKUP(P355,Settings!$E$28:$F$33,2,FALSE)+1),1)</f>
        <v>16.558507074888311</v>
      </c>
      <c r="AL355" s="57" cm="1">
        <f t="array" ref="AL355">AJ355-AK355-AM355</f>
        <v>13.831119693833749</v>
      </c>
      <c r="AM355" s="57" cm="1">
        <f t="array" ref="AM355">VLOOKUP(B355,'Player Data'!$A1:$AE673,27,FALSE)*$AJ355</f>
        <v>4.61037323127794</v>
      </c>
      <c r="AN355" s="57" cm="1">
        <f t="array" ref="AN355">VLOOKUP(B355,'Player Data'!$A1:$AE673,28,FALSE)*AJ355</f>
        <v>1.1513182732598646</v>
      </c>
      <c r="AO355" s="57" cm="1">
        <f t="array" ref="AO355">VLOOKUP(B355,'Player Data'!$A1:$AE673,29,FALSE)*$AJ355*IFERROR((VLOOKUP(P355,Settings!$E$28:$F$33,2,FALSE)/4)+1,1)</f>
        <v>942.34469739388999</v>
      </c>
      <c r="AP355" s="57" cm="1">
        <f t="array" ref="AP355">VLOOKUP(B355,'Player Data'!$A1:$AE673,31,FALSE)*$AJ355*(IFERROR(1-(VLOOKUP(P355,Settings!$E$28:$F$33,2,FALSE)/4),1))</f>
        <v>108.98798071649389</v>
      </c>
      <c r="AQ355" s="60" cm="1">
        <f t="array" ref="AQ355">1-(AP355/(AO355+AP355))</f>
        <v>0.89633349843896815</v>
      </c>
      <c r="AR355" s="61" cm="1">
        <f t="array" ref="AR355">AP355/AJ355</f>
        <v>3.1139423061855398</v>
      </c>
      <c r="AS355" s="55"/>
    </row>
    <row r="356" spans="1:45" ht="21.25" customHeight="1" x14ac:dyDescent="0.15">
      <c r="A356" s="62">
        <f t="shared" si="5"/>
        <v>355</v>
      </c>
      <c r="B356" s="10" t="s">
        <v>484</v>
      </c>
      <c r="C356" s="47" t="s">
        <v>147</v>
      </c>
      <c r="D356" s="48" t="str" cm="1">
        <f t="array" ref="D356">VLOOKUP(B356,'Player Data'!A1:D673,4,FALSE)</f>
        <v>D</v>
      </c>
      <c r="E356" s="68" cm="1">
        <f t="array" ref="E356">VLOOKUP(B356,D!A1:C204,3,FALSE)</f>
        <v>149</v>
      </c>
      <c r="F356" s="50" t="str" cm="1">
        <f t="array" ref="F356">VLOOKUP(B356,'Player Data'!A1:B673,2,FALSE)</f>
        <v>ANA</v>
      </c>
      <c r="G356" s="71" cm="1">
        <f t="array" ref="G356">VLOOKUP(B356,'Player Data'!A1:D673,3,FALSE)</f>
        <v>20</v>
      </c>
      <c r="H356" s="51" cm="1">
        <f t="array" ref="H356">IFERROR(VLOOKUP(B356,ADP!A1:F671,6,FALSE)/1000000,VLOOKUP(B356,ADP!A1:F671,6,FALSE))</f>
        <v>0.86499999999999999</v>
      </c>
      <c r="I356" s="52">
        <f>IF(Settings!$E$15="POINTS",((R356*Q356)*Settings!$B$12)+(S356*Settings!$B$2)+(T356*Settings!$B$3)+(U356*Settings!$B$4)+(V356*Settings!$B$5)+(X356*Settings!$B$9)+(AA356*Settings!$B$6)+(W356*Settings!$B$8)+(AB356*Settings!$B$7)+(AC356*Settings!$B$14)+(AD356*Settings!$B$15)+(AE356*Settings!$B$16)+(AF356*Settings!$B$17)+(AG356*Settings!$B$18)+(U356*Settings!$B$13)+(Y356*Settings!$B$10)+(Z356*Settings!$B$11),VLOOKUP(B356,'Standard Deviations'!A$1:C$672,3,FALSE))</f>
        <v>142.06619194247139</v>
      </c>
      <c r="J356" s="53" cm="1">
        <f t="array" ref="J356">IF(D356="G",I356/AJ356,I356/Q356)</f>
        <v>2.0892087050363441</v>
      </c>
      <c r="K356" s="52" cm="1">
        <f t="array" ref="K356">VLOOKUP(B356,D!A1:F204,6,FALSE)</f>
        <v>-164.58767540212267</v>
      </c>
      <c r="L356" s="54" cm="1">
        <f t="array" ref="L356">IFERROR(K356/H356,"N/A")</f>
        <v>-190.27476925100888</v>
      </c>
      <c r="M356" s="85" t="s">
        <v>832</v>
      </c>
      <c r="N356" s="85" t="str" cm="1">
        <f t="array" ref="N356">IFERROR(M356-A356,"N/A")</f>
        <v>N/A</v>
      </c>
      <c r="O356" s="55"/>
      <c r="P356" s="56" t="str" cm="1">
        <f t="array" ref="P356">_xlfn.XLOOKUP($B356,ADP!A2:A671,ADP!G2:G671)</f>
        <v xml:space="preserve"> </v>
      </c>
      <c r="Q356" s="57" cm="1">
        <f t="array" ref="Q356">IF(Settings!$E$12="YES",VLOOKUP(B356,'Player Data'!A1:E673,5,FALSE),84)</f>
        <v>68</v>
      </c>
      <c r="R356" s="82" cm="1">
        <f t="array" ref="R356">VLOOKUP(B356,'Player Data'!$A1:$AE673,6,FALSE)</f>
        <v>16.875655918704201</v>
      </c>
      <c r="S356" s="57" cm="1">
        <f t="array" ref="S356">VLOOKUP(B356,'Player Data'!$A1:$AE673,7,FALSE)*$Q356*IFERROR((VLOOKUP(P356,Settings!$E$28:$F$33,2,FALSE)+1),1)</f>
        <v>5.9582763118358386</v>
      </c>
      <c r="T356" s="57" cm="1">
        <f t="array" ref="T356">VLOOKUP(B356,'Player Data'!$A1:$AE673,8,FALSE)*$Q356*IFERROR((VLOOKUP(P356,Settings!$E$28:$F$33,2,FALSE)+1),1)</f>
        <v>13.469478246811141</v>
      </c>
      <c r="U356" s="57" cm="1">
        <f t="array" ref="U356">SUM(S356:T356)</f>
        <v>19.427754558646981</v>
      </c>
      <c r="V356" s="57" cm="1">
        <f t="array" ref="V356">VLOOKUP(B356,'Player Data'!$A1:$AE673,10,FALSE)*$Q356*IFERROR(((VLOOKUP(P356,Settings!$E$28:$F$33,2,FALSE)/2)+1),1)</f>
        <v>84.851487668547591</v>
      </c>
      <c r="W356" s="57" cm="1">
        <f t="array" ref="W356">VLOOKUP(B356,'Player Data'!$A1:$AE673,11,FALSE)*$Q356*IFERROR((VLOOKUP(P356,Settings!$E$28:$F$33,2,FALSE)+1),1)</f>
        <v>6.6911107884686474E-2</v>
      </c>
      <c r="X356" s="57" cm="1">
        <f t="array" ref="X356">VLOOKUP(B356,'Player Data'!$A1:$AE673,12,FALSE)*$Q356*IFERROR((VLOOKUP(P356,Settings!$E$28:$F$33,2,FALSE)+1),1)</f>
        <v>0.47523230250642107</v>
      </c>
      <c r="Y356" s="57" cm="1">
        <f t="array" ref="Y356">VLOOKUP(B356,'Player Data'!$A1:$AE673,13,FALSE)*$Q356</f>
        <v>0</v>
      </c>
      <c r="Z356" s="57" cm="1">
        <f t="array" ref="Z356">VLOOKUP(B356,'Player Data'!$A1:$AE673,14,FALSE)*$Q356</f>
        <v>0</v>
      </c>
      <c r="AA356" s="57" cm="1">
        <f t="array" ref="AA356">VLOOKUP(B356,'Player Data'!$A1:$AE673,15,FALSE)*$Q356</f>
        <v>81.763904259500492</v>
      </c>
      <c r="AB356" s="57" cm="1">
        <f t="array" ref="AB356">VLOOKUP(B356,'Player Data'!$A1:$AE673,16,FALSE)*$Q356</f>
        <v>59.380818657491197</v>
      </c>
      <c r="AC356" s="57" cm="1">
        <f t="array" ref="AC356">VLOOKUP(B356,'Player Data'!$A1:$AE673,17,FALSE)*$Q356*IFERROR((VLOOKUP(P356,Settings!$E$28:$F$33,2,FALSE)+1),1)</f>
        <v>-2.5965816610240253</v>
      </c>
      <c r="AD356" s="57" cm="1">
        <f t="array" ref="AD356">VLOOKUP(B356,'Player Data'!$A1:$AE673,18,FALSE)*$Q356</f>
        <v>25.235651086803337</v>
      </c>
      <c r="AE356" s="57" cm="1">
        <f t="array" ref="AE356">VLOOKUP(B356,'Player Data'!$A1:$AE673,19,FALSE)*$Q356*IFERROR((VLOOKUP(P356,Settings!$E$28:$F$33,2,FALSE)+1),1)</f>
        <v>0.87048708630862559</v>
      </c>
      <c r="AF356" s="57" cm="1">
        <f t="array" ref="AF356">VLOOKUP(B356,'Player Data'!$A1:$AE673,20,FALSE)*$Q356</f>
        <v>0</v>
      </c>
      <c r="AG356" s="57" cm="1">
        <f t="array" ref="AG356">VLOOKUP(B356,'Player Data'!$A1:$AE673,21,FALSE)*$Q356</f>
        <v>0</v>
      </c>
      <c r="AH356" s="59" cm="1">
        <f t="array" ref="AH356">VLOOKUP(B356,'Player Data'!$A1:$AE673,22,FALSE)</f>
        <v>0</v>
      </c>
      <c r="AI356" s="55"/>
      <c r="AJ356" s="57"/>
      <c r="AK356" s="57"/>
      <c r="AL356" s="57"/>
      <c r="AM356" s="57"/>
      <c r="AN356" s="57"/>
      <c r="AO356" s="57"/>
      <c r="AP356" s="57"/>
      <c r="AQ356" s="60"/>
      <c r="AR356" s="61"/>
      <c r="AS356" s="55"/>
    </row>
    <row r="357" spans="1:45" ht="21.25" customHeight="1" x14ac:dyDescent="0.15">
      <c r="A357" s="62">
        <f t="shared" si="5"/>
        <v>356</v>
      </c>
      <c r="B357" s="10" t="s">
        <v>485</v>
      </c>
      <c r="C357" s="47" t="s">
        <v>147</v>
      </c>
      <c r="D357" s="48" t="str" cm="1">
        <f t="array" ref="D357">VLOOKUP(B357,'Player Data'!A1:D673,4,FALSE)</f>
        <v>C,RW</v>
      </c>
      <c r="E357" s="74" cm="1">
        <f t="array" ref="E357">VLOOKUP(B357,RW!A1:F210,3,FALSE)</f>
        <v>94</v>
      </c>
      <c r="F357" s="65" t="str" cm="1">
        <f t="array" ref="F357">VLOOKUP(B357,'Player Data'!A1:B673,2,FALSE)</f>
        <v>NSH</v>
      </c>
      <c r="G357" s="71" cm="1">
        <f t="array" ref="G357">VLOOKUP(B357,'Player Data'!A1:D673,3,FALSE)</f>
        <v>24</v>
      </c>
      <c r="H357" s="51" cm="1">
        <f t="array" ref="H357">IFERROR(VLOOKUP(B357,ADP!A1:F671,6,FALSE)/1000000,VLOOKUP(B357,ADP!A1:F671,6,FALSE))</f>
        <v>5.5</v>
      </c>
      <c r="I357" s="52">
        <f>IF(Settings!$E$15="POINTS",((R357*Q357)*Settings!$B$12)+(S357*Settings!$B$2)+(T357*Settings!$B$3)+(U357*Settings!$B$4)+(V357*Settings!$B$5)+(X357*Settings!$B$9)+(AA357*Settings!$B$6)+(W357*Settings!$B$8)+(AB357*Settings!$B$7)+(AC357*Settings!$B$14)+(AD357*Settings!$B$15)+(AE357*Settings!$B$16)+(AF357*Settings!$B$17)+(AG357*Settings!$B$18)+(Y357*Settings!$B$10)+(Z357*Settings!$B$11),VLOOKUP(B357,'Standard Deviations'!A$1:C$672,3,FALSE))</f>
        <v>230.21416272990115</v>
      </c>
      <c r="J357" s="53" cm="1">
        <f t="array" ref="J357">IF(D357="G",I357/AJ357,I357/Q357)</f>
        <v>2.8215113243239407</v>
      </c>
      <c r="K357" s="52" cm="1">
        <f t="array" ref="K357">IF(Settings!$E$18="C/LW/RW",VLOOKUP(B357,RW!A1:F210,6,FALSE),VLOOKUP(B357,F!A1:F407,6,FALSE))</f>
        <v>-164.72930196365633</v>
      </c>
      <c r="L357" s="54" cm="1">
        <f t="array" ref="L357">IFERROR(K357/H357,"N/A")</f>
        <v>-29.950782175210239</v>
      </c>
      <c r="M357" s="85" t="s">
        <v>832</v>
      </c>
      <c r="N357" s="85" t="str" cm="1">
        <f t="array" ref="N357">IFERROR(M357-A357,"N/A")</f>
        <v>N/A</v>
      </c>
      <c r="O357" s="55"/>
      <c r="P357" s="56" t="str" cm="1">
        <f t="array" ref="P357">_xlfn.XLOOKUP($B357,ADP!A2:A671,ADP!G2:G671)</f>
        <v xml:space="preserve"> </v>
      </c>
      <c r="Q357" s="57" cm="1">
        <f t="array" ref="Q357">IF(Settings!$E$12="YES",VLOOKUP(B357,'Player Data'!A1:E673,5,FALSE),84)</f>
        <v>81.592500000000001</v>
      </c>
      <c r="R357" s="55" cm="1">
        <f t="array" ref="R357">VLOOKUP(B357,'Player Data'!$A1:$AE673,6,FALSE)</f>
        <v>16.290951381478699</v>
      </c>
      <c r="S357" s="57" cm="1">
        <f t="array" ref="S357">VLOOKUP(B357,'Player Data'!$A1:$AE673,7,FALSE)*$Q357*IFERROR((VLOOKUP(P357,Settings!$E$28:$F$33,2,FALSE)+1),1)</f>
        <v>19.893490897345298</v>
      </c>
      <c r="T357" s="57" cm="1">
        <f t="array" ref="T357">VLOOKUP(B357,'Player Data'!$A1:$AE673,8,FALSE)*$Q357*IFERROR((VLOOKUP(P357,Settings!$E$28:$F$33,2,FALSE)+1),1)</f>
        <v>24.182380961478305</v>
      </c>
      <c r="U357" s="57" cm="1">
        <f t="array" ref="U357">SUM(S357:T357)</f>
        <v>44.075871858823604</v>
      </c>
      <c r="V357" s="57" cm="1">
        <f t="array" ref="V357">VLOOKUP(B357,'Player Data'!$A1:$AE673,10,FALSE)*$Q357*IFERROR(((VLOOKUP(P357,Settings!$E$28:$F$33,2,FALSE)/2)+1),1)</f>
        <v>149.05800752155156</v>
      </c>
      <c r="W357" s="57" cm="1">
        <f t="array" ref="W357">VLOOKUP(B357,'Player Data'!$A1:$AE673,11,FALSE)*$Q357*IFERROR((VLOOKUP(P357,Settings!$E$28:$F$33,2,FALSE)+1),1)</f>
        <v>2.3299099762805673</v>
      </c>
      <c r="X357" s="57" cm="1">
        <f t="array" ref="X357">VLOOKUP(B357,'Player Data'!$A1:$AE673,12,FALSE)*$Q357*IFERROR((VLOOKUP(P357,Settings!$E$28:$F$33,2,FALSE)+1),1)</f>
        <v>8.0869899000361922</v>
      </c>
      <c r="Y357" s="57" cm="1">
        <f t="array" ref="Y357">VLOOKUP(B357,'Player Data'!$A1:$AE673,13,FALSE)*$Q357</f>
        <v>0.11973608034547992</v>
      </c>
      <c r="Z357" s="57" cm="1">
        <f t="array" ref="Z357">VLOOKUP(B357,'Player Data'!$A1:$AE673,14,FALSE)*$Q357</f>
        <v>0.19653767587211263</v>
      </c>
      <c r="AA357" s="57" cm="1">
        <f t="array" ref="AA357">VLOOKUP(B357,'Player Data'!$A1:$AE673,15,FALSE)*$Q357</f>
        <v>30.348031633492447</v>
      </c>
      <c r="AB357" s="57" cm="1">
        <f t="array" ref="AB357">VLOOKUP(B357,'Player Data'!$A1:$AE673,16,FALSE)*$Q357</f>
        <v>78.622554516621918</v>
      </c>
      <c r="AC357" s="57" cm="1">
        <f t="array" ref="AC357">VLOOKUP(B357,'Player Data'!$A1:$AE673,17,FALSE)*$Q357*IFERROR((VLOOKUP(P357,Settings!$E$28:$F$33,2,FALSE)+1),1)</f>
        <v>-2.4618212228375245</v>
      </c>
      <c r="AD357" s="57" cm="1">
        <f t="array" ref="AD357">VLOOKUP(B357,'Player Data'!$A1:$AE673,18,FALSE)*$Q357</f>
        <v>22.572495747901243</v>
      </c>
      <c r="AE357" s="57" cm="1">
        <f t="array" ref="AE357">VLOOKUP(B357,'Player Data'!$A1:$AE673,19,FALSE)*$Q357*IFERROR((VLOOKUP(P357,Settings!$E$28:$F$33,2,FALSE)+1),1)</f>
        <v>2.7557461561503644</v>
      </c>
      <c r="AF357" s="57" cm="1">
        <f t="array" ref="AF357">VLOOKUP(B357,'Player Data'!$A1:$AE673,20,FALSE)*$Q357</f>
        <v>128.12957171982995</v>
      </c>
      <c r="AG357" s="57" cm="1">
        <f t="array" ref="AG357">VLOOKUP(B357,'Player Data'!$A1:$AE673,21,FALSE)*$Q357</f>
        <v>152.55552611654792</v>
      </c>
      <c r="AH357" s="59" cm="1">
        <f t="array" ref="AH357">VLOOKUP(B357,'Player Data'!$A1:$AE673,22,FALSE)</f>
        <v>0.45648868681486299</v>
      </c>
      <c r="AI357" s="55"/>
      <c r="AJ357" s="57"/>
      <c r="AK357" s="57"/>
      <c r="AL357" s="57"/>
      <c r="AM357" s="57"/>
      <c r="AN357" s="57"/>
      <c r="AO357" s="57"/>
      <c r="AP357" s="57"/>
      <c r="AQ357" s="60"/>
      <c r="AR357" s="61"/>
      <c r="AS357" s="55"/>
    </row>
    <row r="358" spans="1:45" ht="21.25" customHeight="1" x14ac:dyDescent="0.15">
      <c r="A358" s="62">
        <f t="shared" si="5"/>
        <v>357</v>
      </c>
      <c r="B358" s="10" t="s">
        <v>486</v>
      </c>
      <c r="C358" s="47" t="s">
        <v>147</v>
      </c>
      <c r="D358" s="48" t="str" cm="1">
        <f t="array" ref="D358">VLOOKUP(B358,'Player Data'!A1:D673,4,FALSE)</f>
        <v>D</v>
      </c>
      <c r="E358" s="68" cm="1">
        <f t="array" ref="E358">VLOOKUP(B358,D!A1:C204,3,FALSE)</f>
        <v>150</v>
      </c>
      <c r="F358" s="70" t="str" cm="1">
        <f t="array" ref="F358">VLOOKUP(B358,'Player Data'!A1:B673,2,FALSE)</f>
        <v>L.A</v>
      </c>
      <c r="G358" s="66" cm="1">
        <f t="array" ref="G358">VLOOKUP(B358,'Player Data'!A1:D673,3,FALSE)</f>
        <v>32</v>
      </c>
      <c r="H358" s="51" cm="1">
        <f t="array" ref="H358">IFERROR(VLOOKUP(B358,ADP!A1:F671,6,FALSE)/1000000,VLOOKUP(B358,ADP!A1:F671,6,FALSE))</f>
        <v>4.5</v>
      </c>
      <c r="I358" s="52">
        <f>IF(Settings!$E$15="POINTS",((R358*Q358)*Settings!$B$12)+(S358*Settings!$B$2)+(T358*Settings!$B$3)+(U358*Settings!$B$4)+(V358*Settings!$B$5)+(X358*Settings!$B$9)+(AA358*Settings!$B$6)+(W358*Settings!$B$8)+(AB358*Settings!$B$7)+(AC358*Settings!$B$14)+(AD358*Settings!$B$15)+(AE358*Settings!$B$16)+(AF358*Settings!$B$17)+(AG358*Settings!$B$18)+(U358*Settings!$B$13)+(Y358*Settings!$B$10)+(Z358*Settings!$B$11),VLOOKUP(B358,'Standard Deviations'!A$1:C$672,3,FALSE))</f>
        <v>141.61942019883307</v>
      </c>
      <c r="J358" s="53" cm="1">
        <f t="array" ref="J358">IF(D358="G",I358/AJ358,I358/Q358)</f>
        <v>1.683090236192567</v>
      </c>
      <c r="K358" s="52" cm="1">
        <f t="array" ref="K358">VLOOKUP(B358,D!A1:F204,6,FALSE)</f>
        <v>-165.03444714576099</v>
      </c>
      <c r="L358" s="54" cm="1">
        <f t="array" ref="L358">IFERROR(K358/H358,"N/A")</f>
        <v>-36.674321587946885</v>
      </c>
      <c r="M358" s="85" t="s">
        <v>832</v>
      </c>
      <c r="N358" s="85" t="str" cm="1">
        <f t="array" ref="N358">IFERROR(M358-A358,"N/A")</f>
        <v>N/A</v>
      </c>
      <c r="O358" s="81"/>
      <c r="P358" s="56" t="str" cm="1">
        <f t="array" ref="P358">_xlfn.XLOOKUP($B358,ADP!A2:A671,ADP!G2:G671)</f>
        <v xml:space="preserve"> </v>
      </c>
      <c r="Q358" s="57" cm="1">
        <f t="array" ref="Q358">IF(Settings!$E$12="YES",VLOOKUP(B358,'Player Data'!A1:E673,5,FALSE),84)</f>
        <v>84.142499999999998</v>
      </c>
      <c r="R358" s="55" cm="1">
        <f t="array" ref="R358">VLOOKUP(B358,'Player Data'!$A1:$AE673,6,FALSE)</f>
        <v>17.685397664805699</v>
      </c>
      <c r="S358" s="57" cm="1">
        <f t="array" ref="S358">VLOOKUP(B358,'Player Data'!$A1:$AE673,7,FALSE)*$Q358*IFERROR((VLOOKUP(P358,Settings!$E$28:$F$33,2,FALSE)+1),1)</f>
        <v>2.5891327112947127</v>
      </c>
      <c r="T358" s="57" cm="1">
        <f t="array" ref="T358">VLOOKUP(B358,'Player Data'!$A1:$AE673,8,FALSE)*$Q358*IFERROR((VLOOKUP(P358,Settings!$E$28:$F$33,2,FALSE)+1),1)</f>
        <v>13.557192713531883</v>
      </c>
      <c r="U358" s="57" cm="1">
        <f t="array" ref="U358">SUM(S358:T358)</f>
        <v>16.146325424826596</v>
      </c>
      <c r="V358" s="57" cm="1">
        <f t="array" ref="V358">VLOOKUP(B358,'Player Data'!$A1:$AE673,10,FALSE)*$Q358*IFERROR(((VLOOKUP(P358,Settings!$E$28:$F$33,2,FALSE)/2)+1),1)</f>
        <v>65.774963141634316</v>
      </c>
      <c r="W358" s="57" cm="1">
        <f t="array" ref="W358">VLOOKUP(B358,'Player Data'!$A1:$AE673,11,FALSE)*$Q358*IFERROR((VLOOKUP(P358,Settings!$E$28:$F$33,2,FALSE)+1),1)</f>
        <v>2.1311017723174906E-3</v>
      </c>
      <c r="X358" s="57" cm="1">
        <f t="array" ref="X358">VLOOKUP(B358,'Player Data'!$A1:$AE673,12,FALSE)*$Q358*IFERROR((VLOOKUP(P358,Settings!$E$28:$F$33,2,FALSE)+1),1)</f>
        <v>1.8180178269171201E-2</v>
      </c>
      <c r="Y358" s="57" cm="1">
        <f t="array" ref="Y358">VLOOKUP(B358,'Player Data'!$A1:$AE673,13,FALSE)*$Q358</f>
        <v>1.6255416319567402E-2</v>
      </c>
      <c r="Z358" s="57" cm="1">
        <f t="array" ref="Z358">VLOOKUP(B358,'Player Data'!$A1:$AE673,14,FALSE)*$Q358</f>
        <v>0.83777972581587912</v>
      </c>
      <c r="AA358" s="57" cm="1">
        <f t="array" ref="AA358">VLOOKUP(B358,'Player Data'!$A1:$AE673,15,FALSE)*$Q358</f>
        <v>118.87400489890213</v>
      </c>
      <c r="AB358" s="57" cm="1">
        <f t="array" ref="AB358">VLOOKUP(B358,'Player Data'!$A1:$AE673,16,FALSE)*$Q358</f>
        <v>60.088597011609203</v>
      </c>
      <c r="AC358" s="57" cm="1">
        <f t="array" ref="AC358">VLOOKUP(B358,'Player Data'!$A1:$AE673,17,FALSE)*$Q358*IFERROR((VLOOKUP(P358,Settings!$E$28:$F$33,2,FALSE)+1),1)</f>
        <v>-2.4749036921496597</v>
      </c>
      <c r="AD358" s="57" cm="1">
        <f t="array" ref="AD358">VLOOKUP(B358,'Player Data'!$A1:$AE673,18,FALSE)*$Q358</f>
        <v>20.172881457354528</v>
      </c>
      <c r="AE358" s="57" cm="1">
        <f t="array" ref="AE358">VLOOKUP(B358,'Player Data'!$A1:$AE673,19,FALSE)*$Q358*IFERROR((VLOOKUP(P358,Settings!$E$28:$F$33,2,FALSE)+1),1)</f>
        <v>0.40899017948963123</v>
      </c>
      <c r="AF358" s="57" cm="1">
        <f t="array" ref="AF358">VLOOKUP(B358,'Player Data'!$A1:$AE673,20,FALSE)*$Q358</f>
        <v>0</v>
      </c>
      <c r="AG358" s="57" cm="1">
        <f t="array" ref="AG358">VLOOKUP(B358,'Player Data'!$A1:$AE673,21,FALSE)*$Q358</f>
        <v>0</v>
      </c>
      <c r="AH358" s="59" cm="1">
        <f t="array" ref="AH358">VLOOKUP(B358,'Player Data'!$A1:$AE673,22,FALSE)</f>
        <v>0</v>
      </c>
      <c r="AI358" s="55"/>
      <c r="AJ358" s="57"/>
      <c r="AK358" s="57"/>
      <c r="AL358" s="57"/>
      <c r="AM358" s="57"/>
      <c r="AN358" s="57"/>
      <c r="AO358" s="57"/>
      <c r="AP358" s="57"/>
      <c r="AQ358" s="60"/>
      <c r="AR358" s="61"/>
      <c r="AS358" s="55"/>
    </row>
    <row r="359" spans="1:45" ht="21.25" customHeight="1" x14ac:dyDescent="0.15">
      <c r="A359" s="62">
        <f t="shared" si="5"/>
        <v>358</v>
      </c>
      <c r="B359" s="10" t="s">
        <v>487</v>
      </c>
      <c r="C359" s="47" t="s">
        <v>147</v>
      </c>
      <c r="D359" s="48" t="str" cm="1">
        <f t="array" ref="D359">VLOOKUP(B359,'Player Data'!A1:D673,4,FALSE)</f>
        <v>D</v>
      </c>
      <c r="E359" s="68" cm="1">
        <f t="array" ref="E359">VLOOKUP(B359,D!A1:C204,3,FALSE)</f>
        <v>151</v>
      </c>
      <c r="F359" s="65" t="str" cm="1">
        <f t="array" ref="F359">VLOOKUP(B359,'Player Data'!A1:B673,2,FALSE)</f>
        <v>T.B</v>
      </c>
      <c r="G359" s="11" cm="1">
        <f t="array" ref="G359">VLOOKUP(B359,'Player Data'!A1:D673,3,FALSE)</f>
        <v>29</v>
      </c>
      <c r="H359" s="51" cm="1">
        <f t="array" ref="H359">IFERROR(VLOOKUP(B359,ADP!A1:F671,6,FALSE)/1000000,VLOOKUP(B359,ADP!A1:F671,6,FALSE))</f>
        <v>5.2</v>
      </c>
      <c r="I359" s="52">
        <f>IF(Settings!$E$15="POINTS",((R359*Q359)*Settings!$B$12)+(S359*Settings!$B$2)+(T359*Settings!$B$3)+(U359*Settings!$B$4)+(V359*Settings!$B$5)+(X359*Settings!$B$9)+(AA359*Settings!$B$6)+(W359*Settings!$B$8)+(AB359*Settings!$B$7)+(AC359*Settings!$B$14)+(AD359*Settings!$B$15)+(AE359*Settings!$B$16)+(AF359*Settings!$B$17)+(AG359*Settings!$B$18)+(U359*Settings!$B$13)+(Y359*Settings!$B$10)+(Z359*Settings!$B$11),VLOOKUP(B359,'Standard Deviations'!A$1:C$672,3,FALSE))</f>
        <v>140.82094090719301</v>
      </c>
      <c r="J359" s="53" cm="1">
        <f t="array" ref="J359">IF(D359="G",I359/AJ359,I359/Q359)</f>
        <v>1.8012975716439259</v>
      </c>
      <c r="K359" s="52" cm="1">
        <f t="array" ref="K359">VLOOKUP(B359,D!A1:F204,6,FALSE)</f>
        <v>-165.83292643740106</v>
      </c>
      <c r="L359" s="54" cm="1">
        <f t="array" ref="L359">IFERROR(K359/H359,"N/A")</f>
        <v>-31.890947391807895</v>
      </c>
      <c r="M359" s="85" t="s">
        <v>832</v>
      </c>
      <c r="N359" s="85" t="str" cm="1">
        <f t="array" ref="N359">IFERROR(M359-A359,"N/A")</f>
        <v>N/A</v>
      </c>
      <c r="O359" s="83"/>
      <c r="P359" s="56" t="str" cm="1">
        <f t="array" ref="P359">_xlfn.XLOOKUP($B359,ADP!A2:A671,ADP!G2:G671)</f>
        <v xml:space="preserve"> </v>
      </c>
      <c r="Q359" s="57" cm="1">
        <f t="array" ref="Q359">IF(Settings!$E$12="YES",VLOOKUP(B359,'Player Data'!A1:E673,5,FALSE),84)</f>
        <v>78.177499999999995</v>
      </c>
      <c r="R359" s="55" cm="1">
        <f t="array" ref="R359">VLOOKUP(B359,'Player Data'!$A1:$AE673,6,FALSE)</f>
        <v>18.283987561368601</v>
      </c>
      <c r="S359" s="57" cm="1">
        <f t="array" ref="S359">VLOOKUP(B359,'Player Data'!$A1:$AE673,7,FALSE)*$Q359*IFERROR((VLOOKUP(P359,Settings!$E$28:$F$33,2,FALSE)+1),1)</f>
        <v>2.4318939485262994</v>
      </c>
      <c r="T359" s="57" cm="1">
        <f t="array" ref="T359">VLOOKUP(B359,'Player Data'!$A1:$AE673,8,FALSE)*$Q359*IFERROR((VLOOKUP(P359,Settings!$E$28:$F$33,2,FALSE)+1),1)</f>
        <v>13.877928527518959</v>
      </c>
      <c r="U359" s="57" cm="1">
        <f t="array" ref="U359">SUM(S359:T359)</f>
        <v>16.309822476045259</v>
      </c>
      <c r="V359" s="57" cm="1">
        <f t="array" ref="V359">VLOOKUP(B359,'Player Data'!$A1:$AE673,10,FALSE)*$Q359*IFERROR(((VLOOKUP(P359,Settings!$E$28:$F$33,2,FALSE)/2)+1),1)</f>
        <v>63.000810389180643</v>
      </c>
      <c r="W359" s="57" cm="1">
        <f t="array" ref="W359">VLOOKUP(B359,'Player Data'!$A1:$AE673,11,FALSE)*$Q359*IFERROR((VLOOKUP(P359,Settings!$E$28:$F$33,2,FALSE)+1),1)</f>
        <v>8.4732163837403628E-3</v>
      </c>
      <c r="X359" s="57" cm="1">
        <f t="array" ref="X359">VLOOKUP(B359,'Player Data'!$A1:$AE673,12,FALSE)*$Q359*IFERROR((VLOOKUP(P359,Settings!$E$28:$F$33,2,FALSE)+1),1)</f>
        <v>8.1295870784784036E-2</v>
      </c>
      <c r="Y359" s="57" cm="1">
        <f t="array" ref="Y359">VLOOKUP(B359,'Player Data'!$A1:$AE673,13,FALSE)*$Q359</f>
        <v>1.6406941825109871E-2</v>
      </c>
      <c r="Z359" s="57" cm="1">
        <f t="array" ref="Z359">VLOOKUP(B359,'Player Data'!$A1:$AE673,14,FALSE)*$Q359</f>
        <v>0.81555367508639098</v>
      </c>
      <c r="AA359" s="57" cm="1">
        <f t="array" ref="AA359">VLOOKUP(B359,'Player Data'!$A1:$AE673,15,FALSE)*$Q359</f>
        <v>118.9884374771915</v>
      </c>
      <c r="AB359" s="57" cm="1">
        <f t="array" ref="AB359">VLOOKUP(B359,'Player Data'!$A1:$AE673,16,FALSE)*$Q359</f>
        <v>141.48750709119409</v>
      </c>
      <c r="AC359" s="57" cm="1">
        <f t="array" ref="AC359">VLOOKUP(B359,'Player Data'!$A1:$AE673,17,FALSE)*$Q359*IFERROR((VLOOKUP(P359,Settings!$E$28:$F$33,2,FALSE)+1),1)</f>
        <v>5.9690822720774204</v>
      </c>
      <c r="AD359" s="57" cm="1">
        <f t="array" ref="AD359">VLOOKUP(B359,'Player Data'!$A1:$AE673,18,FALSE)*$Q359</f>
        <v>54.91819834315519</v>
      </c>
      <c r="AE359" s="57" cm="1">
        <f t="array" ref="AE359">VLOOKUP(B359,'Player Data'!$A1:$AE673,19,FALSE)*$Q359*IFERROR((VLOOKUP(P359,Settings!$E$28:$F$33,2,FALSE)+1),1)</f>
        <v>0.4316841291471093</v>
      </c>
      <c r="AF359" s="57" cm="1">
        <f t="array" ref="AF359">VLOOKUP(B359,'Player Data'!$A1:$AE673,20,FALSE)*$Q359</f>
        <v>0</v>
      </c>
      <c r="AG359" s="57" cm="1">
        <f t="array" ref="AG359">VLOOKUP(B359,'Player Data'!$A1:$AE673,21,FALSE)*$Q359</f>
        <v>0</v>
      </c>
      <c r="AH359" s="59" cm="1">
        <f t="array" ref="AH359">VLOOKUP(B359,'Player Data'!$A1:$AE673,22,FALSE)</f>
        <v>0</v>
      </c>
      <c r="AI359" s="55"/>
      <c r="AJ359" s="57"/>
      <c r="AK359" s="57"/>
      <c r="AL359" s="57"/>
      <c r="AM359" s="57"/>
      <c r="AN359" s="57"/>
      <c r="AO359" s="57"/>
      <c r="AP359" s="57"/>
      <c r="AQ359" s="60"/>
      <c r="AR359" s="61"/>
      <c r="AS359" s="55"/>
    </row>
    <row r="360" spans="1:45" ht="21.25" customHeight="1" x14ac:dyDescent="0.15">
      <c r="A360" s="62">
        <f t="shared" si="5"/>
        <v>359</v>
      </c>
      <c r="B360" s="10" t="s">
        <v>488</v>
      </c>
      <c r="C360" s="47" t="s">
        <v>147</v>
      </c>
      <c r="D360" s="48" t="str" cm="1">
        <f t="array" ref="D360">VLOOKUP(B360,'Player Data'!A1:D673,4,FALSE)</f>
        <v>LW</v>
      </c>
      <c r="E360" s="75" cm="1">
        <f t="array" ref="E360">VLOOKUP(B360,LW!A1:C210,3,FALSE)</f>
        <v>84</v>
      </c>
      <c r="F360" s="56" t="str" cm="1">
        <f t="array" ref="F360">VLOOKUP(B360,'Player Data'!A1:B673,2,FALSE)</f>
        <v>UTA</v>
      </c>
      <c r="G360" s="66" cm="1">
        <f t="array" ref="G360">VLOOKUP(B360,'Player Data'!A1:D673,3,FALSE)</f>
        <v>36</v>
      </c>
      <c r="H360" s="51" cm="1">
        <f t="array" ref="H360">IFERROR(VLOOKUP(B360,ADP!A1:F671,6,FALSE)/1000000,VLOOKUP(B360,ADP!A1:F671,6,FALSE))</f>
        <v>5.4</v>
      </c>
      <c r="I360" s="52">
        <f>IF(Settings!$E$15="POINTS",((R360*Q360)*Settings!$B$12)+(S360*Settings!$B$2)+(T360*Settings!$B$3)+(U360*Settings!$B$4)+(V360*Settings!$B$5)+(X360*Settings!$B$9)+(AA360*Settings!$B$6)+(W360*Settings!$B$8)+(AB360*Settings!$B$7)+(AC360*Settings!$B$14)+(AD360*Settings!$B$15)+(AE360*Settings!$B$16)+(AF360*Settings!$B$17)+(AG360*Settings!$B$18)+(Y360*Settings!$B$10)+(Z360*Settings!$B$11),VLOOKUP(B360,'Standard Deviations'!A$1:C$672,3,FALSE))</f>
        <v>233.15342394454839</v>
      </c>
      <c r="J360" s="53" cm="1">
        <f t="array" ref="J360">IF(D360="G",I360/AJ360,I360/Q360)</f>
        <v>2.7779509584719215</v>
      </c>
      <c r="K360" s="52" cm="1">
        <f t="array" ref="K360">IF(Settings!$E$18="C/LW/RW",VLOOKUP(B360,LW!A1:F210,6,FALSE),VLOOKUP(B360,F!A1:F407,6,FALSE))</f>
        <v>-166.15956936917169</v>
      </c>
      <c r="L360" s="54" cm="1">
        <f t="array" ref="L360">IFERROR(K360/H360,"N/A")</f>
        <v>-30.770290623920683</v>
      </c>
      <c r="M360" s="85" t="s">
        <v>832</v>
      </c>
      <c r="N360" s="85" t="str" cm="1">
        <f t="array" ref="N360">IFERROR(M360-A360,"N/A")</f>
        <v>N/A</v>
      </c>
      <c r="O360" s="55"/>
      <c r="P360" s="56" t="str" cm="1">
        <f t="array" ref="P360">_xlfn.XLOOKUP($B360,ADP!A2:A671,ADP!G2:G671)</f>
        <v xml:space="preserve"> </v>
      </c>
      <c r="Q360" s="57" cm="1">
        <f t="array" ref="Q360">IF(Settings!$E$12="YES",VLOOKUP(B360,'Player Data'!A1:E673,5,FALSE),84)</f>
        <v>83.93</v>
      </c>
      <c r="R360" s="55" cm="1">
        <f t="array" ref="R360">VLOOKUP(B360,'Player Data'!$A1:$AE673,6,FALSE)</f>
        <v>14.902346290957199</v>
      </c>
      <c r="S360" s="57" cm="1">
        <f t="array" ref="S360">VLOOKUP(B360,'Player Data'!$A1:$AE673,7,FALSE)*$Q360*IFERROR((VLOOKUP(P360,Settings!$E$28:$F$33,2,FALSE)+1),1)</f>
        <v>18.483237828057973</v>
      </c>
      <c r="T360" s="57" cm="1">
        <f t="array" ref="T360">VLOOKUP(B360,'Player Data'!$A1:$AE673,8,FALSE)*$Q360*IFERROR((VLOOKUP(P360,Settings!$E$28:$F$33,2,FALSE)+1),1)</f>
        <v>19.976625670259384</v>
      </c>
      <c r="U360" s="57" cm="1">
        <f t="array" ref="U360">SUM(S360:T360)</f>
        <v>38.459863498317361</v>
      </c>
      <c r="V360" s="57" cm="1">
        <f t="array" ref="V360">VLOOKUP(B360,'Player Data'!$A1:$AE673,10,FALSE)*$Q360*IFERROR(((VLOOKUP(P360,Settings!$E$28:$F$33,2,FALSE)/2)+1),1)</f>
        <v>187.06795830786825</v>
      </c>
      <c r="W360" s="57" cm="1">
        <f t="array" ref="W360">VLOOKUP(B360,'Player Data'!$A1:$AE673,11,FALSE)*$Q360*IFERROR((VLOOKUP(P360,Settings!$E$28:$F$33,2,FALSE)+1),1)</f>
        <v>3.0543536452986526</v>
      </c>
      <c r="X360" s="57" cm="1">
        <f t="array" ref="X360">VLOOKUP(B360,'Player Data'!$A1:$AE673,12,FALSE)*$Q360*IFERROR((VLOOKUP(P360,Settings!$E$28:$F$33,2,FALSE)+1),1)</f>
        <v>5.2384584717326375</v>
      </c>
      <c r="Y360" s="57" cm="1">
        <f t="array" ref="Y360">VLOOKUP(B360,'Player Data'!$A1:$AE673,13,FALSE)*$Q360</f>
        <v>7.5271358651590259E-3</v>
      </c>
      <c r="Z360" s="57" cm="1">
        <f t="array" ref="Z360">VLOOKUP(B360,'Player Data'!$A1:$AE673,14,FALSE)*$Q360</f>
        <v>1.2372472022182583E-2</v>
      </c>
      <c r="AA360" s="57" cm="1">
        <f t="array" ref="AA360">VLOOKUP(B360,'Player Data'!$A1:$AE673,15,FALSE)*$Q360</f>
        <v>37.978046703814748</v>
      </c>
      <c r="AB360" s="57" cm="1">
        <f t="array" ref="AB360">VLOOKUP(B360,'Player Data'!$A1:$AE673,16,FALSE)*$Q360</f>
        <v>99.559886467545908</v>
      </c>
      <c r="AC360" s="57" cm="1">
        <f t="array" ref="AC360">VLOOKUP(B360,'Player Data'!$A1:$AE673,17,FALSE)*$Q360*IFERROR((VLOOKUP(P360,Settings!$E$28:$F$33,2,FALSE)+1),1)</f>
        <v>3.8180431850997372</v>
      </c>
      <c r="AD360" s="57" cm="1">
        <f t="array" ref="AD360">VLOOKUP(B360,'Player Data'!$A1:$AE673,18,FALSE)*$Q360</f>
        <v>40.372237199030607</v>
      </c>
      <c r="AE360" s="57" cm="1">
        <f t="array" ref="AE360">VLOOKUP(B360,'Player Data'!$A1:$AE673,19,FALSE)*$Q360*IFERROR((VLOOKUP(P360,Settings!$E$28:$F$33,2,FALSE)+1),1)</f>
        <v>2.987715709481177</v>
      </c>
      <c r="AF360" s="57" cm="1">
        <f t="array" ref="AF360">VLOOKUP(B360,'Player Data'!$A1:$AE673,20,FALSE)*$Q360</f>
        <v>44.385309769236493</v>
      </c>
      <c r="AG360" s="57" cm="1">
        <f t="array" ref="AG360">VLOOKUP(B360,'Player Data'!$A1:$AE673,21,FALSE)*$Q360</f>
        <v>48.30596795520438</v>
      </c>
      <c r="AH360" s="59" cm="1">
        <f t="array" ref="AH360">VLOOKUP(B360,'Player Data'!$A1:$AE673,22,FALSE)</f>
        <v>0.47885098640228302</v>
      </c>
      <c r="AI360" s="55"/>
      <c r="AJ360" s="57"/>
      <c r="AK360" s="57"/>
      <c r="AL360" s="57"/>
      <c r="AM360" s="57"/>
      <c r="AN360" s="57"/>
      <c r="AO360" s="57"/>
      <c r="AP360" s="57"/>
      <c r="AQ360" s="60"/>
      <c r="AR360" s="61"/>
      <c r="AS360" s="55"/>
    </row>
    <row r="361" spans="1:45" ht="21.25" customHeight="1" x14ac:dyDescent="0.15">
      <c r="A361" s="62">
        <f t="shared" si="5"/>
        <v>360</v>
      </c>
      <c r="B361" s="10" t="s">
        <v>489</v>
      </c>
      <c r="C361" s="47" t="s">
        <v>147</v>
      </c>
      <c r="D361" s="48" t="str" cm="1">
        <f t="array" ref="D361">VLOOKUP(B361,'Player Data'!A1:D673,4,FALSE)</f>
        <v>D</v>
      </c>
      <c r="E361" s="68" cm="1">
        <f t="array" ref="E361">VLOOKUP(B361,D!A1:C204,3,FALSE)</f>
        <v>152</v>
      </c>
      <c r="F361" s="70" t="str" cm="1">
        <f t="array" ref="F361">VLOOKUP(B361,'Player Data'!A1:B673,2,FALSE)</f>
        <v>L.A</v>
      </c>
      <c r="G361" s="66" cm="1">
        <f t="array" ref="G361">VLOOKUP(B361,'Player Data'!A1:D673,3,FALSE)</f>
        <v>33</v>
      </c>
      <c r="H361" s="51" cm="1">
        <f t="array" ref="H361">IFERROR(VLOOKUP(B361,ADP!A1:F671,6,FALSE)/1000000,VLOOKUP(B361,ADP!A1:F671,6,FALSE))</f>
        <v>3.85</v>
      </c>
      <c r="I361" s="52">
        <f>IF(Settings!$E$15="POINTS",((R361*Q361)*Settings!$B$12)+(S361*Settings!$B$2)+(T361*Settings!$B$3)+(U361*Settings!$B$4)+(V361*Settings!$B$5)+(X361*Settings!$B$9)+(AA361*Settings!$B$6)+(W361*Settings!$B$8)+(AB361*Settings!$B$7)+(AC361*Settings!$B$14)+(AD361*Settings!$B$15)+(AE361*Settings!$B$16)+(AF361*Settings!$B$17)+(AG361*Settings!$B$18)+(U361*Settings!$B$13)+(Y361*Settings!$B$10)+(Z361*Settings!$B$11),VLOOKUP(B361,'Standard Deviations'!A$1:C$672,3,FALSE))</f>
        <v>138.99613749161415</v>
      </c>
      <c r="J361" s="53" cm="1">
        <f t="array" ref="J361">IF(D361="G",I361/AJ361,I361/Q361)</f>
        <v>1.7397895608675928</v>
      </c>
      <c r="K361" s="52" cm="1">
        <f t="array" ref="K361">VLOOKUP(B361,D!A1:F204,6,FALSE)</f>
        <v>-167.65772985297991</v>
      </c>
      <c r="L361" s="54" cm="1">
        <f t="array" ref="L361">IFERROR(K361/H361,"N/A")</f>
        <v>-43.547462299475299</v>
      </c>
      <c r="M361" s="85" t="s">
        <v>832</v>
      </c>
      <c r="N361" s="85" t="str" cm="1">
        <f t="array" ref="N361">IFERROR(M361-A361,"N/A")</f>
        <v>N/A</v>
      </c>
      <c r="O361" s="55"/>
      <c r="P361" s="56" t="str" cm="1">
        <f t="array" ref="P361">_xlfn.XLOOKUP($B361,ADP!A2:A671,ADP!G2:G671)</f>
        <v xml:space="preserve"> </v>
      </c>
      <c r="Q361" s="57" cm="1">
        <f t="array" ref="Q361">IF(Settings!$E$12="YES",VLOOKUP(B361,'Player Data'!A1:E673,5,FALSE),84)</f>
        <v>79.892499999999998</v>
      </c>
      <c r="R361" s="55" cm="1">
        <f t="array" ref="R361">VLOOKUP(B361,'Player Data'!$A1:$AE673,6,FALSE)</f>
        <v>18.560735165777501</v>
      </c>
      <c r="S361" s="57" cm="1">
        <f t="array" ref="S361">VLOOKUP(B361,'Player Data'!$A1:$AE673,7,FALSE)*$Q361*IFERROR((VLOOKUP(P361,Settings!$E$28:$F$33,2,FALSE)+1),1)</f>
        <v>1.6040575937002703</v>
      </c>
      <c r="T361" s="57" cm="1">
        <f t="array" ref="T361">VLOOKUP(B361,'Player Data'!$A1:$AE673,8,FALSE)*$Q361*IFERROR((VLOOKUP(P361,Settings!$E$28:$F$33,2,FALSE)+1),1)</f>
        <v>12.999916762942267</v>
      </c>
      <c r="U361" s="57" cm="1">
        <f t="array" ref="U361">SUM(S361:T361)</f>
        <v>14.603974356642537</v>
      </c>
      <c r="V361" s="57" cm="1">
        <f t="array" ref="V361">VLOOKUP(B361,'Player Data'!$A1:$AE673,10,FALSE)*$Q361*IFERROR(((VLOOKUP(P361,Settings!$E$28:$F$33,2,FALSE)/2)+1),1)</f>
        <v>79.652143393105447</v>
      </c>
      <c r="W361" s="57" cm="1">
        <f t="array" ref="W361">VLOOKUP(B361,'Player Data'!$A1:$AE673,11,FALSE)*$Q361*IFERROR((VLOOKUP(P361,Settings!$E$28:$F$33,2,FALSE)+1),1)</f>
        <v>4.0496594416994753E-3</v>
      </c>
      <c r="X361" s="57" cm="1">
        <f t="array" ref="X361">VLOOKUP(B361,'Player Data'!$A1:$AE673,12,FALSE)*$Q361*IFERROR((VLOOKUP(P361,Settings!$E$28:$F$33,2,FALSE)+1),1)</f>
        <v>0.20274411780876031</v>
      </c>
      <c r="Y361" s="57" cm="1">
        <f t="array" ref="Y361">VLOOKUP(B361,'Player Data'!$A1:$AE673,13,FALSE)*$Q361</f>
        <v>1.0714911385333111E-2</v>
      </c>
      <c r="Z361" s="57" cm="1">
        <f t="array" ref="Z361">VLOOKUP(B361,'Player Data'!$A1:$AE673,14,FALSE)*$Q361</f>
        <v>0.10420892345493786</v>
      </c>
      <c r="AA361" s="57" cm="1">
        <f t="array" ref="AA361">VLOOKUP(B361,'Player Data'!$A1:$AE673,15,FALSE)*$Q361</f>
        <v>110.1023793677402</v>
      </c>
      <c r="AB361" s="57" cm="1">
        <f t="array" ref="AB361">VLOOKUP(B361,'Player Data'!$A1:$AE673,16,FALSE)*$Q361</f>
        <v>97.489377735952345</v>
      </c>
      <c r="AC361" s="57" cm="1">
        <f t="array" ref="AC361">VLOOKUP(B361,'Player Data'!$A1:$AE673,17,FALSE)*$Q361*IFERROR((VLOOKUP(P361,Settings!$E$28:$F$33,2,FALSE)+1),1)</f>
        <v>6.2615327112319791E-2</v>
      </c>
      <c r="AD361" s="57" cm="1">
        <f t="array" ref="AD361">VLOOKUP(B361,'Player Data'!$A1:$AE673,18,FALSE)*$Q361</f>
        <v>28.372258187074966</v>
      </c>
      <c r="AE361" s="57" cm="1">
        <f t="array" ref="AE361">VLOOKUP(B361,'Player Data'!$A1:$AE673,19,FALSE)*$Q361*IFERROR((VLOOKUP(P361,Settings!$E$28:$F$33,2,FALSE)+1),1)</f>
        <v>0.25338361386316083</v>
      </c>
      <c r="AF361" s="57" cm="1">
        <f t="array" ref="AF361">VLOOKUP(B361,'Player Data'!$A1:$AE673,20,FALSE)*$Q361</f>
        <v>0</v>
      </c>
      <c r="AG361" s="57" cm="1">
        <f t="array" ref="AG361">VLOOKUP(B361,'Player Data'!$A1:$AE673,21,FALSE)*$Q361</f>
        <v>0</v>
      </c>
      <c r="AH361" s="59" cm="1">
        <f t="array" ref="AH361">VLOOKUP(B361,'Player Data'!$A1:$AE673,22,FALSE)</f>
        <v>0</v>
      </c>
      <c r="AI361" s="55"/>
      <c r="AJ361" s="57"/>
      <c r="AK361" s="57"/>
      <c r="AL361" s="57"/>
      <c r="AM361" s="57"/>
      <c r="AN361" s="57"/>
      <c r="AO361" s="57"/>
      <c r="AP361" s="57"/>
      <c r="AQ361" s="60"/>
      <c r="AR361" s="61"/>
      <c r="AS361" s="55"/>
    </row>
    <row r="362" spans="1:45" ht="21.25" customHeight="1" x14ac:dyDescent="0.15">
      <c r="A362" s="62">
        <f t="shared" si="5"/>
        <v>361</v>
      </c>
      <c r="B362" s="10" t="s">
        <v>490</v>
      </c>
      <c r="C362" s="47" t="s">
        <v>147</v>
      </c>
      <c r="D362" s="48" t="str" cm="1">
        <f t="array" ref="D362">VLOOKUP(B362,'Player Data'!A1:D673,4,FALSE)</f>
        <v>D</v>
      </c>
      <c r="E362" s="68" cm="1">
        <f t="array" ref="E362">VLOOKUP(B362,D!A1:C204,3,FALSE)</f>
        <v>153</v>
      </c>
      <c r="F362" s="63" t="str" cm="1">
        <f t="array" ref="F362">VLOOKUP(B362,'Player Data'!A1:B673,2,FALSE)</f>
        <v>SEA</v>
      </c>
      <c r="G362" s="11" cm="1">
        <f t="array" ref="G362">VLOOKUP(B362,'Player Data'!A1:D673,3,FALSE)</f>
        <v>28</v>
      </c>
      <c r="H362" s="51" cm="1">
        <f t="array" ref="H362">IFERROR(VLOOKUP(B362,ADP!A1:F671,6,FALSE)/1000000,VLOOKUP(B362,ADP!A1:F671,6,FALSE))</f>
        <v>4.5</v>
      </c>
      <c r="I362" s="52">
        <f>IF(Settings!$E$15="POINTS",((R362*Q362)*Settings!$B$12)+(S362*Settings!$B$2)+(T362*Settings!$B$3)+(U362*Settings!$B$4)+(V362*Settings!$B$5)+(X362*Settings!$B$9)+(AA362*Settings!$B$6)+(W362*Settings!$B$8)+(AB362*Settings!$B$7)+(AC362*Settings!$B$14)+(AD362*Settings!$B$15)+(AE362*Settings!$B$16)+(AF362*Settings!$B$17)+(AG362*Settings!$B$18)+(U362*Settings!$B$13)+(Y362*Settings!$B$10)+(Z362*Settings!$B$11),VLOOKUP(B362,'Standard Deviations'!A$1:C$672,3,FALSE))</f>
        <v>138.69019352870248</v>
      </c>
      <c r="J362" s="53" cm="1">
        <f t="array" ref="J362">IF(D362="G",I362/AJ362,I362/Q362)</f>
        <v>1.7124360233201936</v>
      </c>
      <c r="K362" s="52" cm="1">
        <f t="array" ref="K362">VLOOKUP(B362,D!A1:F204,6,FALSE)</f>
        <v>-167.96367381589158</v>
      </c>
      <c r="L362" s="54" cm="1">
        <f t="array" ref="L362">IFERROR(K362/H362,"N/A")</f>
        <v>-37.325260847975905</v>
      </c>
      <c r="M362" s="85" t="s">
        <v>832</v>
      </c>
      <c r="N362" s="85" t="str" cm="1">
        <f t="array" ref="N362">IFERROR(M362-A362,"N/A")</f>
        <v>N/A</v>
      </c>
      <c r="O362" s="55"/>
      <c r="P362" s="56" t="str" cm="1">
        <f t="array" ref="P362">_xlfn.XLOOKUP($B362,ADP!A2:A671,ADP!G2:G671)</f>
        <v xml:space="preserve"> </v>
      </c>
      <c r="Q362" s="57" cm="1">
        <f t="array" ref="Q362">IF(Settings!$E$12="YES",VLOOKUP(B362,'Player Data'!A1:E673,5,FALSE),84)</f>
        <v>80.989999999999995</v>
      </c>
      <c r="R362" s="55" cm="1">
        <f t="array" ref="R362">VLOOKUP(B362,'Player Data'!$A1:$AE673,6,FALSE)</f>
        <v>18.4549568227946</v>
      </c>
      <c r="S362" s="57" cm="1">
        <f t="array" ref="S362">VLOOKUP(B362,'Player Data'!$A1:$AE673,7,FALSE)*$Q362*IFERROR((VLOOKUP(P362,Settings!$E$28:$F$33,2,FALSE)+1),1)</f>
        <v>2.5778775662403892</v>
      </c>
      <c r="T362" s="57" cm="1">
        <f t="array" ref="T362">VLOOKUP(B362,'Player Data'!$A1:$AE673,8,FALSE)*$Q362*IFERROR((VLOOKUP(P362,Settings!$E$28:$F$33,2,FALSE)+1),1)</f>
        <v>13.276826752036095</v>
      </c>
      <c r="U362" s="57" cm="1">
        <f t="array" ref="U362">SUM(S362:T362)</f>
        <v>15.854704318276484</v>
      </c>
      <c r="V362" s="57" cm="1">
        <f t="array" ref="V362">VLOOKUP(B362,'Player Data'!$A1:$AE673,10,FALSE)*$Q362*IFERROR(((VLOOKUP(P362,Settings!$E$28:$F$33,2,FALSE)/2)+1),1)</f>
        <v>55.005533066747702</v>
      </c>
      <c r="W362" s="57" cm="1">
        <f t="array" ref="W362">VLOOKUP(B362,'Player Data'!$A1:$AE673,11,FALSE)*$Q362*IFERROR((VLOOKUP(P362,Settings!$E$28:$F$33,2,FALSE)+1),1)</f>
        <v>9.6753963351306829E-3</v>
      </c>
      <c r="X362" s="57" cm="1">
        <f t="array" ref="X362">VLOOKUP(B362,'Player Data'!$A1:$AE673,12,FALSE)*$Q362*IFERROR((VLOOKUP(P362,Settings!$E$28:$F$33,2,FALSE)+1),1)</f>
        <v>8.8356326149477665E-2</v>
      </c>
      <c r="Y362" s="57" cm="1">
        <f t="array" ref="Y362">VLOOKUP(B362,'Player Data'!$A1:$AE673,13,FALSE)*$Q362</f>
        <v>1.7882221552891434E-2</v>
      </c>
      <c r="Z362" s="57" cm="1">
        <f t="array" ref="Z362">VLOOKUP(B362,'Player Data'!$A1:$AE673,14,FALSE)*$Q362</f>
        <v>0.64700338265086443</v>
      </c>
      <c r="AA362" s="57" cm="1">
        <f t="array" ref="AA362">VLOOKUP(B362,'Player Data'!$A1:$AE673,15,FALSE)*$Q362</f>
        <v>125.77590866339766</v>
      </c>
      <c r="AB362" s="57" cm="1">
        <f t="array" ref="AB362">VLOOKUP(B362,'Player Data'!$A1:$AE673,16,FALSE)*$Q362</f>
        <v>72.644327171720363</v>
      </c>
      <c r="AC362" s="57" cm="1">
        <f t="array" ref="AC362">VLOOKUP(B362,'Player Data'!$A1:$AE673,17,FALSE)*$Q362*IFERROR((VLOOKUP(P362,Settings!$E$28:$F$33,2,FALSE)+1),1)</f>
        <v>-8.9801636136922109</v>
      </c>
      <c r="AD362" s="57" cm="1">
        <f t="array" ref="AD362">VLOOKUP(B362,'Player Data'!$A1:$AE673,18,FALSE)*$Q362</f>
        <v>44.341904406469638</v>
      </c>
      <c r="AE362" s="57" cm="1">
        <f t="array" ref="AE362">VLOOKUP(B362,'Player Data'!$A1:$AE673,19,FALSE)*$Q362*IFERROR((VLOOKUP(P362,Settings!$E$28:$F$33,2,FALSE)+1),1)</f>
        <v>0.35516755779900711</v>
      </c>
      <c r="AF362" s="57" cm="1">
        <f t="array" ref="AF362">VLOOKUP(B362,'Player Data'!$A1:$AE673,20,FALSE)*$Q362</f>
        <v>0</v>
      </c>
      <c r="AG362" s="57" cm="1">
        <f t="array" ref="AG362">VLOOKUP(B362,'Player Data'!$A1:$AE673,21,FALSE)*$Q362</f>
        <v>0.75161256065110038</v>
      </c>
      <c r="AH362" s="59" cm="1">
        <f t="array" ref="AH362">VLOOKUP(B362,'Player Data'!$A1:$AE673,22,FALSE)</f>
        <v>0</v>
      </c>
      <c r="AI362" s="55"/>
      <c r="AJ362" s="57"/>
      <c r="AK362" s="57"/>
      <c r="AL362" s="57"/>
      <c r="AM362" s="57"/>
      <c r="AN362" s="57"/>
      <c r="AO362" s="57"/>
      <c r="AP362" s="57"/>
      <c r="AQ362" s="60"/>
      <c r="AR362" s="61"/>
      <c r="AS362" s="55"/>
    </row>
    <row r="363" spans="1:45" ht="21.25" customHeight="1" x14ac:dyDescent="0.15">
      <c r="A363" s="62">
        <f t="shared" si="5"/>
        <v>362</v>
      </c>
      <c r="B363" s="10" t="s">
        <v>491</v>
      </c>
      <c r="C363" s="47" t="s">
        <v>147</v>
      </c>
      <c r="D363" s="48" t="str" cm="1">
        <f t="array" ref="D363">VLOOKUP(B363,'Player Data'!A1:D673,4,FALSE)</f>
        <v>D</v>
      </c>
      <c r="E363" s="68" cm="1">
        <f t="array" ref="E363">VLOOKUP(B363,D!A1:C204,3,FALSE)</f>
        <v>154</v>
      </c>
      <c r="F363" s="56" t="str" cm="1">
        <f t="array" ref="F363">VLOOKUP(B363,'Player Data'!A1:B673,2,FALSE)</f>
        <v>WSH</v>
      </c>
      <c r="G363" s="11" cm="1">
        <f t="array" ref="G363">VLOOKUP(B363,'Player Data'!A1:D673,3,FALSE)</f>
        <v>27</v>
      </c>
      <c r="H363" s="51" cm="1">
        <f t="array" ref="H363">IFERROR(VLOOKUP(B363,ADP!A1:F671,6,FALSE)/1000000,VLOOKUP(B363,ADP!A1:F671,6,FALSE))</f>
        <v>3.25</v>
      </c>
      <c r="I363" s="52">
        <f>IF(Settings!$E$15="POINTS",((R363*Q363)*Settings!$B$12)+(S363*Settings!$B$2)+(T363*Settings!$B$3)+(U363*Settings!$B$4)+(V363*Settings!$B$5)+(X363*Settings!$B$9)+(AA363*Settings!$B$6)+(W363*Settings!$B$8)+(AB363*Settings!$B$7)+(AC363*Settings!$B$14)+(AD363*Settings!$B$15)+(AE363*Settings!$B$16)+(AF363*Settings!$B$17)+(AG363*Settings!$B$18)+(U363*Settings!$B$13)+(Y363*Settings!$B$10)+(Z363*Settings!$B$11),VLOOKUP(B363,'Standard Deviations'!A$1:C$672,3,FALSE))</f>
        <v>138.67750271293619</v>
      </c>
      <c r="J363" s="53" cm="1">
        <f t="array" ref="J363">IF(D363="G",I363/AJ363,I363/Q363)</f>
        <v>1.8946955318227441</v>
      </c>
      <c r="K363" s="52" cm="1">
        <f t="array" ref="K363">VLOOKUP(B363,D!A1:F204,6,FALSE)</f>
        <v>-167.97636463165787</v>
      </c>
      <c r="L363" s="54" cm="1">
        <f t="array" ref="L363">IFERROR(K363/H363,"N/A")</f>
        <v>-51.685035271279347</v>
      </c>
      <c r="M363" s="85" t="s">
        <v>832</v>
      </c>
      <c r="N363" s="85" t="str" cm="1">
        <f t="array" ref="N363">IFERROR(M363-A363,"N/A")</f>
        <v>N/A</v>
      </c>
      <c r="O363" s="55"/>
      <c r="P363" s="56" t="str" cm="1">
        <f t="array" ref="P363">_xlfn.XLOOKUP($B363,ADP!A2:A671,ADP!G2:G671)</f>
        <v xml:space="preserve"> </v>
      </c>
      <c r="Q363" s="57" cm="1">
        <f t="array" ref="Q363">IF(Settings!$E$12="YES",VLOOKUP(B363,'Player Data'!A1:E673,5,FALSE),84)</f>
        <v>73.192499999999995</v>
      </c>
      <c r="R363" s="84" cm="1">
        <f t="array" ref="R363">VLOOKUP(B363,'Player Data'!$A1:$AE673,6,FALSE)</f>
        <v>17.471020412914999</v>
      </c>
      <c r="S363" s="57" cm="1">
        <f t="array" ref="S363">VLOOKUP(B363,'Player Data'!$A1:$AE673,7,FALSE)*$Q363*IFERROR((VLOOKUP(P363,Settings!$E$28:$F$33,2,FALSE)+1),1)</f>
        <v>2.9978186949873615</v>
      </c>
      <c r="T363" s="57" cm="1">
        <f t="array" ref="T363">VLOOKUP(B363,'Player Data'!$A1:$AE673,8,FALSE)*$Q363*IFERROR((VLOOKUP(P363,Settings!$E$28:$F$33,2,FALSE)+1),1)</f>
        <v>12.456546504794092</v>
      </c>
      <c r="U363" s="57" cm="1">
        <f t="array" ref="U363">SUM(S363:T363)</f>
        <v>15.454365199781453</v>
      </c>
      <c r="V363" s="57" cm="1">
        <f t="array" ref="V363">VLOOKUP(B363,'Player Data'!$A1:$AE673,10,FALSE)*$Q363*IFERROR(((VLOOKUP(P363,Settings!$E$28:$F$33,2,FALSE)/2)+1),1)</f>
        <v>66.658405265078756</v>
      </c>
      <c r="W363" s="57" cm="1">
        <f t="array" ref="W363">VLOOKUP(B363,'Player Data'!$A1:$AE673,11,FALSE)*$Q363*IFERROR((VLOOKUP(P363,Settings!$E$28:$F$33,2,FALSE)+1),1)</f>
        <v>2.4215127362204159E-2</v>
      </c>
      <c r="X363" s="57" cm="1">
        <f t="array" ref="X363">VLOOKUP(B363,'Player Data'!$A1:$AE673,12,FALSE)*$Q363*IFERROR((VLOOKUP(P363,Settings!$E$28:$F$33,2,FALSE)+1),1)</f>
        <v>0.15072559520510281</v>
      </c>
      <c r="Y363" s="57" cm="1">
        <f t="array" ref="Y363">VLOOKUP(B363,'Player Data'!$A1:$AE673,13,FALSE)*$Q363</f>
        <v>2.042380509005438E-2</v>
      </c>
      <c r="Z363" s="57" cm="1">
        <f t="array" ref="Z363">VLOOKUP(B363,'Player Data'!$A1:$AE673,14,FALSE)*$Q363</f>
        <v>0.35971784553398289</v>
      </c>
      <c r="AA363" s="57" cm="1">
        <f t="array" ref="AA363">VLOOKUP(B363,'Player Data'!$A1:$AE673,15,FALSE)*$Q363</f>
        <v>116.94952208062671</v>
      </c>
      <c r="AB363" s="57" cm="1">
        <f t="array" ref="AB363">VLOOKUP(B363,'Player Data'!$A1:$AE673,16,FALSE)*$Q363</f>
        <v>68.884256492341393</v>
      </c>
      <c r="AC363" s="57" cm="1">
        <f t="array" ref="AC363">VLOOKUP(B363,'Player Data'!$A1:$AE673,17,FALSE)*$Q363*IFERROR((VLOOKUP(P363,Settings!$E$28:$F$33,2,FALSE)+1),1)</f>
        <v>3.0599830935266983</v>
      </c>
      <c r="AD363" s="57" cm="1">
        <f t="array" ref="AD363">VLOOKUP(B363,'Player Data'!$A1:$AE673,18,FALSE)*$Q363</f>
        <v>33.725913740692263</v>
      </c>
      <c r="AE363" s="57" cm="1">
        <f t="array" ref="AE363">VLOOKUP(B363,'Player Data'!$A1:$AE673,19,FALSE)*$Q363*IFERROR((VLOOKUP(P363,Settings!$E$28:$F$33,2,FALSE)+1),1)</f>
        <v>0.4489812516170415</v>
      </c>
      <c r="AF363" s="57" cm="1">
        <f t="array" ref="AF363">VLOOKUP(B363,'Player Data'!$A1:$AE673,20,FALSE)*$Q363</f>
        <v>0</v>
      </c>
      <c r="AG363" s="57" cm="1">
        <f t="array" ref="AG363">VLOOKUP(B363,'Player Data'!$A1:$AE673,21,FALSE)*$Q363</f>
        <v>0</v>
      </c>
      <c r="AH363" s="59" cm="1">
        <f t="array" ref="AH363">VLOOKUP(B363,'Player Data'!$A1:$AE673,22,FALSE)</f>
        <v>0</v>
      </c>
      <c r="AI363" s="55"/>
      <c r="AJ363" s="57"/>
      <c r="AK363" s="57"/>
      <c r="AL363" s="57"/>
      <c r="AM363" s="57"/>
      <c r="AN363" s="57"/>
      <c r="AO363" s="57"/>
      <c r="AP363" s="57"/>
      <c r="AQ363" s="60"/>
      <c r="AR363" s="61"/>
      <c r="AS363" s="55"/>
    </row>
    <row r="364" spans="1:45" ht="21.25" customHeight="1" x14ac:dyDescent="0.15">
      <c r="A364" s="62">
        <f t="shared" si="5"/>
        <v>363</v>
      </c>
      <c r="B364" s="10" t="s">
        <v>492</v>
      </c>
      <c r="C364" s="47" t="s">
        <v>147</v>
      </c>
      <c r="D364" s="48" t="str" cm="1">
        <f t="array" ref="D364">VLOOKUP(B364,'Player Data'!A1:D673,4,FALSE)</f>
        <v>C,RW</v>
      </c>
      <c r="E364" s="74" cm="1">
        <f t="array" ref="E364">VLOOKUP(B364,RW!A1:F210,3,FALSE)</f>
        <v>95</v>
      </c>
      <c r="F364" s="63" t="str" cm="1">
        <f t="array" ref="F364">VLOOKUP(B364,'Player Data'!A1:B673,2,FALSE)</f>
        <v>SEA</v>
      </c>
      <c r="G364" s="71" cm="1">
        <f t="array" ref="G364">VLOOKUP(B364,'Player Data'!A1:D673,3,FALSE)</f>
        <v>22</v>
      </c>
      <c r="H364" s="51" cm="1">
        <f t="array" ref="H364">IFERROR(VLOOKUP(B364,ADP!A1:F671,6,FALSE)/1000000,VLOOKUP(B364,ADP!A1:F671,6,FALSE))</f>
        <v>0.88666699999999998</v>
      </c>
      <c r="I364" s="52">
        <f>IF(Settings!$E$15="POINTS",((R364*Q364)*Settings!$B$12)+(S364*Settings!$B$2)+(T364*Settings!$B$3)+(U364*Settings!$B$4)+(V364*Settings!$B$5)+(X364*Settings!$B$9)+(AA364*Settings!$B$6)+(W364*Settings!$B$8)+(AB364*Settings!$B$7)+(AC364*Settings!$B$14)+(AD364*Settings!$B$15)+(AE364*Settings!$B$16)+(AF364*Settings!$B$17)+(AG364*Settings!$B$18)+(Y364*Settings!$B$10)+(Z364*Settings!$B$11),VLOOKUP(B364,'Standard Deviations'!A$1:C$672,3,FALSE))</f>
        <v>226.33554928553428</v>
      </c>
      <c r="J364" s="53" cm="1">
        <f t="array" ref="J364">IF(D364="G",I364/AJ364,I364/Q364)</f>
        <v>2.7943522860030776</v>
      </c>
      <c r="K364" s="52" cm="1">
        <f t="array" ref="K364">IF(Settings!$E$18="C/LW/RW",VLOOKUP(B364,RW!A1:F210,6,FALSE),VLOOKUP(B364,F!A1:F407,6,FALSE))</f>
        <v>-168.60791540802319</v>
      </c>
      <c r="L364" s="54" cm="1">
        <f t="array" ref="L364">IFERROR(K364/H364,"N/A")</f>
        <v>-190.15923160332255</v>
      </c>
      <c r="M364" s="85" t="s">
        <v>832</v>
      </c>
      <c r="N364" s="85" t="str" cm="1">
        <f t="array" ref="N364">IFERROR(M364-A364,"N/A")</f>
        <v>N/A</v>
      </c>
      <c r="O364" s="55"/>
      <c r="P364" s="56" t="str" cm="1">
        <f t="array" ref="P364">_xlfn.XLOOKUP($B364,ADP!A2:A671,ADP!G2:G671)</f>
        <v xml:space="preserve"> </v>
      </c>
      <c r="Q364" s="57" cm="1">
        <f t="array" ref="Q364">IF(Settings!$E$12="YES",VLOOKUP(B364,'Player Data'!A1:E673,5,FALSE),84)</f>
        <v>80.997500000000002</v>
      </c>
      <c r="R364" s="82" cm="1">
        <f t="array" ref="R364">VLOOKUP(B364,'Player Data'!$A1:$AE673,6,FALSE)</f>
        <v>15.0134772847598</v>
      </c>
      <c r="S364" s="57" cm="1">
        <f t="array" ref="S364">VLOOKUP(B364,'Player Data'!$A1:$AE673,7,FALSE)*$Q364*IFERROR((VLOOKUP(P364,Settings!$E$28:$F$33,2,FALSE)+1),1)</f>
        <v>18.209533885348897</v>
      </c>
      <c r="T364" s="57" cm="1">
        <f t="array" ref="T364">VLOOKUP(B364,'Player Data'!$A1:$AE673,8,FALSE)*$Q364*IFERROR((VLOOKUP(P364,Settings!$E$28:$F$33,2,FALSE)+1),1)</f>
        <v>23.650151864616493</v>
      </c>
      <c r="U364" s="57" cm="1">
        <f t="array" ref="U364">SUM(S364:T364)</f>
        <v>41.859685749965394</v>
      </c>
      <c r="V364" s="57" cm="1">
        <f t="array" ref="V364">VLOOKUP(B364,'Player Data'!$A1:$AE673,10,FALSE)*$Q364*IFERROR(((VLOOKUP(P364,Settings!$E$28:$F$33,2,FALSE)/2)+1),1)</f>
        <v>117.61702428183078</v>
      </c>
      <c r="W364" s="57" cm="1">
        <f t="array" ref="W364">VLOOKUP(B364,'Player Data'!$A1:$AE673,11,FALSE)*$Q364*IFERROR((VLOOKUP(P364,Settings!$E$28:$F$33,2,FALSE)+1),1)</f>
        <v>4.3186057961291295</v>
      </c>
      <c r="X364" s="57" cm="1">
        <f t="array" ref="X364">VLOOKUP(B364,'Player Data'!$A1:$AE673,12,FALSE)*$Q364*IFERROR((VLOOKUP(P364,Settings!$E$28:$F$33,2,FALSE)+1),1)</f>
        <v>9.8325939366225299</v>
      </c>
      <c r="Y364" s="57" cm="1">
        <f t="array" ref="Y364">VLOOKUP(B364,'Player Data'!$A1:$AE673,13,FALSE)*$Q364</f>
        <v>1.3509199394498591E-2</v>
      </c>
      <c r="Z364" s="57" cm="1">
        <f t="array" ref="Z364">VLOOKUP(B364,'Player Data'!$A1:$AE673,14,FALSE)*$Q364</f>
        <v>2.2096405091069037E-2</v>
      </c>
      <c r="AA364" s="57" cm="1">
        <f t="array" ref="AA364">VLOOKUP(B364,'Player Data'!$A1:$AE673,15,FALSE)*$Q364</f>
        <v>64.186579106018243</v>
      </c>
      <c r="AB364" s="57" cm="1">
        <f t="array" ref="AB364">VLOOKUP(B364,'Player Data'!$A1:$AE673,16,FALSE)*$Q364</f>
        <v>64.783079240413116</v>
      </c>
      <c r="AC364" s="57" cm="1">
        <f t="array" ref="AC364">VLOOKUP(B364,'Player Data'!$A1:$AE673,17,FALSE)*$Q364*IFERROR((VLOOKUP(P364,Settings!$E$28:$F$33,2,FALSE)+1),1)</f>
        <v>-5.1635613177824968</v>
      </c>
      <c r="AD364" s="57" cm="1">
        <f t="array" ref="AD364">VLOOKUP(B364,'Player Data'!$A1:$AE673,18,FALSE)*$Q364</f>
        <v>18.924006276531369</v>
      </c>
      <c r="AE364" s="57" cm="1">
        <f t="array" ref="AE364">VLOOKUP(B364,'Player Data'!$A1:$AE673,19,FALSE)*$Q364*IFERROR((VLOOKUP(P364,Settings!$E$28:$F$33,2,FALSE)+1),1)</f>
        <v>2.5088218941870979</v>
      </c>
      <c r="AF364" s="57" cm="1">
        <f t="array" ref="AF364">VLOOKUP(B364,'Player Data'!$A1:$AE673,20,FALSE)*$Q364</f>
        <v>295.77505039450551</v>
      </c>
      <c r="AG364" s="57" cm="1">
        <f t="array" ref="AG364">VLOOKUP(B364,'Player Data'!$A1:$AE673,21,FALSE)*$Q364</f>
        <v>405.53897831161811</v>
      </c>
      <c r="AH364" s="59" cm="1">
        <f t="array" ref="AH364">VLOOKUP(B364,'Player Data'!$A1:$AE673,22,FALSE)</f>
        <v>0.42174409506707</v>
      </c>
      <c r="AI364" s="55"/>
      <c r="AJ364" s="57"/>
      <c r="AK364" s="57"/>
      <c r="AL364" s="57"/>
      <c r="AM364" s="57"/>
      <c r="AN364" s="57"/>
      <c r="AO364" s="57"/>
      <c r="AP364" s="57"/>
      <c r="AQ364" s="60"/>
      <c r="AR364" s="61"/>
      <c r="AS364" s="55"/>
    </row>
    <row r="365" spans="1:45" ht="21.25" customHeight="1" x14ac:dyDescent="0.15">
      <c r="A365" s="62">
        <f t="shared" si="5"/>
        <v>364</v>
      </c>
      <c r="B365" s="10" t="s">
        <v>493</v>
      </c>
      <c r="C365" s="47" t="s">
        <v>147</v>
      </c>
      <c r="D365" s="48" t="str" cm="1">
        <f t="array" ref="D365">VLOOKUP(B365,'Player Data'!A1:D673,4,FALSE)</f>
        <v>C,RW</v>
      </c>
      <c r="E365" s="74" cm="1">
        <f t="array" ref="E365">VLOOKUP(B365,RW!A1:F210,3,FALSE)</f>
        <v>96</v>
      </c>
      <c r="F365" s="63" t="str" cm="1">
        <f t="array" ref="F365">VLOOKUP(B365,'Player Data'!A1:B673,2,FALSE)</f>
        <v>EDM</v>
      </c>
      <c r="G365" s="71" cm="1">
        <f t="array" ref="G365">VLOOKUP(B365,'Player Data'!A1:D673,3,FALSE)</f>
        <v>22</v>
      </c>
      <c r="H365" s="51" cm="1">
        <f t="array" ref="H365">IFERROR(VLOOKUP(B365,ADP!A1:F671,6,FALSE)/1000000,VLOOKUP(B365,ADP!A1:F671,6,FALSE))</f>
        <v>0.88666699999999998</v>
      </c>
      <c r="I365" s="52">
        <f>IF(Settings!$E$15="POINTS",((R365*Q365)*Settings!$B$12)+(S365*Settings!$B$2)+(T365*Settings!$B$3)+(U365*Settings!$B$4)+(V365*Settings!$B$5)+(X365*Settings!$B$9)+(AA365*Settings!$B$6)+(W365*Settings!$B$8)+(AB365*Settings!$B$7)+(AC365*Settings!$B$14)+(AD365*Settings!$B$15)+(AE365*Settings!$B$16)+(AF365*Settings!$B$17)+(AG365*Settings!$B$18)+(Y365*Settings!$B$10)+(Z365*Settings!$B$11),VLOOKUP(B365,'Standard Deviations'!A$1:C$672,3,FALSE))</f>
        <v>226.21666134188769</v>
      </c>
      <c r="J365" s="53" cm="1">
        <f t="array" ref="J365">IF(D365="G",I365/AJ365,I365/Q365)</f>
        <v>2.8047444218199451</v>
      </c>
      <c r="K365" s="52" cm="1">
        <f t="array" ref="K365">IF(Settings!$E$18="C/LW/RW",VLOOKUP(B365,RW!A1:F210,6,FALSE),VLOOKUP(B365,F!A1:F407,6,FALSE))</f>
        <v>-168.72680335166979</v>
      </c>
      <c r="L365" s="54" cm="1">
        <f t="array" ref="L365">IFERROR(K365/H365,"N/A")</f>
        <v>-190.29331569988483</v>
      </c>
      <c r="M365" s="55">
        <v>134.30000000000001</v>
      </c>
      <c r="N365" s="55" cm="1">
        <f t="array" ref="N365">IFERROR(M365-A365,"N/A")</f>
        <v>-229.7</v>
      </c>
      <c r="O365" s="55"/>
      <c r="P365" s="56" t="str" cm="1">
        <f t="array" ref="P365">_xlfn.XLOOKUP($B365,ADP!A2:A671,ADP!G2:G671)</f>
        <v>+</v>
      </c>
      <c r="Q365" s="57" cm="1">
        <f t="array" ref="Q365">IF(Settings!$E$12="YES",VLOOKUP(B365,'Player Data'!A1:E673,5,FALSE),84)</f>
        <v>80.655000000000001</v>
      </c>
      <c r="R365" s="82" cm="1">
        <f t="array" ref="R365">VLOOKUP(B365,'Player Data'!$A1:$AE673,6,FALSE)</f>
        <v>15.7648800253183</v>
      </c>
      <c r="S365" s="57" cm="1">
        <f t="array" ref="S365">VLOOKUP(B365,'Player Data'!$A1:$AE673,7,FALSE)*$Q365*IFERROR((VLOOKUP(P365,Settings!$E$28:$F$33,2,FALSE)+1),1)</f>
        <v>18.342733584598395</v>
      </c>
      <c r="T365" s="57" cm="1">
        <f t="array" ref="T365">VLOOKUP(B365,'Player Data'!$A1:$AE673,8,FALSE)*$Q365*IFERROR((VLOOKUP(P365,Settings!$E$28:$F$33,2,FALSE)+1),1)</f>
        <v>23.129995247632074</v>
      </c>
      <c r="U365" s="57" cm="1">
        <f t="array" ref="U365">SUM(S365:T365)</f>
        <v>41.472728832230473</v>
      </c>
      <c r="V365" s="57" cm="1">
        <f t="array" ref="V365">VLOOKUP(B365,'Player Data'!$A1:$AE673,10,FALSE)*$Q365*IFERROR(((VLOOKUP(P365,Settings!$E$28:$F$33,2,FALSE)/2)+1),1)</f>
        <v>149.47789884648469</v>
      </c>
      <c r="W365" s="57" cm="1">
        <f t="array" ref="W365">VLOOKUP(B365,'Player Data'!$A1:$AE673,11,FALSE)*$Q365*IFERROR((VLOOKUP(P365,Settings!$E$28:$F$33,2,FALSE)+1),1)</f>
        <v>3.6382645599311774</v>
      </c>
      <c r="X365" s="57" cm="1">
        <f t="array" ref="X365">VLOOKUP(B365,'Player Data'!$A1:$AE673,12,FALSE)*$Q365*IFERROR((VLOOKUP(P365,Settings!$E$28:$F$33,2,FALSE)+1),1)</f>
        <v>5.8315018932642042</v>
      </c>
      <c r="Y365" s="57" cm="1">
        <f t="array" ref="Y365">VLOOKUP(B365,'Player Data'!$A1:$AE673,13,FALSE)*$Q365</f>
        <v>1.2671042424194736</v>
      </c>
      <c r="Z365" s="57" cm="1">
        <f t="array" ref="Z365">VLOOKUP(B365,'Player Data'!$A1:$AE673,14,FALSE)*$Q365</f>
        <v>1.3643014989333981</v>
      </c>
      <c r="AA365" s="57" cm="1">
        <f t="array" ref="AA365">VLOOKUP(B365,'Player Data'!$A1:$AE673,15,FALSE)*$Q365</f>
        <v>39.727444059512663</v>
      </c>
      <c r="AB365" s="57" cm="1">
        <f t="array" ref="AB365">VLOOKUP(B365,'Player Data'!$A1:$AE673,16,FALSE)*$Q365</f>
        <v>29.119403934928108</v>
      </c>
      <c r="AC365" s="57" cm="1">
        <f t="array" ref="AC365">VLOOKUP(B365,'Player Data'!$A1:$AE673,17,FALSE)*$Q365*IFERROR((VLOOKUP(P365,Settings!$E$28:$F$33,2,FALSE)+1),1)</f>
        <v>4.8390677279725036</v>
      </c>
      <c r="AD365" s="57" cm="1">
        <f t="array" ref="AD365">VLOOKUP(B365,'Player Data'!$A1:$AE673,18,FALSE)*$Q365</f>
        <v>20.607827556358355</v>
      </c>
      <c r="AE365" s="57" cm="1">
        <f t="array" ref="AE365">VLOOKUP(B365,'Player Data'!$A1:$AE673,19,FALSE)*$Q365*IFERROR((VLOOKUP(P365,Settings!$E$28:$F$33,2,FALSE)+1),1)</f>
        <v>3.2199119639230069</v>
      </c>
      <c r="AF365" s="57" cm="1">
        <f t="array" ref="AF365">VLOOKUP(B365,'Player Data'!$A1:$AE673,20,FALSE)*$Q365</f>
        <v>34.460422352247313</v>
      </c>
      <c r="AG365" s="57" cm="1">
        <f t="array" ref="AG365">VLOOKUP(B365,'Player Data'!$A1:$AE673,21,FALSE)*$Q365</f>
        <v>49.984093012863063</v>
      </c>
      <c r="AH365" s="59" cm="1">
        <f t="array" ref="AH365">VLOOKUP(B365,'Player Data'!$A1:$AE673,22,FALSE)</f>
        <v>0.40808360617917899</v>
      </c>
      <c r="AI365" s="55"/>
      <c r="AJ365" s="57"/>
      <c r="AK365" s="57"/>
      <c r="AL365" s="57"/>
      <c r="AM365" s="57"/>
      <c r="AN365" s="57"/>
      <c r="AO365" s="57"/>
      <c r="AP365" s="57"/>
      <c r="AQ365" s="60"/>
      <c r="AR365" s="61"/>
      <c r="AS365" s="55"/>
    </row>
    <row r="366" spans="1:45" ht="21.25" customHeight="1" x14ac:dyDescent="0.15">
      <c r="A366" s="62">
        <f t="shared" si="5"/>
        <v>365</v>
      </c>
      <c r="B366" s="10" t="s">
        <v>494</v>
      </c>
      <c r="C366" s="47" t="s">
        <v>147</v>
      </c>
      <c r="D366" s="48" t="str" cm="1">
        <f t="array" ref="D366">VLOOKUP(B366,'Player Data'!A1:D673,4,FALSE)</f>
        <v>D</v>
      </c>
      <c r="E366" s="68" cm="1">
        <f t="array" ref="E366">VLOOKUP(B366,D!A1:C204,3,FALSE)</f>
        <v>155</v>
      </c>
      <c r="F366" s="65" t="str" cm="1">
        <f t="array" ref="F366">VLOOKUP(B366,'Player Data'!A1:B673,2,FALSE)</f>
        <v>NSH</v>
      </c>
      <c r="G366" s="11" cm="1">
        <f t="array" ref="G366">VLOOKUP(B366,'Player Data'!A1:D673,3,FALSE)</f>
        <v>27</v>
      </c>
      <c r="H366" s="51" cm="1">
        <f t="array" ref="H366">IFERROR(VLOOKUP(B366,ADP!A1:F671,6,FALSE)/1000000,VLOOKUP(B366,ADP!A1:F671,6,FALSE))</f>
        <v>5.5</v>
      </c>
      <c r="I366" s="52">
        <f>IF(Settings!$E$15="POINTS",((R366*Q366)*Settings!$B$12)+(S366*Settings!$B$2)+(T366*Settings!$B$3)+(U366*Settings!$B$4)+(V366*Settings!$B$5)+(X366*Settings!$B$9)+(AA366*Settings!$B$6)+(W366*Settings!$B$8)+(AB366*Settings!$B$7)+(AC366*Settings!$B$14)+(AD366*Settings!$B$15)+(AE366*Settings!$B$16)+(AF366*Settings!$B$17)+(AG366*Settings!$B$18)+(U366*Settings!$B$13)+(Y366*Settings!$B$10)+(Z366*Settings!$B$11),VLOOKUP(B366,'Standard Deviations'!A$1:C$672,3,FALSE))</f>
        <v>137.91695455712866</v>
      </c>
      <c r="J366" s="53" cm="1">
        <f t="array" ref="J366">IF(D366="G",I366/AJ366,I366/Q366)</f>
        <v>1.7760215640606356</v>
      </c>
      <c r="K366" s="52" cm="1">
        <f t="array" ref="K366">VLOOKUP(B366,D!A1:F204,6,FALSE)</f>
        <v>-168.7369127874654</v>
      </c>
      <c r="L366" s="54" cm="1">
        <f t="array" ref="L366">IFERROR(K366/H366,"N/A")</f>
        <v>-30.679438688630071</v>
      </c>
      <c r="M366" s="55">
        <v>126.9</v>
      </c>
      <c r="N366" s="55" cm="1">
        <f t="array" ref="N366">IFERROR(M366-A366,"N/A")</f>
        <v>-238.1</v>
      </c>
      <c r="O366" s="55"/>
      <c r="P366" s="56" t="str" cm="1">
        <f t="array" ref="P366">_xlfn.XLOOKUP($B366,ADP!A2:A671,ADP!G2:G671)</f>
        <v xml:space="preserve"> </v>
      </c>
      <c r="Q366" s="57" cm="1">
        <f t="array" ref="Q366">IF(Settings!$E$12="YES",VLOOKUP(B366,'Player Data'!A1:E673,5,FALSE),84)</f>
        <v>77.655000000000001</v>
      </c>
      <c r="R366" s="55" cm="1">
        <f t="array" ref="R366">VLOOKUP(B366,'Player Data'!$A1:$AE673,6,FALSE)</f>
        <v>19.488075569568799</v>
      </c>
      <c r="S366" s="57" cm="1">
        <f t="array" ref="S366">VLOOKUP(B366,'Player Data'!$A1:$AE673,7,FALSE)*$Q366*IFERROR((VLOOKUP(P366,Settings!$E$28:$F$33,2,FALSE)+1),1)</f>
        <v>3.9582072189341826</v>
      </c>
      <c r="T366" s="57" cm="1">
        <f t="array" ref="T366">VLOOKUP(B366,'Player Data'!$A1:$AE673,8,FALSE)*$Q366*IFERROR((VLOOKUP(P366,Settings!$E$28:$F$33,2,FALSE)+1),1)</f>
        <v>13.124388436377904</v>
      </c>
      <c r="U366" s="57" cm="1">
        <f t="array" ref="U366">SUM(S366:T366)</f>
        <v>17.082595655312087</v>
      </c>
      <c r="V366" s="57" cm="1">
        <f t="array" ref="V366">VLOOKUP(B366,'Player Data'!$A1:$AE673,10,FALSE)*$Q366*IFERROR(((VLOOKUP(P366,Settings!$E$28:$F$33,2,FALSE)/2)+1),1)</f>
        <v>83.75984837005268</v>
      </c>
      <c r="W366" s="57" cm="1">
        <f t="array" ref="W366">VLOOKUP(B366,'Player Data'!$A1:$AE673,11,FALSE)*$Q366*IFERROR((VLOOKUP(P366,Settings!$E$28:$F$33,2,FALSE)+1),1)</f>
        <v>1.2866024005397088E-2</v>
      </c>
      <c r="X366" s="57" cm="1">
        <f t="array" ref="X366">VLOOKUP(B366,'Player Data'!$A1:$AE673,12,FALSE)*$Q366*IFERROR((VLOOKUP(P366,Settings!$E$28:$F$33,2,FALSE)+1),1)</f>
        <v>0.10515805077260069</v>
      </c>
      <c r="Y366" s="57" cm="1">
        <f t="array" ref="Y366">VLOOKUP(B366,'Player Data'!$A1:$AE673,13,FALSE)*$Q366</f>
        <v>1.8234001081787108E-2</v>
      </c>
      <c r="Z366" s="57" cm="1">
        <f t="array" ref="Z366">VLOOKUP(B366,'Player Data'!$A1:$AE673,14,FALSE)*$Q366</f>
        <v>0.66869063983425092</v>
      </c>
      <c r="AA366" s="57" cm="1">
        <f t="array" ref="AA366">VLOOKUP(B366,'Player Data'!$A1:$AE673,15,FALSE)*$Q366</f>
        <v>88.03078943111845</v>
      </c>
      <c r="AB366" s="57" cm="1">
        <f t="array" ref="AB366">VLOOKUP(B366,'Player Data'!$A1:$AE673,16,FALSE)*$Q366</f>
        <v>95.794292199378589</v>
      </c>
      <c r="AC366" s="57" cm="1">
        <f t="array" ref="AC366">VLOOKUP(B366,'Player Data'!$A1:$AE673,17,FALSE)*$Q366*IFERROR((VLOOKUP(P366,Settings!$E$28:$F$33,2,FALSE)+1),1)</f>
        <v>-4.0763546485495494</v>
      </c>
      <c r="AD366" s="57" cm="1">
        <f t="array" ref="AD366">VLOOKUP(B366,'Player Data'!$A1:$AE673,18,FALSE)*$Q366</f>
        <v>50.493960793036344</v>
      </c>
      <c r="AE366" s="57" cm="1">
        <f t="array" ref="AE366">VLOOKUP(B366,'Player Data'!$A1:$AE673,19,FALSE)*$Q366*IFERROR((VLOOKUP(P366,Settings!$E$28:$F$33,2,FALSE)+1),1)</f>
        <v>0.54831072058248442</v>
      </c>
      <c r="AF366" s="57" cm="1">
        <f t="array" ref="AF366">VLOOKUP(B366,'Player Data'!$A1:$AE673,20,FALSE)*$Q366</f>
        <v>0</v>
      </c>
      <c r="AG366" s="57" cm="1">
        <f t="array" ref="AG366">VLOOKUP(B366,'Player Data'!$A1:$AE673,21,FALSE)*$Q366</f>
        <v>0</v>
      </c>
      <c r="AH366" s="59" cm="1">
        <f t="array" ref="AH366">VLOOKUP(B366,'Player Data'!$A1:$AE673,22,FALSE)</f>
        <v>0</v>
      </c>
      <c r="AI366" s="55"/>
      <c r="AJ366" s="57"/>
      <c r="AK366" s="57"/>
      <c r="AL366" s="57"/>
      <c r="AM366" s="57"/>
      <c r="AN366" s="57"/>
      <c r="AO366" s="57"/>
      <c r="AP366" s="57"/>
      <c r="AQ366" s="60"/>
      <c r="AR366" s="61"/>
      <c r="AS366" s="55"/>
    </row>
    <row r="367" spans="1:45" ht="21.25" customHeight="1" x14ac:dyDescent="0.15">
      <c r="A367" s="62">
        <f t="shared" si="5"/>
        <v>366</v>
      </c>
      <c r="B367" s="10" t="s">
        <v>495</v>
      </c>
      <c r="C367" s="47" t="s">
        <v>147</v>
      </c>
      <c r="D367" s="48" t="str" cm="1">
        <f t="array" ref="D367">VLOOKUP(B367,'Player Data'!A1:D673,4,FALSE)</f>
        <v>D</v>
      </c>
      <c r="E367" s="68" cm="1">
        <f t="array" ref="E367">VLOOKUP(B367,D!A1:C204,3,FALSE)</f>
        <v>156</v>
      </c>
      <c r="F367" s="72" t="str" cm="1">
        <f t="array" ref="F367">VLOOKUP(B367,'Player Data'!A1:B673,2,FALSE)</f>
        <v>FLA</v>
      </c>
      <c r="G367" s="66" cm="1">
        <f t="array" ref="G367">VLOOKUP(B367,'Player Data'!A1:D673,3,FALSE)</f>
        <v>36</v>
      </c>
      <c r="H367" s="51" cm="1">
        <f t="array" ref="H367">IFERROR(VLOOKUP(B367,ADP!A1:F671,6,FALSE)/1000000,VLOOKUP(B367,ADP!A1:F671,6,FALSE))</f>
        <v>1.5</v>
      </c>
      <c r="I367" s="52">
        <f>IF(Settings!$E$15="POINTS",((R367*Q367)*Settings!$B$12)+(S367*Settings!$B$2)+(T367*Settings!$B$3)+(U367*Settings!$B$4)+(V367*Settings!$B$5)+(X367*Settings!$B$9)+(AA367*Settings!$B$6)+(W367*Settings!$B$8)+(AB367*Settings!$B$7)+(AC367*Settings!$B$14)+(AD367*Settings!$B$15)+(AE367*Settings!$B$16)+(AF367*Settings!$B$17)+(AG367*Settings!$B$18)+(U367*Settings!$B$13)+(Y367*Settings!$B$10)+(Z367*Settings!$B$11),VLOOKUP(B367,'Standard Deviations'!A$1:C$672,3,FALSE))</f>
        <v>137.43862924022318</v>
      </c>
      <c r="J367" s="53" cm="1">
        <f t="array" ref="J367">IF(D367="G",I367/AJ367,I367/Q367)</f>
        <v>1.7693492869907397</v>
      </c>
      <c r="K367" s="52" cm="1">
        <f t="array" ref="K367">VLOOKUP(B367,D!A1:F204,6,FALSE)</f>
        <v>-169.21523810437088</v>
      </c>
      <c r="L367" s="54" cm="1">
        <f t="array" ref="L367">IFERROR(K367/H367,"N/A")</f>
        <v>-112.81015873624726</v>
      </c>
      <c r="M367" s="85" t="s">
        <v>832</v>
      </c>
      <c r="N367" s="85" t="str" cm="1">
        <f t="array" ref="N367">IFERROR(M367-A367,"N/A")</f>
        <v>N/A</v>
      </c>
      <c r="O367" s="55"/>
      <c r="P367" s="56" t="str" cm="1">
        <f t="array" ref="P367">_xlfn.XLOOKUP($B367,ADP!A2:A671,ADP!G2:G671)</f>
        <v xml:space="preserve"> </v>
      </c>
      <c r="Q367" s="57" cm="1">
        <f t="array" ref="Q367">IF(Settings!$E$12="YES",VLOOKUP(B367,'Player Data'!A1:E673,5,FALSE),84)</f>
        <v>77.677499999999995</v>
      </c>
      <c r="R367" s="55" cm="1">
        <f t="array" ref="R367">VLOOKUP(B367,'Player Data'!$A1:$AE673,6,FALSE)</f>
        <v>16.070077243649301</v>
      </c>
      <c r="S367" s="57" cm="1">
        <f t="array" ref="S367">VLOOKUP(B367,'Player Data'!$A1:$AE673,7,FALSE)*$Q367*IFERROR((VLOOKUP(P367,Settings!$E$28:$F$33,2,FALSE)+1),1)</f>
        <v>2.0646397171175916</v>
      </c>
      <c r="T367" s="57" cm="1">
        <f t="array" ref="T367">VLOOKUP(B367,'Player Data'!$A1:$AE673,8,FALSE)*$Q367*IFERROR((VLOOKUP(P367,Settings!$E$28:$F$33,2,FALSE)+1),1)</f>
        <v>11.464118091890073</v>
      </c>
      <c r="U367" s="57" cm="1">
        <f t="array" ref="U367">SUM(S367:T367)</f>
        <v>13.528757809007665</v>
      </c>
      <c r="V367" s="57" cm="1">
        <f t="array" ref="V367">VLOOKUP(B367,'Player Data'!$A1:$AE673,10,FALSE)*$Q367*IFERROR(((VLOOKUP(P367,Settings!$E$28:$F$33,2,FALSE)/2)+1),1)</f>
        <v>74.1123353382647</v>
      </c>
      <c r="W367" s="57" cm="1">
        <f t="array" ref="W367">VLOOKUP(B367,'Player Data'!$A1:$AE673,11,FALSE)*$Q367*IFERROR((VLOOKUP(P367,Settings!$E$28:$F$33,2,FALSE)+1),1)</f>
        <v>5.6139675255666615E-3</v>
      </c>
      <c r="X367" s="57" cm="1">
        <f t="array" ref="X367">VLOOKUP(B367,'Player Data'!$A1:$AE673,12,FALSE)*$Q367*IFERROR((VLOOKUP(P367,Settings!$E$28:$F$33,2,FALSE)+1),1)</f>
        <v>5.0436623677596999E-2</v>
      </c>
      <c r="Y367" s="57" cm="1">
        <f t="array" ref="Y367">VLOOKUP(B367,'Player Data'!$A1:$AE673,13,FALSE)*$Q367</f>
        <v>1.5279690439218887E-2</v>
      </c>
      <c r="Z367" s="57" cm="1">
        <f t="array" ref="Z367">VLOOKUP(B367,'Player Data'!$A1:$AE673,14,FALSE)*$Q367</f>
        <v>0.16539851765418589</v>
      </c>
      <c r="AA367" s="57" cm="1">
        <f t="array" ref="AA367">VLOOKUP(B367,'Player Data'!$A1:$AE673,15,FALSE)*$Q367</f>
        <v>119.16070600547212</v>
      </c>
      <c r="AB367" s="57" cm="1">
        <f t="array" ref="AB367">VLOOKUP(B367,'Player Data'!$A1:$AE673,16,FALSE)*$Q367</f>
        <v>181.37203807258936</v>
      </c>
      <c r="AC367" s="57" cm="1">
        <f t="array" ref="AC367">VLOOKUP(B367,'Player Data'!$A1:$AE673,17,FALSE)*$Q367*IFERROR((VLOOKUP(P367,Settings!$E$28:$F$33,2,FALSE)+1),1)</f>
        <v>3.060617710806488</v>
      </c>
      <c r="AD367" s="57" cm="1">
        <f t="array" ref="AD367">VLOOKUP(B367,'Player Data'!$A1:$AE673,18,FALSE)*$Q367</f>
        <v>62.216774337334165</v>
      </c>
      <c r="AE367" s="57" cm="1">
        <f t="array" ref="AE367">VLOOKUP(B367,'Player Data'!$A1:$AE673,19,FALSE)*$Q367*IFERROR((VLOOKUP(P367,Settings!$E$28:$F$33,2,FALSE)+1),1)</f>
        <v>0.34375377529916512</v>
      </c>
      <c r="AF367" s="57" cm="1">
        <f t="array" ref="AF367">VLOOKUP(B367,'Player Data'!$A1:$AE673,20,FALSE)*$Q367</f>
        <v>0</v>
      </c>
      <c r="AG367" s="57" cm="1">
        <f t="array" ref="AG367">VLOOKUP(B367,'Player Data'!$A1:$AE673,21,FALSE)*$Q367</f>
        <v>0</v>
      </c>
      <c r="AH367" s="59" cm="1">
        <f t="array" ref="AH367">VLOOKUP(B367,'Player Data'!$A1:$AE673,22,FALSE)</f>
        <v>0</v>
      </c>
      <c r="AI367" s="55"/>
      <c r="AJ367" s="57"/>
      <c r="AK367" s="57"/>
      <c r="AL367" s="57"/>
      <c r="AM367" s="57"/>
      <c r="AN367" s="57"/>
      <c r="AO367" s="57"/>
      <c r="AP367" s="57"/>
      <c r="AQ367" s="60"/>
      <c r="AR367" s="61"/>
      <c r="AS367" s="55"/>
    </row>
    <row r="368" spans="1:45" ht="21.25" customHeight="1" x14ac:dyDescent="0.15">
      <c r="A368" s="62">
        <f t="shared" si="5"/>
        <v>367</v>
      </c>
      <c r="B368" s="10" t="s">
        <v>496</v>
      </c>
      <c r="C368" s="76"/>
      <c r="D368" s="48" t="str" cm="1">
        <f t="array" ref="D368">VLOOKUP(B368,'Player Data'!A1:D673,4,FALSE)</f>
        <v>G</v>
      </c>
      <c r="E368" s="77" cm="1">
        <f t="array" ref="E368">VLOOKUP(B368,G!A1:D66,3,FALSE)</f>
        <v>39</v>
      </c>
      <c r="F368" s="69" t="str" cm="1">
        <f t="array" ref="F368">VLOOKUP(B368,'Player Data'!A1:B673,2,FALSE)</f>
        <v>N.J</v>
      </c>
      <c r="G368" s="11" cm="1">
        <f t="array" ref="G368">VLOOKUP(B368,'Player Data'!A1:D673,3,FALSE)</f>
        <v>25</v>
      </c>
      <c r="H368" s="51" cm="1">
        <f t="array" ref="H368">IFERROR(VLOOKUP(B368,ADP!A1:F671,6,FALSE)/1000000,VLOOKUP(B368,ADP!A1:F671,6,FALSE))</f>
        <v>1.1000000000000001</v>
      </c>
      <c r="I368" s="52">
        <f>IF(Settings!$E$15="POINTS",(AJ368*Settings!$B$29)+(AK368*Settings!$B$21)+(AL368*Settings!$B$22)+(AN368*Settings!$B$24)+(AO368*Settings!$B$25)+(AP368*Settings!$B$27)+(AM368*Settings!$B$23),VLOOKUP(B368,'Standard Deviations'!A$1:C$672,3,FALSE))</f>
        <v>189.92241176772387</v>
      </c>
      <c r="J368" s="53" cm="1">
        <f t="array" ref="J368">IF(D368="G",I368/AJ368,I368/Q368)</f>
        <v>5.4263546219349674</v>
      </c>
      <c r="K368" s="52" cm="1">
        <f t="array" ref="K368">VLOOKUP(B368,G!A1:F66,6,FALSE)</f>
        <v>-169.23549616251415</v>
      </c>
      <c r="L368" s="54" cm="1">
        <f t="array" ref="L368">IFERROR(K368/H368,"N/A")</f>
        <v>-153.85045105683105</v>
      </c>
      <c r="M368" s="85" t="s">
        <v>832</v>
      </c>
      <c r="N368" s="85" t="str" cm="1">
        <f t="array" ref="N368">IFERROR(M368-A368,"N/A")</f>
        <v>N/A</v>
      </c>
      <c r="O368" s="55"/>
      <c r="P368" s="56" t="str" cm="1">
        <f t="array" ref="P368">_xlfn.XLOOKUP($B368,ADP!A2:A671,ADP!G2:G671)</f>
        <v xml:space="preserve"> </v>
      </c>
      <c r="Q368" s="57"/>
      <c r="R368" s="55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9"/>
      <c r="AI368" s="55"/>
      <c r="AJ368" s="78" cm="1">
        <f t="array" ref="AJ368">VLOOKUP(B368,'Player Data'!$A1:$AE673,24,FALSE)</f>
        <v>35</v>
      </c>
      <c r="AK368" s="57" cm="1">
        <f t="array" ref="AK368">VLOOKUP(B368,'Player Data'!$A1:$AE673,25,FALSE)*$AJ368*IFERROR((VLOOKUP(P368,Settings!$E$28:$F$33,2,FALSE)+1),1)</f>
        <v>17.356772286365189</v>
      </c>
      <c r="AL368" s="57" cm="1">
        <f t="array" ref="AL368">AJ368-AK368-AM368</f>
        <v>13.232420785226125</v>
      </c>
      <c r="AM368" s="57" cm="1">
        <f t="array" ref="AM368">VLOOKUP(B368,'Player Data'!$A1:$AE673,27,FALSE)*$AJ368</f>
        <v>4.410806928408685</v>
      </c>
      <c r="AN368" s="57" cm="1">
        <f t="array" ref="AN368">VLOOKUP(B368,'Player Data'!$A1:$AE673,28,FALSE)*AJ368</f>
        <v>1.910947218958631</v>
      </c>
      <c r="AO368" s="57" cm="1">
        <f t="array" ref="AO368">VLOOKUP(B368,'Player Data'!$A1:$AE673,29,FALSE)*$AJ368*IFERROR((VLOOKUP(P368,Settings!$E$28:$F$33,2,FALSE)/4)+1,1)</f>
        <v>866.15345619410641</v>
      </c>
      <c r="AP368" s="57" cm="1">
        <f t="array" ref="AP368">VLOOKUP(B368,'Player Data'!$A1:$AE673,31,FALSE)*$AJ368*(IFERROR(1-(VLOOKUP(P368,Settings!$E$28:$F$33,2,FALSE)/4),1))</f>
        <v>99.045193469127852</v>
      </c>
      <c r="AQ368" s="60" cm="1">
        <f t="array" ref="AQ368">1-(AP368/(AO368+AP368))</f>
        <v>0.89738361786593301</v>
      </c>
      <c r="AR368" s="61" cm="1">
        <f t="array" ref="AR368">AP368/AJ368</f>
        <v>2.8298626705465102</v>
      </c>
      <c r="AS368" s="55"/>
    </row>
    <row r="369" spans="1:45" ht="21.25" customHeight="1" x14ac:dyDescent="0.15">
      <c r="A369" s="62">
        <f t="shared" si="5"/>
        <v>368</v>
      </c>
      <c r="B369" s="10" t="s">
        <v>497</v>
      </c>
      <c r="C369" s="47" t="s">
        <v>147</v>
      </c>
      <c r="D369" s="48" t="str" cm="1">
        <f t="array" ref="D369">VLOOKUP(B369,'Player Data'!A1:D673,4,FALSE)</f>
        <v>LW,RW</v>
      </c>
      <c r="E369" s="74" cm="1">
        <f t="array" ref="E369">VLOOKUP(B369,RW!A1:F210,3,FALSE)</f>
        <v>97</v>
      </c>
      <c r="F369" s="65" t="str" cm="1">
        <f t="array" ref="F369">VLOOKUP(B369,'Player Data'!A1:B673,2,FALSE)</f>
        <v>NSH</v>
      </c>
      <c r="G369" s="66" cm="1">
        <f t="array" ref="G369">VLOOKUP(B369,'Player Data'!A1:D673,3,FALSE)</f>
        <v>35</v>
      </c>
      <c r="H369" s="51" cm="1">
        <f t="array" ref="H369">IFERROR(VLOOKUP(B369,ADP!A1:F671,6,FALSE)/1000000,VLOOKUP(B369,ADP!A1:F671,6,FALSE))</f>
        <v>5.5</v>
      </c>
      <c r="I369" s="52">
        <f>IF(Settings!$E$15="POINTS",((R369*Q369)*Settings!$B$12)+(S369*Settings!$B$2)+(T369*Settings!$B$3)+(U369*Settings!$B$4)+(V369*Settings!$B$5)+(X369*Settings!$B$9)+(AA369*Settings!$B$6)+(W369*Settings!$B$8)+(AB369*Settings!$B$7)+(AC369*Settings!$B$14)+(AD369*Settings!$B$15)+(AE369*Settings!$B$16)+(AF369*Settings!$B$17)+(AG369*Settings!$B$18)+(Y369*Settings!$B$10)+(Z369*Settings!$B$11),VLOOKUP(B369,'Standard Deviations'!A$1:C$672,3,FALSE))</f>
        <v>225.10089917070135</v>
      </c>
      <c r="J369" s="53" cm="1">
        <f t="array" ref="J369">IF(D369="G",I369/AJ369,I369/Q369)</f>
        <v>2.8162254368910462</v>
      </c>
      <c r="K369" s="52" cm="1">
        <f t="array" ref="K369">IF(Settings!$E$18="C/LW/RW",VLOOKUP(B369,RW!A1:F210,6,FALSE),VLOOKUP(B369,F!A1:F407,6,FALSE))</f>
        <v>-169.84256552285612</v>
      </c>
      <c r="L369" s="54" cm="1">
        <f t="array" ref="L369">IFERROR(K369/H369,"N/A")</f>
        <v>-30.880466458701111</v>
      </c>
      <c r="M369" s="85" t="s">
        <v>832</v>
      </c>
      <c r="N369" s="85" t="str" cm="1">
        <f t="array" ref="N369">IFERROR(M369-A369,"N/A")</f>
        <v>N/A</v>
      </c>
      <c r="O369" s="55"/>
      <c r="P369" s="56" t="str" cm="1">
        <f t="array" ref="P369">_xlfn.XLOOKUP($B369,ADP!A2:A671,ADP!G2:G671)</f>
        <v xml:space="preserve"> </v>
      </c>
      <c r="Q369" s="57" cm="1">
        <f t="array" ref="Q369">IF(Settings!$E$12="YES",VLOOKUP(B369,'Player Data'!A1:E673,5,FALSE),84)</f>
        <v>79.930000000000007</v>
      </c>
      <c r="R369" s="84" cm="1">
        <f t="array" ref="R369">VLOOKUP(B369,'Player Data'!$A1:$AE673,6,FALSE)</f>
        <v>15.413712890181801</v>
      </c>
      <c r="S369" s="57" cm="1">
        <f t="array" ref="S369">VLOOKUP(B369,'Player Data'!$A1:$AE673,7,FALSE)*$Q369*IFERROR((VLOOKUP(P369,Settings!$E$28:$F$33,2,FALSE)+1),1)</f>
        <v>16.77997337748311</v>
      </c>
      <c r="T369" s="57" cm="1">
        <f t="array" ref="T369">VLOOKUP(B369,'Player Data'!$A1:$AE673,8,FALSE)*$Q369*IFERROR((VLOOKUP(P369,Settings!$E$28:$F$33,2,FALSE)+1),1)</f>
        <v>23.345377119832918</v>
      </c>
      <c r="U369" s="57" cm="1">
        <f t="array" ref="U369">SUM(S369:T369)</f>
        <v>40.125350497316028</v>
      </c>
      <c r="V369" s="57" cm="1">
        <f t="array" ref="V369">VLOOKUP(B369,'Player Data'!$A1:$AE673,10,FALSE)*$Q369*IFERROR(((VLOOKUP(P369,Settings!$E$28:$F$33,2,FALSE)/2)+1),1)</f>
        <v>168.81197693036941</v>
      </c>
      <c r="W369" s="57" cm="1">
        <f t="array" ref="W369">VLOOKUP(B369,'Player Data'!$A1:$AE673,11,FALSE)*$Q369*IFERROR((VLOOKUP(P369,Settings!$E$28:$F$33,2,FALSE)+1),1)</f>
        <v>3.8358778733817256</v>
      </c>
      <c r="X369" s="79" cm="1">
        <f t="array" ref="X369">VLOOKUP(B369,'Player Data'!$A1:$AE673,12,FALSE)*$Q369*IFERROR((VLOOKUP(P369,Settings!$E$28:$F$33,2,FALSE)+1),1)</f>
        <v>11.26724763673556</v>
      </c>
      <c r="Y369" s="57" cm="1">
        <f t="array" ref="Y369">VLOOKUP(B369,'Player Data'!$A1:$AE673,13,FALSE)*$Q369</f>
        <v>9.7300906185908745E-4</v>
      </c>
      <c r="Z369" s="57" cm="1">
        <f t="array" ref="Z369">VLOOKUP(B369,'Player Data'!$A1:$AE673,14,FALSE)*$Q369</f>
        <v>1.6231375599793801E-3</v>
      </c>
      <c r="AA369" s="57" cm="1">
        <f t="array" ref="AA369">VLOOKUP(B369,'Player Data'!$A1:$AE673,15,FALSE)*$Q369</f>
        <v>18.099976878546048</v>
      </c>
      <c r="AB369" s="57" cm="1">
        <f t="array" ref="AB369">VLOOKUP(B369,'Player Data'!$A1:$AE673,16,FALSE)*$Q369</f>
        <v>82.97348172831974</v>
      </c>
      <c r="AC369" s="57" cm="1">
        <f t="array" ref="AC369">VLOOKUP(B369,'Player Data'!$A1:$AE673,17,FALSE)*$Q369*IFERROR((VLOOKUP(P369,Settings!$E$28:$F$33,2,FALSE)+1),1)</f>
        <v>-4.4947002467131068</v>
      </c>
      <c r="AD369" s="57" cm="1">
        <f t="array" ref="AD369">VLOOKUP(B369,'Player Data'!$A1:$AE673,18,FALSE)*$Q369</f>
        <v>29.898988083356627</v>
      </c>
      <c r="AE369" s="57" cm="1">
        <f t="array" ref="AE369">VLOOKUP(B369,'Player Data'!$A1:$AE673,19,FALSE)*$Q369*IFERROR((VLOOKUP(P369,Settings!$E$28:$F$33,2,FALSE)+1),1)</f>
        <v>2.3244460901266524</v>
      </c>
      <c r="AF369" s="57" cm="1">
        <f t="array" ref="AF369">VLOOKUP(B369,'Player Data'!$A1:$AE673,20,FALSE)*$Q369</f>
        <v>13.97393954080357</v>
      </c>
      <c r="AG369" s="57" cm="1">
        <f t="array" ref="AG369">VLOOKUP(B369,'Player Data'!$A1:$AE673,21,FALSE)*$Q369</f>
        <v>32.027601500747991</v>
      </c>
      <c r="AH369" s="59" cm="1">
        <f t="array" ref="AH369">VLOOKUP(B369,'Player Data'!$A1:$AE673,22,FALSE)</f>
        <v>0.303771117758455</v>
      </c>
      <c r="AI369" s="55"/>
      <c r="AJ369" s="57"/>
      <c r="AK369" s="57"/>
      <c r="AL369" s="57"/>
      <c r="AM369" s="57"/>
      <c r="AN369" s="57"/>
      <c r="AO369" s="57"/>
      <c r="AP369" s="57"/>
      <c r="AQ369" s="60"/>
      <c r="AR369" s="61"/>
      <c r="AS369" s="55"/>
    </row>
    <row r="370" spans="1:45" ht="21.25" customHeight="1" x14ac:dyDescent="0.15">
      <c r="A370" s="62">
        <f t="shared" si="5"/>
        <v>369</v>
      </c>
      <c r="B370" s="10" t="s">
        <v>498</v>
      </c>
      <c r="C370" s="47" t="s">
        <v>147</v>
      </c>
      <c r="D370" s="48" t="str" cm="1">
        <f t="array" ref="D370">VLOOKUP(B370,'Player Data'!A1:D673,4,FALSE)</f>
        <v>RW</v>
      </c>
      <c r="E370" s="64" cm="1">
        <f t="array" ref="E370">VLOOKUP(B370,RW!A1:F210,3,FALSE)</f>
        <v>98</v>
      </c>
      <c r="F370" s="69" t="str" cm="1">
        <f t="array" ref="F370">VLOOKUP(B370,'Player Data'!A1:B673,2,FALSE)</f>
        <v>CBJ</v>
      </c>
      <c r="G370" s="11" cm="1">
        <f t="array" ref="G370">VLOOKUP(B370,'Player Data'!A1:D673,3,FALSE)</f>
        <v>30</v>
      </c>
      <c r="H370" s="51" cm="1">
        <f t="array" ref="H370">IFERROR(VLOOKUP(B370,ADP!A1:F671,6,FALSE)/1000000,VLOOKUP(B370,ADP!A1:F671,6,FALSE))</f>
        <v>6</v>
      </c>
      <c r="I370" s="52">
        <f>IF(Settings!$E$15="POINTS",((R370*Q370)*Settings!$B$12)+(S370*Settings!$B$2)+(T370*Settings!$B$3)+(U370*Settings!$B$4)+(V370*Settings!$B$5)+(X370*Settings!$B$9)+(AA370*Settings!$B$6)+(W370*Settings!$B$8)+(AB370*Settings!$B$7)+(AC370*Settings!$B$14)+(AD370*Settings!$B$15)+(AE370*Settings!$B$16)+(AF370*Settings!$B$17)+(AG370*Settings!$B$18)+(Y370*Settings!$B$10)+(Z370*Settings!$B$11),VLOOKUP(B370,'Standard Deviations'!A$1:C$672,3,FALSE))</f>
        <v>225.06820385096373</v>
      </c>
      <c r="J370" s="53" cm="1">
        <f t="array" ref="J370">IF(D370="G",I370/AJ370,I370/Q370)</f>
        <v>2.7467440059917467</v>
      </c>
      <c r="K370" s="52" cm="1">
        <f t="array" ref="K370">IF(Settings!$E$18="C/LW/RW",VLOOKUP(B370,RW!A1:F210,6,FALSE),VLOOKUP(B370,F!A1:F407,6,FALSE))</f>
        <v>-169.87526084259375</v>
      </c>
      <c r="L370" s="54" cm="1">
        <f t="array" ref="L370">IFERROR(K370/H370,"N/A")</f>
        <v>-28.312543473765626</v>
      </c>
      <c r="M370" s="85" t="s">
        <v>832</v>
      </c>
      <c r="N370" s="85" t="str" cm="1">
        <f t="array" ref="N370">IFERROR(M370-A370,"N/A")</f>
        <v>N/A</v>
      </c>
      <c r="O370" s="55"/>
      <c r="P370" s="56" t="str" cm="1">
        <f t="array" ref="P370">_xlfn.XLOOKUP($B370,ADP!A2:A671,ADP!G2:G671)</f>
        <v xml:space="preserve"> </v>
      </c>
      <c r="Q370" s="57" cm="1">
        <f t="array" ref="Q370">IF(Settings!$E$12="YES",VLOOKUP(B370,'Player Data'!A1:E673,5,FALSE),84)</f>
        <v>81.94</v>
      </c>
      <c r="R370" s="55" cm="1">
        <f t="array" ref="R370">VLOOKUP(B370,'Player Data'!$A1:$AE673,6,FALSE)</f>
        <v>16.573759557033</v>
      </c>
      <c r="S370" s="57" cm="1">
        <f t="array" ref="S370">VLOOKUP(B370,'Player Data'!$A1:$AE673,7,FALSE)*$Q370*IFERROR((VLOOKUP(P370,Settings!$E$28:$F$33,2,FALSE)+1),1)</f>
        <v>14.857315024602562</v>
      </c>
      <c r="T370" s="57" cm="1">
        <f t="array" ref="T370">VLOOKUP(B370,'Player Data'!$A1:$AE673,8,FALSE)*$Q370*IFERROR((VLOOKUP(P370,Settings!$E$28:$F$33,2,FALSE)+1),1)</f>
        <v>23.710230352891493</v>
      </c>
      <c r="U370" s="57" cm="1">
        <f t="array" ref="U370">SUM(S370:T370)</f>
        <v>38.567545377494056</v>
      </c>
      <c r="V370" s="57" cm="1">
        <f t="array" ref="V370">VLOOKUP(B370,'Player Data'!$A1:$AE673,10,FALSE)*$Q370*IFERROR(((VLOOKUP(P370,Settings!$E$28:$F$33,2,FALSE)/2)+1),1)</f>
        <v>158.28559607822473</v>
      </c>
      <c r="W370" s="57" cm="1">
        <f t="array" ref="W370">VLOOKUP(B370,'Player Data'!$A1:$AE673,11,FALSE)*$Q370*IFERROR((VLOOKUP(P370,Settings!$E$28:$F$33,2,FALSE)+1),1)</f>
        <v>2.6970119365359557</v>
      </c>
      <c r="X370" s="57" cm="1">
        <f t="array" ref="X370">VLOOKUP(B370,'Player Data'!$A1:$AE673,12,FALSE)*$Q370*IFERROR((VLOOKUP(P370,Settings!$E$28:$F$33,2,FALSE)+1),1)</f>
        <v>8.7286593465186169</v>
      </c>
      <c r="Y370" s="57" cm="1">
        <f t="array" ref="Y370">VLOOKUP(B370,'Player Data'!$A1:$AE673,13,FALSE)*$Q370</f>
        <v>0.14311241413203346</v>
      </c>
      <c r="Z370" s="57" cm="1">
        <f t="array" ref="Z370">VLOOKUP(B370,'Player Data'!$A1:$AE673,14,FALSE)*$Q370</f>
        <v>0.23964322063920895</v>
      </c>
      <c r="AA370" s="57" cm="1">
        <f t="array" ref="AA370">VLOOKUP(B370,'Player Data'!$A1:$AE673,15,FALSE)*$Q370</f>
        <v>42.508934224422767</v>
      </c>
      <c r="AB370" s="57" cm="1">
        <f t="array" ref="AB370">VLOOKUP(B370,'Player Data'!$A1:$AE673,16,FALSE)*$Q370</f>
        <v>54.153722697904364</v>
      </c>
      <c r="AC370" s="57" cm="1">
        <f t="array" ref="AC370">VLOOKUP(B370,'Player Data'!$A1:$AE673,17,FALSE)*$Q370*IFERROR((VLOOKUP(P370,Settings!$E$28:$F$33,2,FALSE)+1),1)</f>
        <v>1.4059991941403525</v>
      </c>
      <c r="AD370" s="57" cm="1">
        <f t="array" ref="AD370">VLOOKUP(B370,'Player Data'!$A1:$AE673,18,FALSE)*$Q370</f>
        <v>35.633469480567932</v>
      </c>
      <c r="AE370" s="57" cm="1">
        <f t="array" ref="AE370">VLOOKUP(B370,'Player Data'!$A1:$AE673,19,FALSE)*$Q370*IFERROR((VLOOKUP(P370,Settings!$E$28:$F$33,2,FALSE)+1),1)</f>
        <v>2.3941261160883331</v>
      </c>
      <c r="AF370" s="57" cm="1">
        <f t="array" ref="AF370">VLOOKUP(B370,'Player Data'!$A1:$AE673,20,FALSE)*$Q370</f>
        <v>9.3876476264865136</v>
      </c>
      <c r="AG370" s="57" cm="1">
        <f t="array" ref="AG370">VLOOKUP(B370,'Player Data'!$A1:$AE673,21,FALSE)*$Q370</f>
        <v>20.235168453784102</v>
      </c>
      <c r="AH370" s="59" cm="1">
        <f t="array" ref="AH370">VLOOKUP(B370,'Player Data'!$A1:$AE673,22,FALSE)</f>
        <v>0.31690598223505401</v>
      </c>
      <c r="AI370" s="55"/>
      <c r="AJ370" s="57"/>
      <c r="AK370" s="57"/>
      <c r="AL370" s="57"/>
      <c r="AM370" s="57"/>
      <c r="AN370" s="57"/>
      <c r="AO370" s="57"/>
      <c r="AP370" s="57"/>
      <c r="AQ370" s="60"/>
      <c r="AR370" s="61"/>
      <c r="AS370" s="55"/>
    </row>
    <row r="371" spans="1:45" ht="21.25" customHeight="1" x14ac:dyDescent="0.15">
      <c r="A371" s="62">
        <f t="shared" si="5"/>
        <v>370</v>
      </c>
      <c r="B371" s="10" t="s">
        <v>499</v>
      </c>
      <c r="C371" s="47" t="s">
        <v>147</v>
      </c>
      <c r="D371" s="48" t="str" cm="1">
        <f t="array" ref="D371">VLOOKUP(B371,'Player Data'!A1:D673,4,FALSE)</f>
        <v>LW,RW</v>
      </c>
      <c r="E371" s="74" cm="1">
        <f t="array" ref="E371">VLOOKUP(B371,RW!A1:F210,3,FALSE)</f>
        <v>99</v>
      </c>
      <c r="F371" s="56" t="str" cm="1">
        <f t="array" ref="F371">VLOOKUP(B371,'Player Data'!A1:B673,2,FALSE)</f>
        <v>S.J</v>
      </c>
      <c r="G371" s="66" cm="1">
        <f t="array" ref="G371">VLOOKUP(B371,'Player Data'!A1:D673,3,FALSE)</f>
        <v>34</v>
      </c>
      <c r="H371" s="51" cm="1">
        <f t="array" ref="H371">IFERROR(VLOOKUP(B371,ADP!A1:F671,6,FALSE)/1000000,VLOOKUP(B371,ADP!A1:F671,6,FALSE))</f>
        <v>6</v>
      </c>
      <c r="I371" s="52">
        <f>IF(Settings!$E$15="POINTS",((R371*Q371)*Settings!$B$12)+(S371*Settings!$B$2)+(T371*Settings!$B$3)+(U371*Settings!$B$4)+(V371*Settings!$B$5)+(X371*Settings!$B$9)+(AA371*Settings!$B$6)+(W371*Settings!$B$8)+(AB371*Settings!$B$7)+(AC371*Settings!$B$14)+(AD371*Settings!$B$15)+(AE371*Settings!$B$16)+(AF371*Settings!$B$17)+(AG371*Settings!$B$18)+(Y371*Settings!$B$10)+(Z371*Settings!$B$11),VLOOKUP(B371,'Standard Deviations'!A$1:C$672,3,FALSE))</f>
        <v>224.99141928825057</v>
      </c>
      <c r="J371" s="53" cm="1">
        <f t="array" ref="J371">IF(D371="G",I371/AJ371,I371/Q371)</f>
        <v>2.7223015734081564</v>
      </c>
      <c r="K371" s="52" cm="1">
        <f t="array" ref="K371">IF(Settings!$E$18="C/LW/RW",VLOOKUP(B371,RW!A1:F210,6,FALSE),VLOOKUP(B371,F!A1:F407,6,FALSE))</f>
        <v>-169.9520454053069</v>
      </c>
      <c r="L371" s="54" cm="1">
        <f t="array" ref="L371">IFERROR(K371/H371,"N/A")</f>
        <v>-28.325340900884484</v>
      </c>
      <c r="M371" s="85" t="s">
        <v>832</v>
      </c>
      <c r="N371" s="85" t="str" cm="1">
        <f t="array" ref="N371">IFERROR(M371-A371,"N/A")</f>
        <v>N/A</v>
      </c>
      <c r="O371" s="55"/>
      <c r="P371" s="56" t="str" cm="1">
        <f t="array" ref="P371">_xlfn.XLOOKUP($B371,ADP!A2:A671,ADP!G2:G671)</f>
        <v xml:space="preserve"> </v>
      </c>
      <c r="Q371" s="57" cm="1">
        <f t="array" ref="Q371">IF(Settings!$E$12="YES",VLOOKUP(B371,'Player Data'!A1:E673,5,FALSE),84)</f>
        <v>82.647499999999994</v>
      </c>
      <c r="R371" s="84" cm="1">
        <f t="array" ref="R371">VLOOKUP(B371,'Player Data'!$A1:$AE673,6,FALSE)</f>
        <v>13.538540029963899</v>
      </c>
      <c r="S371" s="57" cm="1">
        <f t="array" ref="S371">VLOOKUP(B371,'Player Data'!$A1:$AE673,7,FALSE)*$Q371*IFERROR((VLOOKUP(P371,Settings!$E$28:$F$33,2,FALSE)+1),1)</f>
        <v>19.851230653673866</v>
      </c>
      <c r="T371" s="57" cm="1">
        <f t="array" ref="T371">VLOOKUP(B371,'Player Data'!$A1:$AE673,8,FALSE)*$Q371*IFERROR((VLOOKUP(P371,Settings!$E$28:$F$33,2,FALSE)+1),1)</f>
        <v>21.106441365717856</v>
      </c>
      <c r="U371" s="57" cm="1">
        <f t="array" ref="U371">SUM(S371:T371)</f>
        <v>40.957672019391723</v>
      </c>
      <c r="V371" s="57" cm="1">
        <f t="array" ref="V371">VLOOKUP(B371,'Player Data'!$A1:$AE673,10,FALSE)*$Q371*IFERROR(((VLOOKUP(P371,Settings!$E$28:$F$33,2,FALSE)/2)+1),1)</f>
        <v>159.48952178095533</v>
      </c>
      <c r="W371" s="57" cm="1">
        <f t="array" ref="W371">VLOOKUP(B371,'Player Data'!$A1:$AE673,11,FALSE)*$Q371*IFERROR((VLOOKUP(P371,Settings!$E$28:$F$33,2,FALSE)+1),1)</f>
        <v>3.1672277325313862</v>
      </c>
      <c r="X371" s="57" cm="1">
        <f t="array" ref="X371">VLOOKUP(B371,'Player Data'!$A1:$AE673,12,FALSE)*$Q371*IFERROR((VLOOKUP(P371,Settings!$E$28:$F$33,2,FALSE)+1),1)</f>
        <v>7.2800452721164337</v>
      </c>
      <c r="Y371" s="57" cm="1">
        <f t="array" ref="Y371">VLOOKUP(B371,'Player Data'!$A1:$AE673,13,FALSE)*$Q371</f>
        <v>1.6368752403944896E-3</v>
      </c>
      <c r="Z371" s="57" cm="1">
        <f t="array" ref="Z371">VLOOKUP(B371,'Player Data'!$A1:$AE673,14,FALSE)*$Q371</f>
        <v>2.6445725795730618E-3</v>
      </c>
      <c r="AA371" s="57" cm="1">
        <f t="array" ref="AA371">VLOOKUP(B371,'Player Data'!$A1:$AE673,15,FALSE)*$Q371</f>
        <v>30.181904989803453</v>
      </c>
      <c r="AB371" s="57" cm="1">
        <f t="array" ref="AB371">VLOOKUP(B371,'Player Data'!$A1:$AE673,16,FALSE)*$Q371</f>
        <v>54.993875292133552</v>
      </c>
      <c r="AC371" s="57" cm="1">
        <f t="array" ref="AC371">VLOOKUP(B371,'Player Data'!$A1:$AE673,17,FALSE)*$Q371*IFERROR((VLOOKUP(P371,Settings!$E$28:$F$33,2,FALSE)+1),1)</f>
        <v>-2.1998580274724939</v>
      </c>
      <c r="AD371" s="57" cm="1">
        <f t="array" ref="AD371">VLOOKUP(B371,'Player Data'!$A1:$AE673,18,FALSE)*$Q371</f>
        <v>14.160032679488321</v>
      </c>
      <c r="AE371" s="57" cm="1">
        <f t="array" ref="AE371">VLOOKUP(B371,'Player Data'!$A1:$AE673,19,FALSE)*$Q371*IFERROR((VLOOKUP(P371,Settings!$E$28:$F$33,2,FALSE)+1),1)</f>
        <v>2.7757884205450067</v>
      </c>
      <c r="AF371" s="57" cm="1">
        <f t="array" ref="AF371">VLOOKUP(B371,'Player Data'!$A1:$AE673,20,FALSE)*$Q371</f>
        <v>10.654204639664652</v>
      </c>
      <c r="AG371" s="57" cm="1">
        <f t="array" ref="AG371">VLOOKUP(B371,'Player Data'!$A1:$AE673,21,FALSE)*$Q371</f>
        <v>16.219899845012428</v>
      </c>
      <c r="AH371" s="59" cm="1">
        <f t="array" ref="AH371">VLOOKUP(B371,'Player Data'!$A1:$AE673,22,FALSE)</f>
        <v>0.39644873174246098</v>
      </c>
      <c r="AI371" s="55"/>
      <c r="AJ371" s="57"/>
      <c r="AK371" s="57"/>
      <c r="AL371" s="57"/>
      <c r="AM371" s="57"/>
      <c r="AN371" s="57"/>
      <c r="AO371" s="57"/>
      <c r="AP371" s="57"/>
      <c r="AQ371" s="60"/>
      <c r="AR371" s="61"/>
      <c r="AS371" s="55"/>
    </row>
    <row r="372" spans="1:45" ht="21.25" customHeight="1" x14ac:dyDescent="0.15">
      <c r="A372" s="62">
        <f t="shared" si="5"/>
        <v>371</v>
      </c>
      <c r="B372" s="10" t="s">
        <v>500</v>
      </c>
      <c r="C372" s="47" t="s">
        <v>147</v>
      </c>
      <c r="D372" s="48" t="str" cm="1">
        <f t="array" ref="D372">VLOOKUP(B372,'Player Data'!A1:D673,4,FALSE)</f>
        <v>LW,RW</v>
      </c>
      <c r="E372" s="74" cm="1">
        <f t="array" ref="E372">VLOOKUP(B372,RW!A1:F210,3,FALSE)</f>
        <v>100</v>
      </c>
      <c r="F372" s="72" t="str" cm="1">
        <f t="array" ref="F372">VLOOKUP(B372,'Player Data'!A1:B673,2,FALSE)</f>
        <v>PIT</v>
      </c>
      <c r="G372" s="11" cm="1">
        <f t="array" ref="G372">VLOOKUP(B372,'Player Data'!A1:D673,3,FALSE)</f>
        <v>25</v>
      </c>
      <c r="H372" s="51" cm="1">
        <f t="array" ref="H372">IFERROR(VLOOKUP(B372,ADP!A1:F671,6,FALSE)/1000000,VLOOKUP(B372,ADP!A1:F671,6,FALSE))</f>
        <v>6.25</v>
      </c>
      <c r="I372" s="52">
        <f>IF(Settings!$E$15="POINTS",((R372*Q372)*Settings!$B$12)+(S372*Settings!$B$2)+(T372*Settings!$B$3)+(U372*Settings!$B$4)+(V372*Settings!$B$5)+(X372*Settings!$B$9)+(AA372*Settings!$B$6)+(W372*Settings!$B$8)+(AB372*Settings!$B$7)+(AC372*Settings!$B$14)+(AD372*Settings!$B$15)+(AE372*Settings!$B$16)+(AF372*Settings!$B$17)+(AG372*Settings!$B$18)+(Y372*Settings!$B$10)+(Z372*Settings!$B$11),VLOOKUP(B372,'Standard Deviations'!A$1:C$672,3,FALSE))</f>
        <v>224.38293977864012</v>
      </c>
      <c r="J372" s="53" cm="1">
        <f t="array" ref="J372">IF(D372="G",I372/AJ372,I372/Q372)</f>
        <v>3.1075817433507393</v>
      </c>
      <c r="K372" s="52" cm="1">
        <f t="array" ref="K372">IF(Settings!$E$18="C/LW/RW",VLOOKUP(B372,RW!A1:F210,6,FALSE),VLOOKUP(B372,F!A1:F407,6,FALSE))</f>
        <v>-170.56052491491735</v>
      </c>
      <c r="L372" s="54" cm="1">
        <f t="array" ref="L372">IFERROR(K372/H372,"N/A")</f>
        <v>-27.289683986386777</v>
      </c>
      <c r="M372" s="55">
        <v>129.69999999999999</v>
      </c>
      <c r="N372" s="55" cm="1">
        <f t="array" ref="N372">IFERROR(M372-A372,"N/A")</f>
        <v>-241.3</v>
      </c>
      <c r="O372" s="55"/>
      <c r="P372" s="56" t="str" cm="1">
        <f t="array" ref="P372">_xlfn.XLOOKUP($B372,ADP!A2:A671,ADP!G2:G671)</f>
        <v xml:space="preserve"> </v>
      </c>
      <c r="Q372" s="57" cm="1">
        <f t="array" ref="Q372">IF(Settings!$E$12="YES",VLOOKUP(B372,'Player Data'!A1:E673,5,FALSE),84)</f>
        <v>72.204999999999998</v>
      </c>
      <c r="R372" s="82" cm="1">
        <f t="array" ref="R372">VLOOKUP(B372,'Player Data'!$A1:$AE673,6,FALSE)</f>
        <v>15.0126293838167</v>
      </c>
      <c r="S372" s="57" cm="1">
        <f t="array" ref="S372">VLOOKUP(B372,'Player Data'!$A1:$AE673,7,FALSE)*$Q372*IFERROR((VLOOKUP(P372,Settings!$E$28:$F$33,2,FALSE)+1),1)</f>
        <v>20.563578396572243</v>
      </c>
      <c r="T372" s="57" cm="1">
        <f t="array" ref="T372">VLOOKUP(B372,'Player Data'!$A1:$AE673,8,FALSE)*$Q372*IFERROR((VLOOKUP(P372,Settings!$E$28:$F$33,2,FALSE)+1),1)</f>
        <v>21.650107357608757</v>
      </c>
      <c r="U372" s="57" cm="1">
        <f t="array" ref="U372">SUM(S372:T372)</f>
        <v>42.213685754181</v>
      </c>
      <c r="V372" s="57" cm="1">
        <f t="array" ref="V372">VLOOKUP(B372,'Player Data'!$A1:$AE673,10,FALSE)*$Q372*IFERROR(((VLOOKUP(P372,Settings!$E$28:$F$33,2,FALSE)/2)+1),1)</f>
        <v>151.06548834559763</v>
      </c>
      <c r="W372" s="57" cm="1">
        <f t="array" ref="W372">VLOOKUP(B372,'Player Data'!$A1:$AE673,11,FALSE)*$Q372*IFERROR((VLOOKUP(P372,Settings!$E$28:$F$33,2,FALSE)+1),1)</f>
        <v>2.2258173337878286</v>
      </c>
      <c r="X372" s="57" cm="1">
        <f t="array" ref="X372">VLOOKUP(B372,'Player Data'!$A1:$AE673,12,FALSE)*$Q372*IFERROR((VLOOKUP(P372,Settings!$E$28:$F$33,2,FALSE)+1),1)</f>
        <v>5.7229943986624914</v>
      </c>
      <c r="Y372" s="57" cm="1">
        <f t="array" ref="Y372">VLOOKUP(B372,'Player Data'!$A1:$AE673,13,FALSE)*$Q372</f>
        <v>7.9129666148597996E-4</v>
      </c>
      <c r="Z372" s="57" cm="1">
        <f t="array" ref="Z372">VLOOKUP(B372,'Player Data'!$A1:$AE673,14,FALSE)*$Q372</f>
        <v>1.2996291260149774E-3</v>
      </c>
      <c r="AA372" s="57" cm="1">
        <f t="array" ref="AA372">VLOOKUP(B372,'Player Data'!$A1:$AE673,15,FALSE)*$Q372</f>
        <v>32.969688631019579</v>
      </c>
      <c r="AB372" s="57" cm="1">
        <f t="array" ref="AB372">VLOOKUP(B372,'Player Data'!$A1:$AE673,16,FALSE)*$Q372</f>
        <v>65.676263704360522</v>
      </c>
      <c r="AC372" s="57" cm="1">
        <f t="array" ref="AC372">VLOOKUP(B372,'Player Data'!$A1:$AE673,17,FALSE)*$Q372*IFERROR((VLOOKUP(P372,Settings!$E$28:$F$33,2,FALSE)+1),1)</f>
        <v>-0.11605692917590948</v>
      </c>
      <c r="AD372" s="57" cm="1">
        <f t="array" ref="AD372">VLOOKUP(B372,'Player Data'!$A1:$AE673,18,FALSE)*$Q372</f>
        <v>14.889206854853354</v>
      </c>
      <c r="AE372" s="57" cm="1">
        <f t="array" ref="AE372">VLOOKUP(B372,'Player Data'!$A1:$AE673,19,FALSE)*$Q372*IFERROR((VLOOKUP(P372,Settings!$E$28:$F$33,2,FALSE)+1),1)</f>
        <v>2.9814575359551281</v>
      </c>
      <c r="AF372" s="57" cm="1">
        <f t="array" ref="AF372">VLOOKUP(B372,'Player Data'!$A1:$AE673,20,FALSE)*$Q372</f>
        <v>2.0345890340028556</v>
      </c>
      <c r="AG372" s="57" cm="1">
        <f t="array" ref="AG372">VLOOKUP(B372,'Player Data'!$A1:$AE673,21,FALSE)*$Q372</f>
        <v>8.4112969680540797</v>
      </c>
      <c r="AH372" s="59" cm="1">
        <f t="array" ref="AH372">VLOOKUP(B372,'Player Data'!$A1:$AE673,22,FALSE)</f>
        <v>0.19477419470231799</v>
      </c>
      <c r="AI372" s="55"/>
      <c r="AJ372" s="57"/>
      <c r="AK372" s="57"/>
      <c r="AL372" s="57"/>
      <c r="AM372" s="57"/>
      <c r="AN372" s="57"/>
      <c r="AO372" s="57"/>
      <c r="AP372" s="57"/>
      <c r="AQ372" s="60"/>
      <c r="AR372" s="61"/>
      <c r="AS372" s="55"/>
    </row>
    <row r="373" spans="1:45" ht="21.25" customHeight="1" x14ac:dyDescent="0.15">
      <c r="A373" s="62">
        <f t="shared" si="5"/>
        <v>372</v>
      </c>
      <c r="B373" s="10" t="s">
        <v>501</v>
      </c>
      <c r="C373" s="47" t="s">
        <v>147</v>
      </c>
      <c r="D373" s="48" t="str" cm="1">
        <f t="array" ref="D373">VLOOKUP(B373,'Player Data'!A1:D673,4,FALSE)</f>
        <v>C,LW</v>
      </c>
      <c r="E373" s="74" cm="1">
        <f t="array" ref="E373">VLOOKUP(B373,LW!A1:C210,3,FALSE)</f>
        <v>85</v>
      </c>
      <c r="F373" s="72" t="str" cm="1">
        <f t="array" ref="F373">VLOOKUP(B373,'Player Data'!A1:B673,2,FALSE)</f>
        <v>DET</v>
      </c>
      <c r="G373" s="66" cm="1">
        <f t="array" ref="G373">VLOOKUP(B373,'Player Data'!A1:D673,3,FALSE)</f>
        <v>32</v>
      </c>
      <c r="H373" s="67" cm="1">
        <f t="array" ref="H373">IFERROR(VLOOKUP(B373,ADP!A1:F671,6,FALSE)/1000000,VLOOKUP(B373,ADP!A1:F671,6,FALSE))</f>
        <v>5.625</v>
      </c>
      <c r="I373" s="52">
        <f>IF(Settings!$E$15="POINTS",((R373*Q373)*Settings!$B$12)+(S373*Settings!$B$2)+(T373*Settings!$B$3)+(U373*Settings!$B$4)+(V373*Settings!$B$5)+(X373*Settings!$B$9)+(AA373*Settings!$B$6)+(W373*Settings!$B$8)+(AB373*Settings!$B$7)+(AC373*Settings!$B$14)+(AD373*Settings!$B$15)+(AE373*Settings!$B$16)+(AF373*Settings!$B$17)+(AG373*Settings!$B$18)+(Y373*Settings!$B$10)+(Z373*Settings!$B$11),VLOOKUP(B373,'Standard Deviations'!A$1:C$672,3,FALSE))</f>
        <v>227.73875813709486</v>
      </c>
      <c r="J373" s="53" cm="1">
        <f t="array" ref="J373">IF(D373="G",I373/AJ373,I373/Q373)</f>
        <v>2.8602311926540218</v>
      </c>
      <c r="K373" s="52" cm="1">
        <f t="array" ref="K373">IF(Settings!$E$18="C/LW/RW",VLOOKUP(B373,LW!A1:F210,6,FALSE),VLOOKUP(B373,F!A1:F407,6,FALSE))</f>
        <v>-171.57423517662522</v>
      </c>
      <c r="L373" s="54" cm="1">
        <f t="array" ref="L373">IFERROR(K373/H373,"N/A")</f>
        <v>-30.502086253622263</v>
      </c>
      <c r="M373" s="85" t="s">
        <v>832</v>
      </c>
      <c r="N373" s="85" t="str" cm="1">
        <f t="array" ref="N373">IFERROR(M373-A373,"N/A")</f>
        <v>N/A</v>
      </c>
      <c r="O373" s="55"/>
      <c r="P373" s="56" t="str" cm="1">
        <f t="array" ref="P373">_xlfn.XLOOKUP($B373,ADP!A2:A671,ADP!G2:G671)</f>
        <v xml:space="preserve"> </v>
      </c>
      <c r="Q373" s="57" cm="1">
        <f t="array" ref="Q373">IF(Settings!$E$12="YES",VLOOKUP(B373,'Player Data'!A1:E673,5,FALSE),84)</f>
        <v>79.622500000000002</v>
      </c>
      <c r="R373" s="55" cm="1">
        <f t="array" ref="R373">VLOOKUP(B373,'Player Data'!$A1:$AE673,6,FALSE)</f>
        <v>17.249922009831401</v>
      </c>
      <c r="S373" s="57" cm="1">
        <f t="array" ref="S373">VLOOKUP(B373,'Player Data'!$A1:$AE673,7,FALSE)*$Q373*IFERROR((VLOOKUP(P373,Settings!$E$28:$F$33,2,FALSE)+1),1)</f>
        <v>11.909436619851185</v>
      </c>
      <c r="T373" s="57" cm="1">
        <f t="array" ref="T373">VLOOKUP(B373,'Player Data'!$A1:$AE673,8,FALSE)*$Q373*IFERROR((VLOOKUP(P373,Settings!$E$28:$F$33,2,FALSE)+1),1)</f>
        <v>30.044521615784962</v>
      </c>
      <c r="U373" s="57" cm="1">
        <f t="array" ref="U373">SUM(S373:T373)</f>
        <v>41.953958235636151</v>
      </c>
      <c r="V373" s="57" cm="1">
        <f t="array" ref="V373">VLOOKUP(B373,'Player Data'!$A1:$AE673,10,FALSE)*$Q373*IFERROR(((VLOOKUP(P373,Settings!$E$28:$F$33,2,FALSE)/2)+1),1)</f>
        <v>122.40910522660123</v>
      </c>
      <c r="W373" s="57" cm="1">
        <f t="array" ref="W373">VLOOKUP(B373,'Player Data'!$A1:$AE673,11,FALSE)*$Q373*IFERROR((VLOOKUP(P373,Settings!$E$28:$F$33,2,FALSE)+1),1)</f>
        <v>1.915081687503905</v>
      </c>
      <c r="X373" s="57" cm="1">
        <f t="array" ref="X373">VLOOKUP(B373,'Player Data'!$A1:$AE673,12,FALSE)*$Q373*IFERROR((VLOOKUP(P373,Settings!$E$28:$F$33,2,FALSE)+1),1)</f>
        <v>9.5966615786134977</v>
      </c>
      <c r="Y373" s="57" cm="1">
        <f t="array" ref="Y373">VLOOKUP(B373,'Player Data'!$A1:$AE673,13,FALSE)*$Q373</f>
        <v>0.49847585945292827</v>
      </c>
      <c r="Z373" s="57" cm="1">
        <f t="array" ref="Z373">VLOOKUP(B373,'Player Data'!$A1:$AE673,14,FALSE)*$Q373</f>
        <v>0.9399887362647904</v>
      </c>
      <c r="AA373" s="57" cm="1">
        <f t="array" ref="AA373">VLOOKUP(B373,'Player Data'!$A1:$AE673,15,FALSE)*$Q373</f>
        <v>60.271361004015034</v>
      </c>
      <c r="AB373" s="57" cm="1">
        <f t="array" ref="AB373">VLOOKUP(B373,'Player Data'!$A1:$AE673,16,FALSE)*$Q373</f>
        <v>45.223270827803574</v>
      </c>
      <c r="AC373" s="57" cm="1">
        <f t="array" ref="AC373">VLOOKUP(B373,'Player Data'!$A1:$AE673,17,FALSE)*$Q373*IFERROR((VLOOKUP(P373,Settings!$E$28:$F$33,2,FALSE)+1),1)</f>
        <v>-0.85446316514520393</v>
      </c>
      <c r="AD373" s="57" cm="1">
        <f t="array" ref="AD373">VLOOKUP(B373,'Player Data'!$A1:$AE673,18,FALSE)*$Q373</f>
        <v>25.594654441972551</v>
      </c>
      <c r="AE373" s="57" cm="1">
        <f t="array" ref="AE373">VLOOKUP(B373,'Player Data'!$A1:$AE673,19,FALSE)*$Q373*IFERROR((VLOOKUP(P373,Settings!$E$28:$F$33,2,FALSE)+1),1)</f>
        <v>1.8663028278858473</v>
      </c>
      <c r="AF373" s="57" cm="1">
        <f t="array" ref="AF373">VLOOKUP(B373,'Player Data'!$A1:$AE673,20,FALSE)*$Q373</f>
        <v>552.84635330310186</v>
      </c>
      <c r="AG373" s="57" cm="1">
        <f t="array" ref="AG373">VLOOKUP(B373,'Player Data'!$A1:$AE673,21,FALSE)*$Q373</f>
        <v>491.89293056149018</v>
      </c>
      <c r="AH373" s="59" cm="1">
        <f t="array" ref="AH373">VLOOKUP(B373,'Player Data'!$A1:$AE673,22,FALSE)</f>
        <v>0.52917159509697898</v>
      </c>
      <c r="AI373" s="55"/>
      <c r="AJ373" s="57"/>
      <c r="AK373" s="57"/>
      <c r="AL373" s="57"/>
      <c r="AM373" s="57"/>
      <c r="AN373" s="57"/>
      <c r="AO373" s="57"/>
      <c r="AP373" s="57"/>
      <c r="AQ373" s="60"/>
      <c r="AR373" s="61"/>
      <c r="AS373" s="55"/>
    </row>
    <row r="374" spans="1:45" ht="21.25" customHeight="1" x14ac:dyDescent="0.15">
      <c r="A374" s="62">
        <f t="shared" si="5"/>
        <v>373</v>
      </c>
      <c r="B374" s="10" t="s">
        <v>502</v>
      </c>
      <c r="C374" s="47" t="s">
        <v>147</v>
      </c>
      <c r="D374" s="48" t="str" cm="1">
        <f t="array" ref="D374">VLOOKUP(B374,'Player Data'!A1:D673,4,FALSE)</f>
        <v>LW,RW</v>
      </c>
      <c r="E374" s="74" cm="1">
        <f t="array" ref="E374">VLOOKUP(B374,RW!A1:F210,3,FALSE)</f>
        <v>101</v>
      </c>
      <c r="F374" s="56" t="str" cm="1">
        <f t="array" ref="F374">VLOOKUP(B374,'Player Data'!A1:B673,2,FALSE)</f>
        <v>S.J</v>
      </c>
      <c r="G374" s="71" cm="1">
        <f t="array" ref="G374">VLOOKUP(B374,'Player Data'!A1:D673,3,FALSE)</f>
        <v>20</v>
      </c>
      <c r="H374" s="51" cm="1">
        <f t="array" ref="H374">IFERROR(VLOOKUP(B374,ADP!A1:F671,6,FALSE)/1000000,VLOOKUP(B374,ADP!A1:F671,6,FALSE))</f>
        <v>0.94541699999999995</v>
      </c>
      <c r="I374" s="52">
        <f>IF(Settings!$E$15="POINTS",((R374*Q374)*Settings!$B$12)+(S374*Settings!$B$2)+(T374*Settings!$B$3)+(U374*Settings!$B$4)+(V374*Settings!$B$5)+(X374*Settings!$B$9)+(AA374*Settings!$B$6)+(W374*Settings!$B$8)+(AB374*Settings!$B$7)+(AC374*Settings!$B$14)+(AD374*Settings!$B$15)+(AE374*Settings!$B$16)+(AF374*Settings!$B$17)+(AG374*Settings!$B$18)+(Y374*Settings!$B$10)+(Z374*Settings!$B$11),VLOOKUP(B374,'Standard Deviations'!A$1:C$672,3,FALSE))</f>
        <v>223.08884803982193</v>
      </c>
      <c r="J374" s="53" cm="1">
        <f t="array" ref="J374">IF(D374="G",I374/AJ374,I374/Q374)</f>
        <v>3.0147141627002965</v>
      </c>
      <c r="K374" s="52" cm="1">
        <f t="array" ref="K374">IF(Settings!$E$18="C/LW/RW",VLOOKUP(B374,RW!A1:F210,6,FALSE),VLOOKUP(B374,F!A1:F407,6,FALSE))</f>
        <v>-171.85461665373555</v>
      </c>
      <c r="L374" s="54" cm="1">
        <f t="array" ref="L374">IFERROR(K374/H374,"N/A")</f>
        <v>-181.77652470151855</v>
      </c>
      <c r="M374" s="85" t="s">
        <v>832</v>
      </c>
      <c r="N374" s="85" t="str" cm="1">
        <f t="array" ref="N374">IFERROR(M374-A374,"N/A")</f>
        <v>N/A</v>
      </c>
      <c r="O374" s="55"/>
      <c r="P374" s="56" t="str" cm="1">
        <f t="array" ref="P374">_xlfn.XLOOKUP($B374,ADP!A2:A671,ADP!G2:G671)</f>
        <v xml:space="preserve"> </v>
      </c>
      <c r="Q374" s="57" cm="1">
        <f t="array" ref="Q374">IF(Settings!$E$12="YES",VLOOKUP(B374,'Player Data'!A1:E673,5,FALSE),84)</f>
        <v>74</v>
      </c>
      <c r="R374" s="55" cm="1">
        <f t="array" ref="R374">VLOOKUP(B374,'Player Data'!$A1:$AE673,6,FALSE)</f>
        <v>14.9342102508711</v>
      </c>
      <c r="S374" s="57" cm="1">
        <f t="array" ref="S374">VLOOKUP(B374,'Player Data'!$A1:$AE673,7,FALSE)*$Q374*IFERROR((VLOOKUP(P374,Settings!$E$28:$F$33,2,FALSE)+1),1)</f>
        <v>19.829781896691042</v>
      </c>
      <c r="T374" s="57" cm="1">
        <f t="array" ref="T374">VLOOKUP(B374,'Player Data'!$A1:$AE673,8,FALSE)*$Q374*IFERROR((VLOOKUP(P374,Settings!$E$28:$F$33,2,FALSE)+1),1)</f>
        <v>24.737637904177959</v>
      </c>
      <c r="U374" s="57" cm="1">
        <f t="array" ref="U374">SUM(S374:T374)</f>
        <v>44.567419800869004</v>
      </c>
      <c r="V374" s="57" cm="1">
        <f t="array" ref="V374">VLOOKUP(B374,'Player Data'!$A1:$AE673,10,FALSE)*$Q374*IFERROR(((VLOOKUP(P374,Settings!$E$28:$F$33,2,FALSE)/2)+1),1)</f>
        <v>124.80626560012973</v>
      </c>
      <c r="W374" s="57" cm="1">
        <f t="array" ref="W374">VLOOKUP(B374,'Player Data'!$A1:$AE673,11,FALSE)*$Q374*IFERROR((VLOOKUP(P374,Settings!$E$28:$F$33,2,FALSE)+1),1)</f>
        <v>5.2038609605183845</v>
      </c>
      <c r="X374" s="57" cm="1">
        <f t="array" ref="X374">VLOOKUP(B374,'Player Data'!$A1:$AE673,12,FALSE)*$Q374*IFERROR((VLOOKUP(P374,Settings!$E$28:$F$33,2,FALSE)+1),1)</f>
        <v>10.124060582891664</v>
      </c>
      <c r="Y374" s="57" cm="1">
        <f t="array" ref="Y374">VLOOKUP(B374,'Player Data'!$A1:$AE673,13,FALSE)*$Q374</f>
        <v>2.8651067421606039E-3</v>
      </c>
      <c r="Z374" s="57" cm="1">
        <f t="array" ref="Z374">VLOOKUP(B374,'Player Data'!$A1:$AE673,14,FALSE)*$Q374</f>
        <v>4.7264033772505933E-3</v>
      </c>
      <c r="AA374" s="57" cm="1">
        <f t="array" ref="AA374">VLOOKUP(B374,'Player Data'!$A1:$AE673,15,FALSE)*$Q374</f>
        <v>33.709337701762273</v>
      </c>
      <c r="AB374" s="57" cm="1">
        <f t="array" ref="AB374">VLOOKUP(B374,'Player Data'!$A1:$AE673,16,FALSE)*$Q374</f>
        <v>55.968853207628804</v>
      </c>
      <c r="AC374" s="57" cm="1">
        <f t="array" ref="AC374">VLOOKUP(B374,'Player Data'!$A1:$AE673,17,FALSE)*$Q374*IFERROR((VLOOKUP(P374,Settings!$E$28:$F$33,2,FALSE)+1),1)</f>
        <v>-1.3377648231019266</v>
      </c>
      <c r="AD374" s="57" cm="1">
        <f t="array" ref="AD374">VLOOKUP(B374,'Player Data'!$A1:$AE673,18,FALSE)*$Q374</f>
        <v>22.515868037905207</v>
      </c>
      <c r="AE374" s="57" cm="1">
        <f t="array" ref="AE374">VLOOKUP(B374,'Player Data'!$A1:$AE673,19,FALSE)*$Q374*IFERROR((VLOOKUP(P374,Settings!$E$28:$F$33,2,FALSE)+1),1)</f>
        <v>2.7727892507551553</v>
      </c>
      <c r="AF374" s="57" cm="1">
        <f t="array" ref="AF374">VLOOKUP(B374,'Player Data'!$A1:$AE673,20,FALSE)*$Q374</f>
        <v>0</v>
      </c>
      <c r="AG374" s="57" cm="1">
        <f t="array" ref="AG374">VLOOKUP(B374,'Player Data'!$A1:$AE673,21,FALSE)*$Q374</f>
        <v>0</v>
      </c>
      <c r="AH374" s="59" cm="1">
        <f t="array" ref="AH374">VLOOKUP(B374,'Player Data'!$A1:$AE673,22,FALSE)</f>
        <v>0</v>
      </c>
      <c r="AI374" s="55"/>
      <c r="AJ374" s="57"/>
      <c r="AK374" s="57"/>
      <c r="AL374" s="57"/>
      <c r="AM374" s="57"/>
      <c r="AN374" s="57"/>
      <c r="AO374" s="57"/>
      <c r="AP374" s="57"/>
      <c r="AQ374" s="60"/>
      <c r="AR374" s="61"/>
      <c r="AS374" s="55"/>
    </row>
    <row r="375" spans="1:45" ht="21.25" customHeight="1" x14ac:dyDescent="0.15">
      <c r="A375" s="62">
        <f t="shared" si="5"/>
        <v>374</v>
      </c>
      <c r="B375" s="10" t="s">
        <v>503</v>
      </c>
      <c r="C375" s="47" t="s">
        <v>147</v>
      </c>
      <c r="D375" s="48" t="str" cm="1">
        <f t="array" ref="D375">VLOOKUP(B375,'Player Data'!A1:D673,4,FALSE)</f>
        <v>D</v>
      </c>
      <c r="E375" s="68" cm="1">
        <f t="array" ref="E375">VLOOKUP(B375,D!A1:C204,3,FALSE)</f>
        <v>157</v>
      </c>
      <c r="F375" s="65" t="str" cm="1">
        <f t="array" ref="F375">VLOOKUP(B375,'Player Data'!A1:B673,2,FALSE)</f>
        <v>NSH</v>
      </c>
      <c r="G375" s="11" cm="1">
        <f t="array" ref="G375">VLOOKUP(B375,'Player Data'!A1:D673,3,FALSE)</f>
        <v>26</v>
      </c>
      <c r="H375" s="67" cm="1">
        <f t="array" ref="H375">IFERROR(VLOOKUP(B375,ADP!A1:F671,6,FALSE)/1000000,VLOOKUP(B375,ADP!A1:F671,6,FALSE))</f>
        <v>0.81200000000000006</v>
      </c>
      <c r="I375" s="52">
        <f>IF(Settings!$E$15="POINTS",((R375*Q375)*Settings!$B$12)+(S375*Settings!$B$2)+(T375*Settings!$B$3)+(U375*Settings!$B$4)+(V375*Settings!$B$5)+(X375*Settings!$B$9)+(AA375*Settings!$B$6)+(W375*Settings!$B$8)+(AB375*Settings!$B$7)+(AC375*Settings!$B$14)+(AD375*Settings!$B$15)+(AE375*Settings!$B$16)+(AF375*Settings!$B$17)+(AG375*Settings!$B$18)+(U375*Settings!$B$13)+(Y375*Settings!$B$10)+(Z375*Settings!$B$11),VLOOKUP(B375,'Standard Deviations'!A$1:C$672,3,FALSE))</f>
        <v>134.64353207216749</v>
      </c>
      <c r="J375" s="53" cm="1">
        <f t="array" ref="J375">IF(D375="G",I375/AJ375,I375/Q375)</f>
        <v>1.8177876612956325</v>
      </c>
      <c r="K375" s="52" cm="1">
        <f t="array" ref="K375">VLOOKUP(B375,D!A1:F204,6,FALSE)</f>
        <v>-172.01033527242657</v>
      </c>
      <c r="L375" s="54" cm="1">
        <f t="array" ref="L375">IFERROR(K375/H375,"N/A")</f>
        <v>-211.83538826653518</v>
      </c>
      <c r="M375" s="85" t="s">
        <v>832</v>
      </c>
      <c r="N375" s="85" t="str" cm="1">
        <f t="array" ref="N375">IFERROR(M375-A375,"N/A")</f>
        <v>N/A</v>
      </c>
      <c r="O375" s="81"/>
      <c r="P375" s="56" t="str" cm="1">
        <f t="array" ref="P375">_xlfn.XLOOKUP($B375,ADP!A2:A671,ADP!G2:G671)</f>
        <v xml:space="preserve"> </v>
      </c>
      <c r="Q375" s="57" cm="1">
        <f t="array" ref="Q375">IF(Settings!$E$12="YES",VLOOKUP(B375,'Player Data'!A1:E673,5,FALSE),84)</f>
        <v>74.069999999999993</v>
      </c>
      <c r="R375" s="55" cm="1">
        <f t="array" ref="R375">VLOOKUP(B375,'Player Data'!$A1:$AE673,6,FALSE)</f>
        <v>17.4495263224368</v>
      </c>
      <c r="S375" s="57" cm="1">
        <f t="array" ref="S375">VLOOKUP(B375,'Player Data'!$A1:$AE673,7,FALSE)*$Q375*IFERROR((VLOOKUP(P375,Settings!$E$28:$F$33,2,FALSE)+1),1)</f>
        <v>2.6805392945396633</v>
      </c>
      <c r="T375" s="57" cm="1">
        <f t="array" ref="T375">VLOOKUP(B375,'Player Data'!$A1:$AE673,8,FALSE)*$Q375*IFERROR((VLOOKUP(P375,Settings!$E$28:$F$33,2,FALSE)+1),1)</f>
        <v>16.482996192021485</v>
      </c>
      <c r="U375" s="57" cm="1">
        <f t="array" ref="U375">SUM(S375:T375)</f>
        <v>19.163535486561148</v>
      </c>
      <c r="V375" s="57" cm="1">
        <f t="array" ref="V375">VLOOKUP(B375,'Player Data'!$A1:$AE673,10,FALSE)*$Q375*IFERROR(((VLOOKUP(P375,Settings!$E$28:$F$33,2,FALSE)/2)+1),1)</f>
        <v>79.509979747919971</v>
      </c>
      <c r="W375" s="57" cm="1">
        <f t="array" ref="W375">VLOOKUP(B375,'Player Data'!$A1:$AE673,11,FALSE)*$Q375*IFERROR((VLOOKUP(P375,Settings!$E$28:$F$33,2,FALSE)+1),1)</f>
        <v>7.2619624491707096E-3</v>
      </c>
      <c r="X375" s="57" cm="1">
        <f t="array" ref="X375">VLOOKUP(B375,'Player Data'!$A1:$AE673,12,FALSE)*$Q375*IFERROR((VLOOKUP(P375,Settings!$E$28:$F$33,2,FALSE)+1),1)</f>
        <v>5.5712709441811517E-2</v>
      </c>
      <c r="Y375" s="57" cm="1">
        <f t="array" ref="Y375">VLOOKUP(B375,'Player Data'!$A1:$AE673,13,FALSE)*$Q375</f>
        <v>4.5734496575882605E-2</v>
      </c>
      <c r="Z375" s="57" cm="1">
        <f t="array" ref="Z375">VLOOKUP(B375,'Player Data'!$A1:$AE673,14,FALSE)*$Q375</f>
        <v>0.15606684574960819</v>
      </c>
      <c r="AA375" s="57" cm="1">
        <f t="array" ref="AA375">VLOOKUP(B375,'Player Data'!$A1:$AE673,15,FALSE)*$Q375</f>
        <v>74.372312366665284</v>
      </c>
      <c r="AB375" s="57" cm="1">
        <f t="array" ref="AB375">VLOOKUP(B375,'Player Data'!$A1:$AE673,16,FALSE)*$Q375</f>
        <v>56.358504625225535</v>
      </c>
      <c r="AC375" s="57" cm="1">
        <f t="array" ref="AC375">VLOOKUP(B375,'Player Data'!$A1:$AE673,17,FALSE)*$Q375*IFERROR((VLOOKUP(P375,Settings!$E$28:$F$33,2,FALSE)+1),1)</f>
        <v>-2.5371800104939197</v>
      </c>
      <c r="AD375" s="57" cm="1">
        <f t="array" ref="AD375">VLOOKUP(B375,'Player Data'!$A1:$AE673,18,FALSE)*$Q375</f>
        <v>33.631206982606471</v>
      </c>
      <c r="AE375" s="57" cm="1">
        <f t="array" ref="AE375">VLOOKUP(B375,'Player Data'!$A1:$AE673,19,FALSE)*$Q375*IFERROR((VLOOKUP(P375,Settings!$E$28:$F$33,2,FALSE)+1),1)</f>
        <v>0.3713217501873155</v>
      </c>
      <c r="AF375" s="57" cm="1">
        <f t="array" ref="AF375">VLOOKUP(B375,'Player Data'!$A1:$AE673,20,FALSE)*$Q375</f>
        <v>0</v>
      </c>
      <c r="AG375" s="57" cm="1">
        <f t="array" ref="AG375">VLOOKUP(B375,'Player Data'!$A1:$AE673,21,FALSE)*$Q375</f>
        <v>0</v>
      </c>
      <c r="AH375" s="59" cm="1">
        <f t="array" ref="AH375">VLOOKUP(B375,'Player Data'!$A1:$AE673,22,FALSE)</f>
        <v>0</v>
      </c>
      <c r="AI375" s="55"/>
      <c r="AJ375" s="57"/>
      <c r="AK375" s="57"/>
      <c r="AL375" s="57"/>
      <c r="AM375" s="57"/>
      <c r="AN375" s="57"/>
      <c r="AO375" s="57"/>
      <c r="AP375" s="57"/>
      <c r="AQ375" s="60"/>
      <c r="AR375" s="61"/>
      <c r="AS375" s="55"/>
    </row>
    <row r="376" spans="1:45" ht="21.25" customHeight="1" x14ac:dyDescent="0.15">
      <c r="A376" s="62">
        <f t="shared" si="5"/>
        <v>375</v>
      </c>
      <c r="B376" s="10" t="s">
        <v>504</v>
      </c>
      <c r="C376" s="47" t="s">
        <v>147</v>
      </c>
      <c r="D376" s="48" t="str" cm="1">
        <f t="array" ref="D376">VLOOKUP(B376,'Player Data'!A1:D673,4,FALSE)</f>
        <v>D</v>
      </c>
      <c r="E376" s="68" cm="1">
        <f t="array" ref="E376">VLOOKUP(B376,D!A1:C204,3,FALSE)</f>
        <v>158</v>
      </c>
      <c r="F376" s="73" t="str" cm="1">
        <f t="array" ref="F376">VLOOKUP(B376,'Player Data'!A1:B673,2,FALSE)</f>
        <v>BUF</v>
      </c>
      <c r="G376" s="11" cm="1">
        <f t="array" ref="G376">VLOOKUP(B376,'Player Data'!A1:D673,3,FALSE)</f>
        <v>27</v>
      </c>
      <c r="H376" s="67" cm="1">
        <f t="array" ref="H376">IFERROR(VLOOKUP(B376,ADP!A1:F671,6,FALSE)/1000000,VLOOKUP(B376,ADP!A1:F671,6,FALSE))</f>
        <v>2.2000000000000002</v>
      </c>
      <c r="I376" s="52">
        <f>IF(Settings!$E$15="POINTS",((R376*Q376)*Settings!$B$12)+(S376*Settings!$B$2)+(T376*Settings!$B$3)+(U376*Settings!$B$4)+(V376*Settings!$B$5)+(X376*Settings!$B$9)+(AA376*Settings!$B$6)+(W376*Settings!$B$8)+(AB376*Settings!$B$7)+(AC376*Settings!$B$14)+(AD376*Settings!$B$15)+(AE376*Settings!$B$16)+(AF376*Settings!$B$17)+(AG376*Settings!$B$18)+(U376*Settings!$B$13)+(Y376*Settings!$B$10)+(Z376*Settings!$B$11),VLOOKUP(B376,'Standard Deviations'!A$1:C$672,3,FALSE))</f>
        <v>134.38717348300656</v>
      </c>
      <c r="J376" s="53" cm="1">
        <f t="array" ref="J376">IF(D376="G",I376/AJ376,I376/Q376)</f>
        <v>1.95408300531472</v>
      </c>
      <c r="K376" s="52" cm="1">
        <f t="array" ref="K376">VLOOKUP(B376,D!A1:F204,6,FALSE)</f>
        <v>-172.2666938615875</v>
      </c>
      <c r="L376" s="54" cm="1">
        <f t="array" ref="L376">IFERROR(K376/H376,"N/A")</f>
        <v>-78.303042664357946</v>
      </c>
      <c r="M376" s="85" t="s">
        <v>832</v>
      </c>
      <c r="N376" s="85" t="str" cm="1">
        <f t="array" ref="N376">IFERROR(M376-A376,"N/A")</f>
        <v>N/A</v>
      </c>
      <c r="O376" s="83"/>
      <c r="P376" s="56" t="str" cm="1">
        <f t="array" ref="P376">_xlfn.XLOOKUP($B376,ADP!A2:A671,ADP!G2:G671)</f>
        <v xml:space="preserve"> </v>
      </c>
      <c r="Q376" s="57" cm="1">
        <f t="array" ref="Q376">IF(Settings!$E$12="YES",VLOOKUP(B376,'Player Data'!A1:E673,5,FALSE),84)</f>
        <v>68.772499999999994</v>
      </c>
      <c r="R376" s="84" cm="1">
        <f t="array" ref="R376">VLOOKUP(B376,'Player Data'!$A1:$AE673,6,FALSE)</f>
        <v>17.685826823894399</v>
      </c>
      <c r="S376" s="57" cm="1">
        <f t="array" ref="S376">VLOOKUP(B376,'Player Data'!$A1:$AE673,7,FALSE)*$Q376*IFERROR((VLOOKUP(P376,Settings!$E$28:$F$33,2,FALSE)+1),1)</f>
        <v>1.8604125248499523</v>
      </c>
      <c r="T376" s="57" cm="1">
        <f t="array" ref="T376">VLOOKUP(B376,'Player Data'!$A1:$AE673,8,FALSE)*$Q376*IFERROR((VLOOKUP(P376,Settings!$E$28:$F$33,2,FALSE)+1),1)</f>
        <v>12.946241479068789</v>
      </c>
      <c r="U376" s="57" cm="1">
        <f t="array" ref="U376">SUM(S376:T376)</f>
        <v>14.806654003918741</v>
      </c>
      <c r="V376" s="57" cm="1">
        <f t="array" ref="V376">VLOOKUP(B376,'Player Data'!$A1:$AE673,10,FALSE)*$Q376*IFERROR(((VLOOKUP(P376,Settings!$E$28:$F$33,2,FALSE)/2)+1),1)</f>
        <v>66.011632723913436</v>
      </c>
      <c r="W376" s="57" cm="1">
        <f t="array" ref="W376">VLOOKUP(B376,'Player Data'!$A1:$AE673,11,FALSE)*$Q376*IFERROR((VLOOKUP(P376,Settings!$E$28:$F$33,2,FALSE)+1),1)</f>
        <v>1.0604159188422576E-3</v>
      </c>
      <c r="X376" s="57" cm="1">
        <f t="array" ref="X376">VLOOKUP(B376,'Player Data'!$A1:$AE673,12,FALSE)*$Q376*IFERROR((VLOOKUP(P376,Settings!$E$28:$F$33,2,FALSE)+1),1)</f>
        <v>2.4943903209967165E-2</v>
      </c>
      <c r="Y376" s="57" cm="1">
        <f t="array" ref="Y376">VLOOKUP(B376,'Player Data'!$A1:$AE673,13,FALSE)*$Q376</f>
        <v>2.89767184549184E-2</v>
      </c>
      <c r="Z376" s="57" cm="1">
        <f t="array" ref="Z376">VLOOKUP(B376,'Player Data'!$A1:$AE673,14,FALSE)*$Q376</f>
        <v>0.18547265513483582</v>
      </c>
      <c r="AA376" s="57" cm="1">
        <f t="array" ref="AA376">VLOOKUP(B376,'Player Data'!$A1:$AE673,15,FALSE)*$Q376</f>
        <v>113.50195710189757</v>
      </c>
      <c r="AB376" s="57" cm="1">
        <f t="array" ref="AB376">VLOOKUP(B376,'Player Data'!$A1:$AE673,16,FALSE)*$Q376</f>
        <v>62.181844308306871</v>
      </c>
      <c r="AC376" s="57" cm="1">
        <f t="array" ref="AC376">VLOOKUP(B376,'Player Data'!$A1:$AE673,17,FALSE)*$Q376*IFERROR((VLOOKUP(P376,Settings!$E$28:$F$33,2,FALSE)+1),1)</f>
        <v>0.48454110575070919</v>
      </c>
      <c r="AD376" s="57" cm="1">
        <f t="array" ref="AD376">VLOOKUP(B376,'Player Data'!$A1:$AE673,18,FALSE)*$Q376</f>
        <v>32.896913259872505</v>
      </c>
      <c r="AE376" s="57" cm="1">
        <f t="array" ref="AE376">VLOOKUP(B376,'Player Data'!$A1:$AE673,19,FALSE)*$Q376*IFERROR((VLOOKUP(P376,Settings!$E$28:$F$33,2,FALSE)+1),1)</f>
        <v>0.28049435941860429</v>
      </c>
      <c r="AF376" s="57" cm="1">
        <f t="array" ref="AF376">VLOOKUP(B376,'Player Data'!$A1:$AE673,20,FALSE)*$Q376</f>
        <v>0</v>
      </c>
      <c r="AG376" s="57" cm="1">
        <f t="array" ref="AG376">VLOOKUP(B376,'Player Data'!$A1:$AE673,21,FALSE)*$Q376</f>
        <v>0</v>
      </c>
      <c r="AH376" s="59" cm="1">
        <f t="array" ref="AH376">VLOOKUP(B376,'Player Data'!$A1:$AE673,22,FALSE)</f>
        <v>0</v>
      </c>
      <c r="AI376" s="55"/>
      <c r="AJ376" s="57"/>
      <c r="AK376" s="57"/>
      <c r="AL376" s="57"/>
      <c r="AM376" s="57"/>
      <c r="AN376" s="57"/>
      <c r="AO376" s="57"/>
      <c r="AP376" s="57"/>
      <c r="AQ376" s="60"/>
      <c r="AR376" s="61"/>
      <c r="AS376" s="55"/>
    </row>
    <row r="377" spans="1:45" ht="21.25" customHeight="1" x14ac:dyDescent="0.15">
      <c r="A377" s="62">
        <f t="shared" si="5"/>
        <v>376</v>
      </c>
      <c r="B377" s="10" t="s">
        <v>505</v>
      </c>
      <c r="C377" s="76"/>
      <c r="D377" s="48" t="str" cm="1">
        <f t="array" ref="D377">VLOOKUP(B377,'Player Data'!A1:D673,4,FALSE)</f>
        <v>G</v>
      </c>
      <c r="E377" s="77" cm="1">
        <f t="array" ref="E377">VLOOKUP(B377,G!A1:D66,3,FALSE)</f>
        <v>40</v>
      </c>
      <c r="F377" s="18" t="str" cm="1">
        <f t="array" ref="F377">VLOOKUP(B377,'Player Data'!A1:B673,2,FALSE)</f>
        <v>SEA</v>
      </c>
      <c r="G377" s="66" cm="1">
        <f t="array" ref="G377">VLOOKUP(B377,'Player Data'!A1:D673,3,FALSE)</f>
        <v>34</v>
      </c>
      <c r="H377" s="67" cm="1">
        <f t="array" ref="H377">IFERROR(VLOOKUP(B377,ADP!A1:F671,6,FALSE)/1000000,VLOOKUP(B377,ADP!A1:F671,6,FALSE))</f>
        <v>5.9</v>
      </c>
      <c r="I377" s="52">
        <f>IF(Settings!$E$15="POINTS",(AJ377*Settings!$B$29)+(AK377*Settings!$B$21)+(AL377*Settings!$B$22)+(AN377*Settings!$B$24)+(AO377*Settings!$B$25)+(AP377*Settings!$B$27)+(AM377*Settings!$B$23),VLOOKUP(B377,'Standard Deviations'!A$1:C$672,3,FALSE))</f>
        <v>186.82106189484944</v>
      </c>
      <c r="J377" s="53" cm="1">
        <f t="array" ref="J377">IF(D377="G",I377/AJ377,I377/Q377)</f>
        <v>5.3377446255671268</v>
      </c>
      <c r="K377" s="52" cm="1">
        <f t="array" ref="K377">VLOOKUP(B377,G!A1:F66,6,FALSE)</f>
        <v>-172.33684603538859</v>
      </c>
      <c r="L377" s="54" cm="1">
        <f t="array" ref="L377">IFERROR(K377/H377,"N/A")</f>
        <v>-29.209634921252302</v>
      </c>
      <c r="M377" s="85" t="s">
        <v>832</v>
      </c>
      <c r="N377" s="85" t="str" cm="1">
        <f t="array" ref="N377">IFERROR(M377-A377,"N/A")</f>
        <v>N/A</v>
      </c>
      <c r="O377" s="55"/>
      <c r="P377" s="56" t="str" cm="1">
        <f t="array" ref="P377">_xlfn.XLOOKUP($B377,ADP!A2:A671,ADP!G2:G671)</f>
        <v xml:space="preserve"> </v>
      </c>
      <c r="Q377" s="57"/>
      <c r="R377" s="55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9"/>
      <c r="AI377" s="55"/>
      <c r="AJ377" s="78" cm="1">
        <f t="array" ref="AJ377">VLOOKUP(B377,'Player Data'!$A1:$AE673,24,FALSE)</f>
        <v>35</v>
      </c>
      <c r="AK377" s="57" cm="1">
        <f t="array" ref="AK377">VLOOKUP(B377,'Player Data'!$A1:$AE673,25,FALSE)*$AJ377*IFERROR((VLOOKUP(P377,Settings!$E$28:$F$33,2,FALSE)+1),1)</f>
        <v>13.201694471098314</v>
      </c>
      <c r="AL377" s="57" cm="1">
        <f t="array" ref="AL377">AJ377-AK377-AM377</f>
        <v>16.348729146676256</v>
      </c>
      <c r="AM377" s="57" cm="1">
        <f t="array" ref="AM377">VLOOKUP(B377,'Player Data'!$A1:$AE673,27,FALSE)*$AJ377</f>
        <v>5.4495763822254304</v>
      </c>
      <c r="AN377" s="57" cm="1">
        <f t="array" ref="AN377">VLOOKUP(B377,'Player Data'!$A1:$AE673,28,FALSE)*AJ377</f>
        <v>1.1640404521301639</v>
      </c>
      <c r="AO377" s="57" cm="1">
        <f t="array" ref="AO377">VLOOKUP(B377,'Player Data'!$A1:$AE673,29,FALSE)*$AJ377*IFERROR((VLOOKUP(P377,Settings!$E$28:$F$33,2,FALSE)/4)+1,1)</f>
        <v>945.03263636276245</v>
      </c>
      <c r="AP377" s="57" cm="1">
        <f t="array" ref="AP377">VLOOKUP(B377,'Player Data'!$A1:$AE673,31,FALSE)*$AJ377*(IFERROR(1-(VLOOKUP(P377,Settings!$E$28:$F$33,2,FALSE)/4),1))</f>
        <v>108.82146005065231</v>
      </c>
      <c r="AQ377" s="60" cm="1">
        <f t="array" ref="AQ377">1-(AP377/(AO377+AP377))</f>
        <v>0.89673953878340018</v>
      </c>
      <c r="AR377" s="61" cm="1">
        <f t="array" ref="AR377">AP377/AJ377</f>
        <v>3.1091845728757801</v>
      </c>
      <c r="AS377" s="55"/>
    </row>
    <row r="378" spans="1:45" ht="21.25" customHeight="1" x14ac:dyDescent="0.15">
      <c r="A378" s="62">
        <f t="shared" si="5"/>
        <v>377</v>
      </c>
      <c r="B378" s="10" t="s">
        <v>506</v>
      </c>
      <c r="C378" s="47" t="s">
        <v>147</v>
      </c>
      <c r="D378" s="48" t="str" cm="1">
        <f t="array" ref="D378">VLOOKUP(B378,'Player Data'!A1:D673,4,FALSE)</f>
        <v>C</v>
      </c>
      <c r="E378" s="49" cm="1">
        <f t="array" ref="E378">VLOOKUP(B378,'C'!A1:C210,3,FALSE)</f>
        <v>92</v>
      </c>
      <c r="F378" s="69" t="str" cm="1">
        <f t="array" ref="F378">VLOOKUP(B378,'Player Data'!A1:B673,2,FALSE)</f>
        <v>CBJ</v>
      </c>
      <c r="G378" s="66" cm="1">
        <f t="array" ref="G378">VLOOKUP(B378,'Player Data'!A1:D673,3,FALSE)</f>
        <v>31</v>
      </c>
      <c r="H378" s="51" cm="1">
        <f t="array" ref="H378">IFERROR(VLOOKUP(B378,ADP!A1:F671,6,FALSE)/1000000,VLOOKUP(B378,ADP!A1:F671,6,FALSE))</f>
        <v>5.5</v>
      </c>
      <c r="I378" s="52">
        <f>IF(Settings!$E$15="POINTS",((R378*Q378)*Settings!$B$12)+(S378*Settings!$B$2)+(T378*Settings!$B$3)+(U378*Settings!$B$4)+(V378*Settings!$B$5)+(X378*Settings!$B$9)+(AA378*Settings!$B$6)+(W378*Settings!$B$8)+(AB378*Settings!$B$7)+(AC378*Settings!$B$14)+(AD378*Settings!$B$15)+(AE378*Settings!$B$16)+(AF378*Settings!$B$17)+(AG378*Settings!$B$18)+(Y378*Settings!$B$10)+(Z378*Settings!$B$11),VLOOKUP(B378,'Standard Deviations'!A$1:C$672,3,FALSE))</f>
        <v>213.55282578873681</v>
      </c>
      <c r="J378" s="53" cm="1">
        <f t="array" ref="J378">IF(D378="G",I378/AJ378,I378/Q378)</f>
        <v>2.6838359405396108</v>
      </c>
      <c r="K378" s="52" cm="1">
        <f t="array" ref="K378">IF(Settings!$E$18="C/LW/RW",VLOOKUP(B378,'C'!A1:F210,6,FALSE),VLOOKUP(B378,F!A1:F407,6,FALSE))</f>
        <v>-172.98238060434619</v>
      </c>
      <c r="L378" s="54" cm="1">
        <f t="array" ref="L378">IFERROR(K378/H378,"N/A")</f>
        <v>-31.451341928062945</v>
      </c>
      <c r="M378" s="85" t="s">
        <v>832</v>
      </c>
      <c r="N378" s="85" t="str" cm="1">
        <f t="array" ref="N378">IFERROR(M378-A378,"N/A")</f>
        <v>N/A</v>
      </c>
      <c r="O378" s="55"/>
      <c r="P378" s="56" t="str" cm="1">
        <f t="array" ref="P378">_xlfn.XLOOKUP($B378,ADP!A2:A671,ADP!G2:G671)</f>
        <v xml:space="preserve"> </v>
      </c>
      <c r="Q378" s="57" cm="1">
        <f t="array" ref="Q378">IF(Settings!$E$12="YES",VLOOKUP(B378,'Player Data'!A1:E673,5,FALSE),84)</f>
        <v>79.569999999999993</v>
      </c>
      <c r="R378" s="84" cm="1">
        <f t="array" ref="R378">VLOOKUP(B378,'Player Data'!$A1:$AE673,6,FALSE)</f>
        <v>15.6897659587879</v>
      </c>
      <c r="S378" s="57" cm="1">
        <f t="array" ref="S378">VLOOKUP(B378,'Player Data'!$A1:$AE673,7,FALSE)*$Q378*IFERROR((VLOOKUP(P378,Settings!$E$28:$F$33,2,FALSE)+1),1)</f>
        <v>14.83639483356747</v>
      </c>
      <c r="T378" s="57" cm="1">
        <f t="array" ref="T378">VLOOKUP(B378,'Player Data'!$A1:$AE673,8,FALSE)*$Q378*IFERROR((VLOOKUP(P378,Settings!$E$28:$F$33,2,FALSE)+1),1)</f>
        <v>25.489066951269901</v>
      </c>
      <c r="U378" s="57" cm="1">
        <f t="array" ref="U378">SUM(S378:T378)</f>
        <v>40.325461784837373</v>
      </c>
      <c r="V378" s="57" cm="1">
        <f t="array" ref="V378">VLOOKUP(B378,'Player Data'!$A1:$AE673,10,FALSE)*$Q378*IFERROR(((VLOOKUP(P378,Settings!$E$28:$F$33,2,FALSE)/2)+1),1)</f>
        <v>127.57282358663517</v>
      </c>
      <c r="W378" s="57" cm="1">
        <f t="array" ref="W378">VLOOKUP(B378,'Player Data'!$A1:$AE673,11,FALSE)*$Q378*IFERROR((VLOOKUP(P378,Settings!$E$28:$F$33,2,FALSE)+1),1)</f>
        <v>2.4560726104423232</v>
      </c>
      <c r="X378" s="57" cm="1">
        <f t="array" ref="X378">VLOOKUP(B378,'Player Data'!$A1:$AE673,12,FALSE)*$Q378*IFERROR((VLOOKUP(P378,Settings!$E$28:$F$33,2,FALSE)+1),1)</f>
        <v>8.0094770207034696</v>
      </c>
      <c r="Y378" s="57" cm="1">
        <f t="array" ref="Y378">VLOOKUP(B378,'Player Data'!$A1:$AE673,13,FALSE)*$Q378</f>
        <v>1.3693005396129831</v>
      </c>
      <c r="Z378" s="57" cm="1">
        <f t="array" ref="Z378">VLOOKUP(B378,'Player Data'!$A1:$AE673,14,FALSE)*$Q378</f>
        <v>2.3332937450921931</v>
      </c>
      <c r="AA378" s="57" cm="1">
        <f t="array" ref="AA378">VLOOKUP(B378,'Player Data'!$A1:$AE673,15,FALSE)*$Q378</f>
        <v>36.894515750222936</v>
      </c>
      <c r="AB378" s="57" cm="1">
        <f t="array" ref="AB378">VLOOKUP(B378,'Player Data'!$A1:$AE673,16,FALSE)*$Q378</f>
        <v>46.562276820659768</v>
      </c>
      <c r="AC378" s="57" cm="1">
        <f t="array" ref="AC378">VLOOKUP(B378,'Player Data'!$A1:$AE673,17,FALSE)*$Q378*IFERROR((VLOOKUP(P378,Settings!$E$28:$F$33,2,FALSE)+1),1)</f>
        <v>2.9844919080346832</v>
      </c>
      <c r="AD378" s="57" cm="1">
        <f t="array" ref="AD378">VLOOKUP(B378,'Player Data'!$A1:$AE673,18,FALSE)*$Q378</f>
        <v>17.375372719007743</v>
      </c>
      <c r="AE378" s="57" cm="1">
        <f t="array" ref="AE378">VLOOKUP(B378,'Player Data'!$A1:$AE673,19,FALSE)*$Q378*IFERROR((VLOOKUP(P378,Settings!$E$28:$F$33,2,FALSE)+1),1)</f>
        <v>2.3907550106343751</v>
      </c>
      <c r="AF378" s="57" cm="1">
        <f t="array" ref="AF378">VLOOKUP(B378,'Player Data'!$A1:$AE673,20,FALSE)*$Q378</f>
        <v>615.16380387223569</v>
      </c>
      <c r="AG378" s="57" cm="1">
        <f t="array" ref="AG378">VLOOKUP(B378,'Player Data'!$A1:$AE673,21,FALSE)*$Q378</f>
        <v>543.88548646178299</v>
      </c>
      <c r="AH378" s="59" cm="1">
        <f t="array" ref="AH378">VLOOKUP(B378,'Player Data'!$A1:$AE673,22,FALSE)</f>
        <v>0.530748613542532</v>
      </c>
      <c r="AI378" s="55"/>
      <c r="AJ378" s="57"/>
      <c r="AK378" s="57"/>
      <c r="AL378" s="57"/>
      <c r="AM378" s="57"/>
      <c r="AN378" s="57"/>
      <c r="AO378" s="57"/>
      <c r="AP378" s="57"/>
      <c r="AQ378" s="60"/>
      <c r="AR378" s="61"/>
      <c r="AS378" s="55"/>
    </row>
    <row r="379" spans="1:45" ht="21.25" customHeight="1" x14ac:dyDescent="0.15">
      <c r="A379" s="62">
        <f t="shared" si="5"/>
        <v>378</v>
      </c>
      <c r="B379" s="10" t="s">
        <v>507</v>
      </c>
      <c r="C379" s="76"/>
      <c r="D379" s="48" t="str" cm="1">
        <f t="array" ref="D379">VLOOKUP(B379,'Player Data'!A1:D673,4,FALSE)</f>
        <v>G</v>
      </c>
      <c r="E379" s="77" cm="1">
        <f t="array" ref="E379">VLOOKUP(B379,G!A1:D66,3,FALSE)</f>
        <v>41</v>
      </c>
      <c r="F379" s="18" t="str" cm="1">
        <f t="array" ref="F379">VLOOKUP(B379,'Player Data'!A1:B673,2,FALSE)</f>
        <v>PIT</v>
      </c>
      <c r="G379" s="71" cm="1">
        <f t="array" ref="G379">VLOOKUP(B379,'Player Data'!A1:D673,3,FALSE)</f>
        <v>22</v>
      </c>
      <c r="H379" s="51" cm="1">
        <f t="array" ref="H379">IFERROR(VLOOKUP(B379,ADP!A1:F671,6,FALSE)/1000000,VLOOKUP(B379,ADP!A1:F671,6,FALSE))</f>
        <v>0.88610999999999995</v>
      </c>
      <c r="I379" s="52">
        <f>IF(Settings!$E$15="POINTS",(AJ379*Settings!$B$29)+(AK379*Settings!$B$21)+(AL379*Settings!$B$22)+(AN379*Settings!$B$24)+(AO379*Settings!$B$25)+(AP379*Settings!$B$27)+(AM379*Settings!$B$23),VLOOKUP(B379,'Standard Deviations'!A$1:C$672,3,FALSE))</f>
        <v>186.12684858046248</v>
      </c>
      <c r="J379" s="53" cm="1">
        <f t="array" ref="J379">IF(D379="G",I379/AJ379,I379/Q379)</f>
        <v>5.3179099594417849</v>
      </c>
      <c r="K379" s="52" cm="1">
        <f t="array" ref="K379">VLOOKUP(B379,G!A1:F66,6,FALSE)</f>
        <v>-173.03105934977555</v>
      </c>
      <c r="L379" s="54" cm="1">
        <f t="array" ref="L379">IFERROR(K379/H379,"N/A")</f>
        <v>-195.2704058748638</v>
      </c>
      <c r="M379" s="55">
        <v>134.19999999999999</v>
      </c>
      <c r="N379" s="55" cm="1">
        <f t="array" ref="N379">IFERROR(M379-A379,"N/A")</f>
        <v>-243.8</v>
      </c>
      <c r="O379" s="55"/>
      <c r="P379" s="56" t="str" cm="1">
        <f t="array" ref="P379">_xlfn.XLOOKUP($B379,ADP!A2:A671,ADP!G2:G671)</f>
        <v xml:space="preserve"> </v>
      </c>
      <c r="Q379" s="57"/>
      <c r="R379" s="55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9"/>
      <c r="AI379" s="55"/>
      <c r="AJ379" s="78" cm="1">
        <f t="array" ref="AJ379">VLOOKUP(B379,'Player Data'!$A1:$AE673,24,FALSE)</f>
        <v>35</v>
      </c>
      <c r="AK379" s="57" cm="1">
        <f t="array" ref="AK379">VLOOKUP(B379,'Player Data'!$A1:$AE673,25,FALSE)*$AJ379*IFERROR((VLOOKUP(P379,Settings!$E$28:$F$33,2,FALSE)+1),1)</f>
        <v>17.474122587346915</v>
      </c>
      <c r="AL379" s="57" cm="1">
        <f t="array" ref="AL379">AJ379-AK379-AM379</f>
        <v>13.144408059489805</v>
      </c>
      <c r="AM379" s="57" cm="1">
        <f t="array" ref="AM379">VLOOKUP(B379,'Player Data'!$A1:$AE673,27,FALSE)*$AJ379</f>
        <v>4.38146935316328</v>
      </c>
      <c r="AN379" s="57" cm="1">
        <f t="array" ref="AN379">VLOOKUP(B379,'Player Data'!$A1:$AE673,28,FALSE)*AJ379</f>
        <v>1.4786903816904975</v>
      </c>
      <c r="AO379" s="57" cm="1">
        <f t="array" ref="AO379">VLOOKUP(B379,'Player Data'!$A1:$AE673,29,FALSE)*$AJ379*IFERROR((VLOOKUP(P379,Settings!$E$28:$F$33,2,FALSE)/4)+1,1)</f>
        <v>892.66961372499395</v>
      </c>
      <c r="AP379" s="57" cm="1">
        <f t="array" ref="AP379">VLOOKUP(B379,'Player Data'!$A1:$AE673,31,FALSE)*$AJ379*(IFERROR(1-(VLOOKUP(P379,Settings!$E$28:$F$33,2,FALSE)/4),1))</f>
        <v>104.70300547525524</v>
      </c>
      <c r="AQ379" s="60" cm="1">
        <f t="array" ref="AQ379">1-(AP379/(AO379+AP379))</f>
        <v>0.89502117517602187</v>
      </c>
      <c r="AR379" s="61" cm="1">
        <f t="array" ref="AR379">AP379/AJ379</f>
        <v>2.9915144421501498</v>
      </c>
      <c r="AS379" s="55"/>
    </row>
    <row r="380" spans="1:45" ht="21.25" customHeight="1" x14ac:dyDescent="0.15">
      <c r="A380" s="62">
        <f t="shared" si="5"/>
        <v>379</v>
      </c>
      <c r="B380" s="10" t="s">
        <v>508</v>
      </c>
      <c r="C380" s="47" t="s">
        <v>147</v>
      </c>
      <c r="D380" s="48" t="str" cm="1">
        <f t="array" ref="D380">VLOOKUP(B380,'Player Data'!A1:D673,4,FALSE)</f>
        <v>D</v>
      </c>
      <c r="E380" s="68" cm="1">
        <f t="array" ref="E380">VLOOKUP(B380,D!A1:C204,3,FALSE)</f>
        <v>159</v>
      </c>
      <c r="F380" s="18" t="str" cm="1">
        <f t="array" ref="F380">VLOOKUP(B380,'Player Data'!A1:B673,2,FALSE)</f>
        <v>VAN</v>
      </c>
      <c r="G380" s="71" cm="1">
        <f t="array" ref="G380">VLOOKUP(B380,'Player Data'!A1:D673,3,FALSE)</f>
        <v>22</v>
      </c>
      <c r="H380" s="51" cm="1">
        <f t="array" ref="H380">IFERROR(VLOOKUP(B380,ADP!A1:F671,6,FALSE)/1000000,VLOOKUP(B380,ADP!A1:F671,6,FALSE))</f>
        <v>0.91333299999999995</v>
      </c>
      <c r="I380" s="52">
        <f>IF(Settings!$E$15="POINTS",((R380*Q380)*Settings!$B$12)+(S380*Settings!$B$2)+(T380*Settings!$B$3)+(U380*Settings!$B$4)+(V380*Settings!$B$5)+(X380*Settings!$B$9)+(AA380*Settings!$B$6)+(W380*Settings!$B$8)+(AB380*Settings!$B$7)+(AC380*Settings!$B$14)+(AD380*Settings!$B$15)+(AE380*Settings!$B$16)+(AF380*Settings!$B$17)+(AG380*Settings!$B$18)+(U380*Settings!$B$13)+(Y380*Settings!$B$10)+(Z380*Settings!$B$11),VLOOKUP(B380,'Standard Deviations'!A$1:C$672,3,FALSE))</f>
        <v>133.29937859436828</v>
      </c>
      <c r="J380" s="53" cm="1">
        <f t="array" ref="J380">IF(D380="G",I380/AJ380,I380/Q380)</f>
        <v>1.8728398819019076</v>
      </c>
      <c r="K380" s="52" cm="1">
        <f t="array" ref="K380">VLOOKUP(B380,D!A1:F204,6,FALSE)</f>
        <v>-173.35448875022578</v>
      </c>
      <c r="L380" s="54" cm="1">
        <f t="array" ref="L380">IFERROR(K380/H380,"N/A")</f>
        <v>-189.8042540346465</v>
      </c>
      <c r="M380" s="85" t="s">
        <v>832</v>
      </c>
      <c r="N380" s="85" t="str" cm="1">
        <f t="array" ref="N380">IFERROR(M380-A380,"N/A")</f>
        <v>N/A</v>
      </c>
      <c r="O380" s="55"/>
      <c r="P380" s="56" t="str" cm="1">
        <f t="array" ref="P380">_xlfn.XLOOKUP($B380,ADP!A2:A671,ADP!G2:G671)</f>
        <v xml:space="preserve"> </v>
      </c>
      <c r="Q380" s="57" cm="1">
        <f t="array" ref="Q380">IF(Settings!$E$12="YES",VLOOKUP(B380,'Player Data'!A1:E673,5,FALSE),84)</f>
        <v>71.174999999999997</v>
      </c>
      <c r="R380" s="82" cm="1">
        <f t="array" ref="R380">VLOOKUP(B380,'Player Data'!$A1:$AE673,6,FALSE)</f>
        <v>18.1332527903899</v>
      </c>
      <c r="S380" s="57" cm="1">
        <f t="array" ref="S380">VLOOKUP(B380,'Player Data'!$A1:$AE673,7,FALSE)*$Q380*IFERROR((VLOOKUP(P380,Settings!$E$28:$F$33,2,FALSE)+1),1)</f>
        <v>4.8117416289757324</v>
      </c>
      <c r="T380" s="57" cm="1">
        <f t="array" ref="T380">VLOOKUP(B380,'Player Data'!$A1:$AE673,8,FALSE)*$Q380*IFERROR((VLOOKUP(P380,Settings!$E$28:$F$33,2,FALSE)+1),1)</f>
        <v>11.643270382144912</v>
      </c>
      <c r="U380" s="57" cm="1">
        <f t="array" ref="U380">SUM(S380:T380)</f>
        <v>16.455012011120644</v>
      </c>
      <c r="V380" s="57" cm="1">
        <f t="array" ref="V380">VLOOKUP(B380,'Player Data'!$A1:$AE673,10,FALSE)*$Q380*IFERROR(((VLOOKUP(P380,Settings!$E$28:$F$33,2,FALSE)/2)+1),1)</f>
        <v>68.715041983825088</v>
      </c>
      <c r="W380" s="57" cm="1">
        <f t="array" ref="W380">VLOOKUP(B380,'Player Data'!$A1:$AE673,11,FALSE)*$Q380*IFERROR((VLOOKUP(P380,Settings!$E$28:$F$33,2,FALSE)+1),1)</f>
        <v>1.2075502435613318E-2</v>
      </c>
      <c r="X380" s="57" cm="1">
        <f t="array" ref="X380">VLOOKUP(B380,'Player Data'!$A1:$AE673,12,FALSE)*$Q380*IFERROR((VLOOKUP(P380,Settings!$E$28:$F$33,2,FALSE)+1),1)</f>
        <v>8.524820886439903E-2</v>
      </c>
      <c r="Y380" s="57" cm="1">
        <f t="array" ref="Y380">VLOOKUP(B380,'Player Data'!$A1:$AE673,13,FALSE)*$Q380</f>
        <v>3.4887778222372358E-2</v>
      </c>
      <c r="Z380" s="57" cm="1">
        <f t="array" ref="Z380">VLOOKUP(B380,'Player Data'!$A1:$AE673,14,FALSE)*$Q380</f>
        <v>0.22708224339144739</v>
      </c>
      <c r="AA380" s="57" cm="1">
        <f t="array" ref="AA380">VLOOKUP(B380,'Player Data'!$A1:$AE673,15,FALSE)*$Q380</f>
        <v>98.52898223367589</v>
      </c>
      <c r="AB380" s="57" cm="1">
        <f t="array" ref="AB380">VLOOKUP(B380,'Player Data'!$A1:$AE673,16,FALSE)*$Q380</f>
        <v>129.72737479086416</v>
      </c>
      <c r="AC380" s="57" cm="1">
        <f t="array" ref="AC380">VLOOKUP(B380,'Player Data'!$A1:$AE673,17,FALSE)*$Q380*IFERROR((VLOOKUP(P380,Settings!$E$28:$F$33,2,FALSE)+1),1)</f>
        <v>-10.920295399624896</v>
      </c>
      <c r="AD380" s="57" cm="1">
        <f t="array" ref="AD380">VLOOKUP(B380,'Player Data'!$A1:$AE673,18,FALSE)*$Q380</f>
        <v>36.917865599886468</v>
      </c>
      <c r="AE380" s="57" cm="1">
        <f t="array" ref="AE380">VLOOKUP(B380,'Player Data'!$A1:$AE673,19,FALSE)*$Q380*IFERROR((VLOOKUP(P380,Settings!$E$28:$F$33,2,FALSE)+1),1)</f>
        <v>0.59625910792038772</v>
      </c>
      <c r="AF380" s="57" cm="1">
        <f t="array" ref="AF380">VLOOKUP(B380,'Player Data'!$A1:$AE673,20,FALSE)*$Q380</f>
        <v>0</v>
      </c>
      <c r="AG380" s="57" cm="1">
        <f t="array" ref="AG380">VLOOKUP(B380,'Player Data'!$A1:$AE673,21,FALSE)*$Q380</f>
        <v>0</v>
      </c>
      <c r="AH380" s="59" cm="1">
        <f t="array" ref="AH380">VLOOKUP(B380,'Player Data'!$A1:$AE673,22,FALSE)</f>
        <v>0</v>
      </c>
      <c r="AI380" s="55"/>
      <c r="AJ380" s="57"/>
      <c r="AK380" s="57"/>
      <c r="AL380" s="57"/>
      <c r="AM380" s="57"/>
      <c r="AN380" s="57"/>
      <c r="AO380" s="57"/>
      <c r="AP380" s="57"/>
      <c r="AQ380" s="60"/>
      <c r="AR380" s="61"/>
      <c r="AS380" s="55"/>
    </row>
    <row r="381" spans="1:45" ht="21.25" customHeight="1" x14ac:dyDescent="0.15">
      <c r="A381" s="62">
        <f t="shared" si="5"/>
        <v>380</v>
      </c>
      <c r="B381" s="10" t="s">
        <v>509</v>
      </c>
      <c r="C381" s="76"/>
      <c r="D381" s="48" t="str" cm="1">
        <f t="array" ref="D381">VLOOKUP(B381,'Player Data'!A1:D673,4,FALSE)</f>
        <v>G</v>
      </c>
      <c r="E381" s="77" cm="1">
        <f t="array" ref="E381">VLOOKUP(B381,G!A1:D66,3,FALSE)</f>
        <v>42</v>
      </c>
      <c r="F381" s="63" t="str" cm="1">
        <f t="array" ref="F381">VLOOKUP(B381,'Player Data'!A1:B673,2,FALSE)</f>
        <v>EDM</v>
      </c>
      <c r="G381" s="66" cm="1">
        <f t="array" ref="G381">VLOOKUP(B381,'Player Data'!A1:D673,3,FALSE)</f>
        <v>31</v>
      </c>
      <c r="H381" s="51" cm="1">
        <f t="array" ref="H381">IFERROR(VLOOKUP(B381,ADP!A1:F671,6,FALSE)/1000000,VLOOKUP(B381,ADP!A1:F671,6,FALSE))</f>
        <v>5.375</v>
      </c>
      <c r="I381" s="52">
        <f>IF(Settings!$E$15="POINTS",(AJ381*Settings!$B$29)+(AK381*Settings!$B$21)+(AL381*Settings!$B$22)+(AN381*Settings!$B$24)+(AO381*Settings!$B$25)+(AP381*Settings!$B$27)+(AM381*Settings!$B$23),VLOOKUP(B381,'Standard Deviations'!A$1:C$672,3,FALSE))</f>
        <v>185.63667271843957</v>
      </c>
      <c r="J381" s="53" cm="1">
        <f t="array" ref="J381">IF(D381="G",I381/AJ381,I381/Q381)</f>
        <v>5.3039049348125591</v>
      </c>
      <c r="K381" s="52" cm="1">
        <f t="array" ref="K381">VLOOKUP(B381,G!A1:F66,6,FALSE)</f>
        <v>-173.52123521179846</v>
      </c>
      <c r="L381" s="54" cm="1">
        <f t="array" ref="L381">IFERROR(K381/H381,"N/A")</f>
        <v>-32.283020504520643</v>
      </c>
      <c r="M381" s="85" t="s">
        <v>832</v>
      </c>
      <c r="N381" s="85" t="str" cm="1">
        <f t="array" ref="N381">IFERROR(M381-A381,"N/A")</f>
        <v>N/A</v>
      </c>
      <c r="O381" s="55"/>
      <c r="P381" s="56" t="str" cm="1">
        <f t="array" ref="P381">_xlfn.XLOOKUP($B381,ADP!A2:A671,ADP!G2:G671)</f>
        <v xml:space="preserve"> </v>
      </c>
      <c r="Q381" s="57"/>
      <c r="R381" s="55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9"/>
      <c r="AI381" s="55"/>
      <c r="AJ381" s="78" cm="1">
        <f t="array" ref="AJ381">VLOOKUP(B381,'Player Data'!$A1:$AE673,24,FALSE)</f>
        <v>35</v>
      </c>
      <c r="AK381" s="57" cm="1">
        <f t="array" ref="AK381">VLOOKUP(B381,'Player Data'!$A1:$AE673,25,FALSE)*$AJ381*IFERROR((VLOOKUP(P381,Settings!$E$28:$F$33,2,FALSE)+1),1)</f>
        <v>20.379687240916009</v>
      </c>
      <c r="AL381" s="57" cm="1">
        <f t="array" ref="AL381">AJ381-AK381-AM381</f>
        <v>10.965234569312976</v>
      </c>
      <c r="AM381" s="57" cm="1">
        <f t="array" ref="AM381">VLOOKUP(B381,'Player Data'!$A1:$AE673,27,FALSE)*$AJ381</f>
        <v>3.655078189771015</v>
      </c>
      <c r="AN381" s="57" cm="1">
        <f t="array" ref="AN381">VLOOKUP(B381,'Player Data'!$A1:$AE673,28,FALSE)*AJ381</f>
        <v>1.8753248412098129</v>
      </c>
      <c r="AO381" s="57" cm="1">
        <f t="array" ref="AO381">VLOOKUP(B381,'Player Data'!$A1:$AE673,29,FALSE)*$AJ381*IFERROR((VLOOKUP(P381,Settings!$E$28:$F$33,2,FALSE)/4)+1,1)</f>
        <v>842.31330205688403</v>
      </c>
      <c r="AP381" s="57" cm="1">
        <f t="array" ref="AP381">VLOOKUP(B381,'Player Data'!$A1:$AE673,31,FALSE)*$AJ381*(IFERROR(1-(VLOOKUP(P381,Settings!$E$28:$F$33,2,FALSE)/4),1))</f>
        <v>99.511454957986757</v>
      </c>
      <c r="AQ381" s="60" cm="1">
        <f t="array" ref="AQ381">1-(AP381/(AO381+AP381))</f>
        <v>0.89434185689343104</v>
      </c>
      <c r="AR381" s="61" cm="1">
        <f t="array" ref="AR381">AP381/AJ381</f>
        <v>2.84318442737105</v>
      </c>
      <c r="AS381" s="55"/>
    </row>
    <row r="382" spans="1:45" ht="21.25" customHeight="1" x14ac:dyDescent="0.15">
      <c r="A382" s="62">
        <f t="shared" si="5"/>
        <v>381</v>
      </c>
      <c r="B382" s="10" t="s">
        <v>510</v>
      </c>
      <c r="C382" s="47" t="s">
        <v>147</v>
      </c>
      <c r="D382" s="48" t="str" cm="1">
        <f t="array" ref="D382">VLOOKUP(B382,'Player Data'!A1:D673,4,FALSE)</f>
        <v>D</v>
      </c>
      <c r="E382" s="68" cm="1">
        <f t="array" ref="E382">VLOOKUP(B382,D!A1:C204,3,FALSE)</f>
        <v>160</v>
      </c>
      <c r="F382" s="70" t="str" cm="1">
        <f t="array" ref="F382">VLOOKUP(B382,'Player Data'!A1:B673,2,FALSE)</f>
        <v>L.A</v>
      </c>
      <c r="G382" s="66" cm="1">
        <f t="array" ref="G382">VLOOKUP(B382,'Player Data'!A1:D673,3,FALSE)</f>
        <v>34</v>
      </c>
      <c r="H382" s="51" cm="1">
        <f t="array" ref="H382">IFERROR(VLOOKUP(B382,ADP!A1:F671,6,FALSE)/1000000,VLOOKUP(B382,ADP!A1:F671,6,FALSE))</f>
        <v>4</v>
      </c>
      <c r="I382" s="52">
        <f>IF(Settings!$E$15="POINTS",((R382*Q382)*Settings!$B$12)+(S382*Settings!$B$2)+(T382*Settings!$B$3)+(U382*Settings!$B$4)+(V382*Settings!$B$5)+(X382*Settings!$B$9)+(AA382*Settings!$B$6)+(W382*Settings!$B$8)+(AB382*Settings!$B$7)+(AC382*Settings!$B$14)+(AD382*Settings!$B$15)+(AE382*Settings!$B$16)+(AF382*Settings!$B$17)+(AG382*Settings!$B$18)+(U382*Settings!$B$13)+(Y382*Settings!$B$10)+(Z382*Settings!$B$11),VLOOKUP(B382,'Standard Deviations'!A$1:C$672,3,FALSE))</f>
        <v>132.95144001556832</v>
      </c>
      <c r="J382" s="53" cm="1">
        <f t="array" ref="J382">IF(D382="G",I382/AJ382,I382/Q382)</f>
        <v>1.59118472880819</v>
      </c>
      <c r="K382" s="52" cm="1">
        <f t="array" ref="K382">VLOOKUP(B382,D!A1:F204,6,FALSE)</f>
        <v>-173.70242732902574</v>
      </c>
      <c r="L382" s="54" cm="1">
        <f t="array" ref="L382">IFERROR(K382/H382,"N/A")</f>
        <v>-43.425606832256435</v>
      </c>
      <c r="M382" s="85" t="s">
        <v>832</v>
      </c>
      <c r="N382" s="85" t="str" cm="1">
        <f t="array" ref="N382">IFERROR(M382-A382,"N/A")</f>
        <v>N/A</v>
      </c>
      <c r="O382" s="55"/>
      <c r="P382" s="56" t="str" cm="1">
        <f t="array" ref="P382">_xlfn.XLOOKUP($B382,ADP!A2:A671,ADP!G2:G671)</f>
        <v xml:space="preserve"> </v>
      </c>
      <c r="Q382" s="57" cm="1">
        <f t="array" ref="Q382">IF(Settings!$E$12="YES",VLOOKUP(B382,'Player Data'!A1:E673,5,FALSE),84)</f>
        <v>83.555000000000007</v>
      </c>
      <c r="R382" s="55" cm="1">
        <f t="array" ref="R382">VLOOKUP(B382,'Player Data'!$A1:$AE673,6,FALSE)</f>
        <v>17.744138427972601</v>
      </c>
      <c r="S382" s="57" cm="1">
        <f t="array" ref="S382">VLOOKUP(B382,'Player Data'!$A1:$AE673,7,FALSE)*$Q382*IFERROR((VLOOKUP(P382,Settings!$E$28:$F$33,2,FALSE)+1),1)</f>
        <v>2.9381053182626227</v>
      </c>
      <c r="T382" s="57" cm="1">
        <f t="array" ref="T382">VLOOKUP(B382,'Player Data'!$A1:$AE673,8,FALSE)*$Q382*IFERROR((VLOOKUP(P382,Settings!$E$28:$F$33,2,FALSE)+1),1)</f>
        <v>14.524516264515082</v>
      </c>
      <c r="U382" s="57" cm="1">
        <f t="array" ref="U382">SUM(S382:T382)</f>
        <v>17.462621582777704</v>
      </c>
      <c r="V382" s="57" cm="1">
        <f t="array" ref="V382">VLOOKUP(B382,'Player Data'!$A1:$AE673,10,FALSE)*$Q382*IFERROR(((VLOOKUP(P382,Settings!$E$28:$F$33,2,FALSE)/2)+1),1)</f>
        <v>62.283365818682327</v>
      </c>
      <c r="W382" s="57" cm="1">
        <f t="array" ref="W382">VLOOKUP(B382,'Player Data'!$A1:$AE673,11,FALSE)*$Q382*IFERROR((VLOOKUP(P382,Settings!$E$28:$F$33,2,FALSE)+1),1)</f>
        <v>7.1649067586633955E-3</v>
      </c>
      <c r="X382" s="57" cm="1">
        <f t="array" ref="X382">VLOOKUP(B382,'Player Data'!$A1:$AE673,12,FALSE)*$Q382*IFERROR((VLOOKUP(P382,Settings!$E$28:$F$33,2,FALSE)+1),1)</f>
        <v>6.0916939883880361E-2</v>
      </c>
      <c r="Y382" s="57" cm="1">
        <f t="array" ref="Y382">VLOOKUP(B382,'Player Data'!$A1:$AE673,13,FALSE)*$Q382</f>
        <v>1.7673986135660947E-2</v>
      </c>
      <c r="Z382" s="57" cm="1">
        <f t="array" ref="Z382">VLOOKUP(B382,'Player Data'!$A1:$AE673,14,FALSE)*$Q382</f>
        <v>0.39798804179726383</v>
      </c>
      <c r="AA382" s="57" cm="1">
        <f t="array" ref="AA382">VLOOKUP(B382,'Player Data'!$A1:$AE673,15,FALSE)*$Q382</f>
        <v>97.925974752425773</v>
      </c>
      <c r="AB382" s="57" cm="1">
        <f t="array" ref="AB382">VLOOKUP(B382,'Player Data'!$A1:$AE673,16,FALSE)*$Q382</f>
        <v>60.352885849424318</v>
      </c>
      <c r="AC382" s="57" cm="1">
        <f t="array" ref="AC382">VLOOKUP(B382,'Player Data'!$A1:$AE673,17,FALSE)*$Q382*IFERROR((VLOOKUP(P382,Settings!$E$28:$F$33,2,FALSE)+1),1)</f>
        <v>-1.9627946765809341</v>
      </c>
      <c r="AD382" s="57" cm="1">
        <f t="array" ref="AD382">VLOOKUP(B382,'Player Data'!$A1:$AE673,18,FALSE)*$Q382</f>
        <v>22.204199726662942</v>
      </c>
      <c r="AE382" s="57" cm="1">
        <f t="array" ref="AE382">VLOOKUP(B382,'Player Data'!$A1:$AE673,19,FALSE)*$Q382*IFERROR((VLOOKUP(P382,Settings!$E$28:$F$33,2,FALSE)+1),1)</f>
        <v>0.46411534497000428</v>
      </c>
      <c r="AF382" s="57" cm="1">
        <f t="array" ref="AF382">VLOOKUP(B382,'Player Data'!$A1:$AE673,20,FALSE)*$Q382</f>
        <v>0</v>
      </c>
      <c r="AG382" s="57" cm="1">
        <f t="array" ref="AG382">VLOOKUP(B382,'Player Data'!$A1:$AE673,21,FALSE)*$Q382</f>
        <v>0</v>
      </c>
      <c r="AH382" s="59" cm="1">
        <f t="array" ref="AH382">VLOOKUP(B382,'Player Data'!$A1:$AE673,22,FALSE)</f>
        <v>0</v>
      </c>
      <c r="AI382" s="55"/>
      <c r="AJ382" s="57"/>
      <c r="AK382" s="57"/>
      <c r="AL382" s="57"/>
      <c r="AM382" s="57"/>
      <c r="AN382" s="57"/>
      <c r="AO382" s="57"/>
      <c r="AP382" s="57"/>
      <c r="AQ382" s="60"/>
      <c r="AR382" s="61"/>
      <c r="AS382" s="55"/>
    </row>
    <row r="383" spans="1:45" ht="21.25" customHeight="1" x14ac:dyDescent="0.15">
      <c r="A383" s="62">
        <f t="shared" si="5"/>
        <v>382</v>
      </c>
      <c r="B383" s="10" t="s">
        <v>511</v>
      </c>
      <c r="C383" s="47" t="s">
        <v>128</v>
      </c>
      <c r="D383" s="48" t="str" cm="1">
        <f t="array" ref="D383">VLOOKUP(B383,'Player Data'!A1:D673,4,FALSE)</f>
        <v>RW</v>
      </c>
      <c r="E383" s="64" cm="1">
        <f t="array" ref="E383">VLOOKUP(B383,RW!A1:F210,3,FALSE)</f>
        <v>102</v>
      </c>
      <c r="F383" s="56" t="str" cm="1">
        <f t="array" ref="F383">VLOOKUP(B383,'Player Data'!A1:B673,2,FALSE)</f>
        <v>NYR</v>
      </c>
      <c r="G383" s="71" cm="1">
        <f t="array" ref="G383">VLOOKUP(B383,'Player Data'!A1:D673,3,FALSE)</f>
        <v>21</v>
      </c>
      <c r="H383" s="51" cm="1">
        <f t="array" ref="H383">IFERROR(VLOOKUP(B383,ADP!A1:F671,6,FALSE)/1000000,VLOOKUP(B383,ADP!A1:F671,6,FALSE))</f>
        <v>0.94166700000000003</v>
      </c>
      <c r="I383" s="52">
        <f>IF(Settings!$E$15="POINTS",((R383*Q383)*Settings!$B$12)+(S383*Settings!$B$2)+(T383*Settings!$B$3)+(U383*Settings!$B$4)+(V383*Settings!$B$5)+(X383*Settings!$B$9)+(AA383*Settings!$B$6)+(W383*Settings!$B$8)+(AB383*Settings!$B$7)+(AC383*Settings!$B$14)+(AD383*Settings!$B$15)+(AE383*Settings!$B$16)+(AF383*Settings!$B$17)+(AG383*Settings!$B$18)+(Y383*Settings!$B$10)+(Z383*Settings!$B$11),VLOOKUP(B383,'Standard Deviations'!A$1:C$672,3,FALSE))</f>
        <v>221.00948542002763</v>
      </c>
      <c r="J383" s="53" cm="1">
        <f t="array" ref="J383">IF(D383="G",I383/AJ383,I383/Q383)</f>
        <v>2.7975884230383246</v>
      </c>
      <c r="K383" s="52" cm="1">
        <f t="array" ref="K383">IF(Settings!$E$18="C/LW/RW",VLOOKUP(B383,RW!A1:F210,6,FALSE),VLOOKUP(B383,F!A1:F407,6,FALSE))</f>
        <v>-173.93397927352984</v>
      </c>
      <c r="L383" s="54" cm="1">
        <f t="array" ref="L383">IFERROR(K383/H383,"N/A")</f>
        <v>-184.70858517239091</v>
      </c>
      <c r="M383" s="55">
        <v>128</v>
      </c>
      <c r="N383" s="55" cm="1">
        <f t="array" ref="N383">IFERROR(M383-A383,"N/A")</f>
        <v>-254</v>
      </c>
      <c r="O383" s="55"/>
      <c r="P383" s="56" t="str" cm="1">
        <f t="array" ref="P383">_xlfn.XLOOKUP($B383,ADP!A2:A671,ADP!G2:G671)</f>
        <v xml:space="preserve"> </v>
      </c>
      <c r="Q383" s="57" cm="1">
        <f t="array" ref="Q383">IF(Settings!$E$12="YES",VLOOKUP(B383,'Player Data'!A1:E673,5,FALSE),84)</f>
        <v>79</v>
      </c>
      <c r="R383" s="55" cm="1">
        <f t="array" ref="R383">VLOOKUP(B383,'Player Data'!$A1:$AE673,6,FALSE)</f>
        <v>15.6569081793103</v>
      </c>
      <c r="S383" s="57" cm="1">
        <f t="array" ref="S383">VLOOKUP(B383,'Player Data'!$A1:$AE673,7,FALSE)*$Q383*IFERROR((VLOOKUP(P383,Settings!$E$28:$F$33,2,FALSE)+1),1)</f>
        <v>19.356140961808109</v>
      </c>
      <c r="T383" s="57" cm="1">
        <f t="array" ref="T383">VLOOKUP(B383,'Player Data'!$A1:$AE673,8,FALSE)*$Q383*IFERROR((VLOOKUP(P383,Settings!$E$28:$F$33,2,FALSE)+1),1)</f>
        <v>25.109024857300572</v>
      </c>
      <c r="U383" s="57" cm="1">
        <f t="array" ref="U383">SUM(S383:T383)</f>
        <v>44.465165819108677</v>
      </c>
      <c r="V383" s="57" cm="1">
        <f t="array" ref="V383">VLOOKUP(B383,'Player Data'!$A1:$AE673,10,FALSE)*$Q383*IFERROR(((VLOOKUP(P383,Settings!$E$28:$F$33,2,FALSE)/2)+1),1)</f>
        <v>121.77611647354574</v>
      </c>
      <c r="W383" s="57" cm="1">
        <f t="array" ref="W383">VLOOKUP(B383,'Player Data'!$A1:$AE673,11,FALSE)*$Q383*IFERROR((VLOOKUP(P383,Settings!$E$28:$F$33,2,FALSE)+1),1)</f>
        <v>4.3222944015104128</v>
      </c>
      <c r="X383" s="57" cm="1">
        <f t="array" ref="X383">VLOOKUP(B383,'Player Data'!$A1:$AE673,12,FALSE)*$Q383*IFERROR((VLOOKUP(P383,Settings!$E$28:$F$33,2,FALSE)+1),1)</f>
        <v>9.3405834716923106</v>
      </c>
      <c r="Y383" s="57" cm="1">
        <f t="array" ref="Y383">VLOOKUP(B383,'Player Data'!$A1:$AE673,13,FALSE)*$Q383</f>
        <v>0</v>
      </c>
      <c r="Z383" s="57" cm="1">
        <f t="array" ref="Z383">VLOOKUP(B383,'Player Data'!$A1:$AE673,14,FALSE)*$Q383</f>
        <v>0</v>
      </c>
      <c r="AA383" s="57" cm="1">
        <f t="array" ref="AA383">VLOOKUP(B383,'Player Data'!$A1:$AE673,15,FALSE)*$Q383</f>
        <v>34.770692508472841</v>
      </c>
      <c r="AB383" s="57" cm="1">
        <f t="array" ref="AB383">VLOOKUP(B383,'Player Data'!$A1:$AE673,16,FALSE)*$Q383</f>
        <v>49.456613348496013</v>
      </c>
      <c r="AC383" s="57" cm="1">
        <f t="array" ref="AC383">VLOOKUP(B383,'Player Data'!$A1:$AE673,17,FALSE)*$Q383*IFERROR((VLOOKUP(P383,Settings!$E$28:$F$33,2,FALSE)+1),1)</f>
        <v>-0.13126418460709774</v>
      </c>
      <c r="AD383" s="57" cm="1">
        <f t="array" ref="AD383">VLOOKUP(B383,'Player Data'!$A1:$AE673,18,FALSE)*$Q383</f>
        <v>22.209869425045277</v>
      </c>
      <c r="AE383" s="57" cm="1">
        <f t="array" ref="AE383">VLOOKUP(B383,'Player Data'!$A1:$AE673,19,FALSE)*$Q383*IFERROR((VLOOKUP(P383,Settings!$E$28:$F$33,2,FALSE)+1),1)</f>
        <v>3.0409231443782949</v>
      </c>
      <c r="AF383" s="57" cm="1">
        <f t="array" ref="AF383">VLOOKUP(B383,'Player Data'!$A1:$AE673,20,FALSE)*$Q383</f>
        <v>7.3461854487221885</v>
      </c>
      <c r="AG383" s="57" cm="1">
        <f t="array" ref="AG383">VLOOKUP(B383,'Player Data'!$A1:$AE673,21,FALSE)*$Q383</f>
        <v>8.4691058624147448</v>
      </c>
      <c r="AH383" s="59" cm="1">
        <f t="array" ref="AH383">VLOOKUP(B383,'Player Data'!$A1:$AE673,22,FALSE)</f>
        <v>0.464498901992978</v>
      </c>
      <c r="AI383" s="55"/>
      <c r="AJ383" s="57"/>
      <c r="AK383" s="57"/>
      <c r="AL383" s="57"/>
      <c r="AM383" s="57"/>
      <c r="AN383" s="57"/>
      <c r="AO383" s="57"/>
      <c r="AP383" s="57"/>
      <c r="AQ383" s="60"/>
      <c r="AR383" s="61"/>
      <c r="AS383" s="55"/>
    </row>
    <row r="384" spans="1:45" ht="21.25" customHeight="1" x14ac:dyDescent="0.15">
      <c r="A384" s="62">
        <f t="shared" si="5"/>
        <v>383</v>
      </c>
      <c r="B384" s="10" t="s">
        <v>512</v>
      </c>
      <c r="C384" s="47" t="s">
        <v>147</v>
      </c>
      <c r="D384" s="48" t="str" cm="1">
        <f t="array" ref="D384">VLOOKUP(B384,'Player Data'!A1:D673,4,FALSE)</f>
        <v>D</v>
      </c>
      <c r="E384" s="68" cm="1">
        <f t="array" ref="E384">VLOOKUP(B384,D!A1:C204,3,FALSE)</f>
        <v>161</v>
      </c>
      <c r="F384" s="56" t="str" cm="1">
        <f t="array" ref="F384">VLOOKUP(B384,'Player Data'!A1:B673,2,FALSE)</f>
        <v>CHI</v>
      </c>
      <c r="G384" s="66" cm="1">
        <f t="array" ref="G384">VLOOKUP(B384,'Player Data'!A1:D673,3,FALSE)</f>
        <v>37</v>
      </c>
      <c r="H384" s="67" cm="1">
        <f t="array" ref="H384">IFERROR(VLOOKUP(B384,ADP!A1:F671,6,FALSE)/1000000,VLOOKUP(B384,ADP!A1:F671,6,FALSE))</f>
        <v>4</v>
      </c>
      <c r="I384" s="52">
        <f>IF(Settings!$E$15="POINTS",((R384*Q384)*Settings!$B$12)+(S384*Settings!$B$2)+(T384*Settings!$B$3)+(U384*Settings!$B$4)+(V384*Settings!$B$5)+(X384*Settings!$B$9)+(AA384*Settings!$B$6)+(W384*Settings!$B$8)+(AB384*Settings!$B$7)+(AC384*Settings!$B$14)+(AD384*Settings!$B$15)+(AE384*Settings!$B$16)+(AF384*Settings!$B$17)+(AG384*Settings!$B$18)+(U384*Settings!$B$13)+(Y384*Settings!$B$10)+(Z384*Settings!$B$11),VLOOKUP(B384,'Standard Deviations'!A$1:C$672,3,FALSE))</f>
        <v>132.5593506329925</v>
      </c>
      <c r="J384" s="53" cm="1">
        <f t="array" ref="J384">IF(D384="G",I384/AJ384,I384/Q384)</f>
        <v>1.5850693606719182</v>
      </c>
      <c r="K384" s="52" cm="1">
        <f t="array" ref="K384">VLOOKUP(B384,D!A1:F204,6,FALSE)</f>
        <v>-174.09451671160156</v>
      </c>
      <c r="L384" s="54" cm="1">
        <f t="array" ref="L384">IFERROR(K384/H384,"N/A")</f>
        <v>-43.523629177900389</v>
      </c>
      <c r="M384" s="85" t="s">
        <v>832</v>
      </c>
      <c r="N384" s="85" t="str" cm="1">
        <f t="array" ref="N384">IFERROR(M384-A384,"N/A")</f>
        <v>N/A</v>
      </c>
      <c r="O384" s="55"/>
      <c r="P384" s="56" t="str" cm="1">
        <f t="array" ref="P384">_xlfn.XLOOKUP($B384,ADP!A2:A671,ADP!G2:G671)</f>
        <v xml:space="preserve"> </v>
      </c>
      <c r="Q384" s="57" cm="1">
        <f t="array" ref="Q384">IF(Settings!$E$12="YES",VLOOKUP(B384,'Player Data'!A1:E673,5,FALSE),84)</f>
        <v>83.63</v>
      </c>
      <c r="R384" s="55" cm="1">
        <f t="array" ref="R384">VLOOKUP(B384,'Player Data'!$A1:$AE673,6,FALSE)</f>
        <v>18.118590517339999</v>
      </c>
      <c r="S384" s="57" cm="1">
        <f t="array" ref="S384">VLOOKUP(B384,'Player Data'!$A1:$AE673,7,FALSE)*$Q384*IFERROR((VLOOKUP(P384,Settings!$E$28:$F$33,2,FALSE)+1),1)</f>
        <v>-0.46160947925579832</v>
      </c>
      <c r="T384" s="57" cm="1">
        <f t="array" ref="T384">VLOOKUP(B384,'Player Data'!$A1:$AE673,8,FALSE)*$Q384*IFERROR((VLOOKUP(P384,Settings!$E$28:$F$33,2,FALSE)+1),1)</f>
        <v>12.686983547803543</v>
      </c>
      <c r="U384" s="57" cm="1">
        <f t="array" ref="U384">SUM(S384:T384)</f>
        <v>12.225374068547744</v>
      </c>
      <c r="V384" s="57" cm="1">
        <f t="array" ref="V384">VLOOKUP(B384,'Player Data'!$A1:$AE673,10,FALSE)*$Q384*IFERROR(((VLOOKUP(P384,Settings!$E$28:$F$33,2,FALSE)/2)+1),1)</f>
        <v>34.467290219951941</v>
      </c>
      <c r="W384" s="57" cm="1">
        <f t="array" ref="W384">VLOOKUP(B384,'Player Data'!$A1:$AE673,11,FALSE)*$Q384*IFERROR((VLOOKUP(P384,Settings!$E$28:$F$33,2,FALSE)+1),1)</f>
        <v>-1.2261245531611656E-3</v>
      </c>
      <c r="X384" s="57" cm="1">
        <f t="array" ref="X384">VLOOKUP(B384,'Player Data'!$A1:$AE673,12,FALSE)*$Q384*IFERROR((VLOOKUP(P384,Settings!$E$28:$F$33,2,FALSE)+1),1)</f>
        <v>3.2832045953006268E-2</v>
      </c>
      <c r="Y384" s="57" cm="1">
        <f t="array" ref="Y384">VLOOKUP(B384,'Player Data'!$A1:$AE673,13,FALSE)*$Q384</f>
        <v>-4.2280976957303562E-3</v>
      </c>
      <c r="Z384" s="57" cm="1">
        <f t="array" ref="Z384">VLOOKUP(B384,'Player Data'!$A1:$AE673,14,FALSE)*$Q384</f>
        <v>0.39738208976800571</v>
      </c>
      <c r="AA384" s="57" cm="1">
        <f t="array" ref="AA384">VLOOKUP(B384,'Player Data'!$A1:$AE673,15,FALSE)*$Q384</f>
        <v>156.43873836330459</v>
      </c>
      <c r="AB384" s="57" cm="1">
        <f t="array" ref="AB384">VLOOKUP(B384,'Player Data'!$A1:$AE673,16,FALSE)*$Q384</f>
        <v>85.307209418076823</v>
      </c>
      <c r="AC384" s="57" cm="1">
        <f t="array" ref="AC384">VLOOKUP(B384,'Player Data'!$A1:$AE673,17,FALSE)*$Q384*IFERROR((VLOOKUP(P384,Settings!$E$28:$F$33,2,FALSE)+1),1)</f>
        <v>-6.1822665770892655</v>
      </c>
      <c r="AD384" s="57" cm="1">
        <f t="array" ref="AD384">VLOOKUP(B384,'Player Data'!$A1:$AE673,18,FALSE)*$Q384</f>
        <v>55.856327301025139</v>
      </c>
      <c r="AE384" s="57" cm="1">
        <f t="array" ref="AE384">VLOOKUP(B384,'Player Data'!$A1:$AE673,19,FALSE)*$Q384*IFERROR((VLOOKUP(P384,Settings!$E$28:$F$33,2,FALSE)+1),1)</f>
        <v>-5.6970017976064831E-2</v>
      </c>
      <c r="AF384" s="57" cm="1">
        <f t="array" ref="AF384">VLOOKUP(B384,'Player Data'!$A1:$AE673,20,FALSE)*$Q384</f>
        <v>0</v>
      </c>
      <c r="AG384" s="57" cm="1">
        <f t="array" ref="AG384">VLOOKUP(B384,'Player Data'!$A1:$AE673,21,FALSE)*$Q384</f>
        <v>0</v>
      </c>
      <c r="AH384" s="59" cm="1">
        <f t="array" ref="AH384">VLOOKUP(B384,'Player Data'!$A1:$AE673,22,FALSE)</f>
        <v>0</v>
      </c>
      <c r="AI384" s="55"/>
      <c r="AJ384" s="57"/>
      <c r="AK384" s="57"/>
      <c r="AL384" s="57"/>
      <c r="AM384" s="57"/>
      <c r="AN384" s="57"/>
      <c r="AO384" s="57"/>
      <c r="AP384" s="57"/>
      <c r="AQ384" s="60"/>
      <c r="AR384" s="61"/>
      <c r="AS384" s="55"/>
    </row>
    <row r="385" spans="1:45" ht="21.25" customHeight="1" x14ac:dyDescent="0.15">
      <c r="A385" s="62">
        <f t="shared" si="5"/>
        <v>384</v>
      </c>
      <c r="B385" s="10" t="s">
        <v>513</v>
      </c>
      <c r="C385" s="76"/>
      <c r="D385" s="48" t="str" cm="1">
        <f t="array" ref="D385">VLOOKUP(B385,'Player Data'!A1:D673,4,FALSE)</f>
        <v>G</v>
      </c>
      <c r="E385" s="77" cm="1">
        <f t="array" ref="E385">VLOOKUP(B385,G!A1:D66,3,FALSE)</f>
        <v>43</v>
      </c>
      <c r="F385" s="63" t="str" cm="1">
        <f t="array" ref="F385">VLOOKUP(B385,'Player Data'!A1:B673,2,FALSE)</f>
        <v>EDM</v>
      </c>
      <c r="G385" s="66" cm="1">
        <f t="array" ref="G385">VLOOKUP(B385,'Player Data'!A1:D673,3,FALSE)</f>
        <v>36</v>
      </c>
      <c r="H385" s="67" cm="1">
        <f t="array" ref="H385">IFERROR(VLOOKUP(B385,ADP!A1:F671,6,FALSE)/1000000,VLOOKUP(B385,ADP!A1:F671,6,FALSE))</f>
        <v>1</v>
      </c>
      <c r="I385" s="52">
        <f>IF(Settings!$E$15="POINTS",(AJ385*Settings!$B$29)+(AK385*Settings!$B$21)+(AL385*Settings!$B$22)+(AN385*Settings!$B$24)+(AO385*Settings!$B$25)+(AP385*Settings!$B$27)+(AM385*Settings!$B$23),VLOOKUP(B385,'Standard Deviations'!A$1:C$672,3,FALSE))</f>
        <v>185.00574041988654</v>
      </c>
      <c r="J385" s="53" cm="1">
        <f t="array" ref="J385">IF(D385="G",I385/AJ385,I385/Q385)</f>
        <v>5.2858782977110437</v>
      </c>
      <c r="K385" s="52" cm="1">
        <f t="array" ref="K385">VLOOKUP(B385,G!A1:F66,6,FALSE)</f>
        <v>-174.15216751035149</v>
      </c>
      <c r="L385" s="54" cm="1">
        <f t="array" ref="L385">IFERROR(K385/H385,"N/A")</f>
        <v>-174.15216751035149</v>
      </c>
      <c r="M385" s="55">
        <v>133.30000000000001</v>
      </c>
      <c r="N385" s="55" cm="1">
        <f t="array" ref="N385">IFERROR(M385-A385,"N/A")</f>
        <v>-250.7</v>
      </c>
      <c r="O385" s="55"/>
      <c r="P385" s="56" t="str" cm="1">
        <f t="array" ref="P385">_xlfn.XLOOKUP($B385,ADP!A2:A671,ADP!G2:G671)</f>
        <v xml:space="preserve"> </v>
      </c>
      <c r="Q385" s="57"/>
      <c r="R385" s="55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9"/>
      <c r="AI385" s="55"/>
      <c r="AJ385" s="78" cm="1">
        <f t="array" ref="AJ385">VLOOKUP(B385,'Player Data'!$A1:$AE673,24,FALSE)</f>
        <v>35</v>
      </c>
      <c r="AK385" s="57" cm="1">
        <f t="array" ref="AK385">VLOOKUP(B385,'Player Data'!$A1:$AE673,25,FALSE)*$AJ385*IFERROR((VLOOKUP(P385,Settings!$E$28:$F$33,2,FALSE)+1),1)</f>
        <v>20.758222727498829</v>
      </c>
      <c r="AL385" s="57" cm="1">
        <f t="array" ref="AL385">AJ385-AK385-AM385</f>
        <v>10.681332954375861</v>
      </c>
      <c r="AM385" s="57" cm="1">
        <f t="array" ref="AM385">VLOOKUP(B385,'Player Data'!$A1:$AE673,27,FALSE)*$AJ385</f>
        <v>3.5604443181253096</v>
      </c>
      <c r="AN385" s="57" cm="1">
        <f t="array" ref="AN385">VLOOKUP(B385,'Player Data'!$A1:$AE673,28,FALSE)*AJ385</f>
        <v>2.0260766404342729</v>
      </c>
      <c r="AO385" s="57" cm="1">
        <f t="array" ref="AO385">VLOOKUP(B385,'Player Data'!$A1:$AE673,29,FALSE)*$AJ385*IFERROR((VLOOKUP(P385,Settings!$E$28:$F$33,2,FALSE)/4)+1,1)</f>
        <v>826.63957440587956</v>
      </c>
      <c r="AP385" s="57" cm="1">
        <f t="array" ref="AP385">VLOOKUP(B385,'Player Data'!$A1:$AE673,31,FALSE)*$AJ385*(IFERROR(1-(VLOOKUP(P385,Settings!$E$28:$F$33,2,FALSE)/4),1))</f>
        <v>97.538263868661346</v>
      </c>
      <c r="AQ385" s="60" cm="1">
        <f t="array" ref="AQ385">1-(AP385/(AO385+AP385))</f>
        <v>0.89445942130492195</v>
      </c>
      <c r="AR385" s="61" cm="1">
        <f t="array" ref="AR385">AP385/AJ385</f>
        <v>2.7868075391046099</v>
      </c>
      <c r="AS385" s="55"/>
    </row>
    <row r="386" spans="1:45" ht="21.25" customHeight="1" x14ac:dyDescent="0.15">
      <c r="A386" s="62">
        <f t="shared" ref="A386:A449" si="6">RANK(K386,K$2:K$671)</f>
        <v>385</v>
      </c>
      <c r="B386" s="10" t="s">
        <v>514</v>
      </c>
      <c r="C386" s="47" t="s">
        <v>147</v>
      </c>
      <c r="D386" s="48" t="str" cm="1">
        <f t="array" ref="D386">VLOOKUP(B386,'Player Data'!A1:D673,4,FALSE)</f>
        <v>LW</v>
      </c>
      <c r="E386" s="75" cm="1">
        <f t="array" ref="E386">VLOOKUP(B386,LW!A1:C210,3,FALSE)</f>
        <v>87</v>
      </c>
      <c r="F386" s="65" t="str" cm="1">
        <f t="array" ref="F386">VLOOKUP(B386,'Player Data'!A1:B673,2,FALSE)</f>
        <v>CAR</v>
      </c>
      <c r="G386" s="66" cm="1">
        <f t="array" ref="G386">VLOOKUP(B386,'Player Data'!A1:D673,3,FALSE)</f>
        <v>34</v>
      </c>
      <c r="H386" s="51" cm="1">
        <f t="array" ref="H386">IFERROR(VLOOKUP(B386,ADP!A1:F671,6,FALSE)/1000000,VLOOKUP(B386,ADP!A1:F671,6,FALSE))</f>
        <v>3.1659999999999999</v>
      </c>
      <c r="I386" s="52">
        <f>IF(Settings!$E$15="POINTS",((R386*Q386)*Settings!$B$12)+(S386*Settings!$B$2)+(T386*Settings!$B$3)+(U386*Settings!$B$4)+(V386*Settings!$B$5)+(X386*Settings!$B$9)+(AA386*Settings!$B$6)+(W386*Settings!$B$8)+(AB386*Settings!$B$7)+(AC386*Settings!$B$14)+(AD386*Settings!$B$15)+(AE386*Settings!$B$16)+(AF386*Settings!$B$17)+(AG386*Settings!$B$18)+(Y386*Settings!$B$10)+(Z386*Settings!$B$11),VLOOKUP(B386,'Standard Deviations'!A$1:C$672,3,FALSE))</f>
        <v>225.08835462832945</v>
      </c>
      <c r="J386" s="53" cm="1">
        <f t="array" ref="J386">IF(D386="G",I386/AJ386,I386/Q386)</f>
        <v>2.9699931338060956</v>
      </c>
      <c r="K386" s="52" cm="1">
        <f t="array" ref="K386">IF(Settings!$E$18="C/LW/RW",VLOOKUP(B386,LW!A1:F210,6,FALSE),VLOOKUP(B386,F!A1:F407,6,FALSE))</f>
        <v>-174.22463868539063</v>
      </c>
      <c r="L386" s="54" cm="1">
        <f t="array" ref="L386">IFERROR(K386/H386,"N/A")</f>
        <v>-55.029892193743095</v>
      </c>
      <c r="M386" s="85" t="s">
        <v>832</v>
      </c>
      <c r="N386" s="85" t="str" cm="1">
        <f t="array" ref="N386">IFERROR(M386-A386,"N/A")</f>
        <v>N/A</v>
      </c>
      <c r="O386" s="55"/>
      <c r="P386" s="56" t="str" cm="1">
        <f t="array" ref="P386">_xlfn.XLOOKUP($B386,ADP!A2:A671,ADP!G2:G671)</f>
        <v xml:space="preserve"> </v>
      </c>
      <c r="Q386" s="57" cm="1">
        <f t="array" ref="Q386">IF(Settings!$E$12="YES",VLOOKUP(B386,'Player Data'!A1:E673,5,FALSE),84)</f>
        <v>75.787499999999994</v>
      </c>
      <c r="R386" s="82" cm="1">
        <f t="array" ref="R386">VLOOKUP(B386,'Player Data'!$A1:$AE673,6,FALSE)</f>
        <v>15.5540474784796</v>
      </c>
      <c r="S386" s="57" cm="1">
        <f t="array" ref="S386">VLOOKUP(B386,'Player Data'!$A1:$AE673,7,FALSE)*$Q386*IFERROR((VLOOKUP(P386,Settings!$E$28:$F$33,2,FALSE)+1),1)</f>
        <v>17.37047220297729</v>
      </c>
      <c r="T386" s="57" cm="1">
        <f t="array" ref="T386">VLOOKUP(B386,'Player Data'!$A1:$AE673,8,FALSE)*$Q386*IFERROR((VLOOKUP(P386,Settings!$E$28:$F$33,2,FALSE)+1),1)</f>
        <v>26.135545708323178</v>
      </c>
      <c r="U386" s="57" cm="1">
        <f t="array" ref="U386">SUM(S386:T386)</f>
        <v>43.506017911300468</v>
      </c>
      <c r="V386" s="57" cm="1">
        <f t="array" ref="V386">VLOOKUP(B386,'Player Data'!$A1:$AE673,10,FALSE)*$Q386*IFERROR(((VLOOKUP(P386,Settings!$E$28:$F$33,2,FALSE)/2)+1),1)</f>
        <v>139.89385439191517</v>
      </c>
      <c r="W386" s="57" cm="1">
        <f t="array" ref="W386">VLOOKUP(B386,'Player Data'!$A1:$AE673,11,FALSE)*$Q386*IFERROR((VLOOKUP(P386,Settings!$E$28:$F$33,2,FALSE)+1),1)</f>
        <v>3.4312152855108464</v>
      </c>
      <c r="X386" s="57" cm="1">
        <f t="array" ref="X386">VLOOKUP(B386,'Player Data'!$A1:$AE673,12,FALSE)*$Q386*IFERROR((VLOOKUP(P386,Settings!$E$28:$F$33,2,FALSE)+1),1)</f>
        <v>7.5693656221751962</v>
      </c>
      <c r="Y386" s="57" cm="1">
        <f t="array" ref="Y386">VLOOKUP(B386,'Player Data'!$A1:$AE673,13,FALSE)*$Q386</f>
        <v>5.597874557169662E-3</v>
      </c>
      <c r="Z386" s="57" cm="1">
        <f t="array" ref="Z386">VLOOKUP(B386,'Player Data'!$A1:$AE673,14,FALSE)*$Q386</f>
        <v>9.0915741338698126E-3</v>
      </c>
      <c r="AA386" s="57" cm="1">
        <f t="array" ref="AA386">VLOOKUP(B386,'Player Data'!$A1:$AE673,15,FALSE)*$Q386</f>
        <v>34.089833004322827</v>
      </c>
      <c r="AB386" s="57" cm="1">
        <f t="array" ref="AB386">VLOOKUP(B386,'Player Data'!$A1:$AE673,16,FALSE)*$Q386</f>
        <v>55.124326951537192</v>
      </c>
      <c r="AC386" s="57" cm="1">
        <f t="array" ref="AC386">VLOOKUP(B386,'Player Data'!$A1:$AE673,17,FALSE)*$Q386*IFERROR((VLOOKUP(P386,Settings!$E$28:$F$33,2,FALSE)+1),1)</f>
        <v>6.4956756662705581</v>
      </c>
      <c r="AD386" s="57" cm="1">
        <f t="array" ref="AD386">VLOOKUP(B386,'Player Data'!$A1:$AE673,18,FALSE)*$Q386</f>
        <v>33.520342975941219</v>
      </c>
      <c r="AE386" s="57" cm="1">
        <f t="array" ref="AE386">VLOOKUP(B386,'Player Data'!$A1:$AE673,19,FALSE)*$Q386*IFERROR((VLOOKUP(P386,Settings!$E$28:$F$33,2,FALSE)+1),1)</f>
        <v>2.9829577826827793</v>
      </c>
      <c r="AF386" s="57" cm="1">
        <f t="array" ref="AF386">VLOOKUP(B386,'Player Data'!$A1:$AE673,20,FALSE)*$Q386</f>
        <v>25.444618811049803</v>
      </c>
      <c r="AG386" s="57" cm="1">
        <f t="array" ref="AG386">VLOOKUP(B386,'Player Data'!$A1:$AE673,21,FALSE)*$Q386</f>
        <v>32.006121849287439</v>
      </c>
      <c r="AH386" s="59" cm="1">
        <f t="array" ref="AH386">VLOOKUP(B386,'Player Data'!$A1:$AE673,22,FALSE)</f>
        <v>0.44289453048977301</v>
      </c>
      <c r="AI386" s="55"/>
      <c r="AJ386" s="57"/>
      <c r="AK386" s="57"/>
      <c r="AL386" s="57"/>
      <c r="AM386" s="57"/>
      <c r="AN386" s="57"/>
      <c r="AO386" s="57"/>
      <c r="AP386" s="57"/>
      <c r="AQ386" s="60"/>
      <c r="AR386" s="61"/>
      <c r="AS386" s="55"/>
    </row>
    <row r="387" spans="1:45" ht="21.25" customHeight="1" x14ac:dyDescent="0.15">
      <c r="A387" s="62">
        <f t="shared" si="6"/>
        <v>386</v>
      </c>
      <c r="B387" s="10" t="s">
        <v>515</v>
      </c>
      <c r="C387" s="47" t="s">
        <v>147</v>
      </c>
      <c r="D387" s="48" t="str" cm="1">
        <f t="array" ref="D387">VLOOKUP(B387,'Player Data'!A1:D673,4,FALSE)</f>
        <v>D</v>
      </c>
      <c r="E387" s="68" cm="1">
        <f t="array" ref="E387">VLOOKUP(B387,D!A1:C204,3,FALSE)</f>
        <v>162</v>
      </c>
      <c r="F387" s="50" t="str" cm="1">
        <f t="array" ref="F387">VLOOKUP(B387,'Player Data'!A1:B673,2,FALSE)</f>
        <v>ANA</v>
      </c>
      <c r="G387" s="66" cm="1">
        <f t="array" ref="G387">VLOOKUP(B387,'Player Data'!A1:D673,3,FALSE)</f>
        <v>35</v>
      </c>
      <c r="H387" s="51" cm="1">
        <f t="array" ref="H387">IFERROR(VLOOKUP(B387,ADP!A1:F671,6,FALSE)/1000000,VLOOKUP(B387,ADP!A1:F671,6,FALSE))</f>
        <v>2.25</v>
      </c>
      <c r="I387" s="52">
        <f>IF(Settings!$E$15="POINTS",((R387*Q387)*Settings!$B$12)+(S387*Settings!$B$2)+(T387*Settings!$B$3)+(U387*Settings!$B$4)+(V387*Settings!$B$5)+(X387*Settings!$B$9)+(AA387*Settings!$B$6)+(W387*Settings!$B$8)+(AB387*Settings!$B$7)+(AC387*Settings!$B$14)+(AD387*Settings!$B$15)+(AE387*Settings!$B$16)+(AF387*Settings!$B$17)+(AG387*Settings!$B$18)+(U387*Settings!$B$13)+(Y387*Settings!$B$10)+(Z387*Settings!$B$11),VLOOKUP(B387,'Standard Deviations'!A$1:C$672,3,FALSE))</f>
        <v>132.08721908632936</v>
      </c>
      <c r="J387" s="53" cm="1">
        <f t="array" ref="J387">IF(D387="G",I387/AJ387,I387/Q387)</f>
        <v>1.6850008813155932</v>
      </c>
      <c r="K387" s="52" cm="1">
        <f t="array" ref="K387">VLOOKUP(B387,D!A1:F204,6,FALSE)</f>
        <v>-174.56664825826471</v>
      </c>
      <c r="L387" s="54" cm="1">
        <f t="array" ref="L387">IFERROR(K387/H387,"N/A")</f>
        <v>-77.585177003673209</v>
      </c>
      <c r="M387" s="85" t="s">
        <v>832</v>
      </c>
      <c r="N387" s="85" t="str" cm="1">
        <f t="array" ref="N387">IFERROR(M387-A387,"N/A")</f>
        <v>N/A</v>
      </c>
      <c r="O387" s="55"/>
      <c r="P387" s="56" t="str" cm="1">
        <f t="array" ref="P387">_xlfn.XLOOKUP($B387,ADP!A2:A671,ADP!G2:G671)</f>
        <v xml:space="preserve"> </v>
      </c>
      <c r="Q387" s="57" cm="1">
        <f t="array" ref="Q387">IF(Settings!$E$12="YES",VLOOKUP(B387,'Player Data'!A1:E673,5,FALSE),84)</f>
        <v>78.39</v>
      </c>
      <c r="R387" s="82" cm="1">
        <f t="array" ref="R387">VLOOKUP(B387,'Player Data'!$A1:$AE673,6,FALSE)</f>
        <v>19.4520595597793</v>
      </c>
      <c r="S387" s="57" cm="1">
        <f t="array" ref="S387">VLOOKUP(B387,'Player Data'!$A1:$AE673,7,FALSE)*$Q387*IFERROR((VLOOKUP(P387,Settings!$E$28:$F$33,2,FALSE)+1),1)</f>
        <v>1.4509855470167887</v>
      </c>
      <c r="T387" s="57" cm="1">
        <f t="array" ref="T387">VLOOKUP(B387,'Player Data'!$A1:$AE673,8,FALSE)*$Q387*IFERROR((VLOOKUP(P387,Settings!$E$28:$F$33,2,FALSE)+1),1)</f>
        <v>16.192217303622527</v>
      </c>
      <c r="U387" s="57" cm="1">
        <f t="array" ref="U387">SUM(S387:T387)</f>
        <v>17.643202850639316</v>
      </c>
      <c r="V387" s="57" cm="1">
        <f t="array" ref="V387">VLOOKUP(B387,'Player Data'!$A1:$AE673,10,FALSE)*$Q387*IFERROR(((VLOOKUP(P387,Settings!$E$28:$F$33,2,FALSE)/2)+1),1)</f>
        <v>54.742819371787917</v>
      </c>
      <c r="W387" s="57" cm="1">
        <f t="array" ref="W387">VLOOKUP(B387,'Player Data'!$A1:$AE673,11,FALSE)*$Q387*IFERROR((VLOOKUP(P387,Settings!$E$28:$F$33,2,FALSE)+1),1)</f>
        <v>3.0094542893843034E-3</v>
      </c>
      <c r="X387" s="57" cm="1">
        <f t="array" ref="X387">VLOOKUP(B387,'Player Data'!$A1:$AE673,12,FALSE)*$Q387*IFERROR((VLOOKUP(P387,Settings!$E$28:$F$33,2,FALSE)+1),1)</f>
        <v>5.0099797407201586E-2</v>
      </c>
      <c r="Y387" s="57" cm="1">
        <f t="array" ref="Y387">VLOOKUP(B387,'Player Data'!$A1:$AE673,13,FALSE)*$Q387</f>
        <v>6.0856852672707658E-3</v>
      </c>
      <c r="Z387" s="57" cm="1">
        <f t="array" ref="Z387">VLOOKUP(B387,'Player Data'!$A1:$AE673,14,FALSE)*$Q387</f>
        <v>4.5429793306156624E-2</v>
      </c>
      <c r="AA387" s="57" cm="1">
        <f t="array" ref="AA387">VLOOKUP(B387,'Player Data'!$A1:$AE673,15,FALSE)*$Q387</f>
        <v>103.38134251560814</v>
      </c>
      <c r="AB387" s="57" cm="1">
        <f t="array" ref="AB387">VLOOKUP(B387,'Player Data'!$A1:$AE673,16,FALSE)*$Q387</f>
        <v>63.629395123533193</v>
      </c>
      <c r="AC387" s="57" cm="1">
        <f t="array" ref="AC387">VLOOKUP(B387,'Player Data'!$A1:$AE673,17,FALSE)*$Q387*IFERROR((VLOOKUP(P387,Settings!$E$28:$F$33,2,FALSE)+1),1)</f>
        <v>-3.504425933925051</v>
      </c>
      <c r="AD387" s="57" cm="1">
        <f t="array" ref="AD387">VLOOKUP(B387,'Player Data'!$A1:$AE673,18,FALSE)*$Q387</f>
        <v>16.557607856040576</v>
      </c>
      <c r="AE387" s="57" cm="1">
        <f t="array" ref="AE387">VLOOKUP(B387,'Player Data'!$A1:$AE673,19,FALSE)*$Q387*IFERROR((VLOOKUP(P387,Settings!$E$28:$F$33,2,FALSE)+1),1)</f>
        <v>0.2119848283285472</v>
      </c>
      <c r="AF387" s="57" cm="1">
        <f t="array" ref="AF387">VLOOKUP(B387,'Player Data'!$A1:$AE673,20,FALSE)*$Q387</f>
        <v>0</v>
      </c>
      <c r="AG387" s="57" cm="1">
        <f t="array" ref="AG387">VLOOKUP(B387,'Player Data'!$A1:$AE673,21,FALSE)*$Q387</f>
        <v>0</v>
      </c>
      <c r="AH387" s="59" cm="1">
        <f t="array" ref="AH387">VLOOKUP(B387,'Player Data'!$A1:$AE673,22,FALSE)</f>
        <v>0</v>
      </c>
      <c r="AI387" s="55"/>
      <c r="AJ387" s="57"/>
      <c r="AK387" s="57"/>
      <c r="AL387" s="57"/>
      <c r="AM387" s="57"/>
      <c r="AN387" s="57"/>
      <c r="AO387" s="57"/>
      <c r="AP387" s="57"/>
      <c r="AQ387" s="60"/>
      <c r="AR387" s="61"/>
      <c r="AS387" s="55"/>
    </row>
    <row r="388" spans="1:45" ht="21.25" customHeight="1" x14ac:dyDescent="0.15">
      <c r="A388" s="62">
        <f t="shared" si="6"/>
        <v>387</v>
      </c>
      <c r="B388" s="10" t="s">
        <v>516</v>
      </c>
      <c r="C388" s="47" t="s">
        <v>147</v>
      </c>
      <c r="D388" s="48" t="str" cm="1">
        <f t="array" ref="D388">VLOOKUP(B388,'Player Data'!A1:D673,4,FALSE)</f>
        <v>D</v>
      </c>
      <c r="E388" s="68" cm="1">
        <f t="array" ref="E388">VLOOKUP(B388,D!A1:C204,3,FALSE)</f>
        <v>163</v>
      </c>
      <c r="F388" s="56" t="str" cm="1">
        <f t="array" ref="F388">VLOOKUP(B388,'Player Data'!A1:B673,2,FALSE)</f>
        <v>UTA</v>
      </c>
      <c r="G388" s="71" cm="1">
        <f t="array" ref="G388">VLOOKUP(B388,'Player Data'!A1:D673,3,FALSE)</f>
        <v>22</v>
      </c>
      <c r="H388" s="51" cm="1">
        <f t="array" ref="H388">IFERROR(VLOOKUP(B388,ADP!A1:F671,6,FALSE)/1000000,VLOOKUP(B388,ADP!A1:F671,6,FALSE))</f>
        <v>0.88666699999999998</v>
      </c>
      <c r="I388" s="52">
        <f>IF(Settings!$E$15="POINTS",((R388*Q388)*Settings!$B$12)+(S388*Settings!$B$2)+(T388*Settings!$B$3)+(U388*Settings!$B$4)+(V388*Settings!$B$5)+(X388*Settings!$B$9)+(AA388*Settings!$B$6)+(W388*Settings!$B$8)+(AB388*Settings!$B$7)+(AC388*Settings!$B$14)+(AD388*Settings!$B$15)+(AE388*Settings!$B$16)+(AF388*Settings!$B$17)+(AG388*Settings!$B$18)+(U388*Settings!$B$13)+(Y388*Settings!$B$10)+(Z388*Settings!$B$11),VLOOKUP(B388,'Standard Deviations'!A$1:C$672,3,FALSE))</f>
        <v>131.48073644925358</v>
      </c>
      <c r="J388" s="53" cm="1">
        <f t="array" ref="J388">IF(D388="G",I388/AJ388,I388/Q388)</f>
        <v>1.8261213395729665</v>
      </c>
      <c r="K388" s="52" cm="1">
        <f t="array" ref="K388">VLOOKUP(B388,D!A1:F204,6,FALSE)</f>
        <v>-175.17313089534048</v>
      </c>
      <c r="L388" s="54" cm="1">
        <f t="array" ref="L388">IFERROR(K388/H388,"N/A")</f>
        <v>-197.56360718887754</v>
      </c>
      <c r="M388" s="85" t="s">
        <v>832</v>
      </c>
      <c r="N388" s="85" t="str" cm="1">
        <f t="array" ref="N388">IFERROR(M388-A388,"N/A")</f>
        <v>N/A</v>
      </c>
      <c r="O388" s="55"/>
      <c r="P388" s="56" t="str" cm="1">
        <f t="array" ref="P388">_xlfn.XLOOKUP($B388,ADP!A2:A671,ADP!G2:G671)</f>
        <v xml:space="preserve"> </v>
      </c>
      <c r="Q388" s="57" cm="1">
        <f t="array" ref="Q388">IF(Settings!$E$12="YES",VLOOKUP(B388,'Player Data'!A1:E673,5,FALSE),84)</f>
        <v>72</v>
      </c>
      <c r="R388" s="55" cm="1">
        <f t="array" ref="R388">VLOOKUP(B388,'Player Data'!$A1:$AE673,6,FALSE)</f>
        <v>15.507030360269001</v>
      </c>
      <c r="S388" s="57" cm="1">
        <f t="array" ref="S388">VLOOKUP(B388,'Player Data'!$A1:$AE673,7,FALSE)*$Q388*IFERROR((VLOOKUP(P388,Settings!$E$28:$F$33,2,FALSE)+1),1)</f>
        <v>4.3262329841056157</v>
      </c>
      <c r="T388" s="57" cm="1">
        <f t="array" ref="T388">VLOOKUP(B388,'Player Data'!$A1:$AE673,8,FALSE)*$Q388*IFERROR((VLOOKUP(P388,Settings!$E$28:$F$33,2,FALSE)+1),1)</f>
        <v>13.229057705051376</v>
      </c>
      <c r="U388" s="57" cm="1">
        <f t="array" ref="U388">SUM(S388:T388)</f>
        <v>17.55529068915699</v>
      </c>
      <c r="V388" s="57" cm="1">
        <f t="array" ref="V388">VLOOKUP(B388,'Player Data'!$A1:$AE673,10,FALSE)*$Q388*IFERROR(((VLOOKUP(P388,Settings!$E$28:$F$33,2,FALSE)/2)+1),1)</f>
        <v>73.652227803179997</v>
      </c>
      <c r="W388" s="57" cm="1">
        <f t="array" ref="W388">VLOOKUP(B388,'Player Data'!$A1:$AE673,11,FALSE)*$Q388*IFERROR((VLOOKUP(P388,Settings!$E$28:$F$33,2,FALSE)+1),1)</f>
        <v>0</v>
      </c>
      <c r="X388" s="57" cm="1">
        <f t="array" ref="X388">VLOOKUP(B388,'Player Data'!$A1:$AE673,12,FALSE)*$Q388*IFERROR((VLOOKUP(P388,Settings!$E$28:$F$33,2,FALSE)+1),1)</f>
        <v>0</v>
      </c>
      <c r="Y388" s="57" cm="1">
        <f t="array" ref="Y388">VLOOKUP(B388,'Player Data'!$A1:$AE673,13,FALSE)*$Q388</f>
        <v>0</v>
      </c>
      <c r="Z388" s="57" cm="1">
        <f t="array" ref="Z388">VLOOKUP(B388,'Player Data'!$A1:$AE673,14,FALSE)*$Q388</f>
        <v>0</v>
      </c>
      <c r="AA388" s="57" cm="1">
        <f t="array" ref="AA388">VLOOKUP(B388,'Player Data'!$A1:$AE673,15,FALSE)*$Q388</f>
        <v>83.9775009603852</v>
      </c>
      <c r="AB388" s="57" cm="1">
        <f t="array" ref="AB388">VLOOKUP(B388,'Player Data'!$A1:$AE673,16,FALSE)*$Q388</f>
        <v>88.550165449020241</v>
      </c>
      <c r="AC388" s="57" cm="1">
        <f t="array" ref="AC388">VLOOKUP(B388,'Player Data'!$A1:$AE673,17,FALSE)*$Q388*IFERROR((VLOOKUP(P388,Settings!$E$28:$F$33,2,FALSE)+1),1)</f>
        <v>1.2114003927364849</v>
      </c>
      <c r="AD388" s="57" cm="1">
        <f t="array" ref="AD388">VLOOKUP(B388,'Player Data'!$A1:$AE673,18,FALSE)*$Q388</f>
        <v>49.52725092903075</v>
      </c>
      <c r="AE388" s="57" cm="1">
        <f t="array" ref="AE388">VLOOKUP(B388,'Player Data'!$A1:$AE673,19,FALSE)*$Q388*IFERROR((VLOOKUP(P388,Settings!$E$28:$F$33,2,FALSE)+1),1)</f>
        <v>0.69931222926032444</v>
      </c>
      <c r="AF388" s="57" cm="1">
        <f t="array" ref="AF388">VLOOKUP(B388,'Player Data'!$A1:$AE673,20,FALSE)*$Q388</f>
        <v>0</v>
      </c>
      <c r="AG388" s="57" cm="1">
        <f t="array" ref="AG388">VLOOKUP(B388,'Player Data'!$A1:$AE673,21,FALSE)*$Q388</f>
        <v>0</v>
      </c>
      <c r="AH388" s="59" cm="1">
        <f t="array" ref="AH388">VLOOKUP(B388,'Player Data'!$A1:$AE673,22,FALSE)</f>
        <v>0</v>
      </c>
      <c r="AI388" s="55"/>
      <c r="AJ388" s="57"/>
      <c r="AK388" s="57"/>
      <c r="AL388" s="57"/>
      <c r="AM388" s="57"/>
      <c r="AN388" s="57"/>
      <c r="AO388" s="57"/>
      <c r="AP388" s="57"/>
      <c r="AQ388" s="60"/>
      <c r="AR388" s="61"/>
      <c r="AS388" s="55"/>
    </row>
    <row r="389" spans="1:45" ht="21.25" customHeight="1" x14ac:dyDescent="0.15">
      <c r="A389" s="62">
        <f t="shared" si="6"/>
        <v>388</v>
      </c>
      <c r="B389" s="10" t="s">
        <v>517</v>
      </c>
      <c r="C389" s="76"/>
      <c r="D389" s="48" t="str" cm="1">
        <f t="array" ref="D389">VLOOKUP(B389,'Player Data'!A1:D673,4,FALSE)</f>
        <v>G</v>
      </c>
      <c r="E389" s="77" cm="1">
        <f t="array" ref="E389">VLOOKUP(B389,G!A1:D66,3,FALSE)</f>
        <v>44</v>
      </c>
      <c r="F389" s="63" t="str" cm="1">
        <f t="array" ref="F389">VLOOKUP(B389,'Player Data'!A1:B673,2,FALSE)</f>
        <v>VGK</v>
      </c>
      <c r="G389" s="11" cm="1">
        <f t="array" ref="G389">VLOOKUP(B389,'Player Data'!A1:D673,3,FALSE)</f>
        <v>30</v>
      </c>
      <c r="H389" s="51" cm="1">
        <f t="array" ref="H389">IFERROR(VLOOKUP(B389,ADP!A1:F671,6,FALSE)/1000000,VLOOKUP(B389,ADP!A1:F671,6,FALSE))</f>
        <v>6.25</v>
      </c>
      <c r="I389" s="52">
        <f>IF(Settings!$E$15="POINTS",(AJ389*Settings!$B$29)+(AK389*Settings!$B$21)+(AL389*Settings!$B$22)+(AN389*Settings!$B$24)+(AO389*Settings!$B$25)+(AP389*Settings!$B$27)+(AM389*Settings!$B$23),VLOOKUP(B389,'Standard Deviations'!A$1:C$672,3,FALSE))</f>
        <v>183.8588213075858</v>
      </c>
      <c r="J389" s="53" cm="1">
        <f t="array" ref="J389">IF(D389="G",I389/AJ389,I389/Q389)</f>
        <v>5.2531091802167369</v>
      </c>
      <c r="K389" s="52" cm="1">
        <f t="array" ref="K389">VLOOKUP(B389,G!A1:F66,6,FALSE)</f>
        <v>-175.29908662265223</v>
      </c>
      <c r="L389" s="54" cm="1">
        <f t="array" ref="L389">IFERROR(K389/H389,"N/A")</f>
        <v>-28.047853859624357</v>
      </c>
      <c r="M389" s="55">
        <v>127</v>
      </c>
      <c r="N389" s="55" cm="1">
        <f t="array" ref="N389">IFERROR(M389-A389,"N/A")</f>
        <v>-261</v>
      </c>
      <c r="O389" s="55"/>
      <c r="P389" s="56" t="str" cm="1">
        <f t="array" ref="P389">_xlfn.XLOOKUP($B389,ADP!A2:A671,ADP!G2:G671)</f>
        <v xml:space="preserve"> </v>
      </c>
      <c r="Q389" s="57"/>
      <c r="R389" s="55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9"/>
      <c r="AI389" s="55"/>
      <c r="AJ389" s="78" cm="1">
        <f t="array" ref="AJ389">VLOOKUP(B389,'Player Data'!$A1:$AE673,24,FALSE)</f>
        <v>35</v>
      </c>
      <c r="AK389" s="57" cm="1">
        <f t="array" ref="AK389">VLOOKUP(B389,'Player Data'!$A1:$AE673,25,FALSE)*$AJ389*IFERROR((VLOOKUP(P389,Settings!$E$28:$F$33,2,FALSE)+1),1)</f>
        <v>19.779479049794102</v>
      </c>
      <c r="AL389" s="57" cm="1">
        <f t="array" ref="AL389">AJ389-AK389-AM389</f>
        <v>11.415390712654423</v>
      </c>
      <c r="AM389" s="57" cm="1">
        <f t="array" ref="AM389">VLOOKUP(B389,'Player Data'!$A1:$AE673,27,FALSE)*$AJ389</f>
        <v>3.8051302375514751</v>
      </c>
      <c r="AN389" s="57" cm="1">
        <f t="array" ref="AN389">VLOOKUP(B389,'Player Data'!$A1:$AE673,28,FALSE)*AJ389</f>
        <v>2.3119538392340777</v>
      </c>
      <c r="AO389" s="57" cm="1">
        <f t="array" ref="AO389">VLOOKUP(B389,'Player Data'!$A1:$AE673,29,FALSE)*$AJ389*IFERROR((VLOOKUP(P389,Settings!$E$28:$F$33,2,FALSE)/4)+1,1)</f>
        <v>807.19535493892749</v>
      </c>
      <c r="AP389" s="57" cm="1">
        <f t="array" ref="AP389">VLOOKUP(B389,'Player Data'!$A1:$AE673,31,FALSE)*$AJ389*(IFERROR(1-(VLOOKUP(P389,Settings!$E$28:$F$33,2,FALSE)/4),1))</f>
        <v>93.796415716831447</v>
      </c>
      <c r="AQ389" s="60" cm="1">
        <f t="array" ref="AQ389">1-(AP389/(AO389+AP389))</f>
        <v>0.89589647900050784</v>
      </c>
      <c r="AR389" s="61" cm="1">
        <f t="array" ref="AR389">AP389/AJ389</f>
        <v>2.6798975919094699</v>
      </c>
      <c r="AS389" s="55"/>
    </row>
    <row r="390" spans="1:45" ht="21.25" customHeight="1" x14ac:dyDescent="0.15">
      <c r="A390" s="62">
        <f t="shared" si="6"/>
        <v>389</v>
      </c>
      <c r="B390" s="10" t="s">
        <v>518</v>
      </c>
      <c r="C390" s="47" t="s">
        <v>147</v>
      </c>
      <c r="D390" s="48" t="str" cm="1">
        <f t="array" ref="D390">VLOOKUP(B390,'Player Data'!A1:D673,4,FALSE)</f>
        <v>D</v>
      </c>
      <c r="E390" s="68" cm="1">
        <f t="array" ref="E390">VLOOKUP(B390,D!A1:C204,3,FALSE)</f>
        <v>164</v>
      </c>
      <c r="F390" s="69" t="str" cm="1">
        <f t="array" ref="F390">VLOOKUP(B390,'Player Data'!A1:B673,2,FALSE)</f>
        <v>N.J</v>
      </c>
      <c r="G390" s="11" cm="1">
        <f t="array" ref="G390">VLOOKUP(B390,'Player Data'!A1:D673,3,FALSE)</f>
        <v>29</v>
      </c>
      <c r="H390" s="51" cm="1">
        <f t="array" ref="H390">IFERROR(VLOOKUP(B390,ADP!A1:F671,6,FALSE)/1000000,VLOOKUP(B390,ADP!A1:F671,6,FALSE))</f>
        <v>4</v>
      </c>
      <c r="I390" s="52">
        <f>IF(Settings!$E$15="POINTS",((R390*Q390)*Settings!$B$12)+(S390*Settings!$B$2)+(T390*Settings!$B$3)+(U390*Settings!$B$4)+(V390*Settings!$B$5)+(X390*Settings!$B$9)+(AA390*Settings!$B$6)+(W390*Settings!$B$8)+(AB390*Settings!$B$7)+(AC390*Settings!$B$14)+(AD390*Settings!$B$15)+(AE390*Settings!$B$16)+(AF390*Settings!$B$17)+(AG390*Settings!$B$18)+(U390*Settings!$B$13)+(Y390*Settings!$B$10)+(Z390*Settings!$B$11),VLOOKUP(B390,'Standard Deviations'!A$1:C$672,3,FALSE))</f>
        <v>131.1842591290827</v>
      </c>
      <c r="J390" s="53" cm="1">
        <f t="array" ref="J390">IF(D390="G",I390/AJ390,I390/Q390)</f>
        <v>1.7879213483128242</v>
      </c>
      <c r="K390" s="52" cm="1">
        <f t="array" ref="K390">VLOOKUP(B390,D!A1:F204,6,FALSE)</f>
        <v>-175.46960821551136</v>
      </c>
      <c r="L390" s="54" cm="1">
        <f t="array" ref="L390">IFERROR(K390/H390,"N/A")</f>
        <v>-43.867402053877839</v>
      </c>
      <c r="M390" s="85" t="s">
        <v>832</v>
      </c>
      <c r="N390" s="85" t="str" cm="1">
        <f t="array" ref="N390">IFERROR(M390-A390,"N/A")</f>
        <v>N/A</v>
      </c>
      <c r="O390" s="55"/>
      <c r="P390" s="56" t="str" cm="1">
        <f t="array" ref="P390">_xlfn.XLOOKUP($B390,ADP!A2:A671,ADP!G2:G671)</f>
        <v xml:space="preserve"> </v>
      </c>
      <c r="Q390" s="57" cm="1">
        <f t="array" ref="Q390">IF(Settings!$E$12="YES",VLOOKUP(B390,'Player Data'!A1:E673,5,FALSE),84)</f>
        <v>73.372500000000002</v>
      </c>
      <c r="R390" s="82" cm="1">
        <f t="array" ref="R390">VLOOKUP(B390,'Player Data'!$A1:$AE673,6,FALSE)</f>
        <v>19.245265223267701</v>
      </c>
      <c r="S390" s="57" cm="1">
        <f t="array" ref="S390">VLOOKUP(B390,'Player Data'!$A1:$AE673,7,FALSE)*$Q390*IFERROR((VLOOKUP(P390,Settings!$E$28:$F$33,2,FALSE)+1),1)</f>
        <v>2.2640374658274331</v>
      </c>
      <c r="T390" s="57" cm="1">
        <f t="array" ref="T390">VLOOKUP(B390,'Player Data'!$A1:$AE673,8,FALSE)*$Q390*IFERROR((VLOOKUP(P390,Settings!$E$28:$F$33,2,FALSE)+1),1)</f>
        <v>14.455255573544337</v>
      </c>
      <c r="U390" s="57" cm="1">
        <f t="array" ref="U390">SUM(S390:T390)</f>
        <v>16.71929303937177</v>
      </c>
      <c r="V390" s="57" cm="1">
        <f t="array" ref="V390">VLOOKUP(B390,'Player Data'!$A1:$AE673,10,FALSE)*$Q390*IFERROR(((VLOOKUP(P390,Settings!$E$28:$F$33,2,FALSE)/2)+1),1)</f>
        <v>66.488402111422261</v>
      </c>
      <c r="W390" s="57" cm="1">
        <f t="array" ref="W390">VLOOKUP(B390,'Player Data'!$A1:$AE673,11,FALSE)*$Q390*IFERROR((VLOOKUP(P390,Settings!$E$28:$F$33,2,FALSE)+1),1)</f>
        <v>6.1939451856063543E-3</v>
      </c>
      <c r="X390" s="57" cm="1">
        <f t="array" ref="X390">VLOOKUP(B390,'Player Data'!$A1:$AE673,12,FALSE)*$Q390*IFERROR((VLOOKUP(P390,Settings!$E$28:$F$33,2,FALSE)+1),1)</f>
        <v>6.0453284894825786E-2</v>
      </c>
      <c r="Y390" s="57" cm="1">
        <f t="array" ref="Y390">VLOOKUP(B390,'Player Data'!$A1:$AE673,13,FALSE)*$Q390</f>
        <v>1.2572381491503306E-2</v>
      </c>
      <c r="Z390" s="57" cm="1">
        <f t="array" ref="Z390">VLOOKUP(B390,'Player Data'!$A1:$AE673,14,FALSE)*$Q390</f>
        <v>0.11293902055345988</v>
      </c>
      <c r="AA390" s="57" cm="1">
        <f t="array" ref="AA390">VLOOKUP(B390,'Player Data'!$A1:$AE673,15,FALSE)*$Q390</f>
        <v>95.217573299615978</v>
      </c>
      <c r="AB390" s="57" cm="1">
        <f t="array" ref="AB390">VLOOKUP(B390,'Player Data'!$A1:$AE673,16,FALSE)*$Q390</f>
        <v>97.322433447988161</v>
      </c>
      <c r="AC390" s="57" cm="1">
        <f t="array" ref="AC390">VLOOKUP(B390,'Player Data'!$A1:$AE673,17,FALSE)*$Q390*IFERROR((VLOOKUP(P390,Settings!$E$28:$F$33,2,FALSE)+1),1)</f>
        <v>0.21272761087571573</v>
      </c>
      <c r="AD390" s="57" cm="1">
        <f t="array" ref="AD390">VLOOKUP(B390,'Player Data'!$A1:$AE673,18,FALSE)*$Q390</f>
        <v>56.018945496383822</v>
      </c>
      <c r="AE390" s="57" cm="1">
        <f t="array" ref="AE390">VLOOKUP(B390,'Player Data'!$A1:$AE673,19,FALSE)*$Q390*IFERROR((VLOOKUP(P390,Settings!$E$28:$F$33,2,FALSE)+1),1)</f>
        <v>0.33839620951289356</v>
      </c>
      <c r="AF390" s="57" cm="1">
        <f t="array" ref="AF390">VLOOKUP(B390,'Player Data'!$A1:$AE673,20,FALSE)*$Q390</f>
        <v>0</v>
      </c>
      <c r="AG390" s="57" cm="1">
        <f t="array" ref="AG390">VLOOKUP(B390,'Player Data'!$A1:$AE673,21,FALSE)*$Q390</f>
        <v>0</v>
      </c>
      <c r="AH390" s="59" cm="1">
        <f t="array" ref="AH390">VLOOKUP(B390,'Player Data'!$A1:$AE673,22,FALSE)</f>
        <v>0</v>
      </c>
      <c r="AI390" s="55"/>
      <c r="AJ390" s="57"/>
      <c r="AK390" s="57"/>
      <c r="AL390" s="57"/>
      <c r="AM390" s="57"/>
      <c r="AN390" s="57"/>
      <c r="AO390" s="57"/>
      <c r="AP390" s="57"/>
      <c r="AQ390" s="60"/>
      <c r="AR390" s="61"/>
      <c r="AS390" s="55"/>
    </row>
    <row r="391" spans="1:45" ht="21.25" customHeight="1" x14ac:dyDescent="0.15">
      <c r="A391" s="62">
        <f t="shared" si="6"/>
        <v>390</v>
      </c>
      <c r="B391" s="10" t="s">
        <v>519</v>
      </c>
      <c r="C391" s="47" t="s">
        <v>147</v>
      </c>
      <c r="D391" s="48" t="str" cm="1">
        <f t="array" ref="D391">VLOOKUP(B391,'Player Data'!A1:D673,4,FALSE)</f>
        <v>C</v>
      </c>
      <c r="E391" s="49" cm="1">
        <f t="array" ref="E391">VLOOKUP(B391,'C'!A1:C210,3,FALSE)</f>
        <v>96</v>
      </c>
      <c r="F391" s="73" t="str" cm="1">
        <f t="array" ref="F391">VLOOKUP(B391,'Player Data'!A1:B673,2,FALSE)</f>
        <v>BUF</v>
      </c>
      <c r="G391" s="11" cm="1">
        <f t="array" ref="G391">VLOOKUP(B391,'Player Data'!A1:D673,3,FALSE)</f>
        <v>27</v>
      </c>
      <c r="H391" s="51" cm="1">
        <f t="array" ref="H391">IFERROR(VLOOKUP(B391,ADP!A1:F671,6,FALSE)/1000000,VLOOKUP(B391,ADP!A1:F671,6,FALSE))</f>
        <v>7.95</v>
      </c>
      <c r="I391" s="52">
        <f>IF(Settings!$E$15="POINTS",((R391*Q391)*Settings!$B$12)+(S391*Settings!$B$2)+(T391*Settings!$B$3)+(U391*Settings!$B$4)+(V391*Settings!$B$5)+(X391*Settings!$B$9)+(AA391*Settings!$B$6)+(W391*Settings!$B$8)+(AB391*Settings!$B$7)+(AC391*Settings!$B$14)+(AD391*Settings!$B$15)+(AE391*Settings!$B$16)+(AF391*Settings!$B$17)+(AG391*Settings!$B$18)+(Y391*Settings!$B$10)+(Z391*Settings!$B$11),VLOOKUP(B391,'Standard Deviations'!A$1:C$672,3,FALSE))</f>
        <v>210.95914970766987</v>
      </c>
      <c r="J391" s="53" cm="1">
        <f t="array" ref="J391">IF(D391="G",I391/AJ391,I391/Q391)</f>
        <v>2.9919039811043802</v>
      </c>
      <c r="K391" s="52" cm="1">
        <f t="array" ref="K391">IF(Settings!$E$18="C/LW/RW",VLOOKUP(B391,'C'!A1:F210,6,FALSE),VLOOKUP(B391,F!A1:F407,6,FALSE))</f>
        <v>-175.57605668541314</v>
      </c>
      <c r="L391" s="54" cm="1">
        <f t="array" ref="L391">IFERROR(K391/H391,"N/A")</f>
        <v>-22.085038576781525</v>
      </c>
      <c r="M391" s="85" t="s">
        <v>832</v>
      </c>
      <c r="N391" s="85" t="str" cm="1">
        <f t="array" ref="N391">IFERROR(M391-A391,"N/A")</f>
        <v>N/A</v>
      </c>
      <c r="O391" s="55"/>
      <c r="P391" s="56" t="str" cm="1">
        <f t="array" ref="P391">_xlfn.XLOOKUP($B391,ADP!A2:A671,ADP!G2:G671)</f>
        <v xml:space="preserve"> </v>
      </c>
      <c r="Q391" s="57" cm="1">
        <f t="array" ref="Q391">IF(Settings!$E$12="YES",VLOOKUP(B391,'Player Data'!A1:E673,5,FALSE),84)</f>
        <v>70.510000000000005</v>
      </c>
      <c r="R391" s="55" cm="1">
        <f t="array" ref="R391">VLOOKUP(B391,'Player Data'!$A1:$AE673,6,FALSE)</f>
        <v>14.9778591750104</v>
      </c>
      <c r="S391" s="57" cm="1">
        <f t="array" ref="S391">VLOOKUP(B391,'Player Data'!$A1:$AE673,7,FALSE)*$Q391*IFERROR((VLOOKUP(P391,Settings!$E$28:$F$33,2,FALSE)+1),1)</f>
        <v>19.026817177737364</v>
      </c>
      <c r="T391" s="57" cm="1">
        <f t="array" ref="T391">VLOOKUP(B391,'Player Data'!$A1:$AE673,8,FALSE)*$Q391*IFERROR((VLOOKUP(P391,Settings!$E$28:$F$33,2,FALSE)+1),1)</f>
        <v>22.010629445040752</v>
      </c>
      <c r="U391" s="57" cm="1">
        <f t="array" ref="U391">SUM(S391:T391)</f>
        <v>41.03744662277812</v>
      </c>
      <c r="V391" s="57" cm="1">
        <f t="array" ref="V391">VLOOKUP(B391,'Player Data'!$A1:$AE673,10,FALSE)*$Q391*IFERROR(((VLOOKUP(P391,Settings!$E$28:$F$33,2,FALSE)/2)+1),1)</f>
        <v>111.50116718100287</v>
      </c>
      <c r="W391" s="57" cm="1">
        <f t="array" ref="W391">VLOOKUP(B391,'Player Data'!$A1:$AE673,11,FALSE)*$Q391*IFERROR((VLOOKUP(P391,Settings!$E$28:$F$33,2,FALSE)+1),1)</f>
        <v>4.2389465086653644</v>
      </c>
      <c r="X391" s="79" cm="1">
        <f t="array" ref="X391">VLOOKUP(B391,'Player Data'!$A1:$AE673,12,FALSE)*$Q391*IFERROR((VLOOKUP(P391,Settings!$E$28:$F$33,2,FALSE)+1),1)</f>
        <v>11.231524078620211</v>
      </c>
      <c r="Y391" s="57" cm="1">
        <f t="array" ref="Y391">VLOOKUP(B391,'Player Data'!$A1:$AE673,13,FALSE)*$Q391</f>
        <v>2.9137962735950772E-2</v>
      </c>
      <c r="Z391" s="57" cm="1">
        <f t="array" ref="Z391">VLOOKUP(B391,'Player Data'!$A1:$AE673,14,FALSE)*$Q391</f>
        <v>5.2207026728856402E-2</v>
      </c>
      <c r="AA391" s="57" cm="1">
        <f t="array" ref="AA391">VLOOKUP(B391,'Player Data'!$A1:$AE673,15,FALSE)*$Q391</f>
        <v>41.624990286970011</v>
      </c>
      <c r="AB391" s="57" cm="1">
        <f t="array" ref="AB391">VLOOKUP(B391,'Player Data'!$A1:$AE673,16,FALSE)*$Q391</f>
        <v>79.396261910048608</v>
      </c>
      <c r="AC391" s="57" cm="1">
        <f t="array" ref="AC391">VLOOKUP(B391,'Player Data'!$A1:$AE673,17,FALSE)*$Q391*IFERROR((VLOOKUP(P391,Settings!$E$28:$F$33,2,FALSE)+1),1)</f>
        <v>1.4250105865471172</v>
      </c>
      <c r="AD391" s="57" cm="1">
        <f t="array" ref="AD391">VLOOKUP(B391,'Player Data'!$A1:$AE673,18,FALSE)*$Q391</f>
        <v>28.527359642214954</v>
      </c>
      <c r="AE391" s="57" cm="1">
        <f t="array" ref="AE391">VLOOKUP(B391,'Player Data'!$A1:$AE673,19,FALSE)*$Q391*IFERROR((VLOOKUP(P391,Settings!$E$28:$F$33,2,FALSE)+1),1)</f>
        <v>2.868672847961383</v>
      </c>
      <c r="AF391" s="57" cm="1">
        <f t="array" ref="AF391">VLOOKUP(B391,'Player Data'!$A1:$AE673,20,FALSE)*$Q391</f>
        <v>443.12867225638723</v>
      </c>
      <c r="AG391" s="57" cm="1">
        <f t="array" ref="AG391">VLOOKUP(B391,'Player Data'!$A1:$AE673,21,FALSE)*$Q391</f>
        <v>410.69586215110138</v>
      </c>
      <c r="AH391" s="59" cm="1">
        <f t="array" ref="AH391">VLOOKUP(B391,'Player Data'!$A1:$AE673,22,FALSE)</f>
        <v>0.518992666993221</v>
      </c>
      <c r="AI391" s="55"/>
      <c r="AJ391" s="57"/>
      <c r="AK391" s="57"/>
      <c r="AL391" s="57"/>
      <c r="AM391" s="57"/>
      <c r="AN391" s="57"/>
      <c r="AO391" s="57"/>
      <c r="AP391" s="57"/>
      <c r="AQ391" s="60"/>
      <c r="AR391" s="61"/>
      <c r="AS391" s="55"/>
    </row>
    <row r="392" spans="1:45" ht="21.25" customHeight="1" x14ac:dyDescent="0.15">
      <c r="A392" s="62">
        <f t="shared" si="6"/>
        <v>391</v>
      </c>
      <c r="B392" s="10" t="s">
        <v>520</v>
      </c>
      <c r="C392" s="47" t="s">
        <v>147</v>
      </c>
      <c r="D392" s="48" t="str" cm="1">
        <f t="array" ref="D392">VLOOKUP(B392,'Player Data'!A1:D673,4,FALSE)</f>
        <v>D</v>
      </c>
      <c r="E392" s="68" cm="1">
        <f t="array" ref="E392">VLOOKUP(B392,D!A1:C204,3,FALSE)</f>
        <v>165</v>
      </c>
      <c r="F392" s="65" t="str" cm="1">
        <f t="array" ref="F392">VLOOKUP(B392,'Player Data'!A1:B673,2,FALSE)</f>
        <v>STL</v>
      </c>
      <c r="G392" s="11" cm="1">
        <f t="array" ref="G392">VLOOKUP(B392,'Player Data'!A1:D673,3,FALSE)</f>
        <v>29</v>
      </c>
      <c r="H392" s="67" cm="1">
        <f t="array" ref="H392">IFERROR(VLOOKUP(B392,ADP!A1:F671,6,FALSE)/1000000,VLOOKUP(B392,ADP!A1:F671,6,FALSE))</f>
        <v>3.4849999999999999</v>
      </c>
      <c r="I392" s="52">
        <f>IF(Settings!$E$15="POINTS",((R392*Q392)*Settings!$B$12)+(S392*Settings!$B$2)+(T392*Settings!$B$3)+(U392*Settings!$B$4)+(V392*Settings!$B$5)+(X392*Settings!$B$9)+(AA392*Settings!$B$6)+(W392*Settings!$B$8)+(AB392*Settings!$B$7)+(AC392*Settings!$B$14)+(AD392*Settings!$B$15)+(AE392*Settings!$B$16)+(AF392*Settings!$B$17)+(AG392*Settings!$B$18)+(U392*Settings!$B$13)+(Y392*Settings!$B$10)+(Z392*Settings!$B$11),VLOOKUP(B392,'Standard Deviations'!A$1:C$672,3,FALSE))</f>
        <v>128.12926466305098</v>
      </c>
      <c r="J392" s="53" cm="1">
        <f t="array" ref="J392">IF(D392="G",I392/AJ392,I392/Q392)</f>
        <v>1.6265219252688159</v>
      </c>
      <c r="K392" s="52" cm="1">
        <f t="array" ref="K392">VLOOKUP(B392,D!A1:F204,6,FALSE)</f>
        <v>-178.52460268154309</v>
      </c>
      <c r="L392" s="54" cm="1">
        <f t="array" ref="L392">IFERROR(K392/H392,"N/A")</f>
        <v>-51.226571788104188</v>
      </c>
      <c r="M392" s="85" t="s">
        <v>832</v>
      </c>
      <c r="N392" s="85" t="str" cm="1">
        <f t="array" ref="N392">IFERROR(M392-A392,"N/A")</f>
        <v>N/A</v>
      </c>
      <c r="O392" s="55"/>
      <c r="P392" s="56" t="str" cm="1">
        <f t="array" ref="P392">_xlfn.XLOOKUP($B392,ADP!A2:A671,ADP!G2:G671)</f>
        <v xml:space="preserve"> </v>
      </c>
      <c r="Q392" s="57" cm="1">
        <f t="array" ref="Q392">IF(Settings!$E$12="YES",VLOOKUP(B392,'Player Data'!A1:E673,5,FALSE),84)</f>
        <v>78.775000000000006</v>
      </c>
      <c r="R392" s="84" cm="1">
        <f t="array" ref="R392">VLOOKUP(B392,'Player Data'!$A1:$AE673,6,FALSE)</f>
        <v>17.661120759177901</v>
      </c>
      <c r="S392" s="57" cm="1">
        <f t="array" ref="S392">VLOOKUP(B392,'Player Data'!$A1:$AE673,7,FALSE)*$Q392*IFERROR((VLOOKUP(P392,Settings!$E$28:$F$33,2,FALSE)+1),1)</f>
        <v>0.85940290360164795</v>
      </c>
      <c r="T392" s="57" cm="1">
        <f t="array" ref="T392">VLOOKUP(B392,'Player Data'!$A1:$AE673,8,FALSE)*$Q392*IFERROR((VLOOKUP(P392,Settings!$E$28:$F$33,2,FALSE)+1),1)</f>
        <v>9.8242824642214934</v>
      </c>
      <c r="U392" s="57" cm="1">
        <f t="array" ref="U392">SUM(S392:T392)</f>
        <v>10.683685367823141</v>
      </c>
      <c r="V392" s="57" cm="1">
        <f t="array" ref="V392">VLOOKUP(B392,'Player Data'!$A1:$AE673,10,FALSE)*$Q392*IFERROR(((VLOOKUP(P392,Settings!$E$28:$F$33,2,FALSE)/2)+1),1)</f>
        <v>65.421858847879321</v>
      </c>
      <c r="W392" s="57" cm="1">
        <f t="array" ref="W392">VLOOKUP(B392,'Player Data'!$A1:$AE673,11,FALSE)*$Q392*IFERROR((VLOOKUP(P392,Settings!$E$28:$F$33,2,FALSE)+1),1)</f>
        <v>2.7856569869421249E-3</v>
      </c>
      <c r="X392" s="57" cm="1">
        <f t="array" ref="X392">VLOOKUP(B392,'Player Data'!$A1:$AE673,12,FALSE)*$Q392*IFERROR((VLOOKUP(P392,Settings!$E$28:$F$33,2,FALSE)+1),1)</f>
        <v>4.0954257717195935E-2</v>
      </c>
      <c r="Y392" s="57" cm="1">
        <f t="array" ref="Y392">VLOOKUP(B392,'Player Data'!$A1:$AE673,13,FALSE)*$Q392</f>
        <v>8.9424849145183331E-3</v>
      </c>
      <c r="Z392" s="57" cm="1">
        <f t="array" ref="Z392">VLOOKUP(B392,'Player Data'!$A1:$AE673,14,FALSE)*$Q392</f>
        <v>0.46149587861657326</v>
      </c>
      <c r="AA392" s="57" cm="1">
        <f t="array" ref="AA392">VLOOKUP(B392,'Player Data'!$A1:$AE673,15,FALSE)*$Q392</f>
        <v>125.72965799861625</v>
      </c>
      <c r="AB392" s="57" cm="1">
        <f t="array" ref="AB392">VLOOKUP(B392,'Player Data'!$A1:$AE673,16,FALSE)*$Q392</f>
        <v>88.791315349451679</v>
      </c>
      <c r="AC392" s="57" cm="1">
        <f t="array" ref="AC392">VLOOKUP(B392,'Player Data'!$A1:$AE673,17,FALSE)*$Q392*IFERROR((VLOOKUP(P392,Settings!$E$28:$F$33,2,FALSE)+1),1)</f>
        <v>-2.6350439294981558</v>
      </c>
      <c r="AD392" s="57" cm="1">
        <f t="array" ref="AD392">VLOOKUP(B392,'Player Data'!$A1:$AE673,18,FALSE)*$Q392</f>
        <v>38.449687123735465</v>
      </c>
      <c r="AE392" s="57" cm="1">
        <f t="array" ref="AE392">VLOOKUP(B392,'Player Data'!$A1:$AE673,19,FALSE)*$Q392*IFERROR((VLOOKUP(P392,Settings!$E$28:$F$33,2,FALSE)+1),1)</f>
        <v>0.12391820216232334</v>
      </c>
      <c r="AF392" s="57" cm="1">
        <f t="array" ref="AF392">VLOOKUP(B392,'Player Data'!$A1:$AE673,20,FALSE)*$Q392</f>
        <v>0</v>
      </c>
      <c r="AG392" s="57" cm="1">
        <f t="array" ref="AG392">VLOOKUP(B392,'Player Data'!$A1:$AE673,21,FALSE)*$Q392</f>
        <v>0</v>
      </c>
      <c r="AH392" s="59" cm="1">
        <f t="array" ref="AH392">VLOOKUP(B392,'Player Data'!$A1:$AE673,22,FALSE)</f>
        <v>0</v>
      </c>
      <c r="AI392" s="55"/>
      <c r="AJ392" s="57"/>
      <c r="AK392" s="57"/>
      <c r="AL392" s="57"/>
      <c r="AM392" s="57"/>
      <c r="AN392" s="57"/>
      <c r="AO392" s="57"/>
      <c r="AP392" s="57"/>
      <c r="AQ392" s="60"/>
      <c r="AR392" s="61"/>
      <c r="AS392" s="55"/>
    </row>
    <row r="393" spans="1:45" ht="21.25" customHeight="1" x14ac:dyDescent="0.15">
      <c r="A393" s="62">
        <f t="shared" si="6"/>
        <v>392</v>
      </c>
      <c r="B393" s="10" t="s">
        <v>521</v>
      </c>
      <c r="C393" s="47" t="s">
        <v>147</v>
      </c>
      <c r="D393" s="48" t="str" cm="1">
        <f t="array" ref="D393">VLOOKUP(B393,'Player Data'!A1:D673,4,FALSE)</f>
        <v>C,LW,RW</v>
      </c>
      <c r="E393" s="74" cm="1">
        <f t="array" ref="E393">VLOOKUP(B393,RW!A1:F210,3,FALSE)</f>
        <v>103</v>
      </c>
      <c r="F393" s="18" t="str" cm="1">
        <f t="array" ref="F393">VLOOKUP(B393,'Player Data'!A1:B673,2,FALSE)</f>
        <v>OTT</v>
      </c>
      <c r="G393" s="71" cm="1">
        <f t="array" ref="G393">VLOOKUP(B393,'Player Data'!A1:D673,3,FALSE)</f>
        <v>19</v>
      </c>
      <c r="H393" s="67" cm="1">
        <f t="array" ref="H393">IFERROR(VLOOKUP(B393,ADP!A1:F671,6,FALSE)/1000000,VLOOKUP(B393,ADP!A1:F671,6,FALSE))</f>
        <v>2</v>
      </c>
      <c r="I393" s="52">
        <f>IF(Settings!$E$15="POINTS",((R393*Q393)*Settings!$B$12)+(S393*Settings!$B$2)+(T393*Settings!$B$3)+(U393*Settings!$B$4)+(V393*Settings!$B$5)+(X393*Settings!$B$9)+(AA393*Settings!$B$6)+(W393*Settings!$B$8)+(AB393*Settings!$B$7)+(AC393*Settings!$B$14)+(AD393*Settings!$B$15)+(AE393*Settings!$B$16)+(AF393*Settings!$B$17)+(AG393*Settings!$B$18)+(Y393*Settings!$B$10)+(Z393*Settings!$B$11),VLOOKUP(B393,'Standard Deviations'!A$1:C$672,3,FALSE))</f>
        <v>216.25971582303217</v>
      </c>
      <c r="J393" s="53" cm="1">
        <f t="array" ref="J393">IF(D393="G",I393/AJ393,I393/Q393)</f>
        <v>2.5778194215577335</v>
      </c>
      <c r="K393" s="52" cm="1">
        <f t="array" ref="K393">IF(Settings!$E$18="C/LW/RW",VLOOKUP(B393,RW!A1:F210,6,FALSE),VLOOKUP(B393,F!A1:F407,6,FALSE))</f>
        <v>-178.68374887052531</v>
      </c>
      <c r="L393" s="54" cm="1">
        <f t="array" ref="L393">IFERROR(K393/H393,"N/A")</f>
        <v>-89.341874435262653</v>
      </c>
      <c r="M393" s="85" t="s">
        <v>832</v>
      </c>
      <c r="N393" s="85" t="str" cm="1">
        <f t="array" ref="N393">IFERROR(M393-A393,"N/A")</f>
        <v>N/A</v>
      </c>
      <c r="O393" s="55"/>
      <c r="P393" s="56" t="str" cm="1">
        <f t="array" ref="P393">_xlfn.XLOOKUP($B393,ADP!A2:A671,ADP!G2:G671)</f>
        <v xml:space="preserve"> </v>
      </c>
      <c r="Q393" s="57" cm="1">
        <f t="array" ref="Q393">IF(Settings!$E$12="YES",VLOOKUP(B393,'Player Data'!A1:E673,5,FALSE),84)</f>
        <v>83.892499999999998</v>
      </c>
      <c r="R393" s="84" cm="1">
        <f t="array" ref="R393">VLOOKUP(B393,'Player Data'!$A1:$AE673,6,FALSE)</f>
        <v>15.2679221079251</v>
      </c>
      <c r="S393" s="57" cm="1">
        <f t="array" ref="S393">VLOOKUP(B393,'Player Data'!$A1:$AE673,7,FALSE)*$Q393*IFERROR((VLOOKUP(P393,Settings!$E$28:$F$33,2,FALSE)+1),1)</f>
        <v>12.190730494340244</v>
      </c>
      <c r="T393" s="57" cm="1">
        <f t="array" ref="T393">VLOOKUP(B393,'Player Data'!$A1:$AE673,8,FALSE)*$Q393*IFERROR((VLOOKUP(P393,Settings!$E$28:$F$33,2,FALSE)+1),1)</f>
        <v>29.14443457212743</v>
      </c>
      <c r="U393" s="57" cm="1">
        <f t="array" ref="U393">SUM(S393:T393)</f>
        <v>41.335165066467674</v>
      </c>
      <c r="V393" s="57" cm="1">
        <f t="array" ref="V393">VLOOKUP(B393,'Player Data'!$A1:$AE673,10,FALSE)*$Q393*IFERROR(((VLOOKUP(P393,Settings!$E$28:$F$33,2,FALSE)/2)+1),1)</f>
        <v>131.21239885185341</v>
      </c>
      <c r="W393" s="57" cm="1">
        <f t="array" ref="W393">VLOOKUP(B393,'Player Data'!$A1:$AE673,11,FALSE)*$Q393*IFERROR((VLOOKUP(P393,Settings!$E$28:$F$33,2,FALSE)+1),1)</f>
        <v>1.7187720893432312</v>
      </c>
      <c r="X393" s="57" cm="1">
        <f t="array" ref="X393">VLOOKUP(B393,'Player Data'!$A1:$AE673,12,FALSE)*$Q393*IFERROR((VLOOKUP(P393,Settings!$E$28:$F$33,2,FALSE)+1),1)</f>
        <v>11.366801412514301</v>
      </c>
      <c r="Y393" s="57" cm="1">
        <f t="array" ref="Y393">VLOOKUP(B393,'Player Data'!$A1:$AE673,13,FALSE)*$Q393</f>
        <v>0.21664509722750971</v>
      </c>
      <c r="Z393" s="57" cm="1">
        <f t="array" ref="Z393">VLOOKUP(B393,'Player Data'!$A1:$AE673,14,FALSE)*$Q393</f>
        <v>0.50193791869314064</v>
      </c>
      <c r="AA393" s="57" cm="1">
        <f t="array" ref="AA393">VLOOKUP(B393,'Player Data'!$A1:$AE673,15,FALSE)*$Q393</f>
        <v>29.558563732990002</v>
      </c>
      <c r="AB393" s="57" cm="1">
        <f t="array" ref="AB393">VLOOKUP(B393,'Player Data'!$A1:$AE673,16,FALSE)*$Q393</f>
        <v>63.542562090968055</v>
      </c>
      <c r="AC393" s="57" cm="1">
        <f t="array" ref="AC393">VLOOKUP(B393,'Player Data'!$A1:$AE673,17,FALSE)*$Q393*IFERROR((VLOOKUP(P393,Settings!$E$28:$F$33,2,FALSE)+1),1)</f>
        <v>3.0960544099705345</v>
      </c>
      <c r="AD393" s="57" cm="1">
        <f t="array" ref="AD393">VLOOKUP(B393,'Player Data'!$A1:$AE673,18,FALSE)*$Q393</f>
        <v>25.187735325945418</v>
      </c>
      <c r="AE393" s="57" cm="1">
        <f t="array" ref="AE393">VLOOKUP(B393,'Player Data'!$A1:$AE673,19,FALSE)*$Q393*IFERROR((VLOOKUP(P393,Settings!$E$28:$F$33,2,FALSE)+1),1)</f>
        <v>2.1624549085818003</v>
      </c>
      <c r="AF393" s="57" cm="1">
        <f t="array" ref="AF393">VLOOKUP(B393,'Player Data'!$A1:$AE673,20,FALSE)*$Q393</f>
        <v>489.2835433045426</v>
      </c>
      <c r="AG393" s="57" cm="1">
        <f t="array" ref="AG393">VLOOKUP(B393,'Player Data'!$A1:$AE673,21,FALSE)*$Q393</f>
        <v>311.18622243822983</v>
      </c>
      <c r="AH393" s="59" cm="1">
        <f t="array" ref="AH393">VLOOKUP(B393,'Player Data'!$A1:$AE673,22,FALSE)</f>
        <v>0.61124550138446099</v>
      </c>
      <c r="AI393" s="55"/>
      <c r="AJ393" s="57"/>
      <c r="AK393" s="57"/>
      <c r="AL393" s="57"/>
      <c r="AM393" s="57"/>
      <c r="AN393" s="57"/>
      <c r="AO393" s="57"/>
      <c r="AP393" s="57"/>
      <c r="AQ393" s="60"/>
      <c r="AR393" s="61"/>
      <c r="AS393" s="55"/>
    </row>
    <row r="394" spans="1:45" ht="21.25" customHeight="1" x14ac:dyDescent="0.15">
      <c r="A394" s="62">
        <f t="shared" si="6"/>
        <v>393</v>
      </c>
      <c r="B394" s="10" t="s">
        <v>522</v>
      </c>
      <c r="C394" s="47" t="s">
        <v>147</v>
      </c>
      <c r="D394" s="48" t="str" cm="1">
        <f t="array" ref="D394">VLOOKUP(B394,'Player Data'!A1:D673,4,FALSE)</f>
        <v>LW,RW</v>
      </c>
      <c r="E394" s="74" cm="1">
        <f t="array" ref="E394">VLOOKUP(B394,RW!A1:F210,3,FALSE)</f>
        <v>104</v>
      </c>
      <c r="F394" s="69" t="str" cm="1">
        <f t="array" ref="F394">VLOOKUP(B394,'Player Data'!A1:B673,2,FALSE)</f>
        <v>N.J</v>
      </c>
      <c r="G394" s="71" cm="1">
        <f t="array" ref="G394">VLOOKUP(B394,'Player Data'!A1:D673,3,FALSE)</f>
        <v>19</v>
      </c>
      <c r="H394" s="51" cm="1">
        <f t="array" ref="H394">IFERROR(VLOOKUP(B394,ADP!A1:F671,6,FALSE)/1000000,VLOOKUP(B394,ADP!A1:F671,6,FALSE))</f>
        <v>4.75</v>
      </c>
      <c r="I394" s="52">
        <f>IF(Settings!$E$15="POINTS",((R394*Q394)*Settings!$B$12)+(S394*Settings!$B$2)+(T394*Settings!$B$3)+(U394*Settings!$B$4)+(V394*Settings!$B$5)+(X394*Settings!$B$9)+(AA394*Settings!$B$6)+(W394*Settings!$B$8)+(AB394*Settings!$B$7)+(AC394*Settings!$B$14)+(AD394*Settings!$B$15)+(AE394*Settings!$B$16)+(AF394*Settings!$B$17)+(AG394*Settings!$B$18)+(Y394*Settings!$B$10)+(Z394*Settings!$B$11),VLOOKUP(B394,'Standard Deviations'!A$1:C$672,3,FALSE))</f>
        <v>214.9035490468022</v>
      </c>
      <c r="J394" s="53" cm="1">
        <f t="array" ref="J394">IF(D394="G",I394/AJ394,I394/Q394)</f>
        <v>2.9212743702413131</v>
      </c>
      <c r="K394" s="52" cm="1">
        <f t="array" ref="K394">IF(Settings!$E$18="C/LW/RW",VLOOKUP(B394,RW!A1:F210,6,FALSE),VLOOKUP(B394,F!A1:F407,6,FALSE))</f>
        <v>-180.03991564675528</v>
      </c>
      <c r="L394" s="54" cm="1">
        <f t="array" ref="L394">IFERROR(K394/H394,"N/A")</f>
        <v>-37.903140136159003</v>
      </c>
      <c r="M394" s="55">
        <v>138.80000000000001</v>
      </c>
      <c r="N394" s="55" cm="1">
        <f t="array" ref="N394">IFERROR(M394-A394,"N/A")</f>
        <v>-254.2</v>
      </c>
      <c r="O394" s="55"/>
      <c r="P394" s="56" t="str" cm="1">
        <f t="array" ref="P394">_xlfn.XLOOKUP($B394,ADP!A2:A671,ADP!G2:G671)</f>
        <v xml:space="preserve"> </v>
      </c>
      <c r="Q394" s="57" cm="1">
        <f t="array" ref="Q394">IF(Settings!$E$12="YES",VLOOKUP(B394,'Player Data'!A1:E673,5,FALSE),84)</f>
        <v>73.564999999999998</v>
      </c>
      <c r="R394" s="84" cm="1">
        <f t="array" ref="R394">VLOOKUP(B394,'Player Data'!$A1:$AE673,6,FALSE)</f>
        <v>13.932350667399801</v>
      </c>
      <c r="S394" s="57" cm="1">
        <f t="array" ref="S394">VLOOKUP(B394,'Player Data'!$A1:$AE673,7,FALSE)*$Q394*IFERROR((VLOOKUP(P394,Settings!$E$28:$F$33,2,FALSE)+1),1)</f>
        <v>21.795951827114727</v>
      </c>
      <c r="T394" s="57" cm="1">
        <f t="array" ref="T394">VLOOKUP(B394,'Player Data'!$A1:$AE673,8,FALSE)*$Q394*IFERROR((VLOOKUP(P394,Settings!$E$28:$F$33,2,FALSE)+1),1)</f>
        <v>22.077445825453548</v>
      </c>
      <c r="U394" s="57" cm="1">
        <f t="array" ref="U394">SUM(S394:T394)</f>
        <v>43.873397652568272</v>
      </c>
      <c r="V394" s="57" cm="1">
        <f t="array" ref="V394">VLOOKUP(B394,'Player Data'!$A1:$AE673,10,FALSE)*$Q394*IFERROR(((VLOOKUP(P394,Settings!$E$28:$F$33,2,FALSE)/2)+1),1)</f>
        <v>117.9201812300422</v>
      </c>
      <c r="W394" s="57" cm="1">
        <f t="array" ref="W394">VLOOKUP(B394,'Player Data'!$A1:$AE673,11,FALSE)*$Q394*IFERROR((VLOOKUP(P394,Settings!$E$28:$F$33,2,FALSE)+1),1)</f>
        <v>3.5770589432297704</v>
      </c>
      <c r="X394" s="57" cm="1">
        <f t="array" ref="X394">VLOOKUP(B394,'Player Data'!$A1:$AE673,12,FALSE)*$Q394*IFERROR((VLOOKUP(P394,Settings!$E$28:$F$33,2,FALSE)+1),1)</f>
        <v>7.1347350518445465</v>
      </c>
      <c r="Y394" s="57" cm="1">
        <f t="array" ref="Y394">VLOOKUP(B394,'Player Data'!$A1:$AE673,13,FALSE)*$Q394</f>
        <v>0</v>
      </c>
      <c r="Z394" s="57" cm="1">
        <f t="array" ref="Z394">VLOOKUP(B394,'Player Data'!$A1:$AE673,14,FALSE)*$Q394</f>
        <v>0</v>
      </c>
      <c r="AA394" s="57" cm="1">
        <f t="array" ref="AA394">VLOOKUP(B394,'Player Data'!$A1:$AE673,15,FALSE)*$Q394</f>
        <v>34.377060844463429</v>
      </c>
      <c r="AB394" s="57" cm="1">
        <f t="array" ref="AB394">VLOOKUP(B394,'Player Data'!$A1:$AE673,16,FALSE)*$Q394</f>
        <v>52.497924443290877</v>
      </c>
      <c r="AC394" s="57" cm="1">
        <f t="array" ref="AC394">VLOOKUP(B394,'Player Data'!$A1:$AE673,17,FALSE)*$Q394*IFERROR((VLOOKUP(P394,Settings!$E$28:$F$33,2,FALSE)+1),1)</f>
        <v>1.6691165714480518</v>
      </c>
      <c r="AD394" s="57" cm="1">
        <f t="array" ref="AD394">VLOOKUP(B394,'Player Data'!$A1:$AE673,18,FALSE)*$Q394</f>
        <v>36.431930351278034</v>
      </c>
      <c r="AE394" s="57" cm="1">
        <f t="array" ref="AE394">VLOOKUP(B394,'Player Data'!$A1:$AE673,19,FALSE)*$Q394*IFERROR((VLOOKUP(P394,Settings!$E$28:$F$33,2,FALSE)+1),1)</f>
        <v>3.2577497467894929</v>
      </c>
      <c r="AF394" s="57" cm="1">
        <f t="array" ref="AF394">VLOOKUP(B394,'Player Data'!$A1:$AE673,20,FALSE)*$Q394</f>
        <v>10.270275031591945</v>
      </c>
      <c r="AG394" s="57" cm="1">
        <f t="array" ref="AG394">VLOOKUP(B394,'Player Data'!$A1:$AE673,21,FALSE)*$Q394</f>
        <v>24.341438331650171</v>
      </c>
      <c r="AH394" s="59" cm="1">
        <f t="array" ref="AH394">VLOOKUP(B394,'Player Data'!$A1:$AE673,22,FALSE)</f>
        <v>0.29672830477381201</v>
      </c>
      <c r="AI394" s="55"/>
      <c r="AJ394" s="57"/>
      <c r="AK394" s="57"/>
      <c r="AL394" s="57"/>
      <c r="AM394" s="57"/>
      <c r="AN394" s="57"/>
      <c r="AO394" s="57"/>
      <c r="AP394" s="57"/>
      <c r="AQ394" s="60"/>
      <c r="AR394" s="61"/>
      <c r="AS394" s="55"/>
    </row>
    <row r="395" spans="1:45" ht="21.25" customHeight="1" x14ac:dyDescent="0.15">
      <c r="A395" s="62">
        <f t="shared" si="6"/>
        <v>394</v>
      </c>
      <c r="B395" s="10" t="s">
        <v>523</v>
      </c>
      <c r="C395" s="47" t="s">
        <v>147</v>
      </c>
      <c r="D395" s="48" t="str" cm="1">
        <f t="array" ref="D395">VLOOKUP(B395,'Player Data'!A1:D673,4,FALSE)</f>
        <v>D</v>
      </c>
      <c r="E395" s="68" cm="1">
        <f t="array" ref="E395">VLOOKUP(B395,D!A1:C204,3,FALSE)</f>
        <v>166</v>
      </c>
      <c r="F395" s="69" t="str" cm="1">
        <f t="array" ref="F395">VLOOKUP(B395,'Player Data'!A1:B673,2,FALSE)</f>
        <v>TOR</v>
      </c>
      <c r="G395" s="66" cm="1">
        <f t="array" ref="G395">VLOOKUP(B395,'Player Data'!A1:D673,3,FALSE)</f>
        <v>36</v>
      </c>
      <c r="H395" s="51" cm="1">
        <f t="array" ref="H395">IFERROR(VLOOKUP(B395,ADP!A1:F671,6,FALSE)/1000000,VLOOKUP(B395,ADP!A1:F671,6,FALSE))</f>
        <v>4.5</v>
      </c>
      <c r="I395" s="52">
        <f>IF(Settings!$E$15="POINTS",((R395*Q395)*Settings!$B$12)+(S395*Settings!$B$2)+(T395*Settings!$B$3)+(U395*Settings!$B$4)+(V395*Settings!$B$5)+(X395*Settings!$B$9)+(AA395*Settings!$B$6)+(W395*Settings!$B$8)+(AB395*Settings!$B$7)+(AC395*Settings!$B$14)+(AD395*Settings!$B$15)+(AE395*Settings!$B$16)+(AF395*Settings!$B$17)+(AG395*Settings!$B$18)+(U395*Settings!$B$13)+(Y395*Settings!$B$10)+(Z395*Settings!$B$11),VLOOKUP(B395,'Standard Deviations'!A$1:C$672,3,FALSE))</f>
        <v>126.4712231577904</v>
      </c>
      <c r="J395" s="53" cm="1">
        <f t="array" ref="J395">IF(D395="G",I395/AJ395,I395/Q395)</f>
        <v>1.8128176472126483</v>
      </c>
      <c r="K395" s="52" cm="1">
        <f t="array" ref="K395">VLOOKUP(B395,D!A1:F204,6,FALSE)</f>
        <v>-180.18264418680366</v>
      </c>
      <c r="L395" s="54" cm="1">
        <f t="array" ref="L395">IFERROR(K395/H395,"N/A")</f>
        <v>-40.040587597067478</v>
      </c>
      <c r="M395" s="85" t="s">
        <v>832</v>
      </c>
      <c r="N395" s="85" t="str" cm="1">
        <f t="array" ref="N395">IFERROR(M395-A395,"N/A")</f>
        <v>N/A</v>
      </c>
      <c r="O395" s="81"/>
      <c r="P395" s="56" t="str" cm="1">
        <f t="array" ref="P395">_xlfn.XLOOKUP($B395,ADP!A2:A671,ADP!G2:G671)</f>
        <v xml:space="preserve"> </v>
      </c>
      <c r="Q395" s="57" cm="1">
        <f t="array" ref="Q395">IF(Settings!$E$12="YES",VLOOKUP(B395,'Player Data'!A1:E673,5,FALSE),84)</f>
        <v>69.765000000000001</v>
      </c>
      <c r="R395" s="82" cm="1">
        <f t="array" ref="R395">VLOOKUP(B395,'Player Data'!$A1:$AE673,6,FALSE)</f>
        <v>19.606450823322799</v>
      </c>
      <c r="S395" s="57" cm="1">
        <f t="array" ref="S395">VLOOKUP(B395,'Player Data'!$A1:$AE673,7,FALSE)*$Q395*IFERROR((VLOOKUP(P395,Settings!$E$28:$F$33,2,FALSE)+1),1)</f>
        <v>0.33645865267153419</v>
      </c>
      <c r="T395" s="57" cm="1">
        <f t="array" ref="T395">VLOOKUP(B395,'Player Data'!$A1:$AE673,8,FALSE)*$Q395*IFERROR((VLOOKUP(P395,Settings!$E$28:$F$33,2,FALSE)+1),1)</f>
        <v>12.330707655246538</v>
      </c>
      <c r="U395" s="57" cm="1">
        <f t="array" ref="U395">SUM(S395:T395)</f>
        <v>12.667166307918073</v>
      </c>
      <c r="V395" s="57" cm="1">
        <f t="array" ref="V395">VLOOKUP(B395,'Player Data'!$A1:$AE673,10,FALSE)*$Q395*IFERROR(((VLOOKUP(P395,Settings!$E$28:$F$33,2,FALSE)/2)+1),1)</f>
        <v>34.804206610191741</v>
      </c>
      <c r="W395" s="57" cm="1">
        <f t="array" ref="W395">VLOOKUP(B395,'Player Data'!$A1:$AE673,11,FALSE)*$Q395*IFERROR((VLOOKUP(P395,Settings!$E$28:$F$33,2,FALSE)+1),1)</f>
        <v>1.0564161041064478E-3</v>
      </c>
      <c r="X395" s="57" cm="1">
        <f t="array" ref="X395">VLOOKUP(B395,'Player Data'!$A1:$AE673,12,FALSE)*$Q395*IFERROR((VLOOKUP(P395,Settings!$E$28:$F$33,2,FALSE)+1),1)</f>
        <v>4.8555720240050455E-2</v>
      </c>
      <c r="Y395" s="57" cm="1">
        <f t="array" ref="Y395">VLOOKUP(B395,'Player Data'!$A1:$AE673,13,FALSE)*$Q395</f>
        <v>3.9283220495947733E-3</v>
      </c>
      <c r="Z395" s="57" cm="1">
        <f t="array" ref="Z395">VLOOKUP(B395,'Player Data'!$A1:$AE673,14,FALSE)*$Q395</f>
        <v>0.41951507782139719</v>
      </c>
      <c r="AA395" s="57" cm="1">
        <f t="array" ref="AA395">VLOOKUP(B395,'Player Data'!$A1:$AE673,15,FALSE)*$Q395</f>
        <v>141.19910026175774</v>
      </c>
      <c r="AB395" s="57" cm="1">
        <f t="array" ref="AB395">VLOOKUP(B395,'Player Data'!$A1:$AE673,16,FALSE)*$Q395</f>
        <v>39.932582408395788</v>
      </c>
      <c r="AC395" s="57" cm="1">
        <f t="array" ref="AC395">VLOOKUP(B395,'Player Data'!$A1:$AE673,17,FALSE)*$Q395*IFERROR((VLOOKUP(P395,Settings!$E$28:$F$33,2,FALSE)+1),1)</f>
        <v>1.8096774895575305</v>
      </c>
      <c r="AD395" s="57" cm="1">
        <f t="array" ref="AD395">VLOOKUP(B395,'Player Data'!$A1:$AE673,18,FALSE)*$Q395</f>
        <v>24.215826464350858</v>
      </c>
      <c r="AE395" s="57" cm="1">
        <f t="array" ref="AE395">VLOOKUP(B395,'Player Data'!$A1:$AE673,19,FALSE)*$Q395*IFERROR((VLOOKUP(P395,Settings!$E$28:$F$33,2,FALSE)+1),1)</f>
        <v>4.594703570667992E-2</v>
      </c>
      <c r="AF395" s="57" cm="1">
        <f t="array" ref="AF395">VLOOKUP(B395,'Player Data'!$A1:$AE673,20,FALSE)*$Q395</f>
        <v>0</v>
      </c>
      <c r="AG395" s="57" cm="1">
        <f t="array" ref="AG395">VLOOKUP(B395,'Player Data'!$A1:$AE673,21,FALSE)*$Q395</f>
        <v>0</v>
      </c>
      <c r="AH395" s="59" cm="1">
        <f t="array" ref="AH395">VLOOKUP(B395,'Player Data'!$A1:$AE673,22,FALSE)</f>
        <v>0</v>
      </c>
      <c r="AI395" s="55"/>
      <c r="AJ395" s="57"/>
      <c r="AK395" s="57"/>
      <c r="AL395" s="57"/>
      <c r="AM395" s="57"/>
      <c r="AN395" s="57"/>
      <c r="AO395" s="57"/>
      <c r="AP395" s="57"/>
      <c r="AQ395" s="60"/>
      <c r="AR395" s="61"/>
      <c r="AS395" s="55"/>
    </row>
    <row r="396" spans="1:45" ht="21.25" customHeight="1" x14ac:dyDescent="0.15">
      <c r="A396" s="62">
        <f t="shared" si="6"/>
        <v>395</v>
      </c>
      <c r="B396" s="10" t="s">
        <v>524</v>
      </c>
      <c r="C396" s="47" t="s">
        <v>147</v>
      </c>
      <c r="D396" s="48" t="str" cm="1">
        <f t="array" ref="D396">VLOOKUP(B396,'Player Data'!A1:D673,4,FALSE)</f>
        <v>C,LW,RW</v>
      </c>
      <c r="E396" s="74" cm="1">
        <f t="array" ref="E396">VLOOKUP(B396,RW!A1:F210,3,FALSE)</f>
        <v>105</v>
      </c>
      <c r="F396" s="63" t="str" cm="1">
        <f t="array" ref="F396">VLOOKUP(B396,'Player Data'!A1:B673,2,FALSE)</f>
        <v>CGY</v>
      </c>
      <c r="G396" s="11" cm="1">
        <f t="array" ref="G396">VLOOKUP(B396,'Player Data'!A1:D673,3,FALSE)</f>
        <v>28</v>
      </c>
      <c r="H396" s="51" cm="1">
        <f t="array" ref="H396">IFERROR(VLOOKUP(B396,ADP!A1:F671,6,FALSE)/1000000,VLOOKUP(B396,ADP!A1:F671,6,FALSE))</f>
        <v>5.75</v>
      </c>
      <c r="I396" s="52">
        <f>IF(Settings!$E$15="POINTS",((R396*Q396)*Settings!$B$12)+(S396*Settings!$B$2)+(T396*Settings!$B$3)+(U396*Settings!$B$4)+(V396*Settings!$B$5)+(X396*Settings!$B$9)+(AA396*Settings!$B$6)+(W396*Settings!$B$8)+(AB396*Settings!$B$7)+(AC396*Settings!$B$14)+(AD396*Settings!$B$15)+(AE396*Settings!$B$16)+(AF396*Settings!$B$17)+(AG396*Settings!$B$18)+(Y396*Settings!$B$10)+(Z396*Settings!$B$11),VLOOKUP(B396,'Standard Deviations'!A$1:C$672,3,FALSE))</f>
        <v>214.72953506271566</v>
      </c>
      <c r="J396" s="53" cm="1">
        <f t="array" ref="J396">IF(D396="G",I396/AJ396,I396/Q396)</f>
        <v>2.6160208943771894</v>
      </c>
      <c r="K396" s="52" cm="1">
        <f t="array" ref="K396">IF(Settings!$E$18="C/LW/RW",VLOOKUP(B396,RW!A1:F210,6,FALSE),VLOOKUP(B396,F!A1:F407,6,FALSE))</f>
        <v>-180.21392963084182</v>
      </c>
      <c r="L396" s="54" cm="1">
        <f t="array" ref="L396">IFERROR(K396/H396,"N/A")</f>
        <v>-31.341552979276837</v>
      </c>
      <c r="M396" s="85" t="s">
        <v>832</v>
      </c>
      <c r="N396" s="85" t="str" cm="1">
        <f t="array" ref="N396">IFERROR(M396-A396,"N/A")</f>
        <v>N/A</v>
      </c>
      <c r="O396" s="83"/>
      <c r="P396" s="56" t="str" cm="1">
        <f t="array" ref="P396">_xlfn.XLOOKUP($B396,ADP!A2:A671,ADP!G2:G671)</f>
        <v xml:space="preserve"> </v>
      </c>
      <c r="Q396" s="57" cm="1">
        <f t="array" ref="Q396">IF(Settings!$E$12="YES",VLOOKUP(B396,'Player Data'!A1:E673,5,FALSE),84)</f>
        <v>82.082499999999996</v>
      </c>
      <c r="R396" s="55" cm="1">
        <f t="array" ref="R396">VLOOKUP(B396,'Player Data'!$A1:$AE673,6,FALSE)</f>
        <v>16.320008176252699</v>
      </c>
      <c r="S396" s="57" cm="1">
        <f t="array" ref="S396">VLOOKUP(B396,'Player Data'!$A1:$AE673,7,FALSE)*$Q396*IFERROR((VLOOKUP(P396,Settings!$E$28:$F$33,2,FALSE)+1),1)</f>
        <v>18.638626433020178</v>
      </c>
      <c r="T396" s="57" cm="1">
        <f t="array" ref="T396">VLOOKUP(B396,'Player Data'!$A1:$AE673,8,FALSE)*$Q396*IFERROR((VLOOKUP(P396,Settings!$E$28:$F$33,2,FALSE)+1),1)</f>
        <v>18.365296004678797</v>
      </c>
      <c r="U396" s="57" cm="1">
        <f t="array" ref="U396">SUM(S396:T396)</f>
        <v>37.003922437698975</v>
      </c>
      <c r="V396" s="57" cm="1">
        <f t="array" ref="V396">VLOOKUP(B396,'Player Data'!$A1:$AE673,10,FALSE)*$Q396*IFERROR(((VLOOKUP(P396,Settings!$E$28:$F$33,2,FALSE)/2)+1),1)</f>
        <v>150.86375596110616</v>
      </c>
      <c r="W396" s="57" cm="1">
        <f t="array" ref="W396">VLOOKUP(B396,'Player Data'!$A1:$AE673,11,FALSE)*$Q396*IFERROR((VLOOKUP(P396,Settings!$E$28:$F$33,2,FALSE)+1),1)</f>
        <v>3.9580105856458756</v>
      </c>
      <c r="X396" s="57" cm="1">
        <f t="array" ref="X396">VLOOKUP(B396,'Player Data'!$A1:$AE673,12,FALSE)*$Q396*IFERROR((VLOOKUP(P396,Settings!$E$28:$F$33,2,FALSE)+1),1)</f>
        <v>8.1209097791634903</v>
      </c>
      <c r="Y396" s="57" cm="1">
        <f t="array" ref="Y396">VLOOKUP(B396,'Player Data'!$A1:$AE673,13,FALSE)*$Q396</f>
        <v>1.5128840449405143</v>
      </c>
      <c r="Z396" s="57" cm="1">
        <f t="array" ref="Z396">VLOOKUP(B396,'Player Data'!$A1:$AE673,14,FALSE)*$Q396</f>
        <v>2.3525880127160561</v>
      </c>
      <c r="AA396" s="57" cm="1">
        <f t="array" ref="AA396">VLOOKUP(B396,'Player Data'!$A1:$AE673,15,FALSE)*$Q396</f>
        <v>35.624783954372155</v>
      </c>
      <c r="AB396" s="57" cm="1">
        <f t="array" ref="AB396">VLOOKUP(B396,'Player Data'!$A1:$AE673,16,FALSE)*$Q396</f>
        <v>29.11628245564706</v>
      </c>
      <c r="AC396" s="57" cm="1">
        <f t="array" ref="AC396">VLOOKUP(B396,'Player Data'!$A1:$AE673,17,FALSE)*$Q396*IFERROR((VLOOKUP(P396,Settings!$E$28:$F$33,2,FALSE)+1),1)</f>
        <v>-9.6116783995771442</v>
      </c>
      <c r="AD396" s="57" cm="1">
        <f t="array" ref="AD396">VLOOKUP(B396,'Player Data'!$A1:$AE673,18,FALSE)*$Q396</f>
        <v>14.683511113763331</v>
      </c>
      <c r="AE396" s="57" cm="1">
        <f t="array" ref="AE396">VLOOKUP(B396,'Player Data'!$A1:$AE673,19,FALSE)*$Q396*IFERROR((VLOOKUP(P396,Settings!$E$28:$F$33,2,FALSE)+1),1)</f>
        <v>2.6797679347489307</v>
      </c>
      <c r="AF396" s="57" cm="1">
        <f t="array" ref="AF396">VLOOKUP(B396,'Player Data'!$A1:$AE673,20,FALSE)*$Q396</f>
        <v>70.483426184409737</v>
      </c>
      <c r="AG396" s="57" cm="1">
        <f t="array" ref="AG396">VLOOKUP(B396,'Player Data'!$A1:$AE673,21,FALSE)*$Q396</f>
        <v>105.34156344648825</v>
      </c>
      <c r="AH396" s="59" cm="1">
        <f t="array" ref="AH396">VLOOKUP(B396,'Player Data'!$A1:$AE673,22,FALSE)</f>
        <v>0.40087263097454201</v>
      </c>
      <c r="AI396" s="55"/>
      <c r="AJ396" s="57"/>
      <c r="AK396" s="57"/>
      <c r="AL396" s="57"/>
      <c r="AM396" s="57"/>
      <c r="AN396" s="57"/>
      <c r="AO396" s="57"/>
      <c r="AP396" s="57"/>
      <c r="AQ396" s="60"/>
      <c r="AR396" s="61"/>
      <c r="AS396" s="55"/>
    </row>
    <row r="397" spans="1:45" ht="21.25" customHeight="1" x14ac:dyDescent="0.15">
      <c r="A397" s="62">
        <f t="shared" si="6"/>
        <v>396</v>
      </c>
      <c r="B397" s="10" t="s">
        <v>525</v>
      </c>
      <c r="C397" s="47" t="s">
        <v>147</v>
      </c>
      <c r="D397" s="48" t="str" cm="1">
        <f t="array" ref="D397">VLOOKUP(B397,'Player Data'!A1:D673,4,FALSE)</f>
        <v>D</v>
      </c>
      <c r="E397" s="68" cm="1">
        <f t="array" ref="E397">VLOOKUP(B397,D!A1:C204,3,FALSE)</f>
        <v>167</v>
      </c>
      <c r="F397" s="72" t="str" cm="1">
        <f t="array" ref="F397">VLOOKUP(B397,'Player Data'!A1:B673,2,FALSE)</f>
        <v>BOS</v>
      </c>
      <c r="G397" s="11" cm="1">
        <f t="array" ref="G397">VLOOKUP(B397,'Player Data'!A1:D673,3,FALSE)</f>
        <v>27</v>
      </c>
      <c r="H397" s="51" cm="1">
        <f t="array" ref="H397">IFERROR(VLOOKUP(B397,ADP!A1:F671,6,FALSE)/1000000,VLOOKUP(B397,ADP!A1:F671,6,FALSE))</f>
        <v>0.88749999999999996</v>
      </c>
      <c r="I397" s="52">
        <f>IF(Settings!$E$15="POINTS",((R397*Q397)*Settings!$B$12)+(S397*Settings!$B$2)+(T397*Settings!$B$3)+(U397*Settings!$B$4)+(V397*Settings!$B$5)+(X397*Settings!$B$9)+(AA397*Settings!$B$6)+(W397*Settings!$B$8)+(AB397*Settings!$B$7)+(AC397*Settings!$B$14)+(AD397*Settings!$B$15)+(AE397*Settings!$B$16)+(AF397*Settings!$B$17)+(AG397*Settings!$B$18)+(U397*Settings!$B$13)+(Y397*Settings!$B$10)+(Z397*Settings!$B$11),VLOOKUP(B397,'Standard Deviations'!A$1:C$672,3,FALSE))</f>
        <v>126.32110268990287</v>
      </c>
      <c r="J397" s="53" cm="1">
        <f t="array" ref="J397">IF(D397="G",I397/AJ397,I397/Q397)</f>
        <v>1.6772369739082902</v>
      </c>
      <c r="K397" s="52" cm="1">
        <f t="array" ref="K397">VLOOKUP(B397,D!A1:F204,6,FALSE)</f>
        <v>-180.33276465469118</v>
      </c>
      <c r="L397" s="54" cm="1">
        <f t="array" ref="L397">IFERROR(K397/H397,"N/A")</f>
        <v>-203.19184749824359</v>
      </c>
      <c r="M397" s="85" t="s">
        <v>832</v>
      </c>
      <c r="N397" s="85" t="str" cm="1">
        <f t="array" ref="N397">IFERROR(M397-A397,"N/A")</f>
        <v>N/A</v>
      </c>
      <c r="O397" s="55"/>
      <c r="P397" s="56" t="str" cm="1">
        <f t="array" ref="P397">_xlfn.XLOOKUP($B397,ADP!A2:A671,ADP!G2:G671)</f>
        <v xml:space="preserve"> </v>
      </c>
      <c r="Q397" s="57" cm="1">
        <f t="array" ref="Q397">IF(Settings!$E$12="YES",VLOOKUP(B397,'Player Data'!A1:E673,5,FALSE),84)</f>
        <v>75.314999999999998</v>
      </c>
      <c r="R397" s="55" cm="1">
        <f t="array" ref="R397">VLOOKUP(B397,'Player Data'!$A1:$AE673,6,FALSE)</f>
        <v>16.640466512118898</v>
      </c>
      <c r="S397" s="57" cm="1">
        <f t="array" ref="S397">VLOOKUP(B397,'Player Data'!$A1:$AE673,7,FALSE)*$Q397*IFERROR((VLOOKUP(P397,Settings!$E$28:$F$33,2,FALSE)+1),1)</f>
        <v>3.5042741940730342</v>
      </c>
      <c r="T397" s="57" cm="1">
        <f t="array" ref="T397">VLOOKUP(B397,'Player Data'!$A1:$AE673,8,FALSE)*$Q397*IFERROR((VLOOKUP(P397,Settings!$E$28:$F$33,2,FALSE)+1),1)</f>
        <v>12.161355661678227</v>
      </c>
      <c r="U397" s="57" cm="1">
        <f t="array" ref="U397">SUM(S397:T397)</f>
        <v>15.665629855751261</v>
      </c>
      <c r="V397" s="57" cm="1">
        <f t="array" ref="V397">VLOOKUP(B397,'Player Data'!$A1:$AE673,10,FALSE)*$Q397*IFERROR(((VLOOKUP(P397,Settings!$E$28:$F$33,2,FALSE)/2)+1),1)</f>
        <v>59.072672091313784</v>
      </c>
      <c r="W397" s="57" cm="1">
        <f t="array" ref="W397">VLOOKUP(B397,'Player Data'!$A1:$AE673,11,FALSE)*$Q397*IFERROR((VLOOKUP(P397,Settings!$E$28:$F$33,2,FALSE)+1),1)</f>
        <v>5.0422066456798312E-3</v>
      </c>
      <c r="X397" s="57" cm="1">
        <f t="array" ref="X397">VLOOKUP(B397,'Player Data'!$A1:$AE673,12,FALSE)*$Q397*IFERROR((VLOOKUP(P397,Settings!$E$28:$F$33,2,FALSE)+1),1)</f>
        <v>8.228994042377108E-2</v>
      </c>
      <c r="Y397" s="57" cm="1">
        <f t="array" ref="Y397">VLOOKUP(B397,'Player Data'!$A1:$AE673,13,FALSE)*$Q397</f>
        <v>3.1541441973080522E-2</v>
      </c>
      <c r="Z397" s="57" cm="1">
        <f t="array" ref="Z397">VLOOKUP(B397,'Player Data'!$A1:$AE673,14,FALSE)*$Q397</f>
        <v>0.11418405845331356</v>
      </c>
      <c r="AA397" s="57" cm="1">
        <f t="array" ref="AA397">VLOOKUP(B397,'Player Data'!$A1:$AE673,15,FALSE)*$Q397</f>
        <v>99.182806156230228</v>
      </c>
      <c r="AB397" s="57" cm="1">
        <f t="array" ref="AB397">VLOOKUP(B397,'Player Data'!$A1:$AE673,16,FALSE)*$Q397</f>
        <v>98.288933673624371</v>
      </c>
      <c r="AC397" s="57" cm="1">
        <f t="array" ref="AC397">VLOOKUP(B397,'Player Data'!$A1:$AE673,17,FALSE)*$Q397*IFERROR((VLOOKUP(P397,Settings!$E$28:$F$33,2,FALSE)+1),1)</f>
        <v>0.14583150619808144</v>
      </c>
      <c r="AD397" s="57" cm="1">
        <f t="array" ref="AD397">VLOOKUP(B397,'Player Data'!$A1:$AE673,18,FALSE)*$Q397</f>
        <v>43.80985128165397</v>
      </c>
      <c r="AE397" s="57" cm="1">
        <f t="array" ref="AE397">VLOOKUP(B397,'Player Data'!$A1:$AE673,19,FALSE)*$Q397*IFERROR((VLOOKUP(P397,Settings!$E$28:$F$33,2,FALSE)+1),1)</f>
        <v>0.47175128098689056</v>
      </c>
      <c r="AF397" s="57" cm="1">
        <f t="array" ref="AF397">VLOOKUP(B397,'Player Data'!$A1:$AE673,20,FALSE)*$Q397</f>
        <v>0</v>
      </c>
      <c r="AG397" s="57" cm="1">
        <f t="array" ref="AG397">VLOOKUP(B397,'Player Data'!$A1:$AE673,21,FALSE)*$Q397</f>
        <v>0</v>
      </c>
      <c r="AH397" s="59" cm="1">
        <f t="array" ref="AH397">VLOOKUP(B397,'Player Data'!$A1:$AE673,22,FALSE)</f>
        <v>0</v>
      </c>
      <c r="AI397" s="55"/>
      <c r="AJ397" s="57"/>
      <c r="AK397" s="57"/>
      <c r="AL397" s="57"/>
      <c r="AM397" s="57"/>
      <c r="AN397" s="57"/>
      <c r="AO397" s="57"/>
      <c r="AP397" s="57"/>
      <c r="AQ397" s="60"/>
      <c r="AR397" s="61"/>
      <c r="AS397" s="55"/>
    </row>
    <row r="398" spans="1:45" ht="21.25" customHeight="1" x14ac:dyDescent="0.15">
      <c r="A398" s="62">
        <f t="shared" si="6"/>
        <v>397</v>
      </c>
      <c r="B398" s="10" t="s">
        <v>526</v>
      </c>
      <c r="C398" s="47" t="s">
        <v>147</v>
      </c>
      <c r="D398" s="48" t="str" cm="1">
        <f t="array" ref="D398">VLOOKUP(B398,'Player Data'!A1:D673,4,FALSE)</f>
        <v>D</v>
      </c>
      <c r="E398" s="68" cm="1">
        <f t="array" ref="E398">VLOOKUP(B398,D!A1:C204,3,FALSE)</f>
        <v>168</v>
      </c>
      <c r="F398" s="63" t="str" cm="1">
        <f t="array" ref="F398">VLOOKUP(B398,'Player Data'!A1:B673,2,FALSE)</f>
        <v>EDM</v>
      </c>
      <c r="G398" s="11" cm="1">
        <f t="array" ref="G398">VLOOKUP(B398,'Player Data'!A1:D673,3,FALSE)</f>
        <v>29</v>
      </c>
      <c r="H398" s="51" cm="1">
        <f t="array" ref="H398">IFERROR(VLOOKUP(B398,ADP!A1:F671,6,FALSE)/1000000,VLOOKUP(B398,ADP!A1:F671,6,FALSE))</f>
        <v>4</v>
      </c>
      <c r="I398" s="52">
        <f>IF(Settings!$E$15="POINTS",((R398*Q398)*Settings!$B$12)+(S398*Settings!$B$2)+(T398*Settings!$B$3)+(U398*Settings!$B$4)+(V398*Settings!$B$5)+(X398*Settings!$B$9)+(AA398*Settings!$B$6)+(W398*Settings!$B$8)+(AB398*Settings!$B$7)+(AC398*Settings!$B$14)+(AD398*Settings!$B$15)+(AE398*Settings!$B$16)+(AF398*Settings!$B$17)+(AG398*Settings!$B$18)+(U398*Settings!$B$13)+(Y398*Settings!$B$10)+(Z398*Settings!$B$11),VLOOKUP(B398,'Standard Deviations'!A$1:C$672,3,FALSE))</f>
        <v>125.64494572109678</v>
      </c>
      <c r="J398" s="53" cm="1">
        <f t="array" ref="J398">IF(D398="G",I398/AJ398,I398/Q398)</f>
        <v>1.7291580350400384</v>
      </c>
      <c r="K398" s="52" cm="1">
        <f t="array" ref="K398">VLOOKUP(B398,D!A1:F204,6,FALSE)</f>
        <v>-181.00892162349729</v>
      </c>
      <c r="L398" s="54" cm="1">
        <f t="array" ref="L398">IFERROR(K398/H398,"N/A")</f>
        <v>-45.252230405874322</v>
      </c>
      <c r="M398" s="85" t="s">
        <v>832</v>
      </c>
      <c r="N398" s="85" t="str" cm="1">
        <f t="array" ref="N398">IFERROR(M398-A398,"N/A")</f>
        <v>N/A</v>
      </c>
      <c r="O398" s="55"/>
      <c r="P398" s="56" t="str" cm="1">
        <f t="array" ref="P398">_xlfn.XLOOKUP($B398,ADP!A2:A671,ADP!G2:G671)</f>
        <v xml:space="preserve"> </v>
      </c>
      <c r="Q398" s="57" cm="1">
        <f t="array" ref="Q398">IF(Settings!$E$12="YES",VLOOKUP(B398,'Player Data'!A1:E673,5,FALSE),84)</f>
        <v>72.662499999999994</v>
      </c>
      <c r="R398" s="84" cm="1">
        <f t="array" ref="R398">VLOOKUP(B398,'Player Data'!$A1:$AE673,6,FALSE)</f>
        <v>17.487351246478699</v>
      </c>
      <c r="S398" s="57" cm="1">
        <f t="array" ref="S398">VLOOKUP(B398,'Player Data'!$A1:$AE673,7,FALSE)*$Q398*IFERROR((VLOOKUP(P398,Settings!$E$28:$F$33,2,FALSE)+1),1)</f>
        <v>3.3857539778203991</v>
      </c>
      <c r="T398" s="57" cm="1">
        <f t="array" ref="T398">VLOOKUP(B398,'Player Data'!$A1:$AE673,8,FALSE)*$Q398*IFERROR((VLOOKUP(P398,Settings!$E$28:$F$33,2,FALSE)+1),1)</f>
        <v>15.059864109810071</v>
      </c>
      <c r="U398" s="57" cm="1">
        <f t="array" ref="U398">SUM(S398:T398)</f>
        <v>18.445618087630471</v>
      </c>
      <c r="V398" s="57" cm="1">
        <f t="array" ref="V398">VLOOKUP(B398,'Player Data'!$A1:$AE673,10,FALSE)*$Q398*IFERROR(((VLOOKUP(P398,Settings!$E$28:$F$33,2,FALSE)/2)+1),1)</f>
        <v>54.896582552324816</v>
      </c>
      <c r="W398" s="57" cm="1">
        <f t="array" ref="W398">VLOOKUP(B398,'Player Data'!$A1:$AE673,11,FALSE)*$Q398*IFERROR((VLOOKUP(P398,Settings!$E$28:$F$33,2,FALSE)+1),1)</f>
        <v>2.4542897844460381E-2</v>
      </c>
      <c r="X398" s="57" cm="1">
        <f t="array" ref="X398">VLOOKUP(B398,'Player Data'!$A1:$AE673,12,FALSE)*$Q398*IFERROR((VLOOKUP(P398,Settings!$E$28:$F$33,2,FALSE)+1),1)</f>
        <v>0.33598146298706461</v>
      </c>
      <c r="Y398" s="57" cm="1">
        <f t="array" ref="Y398">VLOOKUP(B398,'Player Data'!$A1:$AE673,13,FALSE)*$Q398</f>
        <v>1.8469339435116229E-2</v>
      </c>
      <c r="Z398" s="57" cm="1">
        <f t="array" ref="Z398">VLOOKUP(B398,'Player Data'!$A1:$AE673,14,FALSE)*$Q398</f>
        <v>0.11596321951395561</v>
      </c>
      <c r="AA398" s="57" cm="1">
        <f t="array" ref="AA398">VLOOKUP(B398,'Player Data'!$A1:$AE673,15,FALSE)*$Q398</f>
        <v>84.815710999083862</v>
      </c>
      <c r="AB398" s="57" cm="1">
        <f t="array" ref="AB398">VLOOKUP(B398,'Player Data'!$A1:$AE673,16,FALSE)*$Q398</f>
        <v>47.226351267562748</v>
      </c>
      <c r="AC398" s="57" cm="1">
        <f t="array" ref="AC398">VLOOKUP(B398,'Player Data'!$A1:$AE673,17,FALSE)*$Q398*IFERROR((VLOOKUP(P398,Settings!$E$28:$F$33,2,FALSE)+1),1)</f>
        <v>5.3098685904198355</v>
      </c>
      <c r="AD398" s="57" cm="1">
        <f t="array" ref="AD398">VLOOKUP(B398,'Player Data'!$A1:$AE673,18,FALSE)*$Q398</f>
        <v>18.743636035777808</v>
      </c>
      <c r="AE398" s="57" cm="1">
        <f t="array" ref="AE398">VLOOKUP(B398,'Player Data'!$A1:$AE673,19,FALSE)*$Q398*IFERROR((VLOOKUP(P398,Settings!$E$28:$F$33,2,FALSE)+1),1)</f>
        <v>0.59434051581262737</v>
      </c>
      <c r="AF398" s="57" cm="1">
        <f t="array" ref="AF398">VLOOKUP(B398,'Player Data'!$A1:$AE673,20,FALSE)*$Q398</f>
        <v>0</v>
      </c>
      <c r="AG398" s="57" cm="1">
        <f t="array" ref="AG398">VLOOKUP(B398,'Player Data'!$A1:$AE673,21,FALSE)*$Q398</f>
        <v>0</v>
      </c>
      <c r="AH398" s="59" cm="1">
        <f t="array" ref="AH398">VLOOKUP(B398,'Player Data'!$A1:$AE673,22,FALSE)</f>
        <v>0</v>
      </c>
      <c r="AI398" s="55"/>
      <c r="AJ398" s="57"/>
      <c r="AK398" s="57"/>
      <c r="AL398" s="57"/>
      <c r="AM398" s="57"/>
      <c r="AN398" s="57"/>
      <c r="AO398" s="57"/>
      <c r="AP398" s="57"/>
      <c r="AQ398" s="60"/>
      <c r="AR398" s="61"/>
      <c r="AS398" s="55"/>
    </row>
    <row r="399" spans="1:45" ht="21.25" customHeight="1" x14ac:dyDescent="0.15">
      <c r="A399" s="62">
        <f t="shared" si="6"/>
        <v>398</v>
      </c>
      <c r="B399" s="10" t="s">
        <v>527</v>
      </c>
      <c r="C399" s="47" t="s">
        <v>147</v>
      </c>
      <c r="D399" s="48" t="str" cm="1">
        <f t="array" ref="D399">VLOOKUP(B399,'Player Data'!A1:D673,4,FALSE)</f>
        <v>LW,RW</v>
      </c>
      <c r="E399" s="74" cm="1">
        <f t="array" ref="E399">VLOOKUP(B399,RW!A1:F210,3,FALSE)</f>
        <v>106</v>
      </c>
      <c r="F399" s="56" t="str" cm="1">
        <f t="array" ref="F399">VLOOKUP(B399,'Player Data'!A1:B673,2,FALSE)</f>
        <v>UTA</v>
      </c>
      <c r="G399" s="11" cm="1">
        <f t="array" ref="G399">VLOOKUP(B399,'Player Data'!A1:D673,3,FALSE)</f>
        <v>29</v>
      </c>
      <c r="H399" s="67" cm="1">
        <f t="array" ref="H399">IFERROR(VLOOKUP(B399,ADP!A1:F671,6,FALSE)/1000000,VLOOKUP(B399,ADP!A1:F671,6,FALSE))</f>
        <v>4.3</v>
      </c>
      <c r="I399" s="52">
        <f>IF(Settings!$E$15="POINTS",((R399*Q399)*Settings!$B$12)+(S399*Settings!$B$2)+(T399*Settings!$B$3)+(U399*Settings!$B$4)+(V399*Settings!$B$5)+(X399*Settings!$B$9)+(AA399*Settings!$B$6)+(W399*Settings!$B$8)+(AB399*Settings!$B$7)+(AC399*Settings!$B$14)+(AD399*Settings!$B$15)+(AE399*Settings!$B$16)+(AF399*Settings!$B$17)+(AG399*Settings!$B$18)+(Y399*Settings!$B$10)+(Z399*Settings!$B$11),VLOOKUP(B399,'Standard Deviations'!A$1:C$672,3,FALSE))</f>
        <v>213.04929822773803</v>
      </c>
      <c r="J399" s="53" cm="1">
        <f t="array" ref="J399">IF(D399="G",I399/AJ399,I399/Q399)</f>
        <v>2.5479794083326919</v>
      </c>
      <c r="K399" s="52" cm="1">
        <f t="array" ref="K399">IF(Settings!$E$18="C/LW/RW",VLOOKUP(B399,RW!A1:F210,6,FALSE),VLOOKUP(B399,F!A1:F407,6,FALSE))</f>
        <v>-181.89416646581944</v>
      </c>
      <c r="L399" s="54" cm="1">
        <f t="array" ref="L399">IFERROR(K399/H399,"N/A")</f>
        <v>-42.30096894553941</v>
      </c>
      <c r="M399" s="55">
        <v>125.6</v>
      </c>
      <c r="N399" s="55" cm="1">
        <f t="array" ref="N399">IFERROR(M399-A399,"N/A")</f>
        <v>-272.39999999999998</v>
      </c>
      <c r="O399" s="55"/>
      <c r="P399" s="56" t="str" cm="1">
        <f t="array" ref="P399">_xlfn.XLOOKUP($B399,ADP!A2:A671,ADP!G2:G671)</f>
        <v xml:space="preserve"> </v>
      </c>
      <c r="Q399" s="57" cm="1">
        <f t="array" ref="Q399">IF(Settings!$E$12="YES",VLOOKUP(B399,'Player Data'!A1:E673,5,FALSE),84)</f>
        <v>83.614999999999995</v>
      </c>
      <c r="R399" s="55" cm="1">
        <f t="array" ref="R399">VLOOKUP(B399,'Player Data'!$A1:$AE673,6,FALSE)</f>
        <v>16.470797783753</v>
      </c>
      <c r="S399" s="57" cm="1">
        <f t="array" ref="S399">VLOOKUP(B399,'Player Data'!$A1:$AE673,7,FALSE)*$Q399*IFERROR((VLOOKUP(P399,Settings!$E$28:$F$33,2,FALSE)+1),1)</f>
        <v>19.269882067805653</v>
      </c>
      <c r="T399" s="57" cm="1">
        <f t="array" ref="T399">VLOOKUP(B399,'Player Data'!$A1:$AE673,8,FALSE)*$Q399*IFERROR((VLOOKUP(P399,Settings!$E$28:$F$33,2,FALSE)+1),1)</f>
        <v>16.760026275292109</v>
      </c>
      <c r="U399" s="57" cm="1">
        <f t="array" ref="U399">SUM(S399:T399)</f>
        <v>36.029908343097759</v>
      </c>
      <c r="V399" s="57" cm="1">
        <f t="array" ref="V399">VLOOKUP(B399,'Player Data'!$A1:$AE673,10,FALSE)*$Q399*IFERROR(((VLOOKUP(P399,Settings!$E$28:$F$33,2,FALSE)/2)+1),1)</f>
        <v>145.97398511352782</v>
      </c>
      <c r="W399" s="57" cm="1">
        <f t="array" ref="W399">VLOOKUP(B399,'Player Data'!$A1:$AE673,11,FALSE)*$Q399*IFERROR((VLOOKUP(P399,Settings!$E$28:$F$33,2,FALSE)+1),1)</f>
        <v>1.5066988492756612</v>
      </c>
      <c r="X399" s="57" cm="1">
        <f t="array" ref="X399">VLOOKUP(B399,'Player Data'!$A1:$AE673,12,FALSE)*$Q399*IFERROR((VLOOKUP(P399,Settings!$E$28:$F$33,2,FALSE)+1),1)</f>
        <v>2.349026393984583</v>
      </c>
      <c r="Y399" s="57" cm="1">
        <f t="array" ref="Y399">VLOOKUP(B399,'Player Data'!$A1:$AE673,13,FALSE)*$Q399</f>
        <v>0.75353275154533583</v>
      </c>
      <c r="Z399" s="57" cm="1">
        <f t="array" ref="Z399">VLOOKUP(B399,'Player Data'!$A1:$AE673,14,FALSE)*$Q399</f>
        <v>1.7088987586788149</v>
      </c>
      <c r="AA399" s="57" cm="1">
        <f t="array" ref="AA399">VLOOKUP(B399,'Player Data'!$A1:$AE673,15,FALSE)*$Q399</f>
        <v>55.829310978034826</v>
      </c>
      <c r="AB399" s="57" cm="1">
        <f t="array" ref="AB399">VLOOKUP(B399,'Player Data'!$A1:$AE673,16,FALSE)*$Q399</f>
        <v>200.72698460188801</v>
      </c>
      <c r="AC399" s="57" cm="1">
        <f t="array" ref="AC399">VLOOKUP(B399,'Player Data'!$A1:$AE673,17,FALSE)*$Q399*IFERROR((VLOOKUP(P399,Settings!$E$28:$F$33,2,FALSE)+1),1)</f>
        <v>1.7258748474611267</v>
      </c>
      <c r="AD399" s="57" cm="1">
        <f t="array" ref="AD399">VLOOKUP(B399,'Player Data'!$A1:$AE673,18,FALSE)*$Q399</f>
        <v>38.337384965769722</v>
      </c>
      <c r="AE399" s="57" cm="1">
        <f t="array" ref="AE399">VLOOKUP(B399,'Player Data'!$A1:$AE673,19,FALSE)*$Q399*IFERROR((VLOOKUP(P399,Settings!$E$28:$F$33,2,FALSE)+1),1)</f>
        <v>3.1148725082374678</v>
      </c>
      <c r="AF399" s="57" cm="1">
        <f t="array" ref="AF399">VLOOKUP(B399,'Player Data'!$A1:$AE673,20,FALSE)*$Q399</f>
        <v>29.843268881750777</v>
      </c>
      <c r="AG399" s="57" cm="1">
        <f t="array" ref="AG399">VLOOKUP(B399,'Player Data'!$A1:$AE673,21,FALSE)*$Q399</f>
        <v>50.370107550301753</v>
      </c>
      <c r="AH399" s="59" cm="1">
        <f t="array" ref="AH399">VLOOKUP(B399,'Player Data'!$A1:$AE673,22,FALSE)</f>
        <v>0.372048531170241</v>
      </c>
      <c r="AI399" s="55"/>
      <c r="AJ399" s="57"/>
      <c r="AK399" s="57"/>
      <c r="AL399" s="57"/>
      <c r="AM399" s="57"/>
      <c r="AN399" s="57"/>
      <c r="AO399" s="57"/>
      <c r="AP399" s="57"/>
      <c r="AQ399" s="60"/>
      <c r="AR399" s="61"/>
      <c r="AS399" s="55"/>
    </row>
    <row r="400" spans="1:45" ht="21.25" customHeight="1" x14ac:dyDescent="0.15">
      <c r="A400" s="62">
        <f t="shared" si="6"/>
        <v>399</v>
      </c>
      <c r="B400" s="10" t="s">
        <v>528</v>
      </c>
      <c r="C400" s="47" t="s">
        <v>147</v>
      </c>
      <c r="D400" s="48" t="str" cm="1">
        <f t="array" ref="D400">VLOOKUP(B400,'Player Data'!A1:D673,4,FALSE)</f>
        <v>D</v>
      </c>
      <c r="E400" s="68" cm="1">
        <f t="array" ref="E400">VLOOKUP(B400,D!A1:C204,3,FALSE)</f>
        <v>169</v>
      </c>
      <c r="F400" s="63" t="str" cm="1">
        <f t="array" ref="F400">VLOOKUP(B400,'Player Data'!A1:B673,2,FALSE)</f>
        <v>DAL</v>
      </c>
      <c r="G400" s="11" cm="1">
        <f t="array" ref="G400">VLOOKUP(B400,'Player Data'!A1:D673,3,FALSE)</f>
        <v>26</v>
      </c>
      <c r="H400" s="51" cm="1">
        <f t="array" ref="H400">IFERROR(VLOOKUP(B400,ADP!A1:F671,6,FALSE)/1000000,VLOOKUP(B400,ADP!A1:F671,6,FALSE))</f>
        <v>1.75</v>
      </c>
      <c r="I400" s="52">
        <f>IF(Settings!$E$15="POINTS",((R400*Q400)*Settings!$B$12)+(S400*Settings!$B$2)+(T400*Settings!$B$3)+(U400*Settings!$B$4)+(V400*Settings!$B$5)+(X400*Settings!$B$9)+(AA400*Settings!$B$6)+(W400*Settings!$B$8)+(AB400*Settings!$B$7)+(AC400*Settings!$B$14)+(AD400*Settings!$B$15)+(AE400*Settings!$B$16)+(AF400*Settings!$B$17)+(AG400*Settings!$B$18)+(U400*Settings!$B$13)+(Y400*Settings!$B$10)+(Z400*Settings!$B$11),VLOOKUP(B400,'Standard Deviations'!A$1:C$672,3,FALSE))</f>
        <v>124.56785813828463</v>
      </c>
      <c r="J400" s="53" cm="1">
        <f t="array" ref="J400">IF(D400="G",I400/AJ400,I400/Q400)</f>
        <v>1.7671079638016047</v>
      </c>
      <c r="K400" s="52" cm="1">
        <f t="array" ref="K400">VLOOKUP(B400,D!A1:F204,6,FALSE)</f>
        <v>-182.08600920630943</v>
      </c>
      <c r="L400" s="54" cm="1">
        <f t="array" ref="L400">IFERROR(K400/H400,"N/A")</f>
        <v>-104.04914811789111</v>
      </c>
      <c r="M400" s="85" t="s">
        <v>832</v>
      </c>
      <c r="N400" s="85" t="str" cm="1">
        <f t="array" ref="N400">IFERROR(M400-A400,"N/A")</f>
        <v>N/A</v>
      </c>
      <c r="O400" s="81"/>
      <c r="P400" s="56" t="str" cm="1">
        <f t="array" ref="P400">_xlfn.XLOOKUP($B400,ADP!A2:A671,ADP!G2:G671)</f>
        <v xml:space="preserve"> </v>
      </c>
      <c r="Q400" s="57" cm="1">
        <f t="array" ref="Q400">IF(Settings!$E$12="YES",VLOOKUP(B400,'Player Data'!A1:E673,5,FALSE),84)</f>
        <v>70.492500000000007</v>
      </c>
      <c r="R400" s="55" cm="1">
        <f t="array" ref="R400">VLOOKUP(B400,'Player Data'!$A1:$AE673,6,FALSE)</f>
        <v>16.420722324859302</v>
      </c>
      <c r="S400" s="57" cm="1">
        <f t="array" ref="S400">VLOOKUP(B400,'Player Data'!$A1:$AE673,7,FALSE)*$Q400*IFERROR((VLOOKUP(P400,Settings!$E$28:$F$33,2,FALSE)+1),1)</f>
        <v>3.034916071282999</v>
      </c>
      <c r="T400" s="57" cm="1">
        <f t="array" ref="T400">VLOOKUP(B400,'Player Data'!$A1:$AE673,8,FALSE)*$Q400*IFERROR((VLOOKUP(P400,Settings!$E$28:$F$33,2,FALSE)+1),1)</f>
        <v>14.072227141906959</v>
      </c>
      <c r="U400" s="57" cm="1">
        <f t="array" ref="U400">SUM(S400:T400)</f>
        <v>17.107143213189957</v>
      </c>
      <c r="V400" s="57" cm="1">
        <f t="array" ref="V400">VLOOKUP(B400,'Player Data'!$A1:$AE673,10,FALSE)*$Q400*IFERROR(((VLOOKUP(P400,Settings!$E$28:$F$33,2,FALSE)/2)+1),1)</f>
        <v>74.414686520849017</v>
      </c>
      <c r="W400" s="57" cm="1">
        <f t="array" ref="W400">VLOOKUP(B400,'Player Data'!$A1:$AE673,11,FALSE)*$Q400*IFERROR((VLOOKUP(P400,Settings!$E$28:$F$33,2,FALSE)+1),1)</f>
        <v>5.628090553659172E-3</v>
      </c>
      <c r="X400" s="57" cm="1">
        <f t="array" ref="X400">VLOOKUP(B400,'Player Data'!$A1:$AE673,12,FALSE)*$Q400*IFERROR((VLOOKUP(P400,Settings!$E$28:$F$33,2,FALSE)+1),1)</f>
        <v>8.6178155473759524E-2</v>
      </c>
      <c r="Y400" s="57" cm="1">
        <f t="array" ref="Y400">VLOOKUP(B400,'Player Data'!$A1:$AE673,13,FALSE)*$Q400</f>
        <v>5.694120466072386E-3</v>
      </c>
      <c r="Z400" s="57" cm="1">
        <f t="array" ref="Z400">VLOOKUP(B400,'Player Data'!$A1:$AE673,14,FALSE)*$Q400</f>
        <v>1.9549064262547714E-2</v>
      </c>
      <c r="AA400" s="57" cm="1">
        <f t="array" ref="AA400">VLOOKUP(B400,'Player Data'!$A1:$AE673,15,FALSE)*$Q400</f>
        <v>71.866716037107878</v>
      </c>
      <c r="AB400" s="57" cm="1">
        <f t="array" ref="AB400">VLOOKUP(B400,'Player Data'!$A1:$AE673,16,FALSE)*$Q400</f>
        <v>53.274796188777778</v>
      </c>
      <c r="AC400" s="57" cm="1">
        <f t="array" ref="AC400">VLOOKUP(B400,'Player Data'!$A1:$AE673,17,FALSE)*$Q400*IFERROR((VLOOKUP(P400,Settings!$E$28:$F$33,2,FALSE)+1),1)</f>
        <v>5.3790652827263008</v>
      </c>
      <c r="AD400" s="57" cm="1">
        <f t="array" ref="AD400">VLOOKUP(B400,'Player Data'!$A1:$AE673,18,FALSE)*$Q400</f>
        <v>26.867698298350511</v>
      </c>
      <c r="AE400" s="57" cm="1">
        <f t="array" ref="AE400">VLOOKUP(B400,'Player Data'!$A1:$AE673,19,FALSE)*$Q400*IFERROR((VLOOKUP(P400,Settings!$E$28:$F$33,2,FALSE)+1),1)</f>
        <v>0.51327348268432427</v>
      </c>
      <c r="AF400" s="57" cm="1">
        <f t="array" ref="AF400">VLOOKUP(B400,'Player Data'!$A1:$AE673,20,FALSE)*$Q400</f>
        <v>0</v>
      </c>
      <c r="AG400" s="57" cm="1">
        <f t="array" ref="AG400">VLOOKUP(B400,'Player Data'!$A1:$AE673,21,FALSE)*$Q400</f>
        <v>0</v>
      </c>
      <c r="AH400" s="59" cm="1">
        <f t="array" ref="AH400">VLOOKUP(B400,'Player Data'!$A1:$AE673,22,FALSE)</f>
        <v>0</v>
      </c>
      <c r="AI400" s="55"/>
      <c r="AJ400" s="57"/>
      <c r="AK400" s="57"/>
      <c r="AL400" s="57"/>
      <c r="AM400" s="57"/>
      <c r="AN400" s="57"/>
      <c r="AO400" s="57"/>
      <c r="AP400" s="57"/>
      <c r="AQ400" s="60"/>
      <c r="AR400" s="61"/>
      <c r="AS400" s="55"/>
    </row>
    <row r="401" spans="1:45" ht="21.25" customHeight="1" x14ac:dyDescent="0.15">
      <c r="A401" s="62">
        <f t="shared" si="6"/>
        <v>400</v>
      </c>
      <c r="B401" s="10" t="s">
        <v>529</v>
      </c>
      <c r="C401" s="47" t="s">
        <v>147</v>
      </c>
      <c r="D401" s="48" t="str" cm="1">
        <f t="array" ref="D401">VLOOKUP(B401,'Player Data'!A1:D673,4,FALSE)</f>
        <v>D</v>
      </c>
      <c r="E401" s="68" cm="1">
        <f t="array" ref="E401">VLOOKUP(B401,D!A1:C204,3,FALSE)</f>
        <v>170</v>
      </c>
      <c r="F401" s="72" t="str" cm="1">
        <f t="array" ref="F401">VLOOKUP(B401,'Player Data'!A1:B673,2,FALSE)</f>
        <v>PIT</v>
      </c>
      <c r="G401" s="66" cm="1">
        <f t="array" ref="G401">VLOOKUP(B401,'Player Data'!A1:D673,3,FALSE)</f>
        <v>35</v>
      </c>
      <c r="H401" s="51" cm="1">
        <f t="array" ref="H401">IFERROR(VLOOKUP(B401,ADP!A1:F671,6,FALSE)/1000000,VLOOKUP(B401,ADP!A1:F671,6,FALSE))</f>
        <v>4</v>
      </c>
      <c r="I401" s="52">
        <f>IF(Settings!$E$15="POINTS",((R401*Q401)*Settings!$B$12)+(S401*Settings!$B$2)+(T401*Settings!$B$3)+(U401*Settings!$B$4)+(V401*Settings!$B$5)+(X401*Settings!$B$9)+(AA401*Settings!$B$6)+(W401*Settings!$B$8)+(AB401*Settings!$B$7)+(AC401*Settings!$B$14)+(AD401*Settings!$B$15)+(AE401*Settings!$B$16)+(AF401*Settings!$B$17)+(AG401*Settings!$B$18)+(U401*Settings!$B$13)+(Y401*Settings!$B$10)+(Z401*Settings!$B$11),VLOOKUP(B401,'Standard Deviations'!A$1:C$672,3,FALSE))</f>
        <v>124.45795464795697</v>
      </c>
      <c r="J401" s="53" cm="1">
        <f t="array" ref="J401">IF(D401="G",I401/AJ401,I401/Q401)</f>
        <v>1.5490441800728978</v>
      </c>
      <c r="K401" s="52" cm="1">
        <f t="array" ref="K401">VLOOKUP(B401,D!A1:F204,6,FALSE)</f>
        <v>-182.19591269663709</v>
      </c>
      <c r="L401" s="54" cm="1">
        <f t="array" ref="L401">IFERROR(K401/H401,"N/A")</f>
        <v>-45.548978174159274</v>
      </c>
      <c r="M401" s="85" t="s">
        <v>832</v>
      </c>
      <c r="N401" s="85" t="str" cm="1">
        <f t="array" ref="N401">IFERROR(M401-A401,"N/A")</f>
        <v>N/A</v>
      </c>
      <c r="O401" s="83"/>
      <c r="P401" s="56" t="str" cm="1">
        <f t="array" ref="P401">_xlfn.XLOOKUP($B401,ADP!A2:A671,ADP!G2:G671)</f>
        <v xml:space="preserve"> </v>
      </c>
      <c r="Q401" s="57" cm="1">
        <f t="array" ref="Q401">IF(Settings!$E$12="YES",VLOOKUP(B401,'Player Data'!A1:E673,5,FALSE),84)</f>
        <v>80.344999999999999</v>
      </c>
      <c r="R401" s="82" cm="1">
        <f t="array" ref="R401">VLOOKUP(B401,'Player Data'!$A1:$AE673,6,FALSE)</f>
        <v>17.5135279771931</v>
      </c>
      <c r="S401" s="57" cm="1">
        <f t="array" ref="S401">VLOOKUP(B401,'Player Data'!$A1:$AE673,7,FALSE)*$Q401*IFERROR((VLOOKUP(P401,Settings!$E$28:$F$33,2,FALSE)+1),1)</f>
        <v>-0.22321811324413807</v>
      </c>
      <c r="T401" s="57" cm="1">
        <f t="array" ref="T401">VLOOKUP(B401,'Player Data'!$A1:$AE673,8,FALSE)*$Q401*IFERROR((VLOOKUP(P401,Settings!$E$28:$F$33,2,FALSE)+1),1)</f>
        <v>13.657840136258951</v>
      </c>
      <c r="U401" s="57" cm="1">
        <f t="array" ref="U401">SUM(S401:T401)</f>
        <v>13.434622023014812</v>
      </c>
      <c r="V401" s="57" cm="1">
        <f t="array" ref="V401">VLOOKUP(B401,'Player Data'!$A1:$AE673,10,FALSE)*$Q401*IFERROR(((VLOOKUP(P401,Settings!$E$28:$F$33,2,FALSE)/2)+1),1)</f>
        <v>41.841237935414377</v>
      </c>
      <c r="W401" s="57" cm="1">
        <f t="array" ref="W401">VLOOKUP(B401,'Player Data'!$A1:$AE673,11,FALSE)*$Q401*IFERROR((VLOOKUP(P401,Settings!$E$28:$F$33,2,FALSE)+1),1)</f>
        <v>-1.5037420051905756E-3</v>
      </c>
      <c r="X401" s="57" cm="1">
        <f t="array" ref="X401">VLOOKUP(B401,'Player Data'!$A1:$AE673,12,FALSE)*$Q401*IFERROR((VLOOKUP(P401,Settings!$E$28:$F$33,2,FALSE)+1),1)</f>
        <v>8.0486682521581171E-2</v>
      </c>
      <c r="Y401" s="57" cm="1">
        <f t="array" ref="Y401">VLOOKUP(B401,'Player Data'!$A1:$AE673,13,FALSE)*$Q401</f>
        <v>-2.8636849605684742E-3</v>
      </c>
      <c r="Z401" s="57" cm="1">
        <f t="array" ref="Z401">VLOOKUP(B401,'Player Data'!$A1:$AE673,14,FALSE)*$Q401</f>
        <v>0.26160735785435074</v>
      </c>
      <c r="AA401" s="57" cm="1">
        <f t="array" ref="AA401">VLOOKUP(B401,'Player Data'!$A1:$AE673,15,FALSE)*$Q401</f>
        <v>125.78275114165885</v>
      </c>
      <c r="AB401" s="57" cm="1">
        <f t="array" ref="AB401">VLOOKUP(B401,'Player Data'!$A1:$AE673,16,FALSE)*$Q401</f>
        <v>34.509138367471664</v>
      </c>
      <c r="AC401" s="57" cm="1">
        <f t="array" ref="AC401">VLOOKUP(B401,'Player Data'!$A1:$AE673,17,FALSE)*$Q401*IFERROR((VLOOKUP(P401,Settings!$E$28:$F$33,2,FALSE)+1),1)</f>
        <v>7.1888647692652644E-2</v>
      </c>
      <c r="AD401" s="57" cm="1">
        <f t="array" ref="AD401">VLOOKUP(B401,'Player Data'!$A1:$AE673,18,FALSE)*$Q401</f>
        <v>24.704734241989708</v>
      </c>
      <c r="AE401" s="57" cm="1">
        <f t="array" ref="AE401">VLOOKUP(B401,'Player Data'!$A1:$AE673,19,FALSE)*$Q401*IFERROR((VLOOKUP(P401,Settings!$E$28:$F$33,2,FALSE)+1),1)</f>
        <v>-3.2363789660478315E-2</v>
      </c>
      <c r="AF401" s="57" cm="1">
        <f t="array" ref="AF401">VLOOKUP(B401,'Player Data'!$A1:$AE673,20,FALSE)*$Q401</f>
        <v>0</v>
      </c>
      <c r="AG401" s="57" cm="1">
        <f t="array" ref="AG401">VLOOKUP(B401,'Player Data'!$A1:$AE673,21,FALSE)*$Q401</f>
        <v>0</v>
      </c>
      <c r="AH401" s="59" cm="1">
        <f t="array" ref="AH401">VLOOKUP(B401,'Player Data'!$A1:$AE673,22,FALSE)</f>
        <v>0</v>
      </c>
      <c r="AI401" s="55"/>
      <c r="AJ401" s="57"/>
      <c r="AK401" s="57"/>
      <c r="AL401" s="57"/>
      <c r="AM401" s="57"/>
      <c r="AN401" s="57"/>
      <c r="AO401" s="57"/>
      <c r="AP401" s="57"/>
      <c r="AQ401" s="60"/>
      <c r="AR401" s="61"/>
      <c r="AS401" s="55"/>
    </row>
    <row r="402" spans="1:45" ht="21.25" customHeight="1" x14ac:dyDescent="0.15">
      <c r="A402" s="62">
        <f t="shared" si="6"/>
        <v>401</v>
      </c>
      <c r="B402" s="10" t="s">
        <v>530</v>
      </c>
      <c r="C402" s="47" t="s">
        <v>147</v>
      </c>
      <c r="D402" s="48" t="str" cm="1">
        <f t="array" ref="D402">VLOOKUP(B402,'Player Data'!A1:D673,4,FALSE)</f>
        <v>RW</v>
      </c>
      <c r="E402" s="64" cm="1">
        <f t="array" ref="E402">VLOOKUP(B402,RW!A1:F210,3,FALSE)</f>
        <v>107</v>
      </c>
      <c r="F402" s="63" t="str" cm="1">
        <f t="array" ref="F402">VLOOKUP(B402,'Player Data'!A1:B673,2,FALSE)</f>
        <v>SEA</v>
      </c>
      <c r="G402" s="11" cm="1">
        <f t="array" ref="G402">VLOOKUP(B402,'Player Data'!A1:D673,3,FALSE)</f>
        <v>25</v>
      </c>
      <c r="H402" s="51" cm="1">
        <f t="array" ref="H402">IFERROR(VLOOKUP(B402,ADP!A1:F671,6,FALSE)/1000000,VLOOKUP(B402,ADP!A1:F671,6,FALSE))</f>
        <v>4.5250000000000004</v>
      </c>
      <c r="I402" s="52">
        <f>IF(Settings!$E$15="POINTS",((R402*Q402)*Settings!$B$12)+(S402*Settings!$B$2)+(T402*Settings!$B$3)+(U402*Settings!$B$4)+(V402*Settings!$B$5)+(X402*Settings!$B$9)+(AA402*Settings!$B$6)+(W402*Settings!$B$8)+(AB402*Settings!$B$7)+(AC402*Settings!$B$14)+(AD402*Settings!$B$15)+(AE402*Settings!$B$16)+(AF402*Settings!$B$17)+(AG402*Settings!$B$18)+(Y402*Settings!$B$10)+(Z402*Settings!$B$11),VLOOKUP(B402,'Standard Deviations'!A$1:C$672,3,FALSE))</f>
        <v>212.68541937357583</v>
      </c>
      <c r="J402" s="53" cm="1">
        <f t="array" ref="J402">IF(D402="G",I402/AJ402,I402/Q402)</f>
        <v>2.7093683996633864</v>
      </c>
      <c r="K402" s="52" cm="1">
        <f t="array" ref="K402">IF(Settings!$E$18="C/LW/RW",VLOOKUP(B402,RW!A1:F210,6,FALSE),VLOOKUP(B402,F!A1:F407,6,FALSE))</f>
        <v>-182.25804531998165</v>
      </c>
      <c r="L402" s="54" cm="1">
        <f t="array" ref="L402">IFERROR(K402/H402,"N/A")</f>
        <v>-40.278021065189314</v>
      </c>
      <c r="M402" s="85" t="s">
        <v>832</v>
      </c>
      <c r="N402" s="85" t="str" cm="1">
        <f t="array" ref="N402">IFERROR(M402-A402,"N/A")</f>
        <v>N/A</v>
      </c>
      <c r="O402" s="55"/>
      <c r="P402" s="56" t="str" cm="1">
        <f t="array" ref="P402">_xlfn.XLOOKUP($B402,ADP!A2:A671,ADP!G2:G671)</f>
        <v xml:space="preserve"> </v>
      </c>
      <c r="Q402" s="57" cm="1">
        <f t="array" ref="Q402">IF(Settings!$E$12="YES",VLOOKUP(B402,'Player Data'!A1:E673,5,FALSE),84)</f>
        <v>78.5</v>
      </c>
      <c r="R402" s="55" cm="1">
        <f t="array" ref="R402">VLOOKUP(B402,'Player Data'!$A1:$AE673,6,FALSE)</f>
        <v>15.105915917478701</v>
      </c>
      <c r="S402" s="57" cm="1">
        <f t="array" ref="S402">VLOOKUP(B402,'Player Data'!$A1:$AE673,7,FALSE)*$Q402*IFERROR((VLOOKUP(P402,Settings!$E$28:$F$33,2,FALSE)+1),1)</f>
        <v>16.506102710401041</v>
      </c>
      <c r="T402" s="57" cm="1">
        <f t="array" ref="T402">VLOOKUP(B402,'Player Data'!$A1:$AE673,8,FALSE)*$Q402*IFERROR((VLOOKUP(P402,Settings!$E$28:$F$33,2,FALSE)+1),1)</f>
        <v>28.689592170840559</v>
      </c>
      <c r="U402" s="57" cm="1">
        <f t="array" ref="U402">SUM(S402:T402)</f>
        <v>45.1956948812416</v>
      </c>
      <c r="V402" s="57" cm="1">
        <f t="array" ref="V402">VLOOKUP(B402,'Player Data'!$A1:$AE673,10,FALSE)*$Q402*IFERROR(((VLOOKUP(P402,Settings!$E$28:$F$33,2,FALSE)/2)+1),1)</f>
        <v>112.78476452859772</v>
      </c>
      <c r="W402" s="57" cm="1">
        <f t="array" ref="W402">VLOOKUP(B402,'Player Data'!$A1:$AE673,11,FALSE)*$Q402*IFERROR((VLOOKUP(P402,Settings!$E$28:$F$33,2,FALSE)+1),1)</f>
        <v>3.588022356893128</v>
      </c>
      <c r="X402" s="57" cm="1">
        <f t="array" ref="X402">VLOOKUP(B402,'Player Data'!$A1:$AE673,12,FALSE)*$Q402*IFERROR((VLOOKUP(P402,Settings!$E$28:$F$33,2,FALSE)+1),1)</f>
        <v>9.8402249151425369</v>
      </c>
      <c r="Y402" s="57" cm="1">
        <f t="array" ref="Y402">VLOOKUP(B402,'Player Data'!$A1:$AE673,13,FALSE)*$Q402</f>
        <v>4.1888561191110165E-3</v>
      </c>
      <c r="Z402" s="57" cm="1">
        <f t="array" ref="Z402">VLOOKUP(B402,'Player Data'!$A1:$AE673,14,FALSE)*$Q402</f>
        <v>6.859812101057506E-3</v>
      </c>
      <c r="AA402" s="57" cm="1">
        <f t="array" ref="AA402">VLOOKUP(B402,'Player Data'!$A1:$AE673,15,FALSE)*$Q402</f>
        <v>21.717735476617204</v>
      </c>
      <c r="AB402" s="57" cm="1">
        <f t="array" ref="AB402">VLOOKUP(B402,'Player Data'!$A1:$AE673,16,FALSE)*$Q402</f>
        <v>51.366247861823929</v>
      </c>
      <c r="AC402" s="57" cm="1">
        <f t="array" ref="AC402">VLOOKUP(B402,'Player Data'!$A1:$AE673,17,FALSE)*$Q402*IFERROR((VLOOKUP(P402,Settings!$E$28:$F$33,2,FALSE)+1),1)</f>
        <v>-5.49205667649258</v>
      </c>
      <c r="AD402" s="57" cm="1">
        <f t="array" ref="AD402">VLOOKUP(B402,'Player Data'!$A1:$AE673,18,FALSE)*$Q402</f>
        <v>25.760538309997997</v>
      </c>
      <c r="AE402" s="57" cm="1">
        <f t="array" ref="AE402">VLOOKUP(B402,'Player Data'!$A1:$AE673,19,FALSE)*$Q402*IFERROR((VLOOKUP(P402,Settings!$E$28:$F$33,2,FALSE)+1),1)</f>
        <v>2.2741313494506112</v>
      </c>
      <c r="AF402" s="57" cm="1">
        <f t="array" ref="AF402">VLOOKUP(B402,'Player Data'!$A1:$AE673,20,FALSE)*$Q402</f>
        <v>27.275933687121213</v>
      </c>
      <c r="AG402" s="57" cm="1">
        <f t="array" ref="AG402">VLOOKUP(B402,'Player Data'!$A1:$AE673,21,FALSE)*$Q402</f>
        <v>27.569537957124396</v>
      </c>
      <c r="AH402" s="59" cm="1">
        <f t="array" ref="AH402">VLOOKUP(B402,'Player Data'!$A1:$AE673,22,FALSE)</f>
        <v>0.49732334993937499</v>
      </c>
      <c r="AI402" s="55"/>
      <c r="AJ402" s="57"/>
      <c r="AK402" s="57"/>
      <c r="AL402" s="57"/>
      <c r="AM402" s="57"/>
      <c r="AN402" s="57"/>
      <c r="AO402" s="57"/>
      <c r="AP402" s="57"/>
      <c r="AQ402" s="60"/>
      <c r="AR402" s="61"/>
      <c r="AS402" s="55"/>
    </row>
    <row r="403" spans="1:45" ht="21.25" customHeight="1" x14ac:dyDescent="0.15">
      <c r="A403" s="62">
        <f t="shared" si="6"/>
        <v>402</v>
      </c>
      <c r="B403" s="10" t="s">
        <v>531</v>
      </c>
      <c r="C403" s="47" t="s">
        <v>147</v>
      </c>
      <c r="D403" s="48" t="str" cm="1">
        <f t="array" ref="D403">VLOOKUP(B403,'Player Data'!A1:D673,4,FALSE)</f>
        <v>LW,RW</v>
      </c>
      <c r="E403" s="74" cm="1">
        <f t="array" ref="E403">VLOOKUP(B403,RW!A1:F210,3,FALSE)</f>
        <v>108</v>
      </c>
      <c r="F403" s="65" t="str" cm="1">
        <f t="array" ref="F403">VLOOKUP(B403,'Player Data'!A1:B673,2,FALSE)</f>
        <v>STL</v>
      </c>
      <c r="G403" s="71" cm="1">
        <f t="array" ref="G403">VLOOKUP(B403,'Player Data'!A1:D673,3,FALSE)</f>
        <v>24</v>
      </c>
      <c r="H403" s="67" cm="1">
        <f t="array" ref="H403">IFERROR(VLOOKUP(B403,ADP!A1:F671,6,FALSE)/1000000,VLOOKUP(B403,ADP!A1:F671,6,FALSE))</f>
        <v>3.75</v>
      </c>
      <c r="I403" s="52">
        <f>IF(Settings!$E$15="POINTS",((R403*Q403)*Settings!$B$12)+(S403*Settings!$B$2)+(T403*Settings!$B$3)+(U403*Settings!$B$4)+(V403*Settings!$B$5)+(X403*Settings!$B$9)+(AA403*Settings!$B$6)+(W403*Settings!$B$8)+(AB403*Settings!$B$7)+(AC403*Settings!$B$14)+(AD403*Settings!$B$15)+(AE403*Settings!$B$16)+(AF403*Settings!$B$17)+(AG403*Settings!$B$18)+(Y403*Settings!$B$10)+(Z403*Settings!$B$11),VLOOKUP(B403,'Standard Deviations'!A$1:C$672,3,FALSE))</f>
        <v>212.27847831803066</v>
      </c>
      <c r="J403" s="53" cm="1">
        <f t="array" ref="J403">IF(D403="G",I403/AJ403,I403/Q403)</f>
        <v>2.6135427783930645</v>
      </c>
      <c r="K403" s="52" cm="1">
        <f t="array" ref="K403">IF(Settings!$E$18="C/LW/RW",VLOOKUP(B403,RW!A1:F210,6,FALSE),VLOOKUP(B403,F!A1:F407,6,FALSE))</f>
        <v>-182.66498637552681</v>
      </c>
      <c r="L403" s="54" cm="1">
        <f t="array" ref="L403">IFERROR(K403/H403,"N/A")</f>
        <v>-48.710663033473814</v>
      </c>
      <c r="M403" s="55">
        <v>128.9</v>
      </c>
      <c r="N403" s="55" cm="1">
        <f t="array" ref="N403">IFERROR(M403-A403,"N/A")</f>
        <v>-273.10000000000002</v>
      </c>
      <c r="O403" s="55"/>
      <c r="P403" s="56" t="str" cm="1">
        <f t="array" ref="P403">_xlfn.XLOOKUP($B403,ADP!A2:A671,ADP!G2:G671)</f>
        <v xml:space="preserve"> </v>
      </c>
      <c r="Q403" s="57" cm="1">
        <f t="array" ref="Q403">IF(Settings!$E$12="YES",VLOOKUP(B403,'Player Data'!A1:E673,5,FALSE),84)</f>
        <v>81.222499999999997</v>
      </c>
      <c r="R403" s="55" cm="1">
        <f t="array" ref="R403">VLOOKUP(B403,'Player Data'!$A1:$AE673,6,FALSE)</f>
        <v>14.490044264492401</v>
      </c>
      <c r="S403" s="57" cm="1">
        <f t="array" ref="S403">VLOOKUP(B403,'Player Data'!$A1:$AE673,7,FALSE)*$Q403*IFERROR((VLOOKUP(P403,Settings!$E$28:$F$33,2,FALSE)+1),1)</f>
        <v>19.223478095585289</v>
      </c>
      <c r="T403" s="57" cm="1">
        <f t="array" ref="T403">VLOOKUP(B403,'Player Data'!$A1:$AE673,8,FALSE)*$Q403*IFERROR((VLOOKUP(P403,Settings!$E$28:$F$33,2,FALSE)+1),1)</f>
        <v>22.879854130970202</v>
      </c>
      <c r="U403" s="57" cm="1">
        <f t="array" ref="U403">SUM(S403:T403)</f>
        <v>42.103332226555494</v>
      </c>
      <c r="V403" s="57" cm="1">
        <f t="array" ref="V403">VLOOKUP(B403,'Player Data'!$A1:$AE673,10,FALSE)*$Q403*IFERROR(((VLOOKUP(P403,Settings!$E$28:$F$33,2,FALSE)/2)+1),1)</f>
        <v>109.57652902828463</v>
      </c>
      <c r="W403" s="57" cm="1">
        <f t="array" ref="W403">VLOOKUP(B403,'Player Data'!$A1:$AE673,11,FALSE)*$Q403*IFERROR((VLOOKUP(P403,Settings!$E$28:$F$33,2,FALSE)+1),1)</f>
        <v>3.2701945137730331</v>
      </c>
      <c r="X403" s="57" cm="1">
        <f t="array" ref="X403">VLOOKUP(B403,'Player Data'!$A1:$AE673,12,FALSE)*$Q403*IFERROR((VLOOKUP(P403,Settings!$E$28:$F$33,2,FALSE)+1),1)</f>
        <v>9.5389832185819206</v>
      </c>
      <c r="Y403" s="57" cm="1">
        <f t="array" ref="Y403">VLOOKUP(B403,'Player Data'!$A1:$AE673,13,FALSE)*$Q403</f>
        <v>1.5004187621537409E-2</v>
      </c>
      <c r="Z403" s="57" cm="1">
        <f t="array" ref="Z403">VLOOKUP(B403,'Player Data'!$A1:$AE673,14,FALSE)*$Q403</f>
        <v>2.4616033108981292E-2</v>
      </c>
      <c r="AA403" s="57" cm="1">
        <f t="array" ref="AA403">VLOOKUP(B403,'Player Data'!$A1:$AE673,15,FALSE)*$Q403</f>
        <v>43.233235745061933</v>
      </c>
      <c r="AB403" s="57" cm="1">
        <f t="array" ref="AB403">VLOOKUP(B403,'Player Data'!$A1:$AE673,16,FALSE)*$Q403</f>
        <v>153.45522719163165</v>
      </c>
      <c r="AC403" s="57" cm="1">
        <f t="array" ref="AC403">VLOOKUP(B403,'Player Data'!$A1:$AE673,17,FALSE)*$Q403*IFERROR((VLOOKUP(P403,Settings!$E$28:$F$33,2,FALSE)+1),1)</f>
        <v>-0.94697671795767724</v>
      </c>
      <c r="AD403" s="57" cm="1">
        <f t="array" ref="AD403">VLOOKUP(B403,'Player Data'!$A1:$AE673,18,FALSE)*$Q403</f>
        <v>38.61957026896102</v>
      </c>
      <c r="AE403" s="57" cm="1">
        <f t="array" ref="AE403">VLOOKUP(B403,'Player Data'!$A1:$AE673,19,FALSE)*$Q403*IFERROR((VLOOKUP(P403,Settings!$E$28:$F$33,2,FALSE)+1),1)</f>
        <v>2.7718533820731626</v>
      </c>
      <c r="AF403" s="57" cm="1">
        <f t="array" ref="AF403">VLOOKUP(B403,'Player Data'!$A1:$AE673,20,FALSE)*$Q403</f>
        <v>7.1464891691504482</v>
      </c>
      <c r="AG403" s="57" cm="1">
        <f t="array" ref="AG403">VLOOKUP(B403,'Player Data'!$A1:$AE673,21,FALSE)*$Q403</f>
        <v>15.117543881835473</v>
      </c>
      <c r="AH403" s="59" cm="1">
        <f t="array" ref="AH403">VLOOKUP(B403,'Player Data'!$A1:$AE673,22,FALSE)</f>
        <v>0.32098807762208098</v>
      </c>
      <c r="AI403" s="55"/>
      <c r="AJ403" s="57"/>
      <c r="AK403" s="57"/>
      <c r="AL403" s="57"/>
      <c r="AM403" s="57"/>
      <c r="AN403" s="57"/>
      <c r="AO403" s="57"/>
      <c r="AP403" s="57"/>
      <c r="AQ403" s="60"/>
      <c r="AR403" s="61"/>
      <c r="AS403" s="55"/>
    </row>
    <row r="404" spans="1:45" ht="21.25" customHeight="1" x14ac:dyDescent="0.15">
      <c r="A404" s="62">
        <f t="shared" si="6"/>
        <v>403</v>
      </c>
      <c r="B404" s="10" t="s">
        <v>532</v>
      </c>
      <c r="C404" s="47" t="s">
        <v>128</v>
      </c>
      <c r="D404" s="48" t="str" cm="1">
        <f t="array" ref="D404">VLOOKUP(B404,'Player Data'!A1:D673,4,FALSE)</f>
        <v>RW</v>
      </c>
      <c r="E404" s="64" cm="1">
        <f t="array" ref="E404">VLOOKUP(B404,RW!A1:F210,3,FALSE)</f>
        <v>109</v>
      </c>
      <c r="F404" s="63" t="str" cm="1">
        <f t="array" ref="F404">VLOOKUP(B404,'Player Data'!A1:B673,2,FALSE)</f>
        <v>SEA</v>
      </c>
      <c r="G404" s="71" cm="1">
        <f t="array" ref="G404">VLOOKUP(B404,'Player Data'!A1:D673,3,FALSE)</f>
        <v>23</v>
      </c>
      <c r="H404" s="51" cm="1">
        <f t="array" ref="H404">IFERROR(VLOOKUP(B404,ADP!A1:F671,6,FALSE)/1000000,VLOOKUP(B404,ADP!A1:F671,6,FALSE))</f>
        <v>3.85</v>
      </c>
      <c r="I404" s="52">
        <f>IF(Settings!$E$15="POINTS",((R404*Q404)*Settings!$B$12)+(S404*Settings!$B$2)+(T404*Settings!$B$3)+(U404*Settings!$B$4)+(V404*Settings!$B$5)+(X404*Settings!$B$9)+(AA404*Settings!$B$6)+(W404*Settings!$B$8)+(AB404*Settings!$B$7)+(AC404*Settings!$B$14)+(AD404*Settings!$B$15)+(AE404*Settings!$B$16)+(AF404*Settings!$B$17)+(AG404*Settings!$B$18)+(Y404*Settings!$B$10)+(Z404*Settings!$B$11),VLOOKUP(B404,'Standard Deviations'!A$1:C$672,3,FALSE))</f>
        <v>212.10094545310787</v>
      </c>
      <c r="J404" s="53" cm="1">
        <f t="array" ref="J404">IF(D404="G",I404/AJ404,I404/Q404)</f>
        <v>2.6325869048078676</v>
      </c>
      <c r="K404" s="52" cm="1">
        <f t="array" ref="K404">IF(Settings!$E$18="C/LW/RW",VLOOKUP(B404,RW!A1:F210,6,FALSE),VLOOKUP(B404,F!A1:F407,6,FALSE))</f>
        <v>-182.8425192404496</v>
      </c>
      <c r="L404" s="54" cm="1">
        <f t="array" ref="L404">IFERROR(K404/H404,"N/A")</f>
        <v>-47.491563439077815</v>
      </c>
      <c r="M404" s="85" t="s">
        <v>832</v>
      </c>
      <c r="N404" s="85" t="str" cm="1">
        <f t="array" ref="N404">IFERROR(M404-A404,"N/A")</f>
        <v>N/A</v>
      </c>
      <c r="O404" s="55"/>
      <c r="P404" s="56" t="str" cm="1">
        <f t="array" ref="P404">_xlfn.XLOOKUP($B404,ADP!A2:A671,ADP!G2:G671)</f>
        <v xml:space="preserve"> </v>
      </c>
      <c r="Q404" s="57" cm="1">
        <f t="array" ref="Q404">IF(Settings!$E$12="YES",VLOOKUP(B404,'Player Data'!A1:E673,5,FALSE),84)</f>
        <v>80.567499999999995</v>
      </c>
      <c r="R404" s="55" cm="1">
        <f t="array" ref="R404">VLOOKUP(B404,'Player Data'!$A1:$AE673,6,FALSE)</f>
        <v>14.945272569484001</v>
      </c>
      <c r="S404" s="57" cm="1">
        <f t="array" ref="S404">VLOOKUP(B404,'Player Data'!$A1:$AE673,7,FALSE)*$Q404*IFERROR((VLOOKUP(P404,Settings!$E$28:$F$33,2,FALSE)+1),1)</f>
        <v>15.037502730378204</v>
      </c>
      <c r="T404" s="57" cm="1">
        <f t="array" ref="T404">VLOOKUP(B404,'Player Data'!$A1:$AE673,8,FALSE)*$Q404*IFERROR((VLOOKUP(P404,Settings!$E$28:$F$33,2,FALSE)+1),1)</f>
        <v>20.281249451513187</v>
      </c>
      <c r="U404" s="57" cm="1">
        <f t="array" ref="U404">SUM(S404:T404)</f>
        <v>35.318752181891391</v>
      </c>
      <c r="V404" s="57" cm="1">
        <f t="array" ref="V404">VLOOKUP(B404,'Player Data'!$A1:$AE673,10,FALSE)*$Q404*IFERROR(((VLOOKUP(P404,Settings!$E$28:$F$33,2,FALSE)/2)+1),1)</f>
        <v>159.98746204885822</v>
      </c>
      <c r="W404" s="57" cm="1">
        <f t="array" ref="W404">VLOOKUP(B404,'Player Data'!$A1:$AE673,11,FALSE)*$Q404*IFERROR((VLOOKUP(P404,Settings!$E$28:$F$33,2,FALSE)+1),1)</f>
        <v>2.4917469101037417</v>
      </c>
      <c r="X404" s="57" cm="1">
        <f t="array" ref="X404">VLOOKUP(B404,'Player Data'!$A1:$AE673,12,FALSE)*$Q404*IFERROR((VLOOKUP(P404,Settings!$E$28:$F$33,2,FALSE)+1),1)</f>
        <v>6.4350068491950996</v>
      </c>
      <c r="Y404" s="57" cm="1">
        <f t="array" ref="Y404">VLOOKUP(B404,'Player Data'!$A1:$AE673,13,FALSE)*$Q404</f>
        <v>1.3874547608712514E-2</v>
      </c>
      <c r="Z404" s="57" cm="1">
        <f t="array" ref="Z404">VLOOKUP(B404,'Player Data'!$A1:$AE673,14,FALSE)*$Q404</f>
        <v>2.2723263973740547E-2</v>
      </c>
      <c r="AA404" s="57" cm="1">
        <f t="array" ref="AA404">VLOOKUP(B404,'Player Data'!$A1:$AE673,15,FALSE)*$Q404</f>
        <v>39.386455539671516</v>
      </c>
      <c r="AB404" s="57" cm="1">
        <f t="array" ref="AB404">VLOOKUP(B404,'Player Data'!$A1:$AE673,16,FALSE)*$Q404</f>
        <v>150.13165185042777</v>
      </c>
      <c r="AC404" s="57" cm="1">
        <f t="array" ref="AC404">VLOOKUP(B404,'Player Data'!$A1:$AE673,17,FALSE)*$Q404*IFERROR((VLOOKUP(P404,Settings!$E$28:$F$33,2,FALSE)+1),1)</f>
        <v>-5.41278464594585</v>
      </c>
      <c r="AD404" s="57" cm="1">
        <f t="array" ref="AD404">VLOOKUP(B404,'Player Data'!$A1:$AE673,18,FALSE)*$Q404</f>
        <v>26.10081205814005</v>
      </c>
      <c r="AE404" s="57" cm="1">
        <f t="array" ref="AE404">VLOOKUP(B404,'Player Data'!$A1:$AE673,19,FALSE)*$Q404*IFERROR((VLOOKUP(P404,Settings!$E$28:$F$33,2,FALSE)+1),1)</f>
        <v>2.0717947159660759</v>
      </c>
      <c r="AF404" s="57" cm="1">
        <f t="array" ref="AF404">VLOOKUP(B404,'Player Data'!$A1:$AE673,20,FALSE)*$Q404</f>
        <v>2.6642926698280953</v>
      </c>
      <c r="AG404" s="57" cm="1">
        <f t="array" ref="AG404">VLOOKUP(B404,'Player Data'!$A1:$AE673,21,FALSE)*$Q404</f>
        <v>8.5802807625342279</v>
      </c>
      <c r="AH404" s="59" cm="1">
        <f t="array" ref="AH404">VLOOKUP(B404,'Player Data'!$A1:$AE673,22,FALSE)</f>
        <v>0.23694030599330301</v>
      </c>
      <c r="AI404" s="55"/>
      <c r="AJ404" s="57"/>
      <c r="AK404" s="57"/>
      <c r="AL404" s="57"/>
      <c r="AM404" s="57"/>
      <c r="AN404" s="57"/>
      <c r="AO404" s="57"/>
      <c r="AP404" s="57"/>
      <c r="AQ404" s="60"/>
      <c r="AR404" s="61"/>
      <c r="AS404" s="55"/>
    </row>
    <row r="405" spans="1:45" ht="21.25" customHeight="1" x14ac:dyDescent="0.15">
      <c r="A405" s="62">
        <f t="shared" si="6"/>
        <v>404</v>
      </c>
      <c r="B405" s="10" t="s">
        <v>533</v>
      </c>
      <c r="C405" s="76"/>
      <c r="D405" s="48" t="str" cm="1">
        <f t="array" ref="D405">VLOOKUP(B405,'Player Data'!A1:D673,4,FALSE)</f>
        <v>G</v>
      </c>
      <c r="E405" s="77" cm="1">
        <f t="array" ref="E405">VLOOKUP(B405,G!A1:D66,3,FALSE)</f>
        <v>45</v>
      </c>
      <c r="F405" s="69" t="str" cm="1">
        <f t="array" ref="F405">VLOOKUP(B405,'Player Data'!A1:B673,2,FALSE)</f>
        <v>TOR</v>
      </c>
      <c r="G405" s="66" cm="1">
        <f t="array" ref="G405">VLOOKUP(B405,'Player Data'!A1:D673,3,FALSE)</f>
        <v>32</v>
      </c>
      <c r="H405" s="51" cm="1">
        <f t="array" ref="H405">IFERROR(VLOOKUP(B405,ADP!A1:F671,6,FALSE)/1000000,VLOOKUP(B405,ADP!A1:F671,6,FALSE))</f>
        <v>3.75</v>
      </c>
      <c r="I405" s="52">
        <f>IF(Settings!$E$15="POINTS",(AJ405*Settings!$B$29)+(AK405*Settings!$B$21)+(AL405*Settings!$B$22)+(AN405*Settings!$B$24)+(AO405*Settings!$B$25)+(AP405*Settings!$B$27)+(AM405*Settings!$B$23),VLOOKUP(B405,'Standard Deviations'!A$1:C$672,3,FALSE))</f>
        <v>175.67717839193824</v>
      </c>
      <c r="J405" s="53" cm="1">
        <f t="array" ref="J405">IF(D405="G",I405/AJ405,I405/Q405)</f>
        <v>6.2741849425692227</v>
      </c>
      <c r="K405" s="52" cm="1">
        <f t="array" ref="K405">VLOOKUP(B405,G!A1:F66,6,FALSE)</f>
        <v>-183.48072953829978</v>
      </c>
      <c r="L405" s="54" cm="1">
        <f t="array" ref="L405">IFERROR(K405/H405,"N/A")</f>
        <v>-48.92819454354661</v>
      </c>
      <c r="M405" s="55">
        <v>133.4</v>
      </c>
      <c r="N405" s="55" cm="1">
        <f t="array" ref="N405">IFERROR(M405-A405,"N/A")</f>
        <v>-270.60000000000002</v>
      </c>
      <c r="O405" s="55"/>
      <c r="P405" s="56" t="str" cm="1">
        <f t="array" ref="P405">_xlfn.XLOOKUP($B405,ADP!A2:A671,ADP!G2:G671)</f>
        <v xml:space="preserve"> </v>
      </c>
      <c r="Q405" s="57"/>
      <c r="R405" s="55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9"/>
      <c r="AI405" s="55"/>
      <c r="AJ405" s="78" cm="1">
        <f t="array" ref="AJ405">VLOOKUP(B405,'Player Data'!$A1:$AE673,24,FALSE)</f>
        <v>28</v>
      </c>
      <c r="AK405" s="57" cm="1">
        <f t="array" ref="AK405">VLOOKUP(B405,'Player Data'!$A1:$AE673,25,FALSE)*$AJ405*IFERROR((VLOOKUP(P405,Settings!$E$28:$F$33,2,FALSE)+1),1)</f>
        <v>14.596690204174989</v>
      </c>
      <c r="AL405" s="57" cm="1">
        <f t="array" ref="AL405">AJ405-AK405-AM405</f>
        <v>10.052482346868752</v>
      </c>
      <c r="AM405" s="57" cm="1">
        <f t="array" ref="AM405">VLOOKUP(B405,'Player Data'!$A1:$AE673,27,FALSE)*$AJ405</f>
        <v>3.3508274489562599</v>
      </c>
      <c r="AN405" s="57" cm="1">
        <f t="array" ref="AN405">VLOOKUP(B405,'Player Data'!$A1:$AE673,28,FALSE)*AJ405</f>
        <v>1.3459573703956829</v>
      </c>
      <c r="AO405" s="57" cm="1">
        <f t="array" ref="AO405">VLOOKUP(B405,'Player Data'!$A1:$AE673,29,FALSE)*$AJ405*IFERROR((VLOOKUP(P405,Settings!$E$28:$F$33,2,FALSE)/4)+1,1)</f>
        <v>750.85528220057313</v>
      </c>
      <c r="AP405" s="57" cm="1">
        <f t="array" ref="AP405">VLOOKUP(B405,'Player Data'!$A1:$AE673,31,FALSE)*$AJ405*(IFERROR(1-(VLOOKUP(P405,Settings!$E$28:$F$33,2,FALSE)/4),1))</f>
        <v>81.628830230422992</v>
      </c>
      <c r="AQ405" s="60" cm="1">
        <f t="array" ref="AQ405">1-(AP405/(AO405+AP405))</f>
        <v>0.90194547978573092</v>
      </c>
      <c r="AR405" s="61" cm="1">
        <f t="array" ref="AR405">AP405/AJ405</f>
        <v>2.9153153653722499</v>
      </c>
      <c r="AS405" s="55"/>
    </row>
    <row r="406" spans="1:45" ht="21.25" customHeight="1" x14ac:dyDescent="0.15">
      <c r="A406" s="62">
        <f t="shared" si="6"/>
        <v>405</v>
      </c>
      <c r="B406" s="10" t="s">
        <v>534</v>
      </c>
      <c r="C406" s="47" t="s">
        <v>147</v>
      </c>
      <c r="D406" s="48" t="str" cm="1">
        <f t="array" ref="D406">VLOOKUP(B406,'Player Data'!A1:D673,4,FALSE)</f>
        <v>RW</v>
      </c>
      <c r="E406" s="64" cm="1">
        <f t="array" ref="E406">VLOOKUP(B406,RW!A1:F210,3,FALSE)</f>
        <v>110</v>
      </c>
      <c r="F406" s="56" t="str" cm="1">
        <f t="array" ref="F406">VLOOKUP(B406,'Player Data'!A1:B673,2,FALSE)</f>
        <v>CHI</v>
      </c>
      <c r="G406" s="71" cm="1">
        <f t="array" ref="G406">VLOOKUP(B406,'Player Data'!A1:D673,3,FALSE)</f>
        <v>21</v>
      </c>
      <c r="H406" s="51" cm="1">
        <f t="array" ref="H406">IFERROR(VLOOKUP(B406,ADP!A1:F671,6,FALSE)/1000000,VLOOKUP(B406,ADP!A1:F671,6,FALSE))</f>
        <v>1.075</v>
      </c>
      <c r="I406" s="52">
        <f>IF(Settings!$E$15="POINTS",((R406*Q406)*Settings!$B$12)+(S406*Settings!$B$2)+(T406*Settings!$B$3)+(U406*Settings!$B$4)+(V406*Settings!$B$5)+(X406*Settings!$B$9)+(AA406*Settings!$B$6)+(W406*Settings!$B$8)+(AB406*Settings!$B$7)+(AC406*Settings!$B$14)+(AD406*Settings!$B$15)+(AE406*Settings!$B$16)+(AF406*Settings!$B$17)+(AG406*Settings!$B$18)+(Y406*Settings!$B$10)+(Z406*Settings!$B$11),VLOOKUP(B406,'Standard Deviations'!A$1:C$672,3,FALSE))</f>
        <v>210.91147484400722</v>
      </c>
      <c r="J406" s="53" cm="1">
        <f t="array" ref="J406">IF(D406="G",I406/AJ406,I406/Q406)</f>
        <v>2.7391100629091847</v>
      </c>
      <c r="K406" s="52" cm="1">
        <f t="array" ref="K406">IF(Settings!$E$18="C/LW/RW",VLOOKUP(B406,RW!A1:F210,6,FALSE),VLOOKUP(B406,F!A1:F407,6,FALSE))</f>
        <v>-184.03198984955026</v>
      </c>
      <c r="L406" s="54" cm="1">
        <f t="array" ref="L406">IFERROR(K406/H406,"N/A")</f>
        <v>-171.19254869725606</v>
      </c>
      <c r="M406" s="85" t="s">
        <v>832</v>
      </c>
      <c r="N406" s="85" t="str" cm="1">
        <f t="array" ref="N406">IFERROR(M406-A406,"N/A")</f>
        <v>N/A</v>
      </c>
      <c r="O406" s="55"/>
      <c r="P406" s="56" t="str" cm="1">
        <f t="array" ref="P406">_xlfn.XLOOKUP($B406,ADP!A2:A671,ADP!G2:G671)</f>
        <v xml:space="preserve"> </v>
      </c>
      <c r="Q406" s="57" cm="1">
        <f t="array" ref="Q406">IF(Settings!$E$12="YES",VLOOKUP(B406,'Player Data'!A1:E673,5,FALSE),84)</f>
        <v>77</v>
      </c>
      <c r="R406" s="55" cm="1">
        <f t="array" ref="R406">VLOOKUP(B406,'Player Data'!$A1:$AE673,6,FALSE)</f>
        <v>15</v>
      </c>
      <c r="S406" s="57" cm="1">
        <f t="array" ref="S406">VLOOKUP(B406,'Player Data'!$A1:$AE673,7,FALSE)*$Q406*IFERROR((VLOOKUP(P406,Settings!$E$28:$F$33,2,FALSE)+1),1)</f>
        <v>18.569095785348647</v>
      </c>
      <c r="T406" s="57" cm="1">
        <f t="array" ref="T406">VLOOKUP(B406,'Player Data'!$A1:$AE673,8,FALSE)*$Q406*IFERROR((VLOOKUP(P406,Settings!$E$28:$F$33,2,FALSE)+1),1)</f>
        <v>19.029455790590784</v>
      </c>
      <c r="U406" s="57" cm="1">
        <f t="array" ref="U406">SUM(S406:T406)</f>
        <v>37.598551575939432</v>
      </c>
      <c r="V406" s="57" cm="1">
        <f t="array" ref="V406">VLOOKUP(B406,'Player Data'!$A1:$AE673,10,FALSE)*$Q406*IFERROR(((VLOOKUP(P406,Settings!$E$28:$F$33,2,FALSE)/2)+1),1)</f>
        <v>146.43328677650442</v>
      </c>
      <c r="W406" s="57" cm="1">
        <f t="array" ref="W406">VLOOKUP(B406,'Player Data'!$A1:$AE673,11,FALSE)*$Q406*IFERROR((VLOOKUP(P406,Settings!$E$28:$F$33,2,FALSE)+1),1)</f>
        <v>4.1812941914410668</v>
      </c>
      <c r="X406" s="57" cm="1">
        <f t="array" ref="X406">VLOOKUP(B406,'Player Data'!$A1:$AE673,12,FALSE)*$Q406*IFERROR((VLOOKUP(P406,Settings!$E$28:$F$33,2,FALSE)+1),1)</f>
        <v>8.4662498986684085</v>
      </c>
      <c r="Y406" s="57" cm="1">
        <f t="array" ref="Y406">VLOOKUP(B406,'Player Data'!$A1:$AE673,13,FALSE)*$Q406</f>
        <v>0</v>
      </c>
      <c r="Z406" s="57" cm="1">
        <f t="array" ref="Z406">VLOOKUP(B406,'Player Data'!$A1:$AE673,14,FALSE)*$Q406</f>
        <v>0</v>
      </c>
      <c r="AA406" s="57" cm="1">
        <f t="array" ref="AA406">VLOOKUP(B406,'Player Data'!$A1:$AE673,15,FALSE)*$Q406</f>
        <v>32.865853658536587</v>
      </c>
      <c r="AB406" s="57" cm="1">
        <f t="array" ref="AB406">VLOOKUP(B406,'Player Data'!$A1:$AE673,16,FALSE)*$Q406</f>
        <v>91.098115051579029</v>
      </c>
      <c r="AC406" s="57" cm="1">
        <f t="array" ref="AC406">VLOOKUP(B406,'Player Data'!$A1:$AE673,17,FALSE)*$Q406*IFERROR((VLOOKUP(P406,Settings!$E$28:$F$33,2,FALSE)+1),1)</f>
        <v>9.3902439024390154E-3</v>
      </c>
      <c r="AD406" s="57" cm="1">
        <f t="array" ref="AD406">VLOOKUP(B406,'Player Data'!$A1:$AE673,18,FALSE)*$Q406</f>
        <v>31.113151175529808</v>
      </c>
      <c r="AE406" s="57" cm="1">
        <f t="array" ref="AE406">VLOOKUP(B406,'Player Data'!$A1:$AE673,19,FALSE)*$Q406*IFERROR((VLOOKUP(P406,Settings!$E$28:$F$33,2,FALSE)+1),1)</f>
        <v>2.2917244299144119</v>
      </c>
      <c r="AF406" s="57" cm="1">
        <f t="array" ref="AF406">VLOOKUP(B406,'Player Data'!$A1:$AE673,20,FALSE)*$Q406</f>
        <v>0</v>
      </c>
      <c r="AG406" s="57" cm="1">
        <f t="array" ref="AG406">VLOOKUP(B406,'Player Data'!$A1:$AE673,21,FALSE)*$Q406</f>
        <v>0</v>
      </c>
      <c r="AH406" s="59" cm="1">
        <f t="array" ref="AH406">VLOOKUP(B406,'Player Data'!$A1:$AE673,22,FALSE)</f>
        <v>0.4</v>
      </c>
      <c r="AI406" s="55"/>
      <c r="AJ406" s="57"/>
      <c r="AK406" s="57"/>
      <c r="AL406" s="57"/>
      <c r="AM406" s="57"/>
      <c r="AN406" s="57"/>
      <c r="AO406" s="57"/>
      <c r="AP406" s="57"/>
      <c r="AQ406" s="60"/>
      <c r="AR406" s="61"/>
      <c r="AS406" s="55"/>
    </row>
    <row r="407" spans="1:45" ht="21.25" customHeight="1" x14ac:dyDescent="0.15">
      <c r="A407" s="62">
        <f t="shared" si="6"/>
        <v>406</v>
      </c>
      <c r="B407" s="10" t="s">
        <v>535</v>
      </c>
      <c r="C407" s="47" t="s">
        <v>147</v>
      </c>
      <c r="D407" s="48" t="str" cm="1">
        <f t="array" ref="D407">VLOOKUP(B407,'Player Data'!A1:D673,4,FALSE)</f>
        <v>C</v>
      </c>
      <c r="E407" s="49" cm="1">
        <f t="array" ref="E407">VLOOKUP(B407,'C'!A1:C210,3,FALSE)</f>
        <v>100</v>
      </c>
      <c r="F407" s="50" t="str" cm="1">
        <f t="array" ref="F407">VLOOKUP(B407,'Player Data'!A1:B673,2,FALSE)</f>
        <v>ANA</v>
      </c>
      <c r="G407" s="11" cm="1">
        <f t="array" ref="G407">VLOOKUP(B407,'Player Data'!A1:D673,3,FALSE)</f>
        <v>27</v>
      </c>
      <c r="H407" s="51" cm="1">
        <f t="array" ref="H407">IFERROR(VLOOKUP(B407,ADP!A1:F671,6,FALSE)/1000000,VLOOKUP(B407,ADP!A1:F671,6,FALSE))</f>
        <v>3.75</v>
      </c>
      <c r="I407" s="52">
        <f>IF(Settings!$E$15="POINTS",((R407*Q407)*Settings!$B$12)+(S407*Settings!$B$2)+(T407*Settings!$B$3)+(U407*Settings!$B$4)+(V407*Settings!$B$5)+(X407*Settings!$B$9)+(AA407*Settings!$B$6)+(W407*Settings!$B$8)+(AB407*Settings!$B$7)+(AC407*Settings!$B$14)+(AD407*Settings!$B$15)+(AE407*Settings!$B$16)+(AF407*Settings!$B$17)+(AG407*Settings!$B$18)+(Y407*Settings!$B$10)+(Z407*Settings!$B$11),VLOOKUP(B407,'Standard Deviations'!A$1:C$672,3,FALSE))</f>
        <v>201.90029735253248</v>
      </c>
      <c r="J407" s="53" cm="1">
        <f t="array" ref="J407">IF(D407="G",I407/AJ407,I407/Q407)</f>
        <v>2.5123695424175763</v>
      </c>
      <c r="K407" s="52" cm="1">
        <f t="array" ref="K407">IF(Settings!$E$18="C/LW/RW",VLOOKUP(B407,'C'!A1:F210,6,FALSE),VLOOKUP(B407,F!A1:F407,6,FALSE))</f>
        <v>-184.63490904055053</v>
      </c>
      <c r="L407" s="54" cm="1">
        <f t="array" ref="L407">IFERROR(K407/H407,"N/A")</f>
        <v>-49.235975744146806</v>
      </c>
      <c r="M407" s="85" t="s">
        <v>832</v>
      </c>
      <c r="N407" s="85" t="str" cm="1">
        <f t="array" ref="N407">IFERROR(M407-A407,"N/A")</f>
        <v>N/A</v>
      </c>
      <c r="O407" s="55"/>
      <c r="P407" s="56" t="str" cm="1">
        <f t="array" ref="P407">_xlfn.XLOOKUP($B407,ADP!A2:A671,ADP!G2:G671)</f>
        <v xml:space="preserve"> </v>
      </c>
      <c r="Q407" s="57" cm="1">
        <f t="array" ref="Q407">IF(Settings!$E$12="YES",VLOOKUP(B407,'Player Data'!A1:E673,5,FALSE),84)</f>
        <v>80.362499999999997</v>
      </c>
      <c r="R407" s="55" cm="1">
        <f t="array" ref="R407">VLOOKUP(B407,'Player Data'!$A1:$AE673,6,FALSE)</f>
        <v>14.776851075330301</v>
      </c>
      <c r="S407" s="57" cm="1">
        <f t="array" ref="S407">VLOOKUP(B407,'Player Data'!$A1:$AE673,7,FALSE)*$Q407*IFERROR((VLOOKUP(P407,Settings!$E$28:$F$33,2,FALSE)+1),1)</f>
        <v>11.847321471683737</v>
      </c>
      <c r="T407" s="57" cm="1">
        <f t="array" ref="T407">VLOOKUP(B407,'Player Data'!$A1:$AE673,8,FALSE)*$Q407*IFERROR((VLOOKUP(P407,Settings!$E$28:$F$33,2,FALSE)+1),1)</f>
        <v>22.37756981717957</v>
      </c>
      <c r="U407" s="57" cm="1">
        <f t="array" ref="U407">SUM(S407:T407)</f>
        <v>34.224891288863304</v>
      </c>
      <c r="V407" s="57" cm="1">
        <f t="array" ref="V407">VLOOKUP(B407,'Player Data'!$A1:$AE673,10,FALSE)*$Q407*IFERROR(((VLOOKUP(P407,Settings!$E$28:$F$33,2,FALSE)/2)+1),1)</f>
        <v>100.30718772111244</v>
      </c>
      <c r="W407" s="57" cm="1">
        <f t="array" ref="W407">VLOOKUP(B407,'Player Data'!$A1:$AE673,11,FALSE)*$Q407*IFERROR((VLOOKUP(P407,Settings!$E$28:$F$33,2,FALSE)+1),1)</f>
        <v>8.0483492198777803E-2</v>
      </c>
      <c r="X407" s="57" cm="1">
        <f t="array" ref="X407">VLOOKUP(B407,'Player Data'!$A1:$AE673,12,FALSE)*$Q407*IFERROR((VLOOKUP(P407,Settings!$E$28:$F$33,2,FALSE)+1),1)</f>
        <v>0.15047777926864489</v>
      </c>
      <c r="Y407" s="57" cm="1">
        <f t="array" ref="Y407">VLOOKUP(B407,'Player Data'!$A1:$AE673,13,FALSE)*$Q407</f>
        <v>1.9498455139105784</v>
      </c>
      <c r="Z407" s="57" cm="1">
        <f t="array" ref="Z407">VLOOKUP(B407,'Player Data'!$A1:$AE673,14,FALSE)*$Q407</f>
        <v>3.8751126244765786</v>
      </c>
      <c r="AA407" s="57" cm="1">
        <f t="array" ref="AA407">VLOOKUP(B407,'Player Data'!$A1:$AE673,15,FALSE)*$Q407</f>
        <v>90.09287844328226</v>
      </c>
      <c r="AB407" s="57" cm="1">
        <f t="array" ref="AB407">VLOOKUP(B407,'Player Data'!$A1:$AE673,16,FALSE)*$Q407</f>
        <v>49.830488488621782</v>
      </c>
      <c r="AC407" s="57" cm="1">
        <f t="array" ref="AC407">VLOOKUP(B407,'Player Data'!$A1:$AE673,17,FALSE)*$Q407*IFERROR((VLOOKUP(P407,Settings!$E$28:$F$33,2,FALSE)+1),1)</f>
        <v>-3.196049224788255</v>
      </c>
      <c r="AD407" s="57" cm="1">
        <f t="array" ref="AD407">VLOOKUP(B407,'Player Data'!$A1:$AE673,18,FALSE)*$Q407</f>
        <v>16.570180568486236</v>
      </c>
      <c r="AE407" s="57" cm="1">
        <f t="array" ref="AE407">VLOOKUP(B407,'Player Data'!$A1:$AE673,19,FALSE)*$Q407*IFERROR((VLOOKUP(P407,Settings!$E$28:$F$33,2,FALSE)+1),1)</f>
        <v>1.7308596998030119</v>
      </c>
      <c r="AF407" s="57" cm="1">
        <f t="array" ref="AF407">VLOOKUP(B407,'Player Data'!$A1:$AE673,20,FALSE)*$Q407</f>
        <v>515.42777773586204</v>
      </c>
      <c r="AG407" s="57" cm="1">
        <f t="array" ref="AG407">VLOOKUP(B407,'Player Data'!$A1:$AE673,21,FALSE)*$Q407</f>
        <v>527.37146068213758</v>
      </c>
      <c r="AH407" s="59" cm="1">
        <f t="array" ref="AH407">VLOOKUP(B407,'Player Data'!$A1:$AE673,22,FALSE)</f>
        <v>0.494273258693402</v>
      </c>
      <c r="AI407" s="55"/>
      <c r="AJ407" s="57"/>
      <c r="AK407" s="57"/>
      <c r="AL407" s="57"/>
      <c r="AM407" s="57"/>
      <c r="AN407" s="57"/>
      <c r="AO407" s="57"/>
      <c r="AP407" s="57"/>
      <c r="AQ407" s="60"/>
      <c r="AR407" s="61"/>
      <c r="AS407" s="55"/>
    </row>
    <row r="408" spans="1:45" ht="21.25" customHeight="1" x14ac:dyDescent="0.15">
      <c r="A408" s="62">
        <f t="shared" si="6"/>
        <v>407</v>
      </c>
      <c r="B408" s="10" t="s">
        <v>536</v>
      </c>
      <c r="C408" s="47" t="s">
        <v>128</v>
      </c>
      <c r="D408" s="48" t="str" cm="1">
        <f t="array" ref="D408">VLOOKUP(B408,'Player Data'!A1:D673,4,FALSE)</f>
        <v>RW</v>
      </c>
      <c r="E408" s="64" cm="1">
        <f t="array" ref="E408">VLOOKUP(B408,RW!A1:F210,3,FALSE)</f>
        <v>111</v>
      </c>
      <c r="F408" s="50" t="str" cm="1">
        <f t="array" ref="F408">VLOOKUP(B408,'Player Data'!A1:B673,2,FALSE)</f>
        <v>ANA</v>
      </c>
      <c r="G408" s="11" cm="1">
        <f t="array" ref="G408">VLOOKUP(B408,'Player Data'!A1:D673,3,FALSE)</f>
        <v>28</v>
      </c>
      <c r="H408" s="51" cm="1">
        <f t="array" ref="H408">IFERROR(VLOOKUP(B408,ADP!A1:F671,6,FALSE)/1000000,VLOOKUP(B408,ADP!A1:F671,6,FALSE))</f>
        <v>7</v>
      </c>
      <c r="I408" s="52">
        <f>IF(Settings!$E$15="POINTS",((R408*Q408)*Settings!$B$12)+(S408*Settings!$B$2)+(T408*Settings!$B$3)+(U408*Settings!$B$4)+(V408*Settings!$B$5)+(X408*Settings!$B$9)+(AA408*Settings!$B$6)+(W408*Settings!$B$8)+(AB408*Settings!$B$7)+(AC408*Settings!$B$14)+(AD408*Settings!$B$15)+(AE408*Settings!$B$16)+(AF408*Settings!$B$17)+(AG408*Settings!$B$18)+(Y408*Settings!$B$10)+(Z408*Settings!$B$11),VLOOKUP(B408,'Standard Deviations'!A$1:C$672,3,FALSE))</f>
        <v>210.12591682795227</v>
      </c>
      <c r="J408" s="53" cm="1">
        <f t="array" ref="J408">IF(D408="G",I408/AJ408,I408/Q408)</f>
        <v>4.0408830159221587</v>
      </c>
      <c r="K408" s="52" cm="1">
        <f t="array" ref="K408">IF(Settings!$E$18="C/LW/RW",VLOOKUP(B408,RW!A1:F210,6,FALSE),VLOOKUP(B408,F!A1:F407,6,FALSE))</f>
        <v>-184.81754786560521</v>
      </c>
      <c r="L408" s="54" cm="1">
        <f t="array" ref="L408">IFERROR(K408/H408,"N/A")</f>
        <v>-26.402506837943601</v>
      </c>
      <c r="M408" s="85" t="s">
        <v>832</v>
      </c>
      <c r="N408" s="85" t="str" cm="1">
        <f t="array" ref="N408">IFERROR(M408-A408,"N/A")</f>
        <v>N/A</v>
      </c>
      <c r="O408" s="81"/>
      <c r="P408" s="56" t="str" cm="1">
        <f t="array" ref="P408">_xlfn.XLOOKUP($B408,ADP!A2:A671,ADP!G2:G671)</f>
        <v xml:space="preserve"> </v>
      </c>
      <c r="Q408" s="57" cm="1">
        <f t="array" ref="Q408">IF(Settings!$E$12="YES",VLOOKUP(B408,'Player Data'!A1:E673,5,FALSE),84)</f>
        <v>52</v>
      </c>
      <c r="R408" s="55" cm="1">
        <f t="array" ref="R408">VLOOKUP(B408,'Player Data'!$A1:$AE673,6,FALSE)</f>
        <v>18.520021999251</v>
      </c>
      <c r="S408" s="57" cm="1">
        <f t="array" ref="S408">VLOOKUP(B408,'Player Data'!$A1:$AE673,7,FALSE)*$Q408*IFERROR((VLOOKUP(P408,Settings!$E$28:$F$33,2,FALSE)+1),1)</f>
        <v>15.202895581072836</v>
      </c>
      <c r="T408" s="57" cm="1">
        <f t="array" ref="T408">VLOOKUP(B408,'Player Data'!$A1:$AE673,8,FALSE)*$Q408*IFERROR((VLOOKUP(P408,Settings!$E$28:$F$33,2,FALSE)+1),1)</f>
        <v>26.353017219671738</v>
      </c>
      <c r="U408" s="57" cm="1">
        <f t="array" ref="U408">SUM(S408:T408)</f>
        <v>41.555912800744572</v>
      </c>
      <c r="V408" s="57" cm="1">
        <f t="array" ref="V408">VLOOKUP(B408,'Player Data'!$A1:$AE673,10,FALSE)*$Q408*IFERROR(((VLOOKUP(P408,Settings!$E$28:$F$33,2,FALSE)/2)+1),1)</f>
        <v>131.29423577367709</v>
      </c>
      <c r="W408" s="57" cm="1">
        <f t="array" ref="W408">VLOOKUP(B408,'Player Data'!$A1:$AE673,11,FALSE)*$Q408*IFERROR((VLOOKUP(P408,Settings!$E$28:$F$33,2,FALSE)+1),1)</f>
        <v>2.0940049291132765</v>
      </c>
      <c r="X408" s="79" cm="1">
        <f t="array" ref="X408">VLOOKUP(B408,'Player Data'!$A1:$AE673,12,FALSE)*$Q408*IFERROR((VLOOKUP(P408,Settings!$E$28:$F$33,2,FALSE)+1),1)</f>
        <v>8.1661670578020011</v>
      </c>
      <c r="Y408" s="57" cm="1">
        <f t="array" ref="Y408">VLOOKUP(B408,'Player Data'!$A1:$AE673,13,FALSE)*$Q408</f>
        <v>1.2089107210705721</v>
      </c>
      <c r="Z408" s="57" cm="1">
        <f t="array" ref="Z408">VLOOKUP(B408,'Player Data'!$A1:$AE673,14,FALSE)*$Q408</f>
        <v>2.3826972463041902</v>
      </c>
      <c r="AA408" s="57" cm="1">
        <f t="array" ref="AA408">VLOOKUP(B408,'Player Data'!$A1:$AE673,15,FALSE)*$Q408</f>
        <v>18.524392469547642</v>
      </c>
      <c r="AB408" s="57" cm="1">
        <f t="array" ref="AB408">VLOOKUP(B408,'Player Data'!$A1:$AE673,16,FALSE)*$Q408</f>
        <v>9.6044924226807922</v>
      </c>
      <c r="AC408" s="57" cm="1">
        <f t="array" ref="AC408">VLOOKUP(B408,'Player Data'!$A1:$AE673,17,FALSE)*$Q408*IFERROR((VLOOKUP(P408,Settings!$E$28:$F$33,2,FALSE)+1),1)</f>
        <v>-1.4096001460280116</v>
      </c>
      <c r="AD408" s="57" cm="1">
        <f t="array" ref="AD408">VLOOKUP(B408,'Player Data'!$A1:$AE673,18,FALSE)*$Q408</f>
        <v>15.721870447506756</v>
      </c>
      <c r="AE408" s="57" cm="1">
        <f t="array" ref="AE408">VLOOKUP(B408,'Player Data'!$A1:$AE673,19,FALSE)*$Q408*IFERROR((VLOOKUP(P408,Settings!$E$28:$F$33,2,FALSE)+1),1)</f>
        <v>2.2210994564877407</v>
      </c>
      <c r="AF408" s="57" cm="1">
        <f t="array" ref="AF408">VLOOKUP(B408,'Player Data'!$A1:$AE673,20,FALSE)*$Q408</f>
        <v>4.2774059548035037</v>
      </c>
      <c r="AG408" s="57" cm="1">
        <f t="array" ref="AG408">VLOOKUP(B408,'Player Data'!$A1:$AE673,21,FALSE)*$Q408</f>
        <v>7.1881470168677</v>
      </c>
      <c r="AH408" s="59" cm="1">
        <f t="array" ref="AH408">VLOOKUP(B408,'Player Data'!$A1:$AE673,22,FALSE)</f>
        <v>0.37306582293693302</v>
      </c>
      <c r="AI408" s="55"/>
      <c r="AJ408" s="57"/>
      <c r="AK408" s="57"/>
      <c r="AL408" s="57"/>
      <c r="AM408" s="57"/>
      <c r="AN408" s="57"/>
      <c r="AO408" s="57"/>
      <c r="AP408" s="57"/>
      <c r="AQ408" s="60"/>
      <c r="AR408" s="61"/>
      <c r="AS408" s="55"/>
    </row>
    <row r="409" spans="1:45" ht="21.25" customHeight="1" x14ac:dyDescent="0.15">
      <c r="A409" s="62">
        <f t="shared" si="6"/>
        <v>408</v>
      </c>
      <c r="B409" s="10" t="s">
        <v>537</v>
      </c>
      <c r="C409" s="47" t="s">
        <v>147</v>
      </c>
      <c r="D409" s="48" t="str" cm="1">
        <f t="array" ref="D409">VLOOKUP(B409,'Player Data'!A1:D673,4,FALSE)</f>
        <v>D</v>
      </c>
      <c r="E409" s="68" cm="1">
        <f t="array" ref="E409">VLOOKUP(B409,D!A1:C204,3,FALSE)</f>
        <v>171</v>
      </c>
      <c r="F409" s="63" t="str" cm="1">
        <f t="array" ref="F409">VLOOKUP(B409,'Player Data'!A1:B673,2,FALSE)</f>
        <v>VGK</v>
      </c>
      <c r="G409" s="11" cm="1">
        <f t="array" ref="G409">VLOOKUP(B409,'Player Data'!A1:D673,3,FALSE)</f>
        <v>29</v>
      </c>
      <c r="H409" s="67" cm="1">
        <f t="array" ref="H409">IFERROR(VLOOKUP(B409,ADP!A1:F671,6,FALSE)/1000000,VLOOKUP(B409,ADP!A1:F671,6,FALSE))</f>
        <v>1</v>
      </c>
      <c r="I409" s="52">
        <f>IF(Settings!$E$15="POINTS",((R409*Q409)*Settings!$B$12)+(S409*Settings!$B$2)+(T409*Settings!$B$3)+(U409*Settings!$B$4)+(V409*Settings!$B$5)+(X409*Settings!$B$9)+(AA409*Settings!$B$6)+(W409*Settings!$B$8)+(AB409*Settings!$B$7)+(AC409*Settings!$B$14)+(AD409*Settings!$B$15)+(AE409*Settings!$B$16)+(AF409*Settings!$B$17)+(AG409*Settings!$B$18)+(U409*Settings!$B$13)+(Y409*Settings!$B$10)+(Z409*Settings!$B$11),VLOOKUP(B409,'Standard Deviations'!A$1:C$672,3,FALSE))</f>
        <v>121.61063443806469</v>
      </c>
      <c r="J409" s="53" cm="1">
        <f t="array" ref="J409">IF(D409="G",I409/AJ409,I409/Q409)</f>
        <v>1.6030401639553757</v>
      </c>
      <c r="K409" s="52" cm="1">
        <f t="array" ref="K409">VLOOKUP(B409,D!A1:F204,6,FALSE)</f>
        <v>-185.04323290652937</v>
      </c>
      <c r="L409" s="54" cm="1">
        <f t="array" ref="L409">IFERROR(K409/H409,"N/A")</f>
        <v>-185.04323290652937</v>
      </c>
      <c r="M409" s="85" t="s">
        <v>832</v>
      </c>
      <c r="N409" s="85" t="str" cm="1">
        <f t="array" ref="N409">IFERROR(M409-A409,"N/A")</f>
        <v>N/A</v>
      </c>
      <c r="O409" s="83"/>
      <c r="P409" s="56" t="str" cm="1">
        <f t="array" ref="P409">_xlfn.XLOOKUP($B409,ADP!A2:A671,ADP!G2:G671)</f>
        <v xml:space="preserve"> </v>
      </c>
      <c r="Q409" s="57" cm="1">
        <f t="array" ref="Q409">IF(Settings!$E$12="YES",VLOOKUP(B409,'Player Data'!A1:E673,5,FALSE),84)</f>
        <v>75.862499999999997</v>
      </c>
      <c r="R409" s="84" cm="1">
        <f t="array" ref="R409">VLOOKUP(B409,'Player Data'!$A1:$AE673,6,FALSE)</f>
        <v>16.918565905731398</v>
      </c>
      <c r="S409" s="57" cm="1">
        <f t="array" ref="S409">VLOOKUP(B409,'Player Data'!$A1:$AE673,7,FALSE)*$Q409*IFERROR((VLOOKUP(P409,Settings!$E$28:$F$33,2,FALSE)+1),1)</f>
        <v>1.3981052046909455</v>
      </c>
      <c r="T409" s="57" cm="1">
        <f t="array" ref="T409">VLOOKUP(B409,'Player Data'!$A1:$AE673,8,FALSE)*$Q409*IFERROR((VLOOKUP(P409,Settings!$E$28:$F$33,2,FALSE)+1),1)</f>
        <v>15.416857125688837</v>
      </c>
      <c r="U409" s="57" cm="1">
        <f t="array" ref="U409">SUM(S409:T409)</f>
        <v>16.814962330379782</v>
      </c>
      <c r="V409" s="57" cm="1">
        <f t="array" ref="V409">VLOOKUP(B409,'Player Data'!$A1:$AE673,10,FALSE)*$Q409*IFERROR(((VLOOKUP(P409,Settings!$E$28:$F$33,2,FALSE)/2)+1),1)</f>
        <v>50.976088320325069</v>
      </c>
      <c r="W409" s="57" cm="1">
        <f t="array" ref="W409">VLOOKUP(B409,'Player Data'!$A1:$AE673,11,FALSE)*$Q409*IFERROR((VLOOKUP(P409,Settings!$E$28:$F$33,2,FALSE)+1),1)</f>
        <v>5.83444043045635E-3</v>
      </c>
      <c r="X409" s="57" cm="1">
        <f t="array" ref="X409">VLOOKUP(B409,'Player Data'!$A1:$AE673,12,FALSE)*$Q409*IFERROR((VLOOKUP(P409,Settings!$E$28:$F$33,2,FALSE)+1),1)</f>
        <v>6.4141700851653646E-2</v>
      </c>
      <c r="Y409" s="57" cm="1">
        <f t="array" ref="Y409">VLOOKUP(B409,'Player Data'!$A1:$AE673,13,FALSE)*$Q409</f>
        <v>1.2082542878080594E-2</v>
      </c>
      <c r="Z409" s="57" cm="1">
        <f t="array" ref="Z409">VLOOKUP(B409,'Player Data'!$A1:$AE673,14,FALSE)*$Q409</f>
        <v>0.64450488337964817</v>
      </c>
      <c r="AA409" s="57" cm="1">
        <f t="array" ref="AA409">VLOOKUP(B409,'Player Data'!$A1:$AE673,15,FALSE)*$Q409</f>
        <v>89.938113405062992</v>
      </c>
      <c r="AB409" s="57" cm="1">
        <f t="array" ref="AB409">VLOOKUP(B409,'Player Data'!$A1:$AE673,16,FALSE)*$Q409</f>
        <v>114.4510584669968</v>
      </c>
      <c r="AC409" s="57" cm="1">
        <f t="array" ref="AC409">VLOOKUP(B409,'Player Data'!$A1:$AE673,17,FALSE)*$Q409*IFERROR((VLOOKUP(P409,Settings!$E$28:$F$33,2,FALSE)+1),1)</f>
        <v>3.3619307643013978</v>
      </c>
      <c r="AD409" s="57" cm="1">
        <f t="array" ref="AD409">VLOOKUP(B409,'Player Data'!$A1:$AE673,18,FALSE)*$Q409</f>
        <v>32.65262234044561</v>
      </c>
      <c r="AE409" s="57" cm="1">
        <f t="array" ref="AE409">VLOOKUP(B409,'Player Data'!$A1:$AE673,19,FALSE)*$Q409*IFERROR((VLOOKUP(P409,Settings!$E$28:$F$33,2,FALSE)+1),1)</f>
        <v>0.26672692112152674</v>
      </c>
      <c r="AF409" s="57" cm="1">
        <f t="array" ref="AF409">VLOOKUP(B409,'Player Data'!$A1:$AE673,20,FALSE)*$Q409</f>
        <v>0</v>
      </c>
      <c r="AG409" s="57" cm="1">
        <f t="array" ref="AG409">VLOOKUP(B409,'Player Data'!$A1:$AE673,21,FALSE)*$Q409</f>
        <v>0</v>
      </c>
      <c r="AH409" s="59" cm="1">
        <f t="array" ref="AH409">VLOOKUP(B409,'Player Data'!$A1:$AE673,22,FALSE)</f>
        <v>0</v>
      </c>
      <c r="AI409" s="55"/>
      <c r="AJ409" s="57"/>
      <c r="AK409" s="57"/>
      <c r="AL409" s="57"/>
      <c r="AM409" s="57"/>
      <c r="AN409" s="57"/>
      <c r="AO409" s="57"/>
      <c r="AP409" s="57"/>
      <c r="AQ409" s="60"/>
      <c r="AR409" s="61"/>
      <c r="AS409" s="55"/>
    </row>
    <row r="410" spans="1:45" ht="21.25" customHeight="1" x14ac:dyDescent="0.15">
      <c r="A410" s="62">
        <f t="shared" si="6"/>
        <v>409</v>
      </c>
      <c r="B410" s="10" t="s">
        <v>538</v>
      </c>
      <c r="C410" s="76"/>
      <c r="D410" s="48" t="str" cm="1">
        <f t="array" ref="D410">VLOOKUP(B410,'Player Data'!A1:D673,4,FALSE)</f>
        <v>G</v>
      </c>
      <c r="E410" s="77" cm="1">
        <f t="array" ref="E410">VLOOKUP(B410,G!A1:D66,3,FALSE)</f>
        <v>46</v>
      </c>
      <c r="F410" s="70" t="str" cm="1">
        <f t="array" ref="F410">VLOOKUP(B410,'Player Data'!A1:B673,2,FALSE)</f>
        <v>STL</v>
      </c>
      <c r="G410" s="66" cm="1">
        <f t="array" ref="G410">VLOOKUP(B410,'Player Data'!A1:D673,3,FALSE)</f>
        <v>33</v>
      </c>
      <c r="H410" s="67" cm="1">
        <f t="array" ref="H410">IFERROR(VLOOKUP(B410,ADP!A1:F671,6,FALSE)/1000000,VLOOKUP(B410,ADP!A1:F671,6,FALSE))</f>
        <v>6</v>
      </c>
      <c r="I410" s="52">
        <f>IF(Settings!$E$15="POINTS",(AJ410*Settings!$B$29)+(AK410*Settings!$B$21)+(AL410*Settings!$B$22)+(AN410*Settings!$B$24)+(AO410*Settings!$B$25)+(AP410*Settings!$B$27)+(AM410*Settings!$B$23),VLOOKUP(B410,'Standard Deviations'!A$1:C$672,3,FALSE))</f>
        <v>173.31174041511747</v>
      </c>
      <c r="J410" s="53" cm="1">
        <f t="array" ref="J410">IF(D410="G",I410/AJ410,I410/Q410)</f>
        <v>4.9517640118604991</v>
      </c>
      <c r="K410" s="52" cm="1">
        <f t="array" ref="K410">VLOOKUP(B410,G!A1:F66,6,FALSE)</f>
        <v>-185.84616751512056</v>
      </c>
      <c r="L410" s="54" cm="1">
        <f t="array" ref="L410">IFERROR(K410/H410,"N/A")</f>
        <v>-30.974361252520094</v>
      </c>
      <c r="M410" s="55">
        <v>134.30000000000001</v>
      </c>
      <c r="N410" s="55" cm="1">
        <f t="array" ref="N410">IFERROR(M410-A410,"N/A")</f>
        <v>-274.7</v>
      </c>
      <c r="O410" s="55"/>
      <c r="P410" s="56" t="str" cm="1">
        <f t="array" ref="P410">_xlfn.XLOOKUP($B410,ADP!A2:A671,ADP!G2:G671)</f>
        <v xml:space="preserve"> </v>
      </c>
      <c r="Q410" s="57"/>
      <c r="R410" s="55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9"/>
      <c r="AI410" s="55"/>
      <c r="AJ410" s="78" cm="1">
        <f t="array" ref="AJ410">VLOOKUP(B410,'Player Data'!$A1:$AE673,24,FALSE)</f>
        <v>35</v>
      </c>
      <c r="AK410" s="57" cm="1">
        <f t="array" ref="AK410">VLOOKUP(B410,'Player Data'!$A1:$AE673,25,FALSE)*$AJ410*IFERROR((VLOOKUP(P410,Settings!$E$28:$F$33,2,FALSE)+1),1)</f>
        <v>16.146314263086804</v>
      </c>
      <c r="AL410" s="57" cm="1">
        <f t="array" ref="AL410">AJ410-AK410-AM410</f>
        <v>14.140264302684905</v>
      </c>
      <c r="AM410" s="57" cm="1">
        <f t="array" ref="AM410">VLOOKUP(B410,'Player Data'!$A1:$AE673,27,FALSE)*$AJ410</f>
        <v>4.7134214342282901</v>
      </c>
      <c r="AN410" s="57" cm="1">
        <f t="array" ref="AN410">VLOOKUP(B410,'Player Data'!$A1:$AE673,28,FALSE)*AJ410</f>
        <v>1.4912542584702175</v>
      </c>
      <c r="AO410" s="57" cm="1">
        <f t="array" ref="AO410">VLOOKUP(B410,'Player Data'!$A1:$AE673,29,FALSE)*$AJ410*IFERROR((VLOOKUP(P410,Settings!$E$28:$F$33,2,FALSE)/4)+1,1)</f>
        <v>873.99442769261009</v>
      </c>
      <c r="AP410" s="57" cm="1">
        <f t="array" ref="AP410">VLOOKUP(B410,'Player Data'!$A1:$AE673,31,FALSE)*$AJ410*(IFERROR(1-(VLOOKUP(P410,Settings!$E$28:$F$33,2,FALSE)/4),1))</f>
        <v>104.53855682630606</v>
      </c>
      <c r="AQ410" s="60" cm="1">
        <f t="array" ref="AQ410">1-(AP410/(AO410+AP410))</f>
        <v>0.89316808070838694</v>
      </c>
      <c r="AR410" s="61" cm="1">
        <f t="array" ref="AR410">AP410/AJ410</f>
        <v>2.9868159093230302</v>
      </c>
      <c r="AS410" s="55"/>
    </row>
    <row r="411" spans="1:45" ht="21.25" customHeight="1" x14ac:dyDescent="0.15">
      <c r="A411" s="62">
        <f t="shared" si="6"/>
        <v>410</v>
      </c>
      <c r="B411" s="10" t="s">
        <v>539</v>
      </c>
      <c r="C411" s="47" t="s">
        <v>147</v>
      </c>
      <c r="D411" s="48" t="str" cm="1">
        <f t="array" ref="D411">VLOOKUP(B411,'Player Data'!A1:D673,4,FALSE)</f>
        <v>D</v>
      </c>
      <c r="E411" s="68" cm="1">
        <f t="array" ref="E411">VLOOKUP(B411,D!A1:C204,3,FALSE)</f>
        <v>172</v>
      </c>
      <c r="F411" s="63" t="str" cm="1">
        <f t="array" ref="F411">VLOOKUP(B411,'Player Data'!A1:B673,2,FALSE)</f>
        <v>SEA</v>
      </c>
      <c r="G411" s="11" cm="1">
        <f t="array" ref="G411">VLOOKUP(B411,'Player Data'!A1:D673,3,FALSE)</f>
        <v>28</v>
      </c>
      <c r="H411" s="67" cm="1">
        <f t="array" ref="H411">IFERROR(VLOOKUP(B411,ADP!A1:F671,6,FALSE)/1000000,VLOOKUP(B411,ADP!A1:F671,6,FALSE))</f>
        <v>0.90749999999999997</v>
      </c>
      <c r="I411" s="52">
        <f>IF(Settings!$E$15="POINTS",((R411*Q411)*Settings!$B$12)+(S411*Settings!$B$2)+(T411*Settings!$B$3)+(U411*Settings!$B$4)+(V411*Settings!$B$5)+(X411*Settings!$B$9)+(AA411*Settings!$B$6)+(W411*Settings!$B$8)+(AB411*Settings!$B$7)+(AC411*Settings!$B$14)+(AD411*Settings!$B$15)+(AE411*Settings!$B$16)+(AF411*Settings!$B$17)+(AG411*Settings!$B$18)+(U411*Settings!$B$13)+(Y411*Settings!$B$10)+(Z411*Settings!$B$11),VLOOKUP(B411,'Standard Deviations'!A$1:C$672,3,FALSE))</f>
        <v>120.37656415675117</v>
      </c>
      <c r="J411" s="53" cm="1">
        <f t="array" ref="J411">IF(D411="G",I411/AJ411,I411/Q411)</f>
        <v>1.827140198941315</v>
      </c>
      <c r="K411" s="52" cm="1">
        <f t="array" ref="K411">VLOOKUP(B411,D!A1:F204,6,FALSE)</f>
        <v>-186.2773031878429</v>
      </c>
      <c r="L411" s="54" cm="1">
        <f t="array" ref="L411">IFERROR(K411/H411,"N/A")</f>
        <v>-205.26424593701697</v>
      </c>
      <c r="M411" s="85" t="s">
        <v>832</v>
      </c>
      <c r="N411" s="85" t="str" cm="1">
        <f t="array" ref="N411">IFERROR(M411-A411,"N/A")</f>
        <v>N/A</v>
      </c>
      <c r="O411" s="55"/>
      <c r="P411" s="56" t="str" cm="1">
        <f t="array" ref="P411">_xlfn.XLOOKUP($B411,ADP!A2:A671,ADP!G2:G671)</f>
        <v xml:space="preserve"> </v>
      </c>
      <c r="Q411" s="57" cm="1">
        <f t="array" ref="Q411">IF(Settings!$E$12="YES",VLOOKUP(B411,'Player Data'!A1:E673,5,FALSE),84)</f>
        <v>65.882499999999993</v>
      </c>
      <c r="R411" s="82" cm="1">
        <f t="array" ref="R411">VLOOKUP(B411,'Player Data'!$A1:$AE673,6,FALSE)</f>
        <v>17.897910105485799</v>
      </c>
      <c r="S411" s="57" cm="1">
        <f t="array" ref="S411">VLOOKUP(B411,'Player Data'!$A1:$AE673,7,FALSE)*$Q411*IFERROR((VLOOKUP(P411,Settings!$E$28:$F$33,2,FALSE)+1),1)</f>
        <v>1.3143315102892474</v>
      </c>
      <c r="T411" s="57" cm="1">
        <f t="array" ref="T411">VLOOKUP(B411,'Player Data'!$A1:$AE673,8,FALSE)*$Q411*IFERROR((VLOOKUP(P411,Settings!$E$28:$F$33,2,FALSE)+1),1)</f>
        <v>12.876214415954951</v>
      </c>
      <c r="U411" s="57" cm="1">
        <f t="array" ref="U411">SUM(S411:T411)</f>
        <v>14.190545926244198</v>
      </c>
      <c r="V411" s="57" cm="1">
        <f t="array" ref="V411">VLOOKUP(B411,'Player Data'!$A1:$AE673,10,FALSE)*$Q411*IFERROR(((VLOOKUP(P411,Settings!$E$28:$F$33,2,FALSE)/2)+1),1)</f>
        <v>59.705376871888802</v>
      </c>
      <c r="W411" s="57" cm="1">
        <f t="array" ref="W411">VLOOKUP(B411,'Player Data'!$A1:$AE673,11,FALSE)*$Q411*IFERROR((VLOOKUP(P411,Settings!$E$28:$F$33,2,FALSE)+1),1)</f>
        <v>1.4624761445027938E-2</v>
      </c>
      <c r="X411" s="57" cm="1">
        <f t="array" ref="X411">VLOOKUP(B411,'Player Data'!$A1:$AE673,12,FALSE)*$Q411*IFERROR((VLOOKUP(P411,Settings!$E$28:$F$33,2,FALSE)+1),1)</f>
        <v>0.14466723771646042</v>
      </c>
      <c r="Y411" s="57" cm="1">
        <f t="array" ref="Y411">VLOOKUP(B411,'Player Data'!$A1:$AE673,13,FALSE)*$Q411</f>
        <v>2.2170637865489378E-2</v>
      </c>
      <c r="Z411" s="57" cm="1">
        <f t="array" ref="Z411">VLOOKUP(B411,'Player Data'!$A1:$AE673,14,FALSE)*$Q411</f>
        <v>0.4822294491862163</v>
      </c>
      <c r="AA411" s="57" cm="1">
        <f t="array" ref="AA411">VLOOKUP(B411,'Player Data'!$A1:$AE673,15,FALSE)*$Q411</f>
        <v>94.650682510342975</v>
      </c>
      <c r="AB411" s="57" cm="1">
        <f t="array" ref="AB411">VLOOKUP(B411,'Player Data'!$A1:$AE673,16,FALSE)*$Q411</f>
        <v>91.91265334174895</v>
      </c>
      <c r="AC411" s="57" cm="1">
        <f t="array" ref="AC411">VLOOKUP(B411,'Player Data'!$A1:$AE673,17,FALSE)*$Q411*IFERROR((VLOOKUP(P411,Settings!$E$28:$F$33,2,FALSE)+1),1)</f>
        <v>-5.2592372851369866</v>
      </c>
      <c r="AD411" s="57" cm="1">
        <f t="array" ref="AD411">VLOOKUP(B411,'Player Data'!$A1:$AE673,18,FALSE)*$Q411</f>
        <v>29.868886341473576</v>
      </c>
      <c r="AE411" s="57" cm="1">
        <f t="array" ref="AE411">VLOOKUP(B411,'Player Data'!$A1:$AE673,19,FALSE)*$Q411*IFERROR((VLOOKUP(P411,Settings!$E$28:$F$33,2,FALSE)+1),1)</f>
        <v>0.1810822665750231</v>
      </c>
      <c r="AF411" s="57" cm="1">
        <f t="array" ref="AF411">VLOOKUP(B411,'Player Data'!$A1:$AE673,20,FALSE)*$Q411</f>
        <v>0</v>
      </c>
      <c r="AG411" s="57" cm="1">
        <f t="array" ref="AG411">VLOOKUP(B411,'Player Data'!$A1:$AE673,21,FALSE)*$Q411</f>
        <v>0</v>
      </c>
      <c r="AH411" s="59" cm="1">
        <f t="array" ref="AH411">VLOOKUP(B411,'Player Data'!$A1:$AE673,22,FALSE)</f>
        <v>0</v>
      </c>
      <c r="AI411" s="55"/>
      <c r="AJ411" s="57"/>
      <c r="AK411" s="57"/>
      <c r="AL411" s="57"/>
      <c r="AM411" s="57"/>
      <c r="AN411" s="57"/>
      <c r="AO411" s="57"/>
      <c r="AP411" s="57"/>
      <c r="AQ411" s="60"/>
      <c r="AR411" s="61"/>
      <c r="AS411" s="55"/>
    </row>
    <row r="412" spans="1:45" ht="21.25" customHeight="1" x14ac:dyDescent="0.15">
      <c r="A412" s="62">
        <f t="shared" si="6"/>
        <v>411</v>
      </c>
      <c r="B412" s="10" t="s">
        <v>540</v>
      </c>
      <c r="C412" s="47" t="s">
        <v>147</v>
      </c>
      <c r="D412" s="48" t="str" cm="1">
        <f t="array" ref="D412">VLOOKUP(B412,'Player Data'!A1:D673,4,FALSE)</f>
        <v>C,LW</v>
      </c>
      <c r="E412" s="74" cm="1">
        <f t="array" ref="E412">VLOOKUP(B412,LW!A1:C210,3,FALSE)</f>
        <v>95</v>
      </c>
      <c r="F412" s="65" t="str" cm="1">
        <f t="array" ref="F412">VLOOKUP(B412,'Player Data'!A1:B673,2,FALSE)</f>
        <v>NSH</v>
      </c>
      <c r="G412" s="11" cm="1">
        <f t="array" ref="G412">VLOOKUP(B412,'Player Data'!A1:D673,3,FALSE)</f>
        <v>29</v>
      </c>
      <c r="H412" s="67" cm="1">
        <f t="array" ref="H412">IFERROR(VLOOKUP(B412,ADP!A1:F671,6,FALSE)/1000000,VLOOKUP(B412,ADP!A1:F671,6,FALSE))</f>
        <v>4</v>
      </c>
      <c r="I412" s="52">
        <f>IF(Settings!$E$15="POINTS",((R412*Q412)*Settings!$B$12)+(S412*Settings!$B$2)+(T412*Settings!$B$3)+(U412*Settings!$B$4)+(V412*Settings!$B$5)+(X412*Settings!$B$9)+(AA412*Settings!$B$6)+(W412*Settings!$B$8)+(AB412*Settings!$B$7)+(AC412*Settings!$B$14)+(AD412*Settings!$B$15)+(AE412*Settings!$B$16)+(AF412*Settings!$B$17)+(AG412*Settings!$B$18)+(Y412*Settings!$B$10)+(Z412*Settings!$B$11),VLOOKUP(B412,'Standard Deviations'!A$1:C$672,3,FALSE))</f>
        <v>212.69273059863824</v>
      </c>
      <c r="J412" s="53" cm="1">
        <f t="array" ref="J412">IF(D412="G",I412/AJ412,I412/Q412)</f>
        <v>2.6806065990123917</v>
      </c>
      <c r="K412" s="52" cm="1">
        <f t="array" ref="K412">IF(Settings!$E$18="C/LW/RW",VLOOKUP(B412,LW!A1:F210,6,FALSE),VLOOKUP(B412,F!A1:F407,6,FALSE))</f>
        <v>-186.62026271508185</v>
      </c>
      <c r="L412" s="54" cm="1">
        <f t="array" ref="L412">IFERROR(K412/H412,"N/A")</f>
        <v>-46.655065678770463</v>
      </c>
      <c r="M412" s="85" t="s">
        <v>832</v>
      </c>
      <c r="N412" s="85" t="str" cm="1">
        <f t="array" ref="N412">IFERROR(M412-A412,"N/A")</f>
        <v>N/A</v>
      </c>
      <c r="O412" s="55"/>
      <c r="P412" s="56" t="str" cm="1">
        <f t="array" ref="P412">_xlfn.XLOOKUP($B412,ADP!A2:A671,ADP!G2:G671)</f>
        <v xml:space="preserve"> </v>
      </c>
      <c r="Q412" s="57" cm="1">
        <f t="array" ref="Q412">IF(Settings!$E$12="YES",VLOOKUP(B412,'Player Data'!A1:E673,5,FALSE),84)</f>
        <v>79.344999999999999</v>
      </c>
      <c r="R412" s="82" cm="1">
        <f t="array" ref="R412">VLOOKUP(B412,'Player Data'!$A1:$AE673,6,FALSE)</f>
        <v>14.7541908645058</v>
      </c>
      <c r="S412" s="57" cm="1">
        <f t="array" ref="S412">VLOOKUP(B412,'Player Data'!$A1:$AE673,7,FALSE)*$Q412*IFERROR((VLOOKUP(P412,Settings!$E$28:$F$33,2,FALSE)+1),1)</f>
        <v>14.666833611827769</v>
      </c>
      <c r="T412" s="57" cm="1">
        <f t="array" ref="T412">VLOOKUP(B412,'Player Data'!$A1:$AE673,8,FALSE)*$Q412*IFERROR((VLOOKUP(P412,Settings!$E$28:$F$33,2,FALSE)+1),1)</f>
        <v>19.507336856518158</v>
      </c>
      <c r="U412" s="57" cm="1">
        <f t="array" ref="U412">SUM(S412:T412)</f>
        <v>34.174170468345928</v>
      </c>
      <c r="V412" s="57" cm="1">
        <f t="array" ref="V412">VLOOKUP(B412,'Player Data'!$A1:$AE673,10,FALSE)*$Q412*IFERROR(((VLOOKUP(P412,Settings!$E$28:$F$33,2,FALSE)/2)+1),1)</f>
        <v>174.34090002709513</v>
      </c>
      <c r="W412" s="57" cm="1">
        <f t="array" ref="W412">VLOOKUP(B412,'Player Data'!$A1:$AE673,11,FALSE)*$Q412*IFERROR((VLOOKUP(P412,Settings!$E$28:$F$33,2,FALSE)+1),1)</f>
        <v>1.4651317342258272</v>
      </c>
      <c r="X412" s="57" cm="1">
        <f t="array" ref="X412">VLOOKUP(B412,'Player Data'!$A1:$AE673,12,FALSE)*$Q412*IFERROR((VLOOKUP(P412,Settings!$E$28:$F$33,2,FALSE)+1),1)</f>
        <v>2.7546316427493172</v>
      </c>
      <c r="Y412" s="57" cm="1">
        <f t="array" ref="Y412">VLOOKUP(B412,'Player Data'!$A1:$AE673,13,FALSE)*$Q412</f>
        <v>0.10037019562670699</v>
      </c>
      <c r="Z412" s="57" cm="1">
        <f t="array" ref="Z412">VLOOKUP(B412,'Player Data'!$A1:$AE673,14,FALSE)*$Q412</f>
        <v>0.16652248990470281</v>
      </c>
      <c r="AA412" s="57" cm="1">
        <f t="array" ref="AA412">VLOOKUP(B412,'Player Data'!$A1:$AE673,15,FALSE)*$Q412</f>
        <v>40.157230094797661</v>
      </c>
      <c r="AB412" s="57" cm="1">
        <f t="array" ref="AB412">VLOOKUP(B412,'Player Data'!$A1:$AE673,16,FALSE)*$Q412</f>
        <v>179.33652848587434</v>
      </c>
      <c r="AC412" s="57" cm="1">
        <f t="array" ref="AC412">VLOOKUP(B412,'Player Data'!$A1:$AE673,17,FALSE)*$Q412*IFERROR((VLOOKUP(P412,Settings!$E$28:$F$33,2,FALSE)+1),1)</f>
        <v>-1.934115531108721</v>
      </c>
      <c r="AD412" s="57" cm="1">
        <f t="array" ref="AD412">VLOOKUP(B412,'Player Data'!$A1:$AE673,18,FALSE)*$Q412</f>
        <v>29.257883293100779</v>
      </c>
      <c r="AE412" s="57" cm="1">
        <f t="array" ref="AE412">VLOOKUP(B412,'Player Data'!$A1:$AE673,19,FALSE)*$Q412*IFERROR((VLOOKUP(P412,Settings!$E$28:$F$33,2,FALSE)+1),1)</f>
        <v>2.0317233690787266</v>
      </c>
      <c r="AF412" s="57" cm="1">
        <f t="array" ref="AF412">VLOOKUP(B412,'Player Data'!$A1:$AE673,20,FALSE)*$Q412</f>
        <v>121.83543337712413</v>
      </c>
      <c r="AG412" s="57" cm="1">
        <f t="array" ref="AG412">VLOOKUP(B412,'Player Data'!$A1:$AE673,21,FALSE)*$Q412</f>
        <v>141.0239216519621</v>
      </c>
      <c r="AH412" s="59" cm="1">
        <f t="array" ref="AH412">VLOOKUP(B412,'Player Data'!$A1:$AE673,22,FALSE)</f>
        <v>0.46350046534825801</v>
      </c>
      <c r="AI412" s="55"/>
      <c r="AJ412" s="57"/>
      <c r="AK412" s="57"/>
      <c r="AL412" s="57"/>
      <c r="AM412" s="57"/>
      <c r="AN412" s="57"/>
      <c r="AO412" s="57"/>
      <c r="AP412" s="57"/>
      <c r="AQ412" s="60"/>
      <c r="AR412" s="61"/>
      <c r="AS412" s="55"/>
    </row>
    <row r="413" spans="1:45" ht="21.25" customHeight="1" x14ac:dyDescent="0.15">
      <c r="A413" s="62">
        <f t="shared" si="6"/>
        <v>412</v>
      </c>
      <c r="B413" s="10" t="s">
        <v>541</v>
      </c>
      <c r="C413" s="47" t="s">
        <v>147</v>
      </c>
      <c r="D413" s="48" t="str" cm="1">
        <f t="array" ref="D413">VLOOKUP(B413,'Player Data'!A1:D673,4,FALSE)</f>
        <v>C</v>
      </c>
      <c r="E413" s="49" cm="1">
        <f t="array" ref="E413">VLOOKUP(B413,'C'!A1:C210,3,FALSE)</f>
        <v>102</v>
      </c>
      <c r="F413" s="56" t="str" cm="1">
        <f t="array" ref="F413">VLOOKUP(B413,'Player Data'!A1:B673,2,FALSE)</f>
        <v>PHI</v>
      </c>
      <c r="G413" s="11" cm="1">
        <f t="array" ref="G413">VLOOKUP(B413,'Player Data'!A1:D673,3,FALSE)</f>
        <v>27</v>
      </c>
      <c r="H413" s="51" cm="1">
        <f t="array" ref="H413">IFERROR(VLOOKUP(B413,ADP!A1:F671,6,FALSE)/1000000,VLOOKUP(B413,ADP!A1:F671,6,FALSE))</f>
        <v>4</v>
      </c>
      <c r="I413" s="52">
        <f>IF(Settings!$E$15="POINTS",((R413*Q413)*Settings!$B$12)+(S413*Settings!$B$2)+(T413*Settings!$B$3)+(U413*Settings!$B$4)+(V413*Settings!$B$5)+(X413*Settings!$B$9)+(AA413*Settings!$B$6)+(W413*Settings!$B$8)+(AB413*Settings!$B$7)+(AC413*Settings!$B$14)+(AD413*Settings!$B$15)+(AE413*Settings!$B$16)+(AF413*Settings!$B$17)+(AG413*Settings!$B$18)+(Y413*Settings!$B$10)+(Z413*Settings!$B$11),VLOOKUP(B413,'Standard Deviations'!A$1:C$672,3,FALSE))</f>
        <v>199.29418611456461</v>
      </c>
      <c r="J413" s="53" cm="1">
        <f t="array" ref="J413">IF(D413="G",I413/AJ413,I413/Q413)</f>
        <v>2.4549665695314684</v>
      </c>
      <c r="K413" s="52" cm="1">
        <f t="array" ref="K413">IF(Settings!$E$18="C/LW/RW",VLOOKUP(B413,'C'!A1:F210,6,FALSE),VLOOKUP(B413,F!A1:F407,6,FALSE))</f>
        <v>-187.24102027851839</v>
      </c>
      <c r="L413" s="54" cm="1">
        <f t="array" ref="L413">IFERROR(K413/H413,"N/A")</f>
        <v>-46.810255069629598</v>
      </c>
      <c r="M413" s="85" t="s">
        <v>832</v>
      </c>
      <c r="N413" s="85" t="str" cm="1">
        <f t="array" ref="N413">IFERROR(M413-A413,"N/A")</f>
        <v>N/A</v>
      </c>
      <c r="O413" s="55"/>
      <c r="P413" s="56" t="str" cm="1">
        <f t="array" ref="P413">_xlfn.XLOOKUP($B413,ADP!A2:A671,ADP!G2:G671)</f>
        <v xml:space="preserve"> </v>
      </c>
      <c r="Q413" s="57" cm="1">
        <f t="array" ref="Q413">IF(Settings!$E$12="YES",VLOOKUP(B413,'Player Data'!A1:E673,5,FALSE),84)</f>
        <v>81.180000000000007</v>
      </c>
      <c r="R413" s="84" cm="1">
        <f t="array" ref="R413">VLOOKUP(B413,'Player Data'!$A1:$AE673,6,FALSE)</f>
        <v>14.9073393292683</v>
      </c>
      <c r="S413" s="57" cm="1">
        <f t="array" ref="S413">VLOOKUP(B413,'Player Data'!$A1:$AE673,7,FALSE)*$Q413*IFERROR((VLOOKUP(P413,Settings!$E$28:$F$33,2,FALSE)+1),1)</f>
        <v>15.055362753492899</v>
      </c>
      <c r="T413" s="57" cm="1">
        <f t="array" ref="T413">VLOOKUP(B413,'Player Data'!$A1:$AE673,8,FALSE)*$Q413*IFERROR((VLOOKUP(P413,Settings!$E$28:$F$33,2,FALSE)+1),1)</f>
        <v>22.51784401461612</v>
      </c>
      <c r="U413" s="57" cm="1">
        <f t="array" ref="U413">SUM(S413:T413)</f>
        <v>37.573206768109017</v>
      </c>
      <c r="V413" s="57" cm="1">
        <f t="array" ref="V413">VLOOKUP(B413,'Player Data'!$A1:$AE673,10,FALSE)*$Q413*IFERROR(((VLOOKUP(P413,Settings!$E$28:$F$33,2,FALSE)/2)+1),1)</f>
        <v>114.77093971574187</v>
      </c>
      <c r="W413" s="57" cm="1">
        <f t="array" ref="W413">VLOOKUP(B413,'Player Data'!$A1:$AE673,11,FALSE)*$Q413*IFERROR((VLOOKUP(P413,Settings!$E$28:$F$33,2,FALSE)+1),1)</f>
        <v>1.2592380045447431</v>
      </c>
      <c r="X413" s="57" cm="1">
        <f t="array" ref="X413">VLOOKUP(B413,'Player Data'!$A1:$AE673,12,FALSE)*$Q413*IFERROR((VLOOKUP(P413,Settings!$E$28:$F$33,2,FALSE)+1),1)</f>
        <v>3.6263471193417165</v>
      </c>
      <c r="Y413" s="57" cm="1">
        <f t="array" ref="Y413">VLOOKUP(B413,'Player Data'!$A1:$AE673,13,FALSE)*$Q413</f>
        <v>0.5320162852501068</v>
      </c>
      <c r="Z413" s="57" cm="1">
        <f t="array" ref="Z413">VLOOKUP(B413,'Player Data'!$A1:$AE673,14,FALSE)*$Q413</f>
        <v>0.90076330465250809</v>
      </c>
      <c r="AA413" s="57" cm="1">
        <f t="array" ref="AA413">VLOOKUP(B413,'Player Data'!$A1:$AE673,15,FALSE)*$Q413</f>
        <v>49.32397105674476</v>
      </c>
      <c r="AB413" s="57" cm="1">
        <f t="array" ref="AB413">VLOOKUP(B413,'Player Data'!$A1:$AE673,16,FALSE)*$Q413</f>
        <v>92.815286169834849</v>
      </c>
      <c r="AC413" s="57" cm="1">
        <f t="array" ref="AC413">VLOOKUP(B413,'Player Data'!$A1:$AE673,17,FALSE)*$Q413*IFERROR((VLOOKUP(P413,Settings!$E$28:$F$33,2,FALSE)+1),1)</f>
        <v>1.8303101663528765</v>
      </c>
      <c r="AD413" s="57" cm="1">
        <f t="array" ref="AD413">VLOOKUP(B413,'Player Data'!$A1:$AE673,18,FALSE)*$Q413</f>
        <v>21.945931145990166</v>
      </c>
      <c r="AE413" s="57" cm="1">
        <f t="array" ref="AE413">VLOOKUP(B413,'Player Data'!$A1:$AE673,19,FALSE)*$Q413*IFERROR((VLOOKUP(P413,Settings!$E$28:$F$33,2,FALSE)+1),1)</f>
        <v>2.379273638015079</v>
      </c>
      <c r="AF413" s="57" cm="1">
        <f t="array" ref="AF413">VLOOKUP(B413,'Player Data'!$A1:$AE673,20,FALSE)*$Q413</f>
        <v>410.29498230042338</v>
      </c>
      <c r="AG413" s="57" cm="1">
        <f t="array" ref="AG413">VLOOKUP(B413,'Player Data'!$A1:$AE673,21,FALSE)*$Q413</f>
        <v>503.94871622950973</v>
      </c>
      <c r="AH413" s="59" cm="1">
        <f t="array" ref="AH413">VLOOKUP(B413,'Player Data'!$A1:$AE673,22,FALSE)</f>
        <v>0.44878076049106103</v>
      </c>
      <c r="AI413" s="55"/>
      <c r="AJ413" s="57"/>
      <c r="AK413" s="57"/>
      <c r="AL413" s="57"/>
      <c r="AM413" s="57"/>
      <c r="AN413" s="57"/>
      <c r="AO413" s="57"/>
      <c r="AP413" s="57"/>
      <c r="AQ413" s="60"/>
      <c r="AR413" s="61"/>
      <c r="AS413" s="55"/>
    </row>
    <row r="414" spans="1:45" ht="21.25" customHeight="1" x14ac:dyDescent="0.15">
      <c r="A414" s="62">
        <f t="shared" si="6"/>
        <v>413</v>
      </c>
      <c r="B414" s="10" t="s">
        <v>542</v>
      </c>
      <c r="C414" s="47" t="s">
        <v>147</v>
      </c>
      <c r="D414" s="48" t="str" cm="1">
        <f t="array" ref="D414">VLOOKUP(B414,'Player Data'!A1:D673,4,FALSE)</f>
        <v>C,LW</v>
      </c>
      <c r="E414" s="74" cm="1">
        <f t="array" ref="E414">VLOOKUP(B414,LW!A1:C210,3,FALSE)</f>
        <v>97</v>
      </c>
      <c r="F414" s="72" t="str" cm="1">
        <f t="array" ref="F414">VLOOKUP(B414,'Player Data'!A1:B673,2,FALSE)</f>
        <v>DET</v>
      </c>
      <c r="G414" s="71" cm="1">
        <f t="array" ref="G414">VLOOKUP(B414,'Player Data'!A1:D673,3,FALSE)</f>
        <v>22</v>
      </c>
      <c r="H414" s="51" cm="1">
        <f t="array" ref="H414">IFERROR(VLOOKUP(B414,ADP!A1:F671,6,FALSE)/1000000,VLOOKUP(B414,ADP!A1:F671,6,FALSE))</f>
        <v>0.88666699999999998</v>
      </c>
      <c r="I414" s="52">
        <f>IF(Settings!$E$15="POINTS",((R414*Q414)*Settings!$B$12)+(S414*Settings!$B$2)+(T414*Settings!$B$3)+(U414*Settings!$B$4)+(V414*Settings!$B$5)+(X414*Settings!$B$9)+(AA414*Settings!$B$6)+(W414*Settings!$B$8)+(AB414*Settings!$B$7)+(AC414*Settings!$B$14)+(AD414*Settings!$B$15)+(AE414*Settings!$B$16)+(AF414*Settings!$B$17)+(AG414*Settings!$B$18)+(Y414*Settings!$B$10)+(Z414*Settings!$B$11),VLOOKUP(B414,'Standard Deviations'!A$1:C$672,3,FALSE))</f>
        <v>211.94328072778347</v>
      </c>
      <c r="J414" s="53" cm="1">
        <f t="array" ref="J414">IF(D414="G",I414/AJ414,I414/Q414)</f>
        <v>2.5763481520425877</v>
      </c>
      <c r="K414" s="52" cm="1">
        <f t="array" ref="K414">IF(Settings!$E$18="C/LW/RW",VLOOKUP(B414,LW!A1:F210,6,FALSE),VLOOKUP(B414,F!A1:F407,6,FALSE))</f>
        <v>-187.36971258593661</v>
      </c>
      <c r="L414" s="54" cm="1">
        <f t="array" ref="L414">IFERROR(K414/H414,"N/A")</f>
        <v>-211.31914527769345</v>
      </c>
      <c r="M414" s="85" t="s">
        <v>832</v>
      </c>
      <c r="N414" s="85" t="str" cm="1">
        <f t="array" ref="N414">IFERROR(M414-A414,"N/A")</f>
        <v>N/A</v>
      </c>
      <c r="O414" s="55"/>
      <c r="P414" s="56" t="str" cm="1">
        <f t="array" ref="P414">_xlfn.XLOOKUP($B414,ADP!A2:A671,ADP!G2:G671)</f>
        <v xml:space="preserve"> </v>
      </c>
      <c r="Q414" s="57" cm="1">
        <f t="array" ref="Q414">IF(Settings!$E$12="YES",VLOOKUP(B414,'Player Data'!A1:E673,5,FALSE),84)</f>
        <v>82.265000000000001</v>
      </c>
      <c r="R414" s="82" cm="1">
        <f t="array" ref="R414">VLOOKUP(B414,'Player Data'!$A1:$AE673,6,FALSE)</f>
        <v>15.3575853869018</v>
      </c>
      <c r="S414" s="57" cm="1">
        <f t="array" ref="S414">VLOOKUP(B414,'Player Data'!$A1:$AE673,7,FALSE)*$Q414*IFERROR((VLOOKUP(P414,Settings!$E$28:$F$33,2,FALSE)+1),1)</f>
        <v>16.421619104710945</v>
      </c>
      <c r="T414" s="57" cm="1">
        <f t="array" ref="T414">VLOOKUP(B414,'Player Data'!$A1:$AE673,8,FALSE)*$Q414*IFERROR((VLOOKUP(P414,Settings!$E$28:$F$33,2,FALSE)+1),1)</f>
        <v>18.15621611692773</v>
      </c>
      <c r="U414" s="57" cm="1">
        <f t="array" ref="U414">SUM(S414:T414)</f>
        <v>34.577835221638679</v>
      </c>
      <c r="V414" s="57" cm="1">
        <f t="array" ref="V414">VLOOKUP(B414,'Player Data'!$A1:$AE673,10,FALSE)*$Q414*IFERROR(((VLOOKUP(P414,Settings!$E$28:$F$33,2,FALSE)/2)+1),1)</f>
        <v>152.68288327336526</v>
      </c>
      <c r="W414" s="57" cm="1">
        <f t="array" ref="W414">VLOOKUP(B414,'Player Data'!$A1:$AE673,11,FALSE)*$Q414*IFERROR((VLOOKUP(P414,Settings!$E$28:$F$33,2,FALSE)+1),1)</f>
        <v>2.5524627593641109</v>
      </c>
      <c r="X414" s="57" cm="1">
        <f t="array" ref="X414">VLOOKUP(B414,'Player Data'!$A1:$AE673,12,FALSE)*$Q414*IFERROR((VLOOKUP(P414,Settings!$E$28:$F$33,2,FALSE)+1),1)</f>
        <v>5.6456728157062832</v>
      </c>
      <c r="Y414" s="57" cm="1">
        <f t="array" ref="Y414">VLOOKUP(B414,'Player Data'!$A1:$AE673,13,FALSE)*$Q414</f>
        <v>0.10704141260453102</v>
      </c>
      <c r="Z414" s="57" cm="1">
        <f t="array" ref="Z414">VLOOKUP(B414,'Player Data'!$A1:$AE673,14,FALSE)*$Q414</f>
        <v>0.68159416855636457</v>
      </c>
      <c r="AA414" s="57" cm="1">
        <f t="array" ref="AA414">VLOOKUP(B414,'Player Data'!$A1:$AE673,15,FALSE)*$Q414</f>
        <v>51.082132883844281</v>
      </c>
      <c r="AB414" s="57" cm="1">
        <f t="array" ref="AB414">VLOOKUP(B414,'Player Data'!$A1:$AE673,16,FALSE)*$Q414</f>
        <v>176.7304405261774</v>
      </c>
      <c r="AC414" s="57" cm="1">
        <f t="array" ref="AC414">VLOOKUP(B414,'Player Data'!$A1:$AE673,17,FALSE)*$Q414*IFERROR((VLOOKUP(P414,Settings!$E$28:$F$33,2,FALSE)+1),1)</f>
        <v>-1.7530056999497061</v>
      </c>
      <c r="AD414" s="57" cm="1">
        <f t="array" ref="AD414">VLOOKUP(B414,'Player Data'!$A1:$AE673,18,FALSE)*$Q414</f>
        <v>26.95384879271575</v>
      </c>
      <c r="AE414" s="57" cm="1">
        <f t="array" ref="AE414">VLOOKUP(B414,'Player Data'!$A1:$AE673,19,FALSE)*$Q414*IFERROR((VLOOKUP(P414,Settings!$E$28:$F$33,2,FALSE)+1),1)</f>
        <v>2.5733974789790928</v>
      </c>
      <c r="AF414" s="57" cm="1">
        <f t="array" ref="AF414">VLOOKUP(B414,'Player Data'!$A1:$AE673,20,FALSE)*$Q414</f>
        <v>258.35997248760191</v>
      </c>
      <c r="AG414" s="57" cm="1">
        <f t="array" ref="AG414">VLOOKUP(B414,'Player Data'!$A1:$AE673,21,FALSE)*$Q414</f>
        <v>275.71919108440511</v>
      </c>
      <c r="AH414" s="59" cm="1">
        <f t="array" ref="AH414">VLOOKUP(B414,'Player Data'!$A1:$AE673,22,FALSE)</f>
        <v>0.48374845923523602</v>
      </c>
      <c r="AI414" s="55"/>
      <c r="AJ414" s="57"/>
      <c r="AK414" s="57"/>
      <c r="AL414" s="57"/>
      <c r="AM414" s="57"/>
      <c r="AN414" s="57"/>
      <c r="AO414" s="57"/>
      <c r="AP414" s="57"/>
      <c r="AQ414" s="60"/>
      <c r="AR414" s="61"/>
      <c r="AS414" s="55"/>
    </row>
    <row r="415" spans="1:45" ht="21.25" customHeight="1" x14ac:dyDescent="0.15">
      <c r="A415" s="62">
        <f t="shared" si="6"/>
        <v>414</v>
      </c>
      <c r="B415" s="10" t="s">
        <v>543</v>
      </c>
      <c r="C415" s="47" t="s">
        <v>147</v>
      </c>
      <c r="D415" s="48" t="str" cm="1">
        <f t="array" ref="D415">VLOOKUP(B415,'Player Data'!A1:D673,4,FALSE)</f>
        <v>LW</v>
      </c>
      <c r="E415" s="75" cm="1">
        <f t="array" ref="E415">VLOOKUP(B415,LW!A1:C210,3,FALSE)</f>
        <v>98</v>
      </c>
      <c r="F415" s="69" t="str" cm="1">
        <f t="array" ref="F415">VLOOKUP(B415,'Player Data'!A1:B673,2,FALSE)</f>
        <v>TOR</v>
      </c>
      <c r="G415" s="71" cm="1">
        <f t="array" ref="G415">VLOOKUP(B415,'Player Data'!A1:D673,3,FALSE)</f>
        <v>21</v>
      </c>
      <c r="H415" s="51" cm="1">
        <f t="array" ref="H415">IFERROR(VLOOKUP(B415,ADP!A1:F671,6,FALSE)/1000000,VLOOKUP(B415,ADP!A1:F671,6,FALSE))</f>
        <v>0.9</v>
      </c>
      <c r="I415" s="52">
        <f>IF(Settings!$E$15="POINTS",((R415*Q415)*Settings!$B$12)+(S415*Settings!$B$2)+(T415*Settings!$B$3)+(U415*Settings!$B$4)+(V415*Settings!$B$5)+(X415*Settings!$B$9)+(AA415*Settings!$B$6)+(W415*Settings!$B$8)+(AB415*Settings!$B$7)+(AC415*Settings!$B$14)+(AD415*Settings!$B$15)+(AE415*Settings!$B$16)+(AF415*Settings!$B$17)+(AG415*Settings!$B$18)+(Y415*Settings!$B$10)+(Z415*Settings!$B$11),VLOOKUP(B415,'Standard Deviations'!A$1:C$672,3,FALSE))</f>
        <v>211.87649723627962</v>
      </c>
      <c r="J415" s="53" cm="1">
        <f t="array" ref="J415">IF(D415="G",I415/AJ415,I415/Q415)</f>
        <v>2.7377761627636596</v>
      </c>
      <c r="K415" s="52" cm="1">
        <f t="array" ref="K415">IF(Settings!$E$18="C/LW/RW",VLOOKUP(B415,LW!A1:F210,6,FALSE),VLOOKUP(B415,F!A1:F407,6,FALSE))</f>
        <v>-187.43649607744047</v>
      </c>
      <c r="L415" s="54" cm="1">
        <f t="array" ref="L415">IFERROR(K415/H415,"N/A")</f>
        <v>-208.26277341937828</v>
      </c>
      <c r="M415" s="85" t="s">
        <v>832</v>
      </c>
      <c r="N415" s="85" t="str" cm="1">
        <f t="array" ref="N415">IFERROR(M415-A415,"N/A")</f>
        <v>N/A</v>
      </c>
      <c r="O415" s="55"/>
      <c r="P415" s="56" t="str" cm="1">
        <f t="array" ref="P415">_xlfn.XLOOKUP($B415,ADP!A2:A671,ADP!G2:G671)</f>
        <v xml:space="preserve"> </v>
      </c>
      <c r="Q415" s="57" cm="1">
        <f t="array" ref="Q415">IF(Settings!$E$12="YES",VLOOKUP(B415,'Player Data'!A1:E673,5,FALSE),84)</f>
        <v>77.39</v>
      </c>
      <c r="R415" s="82" cm="1">
        <f t="array" ref="R415">VLOOKUP(B415,'Player Data'!$A1:$AE673,6,FALSE)</f>
        <v>15.800339048198</v>
      </c>
      <c r="S415" s="57" cm="1">
        <f t="array" ref="S415">VLOOKUP(B415,'Player Data'!$A1:$AE673,7,FALSE)*$Q415*IFERROR((VLOOKUP(P415,Settings!$E$28:$F$33,2,FALSE)+1),1)</f>
        <v>16.313441160682828</v>
      </c>
      <c r="T415" s="57" cm="1">
        <f t="array" ref="T415">VLOOKUP(B415,'Player Data'!$A1:$AE673,8,FALSE)*$Q415*IFERROR((VLOOKUP(P415,Settings!$E$28:$F$33,2,FALSE)+1),1)</f>
        <v>24.612419811172725</v>
      </c>
      <c r="U415" s="57" cm="1">
        <f t="array" ref="U415">SUM(S415:T415)</f>
        <v>40.925860971855556</v>
      </c>
      <c r="V415" s="57" cm="1">
        <f t="array" ref="V415">VLOOKUP(B415,'Player Data'!$A1:$AE673,10,FALSE)*$Q415*IFERROR(((VLOOKUP(P415,Settings!$E$28:$F$33,2,FALSE)/2)+1),1)</f>
        <v>122.34471522182238</v>
      </c>
      <c r="W415" s="57" cm="1">
        <f t="array" ref="W415">VLOOKUP(B415,'Player Data'!$A1:$AE673,11,FALSE)*$Q415*IFERROR((VLOOKUP(P415,Settings!$E$28:$F$33,2,FALSE)+1),1)</f>
        <v>2.6756420677465558</v>
      </c>
      <c r="X415" s="57" cm="1">
        <f t="array" ref="X415">VLOOKUP(B415,'Player Data'!$A1:$AE673,12,FALSE)*$Q415*IFERROR((VLOOKUP(P415,Settings!$E$28:$F$33,2,FALSE)+1),1)</f>
        <v>7.4673373777089731</v>
      </c>
      <c r="Y415" s="57" cm="1">
        <f t="array" ref="Y415">VLOOKUP(B415,'Player Data'!$A1:$AE673,13,FALSE)*$Q415</f>
        <v>0.14226047114605955</v>
      </c>
      <c r="Z415" s="57" cm="1">
        <f t="array" ref="Z415">VLOOKUP(B415,'Player Data'!$A1:$AE673,14,FALSE)*$Q415</f>
        <v>0.23097797014333826</v>
      </c>
      <c r="AA415" s="57" cm="1">
        <f t="array" ref="AA415">VLOOKUP(B415,'Player Data'!$A1:$AE673,15,FALSE)*$Q415</f>
        <v>40.456482723898887</v>
      </c>
      <c r="AB415" s="57" cm="1">
        <f t="array" ref="AB415">VLOOKUP(B415,'Player Data'!$A1:$AE673,16,FALSE)*$Q415</f>
        <v>88.316064472766655</v>
      </c>
      <c r="AC415" s="57" cm="1">
        <f t="array" ref="AC415">VLOOKUP(B415,'Player Data'!$A1:$AE673,17,FALSE)*$Q415*IFERROR((VLOOKUP(P415,Settings!$E$28:$F$33,2,FALSE)+1),1)</f>
        <v>0.87948725316105647</v>
      </c>
      <c r="AD415" s="57" cm="1">
        <f t="array" ref="AD415">VLOOKUP(B415,'Player Data'!$A1:$AE673,18,FALSE)*$Q415</f>
        <v>37.323623589963134</v>
      </c>
      <c r="AE415" s="57" cm="1">
        <f t="array" ref="AE415">VLOOKUP(B415,'Player Data'!$A1:$AE673,19,FALSE)*$Q415*IFERROR((VLOOKUP(P415,Settings!$E$28:$F$33,2,FALSE)+1),1)</f>
        <v>2.2277752631924823</v>
      </c>
      <c r="AF415" s="57" cm="1">
        <f t="array" ref="AF415">VLOOKUP(B415,'Player Data'!$A1:$AE673,20,FALSE)*$Q415</f>
        <v>2.5196543147332449</v>
      </c>
      <c r="AG415" s="57" cm="1">
        <f t="array" ref="AG415">VLOOKUP(B415,'Player Data'!$A1:$AE673,21,FALSE)*$Q415</f>
        <v>5.0393086294664897</v>
      </c>
      <c r="AH415" s="59" cm="1">
        <f t="array" ref="AH415">VLOOKUP(B415,'Player Data'!$A1:$AE673,22,FALSE)</f>
        <v>0.33333333333333298</v>
      </c>
      <c r="AI415" s="55"/>
      <c r="AJ415" s="57"/>
      <c r="AK415" s="57"/>
      <c r="AL415" s="57"/>
      <c r="AM415" s="57"/>
      <c r="AN415" s="57"/>
      <c r="AO415" s="57"/>
      <c r="AP415" s="57"/>
      <c r="AQ415" s="60"/>
      <c r="AR415" s="61"/>
      <c r="AS415" s="55"/>
    </row>
    <row r="416" spans="1:45" ht="21.25" customHeight="1" x14ac:dyDescent="0.15">
      <c r="A416" s="62">
        <f t="shared" si="6"/>
        <v>415</v>
      </c>
      <c r="B416" s="10" t="s">
        <v>544</v>
      </c>
      <c r="C416" s="47" t="s">
        <v>147</v>
      </c>
      <c r="D416" s="48" t="str" cm="1">
        <f t="array" ref="D416">VLOOKUP(B416,'Player Data'!A1:D673,4,FALSE)</f>
        <v>C,LW</v>
      </c>
      <c r="E416" s="74" cm="1">
        <f t="array" ref="E416">VLOOKUP(B416,LW!A1:C210,3,FALSE)</f>
        <v>99</v>
      </c>
      <c r="F416" s="72" t="str" cm="1">
        <f t="array" ref="F416">VLOOKUP(B416,'Player Data'!A1:B673,2,FALSE)</f>
        <v>PIT</v>
      </c>
      <c r="G416" s="11" cm="1">
        <f t="array" ref="G416">VLOOKUP(B416,'Player Data'!A1:D673,3,FALSE)</f>
        <v>29</v>
      </c>
      <c r="H416" s="67" cm="1">
        <f t="array" ref="H416">IFERROR(VLOOKUP(B416,ADP!A1:F671,6,FALSE)/1000000,VLOOKUP(B416,ADP!A1:F671,6,FALSE))</f>
        <v>3.5</v>
      </c>
      <c r="I416" s="52">
        <f>IF(Settings!$E$15="POINTS",((R416*Q416)*Settings!$B$12)+(S416*Settings!$B$2)+(T416*Settings!$B$3)+(U416*Settings!$B$4)+(V416*Settings!$B$5)+(X416*Settings!$B$9)+(AA416*Settings!$B$6)+(W416*Settings!$B$8)+(AB416*Settings!$B$7)+(AC416*Settings!$B$14)+(AD416*Settings!$B$15)+(AE416*Settings!$B$16)+(AF416*Settings!$B$17)+(AG416*Settings!$B$18)+(Y416*Settings!$B$10)+(Z416*Settings!$B$11),VLOOKUP(B416,'Standard Deviations'!A$1:C$672,3,FALSE))</f>
        <v>211.84160919439239</v>
      </c>
      <c r="J416" s="53" cm="1">
        <f t="array" ref="J416">IF(D416="G",I416/AJ416,I416/Q416)</f>
        <v>2.6788266210722358</v>
      </c>
      <c r="K416" s="52" cm="1">
        <f t="array" ref="K416">IF(Settings!$E$18="C/LW/RW",VLOOKUP(B416,LW!A1:F210,6,FALSE),VLOOKUP(B416,F!A1:F407,6,FALSE))</f>
        <v>-187.47138411932769</v>
      </c>
      <c r="L416" s="54" cm="1">
        <f t="array" ref="L416">IFERROR(K416/H416,"N/A")</f>
        <v>-53.563252605522202</v>
      </c>
      <c r="M416" s="85" t="s">
        <v>832</v>
      </c>
      <c r="N416" s="85" t="str" cm="1">
        <f t="array" ref="N416">IFERROR(M416-A416,"N/A")</f>
        <v>N/A</v>
      </c>
      <c r="O416" s="55"/>
      <c r="P416" s="56" t="str" cm="1">
        <f t="array" ref="P416">_xlfn.XLOOKUP($B416,ADP!A2:A671,ADP!G2:G671)</f>
        <v xml:space="preserve"> </v>
      </c>
      <c r="Q416" s="57" cm="1">
        <f t="array" ref="Q416">IF(Settings!$E$12="YES",VLOOKUP(B416,'Player Data'!A1:E673,5,FALSE),84)</f>
        <v>79.08</v>
      </c>
      <c r="R416" s="55" cm="1">
        <f t="array" ref="R416">VLOOKUP(B416,'Player Data'!$A1:$AE673,6,FALSE)</f>
        <v>14.500131352324701</v>
      </c>
      <c r="S416" s="57" cm="1">
        <f t="array" ref="S416">VLOOKUP(B416,'Player Data'!$A1:$AE673,7,FALSE)*$Q416*IFERROR((VLOOKUP(P416,Settings!$E$28:$F$33,2,FALSE)+1),1)</f>
        <v>17.181955271679836</v>
      </c>
      <c r="T416" s="57" cm="1">
        <f t="array" ref="T416">VLOOKUP(B416,'Player Data'!$A1:$AE673,8,FALSE)*$Q416*IFERROR((VLOOKUP(P416,Settings!$E$28:$F$33,2,FALSE)+1),1)</f>
        <v>23.315707013752974</v>
      </c>
      <c r="U416" s="57" cm="1">
        <f t="array" ref="U416">SUM(S416:T416)</f>
        <v>40.49766228543281</v>
      </c>
      <c r="V416" s="57" cm="1">
        <f t="array" ref="V416">VLOOKUP(B416,'Player Data'!$A1:$AE673,10,FALSE)*$Q416*IFERROR(((VLOOKUP(P416,Settings!$E$28:$F$33,2,FALSE)/2)+1),1)</f>
        <v>130.39260795090448</v>
      </c>
      <c r="W416" s="57" cm="1">
        <f t="array" ref="W416">VLOOKUP(B416,'Player Data'!$A1:$AE673,11,FALSE)*$Q416*IFERROR((VLOOKUP(P416,Settings!$E$28:$F$33,2,FALSE)+1),1)</f>
        <v>3.9857849464439128</v>
      </c>
      <c r="X416" s="57" cm="1">
        <f t="array" ref="X416">VLOOKUP(B416,'Player Data'!$A1:$AE673,12,FALSE)*$Q416*IFERROR((VLOOKUP(P416,Settings!$E$28:$F$33,2,FALSE)+1),1)</f>
        <v>7.6997225016319257</v>
      </c>
      <c r="Y416" s="57" cm="1">
        <f t="array" ref="Y416">VLOOKUP(B416,'Player Data'!$A1:$AE673,13,FALSE)*$Q416</f>
        <v>3.8358765262004372E-3</v>
      </c>
      <c r="Z416" s="57" cm="1">
        <f t="array" ref="Z416">VLOOKUP(B416,'Player Data'!$A1:$AE673,14,FALSE)*$Q416</f>
        <v>6.2623804747680865E-3</v>
      </c>
      <c r="AA416" s="57" cm="1">
        <f t="array" ref="AA416">VLOOKUP(B416,'Player Data'!$A1:$AE673,15,FALSE)*$Q416</f>
        <v>34.892666961070091</v>
      </c>
      <c r="AB416" s="57" cm="1">
        <f t="array" ref="AB416">VLOOKUP(B416,'Player Data'!$A1:$AE673,16,FALSE)*$Q416</f>
        <v>20.517328518914901</v>
      </c>
      <c r="AC416" s="57" cm="1">
        <f t="array" ref="AC416">VLOOKUP(B416,'Player Data'!$A1:$AE673,17,FALSE)*$Q416*IFERROR((VLOOKUP(P416,Settings!$E$28:$F$33,2,FALSE)+1),1)</f>
        <v>1.401399221254428</v>
      </c>
      <c r="AD416" s="57" cm="1">
        <f t="array" ref="AD416">VLOOKUP(B416,'Player Data'!$A1:$AE673,18,FALSE)*$Q416</f>
        <v>18.786806183974967</v>
      </c>
      <c r="AE416" s="57" cm="1">
        <f t="array" ref="AE416">VLOOKUP(B416,'Player Data'!$A1:$AE673,19,FALSE)*$Q416*IFERROR((VLOOKUP(P416,Settings!$E$28:$F$33,2,FALSE)+1),1)</f>
        <v>2.4911651580900394</v>
      </c>
      <c r="AF416" s="57" cm="1">
        <f t="array" ref="AF416">VLOOKUP(B416,'Player Data'!$A1:$AE673,20,FALSE)*$Q416</f>
        <v>209.10904847600517</v>
      </c>
      <c r="AG416" s="57" cm="1">
        <f t="array" ref="AG416">VLOOKUP(B416,'Player Data'!$A1:$AE673,21,FALSE)*$Q416</f>
        <v>281.0770015092823</v>
      </c>
      <c r="AH416" s="59" cm="1">
        <f t="array" ref="AH416">VLOOKUP(B416,'Player Data'!$A1:$AE673,22,FALSE)</f>
        <v>0.426591186106339</v>
      </c>
      <c r="AI416" s="55"/>
      <c r="AJ416" s="57"/>
      <c r="AK416" s="57"/>
      <c r="AL416" s="57"/>
      <c r="AM416" s="57"/>
      <c r="AN416" s="57"/>
      <c r="AO416" s="57"/>
      <c r="AP416" s="57"/>
      <c r="AQ416" s="60"/>
      <c r="AR416" s="61"/>
      <c r="AS416" s="55"/>
    </row>
    <row r="417" spans="1:45" ht="21.25" customHeight="1" x14ac:dyDescent="0.15">
      <c r="A417" s="62">
        <f t="shared" si="6"/>
        <v>416</v>
      </c>
      <c r="B417" s="10" t="s">
        <v>545</v>
      </c>
      <c r="C417" s="47" t="s">
        <v>147</v>
      </c>
      <c r="D417" s="48" t="str" cm="1">
        <f t="array" ref="D417">VLOOKUP(B417,'Player Data'!A1:D673,4,FALSE)</f>
        <v>LW,RW</v>
      </c>
      <c r="E417" s="74" cm="1">
        <f t="array" ref="E417">VLOOKUP(B417,RW!A1:F210,3,FALSE)</f>
        <v>112</v>
      </c>
      <c r="F417" s="70" t="str" cm="1">
        <f t="array" ref="F417">VLOOKUP(B417,'Player Data'!A1:B673,2,FALSE)</f>
        <v>L.A</v>
      </c>
      <c r="G417" s="66" cm="1">
        <f t="array" ref="G417">VLOOKUP(B417,'Player Data'!A1:D673,3,FALSE)</f>
        <v>31</v>
      </c>
      <c r="H417" s="51" cm="1">
        <f t="array" ref="H417">IFERROR(VLOOKUP(B417,ADP!A1:F671,6,FALSE)/1000000,VLOOKUP(B417,ADP!A1:F671,6,FALSE))</f>
        <v>4.2</v>
      </c>
      <c r="I417" s="52">
        <f>IF(Settings!$E$15="POINTS",((R417*Q417)*Settings!$B$12)+(S417*Settings!$B$2)+(T417*Settings!$B$3)+(U417*Settings!$B$4)+(V417*Settings!$B$5)+(X417*Settings!$B$9)+(AA417*Settings!$B$6)+(W417*Settings!$B$8)+(AB417*Settings!$B$7)+(AC417*Settings!$B$14)+(AD417*Settings!$B$15)+(AE417*Settings!$B$16)+(AF417*Settings!$B$17)+(AG417*Settings!$B$18)+(Y417*Settings!$B$10)+(Z417*Settings!$B$11),VLOOKUP(B417,'Standard Deviations'!A$1:C$672,3,FALSE))</f>
        <v>206.47934071968695</v>
      </c>
      <c r="J417" s="53" cm="1">
        <f t="array" ref="J417">IF(D417="G",I417/AJ417,I417/Q417)</f>
        <v>2.5742343937125916</v>
      </c>
      <c r="K417" s="52" cm="1">
        <f t="array" ref="K417">IF(Settings!$E$18="C/LW/RW",VLOOKUP(B417,RW!A1:F210,6,FALSE),VLOOKUP(B417,F!A1:F407,6,FALSE))</f>
        <v>-188.46412397387053</v>
      </c>
      <c r="L417" s="54" cm="1">
        <f t="array" ref="L417">IFERROR(K417/H417,"N/A")</f>
        <v>-44.872410469969168</v>
      </c>
      <c r="M417" s="85" t="s">
        <v>832</v>
      </c>
      <c r="N417" s="85" t="str" cm="1">
        <f t="array" ref="N417">IFERROR(M417-A417,"N/A")</f>
        <v>N/A</v>
      </c>
      <c r="O417" s="55"/>
      <c r="P417" s="56" t="str" cm="1">
        <f t="array" ref="P417">_xlfn.XLOOKUP($B417,ADP!A2:A671,ADP!G2:G671)</f>
        <v xml:space="preserve"> </v>
      </c>
      <c r="Q417" s="57" cm="1">
        <f t="array" ref="Q417">IF(Settings!$E$12="YES",VLOOKUP(B417,'Player Data'!A1:E673,5,FALSE),84)</f>
        <v>80.209999999999994</v>
      </c>
      <c r="R417" s="84" cm="1">
        <f t="array" ref="R417">VLOOKUP(B417,'Player Data'!$A1:$AE673,6,FALSE)</f>
        <v>14.7897505159786</v>
      </c>
      <c r="S417" s="57" cm="1">
        <f t="array" ref="S417">VLOOKUP(B417,'Player Data'!$A1:$AE673,7,FALSE)*$Q417*IFERROR((VLOOKUP(P417,Settings!$E$28:$F$33,2,FALSE)+1),1)</f>
        <v>15.766795517302491</v>
      </c>
      <c r="T417" s="57" cm="1">
        <f t="array" ref="T417">VLOOKUP(B417,'Player Data'!$A1:$AE673,8,FALSE)*$Q417*IFERROR((VLOOKUP(P417,Settings!$E$28:$F$33,2,FALSE)+1),1)</f>
        <v>19.060239712111173</v>
      </c>
      <c r="U417" s="57" cm="1">
        <f t="array" ref="U417">SUM(S417:T417)</f>
        <v>34.827035229413667</v>
      </c>
      <c r="V417" s="57" cm="1">
        <f t="array" ref="V417">VLOOKUP(B417,'Player Data'!$A1:$AE673,10,FALSE)*$Q417*IFERROR(((VLOOKUP(P417,Settings!$E$28:$F$33,2,FALSE)/2)+1),1)</f>
        <v>160.38355713050026</v>
      </c>
      <c r="W417" s="57" cm="1">
        <f t="array" ref="W417">VLOOKUP(B417,'Player Data'!$A1:$AE673,11,FALSE)*$Q417*IFERROR((VLOOKUP(P417,Settings!$E$28:$F$33,2,FALSE)+1),1)</f>
        <v>0.55100415728784857</v>
      </c>
      <c r="X417" s="57" cm="1">
        <f t="array" ref="X417">VLOOKUP(B417,'Player Data'!$A1:$AE673,12,FALSE)*$Q417*IFERROR((VLOOKUP(P417,Settings!$E$28:$F$33,2,FALSE)+1),1)</f>
        <v>1.856224824294304</v>
      </c>
      <c r="Y417" s="57" cm="1">
        <f t="array" ref="Y417">VLOOKUP(B417,'Player Data'!$A1:$AE673,13,FALSE)*$Q417</f>
        <v>0.89471799766859594</v>
      </c>
      <c r="Z417" s="57" cm="1">
        <f t="array" ref="Z417">VLOOKUP(B417,'Player Data'!$A1:$AE673,14,FALSE)*$Q417</f>
        <v>1.409578571866088</v>
      </c>
      <c r="AA417" s="57" cm="1">
        <f t="array" ref="AA417">VLOOKUP(B417,'Player Data'!$A1:$AE673,15,FALSE)*$Q417</f>
        <v>37.081306140070815</v>
      </c>
      <c r="AB417" s="57" cm="1">
        <f t="array" ref="AB417">VLOOKUP(B417,'Player Data'!$A1:$AE673,16,FALSE)*$Q417</f>
        <v>66.205468669938014</v>
      </c>
      <c r="AC417" s="57" cm="1">
        <f t="array" ref="AC417">VLOOKUP(B417,'Player Data'!$A1:$AE673,17,FALSE)*$Q417*IFERROR((VLOOKUP(P417,Settings!$E$28:$F$33,2,FALSE)+1),1)</f>
        <v>1.0183645669283636</v>
      </c>
      <c r="AD417" s="57" cm="1">
        <f t="array" ref="AD417">VLOOKUP(B417,'Player Data'!$A1:$AE673,18,FALSE)*$Q417</f>
        <v>17.738397636613985</v>
      </c>
      <c r="AE417" s="57" cm="1">
        <f t="array" ref="AE417">VLOOKUP(B417,'Player Data'!$A1:$AE673,19,FALSE)*$Q417*IFERROR((VLOOKUP(P417,Settings!$E$28:$F$33,2,FALSE)+1),1)</f>
        <v>2.4905886440147929</v>
      </c>
      <c r="AF417" s="57" cm="1">
        <f t="array" ref="AF417">VLOOKUP(B417,'Player Data'!$A1:$AE673,20,FALSE)*$Q417</f>
        <v>4.1877847305593043</v>
      </c>
      <c r="AG417" s="57" cm="1">
        <f t="array" ref="AG417">VLOOKUP(B417,'Player Data'!$A1:$AE673,21,FALSE)*$Q417</f>
        <v>17.632179860546287</v>
      </c>
      <c r="AH417" s="59" cm="1">
        <f t="array" ref="AH417">VLOOKUP(B417,'Player Data'!$A1:$AE673,22,FALSE)</f>
        <v>0.19192445125535901</v>
      </c>
      <c r="AI417" s="55"/>
      <c r="AJ417" s="57"/>
      <c r="AK417" s="57"/>
      <c r="AL417" s="57"/>
      <c r="AM417" s="57"/>
      <c r="AN417" s="57"/>
      <c r="AO417" s="57"/>
      <c r="AP417" s="57"/>
      <c r="AQ417" s="60"/>
      <c r="AR417" s="61"/>
      <c r="AS417" s="55"/>
    </row>
    <row r="418" spans="1:45" ht="21.25" customHeight="1" x14ac:dyDescent="0.15">
      <c r="A418" s="62">
        <f t="shared" si="6"/>
        <v>417</v>
      </c>
      <c r="B418" s="10" t="s">
        <v>546</v>
      </c>
      <c r="C418" s="47" t="s">
        <v>147</v>
      </c>
      <c r="D418" s="48" t="str" cm="1">
        <f t="array" ref="D418">VLOOKUP(B418,'Player Data'!A1:D673,4,FALSE)</f>
        <v>D</v>
      </c>
      <c r="E418" s="68" cm="1">
        <f t="array" ref="E418">VLOOKUP(B418,D!A1:C204,3,FALSE)</f>
        <v>173</v>
      </c>
      <c r="F418" s="63" t="str" cm="1">
        <f t="array" ref="F418">VLOOKUP(B418,'Player Data'!A1:B673,2,FALSE)</f>
        <v>VGK</v>
      </c>
      <c r="G418" s="11" cm="1">
        <f t="array" ref="G418">VLOOKUP(B418,'Player Data'!A1:D673,3,FALSE)</f>
        <v>29</v>
      </c>
      <c r="H418" s="51" cm="1">
        <f t="array" ref="H418">IFERROR(VLOOKUP(B418,ADP!A1:F671,6,FALSE)/1000000,VLOOKUP(B418,ADP!A1:F671,6,FALSE))</f>
        <v>4</v>
      </c>
      <c r="I418" s="52">
        <f>IF(Settings!$E$15="POINTS",((R418*Q418)*Settings!$B$12)+(S418*Settings!$B$2)+(T418*Settings!$B$3)+(U418*Settings!$B$4)+(V418*Settings!$B$5)+(X418*Settings!$B$9)+(AA418*Settings!$B$6)+(W418*Settings!$B$8)+(AB418*Settings!$B$7)+(AC418*Settings!$B$14)+(AD418*Settings!$B$15)+(AE418*Settings!$B$16)+(AF418*Settings!$B$17)+(AG418*Settings!$B$18)+(U418*Settings!$B$13)+(Y418*Settings!$B$10)+(Z418*Settings!$B$11),VLOOKUP(B418,'Standard Deviations'!A$1:C$672,3,FALSE))</f>
        <v>118.11283201371484</v>
      </c>
      <c r="J418" s="53" cm="1">
        <f t="array" ref="J418">IF(D418="G",I418/AJ418,I418/Q418)</f>
        <v>1.6000112708441458</v>
      </c>
      <c r="K418" s="52" cm="1">
        <f t="array" ref="K418">VLOOKUP(B418,D!A1:F204,6,FALSE)</f>
        <v>-188.54103533087923</v>
      </c>
      <c r="L418" s="54" cm="1">
        <f t="array" ref="L418">IFERROR(K418/H418,"N/A")</f>
        <v>-47.135258832719806</v>
      </c>
      <c r="M418" s="85" t="s">
        <v>832</v>
      </c>
      <c r="N418" s="85" t="str" cm="1">
        <f t="array" ref="N418">IFERROR(M418-A418,"N/A")</f>
        <v>N/A</v>
      </c>
      <c r="O418" s="55"/>
      <c r="P418" s="56" t="str" cm="1">
        <f t="array" ref="P418">_xlfn.XLOOKUP($B418,ADP!A2:A671,ADP!G2:G671)</f>
        <v xml:space="preserve"> </v>
      </c>
      <c r="Q418" s="57" cm="1">
        <f t="array" ref="Q418">IF(Settings!$E$12="YES",VLOOKUP(B418,'Player Data'!A1:E673,5,FALSE),84)</f>
        <v>73.819999999999993</v>
      </c>
      <c r="R418" s="55" cm="1">
        <f t="array" ref="R418">VLOOKUP(B418,'Player Data'!$A1:$AE673,6,FALSE)</f>
        <v>16.861427442918298</v>
      </c>
      <c r="S418" s="57" cm="1">
        <f t="array" ref="S418">VLOOKUP(B418,'Player Data'!$A1:$AE673,7,FALSE)*$Q418*IFERROR((VLOOKUP(P418,Settings!$E$28:$F$33,2,FALSE)+1),1)</f>
        <v>1.9040231882040974</v>
      </c>
      <c r="T418" s="57" cm="1">
        <f t="array" ref="T418">VLOOKUP(B418,'Player Data'!$A1:$AE673,8,FALSE)*$Q418*IFERROR((VLOOKUP(P418,Settings!$E$28:$F$33,2,FALSE)+1),1)</f>
        <v>9.381947608033073</v>
      </c>
      <c r="U418" s="57" cm="1">
        <f t="array" ref="U418">SUM(S418:T418)</f>
        <v>11.285970796237171</v>
      </c>
      <c r="V418" s="57" cm="1">
        <f t="array" ref="V418">VLOOKUP(B418,'Player Data'!$A1:$AE673,10,FALSE)*$Q418*IFERROR(((VLOOKUP(P418,Settings!$E$28:$F$33,2,FALSE)/2)+1),1)</f>
        <v>71.268868071751541</v>
      </c>
      <c r="W418" s="57" cm="1">
        <f t="array" ref="W418">VLOOKUP(B418,'Player Data'!$A1:$AE673,11,FALSE)*$Q418*IFERROR((VLOOKUP(P418,Settings!$E$28:$F$33,2,FALSE)+1),1)</f>
        <v>2.9898719134501032E-3</v>
      </c>
      <c r="X418" s="57" cm="1">
        <f t="array" ref="X418">VLOOKUP(B418,'Player Data'!$A1:$AE673,12,FALSE)*$Q418*IFERROR((VLOOKUP(P418,Settings!$E$28:$F$33,2,FALSE)+1),1)</f>
        <v>2.9572971330455219E-2</v>
      </c>
      <c r="Y418" s="57" cm="1">
        <f t="array" ref="Y418">VLOOKUP(B418,'Player Data'!$A1:$AE673,13,FALSE)*$Q418</f>
        <v>9.9015649976851843E-3</v>
      </c>
      <c r="Z418" s="57" cm="1">
        <f t="array" ref="Z418">VLOOKUP(B418,'Player Data'!$A1:$AE673,14,FALSE)*$Q418</f>
        <v>8.9168019080218153E-2</v>
      </c>
      <c r="AA418" s="57" cm="1">
        <f t="array" ref="AA418">VLOOKUP(B418,'Player Data'!$A1:$AE673,15,FALSE)*$Q418</f>
        <v>97.003489197433765</v>
      </c>
      <c r="AB418" s="57" cm="1">
        <f t="array" ref="AB418">VLOOKUP(B418,'Player Data'!$A1:$AE673,16,FALSE)*$Q418</f>
        <v>224.32080082834878</v>
      </c>
      <c r="AC418" s="57" cm="1">
        <f t="array" ref="AC418">VLOOKUP(B418,'Player Data'!$A1:$AE673,17,FALSE)*$Q418*IFERROR((VLOOKUP(P418,Settings!$E$28:$F$33,2,FALSE)+1),1)</f>
        <v>2.2008591155668582</v>
      </c>
      <c r="AD418" s="57" cm="1">
        <f t="array" ref="AD418">VLOOKUP(B418,'Player Data'!$A1:$AE673,18,FALSE)*$Q418</f>
        <v>71.617381292243522</v>
      </c>
      <c r="AE418" s="57" cm="1">
        <f t="array" ref="AE418">VLOOKUP(B418,'Player Data'!$A1:$AE673,19,FALSE)*$Q418*IFERROR((VLOOKUP(P418,Settings!$E$28:$F$33,2,FALSE)+1),1)</f>
        <v>0.36324465500143466</v>
      </c>
      <c r="AF418" s="57" cm="1">
        <f t="array" ref="AF418">VLOOKUP(B418,'Player Data'!$A1:$AE673,20,FALSE)*$Q418</f>
        <v>0</v>
      </c>
      <c r="AG418" s="57" cm="1">
        <f t="array" ref="AG418">VLOOKUP(B418,'Player Data'!$A1:$AE673,21,FALSE)*$Q418</f>
        <v>0</v>
      </c>
      <c r="AH418" s="59" cm="1">
        <f t="array" ref="AH418">VLOOKUP(B418,'Player Data'!$A1:$AE673,22,FALSE)</f>
        <v>0</v>
      </c>
      <c r="AI418" s="55"/>
      <c r="AJ418" s="57"/>
      <c r="AK418" s="57"/>
      <c r="AL418" s="57"/>
      <c r="AM418" s="57"/>
      <c r="AN418" s="57"/>
      <c r="AO418" s="57"/>
      <c r="AP418" s="57"/>
      <c r="AQ418" s="60"/>
      <c r="AR418" s="61"/>
      <c r="AS418" s="55"/>
    </row>
    <row r="419" spans="1:45" ht="21.25" customHeight="1" x14ac:dyDescent="0.15">
      <c r="A419" s="62">
        <f t="shared" si="6"/>
        <v>418</v>
      </c>
      <c r="B419" s="10" t="s">
        <v>547</v>
      </c>
      <c r="C419" s="47" t="s">
        <v>147</v>
      </c>
      <c r="D419" s="48" t="str" cm="1">
        <f t="array" ref="D419">VLOOKUP(B419,'Player Data'!A1:D673,4,FALSE)</f>
        <v>D</v>
      </c>
      <c r="E419" s="68" cm="1">
        <f t="array" ref="E419">VLOOKUP(B419,D!A1:C204,3,FALSE)</f>
        <v>174</v>
      </c>
      <c r="F419" s="70" t="str" cm="1">
        <f t="array" ref="F419">VLOOKUP(B419,'Player Data'!A1:B673,2,FALSE)</f>
        <v>MIN</v>
      </c>
      <c r="G419" s="66" cm="1">
        <f t="array" ref="G419">VLOOKUP(B419,'Player Data'!A1:D673,3,FALSE)</f>
        <v>32</v>
      </c>
      <c r="H419" s="51" cm="1">
        <f t="array" ref="H419">IFERROR(VLOOKUP(B419,ADP!A1:F671,6,FALSE)/1000000,VLOOKUP(B419,ADP!A1:F671,6,FALSE))</f>
        <v>3.5</v>
      </c>
      <c r="I419" s="52">
        <f>IF(Settings!$E$15="POINTS",((R419*Q419)*Settings!$B$12)+(S419*Settings!$B$2)+(T419*Settings!$B$3)+(U419*Settings!$B$4)+(V419*Settings!$B$5)+(X419*Settings!$B$9)+(AA419*Settings!$B$6)+(W419*Settings!$B$8)+(AB419*Settings!$B$7)+(AC419*Settings!$B$14)+(AD419*Settings!$B$15)+(AE419*Settings!$B$16)+(AF419*Settings!$B$17)+(AG419*Settings!$B$18)+(U419*Settings!$B$13)+(Y419*Settings!$B$10)+(Z419*Settings!$B$11),VLOOKUP(B419,'Standard Deviations'!A$1:C$672,3,FALSE))</f>
        <v>117.72229123455921</v>
      </c>
      <c r="J419" s="53" cm="1">
        <f t="array" ref="J419">IF(D419="G",I419/AJ419,I419/Q419)</f>
        <v>1.5608895682121349</v>
      </c>
      <c r="K419" s="52" cm="1">
        <f t="array" ref="K419">VLOOKUP(B419,D!A1:F204,6,FALSE)</f>
        <v>-188.93157611003485</v>
      </c>
      <c r="L419" s="54" cm="1">
        <f t="array" ref="L419">IFERROR(K419/H419,"N/A")</f>
        <v>-53.980450317152815</v>
      </c>
      <c r="M419" s="85" t="s">
        <v>832</v>
      </c>
      <c r="N419" s="85" t="str" cm="1">
        <f t="array" ref="N419">IFERROR(M419-A419,"N/A")</f>
        <v>N/A</v>
      </c>
      <c r="O419" s="55"/>
      <c r="P419" s="56" t="str" cm="1">
        <f t="array" ref="P419">_xlfn.XLOOKUP($B419,ADP!A2:A671,ADP!G2:G671)</f>
        <v xml:space="preserve"> </v>
      </c>
      <c r="Q419" s="57" cm="1">
        <f t="array" ref="Q419">IF(Settings!$E$12="YES",VLOOKUP(B419,'Player Data'!A1:E673,5,FALSE),84)</f>
        <v>75.42</v>
      </c>
      <c r="R419" s="84" cm="1">
        <f t="array" ref="R419">VLOOKUP(B419,'Player Data'!$A1:$AE673,6,FALSE)</f>
        <v>15.818526420807199</v>
      </c>
      <c r="S419" s="57" cm="1">
        <f t="array" ref="S419">VLOOKUP(B419,'Player Data'!$A1:$AE673,7,FALSE)*$Q419*IFERROR((VLOOKUP(P419,Settings!$E$28:$F$33,2,FALSE)+1),1)</f>
        <v>1.471076535797897</v>
      </c>
      <c r="T419" s="57" cm="1">
        <f t="array" ref="T419">VLOOKUP(B419,'Player Data'!$A1:$AE673,8,FALSE)*$Q419*IFERROR((VLOOKUP(P419,Settings!$E$28:$F$33,2,FALSE)+1),1)</f>
        <v>13.906865734641549</v>
      </c>
      <c r="U419" s="57" cm="1">
        <f t="array" ref="U419">SUM(S419:T419)</f>
        <v>15.377942270439446</v>
      </c>
      <c r="V419" s="57" cm="1">
        <f t="array" ref="V419">VLOOKUP(B419,'Player Data'!$A1:$AE673,10,FALSE)*$Q419*IFERROR(((VLOOKUP(P419,Settings!$E$28:$F$33,2,FALSE)/2)+1),1)</f>
        <v>49.219960426141313</v>
      </c>
      <c r="W419" s="57" cm="1">
        <f t="array" ref="W419">VLOOKUP(B419,'Player Data'!$A1:$AE673,11,FALSE)*$Q419*IFERROR((VLOOKUP(P419,Settings!$E$28:$F$33,2,FALSE)+1),1)</f>
        <v>4.5427666923611321E-3</v>
      </c>
      <c r="X419" s="57" cm="1">
        <f t="array" ref="X419">VLOOKUP(B419,'Player Data'!$A1:$AE673,12,FALSE)*$Q419*IFERROR((VLOOKUP(P419,Settings!$E$28:$F$33,2,FALSE)+1),1)</f>
        <v>5.8365984510602056E-2</v>
      </c>
      <c r="Y419" s="57" cm="1">
        <f t="array" ref="Y419">VLOOKUP(B419,'Player Data'!$A1:$AE673,13,FALSE)*$Q419</f>
        <v>7.2839498144159718E-3</v>
      </c>
      <c r="Z419" s="57" cm="1">
        <f t="array" ref="Z419">VLOOKUP(B419,'Player Data'!$A1:$AE673,14,FALSE)*$Q419</f>
        <v>4.1842206366021775E-2</v>
      </c>
      <c r="AA419" s="57" cm="1">
        <f t="array" ref="AA419">VLOOKUP(B419,'Player Data'!$A1:$AE673,15,FALSE)*$Q419</f>
        <v>93.756552038587188</v>
      </c>
      <c r="AB419" s="57" cm="1">
        <f t="array" ref="AB419">VLOOKUP(B419,'Player Data'!$A1:$AE673,16,FALSE)*$Q419</f>
        <v>35.150224490304922</v>
      </c>
      <c r="AC419" s="57" cm="1">
        <f t="array" ref="AC419">VLOOKUP(B419,'Player Data'!$A1:$AE673,17,FALSE)*$Q419*IFERROR((VLOOKUP(P419,Settings!$E$28:$F$33,2,FALSE)+1),1)</f>
        <v>1.9422059992826066</v>
      </c>
      <c r="AD419" s="57" cm="1">
        <f t="array" ref="AD419">VLOOKUP(B419,'Player Data'!$A1:$AE673,18,FALSE)*$Q419</f>
        <v>15.42773180983969</v>
      </c>
      <c r="AE419" s="57" cm="1">
        <f t="array" ref="AE419">VLOOKUP(B419,'Player Data'!$A1:$AE673,19,FALSE)*$Q419*IFERROR((VLOOKUP(P419,Settings!$E$28:$F$33,2,FALSE)+1),1)</f>
        <v>0.2396155585122694</v>
      </c>
      <c r="AF419" s="57" cm="1">
        <f t="array" ref="AF419">VLOOKUP(B419,'Player Data'!$A1:$AE673,20,FALSE)*$Q419</f>
        <v>0</v>
      </c>
      <c r="AG419" s="57" cm="1">
        <f t="array" ref="AG419">VLOOKUP(B419,'Player Data'!$A1:$AE673,21,FALSE)*$Q419</f>
        <v>0</v>
      </c>
      <c r="AH419" s="59" cm="1">
        <f t="array" ref="AH419">VLOOKUP(B419,'Player Data'!$A1:$AE673,22,FALSE)</f>
        <v>0</v>
      </c>
      <c r="AI419" s="55"/>
      <c r="AJ419" s="57"/>
      <c r="AK419" s="57"/>
      <c r="AL419" s="57"/>
      <c r="AM419" s="57"/>
      <c r="AN419" s="57"/>
      <c r="AO419" s="57"/>
      <c r="AP419" s="57"/>
      <c r="AQ419" s="60"/>
      <c r="AR419" s="61"/>
      <c r="AS419" s="55"/>
    </row>
    <row r="420" spans="1:45" ht="21.25" customHeight="1" x14ac:dyDescent="0.15">
      <c r="A420" s="62">
        <f t="shared" si="6"/>
        <v>419</v>
      </c>
      <c r="B420" s="10" t="s">
        <v>548</v>
      </c>
      <c r="C420" s="47" t="s">
        <v>147</v>
      </c>
      <c r="D420" s="48" t="str" cm="1">
        <f t="array" ref="D420">VLOOKUP(B420,'Player Data'!A1:D673,4,FALSE)</f>
        <v>C</v>
      </c>
      <c r="E420" s="49" cm="1">
        <f t="array" ref="E420">VLOOKUP(B420,'C'!A1:C210,3,FALSE)</f>
        <v>103</v>
      </c>
      <c r="F420" s="73" t="str" cm="1">
        <f t="array" ref="F420">VLOOKUP(B420,'Player Data'!A1:B673,2,FALSE)</f>
        <v>BUF</v>
      </c>
      <c r="G420" s="71" cm="1">
        <f t="array" ref="G420">VLOOKUP(B420,'Player Data'!A1:D673,3,FALSE)</f>
        <v>22</v>
      </c>
      <c r="H420" s="51" cm="1">
        <f t="array" ref="H420">IFERROR(VLOOKUP(B420,ADP!A1:F671,6,FALSE)/1000000,VLOOKUP(B420,ADP!A1:F671,6,FALSE))</f>
        <v>0.88666699999999998</v>
      </c>
      <c r="I420" s="52">
        <f>IF(Settings!$E$15="POINTS",((R420*Q420)*Settings!$B$12)+(S420*Settings!$B$2)+(T420*Settings!$B$3)+(U420*Settings!$B$4)+(V420*Settings!$B$5)+(X420*Settings!$B$9)+(AA420*Settings!$B$6)+(W420*Settings!$B$8)+(AB420*Settings!$B$7)+(AC420*Settings!$B$14)+(AD420*Settings!$B$15)+(AE420*Settings!$B$16)+(AF420*Settings!$B$17)+(AG420*Settings!$B$18)+(Y420*Settings!$B$10)+(Z420*Settings!$B$11),VLOOKUP(B420,'Standard Deviations'!A$1:C$672,3,FALSE))</f>
        <v>197.58341814985567</v>
      </c>
      <c r="J420" s="53" cm="1">
        <f t="array" ref="J420">IF(D420="G",I420/AJ420,I420/Q420)</f>
        <v>2.9642700195012477</v>
      </c>
      <c r="K420" s="52" cm="1">
        <f t="array" ref="K420">IF(Settings!$E$18="C/LW/RW",VLOOKUP(B420,'C'!A1:F210,6,FALSE),VLOOKUP(B420,F!A1:F407,6,FALSE))</f>
        <v>-188.95178824322733</v>
      </c>
      <c r="L420" s="54" cm="1">
        <f t="array" ref="L420">IFERROR(K420/H420,"N/A")</f>
        <v>-213.10344046099306</v>
      </c>
      <c r="M420" s="85" t="s">
        <v>832</v>
      </c>
      <c r="N420" s="85" t="str" cm="1">
        <f t="array" ref="N420">IFERROR(M420-A420,"N/A")</f>
        <v>N/A</v>
      </c>
      <c r="O420" s="55"/>
      <c r="P420" s="56" t="str" cm="1">
        <f t="array" ref="P420">_xlfn.XLOOKUP($B420,ADP!A2:A671,ADP!G2:G671)</f>
        <v xml:space="preserve"> </v>
      </c>
      <c r="Q420" s="57" cm="1">
        <f t="array" ref="Q420">IF(Settings!$E$12="YES",VLOOKUP(B420,'Player Data'!A1:E673,5,FALSE),84)</f>
        <v>66.655000000000001</v>
      </c>
      <c r="R420" s="55" cm="1">
        <f t="array" ref="R420">VLOOKUP(B420,'Player Data'!$A1:$AE673,6,FALSE)</f>
        <v>16.1621125201601</v>
      </c>
      <c r="S420" s="57" cm="1">
        <f t="array" ref="S420">VLOOKUP(B420,'Player Data'!$A1:$AE673,7,FALSE)*$Q420*IFERROR((VLOOKUP(P420,Settings!$E$28:$F$33,2,FALSE)+1),1)</f>
        <v>18.462432457178437</v>
      </c>
      <c r="T420" s="57" cm="1">
        <f t="array" ref="T420">VLOOKUP(B420,'Player Data'!$A1:$AE673,8,FALSE)*$Q420*IFERROR((VLOOKUP(P420,Settings!$E$28:$F$33,2,FALSE)+1),1)</f>
        <v>16.240105790307005</v>
      </c>
      <c r="U420" s="57" cm="1">
        <f t="array" ref="U420">SUM(S420:T420)</f>
        <v>34.702538247485442</v>
      </c>
      <c r="V420" s="57" cm="1">
        <f t="array" ref="V420">VLOOKUP(B420,'Player Data'!$A1:$AE673,10,FALSE)*$Q420*IFERROR(((VLOOKUP(P420,Settings!$E$28:$F$33,2,FALSE)/2)+1),1)</f>
        <v>137.00628029588782</v>
      </c>
      <c r="W420" s="57" cm="1">
        <f t="array" ref="W420">VLOOKUP(B420,'Player Data'!$A1:$AE673,11,FALSE)*$Q420*IFERROR((VLOOKUP(P420,Settings!$E$28:$F$33,2,FALSE)+1),1)</f>
        <v>1.0438543284272177</v>
      </c>
      <c r="X420" s="57" cm="1">
        <f t="array" ref="X420">VLOOKUP(B420,'Player Data'!$A1:$AE673,12,FALSE)*$Q420*IFERROR((VLOOKUP(P420,Settings!$E$28:$F$33,2,FALSE)+1),1)</f>
        <v>2.6421872839758027</v>
      </c>
      <c r="Y420" s="57" cm="1">
        <f t="array" ref="Y420">VLOOKUP(B420,'Player Data'!$A1:$AE673,13,FALSE)*$Q420</f>
        <v>6.0642523556570524E-3</v>
      </c>
      <c r="Z420" s="57" cm="1">
        <f t="array" ref="Z420">VLOOKUP(B420,'Player Data'!$A1:$AE673,14,FALSE)*$Q420</f>
        <v>1.0027758131414224E-2</v>
      </c>
      <c r="AA420" s="57" cm="1">
        <f t="array" ref="AA420">VLOOKUP(B420,'Player Data'!$A1:$AE673,15,FALSE)*$Q420</f>
        <v>44.640896434696451</v>
      </c>
      <c r="AB420" s="57" cm="1">
        <f t="array" ref="AB420">VLOOKUP(B420,'Player Data'!$A1:$AE673,16,FALSE)*$Q420</f>
        <v>52.325492905341733</v>
      </c>
      <c r="AC420" s="57" cm="1">
        <f t="array" ref="AC420">VLOOKUP(B420,'Player Data'!$A1:$AE673,17,FALSE)*$Q420*IFERROR((VLOOKUP(P420,Settings!$E$28:$F$33,2,FALSE)+1),1)</f>
        <v>0.71128496934561636</v>
      </c>
      <c r="AD420" s="57" cm="1">
        <f t="array" ref="AD420">VLOOKUP(B420,'Player Data'!$A1:$AE673,18,FALSE)*$Q420</f>
        <v>23.692627288001155</v>
      </c>
      <c r="AE420" s="57" cm="1">
        <f t="array" ref="AE420">VLOOKUP(B420,'Player Data'!$A1:$AE673,19,FALSE)*$Q420*IFERROR((VLOOKUP(P420,Settings!$E$28:$F$33,2,FALSE)+1),1)</f>
        <v>2.7835805748529849</v>
      </c>
      <c r="AF420" s="57" cm="1">
        <f t="array" ref="AF420">VLOOKUP(B420,'Player Data'!$A1:$AE673,20,FALSE)*$Q420</f>
        <v>342.05673889136085</v>
      </c>
      <c r="AG420" s="57" cm="1">
        <f t="array" ref="AG420">VLOOKUP(B420,'Player Data'!$A1:$AE673,21,FALSE)*$Q420</f>
        <v>429.48250029382882</v>
      </c>
      <c r="AH420" s="59" cm="1">
        <f t="array" ref="AH420">VLOOKUP(B420,'Player Data'!$A1:$AE673,22,FALSE)</f>
        <v>0.44334328251742799</v>
      </c>
      <c r="AI420" s="55"/>
      <c r="AJ420" s="57"/>
      <c r="AK420" s="57"/>
      <c r="AL420" s="57"/>
      <c r="AM420" s="57"/>
      <c r="AN420" s="57"/>
      <c r="AO420" s="57"/>
      <c r="AP420" s="57"/>
      <c r="AQ420" s="60"/>
      <c r="AR420" s="61"/>
      <c r="AS420" s="55"/>
    </row>
    <row r="421" spans="1:45" ht="21.25" customHeight="1" x14ac:dyDescent="0.15">
      <c r="A421" s="62">
        <f t="shared" si="6"/>
        <v>420</v>
      </c>
      <c r="B421" s="10" t="s">
        <v>549</v>
      </c>
      <c r="C421" s="47" t="s">
        <v>147</v>
      </c>
      <c r="D421" s="48" t="str" cm="1">
        <f t="array" ref="D421">VLOOKUP(B421,'Player Data'!A1:D673,4,FALSE)</f>
        <v>D</v>
      </c>
      <c r="E421" s="68" cm="1">
        <f t="array" ref="E421">VLOOKUP(B421,D!A1:C204,3,FALSE)</f>
        <v>175</v>
      </c>
      <c r="F421" s="63" t="str" cm="1">
        <f t="array" ref="F421">VLOOKUP(B421,'Player Data'!A1:B673,2,FALSE)</f>
        <v>WPG</v>
      </c>
      <c r="G421" s="71" cm="1">
        <f t="array" ref="G421">VLOOKUP(B421,'Player Data'!A1:D673,3,FALSE)</f>
        <v>21</v>
      </c>
      <c r="H421" s="51" cm="1">
        <f t="array" ref="H421">IFERROR(VLOOKUP(B421,ADP!A1:F671,6,FALSE)/1000000,VLOOKUP(B421,ADP!A1:F671,6,FALSE))</f>
        <v>0.86499999999999999</v>
      </c>
      <c r="I421" s="52">
        <f>IF(Settings!$E$15="POINTS",((R421*Q421)*Settings!$B$12)+(S421*Settings!$B$2)+(T421*Settings!$B$3)+(U421*Settings!$B$4)+(V421*Settings!$B$5)+(X421*Settings!$B$9)+(AA421*Settings!$B$6)+(W421*Settings!$B$8)+(AB421*Settings!$B$7)+(AC421*Settings!$B$14)+(AD421*Settings!$B$15)+(AE421*Settings!$B$16)+(AF421*Settings!$B$17)+(AG421*Settings!$B$18)+(U421*Settings!$B$13)+(Y421*Settings!$B$10)+(Z421*Settings!$B$11),VLOOKUP(B421,'Standard Deviations'!A$1:C$672,3,FALSE))</f>
        <v>116.11972026790505</v>
      </c>
      <c r="J421" s="53" cm="1">
        <f t="array" ref="J421">IF(D421="G",I421/AJ421,I421/Q421)</f>
        <v>1.569185409025744</v>
      </c>
      <c r="K421" s="52" cm="1">
        <f t="array" ref="K421">VLOOKUP(B421,D!A1:F204,6,FALSE)</f>
        <v>-190.53414707668901</v>
      </c>
      <c r="L421" s="54" cm="1">
        <f t="array" ref="L421">IFERROR(K421/H421,"N/A")</f>
        <v>-220.27069026206823</v>
      </c>
      <c r="M421" s="85" t="s">
        <v>832</v>
      </c>
      <c r="N421" s="85" t="str" cm="1">
        <f t="array" ref="N421">IFERROR(M421-A421,"N/A")</f>
        <v>N/A</v>
      </c>
      <c r="O421" s="55"/>
      <c r="P421" s="56" t="str" cm="1">
        <f t="array" ref="P421">_xlfn.XLOOKUP($B421,ADP!A2:A671,ADP!G2:G671)</f>
        <v xml:space="preserve"> </v>
      </c>
      <c r="Q421" s="57" cm="1">
        <f t="array" ref="Q421">IF(Settings!$E$12="YES",VLOOKUP(B421,'Player Data'!A1:E673,5,FALSE),84)</f>
        <v>74</v>
      </c>
      <c r="R421" s="84" cm="1">
        <f t="array" ref="R421">VLOOKUP(B421,'Player Data'!$A1:$AE673,6,FALSE)</f>
        <v>16.072124150215</v>
      </c>
      <c r="S421" s="57" cm="1">
        <f t="array" ref="S421">VLOOKUP(B421,'Player Data'!$A1:$AE673,7,FALSE)*$Q421*IFERROR((VLOOKUP(P421,Settings!$E$28:$F$33,2,FALSE)+1),1)</f>
        <v>2.9848811870838303</v>
      </c>
      <c r="T421" s="57" cm="1">
        <f t="array" ref="T421">VLOOKUP(B421,'Player Data'!$A1:$AE673,8,FALSE)*$Q421*IFERROR((VLOOKUP(P421,Settings!$E$28:$F$33,2,FALSE)+1),1)</f>
        <v>10.759421910512645</v>
      </c>
      <c r="U421" s="57" cm="1">
        <f t="array" ref="U421">SUM(S421:T421)</f>
        <v>13.744303097596475</v>
      </c>
      <c r="V421" s="57" cm="1">
        <f t="array" ref="V421">VLOOKUP(B421,'Player Data'!$A1:$AE673,10,FALSE)*$Q421*IFERROR(((VLOOKUP(P421,Settings!$E$28:$F$33,2,FALSE)/2)+1),1)</f>
        <v>75.66660983418177</v>
      </c>
      <c r="W421" s="57" cm="1">
        <f t="array" ref="W421">VLOOKUP(B421,'Player Data'!$A1:$AE673,11,FALSE)*$Q421*IFERROR((VLOOKUP(P421,Settings!$E$28:$F$33,2,FALSE)+1),1)</f>
        <v>0.1082415198470499</v>
      </c>
      <c r="X421" s="57" cm="1">
        <f t="array" ref="X421">VLOOKUP(B421,'Player Data'!$A1:$AE673,12,FALSE)*$Q421*IFERROR((VLOOKUP(P421,Settings!$E$28:$F$33,2,FALSE)+1),1)</f>
        <v>1.2896655008035762</v>
      </c>
      <c r="Y421" s="57" cm="1">
        <f t="array" ref="Y421">VLOOKUP(B421,'Player Data'!$A1:$AE673,13,FALSE)*$Q421</f>
        <v>4.7936338769956947E-2</v>
      </c>
      <c r="Z421" s="57" cm="1">
        <f t="array" ref="Z421">VLOOKUP(B421,'Player Data'!$A1:$AE673,14,FALSE)*$Q421</f>
        <v>0.16335028085130443</v>
      </c>
      <c r="AA421" s="57" cm="1">
        <f t="array" ref="AA421">VLOOKUP(B421,'Player Data'!$A1:$AE673,15,FALSE)*$Q421</f>
        <v>71.200980552739708</v>
      </c>
      <c r="AB421" s="57" cm="1">
        <f t="array" ref="AB421">VLOOKUP(B421,'Player Data'!$A1:$AE673,16,FALSE)*$Q421</f>
        <v>91.10547509215904</v>
      </c>
      <c r="AC421" s="57" cm="1">
        <f t="array" ref="AC421">VLOOKUP(B421,'Player Data'!$A1:$AE673,17,FALSE)*$Q421*IFERROR((VLOOKUP(P421,Settings!$E$28:$F$33,2,FALSE)+1),1)</f>
        <v>1.0423320415294683</v>
      </c>
      <c r="AD421" s="57" cm="1">
        <f t="array" ref="AD421">VLOOKUP(B421,'Player Data'!$A1:$AE673,18,FALSE)*$Q421</f>
        <v>26.750259475520117</v>
      </c>
      <c r="AE421" s="57" cm="1">
        <f t="array" ref="AE421">VLOOKUP(B421,'Player Data'!$A1:$AE673,19,FALSE)*$Q421*IFERROR((VLOOKUP(P421,Settings!$E$28:$F$33,2,FALSE)+1),1)</f>
        <v>0.51868207130502098</v>
      </c>
      <c r="AF421" s="57" cm="1">
        <f t="array" ref="AF421">VLOOKUP(B421,'Player Data'!$A1:$AE673,20,FALSE)*$Q421</f>
        <v>0</v>
      </c>
      <c r="AG421" s="57" cm="1">
        <f t="array" ref="AG421">VLOOKUP(B421,'Player Data'!$A1:$AE673,21,FALSE)*$Q421</f>
        <v>0</v>
      </c>
      <c r="AH421" s="59" cm="1">
        <f t="array" ref="AH421">VLOOKUP(B421,'Player Data'!$A1:$AE673,22,FALSE)</f>
        <v>0</v>
      </c>
      <c r="AI421" s="55"/>
      <c r="AJ421" s="57"/>
      <c r="AK421" s="57"/>
      <c r="AL421" s="57"/>
      <c r="AM421" s="57"/>
      <c r="AN421" s="57"/>
      <c r="AO421" s="57"/>
      <c r="AP421" s="57"/>
      <c r="AQ421" s="60"/>
      <c r="AR421" s="61"/>
      <c r="AS421" s="55"/>
    </row>
    <row r="422" spans="1:45" ht="21.25" customHeight="1" x14ac:dyDescent="0.15">
      <c r="A422" s="62">
        <f t="shared" si="6"/>
        <v>421</v>
      </c>
      <c r="B422" s="10" t="s">
        <v>550</v>
      </c>
      <c r="C422" s="47" t="s">
        <v>147</v>
      </c>
      <c r="D422" s="48" t="str" cm="1">
        <f t="array" ref="D422">VLOOKUP(B422,'Player Data'!A1:D673,4,FALSE)</f>
        <v>LW,RW</v>
      </c>
      <c r="E422" s="74" cm="1">
        <f t="array" ref="E422">VLOOKUP(B422,RW!A1:F210,3,FALSE)</f>
        <v>113</v>
      </c>
      <c r="F422" s="69" t="str" cm="1">
        <f t="array" ref="F422">VLOOKUP(B422,'Player Data'!A1:B673,2,FALSE)</f>
        <v>N.J</v>
      </c>
      <c r="G422" s="11" cm="1">
        <f t="array" ref="G422">VLOOKUP(B422,'Player Data'!A1:D673,3,FALSE)</f>
        <v>25</v>
      </c>
      <c r="H422" s="51" cm="1">
        <f t="array" ref="H422">IFERROR(VLOOKUP(B422,ADP!A1:F671,6,FALSE)/1000000,VLOOKUP(B422,ADP!A1:F671,6,FALSE))</f>
        <v>3.25</v>
      </c>
      <c r="I422" s="52">
        <f>IF(Settings!$E$15="POINTS",((R422*Q422)*Settings!$B$12)+(S422*Settings!$B$2)+(T422*Settings!$B$3)+(U422*Settings!$B$4)+(V422*Settings!$B$5)+(X422*Settings!$B$9)+(AA422*Settings!$B$6)+(W422*Settings!$B$8)+(AB422*Settings!$B$7)+(AC422*Settings!$B$14)+(AD422*Settings!$B$15)+(AE422*Settings!$B$16)+(AF422*Settings!$B$17)+(AG422*Settings!$B$18)+(Y422*Settings!$B$10)+(Z422*Settings!$B$11),VLOOKUP(B422,'Standard Deviations'!A$1:C$672,3,FALSE))</f>
        <v>204.09445091209429</v>
      </c>
      <c r="J422" s="53" cm="1">
        <f t="array" ref="J422">IF(D422="G",I422/AJ422,I422/Q422)</f>
        <v>2.6372199368406033</v>
      </c>
      <c r="K422" s="52" cm="1">
        <f t="array" ref="K422">IF(Settings!$E$18="C/LW/RW",VLOOKUP(B422,RW!A1:F210,6,FALSE),VLOOKUP(B422,F!A1:F407,6,FALSE))</f>
        <v>-190.84901378146319</v>
      </c>
      <c r="L422" s="54" cm="1">
        <f t="array" ref="L422">IFERROR(K422/H422,"N/A")</f>
        <v>-58.72277347121944</v>
      </c>
      <c r="M422" s="85" t="s">
        <v>832</v>
      </c>
      <c r="N422" s="85" t="str" cm="1">
        <f t="array" ref="N422">IFERROR(M422-A422,"N/A")</f>
        <v>N/A</v>
      </c>
      <c r="O422" s="55"/>
      <c r="P422" s="56" t="str" cm="1">
        <f t="array" ref="P422">_xlfn.XLOOKUP($B422,ADP!A2:A671,ADP!G2:G671)</f>
        <v>+</v>
      </c>
      <c r="Q422" s="57" cm="1">
        <f t="array" ref="Q422">IF(Settings!$E$12="YES",VLOOKUP(B422,'Player Data'!A1:E673,5,FALSE),84)</f>
        <v>77.39</v>
      </c>
      <c r="R422" s="55" cm="1">
        <f t="array" ref="R422">VLOOKUP(B422,'Player Data'!$A1:$AE673,6,FALSE)</f>
        <v>14.3537363043048</v>
      </c>
      <c r="S422" s="57" cm="1">
        <f t="array" ref="S422">VLOOKUP(B422,'Player Data'!$A1:$AE673,7,FALSE)*$Q422*IFERROR((VLOOKUP(P422,Settings!$E$28:$F$33,2,FALSE)+1),1)</f>
        <v>15.110115107326324</v>
      </c>
      <c r="T422" s="57" cm="1">
        <f t="array" ref="T422">VLOOKUP(B422,'Player Data'!$A1:$AE673,8,FALSE)*$Q422*IFERROR((VLOOKUP(P422,Settings!$E$28:$F$33,2,FALSE)+1),1)</f>
        <v>21.298291593157536</v>
      </c>
      <c r="U422" s="57" cm="1">
        <f t="array" ref="U422">SUM(S422:T422)</f>
        <v>36.408406700483859</v>
      </c>
      <c r="V422" s="57" cm="1">
        <f t="array" ref="V422">VLOOKUP(B422,'Player Data'!$A1:$AE673,10,FALSE)*$Q422*IFERROR(((VLOOKUP(P422,Settings!$E$28:$F$33,2,FALSE)/2)+1),1)</f>
        <v>161.14845414516793</v>
      </c>
      <c r="W422" s="57" cm="1">
        <f t="array" ref="W422">VLOOKUP(B422,'Player Data'!$A1:$AE673,11,FALSE)*$Q422*IFERROR((VLOOKUP(P422,Settings!$E$28:$F$33,2,FALSE)+1),1)</f>
        <v>1.2745646535807102</v>
      </c>
      <c r="X422" s="57" cm="1">
        <f t="array" ref="X422">VLOOKUP(B422,'Player Data'!$A1:$AE673,12,FALSE)*$Q422*IFERROR((VLOOKUP(P422,Settings!$E$28:$F$33,2,FALSE)+1),1)</f>
        <v>2.7267574228497486</v>
      </c>
      <c r="Y422" s="57" cm="1">
        <f t="array" ref="Y422">VLOOKUP(B422,'Player Data'!$A1:$AE673,13,FALSE)*$Q422</f>
        <v>3.482581687573157E-3</v>
      </c>
      <c r="Z422" s="57" cm="1">
        <f t="array" ref="Z422">VLOOKUP(B422,'Player Data'!$A1:$AE673,14,FALSE)*$Q422</f>
        <v>5.7290200215774833E-3</v>
      </c>
      <c r="AA422" s="57" cm="1">
        <f t="array" ref="AA422">VLOOKUP(B422,'Player Data'!$A1:$AE673,15,FALSE)*$Q422</f>
        <v>23.125034590374831</v>
      </c>
      <c r="AB422" s="57" cm="1">
        <f t="array" ref="AB422">VLOOKUP(B422,'Player Data'!$A1:$AE673,16,FALSE)*$Q422</f>
        <v>68.941206918025728</v>
      </c>
      <c r="AC422" s="57" cm="1">
        <f t="array" ref="AC422">VLOOKUP(B422,'Player Data'!$A1:$AE673,17,FALSE)*$Q422*IFERROR((VLOOKUP(P422,Settings!$E$28:$F$33,2,FALSE)+1),1)</f>
        <v>1.1774822024597715</v>
      </c>
      <c r="AD422" s="57" cm="1">
        <f t="array" ref="AD422">VLOOKUP(B422,'Player Data'!$A1:$AE673,18,FALSE)*$Q422</f>
        <v>28.330196325937905</v>
      </c>
      <c r="AE422" s="57" cm="1">
        <f t="array" ref="AE422">VLOOKUP(B422,'Player Data'!$A1:$AE673,19,FALSE)*$Q422*IFERROR((VLOOKUP(P422,Settings!$E$28:$F$33,2,FALSE)+1),1)</f>
        <v>2.2584456992428934</v>
      </c>
      <c r="AF422" s="57" cm="1">
        <f t="array" ref="AF422">VLOOKUP(B422,'Player Data'!$A1:$AE673,20,FALSE)*$Q422</f>
        <v>4.4373521849109521</v>
      </c>
      <c r="AG422" s="57" cm="1">
        <f t="array" ref="AG422">VLOOKUP(B422,'Player Data'!$A1:$AE673,21,FALSE)*$Q422</f>
        <v>9.9840424160495935</v>
      </c>
      <c r="AH422" s="59" cm="1">
        <f t="array" ref="AH422">VLOOKUP(B422,'Player Data'!$A1:$AE673,22,FALSE)</f>
        <v>0.30769230769230799</v>
      </c>
      <c r="AI422" s="55"/>
      <c r="AJ422" s="57"/>
      <c r="AK422" s="57"/>
      <c r="AL422" s="57"/>
      <c r="AM422" s="57"/>
      <c r="AN422" s="57"/>
      <c r="AO422" s="57"/>
      <c r="AP422" s="57"/>
      <c r="AQ422" s="60"/>
      <c r="AR422" s="61"/>
      <c r="AS422" s="55"/>
    </row>
    <row r="423" spans="1:45" ht="21.25" customHeight="1" x14ac:dyDescent="0.15">
      <c r="A423" s="62">
        <f t="shared" si="6"/>
        <v>422</v>
      </c>
      <c r="B423" s="10" t="s">
        <v>551</v>
      </c>
      <c r="C423" s="47" t="s">
        <v>147</v>
      </c>
      <c r="D423" s="48" t="str" cm="1">
        <f t="array" ref="D423">VLOOKUP(B423,'Player Data'!A1:D673,4,FALSE)</f>
        <v>D</v>
      </c>
      <c r="E423" s="68" cm="1">
        <f t="array" ref="E423">VLOOKUP(B423,D!A1:C204,3,FALSE)</f>
        <v>176</v>
      </c>
      <c r="F423" s="63" t="str" cm="1">
        <f t="array" ref="F423">VLOOKUP(B423,'Player Data'!A1:B673,2,FALSE)</f>
        <v>CGY</v>
      </c>
      <c r="G423" s="71" cm="1">
        <f t="array" ref="G423">VLOOKUP(B423,'Player Data'!A1:D673,3,FALSE)</f>
        <v>21</v>
      </c>
      <c r="H423" s="51" cm="1">
        <f t="array" ref="H423">IFERROR(VLOOKUP(B423,ADP!A1:F671,6,FALSE)/1000000,VLOOKUP(B423,ADP!A1:F671,6,FALSE))</f>
        <v>0.95</v>
      </c>
      <c r="I423" s="52">
        <f>IF(Settings!$E$15="POINTS",((R423*Q423)*Settings!$B$12)+(S423*Settings!$B$2)+(T423*Settings!$B$3)+(U423*Settings!$B$4)+(V423*Settings!$B$5)+(X423*Settings!$B$9)+(AA423*Settings!$B$6)+(W423*Settings!$B$8)+(AB423*Settings!$B$7)+(AC423*Settings!$B$14)+(AD423*Settings!$B$15)+(AE423*Settings!$B$16)+(AF423*Settings!$B$17)+(AG423*Settings!$B$18)+(U423*Settings!$B$13)+(Y423*Settings!$B$10)+(Z423*Settings!$B$11),VLOOKUP(B423,'Standard Deviations'!A$1:C$672,3,FALSE))</f>
        <v>115.57260611906064</v>
      </c>
      <c r="J423" s="53" cm="1">
        <f t="array" ref="J423">IF(D423="G",I423/AJ423,I423/Q423)</f>
        <v>1.8027235395267609</v>
      </c>
      <c r="K423" s="52" cm="1">
        <f t="array" ref="K423">VLOOKUP(B423,D!A1:F204,6,FALSE)</f>
        <v>-191.08126122553341</v>
      </c>
      <c r="L423" s="54" cm="1">
        <f t="array" ref="L423">IFERROR(K423/H423,"N/A")</f>
        <v>-201.13816971108781</v>
      </c>
      <c r="M423" s="85" t="s">
        <v>832</v>
      </c>
      <c r="N423" s="85" t="str" cm="1">
        <f t="array" ref="N423">IFERROR(M423-A423,"N/A")</f>
        <v>N/A</v>
      </c>
      <c r="O423" s="55"/>
      <c r="P423" s="56" t="str" cm="1">
        <f t="array" ref="P423">_xlfn.XLOOKUP($B423,ADP!A2:A671,ADP!G2:G671)</f>
        <v xml:space="preserve"> </v>
      </c>
      <c r="Q423" s="57" cm="1">
        <f t="array" ref="Q423">IF(Settings!$E$12="YES",VLOOKUP(B423,'Player Data'!A1:E673,5,FALSE),84)</f>
        <v>64.11</v>
      </c>
      <c r="R423" s="55" cm="1">
        <f t="array" ref="R423">VLOOKUP(B423,'Player Data'!$A1:$AE673,6,FALSE)</f>
        <v>16.8450765653022</v>
      </c>
      <c r="S423" s="57" cm="1">
        <f t="array" ref="S423">VLOOKUP(B423,'Player Data'!$A1:$AE673,7,FALSE)*$Q423*IFERROR((VLOOKUP(P423,Settings!$E$28:$F$33,2,FALSE)+1),1)</f>
        <v>3.8367612648288447</v>
      </c>
      <c r="T423" s="57" cm="1">
        <f t="array" ref="T423">VLOOKUP(B423,'Player Data'!$A1:$AE673,8,FALSE)*$Q423*IFERROR((VLOOKUP(P423,Settings!$E$28:$F$33,2,FALSE)+1),1)</f>
        <v>12.207726467988262</v>
      </c>
      <c r="U423" s="57" cm="1">
        <f t="array" ref="U423">SUM(S423:T423)</f>
        <v>16.044487732817107</v>
      </c>
      <c r="V423" s="57" cm="1">
        <f t="array" ref="V423">VLOOKUP(B423,'Player Data'!$A1:$AE673,10,FALSE)*$Q423*IFERROR(((VLOOKUP(P423,Settings!$E$28:$F$33,2,FALSE)/2)+1),1)</f>
        <v>66.963288292306359</v>
      </c>
      <c r="W423" s="57" cm="1">
        <f t="array" ref="W423">VLOOKUP(B423,'Player Data'!$A1:$AE673,11,FALSE)*$Q423*IFERROR((VLOOKUP(P423,Settings!$E$28:$F$33,2,FALSE)+1),1)</f>
        <v>0.34695839556659031</v>
      </c>
      <c r="X423" s="57" cm="1">
        <f t="array" ref="X423">VLOOKUP(B423,'Player Data'!$A1:$AE673,12,FALSE)*$Q423*IFERROR((VLOOKUP(P423,Settings!$E$28:$F$33,2,FALSE)+1),1)</f>
        <v>3.1064187398330123</v>
      </c>
      <c r="Y423" s="57" cm="1">
        <f t="array" ref="Y423">VLOOKUP(B423,'Player Data'!$A1:$AE673,13,FALSE)*$Q423</f>
        <v>3.9747368564926062E-2</v>
      </c>
      <c r="Z423" s="57" cm="1">
        <f t="array" ref="Z423">VLOOKUP(B423,'Player Data'!$A1:$AE673,14,FALSE)*$Q423</f>
        <v>0.13593094034361553</v>
      </c>
      <c r="AA423" s="57" cm="1">
        <f t="array" ref="AA423">VLOOKUP(B423,'Player Data'!$A1:$AE673,15,FALSE)*$Q423</f>
        <v>61.430298188559014</v>
      </c>
      <c r="AB423" s="57" cm="1">
        <f t="array" ref="AB423">VLOOKUP(B423,'Player Data'!$A1:$AE673,16,FALSE)*$Q423</f>
        <v>59.199363220645637</v>
      </c>
      <c r="AC423" s="57" cm="1">
        <f t="array" ref="AC423">VLOOKUP(B423,'Player Data'!$A1:$AE673,17,FALSE)*$Q423*IFERROR((VLOOKUP(P423,Settings!$E$28:$F$33,2,FALSE)+1),1)</f>
        <v>-5.6999963565902565</v>
      </c>
      <c r="AD423" s="57" cm="1">
        <f t="array" ref="AD423">VLOOKUP(B423,'Player Data'!$A1:$AE673,18,FALSE)*$Q423</f>
        <v>19.678639426194596</v>
      </c>
      <c r="AE423" s="57" cm="1">
        <f t="array" ref="AE423">VLOOKUP(B423,'Player Data'!$A1:$AE673,19,FALSE)*$Q423*IFERROR((VLOOKUP(P423,Settings!$E$28:$F$33,2,FALSE)+1),1)</f>
        <v>0.55163023132220534</v>
      </c>
      <c r="AF423" s="57" cm="1">
        <f t="array" ref="AF423">VLOOKUP(B423,'Player Data'!$A1:$AE673,20,FALSE)*$Q423</f>
        <v>0</v>
      </c>
      <c r="AG423" s="57" cm="1">
        <f t="array" ref="AG423">VLOOKUP(B423,'Player Data'!$A1:$AE673,21,FALSE)*$Q423</f>
        <v>0</v>
      </c>
      <c r="AH423" s="59" cm="1">
        <f t="array" ref="AH423">VLOOKUP(B423,'Player Data'!$A1:$AE673,22,FALSE)</f>
        <v>0</v>
      </c>
      <c r="AI423" s="55"/>
      <c r="AJ423" s="57"/>
      <c r="AK423" s="57"/>
      <c r="AL423" s="57"/>
      <c r="AM423" s="57"/>
      <c r="AN423" s="57"/>
      <c r="AO423" s="57"/>
      <c r="AP423" s="57"/>
      <c r="AQ423" s="60"/>
      <c r="AR423" s="61"/>
      <c r="AS423" s="55"/>
    </row>
    <row r="424" spans="1:45" ht="21.25" customHeight="1" x14ac:dyDescent="0.15">
      <c r="A424" s="62">
        <f t="shared" si="6"/>
        <v>423</v>
      </c>
      <c r="B424" s="10" t="s">
        <v>552</v>
      </c>
      <c r="C424" s="47" t="s">
        <v>147</v>
      </c>
      <c r="D424" s="48" t="str" cm="1">
        <f t="array" ref="D424">VLOOKUP(B424,'Player Data'!A1:D673,4,FALSE)</f>
        <v>D</v>
      </c>
      <c r="E424" s="68" cm="1">
        <f t="array" ref="E424">VLOOKUP(B424,D!A1:C204,3,FALSE)</f>
        <v>177</v>
      </c>
      <c r="F424" s="72" t="str" cm="1">
        <f t="array" ref="F424">VLOOKUP(B424,'Player Data'!A1:B673,2,FALSE)</f>
        <v>FLA</v>
      </c>
      <c r="G424" s="66" cm="1">
        <f t="array" ref="G424">VLOOKUP(B424,'Player Data'!A1:D673,3,FALSE)</f>
        <v>35</v>
      </c>
      <c r="H424" s="51" cm="1">
        <f t="array" ref="H424">IFERROR(VLOOKUP(B424,ADP!A1:F671,6,FALSE)/1000000,VLOOKUP(B424,ADP!A1:F671,6,FALSE))</f>
        <v>1.1519999999999999</v>
      </c>
      <c r="I424" s="52">
        <f>IF(Settings!$E$15="POINTS",((R424*Q424)*Settings!$B$12)+(S424*Settings!$B$2)+(T424*Settings!$B$3)+(U424*Settings!$B$4)+(V424*Settings!$B$5)+(X424*Settings!$B$9)+(AA424*Settings!$B$6)+(W424*Settings!$B$8)+(AB424*Settings!$B$7)+(AC424*Settings!$B$14)+(AD424*Settings!$B$15)+(AE424*Settings!$B$16)+(AF424*Settings!$B$17)+(AG424*Settings!$B$18)+(U424*Settings!$B$13)+(Y424*Settings!$B$10)+(Z424*Settings!$B$11),VLOOKUP(B424,'Standard Deviations'!A$1:C$672,3,FALSE))</f>
        <v>115.40063185752027</v>
      </c>
      <c r="J424" s="53" cm="1">
        <f t="array" ref="J424">IF(D424="G",I424/AJ424,I424/Q424)</f>
        <v>1.4818700720066809</v>
      </c>
      <c r="K424" s="52" cm="1">
        <f t="array" ref="K424">VLOOKUP(B424,D!A1:F204,6,FALSE)</f>
        <v>-191.25323548707379</v>
      </c>
      <c r="L424" s="54" cm="1">
        <f t="array" ref="L424">IFERROR(K424/H424,"N/A")</f>
        <v>-166.01843358252935</v>
      </c>
      <c r="M424" s="85" t="s">
        <v>832</v>
      </c>
      <c r="N424" s="85" t="str" cm="1">
        <f t="array" ref="N424">IFERROR(M424-A424,"N/A")</f>
        <v>N/A</v>
      </c>
      <c r="O424" s="55"/>
      <c r="P424" s="56" t="str" cm="1">
        <f t="array" ref="P424">_xlfn.XLOOKUP($B424,ADP!A2:A671,ADP!G2:G671)</f>
        <v xml:space="preserve"> </v>
      </c>
      <c r="Q424" s="57" cm="1">
        <f t="array" ref="Q424">IF(Settings!$E$12="YES",VLOOKUP(B424,'Player Data'!A1:E673,5,FALSE),84)</f>
        <v>77.875</v>
      </c>
      <c r="R424" s="55" cm="1">
        <f t="array" ref="R424">VLOOKUP(B424,'Player Data'!$A1:$AE673,6,FALSE)</f>
        <v>17.341842813267199</v>
      </c>
      <c r="S424" s="57" cm="1">
        <f t="array" ref="S424">VLOOKUP(B424,'Player Data'!$A1:$AE673,7,FALSE)*$Q424*IFERROR((VLOOKUP(P424,Settings!$E$28:$F$33,2,FALSE)+1),1)</f>
        <v>2.3849739847167539</v>
      </c>
      <c r="T424" s="57" cm="1">
        <f t="array" ref="T424">VLOOKUP(B424,'Player Data'!$A1:$AE673,8,FALSE)*$Q424*IFERROR((VLOOKUP(P424,Settings!$E$28:$F$33,2,FALSE)+1),1)</f>
        <v>11.45470651336638</v>
      </c>
      <c r="U424" s="57" cm="1">
        <f t="array" ref="U424">SUM(S424:T424)</f>
        <v>13.839680498083133</v>
      </c>
      <c r="V424" s="57" cm="1">
        <f t="array" ref="V424">VLOOKUP(B424,'Player Data'!$A1:$AE673,10,FALSE)*$Q424*IFERROR(((VLOOKUP(P424,Settings!$E$28:$F$33,2,FALSE)/2)+1),1)</f>
        <v>65.287007943079416</v>
      </c>
      <c r="W424" s="57" cm="1">
        <f t="array" ref="W424">VLOOKUP(B424,'Player Data'!$A1:$AE673,11,FALSE)*$Q424*IFERROR((VLOOKUP(P424,Settings!$E$28:$F$33,2,FALSE)+1),1)</f>
        <v>6.6951658241547335E-3</v>
      </c>
      <c r="X424" s="57" cm="1">
        <f t="array" ref="X424">VLOOKUP(B424,'Player Data'!$A1:$AE673,12,FALSE)*$Q424*IFERROR((VLOOKUP(P424,Settings!$E$28:$F$33,2,FALSE)+1),1)</f>
        <v>5.8201290057852448E-2</v>
      </c>
      <c r="Y424" s="57" cm="1">
        <f t="array" ref="Y424">VLOOKUP(B424,'Player Data'!$A1:$AE673,13,FALSE)*$Q424</f>
        <v>1.5045606534230375E-2</v>
      </c>
      <c r="Z424" s="57" cm="1">
        <f t="array" ref="Z424">VLOOKUP(B424,'Player Data'!$A1:$AE673,14,FALSE)*$Q424</f>
        <v>0.15813269147556036</v>
      </c>
      <c r="AA424" s="57" cm="1">
        <f t="array" ref="AA424">VLOOKUP(B424,'Player Data'!$A1:$AE673,15,FALSE)*$Q424</f>
        <v>82.043504820395498</v>
      </c>
      <c r="AB424" s="57" cm="1">
        <f t="array" ref="AB424">VLOOKUP(B424,'Player Data'!$A1:$AE673,16,FALSE)*$Q424</f>
        <v>103.67387242988325</v>
      </c>
      <c r="AC424" s="57" cm="1">
        <f t="array" ref="AC424">VLOOKUP(B424,'Player Data'!$A1:$AE673,17,FALSE)*$Q424*IFERROR((VLOOKUP(P424,Settings!$E$28:$F$33,2,FALSE)+1),1)</f>
        <v>3.173189529356629</v>
      </c>
      <c r="AD424" s="57" cm="1">
        <f t="array" ref="AD424">VLOOKUP(B424,'Player Data'!$A1:$AE673,18,FALSE)*$Q424</f>
        <v>35.213152140614184</v>
      </c>
      <c r="AE424" s="57" cm="1">
        <f t="array" ref="AE424">VLOOKUP(B424,'Player Data'!$A1:$AE673,19,FALSE)*$Q424*IFERROR((VLOOKUP(P424,Settings!$E$28:$F$33,2,FALSE)+1),1)</f>
        <v>0.39708807519272582</v>
      </c>
      <c r="AF424" s="57" cm="1">
        <f t="array" ref="AF424">VLOOKUP(B424,'Player Data'!$A1:$AE673,20,FALSE)*$Q424</f>
        <v>0</v>
      </c>
      <c r="AG424" s="57" cm="1">
        <f t="array" ref="AG424">VLOOKUP(B424,'Player Data'!$A1:$AE673,21,FALSE)*$Q424</f>
        <v>0</v>
      </c>
      <c r="AH424" s="59" cm="1">
        <f t="array" ref="AH424">VLOOKUP(B424,'Player Data'!$A1:$AE673,22,FALSE)</f>
        <v>0</v>
      </c>
      <c r="AI424" s="55"/>
      <c r="AJ424" s="57"/>
      <c r="AK424" s="57"/>
      <c r="AL424" s="57"/>
      <c r="AM424" s="57"/>
      <c r="AN424" s="57"/>
      <c r="AO424" s="57"/>
      <c r="AP424" s="57"/>
      <c r="AQ424" s="60"/>
      <c r="AR424" s="61"/>
      <c r="AS424" s="55"/>
    </row>
    <row r="425" spans="1:45" ht="21.25" customHeight="1" x14ac:dyDescent="0.15">
      <c r="A425" s="62">
        <f t="shared" si="6"/>
        <v>424</v>
      </c>
      <c r="B425" s="10" t="s">
        <v>553</v>
      </c>
      <c r="C425" s="47" t="s">
        <v>147</v>
      </c>
      <c r="D425" s="48" t="str" cm="1">
        <f t="array" ref="D425">VLOOKUP(B425,'Player Data'!A1:D673,4,FALSE)</f>
        <v>D</v>
      </c>
      <c r="E425" s="68" cm="1">
        <f t="array" ref="E425">VLOOKUP(B425,D!A1:C204,3,FALSE)</f>
        <v>178</v>
      </c>
      <c r="F425" s="72" t="str" cm="1">
        <f t="array" ref="F425">VLOOKUP(B425,'Player Data'!A1:B673,2,FALSE)</f>
        <v>BOS</v>
      </c>
      <c r="G425" s="11" cm="1">
        <f t="array" ref="G425">VLOOKUP(B425,'Player Data'!A1:D673,3,FALSE)</f>
        <v>27</v>
      </c>
      <c r="H425" s="51" cm="1">
        <f t="array" ref="H425">IFERROR(VLOOKUP(B425,ADP!A1:F671,6,FALSE)/1000000,VLOOKUP(B425,ADP!A1:F671,6,FALSE))</f>
        <v>3</v>
      </c>
      <c r="I425" s="52">
        <f>IF(Settings!$E$15="POINTS",((R425*Q425)*Settings!$B$12)+(S425*Settings!$B$2)+(T425*Settings!$B$3)+(U425*Settings!$B$4)+(V425*Settings!$B$5)+(X425*Settings!$B$9)+(AA425*Settings!$B$6)+(W425*Settings!$B$8)+(AB425*Settings!$B$7)+(AC425*Settings!$B$14)+(AD425*Settings!$B$15)+(AE425*Settings!$B$16)+(AF425*Settings!$B$17)+(AG425*Settings!$B$18)+(U425*Settings!$B$13)+(Y425*Settings!$B$10)+(Z425*Settings!$B$11),VLOOKUP(B425,'Standard Deviations'!A$1:C$672,3,FALSE))</f>
        <v>115.22663819379456</v>
      </c>
      <c r="J425" s="53" cm="1">
        <f t="array" ref="J425">IF(D425="G",I425/AJ425,I425/Q425)</f>
        <v>1.5800162928085368</v>
      </c>
      <c r="K425" s="52" cm="1">
        <f t="array" ref="K425">VLOOKUP(B425,D!A1:F204,6,FALSE)</f>
        <v>-191.42722915079952</v>
      </c>
      <c r="L425" s="54" cm="1">
        <f t="array" ref="L425">IFERROR(K425/H425,"N/A")</f>
        <v>-63.809076383599837</v>
      </c>
      <c r="M425" s="85" t="s">
        <v>832</v>
      </c>
      <c r="N425" s="85" t="str" cm="1">
        <f t="array" ref="N425">IFERROR(M425-A425,"N/A")</f>
        <v>N/A</v>
      </c>
      <c r="O425" s="55"/>
      <c r="P425" s="56" t="str" cm="1">
        <f t="array" ref="P425">_xlfn.XLOOKUP($B425,ADP!A2:A671,ADP!G2:G671)</f>
        <v xml:space="preserve"> </v>
      </c>
      <c r="Q425" s="57" cm="1">
        <f t="array" ref="Q425">IF(Settings!$E$12="YES",VLOOKUP(B425,'Player Data'!A1:E673,5,FALSE),84)</f>
        <v>72.927499999999995</v>
      </c>
      <c r="R425" s="84" cm="1">
        <f t="array" ref="R425">VLOOKUP(B425,'Player Data'!$A1:$AE673,6,FALSE)</f>
        <v>15.882409409493199</v>
      </c>
      <c r="S425" s="57" cm="1">
        <f t="array" ref="S425">VLOOKUP(B425,'Player Data'!$A1:$AE673,7,FALSE)*$Q425*IFERROR((VLOOKUP(P425,Settings!$E$28:$F$33,2,FALSE)+1),1)</f>
        <v>2.9070702580534409</v>
      </c>
      <c r="T425" s="57" cm="1">
        <f t="array" ref="T425">VLOOKUP(B425,'Player Data'!$A1:$AE673,8,FALSE)*$Q425*IFERROR((VLOOKUP(P425,Settings!$E$28:$F$33,2,FALSE)+1),1)</f>
        <v>13.152240076648647</v>
      </c>
      <c r="U425" s="57" cm="1">
        <f t="array" ref="U425">SUM(S425:T425)</f>
        <v>16.05931033470209</v>
      </c>
      <c r="V425" s="57" cm="1">
        <f t="array" ref="V425">VLOOKUP(B425,'Player Data'!$A1:$AE673,10,FALSE)*$Q425*IFERROR(((VLOOKUP(P425,Settings!$E$28:$F$33,2,FALSE)/2)+1),1)</f>
        <v>63.727988466907512</v>
      </c>
      <c r="W425" s="57" cm="1">
        <f t="array" ref="W425">VLOOKUP(B425,'Player Data'!$A1:$AE673,11,FALSE)*$Q425*IFERROR((VLOOKUP(P425,Settings!$E$28:$F$33,2,FALSE)+1),1)</f>
        <v>2.9463712339989689E-2</v>
      </c>
      <c r="X425" s="57" cm="1">
        <f t="array" ref="X425">VLOOKUP(B425,'Player Data'!$A1:$AE673,12,FALSE)*$Q425*IFERROR((VLOOKUP(P425,Settings!$E$28:$F$33,2,FALSE)+1),1)</f>
        <v>0.59704483743239933</v>
      </c>
      <c r="Y425" s="57" cm="1">
        <f t="array" ref="Y425">VLOOKUP(B425,'Player Data'!$A1:$AE673,13,FALSE)*$Q425</f>
        <v>1.3189538885886412E-2</v>
      </c>
      <c r="Z425" s="57" cm="1">
        <f t="array" ref="Z425">VLOOKUP(B425,'Player Data'!$A1:$AE673,14,FALSE)*$Q425</f>
        <v>0.12995311315950384</v>
      </c>
      <c r="AA425" s="57" cm="1">
        <f t="array" ref="AA425">VLOOKUP(B425,'Player Data'!$A1:$AE673,15,FALSE)*$Q425</f>
        <v>68.915430011285281</v>
      </c>
      <c r="AB425" s="57" cm="1">
        <f t="array" ref="AB425">VLOOKUP(B425,'Player Data'!$A1:$AE673,16,FALSE)*$Q425</f>
        <v>59.631369722587152</v>
      </c>
      <c r="AC425" s="57" cm="1">
        <f t="array" ref="AC425">VLOOKUP(B425,'Player Data'!$A1:$AE673,17,FALSE)*$Q425*IFERROR((VLOOKUP(P425,Settings!$E$28:$F$33,2,FALSE)+1),1)</f>
        <v>-1.3593214493055457</v>
      </c>
      <c r="AD425" s="57" cm="1">
        <f t="array" ref="AD425">VLOOKUP(B425,'Player Data'!$A1:$AE673,18,FALSE)*$Q425</f>
        <v>21.135095996123816</v>
      </c>
      <c r="AE425" s="57" cm="1">
        <f t="array" ref="AE425">VLOOKUP(B425,'Player Data'!$A1:$AE673,19,FALSE)*$Q425*IFERROR((VLOOKUP(P425,Settings!$E$28:$F$33,2,FALSE)+1),1)</f>
        <v>0.39135468351053931</v>
      </c>
      <c r="AF425" s="57" cm="1">
        <f t="array" ref="AF425">VLOOKUP(B425,'Player Data'!$A1:$AE673,20,FALSE)*$Q425</f>
        <v>0</v>
      </c>
      <c r="AG425" s="57" cm="1">
        <f t="array" ref="AG425">VLOOKUP(B425,'Player Data'!$A1:$AE673,21,FALSE)*$Q425</f>
        <v>0</v>
      </c>
      <c r="AH425" s="59" cm="1">
        <f t="array" ref="AH425">VLOOKUP(B425,'Player Data'!$A1:$AE673,22,FALSE)</f>
        <v>0</v>
      </c>
      <c r="AI425" s="55"/>
      <c r="AJ425" s="57"/>
      <c r="AK425" s="57"/>
      <c r="AL425" s="57"/>
      <c r="AM425" s="57"/>
      <c r="AN425" s="57"/>
      <c r="AO425" s="57"/>
      <c r="AP425" s="57"/>
      <c r="AQ425" s="60"/>
      <c r="AR425" s="61"/>
      <c r="AS425" s="55"/>
    </row>
    <row r="426" spans="1:45" ht="21.25" customHeight="1" x14ac:dyDescent="0.15">
      <c r="A426" s="62">
        <f t="shared" si="6"/>
        <v>425</v>
      </c>
      <c r="B426" s="10" t="s">
        <v>554</v>
      </c>
      <c r="C426" s="47" t="s">
        <v>147</v>
      </c>
      <c r="D426" s="48" t="str" cm="1">
        <f t="array" ref="D426">VLOOKUP(B426,'Player Data'!A1:D673,4,FALSE)</f>
        <v>C,RW</v>
      </c>
      <c r="E426" s="74" cm="1">
        <f t="array" ref="E426">VLOOKUP(B426,RW!A1:F210,3,FALSE)</f>
        <v>114</v>
      </c>
      <c r="F426" s="69" t="str" cm="1">
        <f t="array" ref="F426">VLOOKUP(B426,'Player Data'!A1:B673,2,FALSE)</f>
        <v>TOR</v>
      </c>
      <c r="G426" s="11" cm="1">
        <f t="array" ref="G426">VLOOKUP(B426,'Player Data'!A1:D673,3,FALSE)</f>
        <v>29</v>
      </c>
      <c r="H426" s="51" cm="1">
        <f t="array" ref="H426">IFERROR(VLOOKUP(B426,ADP!A1:F671,6,FALSE)/1000000,VLOOKUP(B426,ADP!A1:F671,6,FALSE))</f>
        <v>4</v>
      </c>
      <c r="I426" s="52">
        <f>IF(Settings!$E$15="POINTS",((R426*Q426)*Settings!$B$12)+(S426*Settings!$B$2)+(T426*Settings!$B$3)+(U426*Settings!$B$4)+(V426*Settings!$B$5)+(X426*Settings!$B$9)+(AA426*Settings!$B$6)+(W426*Settings!$B$8)+(AB426*Settings!$B$7)+(AC426*Settings!$B$14)+(AD426*Settings!$B$15)+(AE426*Settings!$B$16)+(AF426*Settings!$B$17)+(AG426*Settings!$B$18)+(Y426*Settings!$B$10)+(Z426*Settings!$B$11),VLOOKUP(B426,'Standard Deviations'!A$1:C$672,3,FALSE))</f>
        <v>203.07425341275479</v>
      </c>
      <c r="J426" s="53" cm="1">
        <f t="array" ref="J426">IF(D426="G",I426/AJ426,I426/Q426)</f>
        <v>2.5613199648452394</v>
      </c>
      <c r="K426" s="52" cm="1">
        <f t="array" ref="K426">IF(Settings!$E$18="C/LW/RW",VLOOKUP(B426,RW!A1:F210,6,FALSE),VLOOKUP(B426,F!A1:F407,6,FALSE))</f>
        <v>-191.86921128080269</v>
      </c>
      <c r="L426" s="54" cm="1">
        <f t="array" ref="L426">IFERROR(K426/H426,"N/A")</f>
        <v>-47.967302820200672</v>
      </c>
      <c r="M426" s="55">
        <v>130.5</v>
      </c>
      <c r="N426" s="55" cm="1">
        <f t="array" ref="N426">IFERROR(M426-A426,"N/A")</f>
        <v>-294.5</v>
      </c>
      <c r="O426" s="55"/>
      <c r="P426" s="56" t="str" cm="1">
        <f t="array" ref="P426">_xlfn.XLOOKUP($B426,ADP!A2:A671,ADP!G2:G671)</f>
        <v xml:space="preserve"> </v>
      </c>
      <c r="Q426" s="57" cm="1">
        <f t="array" ref="Q426">IF(Settings!$E$12="YES",VLOOKUP(B426,'Player Data'!A1:E673,5,FALSE),84)</f>
        <v>79.284999999999997</v>
      </c>
      <c r="R426" s="84" cm="1">
        <f t="array" ref="R426">VLOOKUP(B426,'Player Data'!$A1:$AE673,6,FALSE)</f>
        <v>14.465238203807001</v>
      </c>
      <c r="S426" s="57" cm="1">
        <f t="array" ref="S426">VLOOKUP(B426,'Player Data'!$A1:$AE673,7,FALSE)*$Q426*IFERROR((VLOOKUP(P426,Settings!$E$28:$F$33,2,FALSE)+1),1)</f>
        <v>18.871713068845434</v>
      </c>
      <c r="T426" s="57" cm="1">
        <f t="array" ref="T426">VLOOKUP(B426,'Player Data'!$A1:$AE673,8,FALSE)*$Q426*IFERROR((VLOOKUP(P426,Settings!$E$28:$F$33,2,FALSE)+1),1)</f>
        <v>18.374213651706775</v>
      </c>
      <c r="U426" s="57" cm="1">
        <f t="array" ref="U426">SUM(S426:T426)</f>
        <v>37.245926720552205</v>
      </c>
      <c r="V426" s="57" cm="1">
        <f t="array" ref="V426">VLOOKUP(B426,'Player Data'!$A1:$AE673,10,FALSE)*$Q426*IFERROR(((VLOOKUP(P426,Settings!$E$28:$F$33,2,FALSE)/2)+1),1)</f>
        <v>145.54486748437424</v>
      </c>
      <c r="W426" s="57" cm="1">
        <f t="array" ref="W426">VLOOKUP(B426,'Player Data'!$A1:$AE673,11,FALSE)*$Q426*IFERROR((VLOOKUP(P426,Settings!$E$28:$F$33,2,FALSE)+1),1)</f>
        <v>2.1482501163391801</v>
      </c>
      <c r="X426" s="57" cm="1">
        <f t="array" ref="X426">VLOOKUP(B426,'Player Data'!$A1:$AE673,12,FALSE)*$Q426*IFERROR((VLOOKUP(P426,Settings!$E$28:$F$33,2,FALSE)+1),1)</f>
        <v>4.2978105825183466</v>
      </c>
      <c r="Y426" s="57" cm="1">
        <f t="array" ref="Y426">VLOOKUP(B426,'Player Data'!$A1:$AE673,13,FALSE)*$Q426</f>
        <v>2.5867263573961909E-3</v>
      </c>
      <c r="Z426" s="57" cm="1">
        <f t="array" ref="Z426">VLOOKUP(B426,'Player Data'!$A1:$AE673,14,FALSE)*$Q426</f>
        <v>3.2346841873339693E-3</v>
      </c>
      <c r="AA426" s="57" cm="1">
        <f t="array" ref="AA426">VLOOKUP(B426,'Player Data'!$A1:$AE673,15,FALSE)*$Q426</f>
        <v>28.525988484410718</v>
      </c>
      <c r="AB426" s="57" cm="1">
        <f t="array" ref="AB426">VLOOKUP(B426,'Player Data'!$A1:$AE673,16,FALSE)*$Q426</f>
        <v>44.392184298317311</v>
      </c>
      <c r="AC426" s="57" cm="1">
        <f t="array" ref="AC426">VLOOKUP(B426,'Player Data'!$A1:$AE673,17,FALSE)*$Q426*IFERROR((VLOOKUP(P426,Settings!$E$28:$F$33,2,FALSE)+1),1)</f>
        <v>0.11140353492177085</v>
      </c>
      <c r="AD426" s="57" cm="1">
        <f t="array" ref="AD426">VLOOKUP(B426,'Player Data'!$A1:$AE673,18,FALSE)*$Q426</f>
        <v>18.230828289381684</v>
      </c>
      <c r="AE426" s="57" cm="1">
        <f t="array" ref="AE426">VLOOKUP(B426,'Player Data'!$A1:$AE673,19,FALSE)*$Q426*IFERROR((VLOOKUP(P426,Settings!$E$28:$F$33,2,FALSE)+1),1)</f>
        <v>2.577134715768358</v>
      </c>
      <c r="AF426" s="57" cm="1">
        <f t="array" ref="AF426">VLOOKUP(B426,'Player Data'!$A1:$AE673,20,FALSE)*$Q426</f>
        <v>143.0974935982961</v>
      </c>
      <c r="AG426" s="57" cm="1">
        <f t="array" ref="AG426">VLOOKUP(B426,'Player Data'!$A1:$AE673,21,FALSE)*$Q426</f>
        <v>136.13987666971173</v>
      </c>
      <c r="AH426" s="59" cm="1">
        <f t="array" ref="AH426">VLOOKUP(B426,'Player Data'!$A1:$AE673,22,FALSE)</f>
        <v>0.51245824819562502</v>
      </c>
      <c r="AI426" s="55"/>
      <c r="AJ426" s="57"/>
      <c r="AK426" s="57"/>
      <c r="AL426" s="57"/>
      <c r="AM426" s="57"/>
      <c r="AN426" s="57"/>
      <c r="AO426" s="57"/>
      <c r="AP426" s="57"/>
      <c r="AQ426" s="60"/>
      <c r="AR426" s="61"/>
      <c r="AS426" s="55"/>
    </row>
    <row r="427" spans="1:45" ht="21.25" customHeight="1" x14ac:dyDescent="0.15">
      <c r="A427" s="62">
        <f t="shared" si="6"/>
        <v>426</v>
      </c>
      <c r="B427" s="10" t="s">
        <v>555</v>
      </c>
      <c r="C427" s="76"/>
      <c r="D427" s="48" t="str" cm="1">
        <f t="array" ref="D427">VLOOKUP(B427,'Player Data'!A1:D673,4,FALSE)</f>
        <v>G</v>
      </c>
      <c r="E427" s="77" cm="1">
        <f t="array" ref="E427">VLOOKUP(B427,G!A1:D66,3,FALSE)</f>
        <v>47</v>
      </c>
      <c r="F427" s="18" t="str" cm="1">
        <f t="array" ref="F427">VLOOKUP(B427,'Player Data'!A1:B673,2,FALSE)</f>
        <v>VAN</v>
      </c>
      <c r="G427" s="66" cm="1">
        <f t="array" ref="G427">VLOOKUP(B427,'Player Data'!A1:D673,3,FALSE)</f>
        <v>31</v>
      </c>
      <c r="H427" s="51" cm="1">
        <f t="array" ref="H427">IFERROR(VLOOKUP(B427,ADP!A1:F671,6,FALSE)/1000000,VLOOKUP(B427,ADP!A1:F671,6,FALSE))</f>
        <v>4.5</v>
      </c>
      <c r="I427" s="52">
        <f>IF(Settings!$E$15="POINTS",(AJ427*Settings!$B$29)+(AK427*Settings!$B$21)+(AL427*Settings!$B$22)+(AN427*Settings!$B$24)+(AO427*Settings!$B$25)+(AP427*Settings!$B$27)+(AM427*Settings!$B$23),VLOOKUP(B427,'Standard Deviations'!A$1:C$672,3,FALSE))</f>
        <v>167.20882991999639</v>
      </c>
      <c r="J427" s="53" cm="1">
        <f t="array" ref="J427">IF(D427="G",I427/AJ427,I427/Q427)</f>
        <v>4.7773951405713255</v>
      </c>
      <c r="K427" s="52" cm="1">
        <f t="array" ref="K427">VLOOKUP(B427,G!A1:F66,6,FALSE)</f>
        <v>-191.94907801024164</v>
      </c>
      <c r="L427" s="54" cm="1">
        <f t="array" ref="L427">IFERROR(K427/H427,"N/A")</f>
        <v>-42.655350668942589</v>
      </c>
      <c r="M427" s="85" t="s">
        <v>832</v>
      </c>
      <c r="N427" s="85" t="str" cm="1">
        <f t="array" ref="N427">IFERROR(M427-A427,"N/A")</f>
        <v>N/A</v>
      </c>
      <c r="O427" s="55"/>
      <c r="P427" s="56" t="str" cm="1">
        <f t="array" ref="P427">_xlfn.XLOOKUP($B427,ADP!A2:A671,ADP!G2:G671)</f>
        <v xml:space="preserve"> </v>
      </c>
      <c r="Q427" s="57"/>
      <c r="R427" s="55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9"/>
      <c r="AI427" s="55"/>
      <c r="AJ427" s="78" cm="1">
        <f t="array" ref="AJ427">VLOOKUP(B427,'Player Data'!$A1:$AE673,24,FALSE)</f>
        <v>35</v>
      </c>
      <c r="AK427" s="57" cm="1">
        <f t="array" ref="AK427">VLOOKUP(B427,'Player Data'!$A1:$AE673,25,FALSE)*$AJ427*IFERROR((VLOOKUP(P427,Settings!$E$28:$F$33,2,FALSE)+1),1)</f>
        <v>11.954035713906791</v>
      </c>
      <c r="AL427" s="57" cm="1">
        <f t="array" ref="AL427">AJ427-AK427-AM427</f>
        <v>17.284473214569925</v>
      </c>
      <c r="AM427" s="57" cm="1">
        <f t="array" ref="AM427">VLOOKUP(B427,'Player Data'!$A1:$AE673,27,FALSE)*$AJ427</f>
        <v>5.7614910715232854</v>
      </c>
      <c r="AN427" s="57" cm="1">
        <f t="array" ref="AN427">VLOOKUP(B427,'Player Data'!$A1:$AE673,28,FALSE)*AJ427</f>
        <v>0.70948605777401452</v>
      </c>
      <c r="AO427" s="57" cm="1">
        <f t="array" ref="AO427">VLOOKUP(B427,'Player Data'!$A1:$AE673,29,FALSE)*$AJ427*IFERROR((VLOOKUP(P427,Settings!$E$28:$F$33,2,FALSE)/4)+1,1)</f>
        <v>949.90122283047947</v>
      </c>
      <c r="AP427" s="57" cm="1">
        <f t="array" ref="AP427">VLOOKUP(B427,'Player Data'!$A1:$AE673,31,FALSE)*$AJ427*(IFERROR(1-(VLOOKUP(P427,Settings!$E$28:$F$33,2,FALSE)/4),1))</f>
        <v>114.7711248982459</v>
      </c>
      <c r="AQ427" s="60" cm="1">
        <f t="array" ref="AQ427">1-(AP427/(AO427+AP427))</f>
        <v>0.8922005205234379</v>
      </c>
      <c r="AR427" s="61" cm="1">
        <f t="array" ref="AR427">AP427/AJ427</f>
        <v>3.2791749970927402</v>
      </c>
      <c r="AS427" s="55"/>
    </row>
    <row r="428" spans="1:45" ht="21.25" customHeight="1" x14ac:dyDescent="0.15">
      <c r="A428" s="62">
        <f t="shared" si="6"/>
        <v>427</v>
      </c>
      <c r="B428" s="10" t="s">
        <v>556</v>
      </c>
      <c r="C428" s="47" t="s">
        <v>147</v>
      </c>
      <c r="D428" s="48" t="str" cm="1">
        <f t="array" ref="D428">VLOOKUP(B428,'Player Data'!A1:D673,4,FALSE)</f>
        <v>C,LW,RW</v>
      </c>
      <c r="E428" s="74" cm="1">
        <f t="array" ref="E428">VLOOKUP(B428,RW!A1:F210,3,FALSE)</f>
        <v>115</v>
      </c>
      <c r="F428" s="18" t="str" cm="1">
        <f t="array" ref="F428">VLOOKUP(B428,'Player Data'!A1:B673,2,FALSE)</f>
        <v>OTT</v>
      </c>
      <c r="G428" s="71" cm="1">
        <f t="array" ref="G428">VLOOKUP(B428,'Player Data'!A1:D673,3,FALSE)</f>
        <v>24</v>
      </c>
      <c r="H428" s="51" cm="1">
        <f t="array" ref="H428">IFERROR(VLOOKUP(B428,ADP!A1:F671,6,FALSE)/1000000,VLOOKUP(B428,ADP!A1:F671,6,FALSE))</f>
        <v>3.25</v>
      </c>
      <c r="I428" s="52">
        <f>IF(Settings!$E$15="POINTS",((R428*Q428)*Settings!$B$12)+(S428*Settings!$B$2)+(T428*Settings!$B$3)+(U428*Settings!$B$4)+(V428*Settings!$B$5)+(X428*Settings!$B$9)+(AA428*Settings!$B$6)+(W428*Settings!$B$8)+(AB428*Settings!$B$7)+(AC428*Settings!$B$14)+(AD428*Settings!$B$15)+(AE428*Settings!$B$16)+(AF428*Settings!$B$17)+(AG428*Settings!$B$18)+(Y428*Settings!$B$10)+(Z428*Settings!$B$11),VLOOKUP(B428,'Standard Deviations'!A$1:C$672,3,FALSE))</f>
        <v>202.7751628492889</v>
      </c>
      <c r="J428" s="53" cm="1">
        <f t="array" ref="J428">IF(D428="G",I428/AJ428,I428/Q428)</f>
        <v>2.4852181615870195</v>
      </c>
      <c r="K428" s="52" cm="1">
        <f t="array" ref="K428">IF(Settings!$E$18="C/LW/RW",VLOOKUP(B428,RW!A1:F210,6,FALSE),VLOOKUP(B428,F!A1:F407,6,FALSE))</f>
        <v>-192.16830184426857</v>
      </c>
      <c r="L428" s="54" cm="1">
        <f t="array" ref="L428">IFERROR(K428/H428,"N/A")</f>
        <v>-59.128708259774946</v>
      </c>
      <c r="M428" s="85" t="s">
        <v>832</v>
      </c>
      <c r="N428" s="85" t="str" cm="1">
        <f t="array" ref="N428">IFERROR(M428-A428,"N/A")</f>
        <v>N/A</v>
      </c>
      <c r="O428" s="55"/>
      <c r="P428" s="56" t="str" cm="1">
        <f t="array" ref="P428">_xlfn.XLOOKUP($B428,ADP!A2:A671,ADP!G2:G671)</f>
        <v xml:space="preserve"> </v>
      </c>
      <c r="Q428" s="57" cm="1">
        <f t="array" ref="Q428">IF(Settings!$E$12="YES",VLOOKUP(B428,'Player Data'!A1:E673,5,FALSE),84)</f>
        <v>81.592500000000001</v>
      </c>
      <c r="R428" s="55" cm="1">
        <f t="array" ref="R428">VLOOKUP(B428,'Player Data'!$A1:$AE673,6,FALSE)</f>
        <v>16.290443782442999</v>
      </c>
      <c r="S428" s="57" cm="1">
        <f t="array" ref="S428">VLOOKUP(B428,'Player Data'!$A1:$AE673,7,FALSE)*$Q428*IFERROR((VLOOKUP(P428,Settings!$E$28:$F$33,2,FALSE)+1),1)</f>
        <v>14.144441021029904</v>
      </c>
      <c r="T428" s="57" cm="1">
        <f t="array" ref="T428">VLOOKUP(B428,'Player Data'!$A1:$AE673,8,FALSE)*$Q428*IFERROR((VLOOKUP(P428,Settings!$E$28:$F$33,2,FALSE)+1),1)</f>
        <v>21.339318468290809</v>
      </c>
      <c r="U428" s="57" cm="1">
        <f t="array" ref="U428">SUM(S428:T428)</f>
        <v>35.483759489320711</v>
      </c>
      <c r="V428" s="57" cm="1">
        <f t="array" ref="V428">VLOOKUP(B428,'Player Data'!$A1:$AE673,10,FALSE)*$Q428*IFERROR(((VLOOKUP(P428,Settings!$E$28:$F$33,2,FALSE)/2)+1),1)</f>
        <v>128.6740834895468</v>
      </c>
      <c r="W428" s="57" cm="1">
        <f t="array" ref="W428">VLOOKUP(B428,'Player Data'!$A1:$AE673,11,FALSE)*$Q428*IFERROR((VLOOKUP(P428,Settings!$E$28:$F$33,2,FALSE)+1),1)</f>
        <v>1.2205949262064946</v>
      </c>
      <c r="X428" s="57" cm="1">
        <f t="array" ref="X428">VLOOKUP(B428,'Player Data'!$A1:$AE673,12,FALSE)*$Q428*IFERROR((VLOOKUP(P428,Settings!$E$28:$F$33,2,FALSE)+1),1)</f>
        <v>3.6997577988556847</v>
      </c>
      <c r="Y428" s="57" cm="1">
        <f t="array" ref="Y428">VLOOKUP(B428,'Player Data'!$A1:$AE673,13,FALSE)*$Q428</f>
        <v>1.5309867157835026</v>
      </c>
      <c r="Z428" s="57" cm="1">
        <f t="array" ref="Z428">VLOOKUP(B428,'Player Data'!$A1:$AE673,14,FALSE)*$Q428</f>
        <v>2.3038046529119067</v>
      </c>
      <c r="AA428" s="57" cm="1">
        <f t="array" ref="AA428">VLOOKUP(B428,'Player Data'!$A1:$AE673,15,FALSE)*$Q428</f>
        <v>51.966560369571617</v>
      </c>
      <c r="AB428" s="57" cm="1">
        <f t="array" ref="AB428">VLOOKUP(B428,'Player Data'!$A1:$AE673,16,FALSE)*$Q428</f>
        <v>111.21536394346707</v>
      </c>
      <c r="AC428" s="57" cm="1">
        <f t="array" ref="AC428">VLOOKUP(B428,'Player Data'!$A1:$AE673,17,FALSE)*$Q428*IFERROR((VLOOKUP(P428,Settings!$E$28:$F$33,2,FALSE)+1),1)</f>
        <v>1.6321179214509487</v>
      </c>
      <c r="AD428" s="57" cm="1">
        <f t="array" ref="AD428">VLOOKUP(B428,'Player Data'!$A1:$AE673,18,FALSE)*$Q428</f>
        <v>60.708505383061919</v>
      </c>
      <c r="AE428" s="57" cm="1">
        <f t="array" ref="AE428">VLOOKUP(B428,'Player Data'!$A1:$AE673,19,FALSE)*$Q428*IFERROR((VLOOKUP(P428,Settings!$E$28:$F$33,2,FALSE)+1),1)</f>
        <v>2.5090141997046307</v>
      </c>
      <c r="AF428" s="57" cm="1">
        <f t="array" ref="AF428">VLOOKUP(B428,'Player Data'!$A1:$AE673,20,FALSE)*$Q428</f>
        <v>260.07527889971357</v>
      </c>
      <c r="AG428" s="57" cm="1">
        <f t="array" ref="AG428">VLOOKUP(B428,'Player Data'!$A1:$AE673,21,FALSE)*$Q428</f>
        <v>250.20349104734717</v>
      </c>
      <c r="AH428" s="59" cm="1">
        <f t="array" ref="AH428">VLOOKUP(B428,'Player Data'!$A1:$AE673,22,FALSE)</f>
        <v>0.50967293608294795</v>
      </c>
      <c r="AI428" s="55"/>
      <c r="AJ428" s="57"/>
      <c r="AK428" s="57"/>
      <c r="AL428" s="57"/>
      <c r="AM428" s="57"/>
      <c r="AN428" s="57"/>
      <c r="AO428" s="57"/>
      <c r="AP428" s="57"/>
      <c r="AQ428" s="60"/>
      <c r="AR428" s="61"/>
      <c r="AS428" s="55"/>
    </row>
    <row r="429" spans="1:45" ht="21.25" customHeight="1" x14ac:dyDescent="0.15">
      <c r="A429" s="62">
        <f t="shared" si="6"/>
        <v>428</v>
      </c>
      <c r="B429" s="10" t="s">
        <v>557</v>
      </c>
      <c r="C429" s="47" t="s">
        <v>147</v>
      </c>
      <c r="D429" s="48" t="str" cm="1">
        <f t="array" ref="D429">VLOOKUP(B429,'Player Data'!A1:D673,4,FALSE)</f>
        <v>D</v>
      </c>
      <c r="E429" s="68" cm="1">
        <f t="array" ref="E429">VLOOKUP(B429,D!A1:C204,3,FALSE)</f>
        <v>179</v>
      </c>
      <c r="F429" s="65" t="str" cm="1">
        <f t="array" ref="F429">VLOOKUP(B429,'Player Data'!A1:B673,2,FALSE)</f>
        <v>STL</v>
      </c>
      <c r="G429" s="71" cm="1">
        <f t="array" ref="G429">VLOOKUP(B429,'Player Data'!A1:D673,3,FALSE)</f>
        <v>23</v>
      </c>
      <c r="H429" s="67" cm="1">
        <f t="array" ref="H429">IFERROR(VLOOKUP(B429,ADP!A1:F671,6,FALSE)/1000000,VLOOKUP(B429,ADP!A1:F671,6,FALSE))</f>
        <v>0.85</v>
      </c>
      <c r="I429" s="52">
        <f>IF(Settings!$E$15="POINTS",((R429*Q429)*Settings!$B$12)+(S429*Settings!$B$2)+(T429*Settings!$B$3)+(U429*Settings!$B$4)+(V429*Settings!$B$5)+(X429*Settings!$B$9)+(AA429*Settings!$B$6)+(W429*Settings!$B$8)+(AB429*Settings!$B$7)+(AC429*Settings!$B$14)+(AD429*Settings!$B$15)+(AE429*Settings!$B$16)+(AF429*Settings!$B$17)+(AG429*Settings!$B$18)+(U429*Settings!$B$13)+(Y429*Settings!$B$10)+(Z429*Settings!$B$11),VLOOKUP(B429,'Standard Deviations'!A$1:C$672,3,FALSE))</f>
        <v>112.51761653790835</v>
      </c>
      <c r="J429" s="53" cm="1">
        <f t="array" ref="J429">IF(D429="G",I429/AJ429,I429/Q429)</f>
        <v>1.7872705351109262</v>
      </c>
      <c r="K429" s="52" cm="1">
        <f t="array" ref="K429">VLOOKUP(B429,D!A1:F204,6,FALSE)</f>
        <v>-194.13625080668572</v>
      </c>
      <c r="L429" s="54" cm="1">
        <f t="array" ref="L429">IFERROR(K429/H429,"N/A")</f>
        <v>-228.39558918433616</v>
      </c>
      <c r="M429" s="85" t="s">
        <v>832</v>
      </c>
      <c r="N429" s="85" t="str" cm="1">
        <f t="array" ref="N429">IFERROR(M429-A429,"N/A")</f>
        <v>N/A</v>
      </c>
      <c r="O429" s="55"/>
      <c r="P429" s="56" t="str" cm="1">
        <f t="array" ref="P429">_xlfn.XLOOKUP($B429,ADP!A2:A671,ADP!G2:G671)</f>
        <v xml:space="preserve"> </v>
      </c>
      <c r="Q429" s="57" cm="1">
        <f t="array" ref="Q429">IF(Settings!$E$12="YES",VLOOKUP(B429,'Player Data'!A1:E673,5,FALSE),84)</f>
        <v>62.954999999999998</v>
      </c>
      <c r="R429" s="55" cm="1">
        <f t="array" ref="R429">VLOOKUP(B429,'Player Data'!$A1:$AE673,6,FALSE)</f>
        <v>16.410607522695202</v>
      </c>
      <c r="S429" s="57" cm="1">
        <f t="array" ref="S429">VLOOKUP(B429,'Player Data'!$A1:$AE673,7,FALSE)*$Q429*IFERROR((VLOOKUP(P429,Settings!$E$28:$F$33,2,FALSE)+1),1)</f>
        <v>4.954845245030862</v>
      </c>
      <c r="T429" s="57" cm="1">
        <f t="array" ref="T429">VLOOKUP(B429,'Player Data'!$A1:$AE673,8,FALSE)*$Q429*IFERROR((VLOOKUP(P429,Settings!$E$28:$F$33,2,FALSE)+1),1)</f>
        <v>10.044167855322476</v>
      </c>
      <c r="U429" s="57" cm="1">
        <f t="array" ref="U429">SUM(S429:T429)</f>
        <v>14.999013100353338</v>
      </c>
      <c r="V429" s="57" cm="1">
        <f t="array" ref="V429">VLOOKUP(B429,'Player Data'!$A1:$AE673,10,FALSE)*$Q429*IFERROR(((VLOOKUP(P429,Settings!$E$28:$F$33,2,FALSE)/2)+1),1)</f>
        <v>72.69173506431774</v>
      </c>
      <c r="W429" s="57" cm="1">
        <f t="array" ref="W429">VLOOKUP(B429,'Player Data'!$A1:$AE673,11,FALSE)*$Q429*IFERROR((VLOOKUP(P429,Settings!$E$28:$F$33,2,FALSE)+1),1)</f>
        <v>7.4389053001097286E-2</v>
      </c>
      <c r="X429" s="57" cm="1">
        <f t="array" ref="X429">VLOOKUP(B429,'Player Data'!$A1:$AE673,12,FALSE)*$Q429*IFERROR((VLOOKUP(P429,Settings!$E$28:$F$33,2,FALSE)+1),1)</f>
        <v>0.86199036407590934</v>
      </c>
      <c r="Y429" s="57" cm="1">
        <f t="array" ref="Y429">VLOOKUP(B429,'Player Data'!$A1:$AE673,13,FALSE)*$Q429</f>
        <v>1.6024801430666761E-2</v>
      </c>
      <c r="Z429" s="57" cm="1">
        <f t="array" ref="Z429">VLOOKUP(B429,'Player Data'!$A1:$AE673,14,FALSE)*$Q429</f>
        <v>5.5496472812575852E-2</v>
      </c>
      <c r="AA429" s="57" cm="1">
        <f t="array" ref="AA429">VLOOKUP(B429,'Player Data'!$A1:$AE673,15,FALSE)*$Q429</f>
        <v>60.514445735601967</v>
      </c>
      <c r="AB429" s="57" cm="1">
        <f t="array" ref="AB429">VLOOKUP(B429,'Player Data'!$A1:$AE673,16,FALSE)*$Q429</f>
        <v>81.22603547177988</v>
      </c>
      <c r="AC429" s="57" cm="1">
        <f t="array" ref="AC429">VLOOKUP(B429,'Player Data'!$A1:$AE673,17,FALSE)*$Q429*IFERROR((VLOOKUP(P429,Settings!$E$28:$F$33,2,FALSE)+1),1)</f>
        <v>-3.5171429039415942</v>
      </c>
      <c r="AD429" s="57" cm="1">
        <f t="array" ref="AD429">VLOOKUP(B429,'Player Data'!$A1:$AE673,18,FALSE)*$Q429</f>
        <v>37.329018144269405</v>
      </c>
      <c r="AE429" s="57" cm="1">
        <f t="array" ref="AE429">VLOOKUP(B429,'Player Data'!$A1:$AE673,19,FALSE)*$Q429*IFERROR((VLOOKUP(P429,Settings!$E$28:$F$33,2,FALSE)+1),1)</f>
        <v>0.71444431032706612</v>
      </c>
      <c r="AF429" s="57" cm="1">
        <f t="array" ref="AF429">VLOOKUP(B429,'Player Data'!$A1:$AE673,20,FALSE)*$Q429</f>
        <v>0</v>
      </c>
      <c r="AG429" s="57" cm="1">
        <f t="array" ref="AG429">VLOOKUP(B429,'Player Data'!$A1:$AE673,21,FALSE)*$Q429</f>
        <v>0</v>
      </c>
      <c r="AH429" s="59" cm="1">
        <f t="array" ref="AH429">VLOOKUP(B429,'Player Data'!$A1:$AE673,22,FALSE)</f>
        <v>0</v>
      </c>
      <c r="AI429" s="55"/>
      <c r="AJ429" s="57"/>
      <c r="AK429" s="57"/>
      <c r="AL429" s="57"/>
      <c r="AM429" s="57"/>
      <c r="AN429" s="57"/>
      <c r="AO429" s="57"/>
      <c r="AP429" s="57"/>
      <c r="AQ429" s="60"/>
      <c r="AR429" s="61"/>
      <c r="AS429" s="55"/>
    </row>
    <row r="430" spans="1:45" ht="21.25" customHeight="1" x14ac:dyDescent="0.15">
      <c r="A430" s="62">
        <f t="shared" si="6"/>
        <v>429</v>
      </c>
      <c r="B430" s="10" t="s">
        <v>558</v>
      </c>
      <c r="C430" s="47" t="s">
        <v>147</v>
      </c>
      <c r="D430" s="48" t="str" cm="1">
        <f t="array" ref="D430">VLOOKUP(B430,'Player Data'!A1:D673,4,FALSE)</f>
        <v>C</v>
      </c>
      <c r="E430" s="49" cm="1">
        <f t="array" ref="E430">VLOOKUP(B430,'C'!A1:C210,3,FALSE)</f>
        <v>106</v>
      </c>
      <c r="F430" s="73" t="str" cm="1">
        <f t="array" ref="F430">VLOOKUP(B430,'Player Data'!A1:B673,2,FALSE)</f>
        <v>BUF</v>
      </c>
      <c r="G430" s="71" cm="1">
        <f t="array" ref="G430">VLOOKUP(B430,'Player Data'!A1:D673,3,FALSE)</f>
        <v>22</v>
      </c>
      <c r="H430" s="51" cm="1">
        <f t="array" ref="H430">IFERROR(VLOOKUP(B430,ADP!A1:F671,6,FALSE)/1000000,VLOOKUP(B430,ADP!A1:F671,6,FALSE))</f>
        <v>0.88666699999999998</v>
      </c>
      <c r="I430" s="52">
        <f>IF(Settings!$E$15="POINTS",((R430*Q430)*Settings!$B$12)+(S430*Settings!$B$2)+(T430*Settings!$B$3)+(U430*Settings!$B$4)+(V430*Settings!$B$5)+(X430*Settings!$B$9)+(AA430*Settings!$B$6)+(W430*Settings!$B$8)+(AB430*Settings!$B$7)+(AC430*Settings!$B$14)+(AD430*Settings!$B$15)+(AE430*Settings!$B$16)+(AF430*Settings!$B$17)+(AG430*Settings!$B$18)+(Y430*Settings!$B$10)+(Z430*Settings!$B$11),VLOOKUP(B430,'Standard Deviations'!A$1:C$672,3,FALSE))</f>
        <v>192.33307743151184</v>
      </c>
      <c r="J430" s="53" cm="1">
        <f t="array" ref="J430">IF(D430="G",I430/AJ430,I430/Q430)</f>
        <v>2.567864852223122</v>
      </c>
      <c r="K430" s="52" cm="1">
        <f t="array" ref="K430">IF(Settings!$E$18="C/LW/RW",VLOOKUP(B430,'C'!A1:F210,6,FALSE),VLOOKUP(B430,F!A1:F407,6,FALSE))</f>
        <v>-194.20212896157116</v>
      </c>
      <c r="L430" s="54" cm="1">
        <f t="array" ref="L430">IFERROR(K430/H430,"N/A")</f>
        <v>-219.02487513527757</v>
      </c>
      <c r="M430" s="85" t="s">
        <v>832</v>
      </c>
      <c r="N430" s="85" t="str" cm="1">
        <f t="array" ref="N430">IFERROR(M430-A430,"N/A")</f>
        <v>N/A</v>
      </c>
      <c r="O430" s="55"/>
      <c r="P430" s="56" t="str" cm="1">
        <f t="array" ref="P430">_xlfn.XLOOKUP($B430,ADP!A2:A671,ADP!G2:G671)</f>
        <v xml:space="preserve"> </v>
      </c>
      <c r="Q430" s="57" cm="1">
        <f t="array" ref="Q430">IF(Settings!$E$12="YES",VLOOKUP(B430,'Player Data'!A1:E673,5,FALSE),84)</f>
        <v>74.900000000000006</v>
      </c>
      <c r="R430" s="82" cm="1">
        <f t="array" ref="R430">VLOOKUP(B430,'Player Data'!$A1:$AE673,6,FALSE)</f>
        <v>16.0967375810711</v>
      </c>
      <c r="S430" s="57" cm="1">
        <f t="array" ref="S430">VLOOKUP(B430,'Player Data'!$A1:$AE673,7,FALSE)*$Q430*IFERROR((VLOOKUP(P430,Settings!$E$28:$F$33,2,FALSE)+1),1)</f>
        <v>15.265606660645519</v>
      </c>
      <c r="T430" s="57" cm="1">
        <f t="array" ref="T430">VLOOKUP(B430,'Player Data'!$A1:$AE673,8,FALSE)*$Q430*IFERROR((VLOOKUP(P430,Settings!$E$28:$F$33,2,FALSE)+1),1)</f>
        <v>21.585514209810313</v>
      </c>
      <c r="U430" s="57" cm="1">
        <f t="array" ref="U430">SUM(S430:T430)</f>
        <v>36.85112087045583</v>
      </c>
      <c r="V430" s="57" cm="1">
        <f t="array" ref="V430">VLOOKUP(B430,'Player Data'!$A1:$AE673,10,FALSE)*$Q430*IFERROR(((VLOOKUP(P430,Settings!$E$28:$F$33,2,FALSE)/2)+1),1)</f>
        <v>94.896890103537544</v>
      </c>
      <c r="W430" s="57" cm="1">
        <f t="array" ref="W430">VLOOKUP(B430,'Player Data'!$A1:$AE673,11,FALSE)*$Q430*IFERROR((VLOOKUP(P430,Settings!$E$28:$F$33,2,FALSE)+1),1)</f>
        <v>2.559950133333103</v>
      </c>
      <c r="X430" s="57" cm="1">
        <f t="array" ref="X430">VLOOKUP(B430,'Player Data'!$A1:$AE673,12,FALSE)*$Q430*IFERROR((VLOOKUP(P430,Settings!$E$28:$F$33,2,FALSE)+1),1)</f>
        <v>7.2686107287159807</v>
      </c>
      <c r="Y430" s="57" cm="1">
        <f t="array" ref="Y430">VLOOKUP(B430,'Player Data'!$A1:$AE673,13,FALSE)*$Q430</f>
        <v>0.58759156961287218</v>
      </c>
      <c r="Z430" s="57" cm="1">
        <f t="array" ref="Z430">VLOOKUP(B430,'Player Data'!$A1:$AE673,14,FALSE)*$Q430</f>
        <v>0.97101913079435465</v>
      </c>
      <c r="AA430" s="57" cm="1">
        <f t="array" ref="AA430">VLOOKUP(B430,'Player Data'!$A1:$AE673,15,FALSE)*$Q430</f>
        <v>52.183279817730487</v>
      </c>
      <c r="AB430" s="57" cm="1">
        <f t="array" ref="AB430">VLOOKUP(B430,'Player Data'!$A1:$AE673,16,FALSE)*$Q430</f>
        <v>24.727757438700657</v>
      </c>
      <c r="AC430" s="57" cm="1">
        <f t="array" ref="AC430">VLOOKUP(B430,'Player Data'!$A1:$AE673,17,FALSE)*$Q430*IFERROR((VLOOKUP(P430,Settings!$E$28:$F$33,2,FALSE)+1),1)</f>
        <v>2.2325389855628894</v>
      </c>
      <c r="AD430" s="57" cm="1">
        <f t="array" ref="AD430">VLOOKUP(B430,'Player Data'!$A1:$AE673,18,FALSE)*$Q430</f>
        <v>24.361537573204078</v>
      </c>
      <c r="AE430" s="57" cm="1">
        <f t="array" ref="AE430">VLOOKUP(B430,'Player Data'!$A1:$AE673,19,FALSE)*$Q430*IFERROR((VLOOKUP(P430,Settings!$E$28:$F$33,2,FALSE)+1),1)</f>
        <v>2.3015952130076616</v>
      </c>
      <c r="AF430" s="57" cm="1">
        <f t="array" ref="AF430">VLOOKUP(B430,'Player Data'!$A1:$AE673,20,FALSE)*$Q430</f>
        <v>124.6753409822018</v>
      </c>
      <c r="AG430" s="57" cm="1">
        <f t="array" ref="AG430">VLOOKUP(B430,'Player Data'!$A1:$AE673,21,FALSE)*$Q430</f>
        <v>266.4467485706657</v>
      </c>
      <c r="AH430" s="59" cm="1">
        <f t="array" ref="AH430">VLOOKUP(B430,'Player Data'!$A1:$AE673,22,FALSE)</f>
        <v>0.318763231002194</v>
      </c>
      <c r="AI430" s="55"/>
      <c r="AJ430" s="57"/>
      <c r="AK430" s="57"/>
      <c r="AL430" s="57"/>
      <c r="AM430" s="57"/>
      <c r="AN430" s="57"/>
      <c r="AO430" s="57"/>
      <c r="AP430" s="57"/>
      <c r="AQ430" s="60"/>
      <c r="AR430" s="61"/>
      <c r="AS430" s="55"/>
    </row>
    <row r="431" spans="1:45" ht="21.25" customHeight="1" x14ac:dyDescent="0.15">
      <c r="A431" s="62">
        <f t="shared" si="6"/>
        <v>430</v>
      </c>
      <c r="B431" s="10" t="s">
        <v>559</v>
      </c>
      <c r="C431" s="47" t="s">
        <v>147</v>
      </c>
      <c r="D431" s="48" t="str" cm="1">
        <f t="array" ref="D431">VLOOKUP(B431,'Player Data'!A1:D673,4,FALSE)</f>
        <v>D</v>
      </c>
      <c r="E431" s="68" cm="1">
        <f t="array" ref="E431">VLOOKUP(B431,D!A1:C204,3,FALSE)</f>
        <v>180</v>
      </c>
      <c r="F431" s="72" t="str" cm="1">
        <f t="array" ref="F431">VLOOKUP(B431,'Player Data'!A1:B673,2,FALSE)</f>
        <v>DET</v>
      </c>
      <c r="G431" s="11" cm="1">
        <f t="array" ref="G431">VLOOKUP(B431,'Player Data'!A1:D673,3,FALSE)</f>
        <v>25</v>
      </c>
      <c r="H431" s="67" cm="1">
        <f t="array" ref="H431">IFERROR(VLOOKUP(B431,ADP!A1:F671,6,FALSE)/1000000,VLOOKUP(B431,ADP!A1:F671,6,FALSE))</f>
        <v>1.125</v>
      </c>
      <c r="I431" s="52">
        <f>IF(Settings!$E$15="POINTS",((R431*Q431)*Settings!$B$12)+(S431*Settings!$B$2)+(T431*Settings!$B$3)+(U431*Settings!$B$4)+(V431*Settings!$B$5)+(X431*Settings!$B$9)+(AA431*Settings!$B$6)+(W431*Settings!$B$8)+(AB431*Settings!$B$7)+(AC431*Settings!$B$14)+(AD431*Settings!$B$15)+(AE431*Settings!$B$16)+(AF431*Settings!$B$17)+(AG431*Settings!$B$18)+(U431*Settings!$B$13)+(Y431*Settings!$B$10)+(Z431*Settings!$B$11),VLOOKUP(B431,'Standard Deviations'!A$1:C$672,3,FALSE))</f>
        <v>112.12730742254092</v>
      </c>
      <c r="J431" s="53" cm="1">
        <f t="array" ref="J431">IF(D431="G",I431/AJ431,I431/Q431)</f>
        <v>1.4185698506821129</v>
      </c>
      <c r="K431" s="52" cm="1">
        <f t="array" ref="K431">VLOOKUP(B431,D!A1:F204,6,FALSE)</f>
        <v>-194.52655992205314</v>
      </c>
      <c r="L431" s="54" cm="1">
        <f t="array" ref="L431">IFERROR(K431/H431,"N/A")</f>
        <v>-172.91249770849168</v>
      </c>
      <c r="M431" s="85" t="s">
        <v>832</v>
      </c>
      <c r="N431" s="85" t="str" cm="1">
        <f t="array" ref="N431">IFERROR(M431-A431,"N/A")</f>
        <v>N/A</v>
      </c>
      <c r="O431" s="55"/>
      <c r="P431" s="56" t="str" cm="1">
        <f t="array" ref="P431">_xlfn.XLOOKUP($B431,ADP!A2:A671,ADP!G2:G671)</f>
        <v xml:space="preserve"> </v>
      </c>
      <c r="Q431" s="57" cm="1">
        <f t="array" ref="Q431">IF(Settings!$E$12="YES",VLOOKUP(B431,'Player Data'!A1:E673,5,FALSE),84)</f>
        <v>79.042500000000004</v>
      </c>
      <c r="R431" s="55" cm="1">
        <f t="array" ref="R431">VLOOKUP(B431,'Player Data'!$A1:$AE673,6,FALSE)</f>
        <v>15.314742429497</v>
      </c>
      <c r="S431" s="57" cm="1">
        <f t="array" ref="S431">VLOOKUP(B431,'Player Data'!$A1:$AE673,7,FALSE)*$Q431*IFERROR((VLOOKUP(P431,Settings!$E$28:$F$33,2,FALSE)+1),1)</f>
        <v>3.2291574224057413</v>
      </c>
      <c r="T431" s="57" cm="1">
        <f t="array" ref="T431">VLOOKUP(B431,'Player Data'!$A1:$AE673,8,FALSE)*$Q431*IFERROR((VLOOKUP(P431,Settings!$E$28:$F$33,2,FALSE)+1),1)</f>
        <v>8.9501231018067227</v>
      </c>
      <c r="U431" s="57" cm="1">
        <f t="array" ref="U431">SUM(S431:T431)</f>
        <v>12.179280524212464</v>
      </c>
      <c r="V431" s="57" cm="1">
        <f t="array" ref="V431">VLOOKUP(B431,'Player Data'!$A1:$AE673,10,FALSE)*$Q431*IFERROR(((VLOOKUP(P431,Settings!$E$28:$F$33,2,FALSE)/2)+1),1)</f>
        <v>59.978868572249027</v>
      </c>
      <c r="W431" s="57" cm="1">
        <f t="array" ref="W431">VLOOKUP(B431,'Player Data'!$A1:$AE673,11,FALSE)*$Q431*IFERROR((VLOOKUP(P431,Settings!$E$28:$F$33,2,FALSE)+1),1)</f>
        <v>8.5411664688231775E-3</v>
      </c>
      <c r="X431" s="57" cm="1">
        <f t="array" ref="X431">VLOOKUP(B431,'Player Data'!$A1:$AE673,12,FALSE)*$Q431*IFERROR((VLOOKUP(P431,Settings!$E$28:$F$33,2,FALSE)+1),1)</f>
        <v>6.5996094362999164E-2</v>
      </c>
      <c r="Y431" s="57" cm="1">
        <f t="array" ref="Y431">VLOOKUP(B431,'Player Data'!$A1:$AE673,13,FALSE)*$Q431</f>
        <v>0.39707740069871256</v>
      </c>
      <c r="Z431" s="57" cm="1">
        <f t="array" ref="Z431">VLOOKUP(B431,'Player Data'!$A1:$AE673,14,FALSE)*$Q431</f>
        <v>0.8444221288687862</v>
      </c>
      <c r="AA431" s="57" cm="1">
        <f t="array" ref="AA431">VLOOKUP(B431,'Player Data'!$A1:$AE673,15,FALSE)*$Q431</f>
        <v>89.379226681094465</v>
      </c>
      <c r="AB431" s="57" cm="1">
        <f t="array" ref="AB431">VLOOKUP(B431,'Player Data'!$A1:$AE673,16,FALSE)*$Q431</f>
        <v>65.729734296199226</v>
      </c>
      <c r="AC431" s="57" cm="1">
        <f t="array" ref="AC431">VLOOKUP(B431,'Player Data'!$A1:$AE673,17,FALSE)*$Q431*IFERROR((VLOOKUP(P431,Settings!$E$28:$F$33,2,FALSE)+1),1)</f>
        <v>-3.4051559430281668</v>
      </c>
      <c r="AD431" s="57" cm="1">
        <f t="array" ref="AD431">VLOOKUP(B431,'Player Data'!$A1:$AE673,18,FALSE)*$Q431</f>
        <v>21.317527676900109</v>
      </c>
      <c r="AE431" s="57" cm="1">
        <f t="array" ref="AE431">VLOOKUP(B431,'Player Data'!$A1:$AE673,19,FALSE)*$Q431*IFERROR((VLOOKUP(P431,Settings!$E$28:$F$33,2,FALSE)+1),1)</f>
        <v>0.5060344852147779</v>
      </c>
      <c r="AF431" s="57" cm="1">
        <f t="array" ref="AF431">VLOOKUP(B431,'Player Data'!$A1:$AE673,20,FALSE)*$Q431</f>
        <v>0</v>
      </c>
      <c r="AG431" s="57" cm="1">
        <f t="array" ref="AG431">VLOOKUP(B431,'Player Data'!$A1:$AE673,21,FALSE)*$Q431</f>
        <v>0</v>
      </c>
      <c r="AH431" s="59" cm="1">
        <f t="array" ref="AH431">VLOOKUP(B431,'Player Data'!$A1:$AE673,22,FALSE)</f>
        <v>0</v>
      </c>
      <c r="AI431" s="55"/>
      <c r="AJ431" s="57"/>
      <c r="AK431" s="57"/>
      <c r="AL431" s="57"/>
      <c r="AM431" s="57"/>
      <c r="AN431" s="57"/>
      <c r="AO431" s="57"/>
      <c r="AP431" s="57"/>
      <c r="AQ431" s="60"/>
      <c r="AR431" s="61"/>
      <c r="AS431" s="55"/>
    </row>
    <row r="432" spans="1:45" ht="21.25" customHeight="1" x14ac:dyDescent="0.15">
      <c r="A432" s="62">
        <f t="shared" si="6"/>
        <v>431</v>
      </c>
      <c r="B432" s="10" t="s">
        <v>560</v>
      </c>
      <c r="C432" s="47" t="s">
        <v>147</v>
      </c>
      <c r="D432" s="48" t="str" cm="1">
        <f t="array" ref="D432">VLOOKUP(B432,'Player Data'!A1:D673,4,FALSE)</f>
        <v>D</v>
      </c>
      <c r="E432" s="68" cm="1">
        <f t="array" ref="E432">VLOOKUP(B432,D!A1:C204,3,FALSE)</f>
        <v>181</v>
      </c>
      <c r="F432" s="65" t="str" cm="1">
        <f t="array" ref="F432">VLOOKUP(B432,'Player Data'!A1:B673,2,FALSE)</f>
        <v>T.B</v>
      </c>
      <c r="G432" s="11" cm="1">
        <f t="array" ref="G432">VLOOKUP(B432,'Player Data'!A1:D673,3,FALSE)</f>
        <v>25</v>
      </c>
      <c r="H432" s="67" cm="1">
        <f t="array" ref="H432">IFERROR(VLOOKUP(B432,ADP!A1:F671,6,FALSE)/1000000,VLOOKUP(B432,ADP!A1:F671,6,FALSE))</f>
        <v>0.82499999999999996</v>
      </c>
      <c r="I432" s="52">
        <f>IF(Settings!$E$15="POINTS",((R432*Q432)*Settings!$B$12)+(S432*Settings!$B$2)+(T432*Settings!$B$3)+(U432*Settings!$B$4)+(V432*Settings!$B$5)+(X432*Settings!$B$9)+(AA432*Settings!$B$6)+(W432*Settings!$B$8)+(AB432*Settings!$B$7)+(AC432*Settings!$B$14)+(AD432*Settings!$B$15)+(AE432*Settings!$B$16)+(AF432*Settings!$B$17)+(AG432*Settings!$B$18)+(U432*Settings!$B$13)+(Y432*Settings!$B$10)+(Z432*Settings!$B$11),VLOOKUP(B432,'Standard Deviations'!A$1:C$672,3,FALSE))</f>
        <v>112.12429114976052</v>
      </c>
      <c r="J432" s="53" cm="1">
        <f t="array" ref="J432">IF(D432="G",I432/AJ432,I432/Q432)</f>
        <v>1.5354233639131876</v>
      </c>
      <c r="K432" s="52" cm="1">
        <f t="array" ref="K432">VLOOKUP(B432,D!A1:F204,6,FALSE)</f>
        <v>-194.52957619483354</v>
      </c>
      <c r="L432" s="54" cm="1">
        <f t="array" ref="L432">IFERROR(K432/H432,"N/A")</f>
        <v>-235.79342569070732</v>
      </c>
      <c r="M432" s="85" t="s">
        <v>832</v>
      </c>
      <c r="N432" s="85" t="str" cm="1">
        <f t="array" ref="N432">IFERROR(M432-A432,"N/A")</f>
        <v>N/A</v>
      </c>
      <c r="O432" s="55"/>
      <c r="P432" s="56" t="str" cm="1">
        <f t="array" ref="P432">_xlfn.XLOOKUP($B432,ADP!A2:A671,ADP!G2:G671)</f>
        <v xml:space="preserve"> </v>
      </c>
      <c r="Q432" s="57" cm="1">
        <f t="array" ref="Q432">IF(Settings!$E$12="YES",VLOOKUP(B432,'Player Data'!A1:E673,5,FALSE),84)</f>
        <v>73.025000000000006</v>
      </c>
      <c r="R432" s="84" cm="1">
        <f t="array" ref="R432">VLOOKUP(B432,'Player Data'!$A1:$AE673,6,FALSE)</f>
        <v>15.5850057257828</v>
      </c>
      <c r="S432" s="57" cm="1">
        <f t="array" ref="S432">VLOOKUP(B432,'Player Data'!$A1:$AE673,7,FALSE)*$Q432*IFERROR((VLOOKUP(P432,Settings!$E$28:$F$33,2,FALSE)+1),1)</f>
        <v>2.8115391269319456</v>
      </c>
      <c r="T432" s="57" cm="1">
        <f t="array" ref="T432">VLOOKUP(B432,'Player Data'!$A1:$AE673,8,FALSE)*$Q432*IFERROR((VLOOKUP(P432,Settings!$E$28:$F$33,2,FALSE)+1),1)</f>
        <v>13.709090095876856</v>
      </c>
      <c r="U432" s="57" cm="1">
        <f t="array" ref="U432">SUM(S432:T432)</f>
        <v>16.5206292228088</v>
      </c>
      <c r="V432" s="57" cm="1">
        <f t="array" ref="V432">VLOOKUP(B432,'Player Data'!$A1:$AE673,10,FALSE)*$Q432*IFERROR(((VLOOKUP(P432,Settings!$E$28:$F$33,2,FALSE)/2)+1),1)</f>
        <v>56.853222442473886</v>
      </c>
      <c r="W432" s="57" cm="1">
        <f t="array" ref="W432">VLOOKUP(B432,'Player Data'!$A1:$AE673,11,FALSE)*$Q432*IFERROR((VLOOKUP(P432,Settings!$E$28:$F$33,2,FALSE)+1),1)</f>
        <v>5.6146273773577332E-3</v>
      </c>
      <c r="X432" s="57" cm="1">
        <f t="array" ref="X432">VLOOKUP(B432,'Player Data'!$A1:$AE673,12,FALSE)*$Q432*IFERROR((VLOOKUP(P432,Settings!$E$28:$F$33,2,FALSE)+1),1)</f>
        <v>4.2122036892546205E-2</v>
      </c>
      <c r="Y432" s="57" cm="1">
        <f t="array" ref="Y432">VLOOKUP(B432,'Player Data'!$A1:$AE673,13,FALSE)*$Q432</f>
        <v>1.7533935785168465E-2</v>
      </c>
      <c r="Z432" s="57" cm="1">
        <f t="array" ref="Z432">VLOOKUP(B432,'Player Data'!$A1:$AE673,14,FALSE)*$Q432</f>
        <v>0.2219765233774072</v>
      </c>
      <c r="AA432" s="57" cm="1">
        <f t="array" ref="AA432">VLOOKUP(B432,'Player Data'!$A1:$AE673,15,FALSE)*$Q432</f>
        <v>67.743387399654438</v>
      </c>
      <c r="AB432" s="57" cm="1">
        <f t="array" ref="AB432">VLOOKUP(B432,'Player Data'!$A1:$AE673,16,FALSE)*$Q432</f>
        <v>109.75773171038657</v>
      </c>
      <c r="AC432" s="57" cm="1">
        <f t="array" ref="AC432">VLOOKUP(B432,'Player Data'!$A1:$AE673,17,FALSE)*$Q432*IFERROR((VLOOKUP(P432,Settings!$E$28:$F$33,2,FALSE)+1),1)</f>
        <v>5.7341919368910776</v>
      </c>
      <c r="AD432" s="57" cm="1">
        <f t="array" ref="AD432">VLOOKUP(B432,'Player Data'!$A1:$AE673,18,FALSE)*$Q432</f>
        <v>63.162415060738404</v>
      </c>
      <c r="AE432" s="57" cm="1">
        <f t="array" ref="AE432">VLOOKUP(B432,'Player Data'!$A1:$AE673,19,FALSE)*$Q432*IFERROR((VLOOKUP(P432,Settings!$E$28:$F$33,2,FALSE)+1),1)</f>
        <v>0.49907473157212695</v>
      </c>
      <c r="AF432" s="57" cm="1">
        <f t="array" ref="AF432">VLOOKUP(B432,'Player Data'!$A1:$AE673,20,FALSE)*$Q432</f>
        <v>0</v>
      </c>
      <c r="AG432" s="57" cm="1">
        <f t="array" ref="AG432">VLOOKUP(B432,'Player Data'!$A1:$AE673,21,FALSE)*$Q432</f>
        <v>0</v>
      </c>
      <c r="AH432" s="59" cm="1">
        <f t="array" ref="AH432">VLOOKUP(B432,'Player Data'!$A1:$AE673,22,FALSE)</f>
        <v>0</v>
      </c>
      <c r="AI432" s="55"/>
      <c r="AJ432" s="57"/>
      <c r="AK432" s="57"/>
      <c r="AL432" s="57"/>
      <c r="AM432" s="57"/>
      <c r="AN432" s="57"/>
      <c r="AO432" s="57"/>
      <c r="AP432" s="57"/>
      <c r="AQ432" s="60"/>
      <c r="AR432" s="61"/>
      <c r="AS432" s="55"/>
    </row>
    <row r="433" spans="1:45" ht="21.25" customHeight="1" x14ac:dyDescent="0.15">
      <c r="A433" s="62">
        <f t="shared" si="6"/>
        <v>432</v>
      </c>
      <c r="B433" s="10" t="s">
        <v>561</v>
      </c>
      <c r="C433" s="76"/>
      <c r="D433" s="48" t="str" cm="1">
        <f t="array" ref="D433">VLOOKUP(B433,'Player Data'!A1:D673,4,FALSE)</f>
        <v>G</v>
      </c>
      <c r="E433" s="77" cm="1">
        <f t="array" ref="E433">VLOOKUP(B433,G!A1:D66,3,FALSE)</f>
        <v>48</v>
      </c>
      <c r="F433" s="65" t="str" cm="1">
        <f t="array" ref="F433">VLOOKUP(B433,'Player Data'!A1:B673,2,FALSE)</f>
        <v>MTL</v>
      </c>
      <c r="G433" s="71" cm="1">
        <f t="array" ref="G433">VLOOKUP(B433,'Player Data'!A1:D673,3,FALSE)</f>
        <v>21</v>
      </c>
      <c r="H433" s="51" cm="1">
        <f t="array" ref="H433">IFERROR(VLOOKUP(B433,ADP!A1:F671,6,FALSE)/1000000,VLOOKUP(B433,ADP!A1:F671,6,FALSE))</f>
        <v>0.94583300000000003</v>
      </c>
      <c r="I433" s="52">
        <f>IF(Settings!$E$15="POINTS",(AJ433*Settings!$B$29)+(AK433*Settings!$B$21)+(AL433*Settings!$B$22)+(AN433*Settings!$B$24)+(AO433*Settings!$B$25)+(AP433*Settings!$B$27)+(AM433*Settings!$B$23),VLOOKUP(B433,'Standard Deviations'!A$1:C$672,3,FALSE))</f>
        <v>163.76008212014096</v>
      </c>
      <c r="J433" s="53" cm="1">
        <f t="array" ref="J433">IF(D433="G",I433/AJ433,I433/Q433)</f>
        <v>5.4586694040046986</v>
      </c>
      <c r="K433" s="52" cm="1">
        <f t="array" ref="K433">VLOOKUP(B433,G!A1:F66,6,FALSE)</f>
        <v>-195.39782581009706</v>
      </c>
      <c r="L433" s="54" cm="1">
        <f t="array" ref="L433">IFERROR(K433/H433,"N/A")</f>
        <v>-206.58808247343563</v>
      </c>
      <c r="M433" s="55">
        <v>153.4</v>
      </c>
      <c r="N433" s="55" cm="1">
        <f t="array" ref="N433">IFERROR(M433-A433,"N/A")</f>
        <v>-278.60000000000002</v>
      </c>
      <c r="O433" s="55"/>
      <c r="P433" s="56" t="str" cm="1">
        <f t="array" ref="P433">_xlfn.XLOOKUP($B433,ADP!A2:A671,ADP!G2:G671)</f>
        <v xml:space="preserve"> </v>
      </c>
      <c r="Q433" s="57"/>
      <c r="R433" s="55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9"/>
      <c r="AI433" s="55"/>
      <c r="AJ433" s="78" cm="1">
        <f t="array" ref="AJ433">VLOOKUP(B433,'Player Data'!$A1:$AE673,24,FALSE)</f>
        <v>30</v>
      </c>
      <c r="AK433" s="57" cm="1">
        <f t="array" ref="AK433">VLOOKUP(B433,'Player Data'!$A1:$AE673,25,FALSE)*$AJ433*IFERROR((VLOOKUP(P433,Settings!$E$28:$F$33,2,FALSE)+1),1)</f>
        <v>15.792048346063289</v>
      </c>
      <c r="AL433" s="57" cm="1">
        <f t="array" ref="AL433">AJ433-AK433-AM433</f>
        <v>10.65596374045254</v>
      </c>
      <c r="AM433" s="57" cm="1">
        <f t="array" ref="AM433">VLOOKUP(B433,'Player Data'!$A1:$AE673,27,FALSE)*$AJ433</f>
        <v>3.5519879134841701</v>
      </c>
      <c r="AN433" s="57" cm="1">
        <f t="array" ref="AN433">VLOOKUP(B433,'Player Data'!$A1:$AE673,28,FALSE)*AJ433</f>
        <v>1.373036590079088</v>
      </c>
      <c r="AO433" s="57" cm="1">
        <f t="array" ref="AO433">VLOOKUP(B433,'Player Data'!$A1:$AE673,29,FALSE)*$AJ433*IFERROR((VLOOKUP(P433,Settings!$E$28:$F$33,2,FALSE)/4)+1,1)</f>
        <v>760.20217349062204</v>
      </c>
      <c r="AP433" s="57" cm="1">
        <f t="array" ref="AP433">VLOOKUP(B433,'Player Data'!$A1:$AE673,31,FALSE)*$AJ433*(IFERROR(1-(VLOOKUP(P433,Settings!$E$28:$F$33,2,FALSE)/4),1))</f>
        <v>88.363395417812995</v>
      </c>
      <c r="AQ433" s="60" cm="1">
        <f t="array" ref="AQ433">1-(AP433/(AO433+AP433))</f>
        <v>0.89586733346784198</v>
      </c>
      <c r="AR433" s="61" cm="1">
        <f t="array" ref="AR433">AP433/AJ433</f>
        <v>2.9454465139271</v>
      </c>
      <c r="AS433" s="55"/>
    </row>
    <row r="434" spans="1:45" ht="21.25" customHeight="1" x14ac:dyDescent="0.15">
      <c r="A434" s="62">
        <f t="shared" si="6"/>
        <v>433</v>
      </c>
      <c r="B434" s="10" t="s">
        <v>562</v>
      </c>
      <c r="C434" s="47" t="s">
        <v>147</v>
      </c>
      <c r="D434" s="48" t="str" cm="1">
        <f t="array" ref="D434">VLOOKUP(B434,'Player Data'!A1:D673,4,FALSE)</f>
        <v>C</v>
      </c>
      <c r="E434" s="49" cm="1">
        <f t="array" ref="E434">VLOOKUP(B434,'C'!A1:C210,3,FALSE)</f>
        <v>109</v>
      </c>
      <c r="F434" s="69" t="str" cm="1">
        <f t="array" ref="F434">VLOOKUP(B434,'Player Data'!A1:B673,2,FALSE)</f>
        <v>MTL</v>
      </c>
      <c r="G434" s="71" cm="1">
        <f t="array" ref="G434">VLOOKUP(B434,'Player Data'!A1:D673,3,FALSE)</f>
        <v>23</v>
      </c>
      <c r="H434" s="51" cm="1">
        <f t="array" ref="H434">IFERROR(VLOOKUP(B434,ADP!A1:F671,6,FALSE)/1000000,VLOOKUP(B434,ADP!A1:F671,6,FALSE))</f>
        <v>0.9425</v>
      </c>
      <c r="I434" s="52">
        <f>IF(Settings!$E$15="POINTS",((R434*Q434)*Settings!$B$12)+(S434*Settings!$B$2)+(T434*Settings!$B$3)+(U434*Settings!$B$4)+(V434*Settings!$B$5)+(X434*Settings!$B$9)+(AA434*Settings!$B$6)+(W434*Settings!$B$8)+(AB434*Settings!$B$7)+(AC434*Settings!$B$14)+(AD434*Settings!$B$15)+(AE434*Settings!$B$16)+(AF434*Settings!$B$17)+(AG434*Settings!$B$18)+(Y434*Settings!$B$10)+(Z434*Settings!$B$11),VLOOKUP(B434,'Standard Deviations'!A$1:C$672,3,FALSE))</f>
        <v>190.82985431192282</v>
      </c>
      <c r="J434" s="53" cm="1">
        <f t="array" ref="J434">IF(D434="G",I434/AJ434,I434/Q434)</f>
        <v>2.4311858370152919</v>
      </c>
      <c r="K434" s="52" cm="1">
        <f t="array" ref="K434">IF(Settings!$E$18="C/LW/RW",VLOOKUP(B434,'C'!A1:F210,6,FALSE),VLOOKUP(B434,F!A1:F407,6,FALSE))</f>
        <v>-195.70535208116019</v>
      </c>
      <c r="L434" s="54" cm="1">
        <f t="array" ref="L434">IFERROR(K434/H434,"N/A")</f>
        <v>-207.64493589513017</v>
      </c>
      <c r="M434" s="85" t="s">
        <v>832</v>
      </c>
      <c r="N434" s="85" t="str" cm="1">
        <f t="array" ref="N434">IFERROR(M434-A434,"N/A")</f>
        <v>N/A</v>
      </c>
      <c r="O434" s="55"/>
      <c r="P434" s="56" t="str" cm="1">
        <f t="array" ref="P434">_xlfn.XLOOKUP($B434,ADP!A2:A671,ADP!G2:G671)</f>
        <v xml:space="preserve"> </v>
      </c>
      <c r="Q434" s="57" cm="1">
        <f t="array" ref="Q434">IF(Settings!$E$12="YES",VLOOKUP(B434,'Player Data'!A1:E673,5,FALSE),84)</f>
        <v>78.492500000000007</v>
      </c>
      <c r="R434" s="55" cm="1">
        <f t="array" ref="R434">VLOOKUP(B434,'Player Data'!$A1:$AE673,6,FALSE)</f>
        <v>14.095800476372</v>
      </c>
      <c r="S434" s="57" cm="1">
        <f t="array" ref="S434">VLOOKUP(B434,'Player Data'!$A1:$AE673,7,FALSE)*$Q434*IFERROR((VLOOKUP(P434,Settings!$E$28:$F$33,2,FALSE)+1),1)</f>
        <v>17.404578500655727</v>
      </c>
      <c r="T434" s="57" cm="1">
        <f t="array" ref="T434">VLOOKUP(B434,'Player Data'!$A1:$AE673,8,FALSE)*$Q434*IFERROR((VLOOKUP(P434,Settings!$E$28:$F$33,2,FALSE)+1),1)</f>
        <v>15.274968707657404</v>
      </c>
      <c r="U434" s="57" cm="1">
        <f t="array" ref="U434">SUM(S434:T434)</f>
        <v>32.679547208313132</v>
      </c>
      <c r="V434" s="57" cm="1">
        <f t="array" ref="V434">VLOOKUP(B434,'Player Data'!$A1:$AE673,10,FALSE)*$Q434*IFERROR(((VLOOKUP(P434,Settings!$E$28:$F$33,2,FALSE)/2)+1),1)</f>
        <v>120.70849185241032</v>
      </c>
      <c r="W434" s="57" cm="1">
        <f t="array" ref="W434">VLOOKUP(B434,'Player Data'!$A1:$AE673,11,FALSE)*$Q434*IFERROR((VLOOKUP(P434,Settings!$E$28:$F$33,2,FALSE)+1),1)</f>
        <v>1.0579321322786708</v>
      </c>
      <c r="X434" s="57" cm="1">
        <f t="array" ref="X434">VLOOKUP(B434,'Player Data'!$A1:$AE673,12,FALSE)*$Q434*IFERROR((VLOOKUP(P434,Settings!$E$28:$F$33,2,FALSE)+1),1)</f>
        <v>2.1696818576662444</v>
      </c>
      <c r="Y434" s="57" cm="1">
        <f t="array" ref="Y434">VLOOKUP(B434,'Player Data'!$A1:$AE673,13,FALSE)*$Q434</f>
        <v>0.71935651328215644</v>
      </c>
      <c r="Z434" s="57" cm="1">
        <f t="array" ref="Z434">VLOOKUP(B434,'Player Data'!$A1:$AE673,14,FALSE)*$Q434</f>
        <v>2.0180999692873325</v>
      </c>
      <c r="AA434" s="57" cm="1">
        <f t="array" ref="AA434">VLOOKUP(B434,'Player Data'!$A1:$AE673,15,FALSE)*$Q434</f>
        <v>56.498369867649409</v>
      </c>
      <c r="AB434" s="57" cm="1">
        <f t="array" ref="AB434">VLOOKUP(B434,'Player Data'!$A1:$AE673,16,FALSE)*$Q434</f>
        <v>38.098522272466241</v>
      </c>
      <c r="AC434" s="57" cm="1">
        <f t="array" ref="AC434">VLOOKUP(B434,'Player Data'!$A1:$AE673,17,FALSE)*$Q434*IFERROR((VLOOKUP(P434,Settings!$E$28:$F$33,2,FALSE)+1),1)</f>
        <v>0.75841436535741824</v>
      </c>
      <c r="AD434" s="57" cm="1">
        <f t="array" ref="AD434">VLOOKUP(B434,'Player Data'!$A1:$AE673,18,FALSE)*$Q434</f>
        <v>22.34398553886485</v>
      </c>
      <c r="AE434" s="57" cm="1">
        <f t="array" ref="AE434">VLOOKUP(B434,'Player Data'!$A1:$AE673,19,FALSE)*$Q434*IFERROR((VLOOKUP(P434,Settings!$E$28:$F$33,2,FALSE)+1),1)</f>
        <v>2.8976909485149589</v>
      </c>
      <c r="AF434" s="57" cm="1">
        <f t="array" ref="AF434">VLOOKUP(B434,'Player Data'!$A1:$AE673,20,FALSE)*$Q434</f>
        <v>278.64684768835809</v>
      </c>
      <c r="AG434" s="57" cm="1">
        <f t="array" ref="AG434">VLOOKUP(B434,'Player Data'!$A1:$AE673,21,FALSE)*$Q434</f>
        <v>337.65173193598253</v>
      </c>
      <c r="AH434" s="59" cm="1">
        <f t="array" ref="AH434">VLOOKUP(B434,'Player Data'!$A1:$AE673,22,FALSE)</f>
        <v>0.452129628236698</v>
      </c>
      <c r="AI434" s="55"/>
      <c r="AJ434" s="57"/>
      <c r="AK434" s="57"/>
      <c r="AL434" s="57"/>
      <c r="AM434" s="57"/>
      <c r="AN434" s="57"/>
      <c r="AO434" s="57"/>
      <c r="AP434" s="57"/>
      <c r="AQ434" s="60"/>
      <c r="AR434" s="61"/>
      <c r="AS434" s="55"/>
    </row>
    <row r="435" spans="1:45" ht="21.25" customHeight="1" x14ac:dyDescent="0.15">
      <c r="A435" s="62">
        <f t="shared" si="6"/>
        <v>434</v>
      </c>
      <c r="B435" s="10" t="s">
        <v>563</v>
      </c>
      <c r="C435" s="47" t="s">
        <v>147</v>
      </c>
      <c r="D435" s="48" t="str" cm="1">
        <f t="array" ref="D435">VLOOKUP(B435,'Player Data'!A1:D673,4,FALSE)</f>
        <v>D</v>
      </c>
      <c r="E435" s="68" cm="1">
        <f t="array" ref="E435">VLOOKUP(B435,D!A1:C204,3,FALSE)</f>
        <v>182</v>
      </c>
      <c r="F435" s="63" t="str" cm="1">
        <f t="array" ref="F435">VLOOKUP(B435,'Player Data'!A1:B673,2,FALSE)</f>
        <v>EDM</v>
      </c>
      <c r="G435" s="71" cm="1">
        <f t="array" ref="G435">VLOOKUP(B435,'Player Data'!A1:D673,3,FALSE)</f>
        <v>24</v>
      </c>
      <c r="H435" s="51" cm="1">
        <f t="array" ref="H435">IFERROR(VLOOKUP(B435,ADP!A1:F671,6,FALSE)/1000000,VLOOKUP(B435,ADP!A1:F671,6,FALSE))</f>
        <v>1.75</v>
      </c>
      <c r="I435" s="52">
        <f>IF(Settings!$E$15="POINTS",((R435*Q435)*Settings!$B$12)+(S435*Settings!$B$2)+(T435*Settings!$B$3)+(U435*Settings!$B$4)+(V435*Settings!$B$5)+(X435*Settings!$B$9)+(AA435*Settings!$B$6)+(W435*Settings!$B$8)+(AB435*Settings!$B$7)+(AC435*Settings!$B$14)+(AD435*Settings!$B$15)+(AE435*Settings!$B$16)+(AF435*Settings!$B$17)+(AG435*Settings!$B$18)+(U435*Settings!$B$13)+(Y435*Settings!$B$10)+(Z435*Settings!$B$11),VLOOKUP(B435,'Standard Deviations'!A$1:C$672,3,FALSE))</f>
        <v>110.88315520645803</v>
      </c>
      <c r="J435" s="53" cm="1">
        <f t="array" ref="J435">IF(D435="G",I435/AJ435,I435/Q435)</f>
        <v>1.751708613056209</v>
      </c>
      <c r="K435" s="52" cm="1">
        <f t="array" ref="K435">VLOOKUP(B435,D!A1:F204,6,FALSE)</f>
        <v>-195.77071213813605</v>
      </c>
      <c r="L435" s="54" cm="1">
        <f t="array" ref="L435">IFERROR(K435/H435,"N/A")</f>
        <v>-111.86897836464917</v>
      </c>
      <c r="M435" s="85" t="s">
        <v>832</v>
      </c>
      <c r="N435" s="85" t="str" cm="1">
        <f t="array" ref="N435">IFERROR(M435-A435,"N/A")</f>
        <v>N/A</v>
      </c>
      <c r="O435" s="55"/>
      <c r="P435" s="56" t="str" cm="1">
        <f t="array" ref="P435">_xlfn.XLOOKUP($B435,ADP!A2:A671,ADP!G2:G671)</f>
        <v xml:space="preserve"> </v>
      </c>
      <c r="Q435" s="57" cm="1">
        <f t="array" ref="Q435">IF(Settings!$E$12="YES",VLOOKUP(B435,'Player Data'!A1:E673,5,FALSE),84)</f>
        <v>63.3</v>
      </c>
      <c r="R435" s="84" cm="1">
        <f t="array" ref="R435">VLOOKUP(B435,'Player Data'!$A1:$AE673,6,FALSE)</f>
        <v>16.007254397733998</v>
      </c>
      <c r="S435" s="57" cm="1">
        <f t="array" ref="S435">VLOOKUP(B435,'Player Data'!$A1:$AE673,7,FALSE)*$Q435*IFERROR((VLOOKUP(P435,Settings!$E$28:$F$33,2,FALSE)+1),1)</f>
        <v>4.5617020947765559</v>
      </c>
      <c r="T435" s="57" cm="1">
        <f t="array" ref="T435">VLOOKUP(B435,'Player Data'!$A1:$AE673,8,FALSE)*$Q435*IFERROR((VLOOKUP(P435,Settings!$E$28:$F$33,2,FALSE)+1),1)</f>
        <v>9.6162279128335175</v>
      </c>
      <c r="U435" s="57" cm="1">
        <f t="array" ref="U435">SUM(S435:T435)</f>
        <v>14.177930007610072</v>
      </c>
      <c r="V435" s="57" cm="1">
        <f t="array" ref="V435">VLOOKUP(B435,'Player Data'!$A1:$AE673,10,FALSE)*$Q435*IFERROR(((VLOOKUP(P435,Settings!$E$28:$F$33,2,FALSE)/2)+1),1)</f>
        <v>58.439227491009831</v>
      </c>
      <c r="W435" s="57" cm="1">
        <f t="array" ref="W435">VLOOKUP(B435,'Player Data'!$A1:$AE673,11,FALSE)*$Q435*IFERROR((VLOOKUP(P435,Settings!$E$28:$F$33,2,FALSE)+1),1)</f>
        <v>6.4068346269746867E-3</v>
      </c>
      <c r="X435" s="57" cm="1">
        <f t="array" ref="X435">VLOOKUP(B435,'Player Data'!$A1:$AE673,12,FALSE)*$Q435*IFERROR((VLOOKUP(P435,Settings!$E$28:$F$33,2,FALSE)+1),1)</f>
        <v>0.14100999140663542</v>
      </c>
      <c r="Y435" s="57" cm="1">
        <f t="array" ref="Y435">VLOOKUP(B435,'Player Data'!$A1:$AE673,13,FALSE)*$Q435</f>
        <v>2.8252641830194238E-2</v>
      </c>
      <c r="Z435" s="57" cm="1">
        <f t="array" ref="Z435">VLOOKUP(B435,'Player Data'!$A1:$AE673,14,FALSE)*$Q435</f>
        <v>9.7644500345923993E-2</v>
      </c>
      <c r="AA435" s="57" cm="1">
        <f t="array" ref="AA435">VLOOKUP(B435,'Player Data'!$A1:$AE673,15,FALSE)*$Q435</f>
        <v>77.782193892740679</v>
      </c>
      <c r="AB435" s="57" cm="1">
        <f t="array" ref="AB435">VLOOKUP(B435,'Player Data'!$A1:$AE673,16,FALSE)*$Q435</f>
        <v>53.084026614617358</v>
      </c>
      <c r="AC435" s="57" cm="1">
        <f t="array" ref="AC435">VLOOKUP(B435,'Player Data'!$A1:$AE673,17,FALSE)*$Q435*IFERROR((VLOOKUP(P435,Settings!$E$28:$F$33,2,FALSE)+1),1)</f>
        <v>3.4201273614923693</v>
      </c>
      <c r="AD435" s="57" cm="1">
        <f t="array" ref="AD435">VLOOKUP(B435,'Player Data'!$A1:$AE673,18,FALSE)*$Q435</f>
        <v>23.829468455131515</v>
      </c>
      <c r="AE435" s="57" cm="1">
        <f t="array" ref="AE435">VLOOKUP(B435,'Player Data'!$A1:$AE673,19,FALSE)*$Q435*IFERROR((VLOOKUP(P435,Settings!$E$28:$F$33,2,FALSE)+1),1)</f>
        <v>0.80076827606310408</v>
      </c>
      <c r="AF435" s="57" cm="1">
        <f t="array" ref="AF435">VLOOKUP(B435,'Player Data'!$A1:$AE673,20,FALSE)*$Q435</f>
        <v>0</v>
      </c>
      <c r="AG435" s="57" cm="1">
        <f t="array" ref="AG435">VLOOKUP(B435,'Player Data'!$A1:$AE673,21,FALSE)*$Q435</f>
        <v>0</v>
      </c>
      <c r="AH435" s="59" cm="1">
        <f t="array" ref="AH435">VLOOKUP(B435,'Player Data'!$A1:$AE673,22,FALSE)</f>
        <v>0</v>
      </c>
      <c r="AI435" s="55"/>
      <c r="AJ435" s="57"/>
      <c r="AK435" s="57"/>
      <c r="AL435" s="57"/>
      <c r="AM435" s="57"/>
      <c r="AN435" s="57"/>
      <c r="AO435" s="57"/>
      <c r="AP435" s="57"/>
      <c r="AQ435" s="60"/>
      <c r="AR435" s="61"/>
      <c r="AS435" s="55"/>
    </row>
    <row r="436" spans="1:45" ht="21.25" customHeight="1" x14ac:dyDescent="0.15">
      <c r="A436" s="62">
        <f t="shared" si="6"/>
        <v>435</v>
      </c>
      <c r="B436" s="10" t="s">
        <v>564</v>
      </c>
      <c r="C436" s="47" t="s">
        <v>147</v>
      </c>
      <c r="D436" s="48" t="str" cm="1">
        <f t="array" ref="D436">VLOOKUP(B436,'Player Data'!A1:D673,4,FALSE)</f>
        <v>D</v>
      </c>
      <c r="E436" s="68" cm="1">
        <f t="array" ref="E436">VLOOKUP(B436,D!A1:C204,3,FALSE)</f>
        <v>183</v>
      </c>
      <c r="F436" s="69" t="str" cm="1">
        <f t="array" ref="F436">VLOOKUP(B436,'Player Data'!A1:B673,2,FALSE)</f>
        <v>TOR</v>
      </c>
      <c r="G436" s="71" cm="1">
        <f t="array" ref="G436">VLOOKUP(B436,'Player Data'!A1:D673,3,FALSE)</f>
        <v>24</v>
      </c>
      <c r="H436" s="51" cm="1">
        <f t="array" ref="H436">IFERROR(VLOOKUP(B436,ADP!A1:F671,6,FALSE)/1000000,VLOOKUP(B436,ADP!A1:F671,6,FALSE))</f>
        <v>1.55</v>
      </c>
      <c r="I436" s="52">
        <f>IF(Settings!$E$15="POINTS",((R436*Q436)*Settings!$B$12)+(S436*Settings!$B$2)+(T436*Settings!$B$3)+(U436*Settings!$B$4)+(V436*Settings!$B$5)+(X436*Settings!$B$9)+(AA436*Settings!$B$6)+(W436*Settings!$B$8)+(AB436*Settings!$B$7)+(AC436*Settings!$B$14)+(AD436*Settings!$B$15)+(AE436*Settings!$B$16)+(AF436*Settings!$B$17)+(AG436*Settings!$B$18)+(U436*Settings!$B$13)+(Y436*Settings!$B$10)+(Z436*Settings!$B$11),VLOOKUP(B436,'Standard Deviations'!A$1:C$672,3,FALSE))</f>
        <v>110.81943600492859</v>
      </c>
      <c r="J436" s="53" cm="1">
        <f t="array" ref="J436">IF(D436="G",I436/AJ436,I436/Q436)</f>
        <v>1.5696248150551124</v>
      </c>
      <c r="K436" s="52" cm="1">
        <f t="array" ref="K436">VLOOKUP(B436,D!A1:F204,6,FALSE)</f>
        <v>-195.83443133966546</v>
      </c>
      <c r="L436" s="54" cm="1">
        <f t="array" ref="L436">IFERROR(K436/H436,"N/A")</f>
        <v>-126.34479441268739</v>
      </c>
      <c r="M436" s="85" t="s">
        <v>832</v>
      </c>
      <c r="N436" s="85" t="str" cm="1">
        <f t="array" ref="N436">IFERROR(M436-A436,"N/A")</f>
        <v>N/A</v>
      </c>
      <c r="O436" s="81"/>
      <c r="P436" s="56" t="str" cm="1">
        <f t="array" ref="P436">_xlfn.XLOOKUP($B436,ADP!A2:A671,ADP!G2:G671)</f>
        <v xml:space="preserve"> </v>
      </c>
      <c r="Q436" s="57" cm="1">
        <f t="array" ref="Q436">IF(Settings!$E$12="YES",VLOOKUP(B436,'Player Data'!A1:E673,5,FALSE),84)</f>
        <v>70.602500000000006</v>
      </c>
      <c r="R436" s="55" cm="1">
        <f t="array" ref="R436">VLOOKUP(B436,'Player Data'!$A1:$AE673,6,FALSE)</f>
        <v>16.128424727115998</v>
      </c>
      <c r="S436" s="57" cm="1">
        <f t="array" ref="S436">VLOOKUP(B436,'Player Data'!$A1:$AE673,7,FALSE)*$Q436*IFERROR((VLOOKUP(P436,Settings!$E$28:$F$33,2,FALSE)+1),1)</f>
        <v>3.0156782384549263</v>
      </c>
      <c r="T436" s="57" cm="1">
        <f t="array" ref="T436">VLOOKUP(B436,'Player Data'!$A1:$AE673,8,FALSE)*$Q436*IFERROR((VLOOKUP(P436,Settings!$E$28:$F$33,2,FALSE)+1),1)</f>
        <v>11.371162302771417</v>
      </c>
      <c r="U436" s="57" cm="1">
        <f t="array" ref="U436">SUM(S436:T436)</f>
        <v>14.386840541226343</v>
      </c>
      <c r="V436" s="57" cm="1">
        <f t="array" ref="V436">VLOOKUP(B436,'Player Data'!$A1:$AE673,10,FALSE)*$Q436*IFERROR(((VLOOKUP(P436,Settings!$E$28:$F$33,2,FALSE)/2)+1),1)</f>
        <v>56.123335949780902</v>
      </c>
      <c r="W436" s="57" cm="1">
        <f t="array" ref="W436">VLOOKUP(B436,'Player Data'!$A1:$AE673,11,FALSE)*$Q436*IFERROR((VLOOKUP(P436,Settings!$E$28:$F$33,2,FALSE)+1),1)</f>
        <v>4.6736310370362683E-3</v>
      </c>
      <c r="X436" s="57" cm="1">
        <f t="array" ref="X436">VLOOKUP(B436,'Player Data'!$A1:$AE673,12,FALSE)*$Q436*IFERROR((VLOOKUP(P436,Settings!$E$28:$F$33,2,FALSE)+1),1)</f>
        <v>0.13304965754366518</v>
      </c>
      <c r="Y436" s="57" cm="1">
        <f t="array" ref="Y436">VLOOKUP(B436,'Player Data'!$A1:$AE673,13,FALSE)*$Q436</f>
        <v>2.7357590289233638E-2</v>
      </c>
      <c r="Z436" s="57" cm="1">
        <f t="array" ref="Z436">VLOOKUP(B436,'Player Data'!$A1:$AE673,14,FALSE)*$Q436</f>
        <v>8.7007483974101338E-2</v>
      </c>
      <c r="AA436" s="57" cm="1">
        <f t="array" ref="AA436">VLOOKUP(B436,'Player Data'!$A1:$AE673,15,FALSE)*$Q436</f>
        <v>78.754378529682668</v>
      </c>
      <c r="AB436" s="57" cm="1">
        <f t="array" ref="AB436">VLOOKUP(B436,'Player Data'!$A1:$AE673,16,FALSE)*$Q436</f>
        <v>81.745937825934888</v>
      </c>
      <c r="AC436" s="57" cm="1">
        <f t="array" ref="AC436">VLOOKUP(B436,'Player Data'!$A1:$AE673,17,FALSE)*$Q436*IFERROR((VLOOKUP(P436,Settings!$E$28:$F$33,2,FALSE)+1),1)</f>
        <v>2.1918555599550431</v>
      </c>
      <c r="AD436" s="57" cm="1">
        <f t="array" ref="AD436">VLOOKUP(B436,'Player Data'!$A1:$AE673,18,FALSE)*$Q436</f>
        <v>26.074399361939879</v>
      </c>
      <c r="AE436" s="57" cm="1">
        <f t="array" ref="AE436">VLOOKUP(B436,'Player Data'!$A1:$AE673,19,FALSE)*$Q436*IFERROR((VLOOKUP(P436,Settings!$E$28:$F$33,2,FALSE)+1),1)</f>
        <v>0.41182319016600238</v>
      </c>
      <c r="AF436" s="57" cm="1">
        <f t="array" ref="AF436">VLOOKUP(B436,'Player Data'!$A1:$AE673,20,FALSE)*$Q436</f>
        <v>1.2376163009190901</v>
      </c>
      <c r="AG436" s="57" cm="1">
        <f t="array" ref="AG436">VLOOKUP(B436,'Player Data'!$A1:$AE673,21,FALSE)*$Q436</f>
        <v>1.8784604858636025</v>
      </c>
      <c r="AH436" s="59" cm="1">
        <f t="array" ref="AH436">VLOOKUP(B436,'Player Data'!$A1:$AE673,22,FALSE)</f>
        <v>0.39717131046597698</v>
      </c>
      <c r="AI436" s="55"/>
      <c r="AJ436" s="57"/>
      <c r="AK436" s="57"/>
      <c r="AL436" s="57"/>
      <c r="AM436" s="57"/>
      <c r="AN436" s="57"/>
      <c r="AO436" s="57"/>
      <c r="AP436" s="57"/>
      <c r="AQ436" s="60"/>
      <c r="AR436" s="61"/>
      <c r="AS436" s="55"/>
    </row>
    <row r="437" spans="1:45" ht="21.25" customHeight="1" x14ac:dyDescent="0.15">
      <c r="A437" s="62">
        <f t="shared" si="6"/>
        <v>436</v>
      </c>
      <c r="B437" s="10" t="s">
        <v>565</v>
      </c>
      <c r="C437" s="47" t="s">
        <v>147</v>
      </c>
      <c r="D437" s="48" t="str" cm="1">
        <f t="array" ref="D437">VLOOKUP(B437,'Player Data'!A1:D673,4,FALSE)</f>
        <v>D</v>
      </c>
      <c r="E437" s="68" cm="1">
        <f t="array" ref="E437">VLOOKUP(B437,D!A1:C204,3,FALSE)</f>
        <v>184</v>
      </c>
      <c r="F437" s="65" t="str" cm="1">
        <f t="array" ref="F437">VLOOKUP(B437,'Player Data'!A1:B673,2,FALSE)</f>
        <v>NSH</v>
      </c>
      <c r="G437" s="71" cm="1">
        <f t="array" ref="G437">VLOOKUP(B437,'Player Data'!A1:D673,3,FALSE)</f>
        <v>24</v>
      </c>
      <c r="H437" s="67" cm="1">
        <f t="array" ref="H437">IFERROR(VLOOKUP(B437,ADP!A1:F671,6,FALSE)/1000000,VLOOKUP(B437,ADP!A1:F671,6,FALSE))</f>
        <v>1.575</v>
      </c>
      <c r="I437" s="52">
        <f>IF(Settings!$E$15="POINTS",((R437*Q437)*Settings!$B$12)+(S437*Settings!$B$2)+(T437*Settings!$B$3)+(U437*Settings!$B$4)+(V437*Settings!$B$5)+(X437*Settings!$B$9)+(AA437*Settings!$B$6)+(W437*Settings!$B$8)+(AB437*Settings!$B$7)+(AC437*Settings!$B$14)+(AD437*Settings!$B$15)+(AE437*Settings!$B$16)+(AF437*Settings!$B$17)+(AG437*Settings!$B$18)+(U437*Settings!$B$13)+(Y437*Settings!$B$10)+(Z437*Settings!$B$11),VLOOKUP(B437,'Standard Deviations'!A$1:C$672,3,FALSE))</f>
        <v>110.79314620319644</v>
      </c>
      <c r="J437" s="53" cm="1">
        <f t="array" ref="J437">IF(D437="G",I437/AJ437,I437/Q437)</f>
        <v>1.5270228957783258</v>
      </c>
      <c r="K437" s="52" cm="1">
        <f t="array" ref="K437">VLOOKUP(B437,D!A1:F204,6,FALSE)</f>
        <v>-195.86072114139762</v>
      </c>
      <c r="L437" s="54" cm="1">
        <f t="array" ref="L437">IFERROR(K437/H437,"N/A")</f>
        <v>-124.3560134231096</v>
      </c>
      <c r="M437" s="85" t="s">
        <v>832</v>
      </c>
      <c r="N437" s="85" t="str" cm="1">
        <f t="array" ref="N437">IFERROR(M437-A437,"N/A")</f>
        <v>N/A</v>
      </c>
      <c r="O437" s="83"/>
      <c r="P437" s="56" t="str" cm="1">
        <f t="array" ref="P437">_xlfn.XLOOKUP($B437,ADP!A2:A671,ADP!G2:G671)</f>
        <v xml:space="preserve"> </v>
      </c>
      <c r="Q437" s="57" cm="1">
        <f t="array" ref="Q437">IF(Settings!$E$12="YES",VLOOKUP(B437,'Player Data'!A1:E673,5,FALSE),84)</f>
        <v>72.555000000000007</v>
      </c>
      <c r="R437" s="55" cm="1">
        <f t="array" ref="R437">VLOOKUP(B437,'Player Data'!$A1:$AE673,6,FALSE)</f>
        <v>14.583810536614701</v>
      </c>
      <c r="S437" s="57" cm="1">
        <f t="array" ref="S437">VLOOKUP(B437,'Player Data'!$A1:$AE673,7,FALSE)*$Q437*IFERROR((VLOOKUP(P437,Settings!$E$28:$F$33,2,FALSE)+1),1)</f>
        <v>3.7429541571228451</v>
      </c>
      <c r="T437" s="57" cm="1">
        <f t="array" ref="T437">VLOOKUP(B437,'Player Data'!$A1:$AE673,8,FALSE)*$Q437*IFERROR((VLOOKUP(P437,Settings!$E$28:$F$33,2,FALSE)+1),1)</f>
        <v>9.8606511778745141</v>
      </c>
      <c r="U437" s="57" cm="1">
        <f t="array" ref="U437">SUM(S437:T437)</f>
        <v>13.60360533499736</v>
      </c>
      <c r="V437" s="57" cm="1">
        <f t="array" ref="V437">VLOOKUP(B437,'Player Data'!$A1:$AE673,10,FALSE)*$Q437*IFERROR(((VLOOKUP(P437,Settings!$E$28:$F$33,2,FALSE)/2)+1),1)</f>
        <v>57.886949142565371</v>
      </c>
      <c r="W437" s="57" cm="1">
        <f t="array" ref="W437">VLOOKUP(B437,'Player Data'!$A1:$AE673,11,FALSE)*$Q437*IFERROR((VLOOKUP(P437,Settings!$E$28:$F$33,2,FALSE)+1),1)</f>
        <v>0.12936707331668726</v>
      </c>
      <c r="X437" s="57" cm="1">
        <f t="array" ref="X437">VLOOKUP(B437,'Player Data'!$A1:$AE673,12,FALSE)*$Q437*IFERROR((VLOOKUP(P437,Settings!$E$28:$F$33,2,FALSE)+1),1)</f>
        <v>0.46227591200474089</v>
      </c>
      <c r="Y437" s="57" cm="1">
        <f t="array" ref="Y437">VLOOKUP(B437,'Player Data'!$A1:$AE673,13,FALSE)*$Q437</f>
        <v>2.4490388588506728E-2</v>
      </c>
      <c r="Z437" s="57" cm="1">
        <f t="array" ref="Z437">VLOOKUP(B437,'Player Data'!$A1:$AE673,14,FALSE)*$Q437</f>
        <v>8.4451647661274651E-2</v>
      </c>
      <c r="AA437" s="57" cm="1">
        <f t="array" ref="AA437">VLOOKUP(B437,'Player Data'!$A1:$AE673,15,FALSE)*$Q437</f>
        <v>80.984256134511327</v>
      </c>
      <c r="AB437" s="57" cm="1">
        <f t="array" ref="AB437">VLOOKUP(B437,'Player Data'!$A1:$AE673,16,FALSE)*$Q437</f>
        <v>70.257567240337409</v>
      </c>
      <c r="AC437" s="57" cm="1">
        <f t="array" ref="AC437">VLOOKUP(B437,'Player Data'!$A1:$AE673,17,FALSE)*$Q437*IFERROR((VLOOKUP(P437,Settings!$E$28:$F$33,2,FALSE)+1),1)</f>
        <v>-2.9281704584486543</v>
      </c>
      <c r="AD437" s="57" cm="1">
        <f t="array" ref="AD437">VLOOKUP(B437,'Player Data'!$A1:$AE673,18,FALSE)*$Q437</f>
        <v>23.457485696838557</v>
      </c>
      <c r="AE437" s="57" cm="1">
        <f t="array" ref="AE437">VLOOKUP(B437,'Player Data'!$A1:$AE673,19,FALSE)*$Q437*IFERROR((VLOOKUP(P437,Settings!$E$28:$F$33,2,FALSE)+1),1)</f>
        <v>0.51849278662875342</v>
      </c>
      <c r="AF437" s="57" cm="1">
        <f t="array" ref="AF437">VLOOKUP(B437,'Player Data'!$A1:$AE673,20,FALSE)*$Q437</f>
        <v>0</v>
      </c>
      <c r="AG437" s="57" cm="1">
        <f t="array" ref="AG437">VLOOKUP(B437,'Player Data'!$A1:$AE673,21,FALSE)*$Q437</f>
        <v>0</v>
      </c>
      <c r="AH437" s="59" cm="1">
        <f t="array" ref="AH437">VLOOKUP(B437,'Player Data'!$A1:$AE673,22,FALSE)</f>
        <v>0</v>
      </c>
      <c r="AI437" s="55"/>
      <c r="AJ437" s="57"/>
      <c r="AK437" s="57"/>
      <c r="AL437" s="57"/>
      <c r="AM437" s="57"/>
      <c r="AN437" s="57"/>
      <c r="AO437" s="57"/>
      <c r="AP437" s="57"/>
      <c r="AQ437" s="60"/>
      <c r="AR437" s="61"/>
      <c r="AS437" s="55"/>
    </row>
    <row r="438" spans="1:45" ht="21.25" customHeight="1" x14ac:dyDescent="0.15">
      <c r="A438" s="62">
        <f t="shared" si="6"/>
        <v>437</v>
      </c>
      <c r="B438" s="10" t="s">
        <v>566</v>
      </c>
      <c r="C438" s="47" t="s">
        <v>147</v>
      </c>
      <c r="D438" s="48" t="str" cm="1">
        <f t="array" ref="D438">VLOOKUP(B438,'Player Data'!A1:D673,4,FALSE)</f>
        <v>C</v>
      </c>
      <c r="E438" s="49" cm="1">
        <f t="array" ref="E438">VLOOKUP(B438,'C'!A1:C210,3,FALSE)</f>
        <v>110</v>
      </c>
      <c r="F438" s="65" t="str" cm="1">
        <f t="array" ref="F438">VLOOKUP(B438,'Player Data'!A1:B673,2,FALSE)</f>
        <v>CAR</v>
      </c>
      <c r="G438" s="66" cm="1">
        <f t="array" ref="G438">VLOOKUP(B438,'Player Data'!A1:D673,3,FALSE)</f>
        <v>37</v>
      </c>
      <c r="H438" s="67" cm="1">
        <f t="array" ref="H438">IFERROR(VLOOKUP(B438,ADP!A1:F671,6,FALSE)/1000000,VLOOKUP(B438,ADP!A1:F671,6,FALSE))</f>
        <v>2.9180000000000001</v>
      </c>
      <c r="I438" s="52">
        <f>IF(Settings!$E$15="POINTS",((R438*Q438)*Settings!$B$12)+(S438*Settings!$B$2)+(T438*Settings!$B$3)+(U438*Settings!$B$4)+(V438*Settings!$B$5)+(X438*Settings!$B$9)+(AA438*Settings!$B$6)+(W438*Settings!$B$8)+(AB438*Settings!$B$7)+(AC438*Settings!$B$14)+(AD438*Settings!$B$15)+(AE438*Settings!$B$16)+(AF438*Settings!$B$17)+(AG438*Settings!$B$18)+(Y438*Settings!$B$10)+(Z438*Settings!$B$11),VLOOKUP(B438,'Standard Deviations'!A$1:C$672,3,FALSE))</f>
        <v>190.08220898690942</v>
      </c>
      <c r="J438" s="53" cm="1">
        <f t="array" ref="J438">IF(D438="G",I438/AJ438,I438/Q438)</f>
        <v>2.3287253780938366</v>
      </c>
      <c r="K438" s="52" cm="1">
        <f t="array" ref="K438">IF(Settings!$E$18="C/LW/RW",VLOOKUP(B438,'C'!A1:F210,6,FALSE),VLOOKUP(B438,F!A1:F407,6,FALSE))</f>
        <v>-196.45299740617358</v>
      </c>
      <c r="L438" s="54" cm="1">
        <f t="array" ref="L438">IFERROR(K438/H438,"N/A")</f>
        <v>-67.324536465446741</v>
      </c>
      <c r="M438" s="85" t="s">
        <v>832</v>
      </c>
      <c r="N438" s="85" t="str" cm="1">
        <f t="array" ref="N438">IFERROR(M438-A438,"N/A")</f>
        <v>N/A</v>
      </c>
      <c r="O438" s="55"/>
      <c r="P438" s="56" t="str" cm="1">
        <f t="array" ref="P438">_xlfn.XLOOKUP($B438,ADP!A2:A671,ADP!G2:G671)</f>
        <v xml:space="preserve"> </v>
      </c>
      <c r="Q438" s="57" cm="1">
        <f t="array" ref="Q438">IF(Settings!$E$12="YES",VLOOKUP(B438,'Player Data'!A1:E673,5,FALSE),84)</f>
        <v>81.625</v>
      </c>
      <c r="R438" s="55" cm="1">
        <f t="array" ref="R438">VLOOKUP(B438,'Player Data'!$A1:$AE673,6,FALSE)</f>
        <v>15.785414734502099</v>
      </c>
      <c r="S438" s="57" cm="1">
        <f t="array" ref="S438">VLOOKUP(B438,'Player Data'!$A1:$AE673,7,FALSE)*$Q438*IFERROR((VLOOKUP(P438,Settings!$E$28:$F$33,2,FALSE)+1),1)</f>
        <v>15.67004588439829</v>
      </c>
      <c r="T438" s="57" cm="1">
        <f t="array" ref="T438">VLOOKUP(B438,'Player Data'!$A1:$AE673,8,FALSE)*$Q438*IFERROR((VLOOKUP(P438,Settings!$E$28:$F$33,2,FALSE)+1),1)</f>
        <v>19.314291540274077</v>
      </c>
      <c r="U438" s="57" cm="1">
        <f t="array" ref="U438">SUM(S438:T438)</f>
        <v>34.984337424672368</v>
      </c>
      <c r="V438" s="57" cm="1">
        <f t="array" ref="V438">VLOOKUP(B438,'Player Data'!$A1:$AE673,10,FALSE)*$Q438*IFERROR(((VLOOKUP(P438,Settings!$E$28:$F$33,2,FALSE)/2)+1),1)</f>
        <v>114.269505196098</v>
      </c>
      <c r="W438" s="57" cm="1">
        <f t="array" ref="W438">VLOOKUP(B438,'Player Data'!$A1:$AE673,11,FALSE)*$Q438*IFERROR((VLOOKUP(P438,Settings!$E$28:$F$33,2,FALSE)+1),1)</f>
        <v>1.1433746439410788</v>
      </c>
      <c r="X438" s="57" cm="1">
        <f t="array" ref="X438">VLOOKUP(B438,'Player Data'!$A1:$AE673,12,FALSE)*$Q438*IFERROR((VLOOKUP(P438,Settings!$E$28:$F$33,2,FALSE)+1),1)</f>
        <v>1.3893116716636813</v>
      </c>
      <c r="Y438" s="57" cm="1">
        <f t="array" ref="Y438">VLOOKUP(B438,'Player Data'!$A1:$AE673,13,FALSE)*$Q438</f>
        <v>0.82428913231904122</v>
      </c>
      <c r="Z438" s="57" cm="1">
        <f t="array" ref="Z438">VLOOKUP(B438,'Player Data'!$A1:$AE673,14,FALSE)*$Q438</f>
        <v>1.707443115912566</v>
      </c>
      <c r="AA438" s="57" cm="1">
        <f t="array" ref="AA438">VLOOKUP(B438,'Player Data'!$A1:$AE673,15,FALSE)*$Q438</f>
        <v>49.795378654534183</v>
      </c>
      <c r="AB438" s="57" cm="1">
        <f t="array" ref="AB438">VLOOKUP(B438,'Player Data'!$A1:$AE673,16,FALSE)*$Q438</f>
        <v>159.17927801313317</v>
      </c>
      <c r="AC438" s="57" cm="1">
        <f t="array" ref="AC438">VLOOKUP(B438,'Player Data'!$A1:$AE673,17,FALSE)*$Q438*IFERROR((VLOOKUP(P438,Settings!$E$28:$F$33,2,FALSE)+1),1)</f>
        <v>5.6543376484901655</v>
      </c>
      <c r="AD438" s="57" cm="1">
        <f t="array" ref="AD438">VLOOKUP(B438,'Player Data'!$A1:$AE673,18,FALSE)*$Q438</f>
        <v>27.12906525172798</v>
      </c>
      <c r="AE438" s="57" cm="1">
        <f t="array" ref="AE438">VLOOKUP(B438,'Player Data'!$A1:$AE673,19,FALSE)*$Q438*IFERROR((VLOOKUP(P438,Settings!$E$28:$F$33,2,FALSE)+1),1)</f>
        <v>2.6909507571043734</v>
      </c>
      <c r="AF438" s="57" cm="1">
        <f t="array" ref="AF438">VLOOKUP(B438,'Player Data'!$A1:$AE673,20,FALSE)*$Q438</f>
        <v>872.36225148291737</v>
      </c>
      <c r="AG438" s="57" cm="1">
        <f t="array" ref="AG438">VLOOKUP(B438,'Player Data'!$A1:$AE673,21,FALSE)*$Q438</f>
        <v>690.46476287773419</v>
      </c>
      <c r="AH438" s="59" cm="1">
        <f t="array" ref="AH438">VLOOKUP(B438,'Player Data'!$A1:$AE673,22,FALSE)</f>
        <v>0.55819501676569006</v>
      </c>
      <c r="AI438" s="55"/>
      <c r="AJ438" s="57"/>
      <c r="AK438" s="57"/>
      <c r="AL438" s="57"/>
      <c r="AM438" s="57"/>
      <c r="AN438" s="57"/>
      <c r="AO438" s="57"/>
      <c r="AP438" s="57"/>
      <c r="AQ438" s="60"/>
      <c r="AR438" s="61"/>
      <c r="AS438" s="55"/>
    </row>
    <row r="439" spans="1:45" ht="21.25" customHeight="1" x14ac:dyDescent="0.15">
      <c r="A439" s="62">
        <f t="shared" si="6"/>
        <v>438</v>
      </c>
      <c r="B439" s="10" t="s">
        <v>567</v>
      </c>
      <c r="C439" s="47" t="s">
        <v>147</v>
      </c>
      <c r="D439" s="48" t="str" cm="1">
        <f t="array" ref="D439">VLOOKUP(B439,'Player Data'!A1:D673,4,FALSE)</f>
        <v>LW,RW</v>
      </c>
      <c r="E439" s="74" cm="1">
        <f t="array" ref="E439">VLOOKUP(B439,RW!A1:F210,3,FALSE)</f>
        <v>116</v>
      </c>
      <c r="F439" s="50" t="str" cm="1">
        <f t="array" ref="F439">VLOOKUP(B439,'Player Data'!A1:B673,2,FALSE)</f>
        <v>ANA</v>
      </c>
      <c r="G439" s="66" cm="1">
        <f t="array" ref="G439">VLOOKUP(B439,'Player Data'!A1:D673,3,FALSE)</f>
        <v>32</v>
      </c>
      <c r="H439" s="51" cm="1">
        <f t="array" ref="H439">IFERROR(VLOOKUP(B439,ADP!A1:F671,6,FALSE)/1000000,VLOOKUP(B439,ADP!A1:F671,6,FALSE))</f>
        <v>4.5709999999999997</v>
      </c>
      <c r="I439" s="52">
        <f>IF(Settings!$E$15="POINTS",((R439*Q439)*Settings!$B$12)+(S439*Settings!$B$2)+(T439*Settings!$B$3)+(U439*Settings!$B$4)+(V439*Settings!$B$5)+(X439*Settings!$B$9)+(AA439*Settings!$B$6)+(W439*Settings!$B$8)+(AB439*Settings!$B$7)+(AC439*Settings!$B$14)+(AD439*Settings!$B$15)+(AE439*Settings!$B$16)+(AF439*Settings!$B$17)+(AG439*Settings!$B$18)+(Y439*Settings!$B$10)+(Z439*Settings!$B$11),VLOOKUP(B439,'Standard Deviations'!A$1:C$672,3,FALSE))</f>
        <v>198.2328436009827</v>
      </c>
      <c r="J439" s="53" cm="1">
        <f t="array" ref="J439">IF(D439="G",I439/AJ439,I439/Q439)</f>
        <v>2.5345417113758373</v>
      </c>
      <c r="K439" s="52" cm="1">
        <f t="array" ref="K439">IF(Settings!$E$18="C/LW/RW",VLOOKUP(B439,RW!A1:F210,6,FALSE),VLOOKUP(B439,F!A1:F407,6,FALSE))</f>
        <v>-196.71062109257477</v>
      </c>
      <c r="L439" s="54" cm="1">
        <f t="array" ref="L439">IFERROR(K439/H439,"N/A")</f>
        <v>-43.034482846767617</v>
      </c>
      <c r="M439" s="85" t="s">
        <v>832</v>
      </c>
      <c r="N439" s="85" t="str" cm="1">
        <f t="array" ref="N439">IFERROR(M439-A439,"N/A")</f>
        <v>N/A</v>
      </c>
      <c r="O439" s="55"/>
      <c r="P439" s="56" t="str" cm="1">
        <f t="array" ref="P439">_xlfn.XLOOKUP($B439,ADP!A2:A671,ADP!G2:G671)</f>
        <v xml:space="preserve"> </v>
      </c>
      <c r="Q439" s="57" cm="1">
        <f t="array" ref="Q439">IF(Settings!$E$12="YES",VLOOKUP(B439,'Player Data'!A1:E673,5,FALSE),84)</f>
        <v>78.212500000000006</v>
      </c>
      <c r="R439" s="82" cm="1">
        <f t="array" ref="R439">VLOOKUP(B439,'Player Data'!$A1:$AE673,6,FALSE)</f>
        <v>13.9089466544494</v>
      </c>
      <c r="S439" s="57" cm="1">
        <f t="array" ref="S439">VLOOKUP(B439,'Player Data'!$A1:$AE673,7,FALSE)*$Q439*IFERROR((VLOOKUP(P439,Settings!$E$28:$F$33,2,FALSE)+1),1)</f>
        <v>14.425935266471852</v>
      </c>
      <c r="T439" s="57" cm="1">
        <f t="array" ref="T439">VLOOKUP(B439,'Player Data'!$A1:$AE673,8,FALSE)*$Q439*IFERROR((VLOOKUP(P439,Settings!$E$28:$F$33,2,FALSE)+1),1)</f>
        <v>14.467364197201771</v>
      </c>
      <c r="U439" s="57" cm="1">
        <f t="array" ref="U439">SUM(S439:T439)</f>
        <v>28.893299463673621</v>
      </c>
      <c r="V439" s="57" cm="1">
        <f t="array" ref="V439">VLOOKUP(B439,'Player Data'!$A1:$AE673,10,FALSE)*$Q439*IFERROR(((VLOOKUP(P439,Settings!$E$28:$F$33,2,FALSE)/2)+1),1)</f>
        <v>162.24037811480417</v>
      </c>
      <c r="W439" s="57" cm="1">
        <f t="array" ref="W439">VLOOKUP(B439,'Player Data'!$A1:$AE673,11,FALSE)*$Q439*IFERROR((VLOOKUP(P439,Settings!$E$28:$F$33,2,FALSE)+1),1)</f>
        <v>2.828028731907696</v>
      </c>
      <c r="X439" s="57" cm="1">
        <f t="array" ref="X439">VLOOKUP(B439,'Player Data'!$A1:$AE673,12,FALSE)*$Q439*IFERROR((VLOOKUP(P439,Settings!$E$28:$F$33,2,FALSE)+1),1)</f>
        <v>5.3380678301175859</v>
      </c>
      <c r="Y439" s="57" cm="1">
        <f t="array" ref="Y439">VLOOKUP(B439,'Player Data'!$A1:$AE673,13,FALSE)*$Q439</f>
        <v>0.48530435965137259</v>
      </c>
      <c r="Z439" s="57" cm="1">
        <f t="array" ref="Z439">VLOOKUP(B439,'Player Data'!$A1:$AE673,14,FALSE)*$Q439</f>
        <v>0.64963592827792493</v>
      </c>
      <c r="AA439" s="57" cm="1">
        <f t="array" ref="AA439">VLOOKUP(B439,'Player Data'!$A1:$AE673,15,FALSE)*$Q439</f>
        <v>48.890104788328536</v>
      </c>
      <c r="AB439" s="57" cm="1">
        <f t="array" ref="AB439">VLOOKUP(B439,'Player Data'!$A1:$AE673,16,FALSE)*$Q439</f>
        <v>129.52414065621909</v>
      </c>
      <c r="AC439" s="57" cm="1">
        <f t="array" ref="AC439">VLOOKUP(B439,'Player Data'!$A1:$AE673,17,FALSE)*$Q439*IFERROR((VLOOKUP(P439,Settings!$E$28:$F$33,2,FALSE)+1),1)</f>
        <v>-5.0396596805234122</v>
      </c>
      <c r="AD439" s="57" cm="1">
        <f t="array" ref="AD439">VLOOKUP(B439,'Player Data'!$A1:$AE673,18,FALSE)*$Q439</f>
        <v>49.702333403917642</v>
      </c>
      <c r="AE439" s="57" cm="1">
        <f t="array" ref="AE439">VLOOKUP(B439,'Player Data'!$A1:$AE673,19,FALSE)*$Q439*IFERROR((VLOOKUP(P439,Settings!$E$28:$F$33,2,FALSE)+1),1)</f>
        <v>2.1075877821313589</v>
      </c>
      <c r="AF439" s="57" cm="1">
        <f t="array" ref="AF439">VLOOKUP(B439,'Player Data'!$A1:$AE673,20,FALSE)*$Q439</f>
        <v>10.051511674303891</v>
      </c>
      <c r="AG439" s="57" cm="1">
        <f t="array" ref="AG439">VLOOKUP(B439,'Player Data'!$A1:$AE673,21,FALSE)*$Q439</f>
        <v>14.140519189482729</v>
      </c>
      <c r="AH439" s="59" cm="1">
        <f t="array" ref="AH439">VLOOKUP(B439,'Player Data'!$A1:$AE673,22,FALSE)</f>
        <v>0.41548854376464001</v>
      </c>
      <c r="AI439" s="55"/>
      <c r="AJ439" s="57"/>
      <c r="AK439" s="57"/>
      <c r="AL439" s="57"/>
      <c r="AM439" s="57"/>
      <c r="AN439" s="57"/>
      <c r="AO439" s="57"/>
      <c r="AP439" s="57"/>
      <c r="AQ439" s="60"/>
      <c r="AR439" s="61"/>
      <c r="AS439" s="55"/>
    </row>
    <row r="440" spans="1:45" ht="21.25" customHeight="1" x14ac:dyDescent="0.15">
      <c r="A440" s="62">
        <f t="shared" si="6"/>
        <v>439</v>
      </c>
      <c r="B440" s="10" t="s">
        <v>568</v>
      </c>
      <c r="C440" s="47" t="s">
        <v>147</v>
      </c>
      <c r="D440" s="48" t="str" cm="1">
        <f t="array" ref="D440">VLOOKUP(B440,'Player Data'!A1:D673,4,FALSE)</f>
        <v>D</v>
      </c>
      <c r="E440" s="68" cm="1">
        <f t="array" ref="E440">VLOOKUP(B440,D!A1:C204,3,FALSE)</f>
        <v>185</v>
      </c>
      <c r="F440" s="56" t="str" cm="1">
        <f t="array" ref="F440">VLOOKUP(B440,'Player Data'!A1:B673,2,FALSE)</f>
        <v>PHI</v>
      </c>
      <c r="G440" s="11" cm="1">
        <f t="array" ref="G440">VLOOKUP(B440,'Player Data'!A1:D673,3,FALSE)</f>
        <v>27</v>
      </c>
      <c r="H440" s="67" cm="1">
        <f t="array" ref="H440">IFERROR(VLOOKUP(B440,ADP!A1:F671,6,FALSE)/1000000,VLOOKUP(B440,ADP!A1:F671,6,FALSE))</f>
        <v>1.35</v>
      </c>
      <c r="I440" s="52">
        <f>IF(Settings!$E$15="POINTS",((R440*Q440)*Settings!$B$12)+(S440*Settings!$B$2)+(T440*Settings!$B$3)+(U440*Settings!$B$4)+(V440*Settings!$B$5)+(X440*Settings!$B$9)+(AA440*Settings!$B$6)+(W440*Settings!$B$8)+(AB440*Settings!$B$7)+(AC440*Settings!$B$14)+(AD440*Settings!$B$15)+(AE440*Settings!$B$16)+(AF440*Settings!$B$17)+(AG440*Settings!$B$18)+(U440*Settings!$B$13)+(Y440*Settings!$B$10)+(Z440*Settings!$B$11),VLOOKUP(B440,'Standard Deviations'!A$1:C$672,3,FALSE))</f>
        <v>109.76682313288046</v>
      </c>
      <c r="J440" s="53" cm="1">
        <f t="array" ref="J440">IF(D440="G",I440/AJ440,I440/Q440)</f>
        <v>1.3706717838838756</v>
      </c>
      <c r="K440" s="52" cm="1">
        <f t="array" ref="K440">VLOOKUP(B440,D!A1:F204,6,FALSE)</f>
        <v>-196.8870442117136</v>
      </c>
      <c r="L440" s="54" cm="1">
        <f t="array" ref="L440">IFERROR(K440/H440,"N/A")</f>
        <v>-145.8422549716397</v>
      </c>
      <c r="M440" s="85" t="s">
        <v>832</v>
      </c>
      <c r="N440" s="85" t="str" cm="1">
        <f t="array" ref="N440">IFERROR(M440-A440,"N/A")</f>
        <v>N/A</v>
      </c>
      <c r="O440" s="55"/>
      <c r="P440" s="56" t="str" cm="1">
        <f t="array" ref="P440">_xlfn.XLOOKUP($B440,ADP!A2:A671,ADP!G2:G671)</f>
        <v xml:space="preserve"> </v>
      </c>
      <c r="Q440" s="57" cm="1">
        <f t="array" ref="Q440">IF(Settings!$E$12="YES",VLOOKUP(B440,'Player Data'!A1:E673,5,FALSE),84)</f>
        <v>80.082499999999996</v>
      </c>
      <c r="R440" s="84" cm="1">
        <f t="array" ref="R440">VLOOKUP(B440,'Player Data'!$A1:$AE673,6,FALSE)</f>
        <v>15.796084197054</v>
      </c>
      <c r="S440" s="57" cm="1">
        <f t="array" ref="S440">VLOOKUP(B440,'Player Data'!$A1:$AE673,7,FALSE)*$Q440*IFERROR((VLOOKUP(P440,Settings!$E$28:$F$33,2,FALSE)+1),1)</f>
        <v>1.1418070236251983</v>
      </c>
      <c r="T440" s="57" cm="1">
        <f t="array" ref="T440">VLOOKUP(B440,'Player Data'!$A1:$AE673,8,FALSE)*$Q440*IFERROR((VLOOKUP(P440,Settings!$E$28:$F$33,2,FALSE)+1),1)</f>
        <v>8.0026049062730458</v>
      </c>
      <c r="U440" s="57" cm="1">
        <f t="array" ref="U440">SUM(S440:T440)</f>
        <v>9.1444119298982436</v>
      </c>
      <c r="V440" s="57" cm="1">
        <f t="array" ref="V440">VLOOKUP(B440,'Player Data'!$A1:$AE673,10,FALSE)*$Q440*IFERROR(((VLOOKUP(P440,Settings!$E$28:$F$33,2,FALSE)/2)+1),1)</f>
        <v>57.730297590178978</v>
      </c>
      <c r="W440" s="57" cm="1">
        <f t="array" ref="W440">VLOOKUP(B440,'Player Data'!$A1:$AE673,11,FALSE)*$Q440*IFERROR((VLOOKUP(P440,Settings!$E$28:$F$33,2,FALSE)+1),1)</f>
        <v>1.3223664462967155E-3</v>
      </c>
      <c r="X440" s="57" cm="1">
        <f t="array" ref="X440">VLOOKUP(B440,'Player Data'!$A1:$AE673,12,FALSE)*$Q440*IFERROR((VLOOKUP(P440,Settings!$E$28:$F$33,2,FALSE)+1),1)</f>
        <v>1.0920543175107225E-2</v>
      </c>
      <c r="Y440" s="57" cm="1">
        <f t="array" ref="Y440">VLOOKUP(B440,'Player Data'!$A1:$AE673,13,FALSE)*$Q440</f>
        <v>1.6561154358180841E-2</v>
      </c>
      <c r="Z440" s="57" cm="1">
        <f t="array" ref="Z440">VLOOKUP(B440,'Player Data'!$A1:$AE673,14,FALSE)*$Q440</f>
        <v>0.22853034360879967</v>
      </c>
      <c r="AA440" s="57" cm="1">
        <f t="array" ref="AA440">VLOOKUP(B440,'Player Data'!$A1:$AE673,15,FALSE)*$Q440</f>
        <v>106.45797532262468</v>
      </c>
      <c r="AB440" s="57" cm="1">
        <f t="array" ref="AB440">VLOOKUP(B440,'Player Data'!$A1:$AE673,16,FALSE)*$Q440</f>
        <v>174.55406223581261</v>
      </c>
      <c r="AC440" s="57" cm="1">
        <f t="array" ref="AC440">VLOOKUP(B440,'Player Data'!$A1:$AE673,17,FALSE)*$Q440*IFERROR((VLOOKUP(P440,Settings!$E$28:$F$33,2,FALSE)+1),1)</f>
        <v>-2.0063532642555559</v>
      </c>
      <c r="AD440" s="57" cm="1">
        <f t="array" ref="AD440">VLOOKUP(B440,'Player Data'!$A1:$AE673,18,FALSE)*$Q440</f>
        <v>47.091461676374855</v>
      </c>
      <c r="AE440" s="57" cm="1">
        <f t="array" ref="AE440">VLOOKUP(B440,'Player Data'!$A1:$AE673,19,FALSE)*$Q440*IFERROR((VLOOKUP(P440,Settings!$E$28:$F$33,2,FALSE)+1),1)</f>
        <v>0.18044542635690528</v>
      </c>
      <c r="AF440" s="57" cm="1">
        <f t="array" ref="AF440">VLOOKUP(B440,'Player Data'!$A1:$AE673,20,FALSE)*$Q440</f>
        <v>0</v>
      </c>
      <c r="AG440" s="57" cm="1">
        <f t="array" ref="AG440">VLOOKUP(B440,'Player Data'!$A1:$AE673,21,FALSE)*$Q440</f>
        <v>0</v>
      </c>
      <c r="AH440" s="59" cm="1">
        <f t="array" ref="AH440">VLOOKUP(B440,'Player Data'!$A1:$AE673,22,FALSE)</f>
        <v>0</v>
      </c>
      <c r="AI440" s="55"/>
      <c r="AJ440" s="57"/>
      <c r="AK440" s="57"/>
      <c r="AL440" s="57"/>
      <c r="AM440" s="57"/>
      <c r="AN440" s="57"/>
      <c r="AO440" s="57"/>
      <c r="AP440" s="57"/>
      <c r="AQ440" s="60"/>
      <c r="AR440" s="61"/>
      <c r="AS440" s="55"/>
    </row>
    <row r="441" spans="1:45" ht="21.25" customHeight="1" x14ac:dyDescent="0.15">
      <c r="A441" s="62">
        <f t="shared" si="6"/>
        <v>440</v>
      </c>
      <c r="B441" s="10" t="s">
        <v>569</v>
      </c>
      <c r="C441" s="47" t="s">
        <v>147</v>
      </c>
      <c r="D441" s="48" t="str" cm="1">
        <f t="array" ref="D441">VLOOKUP(B441,'Player Data'!A1:D673,4,FALSE)</f>
        <v>C,LW</v>
      </c>
      <c r="E441" s="74" cm="1">
        <f t="array" ref="E441">VLOOKUP(B441,LW!A1:C210,3,FALSE)</f>
        <v>103</v>
      </c>
      <c r="F441" s="72" t="str" cm="1">
        <f t="array" ref="F441">VLOOKUP(B441,'Player Data'!A1:B673,2,FALSE)</f>
        <v>NYI</v>
      </c>
      <c r="G441" s="66" cm="1">
        <f t="array" ref="G441">VLOOKUP(B441,'Player Data'!A1:D673,3,FALSE)</f>
        <v>35</v>
      </c>
      <c r="H441" s="51" cm="1">
        <f t="array" ref="H441">IFERROR(VLOOKUP(B441,ADP!A1:F671,6,FALSE)/1000000,VLOOKUP(B441,ADP!A1:F671,6,FALSE))</f>
        <v>6.5</v>
      </c>
      <c r="I441" s="52">
        <f>IF(Settings!$E$15="POINTS",((R441*Q441)*Settings!$B$12)+(S441*Settings!$B$2)+(T441*Settings!$B$3)+(U441*Settings!$B$4)+(V441*Settings!$B$5)+(X441*Settings!$B$9)+(AA441*Settings!$B$6)+(W441*Settings!$B$8)+(AB441*Settings!$B$7)+(AC441*Settings!$B$14)+(AD441*Settings!$B$15)+(AE441*Settings!$B$16)+(AF441*Settings!$B$17)+(AG441*Settings!$B$18)+(Y441*Settings!$B$10)+(Z441*Settings!$B$11),VLOOKUP(B441,'Standard Deviations'!A$1:C$672,3,FALSE))</f>
        <v>201.91067096694192</v>
      </c>
      <c r="J441" s="53" cm="1">
        <f t="array" ref="J441">IF(D441="G",I441/AJ441,I441/Q441)</f>
        <v>2.4130346097035189</v>
      </c>
      <c r="K441" s="52" cm="1">
        <f t="array" ref="K441">IF(Settings!$E$18="C/LW/RW",VLOOKUP(B441,LW!A1:F210,6,FALSE),VLOOKUP(B441,F!A1:F407,6,FALSE))</f>
        <v>-197.40232234677816</v>
      </c>
      <c r="L441" s="54" cm="1">
        <f t="array" ref="L441">IFERROR(K441/H441,"N/A")</f>
        <v>-30.369588053350487</v>
      </c>
      <c r="M441" s="85" t="s">
        <v>832</v>
      </c>
      <c r="N441" s="85" t="str" cm="1">
        <f t="array" ref="N441">IFERROR(M441-A441,"N/A")</f>
        <v>N/A</v>
      </c>
      <c r="O441" s="55"/>
      <c r="P441" s="56" t="str" cm="1">
        <f t="array" ref="P441">_xlfn.XLOOKUP($B441,ADP!A2:A671,ADP!G2:G671)</f>
        <v xml:space="preserve"> </v>
      </c>
      <c r="Q441" s="57" cm="1">
        <f t="array" ref="Q441">IF(Settings!$E$12="YES",VLOOKUP(B441,'Player Data'!A1:E673,5,FALSE),84)</f>
        <v>83.674999999999997</v>
      </c>
      <c r="R441" s="84" cm="1">
        <f t="array" ref="R441">VLOOKUP(B441,'Player Data'!$A1:$AE673,6,FALSE)</f>
        <v>15.5870327254102</v>
      </c>
      <c r="S441" s="57" cm="1">
        <f t="array" ref="S441">VLOOKUP(B441,'Player Data'!$A1:$AE673,7,FALSE)*$Q441*IFERROR((VLOOKUP(P441,Settings!$E$28:$F$33,2,FALSE)+1),1)</f>
        <v>15.9243664404132</v>
      </c>
      <c r="T441" s="57" cm="1">
        <f t="array" ref="T441">VLOOKUP(B441,'Player Data'!$A1:$AE673,8,FALSE)*$Q441*IFERROR((VLOOKUP(P441,Settings!$E$28:$F$33,2,FALSE)+1),1)</f>
        <v>22.550109523288306</v>
      </c>
      <c r="U441" s="57" cm="1">
        <f t="array" ref="U441">SUM(S441:T441)</f>
        <v>38.474475963701508</v>
      </c>
      <c r="V441" s="57" cm="1">
        <f t="array" ref="V441">VLOOKUP(B441,'Player Data'!$A1:$AE673,10,FALSE)*$Q441*IFERROR(((VLOOKUP(P441,Settings!$E$28:$F$33,2,FALSE)/2)+1),1)</f>
        <v>119.19321121555743</v>
      </c>
      <c r="W441" s="57" cm="1">
        <f t="array" ref="W441">VLOOKUP(B441,'Player Data'!$A1:$AE673,11,FALSE)*$Q441*IFERROR((VLOOKUP(P441,Settings!$E$28:$F$33,2,FALSE)+1),1)</f>
        <v>2.0851503924158425</v>
      </c>
      <c r="X441" s="57" cm="1">
        <f t="array" ref="X441">VLOOKUP(B441,'Player Data'!$A1:$AE673,12,FALSE)*$Q441*IFERROR((VLOOKUP(P441,Settings!$E$28:$F$33,2,FALSE)+1),1)</f>
        <v>6.0219322874562575</v>
      </c>
      <c r="Y441" s="57" cm="1">
        <f t="array" ref="Y441">VLOOKUP(B441,'Player Data'!$A1:$AE673,13,FALSE)*$Q441</f>
        <v>2.7907930939525222E-2</v>
      </c>
      <c r="Z441" s="57" cm="1">
        <f t="array" ref="Z441">VLOOKUP(B441,'Player Data'!$A1:$AE673,14,FALSE)*$Q441</f>
        <v>3.556860841110758E-2</v>
      </c>
      <c r="AA441" s="57" cm="1">
        <f t="array" ref="AA441">VLOOKUP(B441,'Player Data'!$A1:$AE673,15,FALSE)*$Q441</f>
        <v>41.666273144382721</v>
      </c>
      <c r="AB441" s="57" cm="1">
        <f t="array" ref="AB441">VLOOKUP(B441,'Player Data'!$A1:$AE673,16,FALSE)*$Q441</f>
        <v>171.82979494579595</v>
      </c>
      <c r="AC441" s="57" cm="1">
        <f t="array" ref="AC441">VLOOKUP(B441,'Player Data'!$A1:$AE673,17,FALSE)*$Q441*IFERROR((VLOOKUP(P441,Settings!$E$28:$F$33,2,FALSE)+1),1)</f>
        <v>-5.1276997892676208</v>
      </c>
      <c r="AD441" s="57" cm="1">
        <f t="array" ref="AD441">VLOOKUP(B441,'Player Data'!$A1:$AE673,18,FALSE)*$Q441</f>
        <v>49.777169275972838</v>
      </c>
      <c r="AE441" s="57" cm="1">
        <f t="array" ref="AE441">VLOOKUP(B441,'Player Data'!$A1:$AE673,19,FALSE)*$Q441*IFERROR((VLOOKUP(P441,Settings!$E$28:$F$33,2,FALSE)+1),1)</f>
        <v>2.3256179384651361</v>
      </c>
      <c r="AF441" s="57" cm="1">
        <f t="array" ref="AF441">VLOOKUP(B441,'Player Data'!$A1:$AE673,20,FALSE)*$Q441</f>
        <v>445.03016240465644</v>
      </c>
      <c r="AG441" s="57" cm="1">
        <f t="array" ref="AG441">VLOOKUP(B441,'Player Data'!$A1:$AE673,21,FALSE)*$Q441</f>
        <v>403.0571538102476</v>
      </c>
      <c r="AH441" s="59" cm="1">
        <f t="array" ref="AH441">VLOOKUP(B441,'Player Data'!$A1:$AE673,22,FALSE)</f>
        <v>0.524745688204452</v>
      </c>
      <c r="AI441" s="55"/>
      <c r="AJ441" s="57"/>
      <c r="AK441" s="57"/>
      <c r="AL441" s="57"/>
      <c r="AM441" s="57"/>
      <c r="AN441" s="57"/>
      <c r="AO441" s="57"/>
      <c r="AP441" s="57"/>
      <c r="AQ441" s="60"/>
      <c r="AR441" s="61"/>
      <c r="AS441" s="55"/>
    </row>
    <row r="442" spans="1:45" ht="21.25" customHeight="1" x14ac:dyDescent="0.15">
      <c r="A442" s="62">
        <f t="shared" si="6"/>
        <v>441</v>
      </c>
      <c r="B442" s="10" t="s">
        <v>570</v>
      </c>
      <c r="C442" s="47" t="s">
        <v>147</v>
      </c>
      <c r="D442" s="48" t="str" cm="1">
        <f t="array" ref="D442">VLOOKUP(B442,'Player Data'!A1:D673,4,FALSE)</f>
        <v>LW,RW</v>
      </c>
      <c r="E442" s="74" cm="1">
        <f t="array" ref="E442">VLOOKUP(B442,RW!A1:F210,3,FALSE)</f>
        <v>117</v>
      </c>
      <c r="F442" s="72" t="str" cm="1">
        <f t="array" ref="F442">VLOOKUP(B442,'Player Data'!A1:B673,2,FALSE)</f>
        <v>NYI</v>
      </c>
      <c r="G442" s="71" cm="1">
        <f t="array" ref="G442">VLOOKUP(B442,'Player Data'!A1:D673,3,FALSE)</f>
        <v>24</v>
      </c>
      <c r="H442" s="67" cm="1">
        <f t="array" ref="H442">IFERROR(VLOOKUP(B442,ADP!A1:F671,6,FALSE)/1000000,VLOOKUP(B442,ADP!A1:F671,6,FALSE))</f>
        <v>1.1000000000000001</v>
      </c>
      <c r="I442" s="52">
        <f>IF(Settings!$E$15="POINTS",((R442*Q442)*Settings!$B$12)+(S442*Settings!$B$2)+(T442*Settings!$B$3)+(U442*Settings!$B$4)+(V442*Settings!$B$5)+(X442*Settings!$B$9)+(AA442*Settings!$B$6)+(W442*Settings!$B$8)+(AB442*Settings!$B$7)+(AC442*Settings!$B$14)+(AD442*Settings!$B$15)+(AE442*Settings!$B$16)+(AF442*Settings!$B$17)+(AG442*Settings!$B$18)+(Y442*Settings!$B$10)+(Z442*Settings!$B$11),VLOOKUP(B442,'Standard Deviations'!A$1:C$672,3,FALSE))</f>
        <v>197.42525731006737</v>
      </c>
      <c r="J442" s="53" cm="1">
        <f t="array" ref="J442">IF(D442="G",I442/AJ442,I442/Q442)</f>
        <v>2.4965257626462742</v>
      </c>
      <c r="K442" s="52" cm="1">
        <f t="array" ref="K442">IF(Settings!$E$18="C/LW/RW",VLOOKUP(B442,RW!A1:F210,6,FALSE),VLOOKUP(B442,F!A1:F407,6,FALSE))</f>
        <v>-197.51820738349011</v>
      </c>
      <c r="L442" s="54" cm="1">
        <f t="array" ref="L442">IFERROR(K442/H442,"N/A")</f>
        <v>-179.56200671226372</v>
      </c>
      <c r="M442" s="85" t="s">
        <v>832</v>
      </c>
      <c r="N442" s="85" t="str" cm="1">
        <f t="array" ref="N442">IFERROR(M442-A442,"N/A")</f>
        <v>N/A</v>
      </c>
      <c r="O442" s="55"/>
      <c r="P442" s="56" t="str" cm="1">
        <f t="array" ref="P442">_xlfn.XLOOKUP($B442,ADP!A2:A671,ADP!G2:G671)</f>
        <v xml:space="preserve"> </v>
      </c>
      <c r="Q442" s="57" cm="1">
        <f t="array" ref="Q442">IF(Settings!$E$12="YES",VLOOKUP(B442,'Player Data'!A1:E673,5,FALSE),84)</f>
        <v>79.08</v>
      </c>
      <c r="R442" s="84" cm="1">
        <f t="array" ref="R442">VLOOKUP(B442,'Player Data'!$A1:$AE673,6,FALSE)</f>
        <v>15.603944753028999</v>
      </c>
      <c r="S442" s="57" cm="1">
        <f t="array" ref="S442">VLOOKUP(B442,'Player Data'!$A1:$AE673,7,FALSE)*$Q442*IFERROR((VLOOKUP(P442,Settings!$E$28:$F$33,2,FALSE)+1),1)</f>
        <v>18.78709388911065</v>
      </c>
      <c r="T442" s="57" cm="1">
        <f t="array" ref="T442">VLOOKUP(B442,'Player Data'!$A1:$AE673,8,FALSE)*$Q442*IFERROR((VLOOKUP(P442,Settings!$E$28:$F$33,2,FALSE)+1),1)</f>
        <v>12.866335935691895</v>
      </c>
      <c r="U442" s="57" cm="1">
        <f t="array" ref="U442">SUM(S442:T442)</f>
        <v>31.653429824802544</v>
      </c>
      <c r="V442" s="57" cm="1">
        <f t="array" ref="V442">VLOOKUP(B442,'Player Data'!$A1:$AE673,10,FALSE)*$Q442*IFERROR(((VLOOKUP(P442,Settings!$E$28:$F$33,2,FALSE)/2)+1),1)</f>
        <v>147.83086472022947</v>
      </c>
      <c r="W442" s="57" cm="1">
        <f t="array" ref="W442">VLOOKUP(B442,'Player Data'!$A1:$AE673,11,FALSE)*$Q442*IFERROR((VLOOKUP(P442,Settings!$E$28:$F$33,2,FALSE)+1),1)</f>
        <v>2.9334128414176561</v>
      </c>
      <c r="X442" s="57" cm="1">
        <f t="array" ref="X442">VLOOKUP(B442,'Player Data'!$A1:$AE673,12,FALSE)*$Q442*IFERROR((VLOOKUP(P442,Settings!$E$28:$F$33,2,FALSE)+1),1)</f>
        <v>4.5168342113635607</v>
      </c>
      <c r="Y442" s="57" cm="1">
        <f t="array" ref="Y442">VLOOKUP(B442,'Player Data'!$A1:$AE673,13,FALSE)*$Q442</f>
        <v>0.15254677103288777</v>
      </c>
      <c r="Z442" s="57" cm="1">
        <f t="array" ref="Z442">VLOOKUP(B442,'Player Data'!$A1:$AE673,14,FALSE)*$Q442</f>
        <v>0.25270155532925626</v>
      </c>
      <c r="AA442" s="57" cm="1">
        <f t="array" ref="AA442">VLOOKUP(B442,'Player Data'!$A1:$AE673,15,FALSE)*$Q442</f>
        <v>47.559999417704304</v>
      </c>
      <c r="AB442" s="57" cm="1">
        <f t="array" ref="AB442">VLOOKUP(B442,'Player Data'!$A1:$AE673,16,FALSE)*$Q442</f>
        <v>214.79756949385421</v>
      </c>
      <c r="AC442" s="57" cm="1">
        <f t="array" ref="AC442">VLOOKUP(B442,'Player Data'!$A1:$AE673,17,FALSE)*$Q442*IFERROR((VLOOKUP(P442,Settings!$E$28:$F$33,2,FALSE)+1),1)</f>
        <v>-5.1955017242459665</v>
      </c>
      <c r="AD442" s="57" cm="1">
        <f t="array" ref="AD442">VLOOKUP(B442,'Player Data'!$A1:$AE673,18,FALSE)*$Q442</f>
        <v>23.760302869275694</v>
      </c>
      <c r="AE442" s="57" cm="1">
        <f t="array" ref="AE442">VLOOKUP(B442,'Player Data'!$A1:$AE673,19,FALSE)*$Q442*IFERROR((VLOOKUP(P442,Settings!$E$28:$F$33,2,FALSE)+1),1)</f>
        <v>2.7436948731136379</v>
      </c>
      <c r="AF442" s="57" cm="1">
        <f t="array" ref="AF442">VLOOKUP(B442,'Player Data'!$A1:$AE673,20,FALSE)*$Q442</f>
        <v>5.0564053278100589</v>
      </c>
      <c r="AG442" s="57" cm="1">
        <f t="array" ref="AG442">VLOOKUP(B442,'Player Data'!$A1:$AE673,21,FALSE)*$Q442</f>
        <v>12.729243352196121</v>
      </c>
      <c r="AH442" s="59" cm="1">
        <f t="array" ref="AH442">VLOOKUP(B442,'Player Data'!$A1:$AE673,22,FALSE)</f>
        <v>0.28429693056369898</v>
      </c>
      <c r="AI442" s="55"/>
      <c r="AJ442" s="57"/>
      <c r="AK442" s="57"/>
      <c r="AL442" s="57"/>
      <c r="AM442" s="57"/>
      <c r="AN442" s="57"/>
      <c r="AO442" s="57"/>
      <c r="AP442" s="57"/>
      <c r="AQ442" s="60"/>
      <c r="AR442" s="61"/>
      <c r="AS442" s="55"/>
    </row>
    <row r="443" spans="1:45" ht="21.25" customHeight="1" x14ac:dyDescent="0.15">
      <c r="A443" s="62">
        <f t="shared" si="6"/>
        <v>442</v>
      </c>
      <c r="B443" s="10" t="s">
        <v>571</v>
      </c>
      <c r="C443" s="47" t="s">
        <v>147</v>
      </c>
      <c r="D443" s="48" t="str" cm="1">
        <f t="array" ref="D443">VLOOKUP(B443,'Player Data'!A1:D673,4,FALSE)</f>
        <v>RW</v>
      </c>
      <c r="E443" s="64" cm="1">
        <f t="array" ref="E443">VLOOKUP(B443,RW!A1:F210,3,FALSE)</f>
        <v>118</v>
      </c>
      <c r="F443" s="56" t="str" cm="1">
        <f t="array" ref="F443">VLOOKUP(B443,'Player Data'!A1:B673,2,FALSE)</f>
        <v>NYR</v>
      </c>
      <c r="G443" s="66" cm="1">
        <f t="array" ref="G443">VLOOKUP(B443,'Player Data'!A1:D673,3,FALSE)</f>
        <v>31</v>
      </c>
      <c r="H443" s="67" cm="1">
        <f t="array" ref="H443">IFERROR(VLOOKUP(B443,ADP!A1:F671,6,FALSE)/1000000,VLOOKUP(B443,ADP!A1:F671,6,FALSE))</f>
        <v>4.5</v>
      </c>
      <c r="I443" s="52">
        <f>IF(Settings!$E$15="POINTS",((R443*Q443)*Settings!$B$12)+(S443*Settings!$B$2)+(T443*Settings!$B$3)+(U443*Settings!$B$4)+(V443*Settings!$B$5)+(X443*Settings!$B$9)+(AA443*Settings!$B$6)+(W443*Settings!$B$8)+(AB443*Settings!$B$7)+(AC443*Settings!$B$14)+(AD443*Settings!$B$15)+(AE443*Settings!$B$16)+(AF443*Settings!$B$17)+(AG443*Settings!$B$18)+(Y443*Settings!$B$10)+(Z443*Settings!$B$11),VLOOKUP(B443,'Standard Deviations'!A$1:C$672,3,FALSE))</f>
        <v>196.98677904201037</v>
      </c>
      <c r="J443" s="53" cm="1">
        <f t="array" ref="J443">IF(D443="G",I443/AJ443,I443/Q443)</f>
        <v>2.3658523229786561</v>
      </c>
      <c r="K443" s="52" cm="1">
        <f t="array" ref="K443">IF(Settings!$E$18="C/LW/RW",VLOOKUP(B443,RW!A1:F210,6,FALSE),VLOOKUP(B443,F!A1:F407,6,FALSE))</f>
        <v>-197.9566856515471</v>
      </c>
      <c r="L443" s="54" cm="1">
        <f t="array" ref="L443">IFERROR(K443/H443,"N/A")</f>
        <v>-43.990374589232687</v>
      </c>
      <c r="M443" s="85" t="s">
        <v>832</v>
      </c>
      <c r="N443" s="85" t="str" cm="1">
        <f t="array" ref="N443">IFERROR(M443-A443,"N/A")</f>
        <v>N/A</v>
      </c>
      <c r="O443" s="55"/>
      <c r="P443" s="56" t="str" cm="1">
        <f t="array" ref="P443">_xlfn.XLOOKUP($B443,ADP!A2:A671,ADP!G2:G671)</f>
        <v xml:space="preserve"> </v>
      </c>
      <c r="Q443" s="57" cm="1">
        <f t="array" ref="Q443">IF(Settings!$E$12="YES",VLOOKUP(B443,'Player Data'!A1:E673,5,FALSE),84)</f>
        <v>83.262500000000003</v>
      </c>
      <c r="R443" s="55" cm="1">
        <f t="array" ref="R443">VLOOKUP(B443,'Player Data'!$A1:$AE673,6,FALSE)</f>
        <v>14.181241117637899</v>
      </c>
      <c r="S443" s="57" cm="1">
        <f t="array" ref="S443">VLOOKUP(B443,'Player Data'!$A1:$AE673,7,FALSE)*$Q443*IFERROR((VLOOKUP(P443,Settings!$E$28:$F$33,2,FALSE)+1),1)</f>
        <v>12.564478230818391</v>
      </c>
      <c r="T443" s="57" cm="1">
        <f t="array" ref="T443">VLOOKUP(B443,'Player Data'!$A1:$AE673,8,FALSE)*$Q443*IFERROR((VLOOKUP(P443,Settings!$E$28:$F$33,2,FALSE)+1),1)</f>
        <v>21.828270483090009</v>
      </c>
      <c r="U443" s="57" cm="1">
        <f t="array" ref="U443">SUM(S443:T443)</f>
        <v>34.392748713908404</v>
      </c>
      <c r="V443" s="57" cm="1">
        <f t="array" ref="V443">VLOOKUP(B443,'Player Data'!$A1:$AE673,10,FALSE)*$Q443*IFERROR(((VLOOKUP(P443,Settings!$E$28:$F$33,2,FALSE)/2)+1),1)</f>
        <v>134.96307724744997</v>
      </c>
      <c r="W443" s="57" cm="1">
        <f t="array" ref="W443">VLOOKUP(B443,'Player Data'!$A1:$AE673,11,FALSE)*$Q443*IFERROR((VLOOKUP(P443,Settings!$E$28:$F$33,2,FALSE)+1),1)</f>
        <v>2.8876952338682913</v>
      </c>
      <c r="X443" s="57" cm="1">
        <f t="array" ref="X443">VLOOKUP(B443,'Player Data'!$A1:$AE673,12,FALSE)*$Q443*IFERROR((VLOOKUP(P443,Settings!$E$28:$F$33,2,FALSE)+1),1)</f>
        <v>6.1297311344488001</v>
      </c>
      <c r="Y443" s="57" cm="1">
        <f t="array" ref="Y443">VLOOKUP(B443,'Player Data'!$A1:$AE673,13,FALSE)*$Q443</f>
        <v>0</v>
      </c>
      <c r="Z443" s="57" cm="1">
        <f t="array" ref="Z443">VLOOKUP(B443,'Player Data'!$A1:$AE673,14,FALSE)*$Q443</f>
        <v>0</v>
      </c>
      <c r="AA443" s="57" cm="1">
        <f t="array" ref="AA443">VLOOKUP(B443,'Player Data'!$A1:$AE673,15,FALSE)*$Q443</f>
        <v>40.394526284222778</v>
      </c>
      <c r="AB443" s="57" cm="1">
        <f t="array" ref="AB443">VLOOKUP(B443,'Player Data'!$A1:$AE673,16,FALSE)*$Q443</f>
        <v>92.720928698256486</v>
      </c>
      <c r="AC443" s="57" cm="1">
        <f t="array" ref="AC443">VLOOKUP(B443,'Player Data'!$A1:$AE673,17,FALSE)*$Q443*IFERROR((VLOOKUP(P443,Settings!$E$28:$F$33,2,FALSE)+1),1)</f>
        <v>-0.88041938327217506</v>
      </c>
      <c r="AD443" s="57" cm="1">
        <f t="array" ref="AD443">VLOOKUP(B443,'Player Data'!$A1:$AE673,18,FALSE)*$Q443</f>
        <v>18.338948964887813</v>
      </c>
      <c r="AE443" s="57" cm="1">
        <f t="array" ref="AE443">VLOOKUP(B443,'Player Data'!$A1:$AE673,19,FALSE)*$Q443*IFERROR((VLOOKUP(P443,Settings!$E$28:$F$33,2,FALSE)+1),1)</f>
        <v>1.9739271750769396</v>
      </c>
      <c r="AF443" s="57" cm="1">
        <f t="array" ref="AF443">VLOOKUP(B443,'Player Data'!$A1:$AE673,20,FALSE)*$Q443</f>
        <v>6.2570493806451282</v>
      </c>
      <c r="AG443" s="57" cm="1">
        <f t="array" ref="AG443">VLOOKUP(B443,'Player Data'!$A1:$AE673,21,FALSE)*$Q443</f>
        <v>11.210356092149645</v>
      </c>
      <c r="AH443" s="59" cm="1">
        <f t="array" ref="AH443">VLOOKUP(B443,'Player Data'!$A1:$AE673,22,FALSE)</f>
        <v>0.35821286626628102</v>
      </c>
      <c r="AI443" s="55"/>
      <c r="AJ443" s="57"/>
      <c r="AK443" s="57"/>
      <c r="AL443" s="57"/>
      <c r="AM443" s="57"/>
      <c r="AN443" s="57"/>
      <c r="AO443" s="57"/>
      <c r="AP443" s="57"/>
      <c r="AQ443" s="60"/>
      <c r="AR443" s="61"/>
      <c r="AS443" s="55"/>
    </row>
    <row r="444" spans="1:45" ht="21.25" customHeight="1" x14ac:dyDescent="0.15">
      <c r="A444" s="62">
        <f t="shared" si="6"/>
        <v>443</v>
      </c>
      <c r="B444" s="10" t="s">
        <v>572</v>
      </c>
      <c r="C444" s="47" t="s">
        <v>147</v>
      </c>
      <c r="D444" s="48" t="str" cm="1">
        <f t="array" ref="D444">VLOOKUP(B444,'Player Data'!A1:D673,4,FALSE)</f>
        <v>LW,RW</v>
      </c>
      <c r="E444" s="74" cm="1">
        <f t="array" ref="E444">VLOOKUP(B444,RW!A1:F210,3,FALSE)</f>
        <v>119</v>
      </c>
      <c r="F444" s="63" t="str" cm="1">
        <f t="array" ref="F444">VLOOKUP(B444,'Player Data'!A1:B673,2,FALSE)</f>
        <v>WPG</v>
      </c>
      <c r="G444" s="66" cm="1">
        <f t="array" ref="G444">VLOOKUP(B444,'Player Data'!A1:D673,3,FALSE)</f>
        <v>32</v>
      </c>
      <c r="H444" s="51" cm="1">
        <f t="array" ref="H444">IFERROR(VLOOKUP(B444,ADP!A1:F671,6,FALSE)/1000000,VLOOKUP(B444,ADP!A1:F671,6,FALSE))</f>
        <v>3.66</v>
      </c>
      <c r="I444" s="52">
        <f>IF(Settings!$E$15="POINTS",((R444*Q444)*Settings!$B$12)+(S444*Settings!$B$2)+(T444*Settings!$B$3)+(U444*Settings!$B$4)+(V444*Settings!$B$5)+(X444*Settings!$B$9)+(AA444*Settings!$B$6)+(W444*Settings!$B$8)+(AB444*Settings!$B$7)+(AC444*Settings!$B$14)+(AD444*Settings!$B$15)+(AE444*Settings!$B$16)+(AF444*Settings!$B$17)+(AG444*Settings!$B$18)+(Y444*Settings!$B$10)+(Z444*Settings!$B$11),VLOOKUP(B444,'Standard Deviations'!A$1:C$672,3,FALSE))</f>
        <v>196.10487700962074</v>
      </c>
      <c r="J444" s="53" cm="1">
        <f t="array" ref="J444">IF(D444="G",I444/AJ444,I444/Q444)</f>
        <v>2.3486317196277819</v>
      </c>
      <c r="K444" s="52" cm="1">
        <f t="array" ref="K444">IF(Settings!$E$18="C/LW/RW",VLOOKUP(B444,RW!A1:F210,6,FALSE),VLOOKUP(B444,F!A1:F407,6,FALSE))</f>
        <v>-198.83858768393674</v>
      </c>
      <c r="L444" s="54" cm="1">
        <f t="array" ref="L444">IFERROR(K444/H444,"N/A")</f>
        <v>-54.327482973753206</v>
      </c>
      <c r="M444" s="85" t="s">
        <v>832</v>
      </c>
      <c r="N444" s="85" t="str" cm="1">
        <f t="array" ref="N444">IFERROR(M444-A444,"N/A")</f>
        <v>N/A</v>
      </c>
      <c r="O444" s="55"/>
      <c r="P444" s="56" t="str" cm="1">
        <f t="array" ref="P444">_xlfn.XLOOKUP($B444,ADP!A2:A671,ADP!G2:G671)</f>
        <v xml:space="preserve"> </v>
      </c>
      <c r="Q444" s="57" cm="1">
        <f t="array" ref="Q444">IF(Settings!$E$12="YES",VLOOKUP(B444,'Player Data'!A1:E673,5,FALSE),84)</f>
        <v>83.497500000000002</v>
      </c>
      <c r="R444" s="55" cm="1">
        <f t="array" ref="R444">VLOOKUP(B444,'Player Data'!$A1:$AE673,6,FALSE)</f>
        <v>15.7401108333253</v>
      </c>
      <c r="S444" s="57" cm="1">
        <f t="array" ref="S444">VLOOKUP(B444,'Player Data'!$A1:$AE673,7,FALSE)*$Q444*IFERROR((VLOOKUP(P444,Settings!$E$28:$F$33,2,FALSE)+1),1)</f>
        <v>14.006680920612544</v>
      </c>
      <c r="T444" s="57" cm="1">
        <f t="array" ref="T444">VLOOKUP(B444,'Player Data'!$A1:$AE673,8,FALSE)*$Q444*IFERROR((VLOOKUP(P444,Settings!$E$28:$F$33,2,FALSE)+1),1)</f>
        <v>17.832807771744648</v>
      </c>
      <c r="U444" s="57" cm="1">
        <f t="array" ref="U444">SUM(S444:T444)</f>
        <v>31.839488692357193</v>
      </c>
      <c r="V444" s="57" cm="1">
        <f t="array" ref="V444">VLOOKUP(B444,'Player Data'!$A1:$AE673,10,FALSE)*$Q444*IFERROR(((VLOOKUP(P444,Settings!$E$28:$F$33,2,FALSE)/2)+1),1)</f>
        <v>126.54581473333168</v>
      </c>
      <c r="W444" s="57" cm="1">
        <f t="array" ref="W444">VLOOKUP(B444,'Player Data'!$A1:$AE673,11,FALSE)*$Q444*IFERROR((VLOOKUP(P444,Settings!$E$28:$F$33,2,FALSE)+1),1)</f>
        <v>3.2244203219521954</v>
      </c>
      <c r="X444" s="57" cm="1">
        <f t="array" ref="X444">VLOOKUP(B444,'Player Data'!$A1:$AE673,12,FALSE)*$Q444*IFERROR((VLOOKUP(P444,Settings!$E$28:$F$33,2,FALSE)+1),1)</f>
        <v>6.9978951209574722</v>
      </c>
      <c r="Y444" s="57" cm="1">
        <f t="array" ref="Y444">VLOOKUP(B444,'Player Data'!$A1:$AE673,13,FALSE)*$Q444</f>
        <v>6.1583893760722458E-2</v>
      </c>
      <c r="Z444" s="57" cm="1">
        <f t="array" ref="Z444">VLOOKUP(B444,'Player Data'!$A1:$AE673,14,FALSE)*$Q444</f>
        <v>0.49927145392001598</v>
      </c>
      <c r="AA444" s="57" cm="1">
        <f t="array" ref="AA444">VLOOKUP(B444,'Player Data'!$A1:$AE673,15,FALSE)*$Q444</f>
        <v>59.632673982011681</v>
      </c>
      <c r="AB444" s="57" cm="1">
        <f t="array" ref="AB444">VLOOKUP(B444,'Player Data'!$A1:$AE673,16,FALSE)*$Q444</f>
        <v>106.03465115506505</v>
      </c>
      <c r="AC444" s="57" cm="1">
        <f t="array" ref="AC444">VLOOKUP(B444,'Player Data'!$A1:$AE673,17,FALSE)*$Q444*IFERROR((VLOOKUP(P444,Settings!$E$28:$F$33,2,FALSE)+1),1)</f>
        <v>0.69828960475977253</v>
      </c>
      <c r="AD444" s="57" cm="1">
        <f t="array" ref="AD444">VLOOKUP(B444,'Player Data'!$A1:$AE673,18,FALSE)*$Q444</f>
        <v>17.525765851081012</v>
      </c>
      <c r="AE444" s="57" cm="1">
        <f t="array" ref="AE444">VLOOKUP(B444,'Player Data'!$A1:$AE673,19,FALSE)*$Q444*IFERROR((VLOOKUP(P444,Settings!$E$28:$F$33,2,FALSE)+1),1)</f>
        <v>2.4339375059379211</v>
      </c>
      <c r="AF444" s="57" cm="1">
        <f t="array" ref="AF444">VLOOKUP(B444,'Player Data'!$A1:$AE673,20,FALSE)*$Q444</f>
        <v>16.012034847139034</v>
      </c>
      <c r="AG444" s="57" cm="1">
        <f t="array" ref="AG444">VLOOKUP(B444,'Player Data'!$A1:$AE673,21,FALSE)*$Q444</f>
        <v>22.543395333891116</v>
      </c>
      <c r="AH444" s="59" cm="1">
        <f t="array" ref="AH444">VLOOKUP(B444,'Player Data'!$A1:$AE673,22,FALSE)</f>
        <v>0.41529908425239698</v>
      </c>
      <c r="AI444" s="55"/>
      <c r="AJ444" s="57"/>
      <c r="AK444" s="57"/>
      <c r="AL444" s="57"/>
      <c r="AM444" s="57"/>
      <c r="AN444" s="57"/>
      <c r="AO444" s="57"/>
      <c r="AP444" s="57"/>
      <c r="AQ444" s="60"/>
      <c r="AR444" s="61"/>
      <c r="AS444" s="55"/>
    </row>
    <row r="445" spans="1:45" ht="21.25" customHeight="1" x14ac:dyDescent="0.15">
      <c r="A445" s="62">
        <f t="shared" si="6"/>
        <v>444</v>
      </c>
      <c r="B445" s="10" t="s">
        <v>573</v>
      </c>
      <c r="C445" s="47" t="s">
        <v>147</v>
      </c>
      <c r="D445" s="48" t="str" cm="1">
        <f t="array" ref="D445">VLOOKUP(B445,'Player Data'!A1:D673,4,FALSE)</f>
        <v>C,LW</v>
      </c>
      <c r="E445" s="74" cm="1">
        <f t="array" ref="E445">VLOOKUP(B445,LW!A1:C210,3,FALSE)</f>
        <v>104</v>
      </c>
      <c r="F445" s="72" t="str" cm="1">
        <f t="array" ref="F445">VLOOKUP(B445,'Player Data'!A1:B673,2,FALSE)</f>
        <v>BOS</v>
      </c>
      <c r="G445" s="11" cm="1">
        <f t="array" ref="G445">VLOOKUP(B445,'Player Data'!A1:D673,3,FALSE)</f>
        <v>27</v>
      </c>
      <c r="H445" s="67" cm="1">
        <f t="array" ref="H445">IFERROR(VLOOKUP(B445,ADP!A1:F671,6,FALSE)/1000000,VLOOKUP(B445,ADP!A1:F671,6,FALSE))</f>
        <v>5.75</v>
      </c>
      <c r="I445" s="52">
        <f>IF(Settings!$E$15="POINTS",((R445*Q445)*Settings!$B$12)+(S445*Settings!$B$2)+(T445*Settings!$B$3)+(U445*Settings!$B$4)+(V445*Settings!$B$5)+(X445*Settings!$B$9)+(AA445*Settings!$B$6)+(W445*Settings!$B$8)+(AB445*Settings!$B$7)+(AC445*Settings!$B$14)+(AD445*Settings!$B$15)+(AE445*Settings!$B$16)+(AF445*Settings!$B$17)+(AG445*Settings!$B$18)+(Y445*Settings!$B$10)+(Z445*Settings!$B$11),VLOOKUP(B445,'Standard Deviations'!A$1:C$672,3,FALSE))</f>
        <v>199.72991997509845</v>
      </c>
      <c r="J445" s="53" cm="1">
        <f t="array" ref="J445">IF(D445="G",I445/AJ445,I445/Q445)</f>
        <v>2.4434783456703997</v>
      </c>
      <c r="K445" s="52" cm="1">
        <f t="array" ref="K445">IF(Settings!$E$18="C/LW/RW",VLOOKUP(B445,LW!A1:F210,6,FALSE),VLOOKUP(B445,F!A1:F407,6,FALSE))</f>
        <v>-199.58307333862163</v>
      </c>
      <c r="L445" s="54" cm="1">
        <f t="array" ref="L445">IFERROR(K445/H445,"N/A")</f>
        <v>-34.710099711064629</v>
      </c>
      <c r="M445" s="85" t="s">
        <v>832</v>
      </c>
      <c r="N445" s="85" t="str" cm="1">
        <f t="array" ref="N445">IFERROR(M445-A445,"N/A")</f>
        <v>N/A</v>
      </c>
      <c r="O445" s="55"/>
      <c r="P445" s="56" t="str" cm="1">
        <f t="array" ref="P445">_xlfn.XLOOKUP($B445,ADP!A2:A671,ADP!G2:G671)</f>
        <v xml:space="preserve"> </v>
      </c>
      <c r="Q445" s="57" cm="1">
        <f t="array" ref="Q445">IF(Settings!$E$12="YES",VLOOKUP(B445,'Player Data'!A1:E673,5,FALSE),84)</f>
        <v>81.739999999999995</v>
      </c>
      <c r="R445" s="55" cm="1">
        <f t="array" ref="R445">VLOOKUP(B445,'Player Data'!$A1:$AE673,6,FALSE)</f>
        <v>15.070809329221101</v>
      </c>
      <c r="S445" s="57" cm="1">
        <f t="array" ref="S445">VLOOKUP(B445,'Player Data'!$A1:$AE673,7,FALSE)*$Q445*IFERROR((VLOOKUP(P445,Settings!$E$28:$F$33,2,FALSE)+1),1)</f>
        <v>15.409900401964631</v>
      </c>
      <c r="T445" s="57" cm="1">
        <f t="array" ref="T445">VLOOKUP(B445,'Player Data'!$A1:$AE673,8,FALSE)*$Q445*IFERROR((VLOOKUP(P445,Settings!$E$28:$F$33,2,FALSE)+1),1)</f>
        <v>27.412912083669593</v>
      </c>
      <c r="U445" s="57" cm="1">
        <f t="array" ref="U445">SUM(S445:T445)</f>
        <v>42.822812485634223</v>
      </c>
      <c r="V445" s="57" cm="1">
        <f t="array" ref="V445">VLOOKUP(B445,'Player Data'!$A1:$AE673,10,FALSE)*$Q445*IFERROR(((VLOOKUP(P445,Settings!$E$28:$F$33,2,FALSE)/2)+1),1)</f>
        <v>98.431799877097092</v>
      </c>
      <c r="W445" s="57" cm="1">
        <f t="array" ref="W445">VLOOKUP(B445,'Player Data'!$A1:$AE673,11,FALSE)*$Q445*IFERROR((VLOOKUP(P445,Settings!$E$28:$F$33,2,FALSE)+1),1)</f>
        <v>2.260268715974211</v>
      </c>
      <c r="X445" s="57" cm="1">
        <f t="array" ref="X445">VLOOKUP(B445,'Player Data'!$A1:$AE673,12,FALSE)*$Q445*IFERROR((VLOOKUP(P445,Settings!$E$28:$F$33,2,FALSE)+1),1)</f>
        <v>7.8648744197794231</v>
      </c>
      <c r="Y445" s="57" cm="1">
        <f t="array" ref="Y445">VLOOKUP(B445,'Player Data'!$A1:$AE673,13,FALSE)*$Q445</f>
        <v>6.6793317896881622E-3</v>
      </c>
      <c r="Z445" s="57" cm="1">
        <f t="array" ref="Z445">VLOOKUP(B445,'Player Data'!$A1:$AE673,14,FALSE)*$Q445</f>
        <v>1.105493822384743E-2</v>
      </c>
      <c r="AA445" s="57" cm="1">
        <f t="array" ref="AA445">VLOOKUP(B445,'Player Data'!$A1:$AE673,15,FALSE)*$Q445</f>
        <v>28.339306443287914</v>
      </c>
      <c r="AB445" s="57" cm="1">
        <f t="array" ref="AB445">VLOOKUP(B445,'Player Data'!$A1:$AE673,16,FALSE)*$Q445</f>
        <v>33.897455276365378</v>
      </c>
      <c r="AC445" s="57" cm="1">
        <f t="array" ref="AC445">VLOOKUP(B445,'Player Data'!$A1:$AE673,17,FALSE)*$Q445*IFERROR((VLOOKUP(P445,Settings!$E$28:$F$33,2,FALSE)+1),1)</f>
        <v>-1.6517449126011563</v>
      </c>
      <c r="AD445" s="57" cm="1">
        <f t="array" ref="AD445">VLOOKUP(B445,'Player Data'!$A1:$AE673,18,FALSE)*$Q445</f>
        <v>22.422410022807743</v>
      </c>
      <c r="AE445" s="57" cm="1">
        <f t="array" ref="AE445">VLOOKUP(B445,'Player Data'!$A1:$AE673,19,FALSE)*$Q445*IFERROR((VLOOKUP(P445,Settings!$E$28:$F$33,2,FALSE)+1),1)</f>
        <v>2.0745066886611645</v>
      </c>
      <c r="AF445" s="57" cm="1">
        <f t="array" ref="AF445">VLOOKUP(B445,'Player Data'!$A1:$AE673,20,FALSE)*$Q445</f>
        <v>217.69950285632612</v>
      </c>
      <c r="AG445" s="57" cm="1">
        <f t="array" ref="AG445">VLOOKUP(B445,'Player Data'!$A1:$AE673,21,FALSE)*$Q445</f>
        <v>247.41178766883115</v>
      </c>
      <c r="AH445" s="59" cm="1">
        <f t="array" ref="AH445">VLOOKUP(B445,'Player Data'!$A1:$AE673,22,FALSE)</f>
        <v>0.46805895124696201</v>
      </c>
      <c r="AI445" s="55"/>
      <c r="AJ445" s="57"/>
      <c r="AK445" s="57"/>
      <c r="AL445" s="57"/>
      <c r="AM445" s="57"/>
      <c r="AN445" s="57"/>
      <c r="AO445" s="57"/>
      <c r="AP445" s="57"/>
      <c r="AQ445" s="60"/>
      <c r="AR445" s="61"/>
      <c r="AS445" s="55"/>
    </row>
    <row r="446" spans="1:45" ht="21.25" customHeight="1" x14ac:dyDescent="0.15">
      <c r="A446" s="62">
        <f t="shared" si="6"/>
        <v>445</v>
      </c>
      <c r="B446" s="10" t="s">
        <v>574</v>
      </c>
      <c r="C446" s="47" t="s">
        <v>147</v>
      </c>
      <c r="D446" s="48" t="str" cm="1">
        <f t="array" ref="D446">VLOOKUP(B446,'Player Data'!A1:D673,4,FALSE)</f>
        <v>LW,RW</v>
      </c>
      <c r="E446" s="74" cm="1">
        <f t="array" ref="E446">VLOOKUP(B446,RW!A1:F210,3,FALSE)</f>
        <v>120</v>
      </c>
      <c r="F446" s="69" t="str" cm="1">
        <f t="array" ref="F446">VLOOKUP(B446,'Player Data'!A1:B673,2,FALSE)</f>
        <v>MTL</v>
      </c>
      <c r="G446" s="71" cm="1">
        <f t="array" ref="G446">VLOOKUP(B446,'Player Data'!A1:D673,3,FALSE)</f>
        <v>23</v>
      </c>
      <c r="H446" s="51" cm="1">
        <f t="array" ref="H446">IFERROR(VLOOKUP(B446,ADP!A1:F671,6,FALSE)/1000000,VLOOKUP(B446,ADP!A1:F671,6,FALSE))</f>
        <v>0.86333300000000002</v>
      </c>
      <c r="I446" s="52">
        <f>IF(Settings!$E$15="POINTS",((R446*Q446)*Settings!$B$12)+(S446*Settings!$B$2)+(T446*Settings!$B$3)+(U446*Settings!$B$4)+(V446*Settings!$B$5)+(X446*Settings!$B$9)+(AA446*Settings!$B$6)+(W446*Settings!$B$8)+(AB446*Settings!$B$7)+(AC446*Settings!$B$14)+(AD446*Settings!$B$15)+(AE446*Settings!$B$16)+(AF446*Settings!$B$17)+(AG446*Settings!$B$18)+(Y446*Settings!$B$10)+(Z446*Settings!$B$11),VLOOKUP(B446,'Standard Deviations'!A$1:C$672,3,FALSE))</f>
        <v>194.56346667204519</v>
      </c>
      <c r="J446" s="53" cm="1">
        <f t="array" ref="J446">IF(D446="G",I446/AJ446,I446/Q446)</f>
        <v>2.55181935434514</v>
      </c>
      <c r="K446" s="52" cm="1">
        <f t="array" ref="K446">IF(Settings!$E$18="C/LW/RW",VLOOKUP(B446,RW!A1:F210,6,FALSE),VLOOKUP(B446,F!A1:F407,6,FALSE))</f>
        <v>-200.37999802151228</v>
      </c>
      <c r="L446" s="54" cm="1">
        <f t="array" ref="L446">IFERROR(K446/H446,"N/A")</f>
        <v>-232.10047342278389</v>
      </c>
      <c r="M446" s="85" t="s">
        <v>832</v>
      </c>
      <c r="N446" s="85" t="str" cm="1">
        <f t="array" ref="N446">IFERROR(M446-A446,"N/A")</f>
        <v>N/A</v>
      </c>
      <c r="O446" s="55"/>
      <c r="P446" s="56" t="str" cm="1">
        <f t="array" ref="P446">_xlfn.XLOOKUP($B446,ADP!A2:A671,ADP!G2:G671)</f>
        <v xml:space="preserve"> </v>
      </c>
      <c r="Q446" s="57" cm="1">
        <f t="array" ref="Q446">IF(Settings!$E$12="YES",VLOOKUP(B446,'Player Data'!A1:E673,5,FALSE),84)</f>
        <v>76.245000000000005</v>
      </c>
      <c r="R446" s="55" cm="1">
        <f t="array" ref="R446">VLOOKUP(B446,'Player Data'!$A1:$AE673,6,FALSE)</f>
        <v>14.450712452599999</v>
      </c>
      <c r="S446" s="57" cm="1">
        <f t="array" ref="S446">VLOOKUP(B446,'Player Data'!$A1:$AE673,7,FALSE)*$Q446*IFERROR((VLOOKUP(P446,Settings!$E$28:$F$33,2,FALSE)+1),1)</f>
        <v>16.742698409094348</v>
      </c>
      <c r="T446" s="57" cm="1">
        <f t="array" ref="T446">VLOOKUP(B446,'Player Data'!$A1:$AE673,8,FALSE)*$Q446*IFERROR((VLOOKUP(P446,Settings!$E$28:$F$33,2,FALSE)+1),1)</f>
        <v>19.00823434674173</v>
      </c>
      <c r="U446" s="57" cm="1">
        <f t="array" ref="U446">SUM(S446:T446)</f>
        <v>35.750932755836075</v>
      </c>
      <c r="V446" s="57" cm="1">
        <f t="array" ref="V446">VLOOKUP(B446,'Player Data'!$A1:$AE673,10,FALSE)*$Q446*IFERROR(((VLOOKUP(P446,Settings!$E$28:$F$33,2,FALSE)/2)+1),1)</f>
        <v>116.65354730085993</v>
      </c>
      <c r="W446" s="57" cm="1">
        <f t="array" ref="W446">VLOOKUP(B446,'Player Data'!$A1:$AE673,11,FALSE)*$Q446*IFERROR((VLOOKUP(P446,Settings!$E$28:$F$33,2,FALSE)+1),1)</f>
        <v>3.9199086700476746</v>
      </c>
      <c r="X446" s="57" cm="1">
        <f t="array" ref="X446">VLOOKUP(B446,'Player Data'!$A1:$AE673,12,FALSE)*$Q446*IFERROR((VLOOKUP(P446,Settings!$E$28:$F$33,2,FALSE)+1),1)</f>
        <v>7.4359990830997518</v>
      </c>
      <c r="Y446" s="57" cm="1">
        <f t="array" ref="Y446">VLOOKUP(B446,'Player Data'!$A1:$AE673,13,FALSE)*$Q446</f>
        <v>4.4666071128192731E-3</v>
      </c>
      <c r="Z446" s="57" cm="1">
        <f t="array" ref="Z446">VLOOKUP(B446,'Player Data'!$A1:$AE673,14,FALSE)*$Q446</f>
        <v>7.3748104693916643E-3</v>
      </c>
      <c r="AA446" s="57" cm="1">
        <f t="array" ref="AA446">VLOOKUP(B446,'Player Data'!$A1:$AE673,15,FALSE)*$Q446</f>
        <v>43.081041721075685</v>
      </c>
      <c r="AB446" s="57" cm="1">
        <f t="array" ref="AB446">VLOOKUP(B446,'Player Data'!$A1:$AE673,16,FALSE)*$Q446</f>
        <v>149.71698182278081</v>
      </c>
      <c r="AC446" s="57" cm="1">
        <f t="array" ref="AC446">VLOOKUP(B446,'Player Data'!$A1:$AE673,17,FALSE)*$Q446*IFERROR((VLOOKUP(P446,Settings!$E$28:$F$33,2,FALSE)+1),1)</f>
        <v>3.8799193026305341</v>
      </c>
      <c r="AD446" s="57" cm="1">
        <f t="array" ref="AD446">VLOOKUP(B446,'Player Data'!$A1:$AE673,18,FALSE)*$Q446</f>
        <v>28.924689749656267</v>
      </c>
      <c r="AE446" s="57" cm="1">
        <f t="array" ref="AE446">VLOOKUP(B446,'Player Data'!$A1:$AE673,19,FALSE)*$Q446*IFERROR((VLOOKUP(P446,Settings!$E$28:$F$33,2,FALSE)+1),1)</f>
        <v>2.7874944303834006</v>
      </c>
      <c r="AF446" s="57" cm="1">
        <f t="array" ref="AF446">VLOOKUP(B446,'Player Data'!$A1:$AE673,20,FALSE)*$Q446</f>
        <v>14.174462790603572</v>
      </c>
      <c r="AG446" s="57" cm="1">
        <f t="array" ref="AG446">VLOOKUP(B446,'Player Data'!$A1:$AE673,21,FALSE)*$Q446</f>
        <v>20.560508289844591</v>
      </c>
      <c r="AH446" s="59" cm="1">
        <f t="array" ref="AH446">VLOOKUP(B446,'Player Data'!$A1:$AE673,22,FALSE)</f>
        <v>0.40807469675949098</v>
      </c>
      <c r="AI446" s="55"/>
      <c r="AJ446" s="57"/>
      <c r="AK446" s="57"/>
      <c r="AL446" s="57"/>
      <c r="AM446" s="57"/>
      <c r="AN446" s="57"/>
      <c r="AO446" s="57"/>
      <c r="AP446" s="57"/>
      <c r="AQ446" s="60"/>
      <c r="AR446" s="61"/>
      <c r="AS446" s="55"/>
    </row>
    <row r="447" spans="1:45" ht="21.25" customHeight="1" x14ac:dyDescent="0.15">
      <c r="A447" s="62">
        <f t="shared" si="6"/>
        <v>446</v>
      </c>
      <c r="B447" s="10" t="s">
        <v>575</v>
      </c>
      <c r="C447" s="47" t="s">
        <v>147</v>
      </c>
      <c r="D447" s="48" t="str" cm="1">
        <f t="array" ref="D447">VLOOKUP(B447,'Player Data'!A1:D673,4,FALSE)</f>
        <v>D</v>
      </c>
      <c r="E447" s="68" cm="1">
        <f t="array" ref="E447">VLOOKUP(B447,D!A1:C204,3,FALSE)</f>
        <v>186</v>
      </c>
      <c r="F447" s="72" t="str" cm="1">
        <f t="array" ref="F447">VLOOKUP(B447,'Player Data'!A1:B673,2,FALSE)</f>
        <v>DET</v>
      </c>
      <c r="G447" s="11" cm="1">
        <f t="array" ref="G447">VLOOKUP(B447,'Player Data'!A1:D673,3,FALSE)</f>
        <v>26</v>
      </c>
      <c r="H447" s="51" cm="1">
        <f t="array" ref="H447">IFERROR(VLOOKUP(B447,ADP!A1:F671,6,FALSE)/1000000,VLOOKUP(B447,ADP!A1:F671,6,FALSE))</f>
        <v>1.6</v>
      </c>
      <c r="I447" s="52">
        <f>IF(Settings!$E$15="POINTS",((R447*Q447)*Settings!$B$12)+(S447*Settings!$B$2)+(T447*Settings!$B$3)+(U447*Settings!$B$4)+(V447*Settings!$B$5)+(X447*Settings!$B$9)+(AA447*Settings!$B$6)+(W447*Settings!$B$8)+(AB447*Settings!$B$7)+(AC447*Settings!$B$14)+(AD447*Settings!$B$15)+(AE447*Settings!$B$16)+(AF447*Settings!$B$17)+(AG447*Settings!$B$18)+(U447*Settings!$B$13)+(Y447*Settings!$B$10)+(Z447*Settings!$B$11),VLOOKUP(B447,'Standard Deviations'!A$1:C$672,3,FALSE))</f>
        <v>106.05043303310484</v>
      </c>
      <c r="J447" s="53" cm="1">
        <f t="array" ref="J447">IF(D447="G",I447/AJ447,I447/Q447)</f>
        <v>1.4353931314330843</v>
      </c>
      <c r="K447" s="52" cm="1">
        <f t="array" ref="K447">VLOOKUP(B447,D!A1:F204,6,FALSE)</f>
        <v>-200.60343431148922</v>
      </c>
      <c r="L447" s="54" cm="1">
        <f t="array" ref="L447">IFERROR(K447/H447,"N/A")</f>
        <v>-125.37714644468076</v>
      </c>
      <c r="M447" s="85" t="s">
        <v>832</v>
      </c>
      <c r="N447" s="85" t="str" cm="1">
        <f t="array" ref="N447">IFERROR(M447-A447,"N/A")</f>
        <v>N/A</v>
      </c>
      <c r="O447" s="55"/>
      <c r="P447" s="56" t="str" cm="1">
        <f t="array" ref="P447">_xlfn.XLOOKUP($B447,ADP!A2:A671,ADP!G2:G671)</f>
        <v xml:space="preserve"> </v>
      </c>
      <c r="Q447" s="57" cm="1">
        <f t="array" ref="Q447">IF(Settings!$E$12="YES",VLOOKUP(B447,'Player Data'!A1:E673,5,FALSE),84)</f>
        <v>73.882499999999993</v>
      </c>
      <c r="R447" s="55" cm="1">
        <f t="array" ref="R447">VLOOKUP(B447,'Player Data'!$A1:$AE673,6,FALSE)</f>
        <v>14.284335673379999</v>
      </c>
      <c r="S447" s="57" cm="1">
        <f t="array" ref="S447">VLOOKUP(B447,'Player Data'!$A1:$AE673,7,FALSE)*$Q447*IFERROR((VLOOKUP(P447,Settings!$E$28:$F$33,2,FALSE)+1),1)</f>
        <v>2.6688124751755922</v>
      </c>
      <c r="T447" s="57" cm="1">
        <f t="array" ref="T447">VLOOKUP(B447,'Player Data'!$A1:$AE673,8,FALSE)*$Q447*IFERROR((VLOOKUP(P447,Settings!$E$28:$F$33,2,FALSE)+1),1)</f>
        <v>8.5368823307817667</v>
      </c>
      <c r="U447" s="57" cm="1">
        <f t="array" ref="U447">SUM(S447:T447)</f>
        <v>11.205694805957359</v>
      </c>
      <c r="V447" s="57" cm="1">
        <f t="array" ref="V447">VLOOKUP(B447,'Player Data'!$A1:$AE673,10,FALSE)*$Q447*IFERROR(((VLOOKUP(P447,Settings!$E$28:$F$33,2,FALSE)/2)+1),1)</f>
        <v>51.920622972903068</v>
      </c>
      <c r="W447" s="57" cm="1">
        <f t="array" ref="W447">VLOOKUP(B447,'Player Data'!$A1:$AE673,11,FALSE)*$Q447*IFERROR((VLOOKUP(P447,Settings!$E$28:$F$33,2,FALSE)+1),1)</f>
        <v>3.5488245531949403E-3</v>
      </c>
      <c r="X447" s="57" cm="1">
        <f t="array" ref="X447">VLOOKUP(B447,'Player Data'!$A1:$AE673,12,FALSE)*$Q447*IFERROR((VLOOKUP(P447,Settings!$E$28:$F$33,2,FALSE)+1),1)</f>
        <v>2.7947915384588927E-2</v>
      </c>
      <c r="Y447" s="57" cm="1">
        <f t="array" ref="Y447">VLOOKUP(B447,'Player Data'!$A1:$AE673,13,FALSE)*$Q447</f>
        <v>2.0494963262634371E-2</v>
      </c>
      <c r="Z447" s="57" cm="1">
        <f t="array" ref="Z447">VLOOKUP(B447,'Player Data'!$A1:$AE673,14,FALSE)*$Q447</f>
        <v>0.19269769209892976</v>
      </c>
      <c r="AA447" s="57" cm="1">
        <f t="array" ref="AA447">VLOOKUP(B447,'Player Data'!$A1:$AE673,15,FALSE)*$Q447</f>
        <v>92.50478304259542</v>
      </c>
      <c r="AB447" s="57" cm="1">
        <f t="array" ref="AB447">VLOOKUP(B447,'Player Data'!$A1:$AE673,16,FALSE)*$Q447</f>
        <v>76.540034798055174</v>
      </c>
      <c r="AC447" s="57" cm="1">
        <f t="array" ref="AC447">VLOOKUP(B447,'Player Data'!$A1:$AE673,17,FALSE)*$Q447*IFERROR((VLOOKUP(P447,Settings!$E$28:$F$33,2,FALSE)+1),1)</f>
        <v>-1.2700510829154399</v>
      </c>
      <c r="AD447" s="57" cm="1">
        <f t="array" ref="AD447">VLOOKUP(B447,'Player Data'!$A1:$AE673,18,FALSE)*$Q447</f>
        <v>27.212204039942755</v>
      </c>
      <c r="AE447" s="57" cm="1">
        <f t="array" ref="AE447">VLOOKUP(B447,'Player Data'!$A1:$AE673,19,FALSE)*$Q447*IFERROR((VLOOKUP(P447,Settings!$E$28:$F$33,2,FALSE)+1),1)</f>
        <v>0.41822400408219124</v>
      </c>
      <c r="AF447" s="57" cm="1">
        <f t="array" ref="AF447">VLOOKUP(B447,'Player Data'!$A1:$AE673,20,FALSE)*$Q447</f>
        <v>0</v>
      </c>
      <c r="AG447" s="57" cm="1">
        <f t="array" ref="AG447">VLOOKUP(B447,'Player Data'!$A1:$AE673,21,FALSE)*$Q447</f>
        <v>0</v>
      </c>
      <c r="AH447" s="59" cm="1">
        <f t="array" ref="AH447">VLOOKUP(B447,'Player Data'!$A1:$AE673,22,FALSE)</f>
        <v>0</v>
      </c>
      <c r="AI447" s="55"/>
      <c r="AJ447" s="57"/>
      <c r="AK447" s="57"/>
      <c r="AL447" s="57"/>
      <c r="AM447" s="57"/>
      <c r="AN447" s="57"/>
      <c r="AO447" s="57"/>
      <c r="AP447" s="57"/>
      <c r="AQ447" s="60"/>
      <c r="AR447" s="61"/>
      <c r="AS447" s="55"/>
    </row>
    <row r="448" spans="1:45" ht="21.25" customHeight="1" x14ac:dyDescent="0.15">
      <c r="A448" s="62">
        <f t="shared" si="6"/>
        <v>447</v>
      </c>
      <c r="B448" s="10" t="s">
        <v>576</v>
      </c>
      <c r="C448" s="47" t="s">
        <v>147</v>
      </c>
      <c r="D448" s="48" t="str" cm="1">
        <f t="array" ref="D448">VLOOKUP(B448,'Player Data'!A1:D673,4,FALSE)</f>
        <v>C,RW</v>
      </c>
      <c r="E448" s="74" cm="1">
        <f t="array" ref="E448">VLOOKUP(B448,RW!A1:F210,3,FALSE)</f>
        <v>121</v>
      </c>
      <c r="F448" s="69" t="str" cm="1">
        <f t="array" ref="F448">VLOOKUP(B448,'Player Data'!A1:B673,2,FALSE)</f>
        <v>CBJ</v>
      </c>
      <c r="G448" s="71" cm="1">
        <f t="array" ref="G448">VLOOKUP(B448,'Player Data'!A1:D673,3,FALSE)</f>
        <v>23</v>
      </c>
      <c r="H448" s="51" cm="1">
        <f t="array" ref="H448">IFERROR(VLOOKUP(B448,ADP!A1:F671,6,FALSE)/1000000,VLOOKUP(B448,ADP!A1:F671,6,FALSE))</f>
        <v>4.625</v>
      </c>
      <c r="I448" s="52">
        <f>IF(Settings!$E$15="POINTS",((R448*Q448)*Settings!$B$12)+(S448*Settings!$B$2)+(T448*Settings!$B$3)+(U448*Settings!$B$4)+(V448*Settings!$B$5)+(X448*Settings!$B$9)+(AA448*Settings!$B$6)+(W448*Settings!$B$8)+(AB448*Settings!$B$7)+(AC448*Settings!$B$14)+(AD448*Settings!$B$15)+(AE448*Settings!$B$16)+(AF448*Settings!$B$17)+(AG448*Settings!$B$18)+(Y448*Settings!$B$10)+(Z448*Settings!$B$11),VLOOKUP(B448,'Standard Deviations'!A$1:C$672,3,FALSE))</f>
        <v>194.33242120587352</v>
      </c>
      <c r="J448" s="53" cm="1">
        <f t="array" ref="J448">IF(D448="G",I448/AJ448,I448/Q448)</f>
        <v>2.394657234291901</v>
      </c>
      <c r="K448" s="52" cm="1">
        <f t="array" ref="K448">IF(Settings!$E$18="C/LW/RW",VLOOKUP(B448,RW!A1:F210,6,FALSE),VLOOKUP(B448,F!A1:F407,6,FALSE))</f>
        <v>-200.61104348768396</v>
      </c>
      <c r="L448" s="54" cm="1">
        <f t="array" ref="L448">IFERROR(K448/H448,"N/A")</f>
        <v>-43.375360754093826</v>
      </c>
      <c r="M448" s="85" t="s">
        <v>832</v>
      </c>
      <c r="N448" s="85" t="str" cm="1">
        <f t="array" ref="N448">IFERROR(M448-A448,"N/A")</f>
        <v>N/A</v>
      </c>
      <c r="O448" s="55"/>
      <c r="P448" s="56" t="str" cm="1">
        <f t="array" ref="P448">_xlfn.XLOOKUP($B448,ADP!A2:A671,ADP!G2:G671)</f>
        <v xml:space="preserve"> </v>
      </c>
      <c r="Q448" s="57" cm="1">
        <f t="array" ref="Q448">IF(Settings!$E$12="YES",VLOOKUP(B448,'Player Data'!A1:E673,5,FALSE),84)</f>
        <v>81.152500000000003</v>
      </c>
      <c r="R448" s="55" cm="1">
        <f t="array" ref="R448">VLOOKUP(B448,'Player Data'!$A1:$AE673,6,FALSE)</f>
        <v>14.526269925250901</v>
      </c>
      <c r="S448" s="57" cm="1">
        <f t="array" ref="S448">VLOOKUP(B448,'Player Data'!$A1:$AE673,7,FALSE)*$Q448*IFERROR((VLOOKUP(P448,Settings!$E$28:$F$33,2,FALSE)+1),1)</f>
        <v>10.96481405174705</v>
      </c>
      <c r="T448" s="57" cm="1">
        <f t="array" ref="T448">VLOOKUP(B448,'Player Data'!$A1:$AE673,8,FALSE)*$Q448*IFERROR((VLOOKUP(P448,Settings!$E$28:$F$33,2,FALSE)+1),1)</f>
        <v>23.735344645871663</v>
      </c>
      <c r="U448" s="57" cm="1">
        <f t="array" ref="U448">SUM(S448:T448)</f>
        <v>34.700158697618711</v>
      </c>
      <c r="V448" s="57" cm="1">
        <f t="array" ref="V448">VLOOKUP(B448,'Player Data'!$A1:$AE673,10,FALSE)*$Q448*IFERROR(((VLOOKUP(P448,Settings!$E$28:$F$33,2,FALSE)/2)+1),1)</f>
        <v>133.9556540021934</v>
      </c>
      <c r="W448" s="57" cm="1">
        <f t="array" ref="W448">VLOOKUP(B448,'Player Data'!$A1:$AE673,11,FALSE)*$Q448*IFERROR((VLOOKUP(P448,Settings!$E$28:$F$33,2,FALSE)+1),1)</f>
        <v>0.40400076799553919</v>
      </c>
      <c r="X448" s="57" cm="1">
        <f t="array" ref="X448">VLOOKUP(B448,'Player Data'!$A1:$AE673,12,FALSE)*$Q448*IFERROR((VLOOKUP(P448,Settings!$E$28:$F$33,2,FALSE)+1),1)</f>
        <v>0.84838182538566476</v>
      </c>
      <c r="Y448" s="57" cm="1">
        <f t="array" ref="Y448">VLOOKUP(B448,'Player Data'!$A1:$AE673,13,FALSE)*$Q448</f>
        <v>0.31532532175178968</v>
      </c>
      <c r="Z448" s="57" cm="1">
        <f t="array" ref="Z448">VLOOKUP(B448,'Player Data'!$A1:$AE673,14,FALSE)*$Q448</f>
        <v>0.72804021860902368</v>
      </c>
      <c r="AA448" s="57" cm="1">
        <f t="array" ref="AA448">VLOOKUP(B448,'Player Data'!$A1:$AE673,15,FALSE)*$Q448</f>
        <v>43.355392135851929</v>
      </c>
      <c r="AB448" s="57" cm="1">
        <f t="array" ref="AB448">VLOOKUP(B448,'Player Data'!$A1:$AE673,16,FALSE)*$Q448</f>
        <v>98.883629971673258</v>
      </c>
      <c r="AC448" s="57" cm="1">
        <f t="array" ref="AC448">VLOOKUP(B448,'Player Data'!$A1:$AE673,17,FALSE)*$Q448*IFERROR((VLOOKUP(P448,Settings!$E$28:$F$33,2,FALSE)+1),1)</f>
        <v>-0.31206613347106238</v>
      </c>
      <c r="AD448" s="57" cm="1">
        <f t="array" ref="AD448">VLOOKUP(B448,'Player Data'!$A1:$AE673,18,FALSE)*$Q448</f>
        <v>33.369756165177478</v>
      </c>
      <c r="AE448" s="57" cm="1">
        <f t="array" ref="AE448">VLOOKUP(B448,'Player Data'!$A1:$AE673,19,FALSE)*$Q448*IFERROR((VLOOKUP(P448,Settings!$E$28:$F$33,2,FALSE)+1),1)</f>
        <v>1.7668836957330476</v>
      </c>
      <c r="AF448" s="57" cm="1">
        <f t="array" ref="AF448">VLOOKUP(B448,'Player Data'!$A1:$AE673,20,FALSE)*$Q448</f>
        <v>136.34841843084206</v>
      </c>
      <c r="AG448" s="57" cm="1">
        <f t="array" ref="AG448">VLOOKUP(B448,'Player Data'!$A1:$AE673,21,FALSE)*$Q448</f>
        <v>172.13031097267282</v>
      </c>
      <c r="AH448" s="59" cm="1">
        <f t="array" ref="AH448">VLOOKUP(B448,'Player Data'!$A1:$AE673,22,FALSE)</f>
        <v>0.44200265831777202</v>
      </c>
      <c r="AI448" s="55"/>
      <c r="AJ448" s="57"/>
      <c r="AK448" s="57"/>
      <c r="AL448" s="57"/>
      <c r="AM448" s="57"/>
      <c r="AN448" s="57"/>
      <c r="AO448" s="57"/>
      <c r="AP448" s="57"/>
      <c r="AQ448" s="60"/>
      <c r="AR448" s="61"/>
      <c r="AS448" s="55"/>
    </row>
    <row r="449" spans="1:45" ht="21.25" customHeight="1" x14ac:dyDescent="0.15">
      <c r="A449" s="62">
        <f t="shared" si="6"/>
        <v>448</v>
      </c>
      <c r="B449" s="10" t="s">
        <v>577</v>
      </c>
      <c r="C449" s="47" t="s">
        <v>147</v>
      </c>
      <c r="D449" s="48" t="str" cm="1">
        <f t="array" ref="D449">VLOOKUP(B449,'Player Data'!A1:D673,4,FALSE)</f>
        <v>C</v>
      </c>
      <c r="E449" s="49" cm="1">
        <f t="array" ref="E449">VLOOKUP(B449,'C'!A1:C210,3,FALSE)</f>
        <v>114</v>
      </c>
      <c r="F449" s="63" t="str" cm="1">
        <f t="array" ref="F449">VLOOKUP(B449,'Player Data'!A1:B673,2,FALSE)</f>
        <v>VGK</v>
      </c>
      <c r="G449" s="66" cm="1">
        <f t="array" ref="G449">VLOOKUP(B449,'Player Data'!A1:D673,3,FALSE)</f>
        <v>33</v>
      </c>
      <c r="H449" s="67" cm="1">
        <f t="array" ref="H449">IFERROR(VLOOKUP(B449,ADP!A1:F671,6,FALSE)/1000000,VLOOKUP(B449,ADP!A1:F671,6,FALSE))</f>
        <v>5.9</v>
      </c>
      <c r="I449" s="52">
        <f>IF(Settings!$E$15="POINTS",((R449*Q449)*Settings!$B$12)+(S449*Settings!$B$2)+(T449*Settings!$B$3)+(U449*Settings!$B$4)+(V449*Settings!$B$5)+(X449*Settings!$B$9)+(AA449*Settings!$B$6)+(W449*Settings!$B$8)+(AB449*Settings!$B$7)+(AC449*Settings!$B$14)+(AD449*Settings!$B$15)+(AE449*Settings!$B$16)+(AF449*Settings!$B$17)+(AG449*Settings!$B$18)+(Y449*Settings!$B$10)+(Z449*Settings!$B$11),VLOOKUP(B449,'Standard Deviations'!A$1:C$672,3,FALSE))</f>
        <v>185.85910923645176</v>
      </c>
      <c r="J449" s="53" cm="1">
        <f t="array" ref="J449">IF(D449="G",I449/AJ449,I449/Q449)</f>
        <v>2.7834678832820665</v>
      </c>
      <c r="K449" s="52" cm="1">
        <f t="array" ref="K449">IF(Settings!$E$18="C/LW/RW",VLOOKUP(B449,'C'!A1:F210,6,FALSE),VLOOKUP(B449,F!A1:F407,6,FALSE))</f>
        <v>-200.67609715663124</v>
      </c>
      <c r="L449" s="54" cm="1">
        <f t="array" ref="L449">IFERROR(K449/H449,"N/A")</f>
        <v>-34.012897823157836</v>
      </c>
      <c r="M449" s="85" t="s">
        <v>832</v>
      </c>
      <c r="N449" s="85" t="str" cm="1">
        <f t="array" ref="N449">IFERROR(M449-A449,"N/A")</f>
        <v>N/A</v>
      </c>
      <c r="O449" s="55"/>
      <c r="P449" s="56" t="str" cm="1">
        <f t="array" ref="P449">_xlfn.XLOOKUP($B449,ADP!A2:A671,ADP!G2:G671)</f>
        <v xml:space="preserve"> </v>
      </c>
      <c r="Q449" s="57" cm="1">
        <f t="array" ref="Q449">IF(Settings!$E$12="YES",VLOOKUP(B449,'Player Data'!A1:E673,5,FALSE),84)</f>
        <v>66.772499999999994</v>
      </c>
      <c r="R449" s="55" cm="1">
        <f t="array" ref="R449">VLOOKUP(B449,'Player Data'!$A1:$AE673,6,FALSE)</f>
        <v>15.343661239607901</v>
      </c>
      <c r="S449" s="57" cm="1">
        <f t="array" ref="S449">VLOOKUP(B449,'Player Data'!$A1:$AE673,7,FALSE)*$Q449*IFERROR((VLOOKUP(P449,Settings!$E$28:$F$33,2,FALSE)+1),1)</f>
        <v>13.042805646626723</v>
      </c>
      <c r="T449" s="57" cm="1">
        <f t="array" ref="T449">VLOOKUP(B449,'Player Data'!$A1:$AE673,8,FALSE)*$Q449*IFERROR((VLOOKUP(P449,Settings!$E$28:$F$33,2,FALSE)+1),1)</f>
        <v>17.684149727447416</v>
      </c>
      <c r="U449" s="57" cm="1">
        <f t="array" ref="U449">SUM(S449:T449)</f>
        <v>30.726955374074137</v>
      </c>
      <c r="V449" s="57" cm="1">
        <f t="array" ref="V449">VLOOKUP(B449,'Player Data'!$A1:$AE673,10,FALSE)*$Q449*IFERROR(((VLOOKUP(P449,Settings!$E$28:$F$33,2,FALSE)/2)+1),1)</f>
        <v>131.9931490859106</v>
      </c>
      <c r="W449" s="57" cm="1">
        <f t="array" ref="W449">VLOOKUP(B449,'Player Data'!$A1:$AE673,11,FALSE)*$Q449*IFERROR((VLOOKUP(P449,Settings!$E$28:$F$33,2,FALSE)+1),1)</f>
        <v>1.0321821326487157</v>
      </c>
      <c r="X449" s="57" cm="1">
        <f t="array" ref="X449">VLOOKUP(B449,'Player Data'!$A1:$AE673,12,FALSE)*$Q449*IFERROR((VLOOKUP(P449,Settings!$E$28:$F$33,2,FALSE)+1),1)</f>
        <v>2.8627180858638934</v>
      </c>
      <c r="Y449" s="57" cm="1">
        <f t="array" ref="Y449">VLOOKUP(B449,'Player Data'!$A1:$AE673,13,FALSE)*$Q449</f>
        <v>1.5788848508756685</v>
      </c>
      <c r="Z449" s="57" cm="1">
        <f t="array" ref="Z449">VLOOKUP(B449,'Player Data'!$A1:$AE673,14,FALSE)*$Q449</f>
        <v>1.9046225402576977</v>
      </c>
      <c r="AA449" s="57" cm="1">
        <f t="array" ref="AA449">VLOOKUP(B449,'Player Data'!$A1:$AE673,15,FALSE)*$Q449</f>
        <v>45.828655890304979</v>
      </c>
      <c r="AB449" s="57" cm="1">
        <f t="array" ref="AB449">VLOOKUP(B449,'Player Data'!$A1:$AE673,16,FALSE)*$Q449</f>
        <v>35.975090594161706</v>
      </c>
      <c r="AC449" s="57" cm="1">
        <f t="array" ref="AC449">VLOOKUP(B449,'Player Data'!$A1:$AE673,17,FALSE)*$Q449*IFERROR((VLOOKUP(P449,Settings!$E$28:$F$33,2,FALSE)+1),1)</f>
        <v>3.5582217907973579</v>
      </c>
      <c r="AD449" s="57" cm="1">
        <f t="array" ref="AD449">VLOOKUP(B449,'Player Data'!$A1:$AE673,18,FALSE)*$Q449</f>
        <v>14.168644307576702</v>
      </c>
      <c r="AE449" s="57" cm="1">
        <f t="array" ref="AE449">VLOOKUP(B449,'Player Data'!$A1:$AE673,19,FALSE)*$Q449*IFERROR((VLOOKUP(P449,Settings!$E$28:$F$33,2,FALSE)+1),1)</f>
        <v>2.4882729720473509</v>
      </c>
      <c r="AF449" s="57" cm="1">
        <f t="array" ref="AF449">VLOOKUP(B449,'Player Data'!$A1:$AE673,20,FALSE)*$Q449</f>
        <v>453.69023044610873</v>
      </c>
      <c r="AG449" s="57" cm="1">
        <f t="array" ref="AG449">VLOOKUP(B449,'Player Data'!$A1:$AE673,21,FALSE)*$Q449</f>
        <v>338.55619019433465</v>
      </c>
      <c r="AH449" s="59" cm="1">
        <f t="array" ref="AH449">VLOOKUP(B449,'Player Data'!$A1:$AE673,22,FALSE)</f>
        <v>0.57266302330448005</v>
      </c>
      <c r="AI449" s="55"/>
      <c r="AJ449" s="57"/>
      <c r="AK449" s="57"/>
      <c r="AL449" s="57"/>
      <c r="AM449" s="57"/>
      <c r="AN449" s="57"/>
      <c r="AO449" s="57"/>
      <c r="AP449" s="57"/>
      <c r="AQ449" s="60"/>
      <c r="AR449" s="61"/>
      <c r="AS449" s="55"/>
    </row>
    <row r="450" spans="1:45" ht="21.25" customHeight="1" x14ac:dyDescent="0.15">
      <c r="A450" s="62">
        <f t="shared" ref="A450:A513" si="7">RANK(K450,K$2:K$671)</f>
        <v>449</v>
      </c>
      <c r="B450" s="10" t="s">
        <v>578</v>
      </c>
      <c r="C450" s="47" t="s">
        <v>147</v>
      </c>
      <c r="D450" s="48" t="str" cm="1">
        <f t="array" ref="D450">VLOOKUP(B450,'Player Data'!A1:D673,4,FALSE)</f>
        <v>RW</v>
      </c>
      <c r="E450" s="64" cm="1">
        <f t="array" ref="E450">VLOOKUP(B450,RW!A1:F210,3,FALSE)</f>
        <v>122</v>
      </c>
      <c r="F450" s="70" t="str" cm="1">
        <f t="array" ref="F450">VLOOKUP(B450,'Player Data'!A1:B673,2,FALSE)</f>
        <v>MIN</v>
      </c>
      <c r="G450" s="11" cm="1">
        <f t="array" ref="G450">VLOOKUP(B450,'Player Data'!A1:D673,3,FALSE)</f>
        <v>25</v>
      </c>
      <c r="H450" s="67" cm="1">
        <f t="array" ref="H450">IFERROR(VLOOKUP(B450,ADP!A1:F671,6,FALSE)/1000000,VLOOKUP(B450,ADP!A1:F671,6,FALSE))</f>
        <v>2.75</v>
      </c>
      <c r="I450" s="52">
        <f>IF(Settings!$E$15="POINTS",((R450*Q450)*Settings!$B$12)+(S450*Settings!$B$2)+(T450*Settings!$B$3)+(U450*Settings!$B$4)+(V450*Settings!$B$5)+(X450*Settings!$B$9)+(AA450*Settings!$B$6)+(W450*Settings!$B$8)+(AB450*Settings!$B$7)+(AC450*Settings!$B$14)+(AD450*Settings!$B$15)+(AE450*Settings!$B$16)+(AF450*Settings!$B$17)+(AG450*Settings!$B$18)+(Y450*Settings!$B$10)+(Z450*Settings!$B$11),VLOOKUP(B450,'Standard Deviations'!A$1:C$672,3,FALSE))</f>
        <v>194.18060499660837</v>
      </c>
      <c r="J450" s="53" cm="1">
        <f t="array" ref="J450">IF(D450="G",I450/AJ450,I450/Q450)</f>
        <v>2.4694700664052189</v>
      </c>
      <c r="K450" s="52" cm="1">
        <f t="array" ref="K450">IF(Settings!$E$18="C/LW/RW",VLOOKUP(B450,RW!A1:F210,6,FALSE),VLOOKUP(B450,F!A1:F407,6,FALSE))</f>
        <v>-200.76285969694911</v>
      </c>
      <c r="L450" s="54" cm="1">
        <f t="array" ref="L450">IFERROR(K450/H450,"N/A")</f>
        <v>-73.004676253436045</v>
      </c>
      <c r="M450" s="85" t="s">
        <v>832</v>
      </c>
      <c r="N450" s="85" t="str" cm="1">
        <f t="array" ref="N450">IFERROR(M450-A450,"N/A")</f>
        <v>N/A</v>
      </c>
      <c r="O450" s="55"/>
      <c r="P450" s="56" t="str" cm="1">
        <f t="array" ref="P450">_xlfn.XLOOKUP($B450,ADP!A2:A671,ADP!G2:G671)</f>
        <v xml:space="preserve"> </v>
      </c>
      <c r="Q450" s="57" cm="1">
        <f t="array" ref="Q450">IF(Settings!$E$12="YES",VLOOKUP(B450,'Player Data'!A1:E673,5,FALSE),84)</f>
        <v>78.632499999999993</v>
      </c>
      <c r="R450" s="55" cm="1">
        <f t="array" ref="R450">VLOOKUP(B450,'Player Data'!$A1:$AE673,6,FALSE)</f>
        <v>14.652614156527999</v>
      </c>
      <c r="S450" s="57" cm="1">
        <f t="array" ref="S450">VLOOKUP(B450,'Player Data'!$A1:$AE673,7,FALSE)*$Q450*IFERROR((VLOOKUP(P450,Settings!$E$28:$F$33,2,FALSE)+1),1)</f>
        <v>15.062128458967326</v>
      </c>
      <c r="T450" s="57" cm="1">
        <f t="array" ref="T450">VLOOKUP(B450,'Player Data'!$A1:$AE673,8,FALSE)*$Q450*IFERROR((VLOOKUP(P450,Settings!$E$28:$F$33,2,FALSE)+1),1)</f>
        <v>22.315140233176056</v>
      </c>
      <c r="U450" s="57" cm="1">
        <f t="array" ref="U450">SUM(S450:T450)</f>
        <v>37.377268692143382</v>
      </c>
      <c r="V450" s="57" cm="1">
        <f t="array" ref="V450">VLOOKUP(B450,'Player Data'!$A1:$AE673,10,FALSE)*$Q450*IFERROR(((VLOOKUP(P450,Settings!$E$28:$F$33,2,FALSE)/2)+1),1)</f>
        <v>114.32394308914078</v>
      </c>
      <c r="W450" s="57" cm="1">
        <f t="array" ref="W450">VLOOKUP(B450,'Player Data'!$A1:$AE673,11,FALSE)*$Q450*IFERROR((VLOOKUP(P450,Settings!$E$28:$F$33,2,FALSE)+1),1)</f>
        <v>2.2178803537733871</v>
      </c>
      <c r="X450" s="57" cm="1">
        <f t="array" ref="X450">VLOOKUP(B450,'Player Data'!$A1:$AE673,12,FALSE)*$Q450*IFERROR((VLOOKUP(P450,Settings!$E$28:$F$33,2,FALSE)+1),1)</f>
        <v>4.9388166632480317</v>
      </c>
      <c r="Y450" s="57" cm="1">
        <f t="array" ref="Y450">VLOOKUP(B450,'Player Data'!$A1:$AE673,13,FALSE)*$Q450</f>
        <v>1.232062763007047E-2</v>
      </c>
      <c r="Z450" s="57" cm="1">
        <f t="array" ref="Z450">VLOOKUP(B450,'Player Data'!$A1:$AE673,14,FALSE)*$Q450</f>
        <v>2.0197139373037947E-2</v>
      </c>
      <c r="AA450" s="57" cm="1">
        <f t="array" ref="AA450">VLOOKUP(B450,'Player Data'!$A1:$AE673,15,FALSE)*$Q450</f>
        <v>39.85562714597355</v>
      </c>
      <c r="AB450" s="57" cm="1">
        <f t="array" ref="AB450">VLOOKUP(B450,'Player Data'!$A1:$AE673,16,FALSE)*$Q450</f>
        <v>90.739626285838312</v>
      </c>
      <c r="AC450" s="57" cm="1">
        <f t="array" ref="AC450">VLOOKUP(B450,'Player Data'!$A1:$AE673,17,FALSE)*$Q450*IFERROR((VLOOKUP(P450,Settings!$E$28:$F$33,2,FALSE)+1),1)</f>
        <v>1.989725842001731</v>
      </c>
      <c r="AD450" s="57" cm="1">
        <f t="array" ref="AD450">VLOOKUP(B450,'Player Data'!$A1:$AE673,18,FALSE)*$Q450</f>
        <v>23.999054173571089</v>
      </c>
      <c r="AE450" s="57" cm="1">
        <f t="array" ref="AE450">VLOOKUP(B450,'Player Data'!$A1:$AE673,19,FALSE)*$Q450*IFERROR((VLOOKUP(P450,Settings!$E$28:$F$33,2,FALSE)+1),1)</f>
        <v>2.4533871863583587</v>
      </c>
      <c r="AF450" s="57" cm="1">
        <f t="array" ref="AF450">VLOOKUP(B450,'Player Data'!$A1:$AE673,20,FALSE)*$Q450</f>
        <v>19.052757449375807</v>
      </c>
      <c r="AG450" s="57" cm="1">
        <f t="array" ref="AG450">VLOOKUP(B450,'Player Data'!$A1:$AE673,21,FALSE)*$Q450</f>
        <v>31.714233688095657</v>
      </c>
      <c r="AH450" s="59" cm="1">
        <f t="array" ref="AH450">VLOOKUP(B450,'Player Data'!$A1:$AE673,22,FALSE)</f>
        <v>0.37529814201088002</v>
      </c>
      <c r="AI450" s="55"/>
      <c r="AJ450" s="57"/>
      <c r="AK450" s="57"/>
      <c r="AL450" s="57"/>
      <c r="AM450" s="57"/>
      <c r="AN450" s="57"/>
      <c r="AO450" s="57"/>
      <c r="AP450" s="57"/>
      <c r="AQ450" s="60"/>
      <c r="AR450" s="61"/>
      <c r="AS450" s="55"/>
    </row>
    <row r="451" spans="1:45" ht="21.25" customHeight="1" x14ac:dyDescent="0.15">
      <c r="A451" s="62">
        <f t="shared" si="7"/>
        <v>450</v>
      </c>
      <c r="B451" s="10" t="s">
        <v>579</v>
      </c>
      <c r="C451" s="47" t="s">
        <v>147</v>
      </c>
      <c r="D451" s="48" t="str" cm="1">
        <f t="array" ref="D451">VLOOKUP(B451,'Player Data'!A1:D673,4,FALSE)</f>
        <v>LW</v>
      </c>
      <c r="E451" s="75" cm="1">
        <f t="array" ref="E451">VLOOKUP(B451,LW!A1:C210,3,FALSE)</f>
        <v>106</v>
      </c>
      <c r="F451" s="73" t="str" cm="1">
        <f t="array" ref="F451">VLOOKUP(B451,'Player Data'!A1:B673,2,FALSE)</f>
        <v>BUF</v>
      </c>
      <c r="G451" s="66" cm="1">
        <f t="array" ref="G451">VLOOKUP(B451,'Player Data'!A1:D673,3,FALSE)</f>
        <v>34</v>
      </c>
      <c r="H451" s="67" cm="1">
        <f t="array" ref="H451">IFERROR(VLOOKUP(B451,ADP!A1:F671,6,FALSE)/1000000,VLOOKUP(B451,ADP!A1:F671,6,FALSE))</f>
        <v>4.75</v>
      </c>
      <c r="I451" s="52">
        <f>IF(Settings!$E$15="POINTS",((R451*Q451)*Settings!$B$12)+(S451*Settings!$B$2)+(T451*Settings!$B$3)+(U451*Settings!$B$4)+(V451*Settings!$B$5)+(X451*Settings!$B$9)+(AA451*Settings!$B$6)+(W451*Settings!$B$8)+(AB451*Settings!$B$7)+(AC451*Settings!$B$14)+(AD451*Settings!$B$15)+(AE451*Settings!$B$16)+(AF451*Settings!$B$17)+(AG451*Settings!$B$18)+(Y451*Settings!$B$10)+(Z451*Settings!$B$11),VLOOKUP(B451,'Standard Deviations'!A$1:C$672,3,FALSE))</f>
        <v>197.69316153622734</v>
      </c>
      <c r="J451" s="53" cm="1">
        <f t="array" ref="J451">IF(D451="G",I451/AJ451,I451/Q451)</f>
        <v>2.5363974922055021</v>
      </c>
      <c r="K451" s="52" cm="1">
        <f t="array" ref="K451">IF(Settings!$E$18="C/LW/RW",VLOOKUP(B451,LW!A1:F210,6,FALSE),VLOOKUP(B451,F!A1:F407,6,FALSE))</f>
        <v>-201.61983177749275</v>
      </c>
      <c r="L451" s="54" cm="1">
        <f t="array" ref="L451">IFERROR(K451/H451,"N/A")</f>
        <v>-42.446280374209003</v>
      </c>
      <c r="M451" s="85" t="s">
        <v>832</v>
      </c>
      <c r="N451" s="85" t="str" cm="1">
        <f t="array" ref="N451">IFERROR(M451-A451,"N/A")</f>
        <v>N/A</v>
      </c>
      <c r="O451" s="55"/>
      <c r="P451" s="56" t="str" cm="1">
        <f t="array" ref="P451">_xlfn.XLOOKUP($B451,ADP!A2:A671,ADP!G2:G671)</f>
        <v xml:space="preserve"> </v>
      </c>
      <c r="Q451" s="57" cm="1">
        <f t="array" ref="Q451">IF(Settings!$E$12="YES",VLOOKUP(B451,'Player Data'!A1:E673,5,FALSE),84)</f>
        <v>77.942499999999995</v>
      </c>
      <c r="R451" s="84" cm="1">
        <f t="array" ref="R451">VLOOKUP(B451,'Player Data'!$A1:$AE673,6,FALSE)</f>
        <v>13.251516238990201</v>
      </c>
      <c r="S451" s="57" cm="1">
        <f t="array" ref="S451">VLOOKUP(B451,'Player Data'!$A1:$AE673,7,FALSE)*$Q451*IFERROR((VLOOKUP(P451,Settings!$E$28:$F$33,2,FALSE)+1),1)</f>
        <v>16.290170444889224</v>
      </c>
      <c r="T451" s="57" cm="1">
        <f t="array" ref="T451">VLOOKUP(B451,'Player Data'!$A1:$AE673,8,FALSE)*$Q451*IFERROR((VLOOKUP(P451,Settings!$E$28:$F$33,2,FALSE)+1),1)</f>
        <v>20.821040035528153</v>
      </c>
      <c r="U451" s="57" cm="1">
        <f t="array" ref="U451">SUM(S451:T451)</f>
        <v>37.111210480417377</v>
      </c>
      <c r="V451" s="57" cm="1">
        <f t="array" ref="V451">VLOOKUP(B451,'Player Data'!$A1:$AE673,10,FALSE)*$Q451*IFERROR(((VLOOKUP(P451,Settings!$E$28:$F$33,2,FALSE)/2)+1),1)</f>
        <v>131.45728417726545</v>
      </c>
      <c r="W451" s="57" cm="1">
        <f t="array" ref="W451">VLOOKUP(B451,'Player Data'!$A1:$AE673,11,FALSE)*$Q451*IFERROR((VLOOKUP(P451,Settings!$E$28:$F$33,2,FALSE)+1),1)</f>
        <v>4.5344341186717427</v>
      </c>
      <c r="X451" s="57" cm="1">
        <f t="array" ref="X451">VLOOKUP(B451,'Player Data'!$A1:$AE673,12,FALSE)*$Q451*IFERROR((VLOOKUP(P451,Settings!$E$28:$F$33,2,FALSE)+1),1)</f>
        <v>8.1581189829585092</v>
      </c>
      <c r="Y451" s="57" cm="1">
        <f t="array" ref="Y451">VLOOKUP(B451,'Player Data'!$A1:$AE673,13,FALSE)*$Q451</f>
        <v>1.8529066109458884E-3</v>
      </c>
      <c r="Z451" s="57" cm="1">
        <f t="array" ref="Z451">VLOOKUP(B451,'Player Data'!$A1:$AE673,14,FALSE)*$Q451</f>
        <v>3.0705028195340475E-3</v>
      </c>
      <c r="AA451" s="57" cm="1">
        <f t="array" ref="AA451">VLOOKUP(B451,'Player Data'!$A1:$AE673,15,FALSE)*$Q451</f>
        <v>24.939397041128885</v>
      </c>
      <c r="AB451" s="57" cm="1">
        <f t="array" ref="AB451">VLOOKUP(B451,'Player Data'!$A1:$AE673,16,FALSE)*$Q451</f>
        <v>70.414411614496814</v>
      </c>
      <c r="AC451" s="57" cm="1">
        <f t="array" ref="AC451">VLOOKUP(B451,'Player Data'!$A1:$AE673,17,FALSE)*$Q451*IFERROR((VLOOKUP(P451,Settings!$E$28:$F$33,2,FALSE)+1),1)</f>
        <v>1.7307626750067437</v>
      </c>
      <c r="AD451" s="57" cm="1">
        <f t="array" ref="AD451">VLOOKUP(B451,'Player Data'!$A1:$AE673,18,FALSE)*$Q451</f>
        <v>32.119969534521424</v>
      </c>
      <c r="AE451" s="57" cm="1">
        <f t="array" ref="AE451">VLOOKUP(B451,'Player Data'!$A1:$AE673,19,FALSE)*$Q451*IFERROR((VLOOKUP(P451,Settings!$E$28:$F$33,2,FALSE)+1),1)</f>
        <v>2.4560686744073652</v>
      </c>
      <c r="AF451" s="57" cm="1">
        <f t="array" ref="AF451">VLOOKUP(B451,'Player Data'!$A1:$AE673,20,FALSE)*$Q451</f>
        <v>43.987460862410721</v>
      </c>
      <c r="AG451" s="57" cm="1">
        <f t="array" ref="AG451">VLOOKUP(B451,'Player Data'!$A1:$AE673,21,FALSE)*$Q451</f>
        <v>68.175973197759205</v>
      </c>
      <c r="AH451" s="59" cm="1">
        <f t="array" ref="AH451">VLOOKUP(B451,'Player Data'!$A1:$AE673,22,FALSE)</f>
        <v>0.39217291473809301</v>
      </c>
      <c r="AI451" s="55"/>
      <c r="AJ451" s="57"/>
      <c r="AK451" s="57"/>
      <c r="AL451" s="57"/>
      <c r="AM451" s="57"/>
      <c r="AN451" s="57"/>
      <c r="AO451" s="57"/>
      <c r="AP451" s="57"/>
      <c r="AQ451" s="60"/>
      <c r="AR451" s="61"/>
      <c r="AS451" s="55"/>
    </row>
    <row r="452" spans="1:45" ht="21.25" customHeight="1" x14ac:dyDescent="0.15">
      <c r="A452" s="62">
        <f t="shared" si="7"/>
        <v>451</v>
      </c>
      <c r="B452" s="10" t="s">
        <v>580</v>
      </c>
      <c r="C452" s="47" t="s">
        <v>147</v>
      </c>
      <c r="D452" s="48" t="str" cm="1">
        <f t="array" ref="D452">VLOOKUP(B452,'Player Data'!A1:D673,4,FALSE)</f>
        <v>D</v>
      </c>
      <c r="E452" s="68" cm="1">
        <f t="array" ref="E452">VLOOKUP(B452,D!A1:C204,3,FALSE)</f>
        <v>187</v>
      </c>
      <c r="F452" s="72" t="str" cm="1">
        <f t="array" ref="F452">VLOOKUP(B452,'Player Data'!A1:B673,2,FALSE)</f>
        <v>FLA</v>
      </c>
      <c r="G452" s="11" cm="1">
        <f t="array" ref="G452">VLOOKUP(B452,'Player Data'!A1:D673,3,FALSE)</f>
        <v>30</v>
      </c>
      <c r="H452" s="51" cm="1">
        <f t="array" ref="H452">IFERROR(VLOOKUP(B452,ADP!A1:F671,6,FALSE)/1000000,VLOOKUP(B452,ADP!A1:F671,6,FALSE))</f>
        <v>0.875</v>
      </c>
      <c r="I452" s="52">
        <f>IF(Settings!$E$15="POINTS",((R452*Q452)*Settings!$B$12)+(S452*Settings!$B$2)+(T452*Settings!$B$3)+(U452*Settings!$B$4)+(V452*Settings!$B$5)+(X452*Settings!$B$9)+(AA452*Settings!$B$6)+(W452*Settings!$B$8)+(AB452*Settings!$B$7)+(AC452*Settings!$B$14)+(AD452*Settings!$B$15)+(AE452*Settings!$B$16)+(AF452*Settings!$B$17)+(AG452*Settings!$B$18)+(U452*Settings!$B$13)+(Y452*Settings!$B$10)+(Z452*Settings!$B$11),VLOOKUP(B452,'Standard Deviations'!A$1:C$672,3,FALSE))</f>
        <v>104.85829803764729</v>
      </c>
      <c r="J452" s="53" cm="1">
        <f t="array" ref="J452">IF(D452="G",I452/AJ452,I452/Q452)</f>
        <v>1.4436332076498559</v>
      </c>
      <c r="K452" s="52" cm="1">
        <f t="array" ref="K452">VLOOKUP(B452,D!A1:F204,6,FALSE)</f>
        <v>-201.79556930694679</v>
      </c>
      <c r="L452" s="54" cm="1">
        <f t="array" ref="L452">IFERROR(K452/H452,"N/A")</f>
        <v>-230.62350777936777</v>
      </c>
      <c r="M452" s="85" t="s">
        <v>832</v>
      </c>
      <c r="N452" s="85" t="str" cm="1">
        <f t="array" ref="N452">IFERROR(M452-A452,"N/A")</f>
        <v>N/A</v>
      </c>
      <c r="O452" s="55"/>
      <c r="P452" s="56" t="str" cm="1">
        <f t="array" ref="P452">_xlfn.XLOOKUP($B452,ADP!A2:A671,ADP!G2:G671)</f>
        <v xml:space="preserve"> </v>
      </c>
      <c r="Q452" s="57" cm="1">
        <f t="array" ref="Q452">IF(Settings!$E$12="YES",VLOOKUP(B452,'Player Data'!A1:E673,5,FALSE),84)</f>
        <v>72.635000000000005</v>
      </c>
      <c r="R452" s="84" cm="1">
        <f t="array" ref="R452">VLOOKUP(B452,'Player Data'!$A1:$AE673,6,FALSE)</f>
        <v>14.7322737270636</v>
      </c>
      <c r="S452" s="57" cm="1">
        <f t="array" ref="S452">VLOOKUP(B452,'Player Data'!$A1:$AE673,7,FALSE)*$Q452*IFERROR((VLOOKUP(P452,Settings!$E$28:$F$33,2,FALSE)+1),1)</f>
        <v>3.2092838049120411</v>
      </c>
      <c r="T452" s="57" cm="1">
        <f t="array" ref="T452">VLOOKUP(B452,'Player Data'!$A1:$AE673,8,FALSE)*$Q452*IFERROR((VLOOKUP(P452,Settings!$E$28:$F$33,2,FALSE)+1),1)</f>
        <v>9.4041853556404806</v>
      </c>
      <c r="U452" s="57" cm="1">
        <f t="array" ref="U452">SUM(S452:T452)</f>
        <v>12.613469160552523</v>
      </c>
      <c r="V452" s="57" cm="1">
        <f t="array" ref="V452">VLOOKUP(B452,'Player Data'!$A1:$AE673,10,FALSE)*$Q452*IFERROR(((VLOOKUP(P452,Settings!$E$28:$F$33,2,FALSE)/2)+1),1)</f>
        <v>73.834007227518427</v>
      </c>
      <c r="W452" s="57" cm="1">
        <f t="array" ref="W452">VLOOKUP(B452,'Player Data'!$A1:$AE673,11,FALSE)*$Q452*IFERROR((VLOOKUP(P452,Settings!$E$28:$F$33,2,FALSE)+1),1)</f>
        <v>6.6061741644256877E-2</v>
      </c>
      <c r="X452" s="57" cm="1">
        <f t="array" ref="X452">VLOOKUP(B452,'Player Data'!$A1:$AE673,12,FALSE)*$Q452*IFERROR((VLOOKUP(P452,Settings!$E$28:$F$33,2,FALSE)+1),1)</f>
        <v>0.22664098080800463</v>
      </c>
      <c r="Y452" s="57" cm="1">
        <f t="array" ref="Y452">VLOOKUP(B452,'Player Data'!$A1:$AE673,13,FALSE)*$Q452</f>
        <v>1.796312988297121E-3</v>
      </c>
      <c r="Z452" s="57" cm="1">
        <f t="array" ref="Z452">VLOOKUP(B452,'Player Data'!$A1:$AE673,14,FALSE)*$Q452</f>
        <v>6.2484660197052212E-3</v>
      </c>
      <c r="AA452" s="57" cm="1">
        <f t="array" ref="AA452">VLOOKUP(B452,'Player Data'!$A1:$AE673,15,FALSE)*$Q452</f>
        <v>59.735994990805601</v>
      </c>
      <c r="AB452" s="57" cm="1">
        <f t="array" ref="AB452">VLOOKUP(B452,'Player Data'!$A1:$AE673,16,FALSE)*$Q452</f>
        <v>85.669680239729942</v>
      </c>
      <c r="AC452" s="57" cm="1">
        <f t="array" ref="AC452">VLOOKUP(B452,'Player Data'!$A1:$AE673,17,FALSE)*$Q452*IFERROR((VLOOKUP(P452,Settings!$E$28:$F$33,2,FALSE)+1),1)</f>
        <v>1.7569593233982714</v>
      </c>
      <c r="AD452" s="57" cm="1">
        <f t="array" ref="AD452">VLOOKUP(B452,'Player Data'!$A1:$AE673,18,FALSE)*$Q452</f>
        <v>29.287155073717411</v>
      </c>
      <c r="AE452" s="57" cm="1">
        <f t="array" ref="AE452">VLOOKUP(B452,'Player Data'!$A1:$AE673,19,FALSE)*$Q452*IFERROR((VLOOKUP(P452,Settings!$E$28:$F$33,2,FALSE)+1),1)</f>
        <v>0.53433217175786374</v>
      </c>
      <c r="AF452" s="57" cm="1">
        <f t="array" ref="AF452">VLOOKUP(B452,'Player Data'!$A1:$AE673,20,FALSE)*$Q452</f>
        <v>0</v>
      </c>
      <c r="AG452" s="57" cm="1">
        <f t="array" ref="AG452">VLOOKUP(B452,'Player Data'!$A1:$AE673,21,FALSE)*$Q452</f>
        <v>0.36978412609563893</v>
      </c>
      <c r="AH452" s="59" cm="1">
        <f t="array" ref="AH452">VLOOKUP(B452,'Player Data'!$A1:$AE673,22,FALSE)</f>
        <v>0</v>
      </c>
      <c r="AI452" s="55"/>
      <c r="AJ452" s="57"/>
      <c r="AK452" s="57"/>
      <c r="AL452" s="57"/>
      <c r="AM452" s="57"/>
      <c r="AN452" s="57"/>
      <c r="AO452" s="57"/>
      <c r="AP452" s="57"/>
      <c r="AQ452" s="60"/>
      <c r="AR452" s="61"/>
      <c r="AS452" s="55"/>
    </row>
    <row r="453" spans="1:45" ht="21.25" customHeight="1" x14ac:dyDescent="0.15">
      <c r="A453" s="62">
        <f t="shared" si="7"/>
        <v>452</v>
      </c>
      <c r="B453" s="10" t="s">
        <v>581</v>
      </c>
      <c r="C453" s="47" t="s">
        <v>147</v>
      </c>
      <c r="D453" s="48" t="str" cm="1">
        <f t="array" ref="D453">VLOOKUP(B453,'Player Data'!A1:D673,4,FALSE)</f>
        <v>LW,RW</v>
      </c>
      <c r="E453" s="74" cm="1">
        <f t="array" ref="E453">VLOOKUP(B453,RW!A1:F210,3,FALSE)</f>
        <v>123</v>
      </c>
      <c r="F453" s="63" t="str" cm="1">
        <f t="array" ref="F453">VLOOKUP(B453,'Player Data'!A1:B673,2,FALSE)</f>
        <v>EDM</v>
      </c>
      <c r="G453" s="11" cm="1">
        <f t="array" ref="G453">VLOOKUP(B453,'Player Data'!A1:D673,3,FALSE)</f>
        <v>25</v>
      </c>
      <c r="H453" s="51" cm="1">
        <f t="array" ref="H453">IFERROR(VLOOKUP(B453,ADP!A1:F671,6,FALSE)/1000000,VLOOKUP(B453,ADP!A1:F671,6,FALSE))</f>
        <v>2.95</v>
      </c>
      <c r="I453" s="52">
        <f>IF(Settings!$E$15="POINTS",((R453*Q453)*Settings!$B$12)+(S453*Settings!$B$2)+(T453*Settings!$B$3)+(U453*Settings!$B$4)+(V453*Settings!$B$5)+(X453*Settings!$B$9)+(AA453*Settings!$B$6)+(W453*Settings!$B$8)+(AB453*Settings!$B$7)+(AC453*Settings!$B$14)+(AD453*Settings!$B$15)+(AE453*Settings!$B$16)+(AF453*Settings!$B$17)+(AG453*Settings!$B$18)+(Y453*Settings!$B$10)+(Z453*Settings!$B$11),VLOOKUP(B453,'Standard Deviations'!A$1:C$672,3,FALSE))</f>
        <v>191.78456924818121</v>
      </c>
      <c r="J453" s="53" cm="1">
        <f t="array" ref="J453">IF(D453="G",I453/AJ453,I453/Q453)</f>
        <v>2.4673172423540617</v>
      </c>
      <c r="K453" s="52" cm="1">
        <f t="array" ref="K453">IF(Settings!$E$18="C/LW/RW",VLOOKUP(B453,RW!A1:F210,6,FALSE),VLOOKUP(B453,F!A1:F407,6,FALSE))</f>
        <v>-203.15889544537626</v>
      </c>
      <c r="L453" s="54" cm="1">
        <f t="array" ref="L453">IFERROR(K453/H453,"N/A")</f>
        <v>-68.867422184873305</v>
      </c>
      <c r="M453" s="85" t="s">
        <v>832</v>
      </c>
      <c r="N453" s="85" t="str" cm="1">
        <f t="array" ref="N453">IFERROR(M453-A453,"N/A")</f>
        <v>N/A</v>
      </c>
      <c r="O453" s="55"/>
      <c r="P453" s="56" t="str" cm="1">
        <f t="array" ref="P453">_xlfn.XLOOKUP($B453,ADP!A2:A671,ADP!G2:G671)</f>
        <v xml:space="preserve"> </v>
      </c>
      <c r="Q453" s="57" cm="1">
        <f t="array" ref="Q453">IF(Settings!$E$12="YES",VLOOKUP(B453,'Player Data'!A1:E673,5,FALSE),84)</f>
        <v>77.73</v>
      </c>
      <c r="R453" s="55" cm="1">
        <f t="array" ref="R453">VLOOKUP(B453,'Player Data'!$A1:$AE673,6,FALSE)</f>
        <v>15.4630295683498</v>
      </c>
      <c r="S453" s="57" cm="1">
        <f t="array" ref="S453">VLOOKUP(B453,'Player Data'!$A1:$AE673,7,FALSE)*$Q453*IFERROR((VLOOKUP(P453,Settings!$E$28:$F$33,2,FALSE)+1),1)</f>
        <v>14.777555807179883</v>
      </c>
      <c r="T453" s="57" cm="1">
        <f t="array" ref="T453">VLOOKUP(B453,'Player Data'!$A1:$AE673,8,FALSE)*$Q453*IFERROR((VLOOKUP(P453,Settings!$E$28:$F$33,2,FALSE)+1),1)</f>
        <v>18.553404496502644</v>
      </c>
      <c r="U453" s="57" cm="1">
        <f t="array" ref="U453">SUM(S453:T453)</f>
        <v>33.330960303682531</v>
      </c>
      <c r="V453" s="57" cm="1">
        <f t="array" ref="V453">VLOOKUP(B453,'Player Data'!$A1:$AE673,10,FALSE)*$Q453*IFERROR(((VLOOKUP(P453,Settings!$E$28:$F$33,2,FALSE)/2)+1),1)</f>
        <v>130.03216189432956</v>
      </c>
      <c r="W453" s="57" cm="1">
        <f t="array" ref="W453">VLOOKUP(B453,'Player Data'!$A1:$AE673,11,FALSE)*$Q453*IFERROR((VLOOKUP(P453,Settings!$E$28:$F$33,2,FALSE)+1),1)</f>
        <v>0.72576836511698173</v>
      </c>
      <c r="X453" s="57" cm="1">
        <f t="array" ref="X453">VLOOKUP(B453,'Player Data'!$A1:$AE673,12,FALSE)*$Q453*IFERROR((VLOOKUP(P453,Settings!$E$28:$F$33,2,FALSE)+1),1)</f>
        <v>1.9629881681383412</v>
      </c>
      <c r="Y453" s="57" cm="1">
        <f t="array" ref="Y453">VLOOKUP(B453,'Player Data'!$A1:$AE673,13,FALSE)*$Q453</f>
        <v>9.9266237139063823E-2</v>
      </c>
      <c r="Z453" s="57" cm="1">
        <f t="array" ref="Z453">VLOOKUP(B453,'Player Data'!$A1:$AE673,14,FALSE)*$Q453</f>
        <v>0.16366431541118787</v>
      </c>
      <c r="AA453" s="57" cm="1">
        <f t="array" ref="AA453">VLOOKUP(B453,'Player Data'!$A1:$AE673,15,FALSE)*$Q453</f>
        <v>49.297909812838611</v>
      </c>
      <c r="AB453" s="57" cm="1">
        <f t="array" ref="AB453">VLOOKUP(B453,'Player Data'!$A1:$AE673,16,FALSE)*$Q453</f>
        <v>212.31368674421364</v>
      </c>
      <c r="AC453" s="57" cm="1">
        <f t="array" ref="AC453">VLOOKUP(B453,'Player Data'!$A1:$AE673,17,FALSE)*$Q453*IFERROR((VLOOKUP(P453,Settings!$E$28:$F$33,2,FALSE)+1),1)</f>
        <v>6.435155738031165</v>
      </c>
      <c r="AD453" s="57" cm="1">
        <f t="array" ref="AD453">VLOOKUP(B453,'Player Data'!$A1:$AE673,18,FALSE)*$Q453</f>
        <v>38.762374351137275</v>
      </c>
      <c r="AE453" s="57" cm="1">
        <f t="array" ref="AE453">VLOOKUP(B453,'Player Data'!$A1:$AE673,19,FALSE)*$Q453*IFERROR((VLOOKUP(P453,Settings!$E$28:$F$33,2,FALSE)+1),1)</f>
        <v>2.5940751154468824</v>
      </c>
      <c r="AF453" s="57" cm="1">
        <f t="array" ref="AF453">VLOOKUP(B453,'Player Data'!$A1:$AE673,20,FALSE)*$Q453</f>
        <v>18.2271237463417</v>
      </c>
      <c r="AG453" s="57" cm="1">
        <f t="array" ref="AG453">VLOOKUP(B453,'Player Data'!$A1:$AE673,21,FALSE)*$Q453</f>
        <v>43.498434872896162</v>
      </c>
      <c r="AH453" s="59" cm="1">
        <f t="array" ref="AH453">VLOOKUP(B453,'Player Data'!$A1:$AE673,22,FALSE)</f>
        <v>0.29529297351163802</v>
      </c>
      <c r="AI453" s="55"/>
      <c r="AJ453" s="57"/>
      <c r="AK453" s="57"/>
      <c r="AL453" s="57"/>
      <c r="AM453" s="57"/>
      <c r="AN453" s="57"/>
      <c r="AO453" s="57"/>
      <c r="AP453" s="57"/>
      <c r="AQ453" s="60"/>
      <c r="AR453" s="61"/>
      <c r="AS453" s="55"/>
    </row>
    <row r="454" spans="1:45" ht="21.25" customHeight="1" x14ac:dyDescent="0.15">
      <c r="A454" s="62">
        <f t="shared" si="7"/>
        <v>453</v>
      </c>
      <c r="B454" s="10" t="s">
        <v>582</v>
      </c>
      <c r="C454" s="47" t="s">
        <v>147</v>
      </c>
      <c r="D454" s="48" t="str" cm="1">
        <f t="array" ref="D454">VLOOKUP(B454,'Player Data'!A1:D673,4,FALSE)</f>
        <v>C,LW</v>
      </c>
      <c r="E454" s="74" cm="1">
        <f t="array" ref="E454">VLOOKUP(B454,LW!A1:C210,3,FALSE)</f>
        <v>109</v>
      </c>
      <c r="F454" s="72" t="str" cm="1">
        <f t="array" ref="F454">VLOOKUP(B454,'Player Data'!A1:B673,2,FALSE)</f>
        <v>DET</v>
      </c>
      <c r="G454" s="71" cm="1">
        <f t="array" ref="G454">VLOOKUP(B454,'Player Data'!A1:D673,3,FALSE)</f>
        <v>21</v>
      </c>
      <c r="H454" s="51" cm="1">
        <f t="array" ref="H454">IFERROR(VLOOKUP(B454,ADP!A1:F671,6,FALSE)/1000000,VLOOKUP(B454,ADP!A1:F671,6,FALSE))</f>
        <v>0.92166700000000001</v>
      </c>
      <c r="I454" s="52">
        <f>IF(Settings!$E$15="POINTS",((R454*Q454)*Settings!$B$12)+(S454*Settings!$B$2)+(T454*Settings!$B$3)+(U454*Settings!$B$4)+(V454*Settings!$B$5)+(X454*Settings!$B$9)+(AA454*Settings!$B$6)+(W454*Settings!$B$8)+(AB454*Settings!$B$7)+(AC454*Settings!$B$14)+(AD454*Settings!$B$15)+(AE454*Settings!$B$16)+(AF454*Settings!$B$17)+(AG454*Settings!$B$18)+(Y454*Settings!$B$10)+(Z454*Settings!$B$11),VLOOKUP(B454,'Standard Deviations'!A$1:C$672,3,FALSE))</f>
        <v>195.91100296308286</v>
      </c>
      <c r="J454" s="53" cm="1">
        <f t="array" ref="J454">IF(D454="G",I454/AJ454,I454/Q454)</f>
        <v>2.3503209521094459</v>
      </c>
      <c r="K454" s="52" cm="1">
        <f t="array" ref="K454">IF(Settings!$E$18="C/LW/RW",VLOOKUP(B454,LW!A1:F210,6,FALSE),VLOOKUP(B454,F!A1:F407,6,FALSE))</f>
        <v>-203.40199035063722</v>
      </c>
      <c r="L454" s="54" cm="1">
        <f t="array" ref="L454">IFERROR(K454/H454,"N/A")</f>
        <v>-220.68924063749404</v>
      </c>
      <c r="M454" s="85" t="s">
        <v>832</v>
      </c>
      <c r="N454" s="85" t="str" cm="1">
        <f t="array" ref="N454">IFERROR(M454-A454,"N/A")</f>
        <v>N/A</v>
      </c>
      <c r="O454" s="55"/>
      <c r="P454" s="56" t="str" cm="1">
        <f t="array" ref="P454">_xlfn.XLOOKUP($B454,ADP!A2:A671,ADP!G2:G671)</f>
        <v xml:space="preserve"> </v>
      </c>
      <c r="Q454" s="57" cm="1">
        <f t="array" ref="Q454">IF(Settings!$E$12="YES",VLOOKUP(B454,'Player Data'!A1:E673,5,FALSE),84)</f>
        <v>83.355000000000004</v>
      </c>
      <c r="R454" s="55" cm="1">
        <f t="array" ref="R454">VLOOKUP(B454,'Player Data'!$A1:$AE673,6,FALSE)</f>
        <v>15.320136413872</v>
      </c>
      <c r="S454" s="57" cm="1">
        <f t="array" ref="S454">VLOOKUP(B454,'Player Data'!$A1:$AE673,7,FALSE)*$Q454*IFERROR((VLOOKUP(P454,Settings!$E$28:$F$33,2,FALSE)+1),1)</f>
        <v>14.631876434914835</v>
      </c>
      <c r="T454" s="57" cm="1">
        <f t="array" ref="T454">VLOOKUP(B454,'Player Data'!$A1:$AE673,8,FALSE)*$Q454*IFERROR((VLOOKUP(P454,Settings!$E$28:$F$33,2,FALSE)+1),1)</f>
        <v>19.981511261878616</v>
      </c>
      <c r="U454" s="57" cm="1">
        <f t="array" ref="U454">SUM(S454:T454)</f>
        <v>34.613387696793453</v>
      </c>
      <c r="V454" s="57" cm="1">
        <f t="array" ref="V454">VLOOKUP(B454,'Player Data'!$A1:$AE673,10,FALSE)*$Q454*IFERROR(((VLOOKUP(P454,Settings!$E$28:$F$33,2,FALSE)/2)+1),1)</f>
        <v>126.59373492147087</v>
      </c>
      <c r="W454" s="57" cm="1">
        <f t="array" ref="W454">VLOOKUP(B454,'Player Data'!$A1:$AE673,11,FALSE)*$Q454*IFERROR((VLOOKUP(P454,Settings!$E$28:$F$33,2,FALSE)+1),1)</f>
        <v>3.7358765090997088</v>
      </c>
      <c r="X454" s="57" cm="1">
        <f t="array" ref="X454">VLOOKUP(B454,'Player Data'!$A1:$AE673,12,FALSE)*$Q454*IFERROR((VLOOKUP(P454,Settings!$E$28:$F$33,2,FALSE)+1),1)</f>
        <v>8.0718938422736777</v>
      </c>
      <c r="Y454" s="57" cm="1">
        <f t="array" ref="Y454">VLOOKUP(B454,'Player Data'!$A1:$AE673,13,FALSE)*$Q454</f>
        <v>9.5148114341467305E-2</v>
      </c>
      <c r="Z454" s="57" cm="1">
        <f t="array" ref="Z454">VLOOKUP(B454,'Player Data'!$A1:$AE673,14,FALSE)*$Q454</f>
        <v>0.15779125424475665</v>
      </c>
      <c r="AA454" s="57" cm="1">
        <f t="array" ref="AA454">VLOOKUP(B454,'Player Data'!$A1:$AE673,15,FALSE)*$Q454</f>
        <v>41.088574630897291</v>
      </c>
      <c r="AB454" s="57" cm="1">
        <f t="array" ref="AB454">VLOOKUP(B454,'Player Data'!$A1:$AE673,16,FALSE)*$Q454</f>
        <v>125.66009133923322</v>
      </c>
      <c r="AC454" s="57" cm="1">
        <f t="array" ref="AC454">VLOOKUP(B454,'Player Data'!$A1:$AE673,17,FALSE)*$Q454*IFERROR((VLOOKUP(P454,Settings!$E$28:$F$33,2,FALSE)+1),1)</f>
        <v>-2.012718011341736</v>
      </c>
      <c r="AD454" s="57" cm="1">
        <f t="array" ref="AD454">VLOOKUP(B454,'Player Data'!$A1:$AE673,18,FALSE)*$Q454</f>
        <v>15.36343356183426</v>
      </c>
      <c r="AE454" s="57" cm="1">
        <f t="array" ref="AE454">VLOOKUP(B454,'Player Data'!$A1:$AE673,19,FALSE)*$Q454*IFERROR((VLOOKUP(P454,Settings!$E$28:$F$33,2,FALSE)+1),1)</f>
        <v>2.2929306598970842</v>
      </c>
      <c r="AF454" s="57" cm="1">
        <f t="array" ref="AF454">VLOOKUP(B454,'Player Data'!$A1:$AE673,20,FALSE)*$Q454</f>
        <v>47.222241248292811</v>
      </c>
      <c r="AG454" s="57" cm="1">
        <f t="array" ref="AG454">VLOOKUP(B454,'Player Data'!$A1:$AE673,21,FALSE)*$Q454</f>
        <v>60.283712231863113</v>
      </c>
      <c r="AH454" s="59" cm="1">
        <f t="array" ref="AH454">VLOOKUP(B454,'Player Data'!$A1:$AE673,22,FALSE)</f>
        <v>0.43925233644859801</v>
      </c>
      <c r="AI454" s="55"/>
      <c r="AJ454" s="57"/>
      <c r="AK454" s="57"/>
      <c r="AL454" s="57"/>
      <c r="AM454" s="57"/>
      <c r="AN454" s="57"/>
      <c r="AO454" s="57"/>
      <c r="AP454" s="57"/>
      <c r="AQ454" s="60"/>
      <c r="AR454" s="61"/>
      <c r="AS454" s="55"/>
    </row>
    <row r="455" spans="1:45" ht="21.25" customHeight="1" x14ac:dyDescent="0.15">
      <c r="A455" s="62">
        <f t="shared" si="7"/>
        <v>454</v>
      </c>
      <c r="B455" s="10" t="s">
        <v>583</v>
      </c>
      <c r="C455" s="47" t="s">
        <v>147</v>
      </c>
      <c r="D455" s="48" t="str" cm="1">
        <f t="array" ref="D455">VLOOKUP(B455,'Player Data'!A1:D673,4,FALSE)</f>
        <v>C</v>
      </c>
      <c r="E455" s="49" cm="1">
        <f t="array" ref="E455">VLOOKUP(B455,'C'!A1:C210,3,FALSE)</f>
        <v>116</v>
      </c>
      <c r="F455" s="56" t="str" cm="1">
        <f t="array" ref="F455">VLOOKUP(B455,'Player Data'!A1:B673,2,FALSE)</f>
        <v>UTA</v>
      </c>
      <c r="G455" s="11" cm="1">
        <f t="array" ref="G455">VLOOKUP(B455,'Player Data'!A1:D673,3,FALSE)</f>
        <v>26</v>
      </c>
      <c r="H455" s="67" cm="1">
        <f t="array" ref="H455">IFERROR(VLOOKUP(B455,ADP!A1:F671,6,FALSE)/1000000,VLOOKUP(B455,ADP!A1:F671,6,FALSE))</f>
        <v>4.7750000000000004</v>
      </c>
      <c r="I455" s="52">
        <f>IF(Settings!$E$15="POINTS",((R455*Q455)*Settings!$B$12)+(S455*Settings!$B$2)+(T455*Settings!$B$3)+(U455*Settings!$B$4)+(V455*Settings!$B$5)+(X455*Settings!$B$9)+(AA455*Settings!$B$6)+(W455*Settings!$B$8)+(AB455*Settings!$B$7)+(AC455*Settings!$B$14)+(AD455*Settings!$B$15)+(AE455*Settings!$B$16)+(AF455*Settings!$B$17)+(AG455*Settings!$B$18)+(Y455*Settings!$B$10)+(Z455*Settings!$B$11),VLOOKUP(B455,'Standard Deviations'!A$1:C$672,3,FALSE))</f>
        <v>182.76123739890497</v>
      </c>
      <c r="J455" s="53" cm="1">
        <f t="array" ref="J455">IF(D455="G",I455/AJ455,I455/Q455)</f>
        <v>2.3900511642057731</v>
      </c>
      <c r="K455" s="52" cm="1">
        <f t="array" ref="K455">IF(Settings!$E$18="C/LW/RW",VLOOKUP(B455,'C'!A1:F210,6,FALSE),VLOOKUP(B455,F!A1:F407,6,FALSE))</f>
        <v>-203.77396899417803</v>
      </c>
      <c r="L455" s="54" cm="1">
        <f t="array" ref="L455">IFERROR(K455/H455,"N/A")</f>
        <v>-42.675176752707436</v>
      </c>
      <c r="M455" s="85" t="s">
        <v>832</v>
      </c>
      <c r="N455" s="85" t="str" cm="1">
        <f t="array" ref="N455">IFERROR(M455-A455,"N/A")</f>
        <v>N/A</v>
      </c>
      <c r="O455" s="55"/>
      <c r="P455" s="56" t="str" cm="1">
        <f t="array" ref="P455">_xlfn.XLOOKUP($B455,ADP!A2:A671,ADP!G2:G671)</f>
        <v xml:space="preserve"> </v>
      </c>
      <c r="Q455" s="57" cm="1">
        <f t="array" ref="Q455">IF(Settings!$E$12="YES",VLOOKUP(B455,'Player Data'!A1:E673,5,FALSE),84)</f>
        <v>76.467500000000001</v>
      </c>
      <c r="R455" s="55" cm="1">
        <f t="array" ref="R455">VLOOKUP(B455,'Player Data'!$A1:$AE673,6,FALSE)</f>
        <v>15.3024117542873</v>
      </c>
      <c r="S455" s="57" cm="1">
        <f t="array" ref="S455">VLOOKUP(B455,'Player Data'!$A1:$AE673,7,FALSE)*$Q455*IFERROR((VLOOKUP(P455,Settings!$E$28:$F$33,2,FALSE)+1),1)</f>
        <v>12.765405983351343</v>
      </c>
      <c r="T455" s="57" cm="1">
        <f t="array" ref="T455">VLOOKUP(B455,'Player Data'!$A1:$AE673,8,FALSE)*$Q455*IFERROR((VLOOKUP(P455,Settings!$E$28:$F$33,2,FALSE)+1),1)</f>
        <v>18.364782871383156</v>
      </c>
      <c r="U455" s="57" cm="1">
        <f t="array" ref="U455">SUM(S455:T455)</f>
        <v>31.130188854734499</v>
      </c>
      <c r="V455" s="57" cm="1">
        <f t="array" ref="V455">VLOOKUP(B455,'Player Data'!$A1:$AE673,10,FALSE)*$Q455*IFERROR(((VLOOKUP(P455,Settings!$E$28:$F$33,2,FALSE)/2)+1),1)</f>
        <v>127.66542169923434</v>
      </c>
      <c r="W455" s="57" cm="1">
        <f t="array" ref="W455">VLOOKUP(B455,'Player Data'!$A1:$AE673,11,FALSE)*$Q455*IFERROR((VLOOKUP(P455,Settings!$E$28:$F$33,2,FALSE)+1),1)</f>
        <v>3.6172813622614512</v>
      </c>
      <c r="X455" s="57" cm="1">
        <f t="array" ref="X455">VLOOKUP(B455,'Player Data'!$A1:$AE673,12,FALSE)*$Q455*IFERROR((VLOOKUP(P455,Settings!$E$28:$F$33,2,FALSE)+1),1)</f>
        <v>6.7026117251909669</v>
      </c>
      <c r="Y455" s="57" cm="1">
        <f t="array" ref="Y455">VLOOKUP(B455,'Player Data'!$A1:$AE673,13,FALSE)*$Q455</f>
        <v>0.25450157528928369</v>
      </c>
      <c r="Z455" s="57" cm="1">
        <f t="array" ref="Z455">VLOOKUP(B455,'Player Data'!$A1:$AE673,14,FALSE)*$Q455</f>
        <v>0.41940428792887369</v>
      </c>
      <c r="AA455" s="57" cm="1">
        <f t="array" ref="AA455">VLOOKUP(B455,'Player Data'!$A1:$AE673,15,FALSE)*$Q455</f>
        <v>36.831887943928947</v>
      </c>
      <c r="AB455" s="57" cm="1">
        <f t="array" ref="AB455">VLOOKUP(B455,'Player Data'!$A1:$AE673,16,FALSE)*$Q455</f>
        <v>40.927495341430614</v>
      </c>
      <c r="AC455" s="57" cm="1">
        <f t="array" ref="AC455">VLOOKUP(B455,'Player Data'!$A1:$AE673,17,FALSE)*$Q455*IFERROR((VLOOKUP(P455,Settings!$E$28:$F$33,2,FALSE)+1),1)</f>
        <v>1.5659233516886153</v>
      </c>
      <c r="AD455" s="57" cm="1">
        <f t="array" ref="AD455">VLOOKUP(B455,'Player Data'!$A1:$AE673,18,FALSE)*$Q455</f>
        <v>36.935363695755761</v>
      </c>
      <c r="AE455" s="57" cm="1">
        <f t="array" ref="AE455">VLOOKUP(B455,'Player Data'!$A1:$AE673,19,FALSE)*$Q455*IFERROR((VLOOKUP(P455,Settings!$E$28:$F$33,2,FALSE)+1),1)</f>
        <v>2.0634590296981066</v>
      </c>
      <c r="AF455" s="57" cm="1">
        <f t="array" ref="AF455">VLOOKUP(B455,'Player Data'!$A1:$AE673,20,FALSE)*$Q455</f>
        <v>475.46128285139031</v>
      </c>
      <c r="AG455" s="57" cm="1">
        <f t="array" ref="AG455">VLOOKUP(B455,'Player Data'!$A1:$AE673,21,FALSE)*$Q455</f>
        <v>419.99327143031599</v>
      </c>
      <c r="AH455" s="59" cm="1">
        <f t="array" ref="AH455">VLOOKUP(B455,'Player Data'!$A1:$AE673,22,FALSE)</f>
        <v>0.53097198576736704</v>
      </c>
      <c r="AI455" s="55"/>
      <c r="AJ455" s="57"/>
      <c r="AK455" s="57"/>
      <c r="AL455" s="57"/>
      <c r="AM455" s="57"/>
      <c r="AN455" s="57"/>
      <c r="AO455" s="57"/>
      <c r="AP455" s="57"/>
      <c r="AQ455" s="60"/>
      <c r="AR455" s="61"/>
      <c r="AS455" s="55"/>
    </row>
    <row r="456" spans="1:45" ht="21.25" customHeight="1" x14ac:dyDescent="0.15">
      <c r="A456" s="62">
        <f t="shared" si="7"/>
        <v>455</v>
      </c>
      <c r="B456" s="10" t="s">
        <v>584</v>
      </c>
      <c r="C456" s="47" t="s">
        <v>147</v>
      </c>
      <c r="D456" s="48" t="str" cm="1">
        <f t="array" ref="D456">VLOOKUP(B456,'Player Data'!A1:D673,4,FALSE)</f>
        <v>D</v>
      </c>
      <c r="E456" s="68" cm="1">
        <f t="array" ref="E456">VLOOKUP(B456,D!A1:C204,3,FALSE)</f>
        <v>188</v>
      </c>
      <c r="F456" s="63" t="str" cm="1">
        <f t="array" ref="F456">VLOOKUP(B456,'Player Data'!A1:B673,2,FALSE)</f>
        <v>DAL</v>
      </c>
      <c r="G456" s="71" cm="1">
        <f t="array" ref="G456">VLOOKUP(B456,'Player Data'!A1:D673,3,FALSE)</f>
        <v>22</v>
      </c>
      <c r="H456" s="51" cm="1">
        <f t="array" ref="H456">IFERROR(VLOOKUP(B456,ADP!A1:F671,6,FALSE)/1000000,VLOOKUP(B456,ADP!A1:F671,6,FALSE))</f>
        <v>0.91833299999999995</v>
      </c>
      <c r="I456" s="52">
        <f>IF(Settings!$E$15="POINTS",((R456*Q456)*Settings!$B$12)+(S456*Settings!$B$2)+(T456*Settings!$B$3)+(U456*Settings!$B$4)+(V456*Settings!$B$5)+(X456*Settings!$B$9)+(AA456*Settings!$B$6)+(W456*Settings!$B$8)+(AB456*Settings!$B$7)+(AC456*Settings!$B$14)+(AD456*Settings!$B$15)+(AE456*Settings!$B$16)+(AF456*Settings!$B$17)+(AG456*Settings!$B$18)+(U456*Settings!$B$13)+(Y456*Settings!$B$10)+(Z456*Settings!$B$11),VLOOKUP(B456,'Standard Deviations'!A$1:C$672,3,FALSE))</f>
        <v>102.68437360132889</v>
      </c>
      <c r="J456" s="53" cm="1">
        <f t="array" ref="J456">IF(D456="G",I456/AJ456,I456/Q456)</f>
        <v>1.4990419503843633</v>
      </c>
      <c r="K456" s="52" cm="1">
        <f t="array" ref="K456">VLOOKUP(B456,D!A1:F204,6,FALSE)</f>
        <v>-203.96949374326516</v>
      </c>
      <c r="L456" s="54" cm="1">
        <f t="array" ref="L456">IFERROR(K456/H456,"N/A")</f>
        <v>-222.10842226432587</v>
      </c>
      <c r="M456" s="85" t="s">
        <v>832</v>
      </c>
      <c r="N456" s="85" t="str" cm="1">
        <f t="array" ref="N456">IFERROR(M456-A456,"N/A")</f>
        <v>N/A</v>
      </c>
      <c r="O456" s="55"/>
      <c r="P456" s="56" t="str" cm="1">
        <f t="array" ref="P456">_xlfn.XLOOKUP($B456,ADP!A2:A671,ADP!G2:G671)</f>
        <v xml:space="preserve"> </v>
      </c>
      <c r="Q456" s="57" cm="1">
        <f t="array" ref="Q456">IF(Settings!$E$12="YES",VLOOKUP(B456,'Player Data'!A1:E673,5,FALSE),84)</f>
        <v>68.5</v>
      </c>
      <c r="R456" s="55" cm="1">
        <f t="array" ref="R456">VLOOKUP(B456,'Player Data'!$A1:$AE673,6,FALSE)</f>
        <v>15.2356026106517</v>
      </c>
      <c r="S456" s="57" cm="1">
        <f t="array" ref="S456">VLOOKUP(B456,'Player Data'!$A1:$AE673,7,FALSE)*$Q456*IFERROR((VLOOKUP(P456,Settings!$E$28:$F$33,2,FALSE)+1),1)</f>
        <v>5.9177294192996692</v>
      </c>
      <c r="T456" s="57" cm="1">
        <f t="array" ref="T456">VLOOKUP(B456,'Player Data'!$A1:$AE673,8,FALSE)*$Q456*IFERROR((VLOOKUP(P456,Settings!$E$28:$F$33,2,FALSE)+1),1)</f>
        <v>9.2308122774415917</v>
      </c>
      <c r="U456" s="57" cm="1">
        <f t="array" ref="U456">SUM(S456:T456)</f>
        <v>15.148541696741262</v>
      </c>
      <c r="V456" s="57" cm="1">
        <f t="array" ref="V456">VLOOKUP(B456,'Player Data'!$A1:$AE673,10,FALSE)*$Q456*IFERROR(((VLOOKUP(P456,Settings!$E$28:$F$33,2,FALSE)/2)+1),1)</f>
        <v>51.888666608633962</v>
      </c>
      <c r="W456" s="57" cm="1">
        <f t="array" ref="W456">VLOOKUP(B456,'Player Data'!$A1:$AE673,11,FALSE)*$Q456*IFERROR((VLOOKUP(P456,Settings!$E$28:$F$33,2,FALSE)+1),1)</f>
        <v>2.3081058359906634E-3</v>
      </c>
      <c r="X456" s="57" cm="1">
        <f t="array" ref="X456">VLOOKUP(B456,'Player Data'!$A1:$AE673,12,FALSE)*$Q456*IFERROR((VLOOKUP(P456,Settings!$E$28:$F$33,2,FALSE)+1),1)</f>
        <v>1.7655519681993671E-2</v>
      </c>
      <c r="Y456" s="57" cm="1">
        <f t="array" ref="Y456">VLOOKUP(B456,'Player Data'!$A1:$AE673,13,FALSE)*$Q456</f>
        <v>1.921637934981376E-2</v>
      </c>
      <c r="Z456" s="57" cm="1">
        <f t="array" ref="Z456">VLOOKUP(B456,'Player Data'!$A1:$AE673,14,FALSE)*$Q456</f>
        <v>6.4624043884992946E-2</v>
      </c>
      <c r="AA456" s="57" cm="1">
        <f t="array" ref="AA456">VLOOKUP(B456,'Player Data'!$A1:$AE673,15,FALSE)*$Q456</f>
        <v>62.424271286442249</v>
      </c>
      <c r="AB456" s="57" cm="1">
        <f t="array" ref="AB456">VLOOKUP(B456,'Player Data'!$A1:$AE673,16,FALSE)*$Q456</f>
        <v>158.4926929608927</v>
      </c>
      <c r="AC456" s="57" cm="1">
        <f t="array" ref="AC456">VLOOKUP(B456,'Player Data'!$A1:$AE673,17,FALSE)*$Q456*IFERROR((VLOOKUP(P456,Settings!$E$28:$F$33,2,FALSE)+1),1)</f>
        <v>4.2215523174163572</v>
      </c>
      <c r="AD456" s="57" cm="1">
        <f t="array" ref="AD456">VLOOKUP(B456,'Player Data'!$A1:$AE673,18,FALSE)*$Q456</f>
        <v>44.977293755754737</v>
      </c>
      <c r="AE456" s="57" cm="1">
        <f t="array" ref="AE456">VLOOKUP(B456,'Player Data'!$A1:$AE673,19,FALSE)*$Q456*IFERROR((VLOOKUP(P456,Settings!$E$28:$F$33,2,FALSE)+1),1)</f>
        <v>1.0008229279775007</v>
      </c>
      <c r="AF456" s="57" cm="1">
        <f t="array" ref="AF456">VLOOKUP(B456,'Player Data'!$A1:$AE673,20,FALSE)*$Q456</f>
        <v>0</v>
      </c>
      <c r="AG456" s="57" cm="1">
        <f t="array" ref="AG456">VLOOKUP(B456,'Player Data'!$A1:$AE673,21,FALSE)*$Q456</f>
        <v>0</v>
      </c>
      <c r="AH456" s="59" cm="1">
        <f t="array" ref="AH456">VLOOKUP(B456,'Player Data'!$A1:$AE673,22,FALSE)</f>
        <v>0</v>
      </c>
      <c r="AI456" s="55"/>
      <c r="AJ456" s="57"/>
      <c r="AK456" s="57"/>
      <c r="AL456" s="57"/>
      <c r="AM456" s="57"/>
      <c r="AN456" s="57"/>
      <c r="AO456" s="57"/>
      <c r="AP456" s="57"/>
      <c r="AQ456" s="60"/>
      <c r="AR456" s="61"/>
      <c r="AS456" s="55"/>
    </row>
    <row r="457" spans="1:45" ht="21.25" customHeight="1" x14ac:dyDescent="0.15">
      <c r="A457" s="62">
        <f t="shared" si="7"/>
        <v>456</v>
      </c>
      <c r="B457" s="10" t="s">
        <v>585</v>
      </c>
      <c r="C457" s="47" t="s">
        <v>147</v>
      </c>
      <c r="D457" s="48" t="str" cm="1">
        <f t="array" ref="D457">VLOOKUP(B457,'Player Data'!A1:D673,4,FALSE)</f>
        <v>C,LW,RW</v>
      </c>
      <c r="E457" s="74" cm="1">
        <f t="array" ref="E457">VLOOKUP(B457,RW!A1:F210,3,FALSE)</f>
        <v>124</v>
      </c>
      <c r="F457" s="63" t="str" cm="1">
        <f t="array" ref="F457">VLOOKUP(B457,'Player Data'!A1:B673,2,FALSE)</f>
        <v>DAL</v>
      </c>
      <c r="G457" s="66" cm="1">
        <f t="array" ref="G457">VLOOKUP(B457,'Player Data'!A1:D673,3,FALSE)</f>
        <v>37</v>
      </c>
      <c r="H457" s="67" cm="1">
        <f t="array" ref="H457">IFERROR(VLOOKUP(B457,ADP!A1:F671,6,FALSE)/1000000,VLOOKUP(B457,ADP!A1:F671,6,FALSE))</f>
        <v>0.875</v>
      </c>
      <c r="I457" s="52">
        <f>IF(Settings!$E$15="POINTS",((R457*Q457)*Settings!$B$12)+(S457*Settings!$B$2)+(T457*Settings!$B$3)+(U457*Settings!$B$4)+(V457*Settings!$B$5)+(X457*Settings!$B$9)+(AA457*Settings!$B$6)+(W457*Settings!$B$8)+(AB457*Settings!$B$7)+(AC457*Settings!$B$14)+(AD457*Settings!$B$15)+(AE457*Settings!$B$16)+(AF457*Settings!$B$17)+(AG457*Settings!$B$18)+(Y457*Settings!$B$10)+(Z457*Settings!$B$11),VLOOKUP(B457,'Standard Deviations'!A$1:C$672,3,FALSE))</f>
        <v>190.91418128325307</v>
      </c>
      <c r="J457" s="53" cm="1">
        <f t="array" ref="J457">IF(D457="G",I457/AJ457,I457/Q457)</f>
        <v>2.3909102227082415</v>
      </c>
      <c r="K457" s="52" cm="1">
        <f t="array" ref="K457">IF(Settings!$E$18="C/LW/RW",VLOOKUP(B457,RW!A1:F210,6,FALSE),VLOOKUP(B457,F!A1:F407,6,FALSE))</f>
        <v>-204.0292834103044</v>
      </c>
      <c r="L457" s="54" cm="1">
        <f t="array" ref="L457">IFERROR(K457/H457,"N/A")</f>
        <v>-233.17632389749073</v>
      </c>
      <c r="M457" s="85" t="s">
        <v>832</v>
      </c>
      <c r="N457" s="85" t="str" cm="1">
        <f t="array" ref="N457">IFERROR(M457-A457,"N/A")</f>
        <v>N/A</v>
      </c>
      <c r="O457" s="55"/>
      <c r="P457" s="56" t="str" cm="1">
        <f t="array" ref="P457">_xlfn.XLOOKUP($B457,ADP!A2:A671,ADP!G2:G671)</f>
        <v xml:space="preserve"> </v>
      </c>
      <c r="Q457" s="57" cm="1">
        <f t="array" ref="Q457">IF(Settings!$E$12="YES",VLOOKUP(B457,'Player Data'!A1:E673,5,FALSE),84)</f>
        <v>79.849999999999994</v>
      </c>
      <c r="R457" s="55" cm="1">
        <f t="array" ref="R457">VLOOKUP(B457,'Player Data'!$A1:$AE673,6,FALSE)</f>
        <v>12.4986425247547</v>
      </c>
      <c r="S457" s="57" cm="1">
        <f t="array" ref="S457">VLOOKUP(B457,'Player Data'!$A1:$AE673,7,FALSE)*$Q457*IFERROR((VLOOKUP(P457,Settings!$E$28:$F$33,2,FALSE)+1),1)</f>
        <v>15.049791427184156</v>
      </c>
      <c r="T457" s="57" cm="1">
        <f t="array" ref="T457">VLOOKUP(B457,'Player Data'!$A1:$AE673,8,FALSE)*$Q457*IFERROR((VLOOKUP(P457,Settings!$E$28:$F$33,2,FALSE)+1),1)</f>
        <v>23.663721742640924</v>
      </c>
      <c r="U457" s="57" cm="1">
        <f t="array" ref="U457">SUM(S457:T457)</f>
        <v>38.713513169825077</v>
      </c>
      <c r="V457" s="57" cm="1">
        <f t="array" ref="V457">VLOOKUP(B457,'Player Data'!$A1:$AE673,10,FALSE)*$Q457*IFERROR(((VLOOKUP(P457,Settings!$E$28:$F$33,2,FALSE)/2)+1),1)</f>
        <v>102.76667398299688</v>
      </c>
      <c r="W457" s="57" cm="1">
        <f t="array" ref="W457">VLOOKUP(B457,'Player Data'!$A1:$AE673,11,FALSE)*$Q457*IFERROR((VLOOKUP(P457,Settings!$E$28:$F$33,2,FALSE)+1),1)</f>
        <v>1.76457333202352</v>
      </c>
      <c r="X457" s="57" cm="1">
        <f t="array" ref="X457">VLOOKUP(B457,'Player Data'!$A1:$AE673,12,FALSE)*$Q457*IFERROR((VLOOKUP(P457,Settings!$E$28:$F$33,2,FALSE)+1),1)</f>
        <v>6.3290858930624863</v>
      </c>
      <c r="Y457" s="57" cm="1">
        <f t="array" ref="Y457">VLOOKUP(B457,'Player Data'!$A1:$AE673,13,FALSE)*$Q457</f>
        <v>0</v>
      </c>
      <c r="Z457" s="57" cm="1">
        <f t="array" ref="Z457">VLOOKUP(B457,'Player Data'!$A1:$AE673,14,FALSE)*$Q457</f>
        <v>0</v>
      </c>
      <c r="AA457" s="57" cm="1">
        <f t="array" ref="AA457">VLOOKUP(B457,'Player Data'!$A1:$AE673,15,FALSE)*$Q457</f>
        <v>34.122437778433806</v>
      </c>
      <c r="AB457" s="57" cm="1">
        <f t="array" ref="AB457">VLOOKUP(B457,'Player Data'!$A1:$AE673,16,FALSE)*$Q457</f>
        <v>105.60138432467792</v>
      </c>
      <c r="AC457" s="57" cm="1">
        <f t="array" ref="AC457">VLOOKUP(B457,'Player Data'!$A1:$AE673,17,FALSE)*$Q457*IFERROR((VLOOKUP(P457,Settings!$E$28:$F$33,2,FALSE)+1),1)</f>
        <v>5.5580535812377523</v>
      </c>
      <c r="AD457" s="57" cm="1">
        <f t="array" ref="AD457">VLOOKUP(B457,'Player Data'!$A1:$AE673,18,FALSE)*$Q457</f>
        <v>56.456566458841344</v>
      </c>
      <c r="AE457" s="57" cm="1">
        <f t="array" ref="AE457">VLOOKUP(B457,'Player Data'!$A1:$AE673,19,FALSE)*$Q457*IFERROR((VLOOKUP(P457,Settings!$E$28:$F$33,2,FALSE)+1),1)</f>
        <v>2.5452627611668763</v>
      </c>
      <c r="AF457" s="57" cm="1">
        <f t="array" ref="AF457">VLOOKUP(B457,'Player Data'!$A1:$AE673,20,FALSE)*$Q457</f>
        <v>150.28093950716814</v>
      </c>
      <c r="AG457" s="57" cm="1">
        <f t="array" ref="AG457">VLOOKUP(B457,'Player Data'!$A1:$AE673,21,FALSE)*$Q457</f>
        <v>122.45621532083059</v>
      </c>
      <c r="AH457" s="59" cm="1">
        <f t="array" ref="AH457">VLOOKUP(B457,'Player Data'!$A1:$AE673,22,FALSE)</f>
        <v>0.55101014602114895</v>
      </c>
      <c r="AI457" s="55"/>
      <c r="AJ457" s="57"/>
      <c r="AK457" s="57"/>
      <c r="AL457" s="57"/>
      <c r="AM457" s="57"/>
      <c r="AN457" s="57"/>
      <c r="AO457" s="57"/>
      <c r="AP457" s="57"/>
      <c r="AQ457" s="60"/>
      <c r="AR457" s="61"/>
      <c r="AS457" s="55"/>
    </row>
    <row r="458" spans="1:45" ht="21.25" customHeight="1" x14ac:dyDescent="0.15">
      <c r="A458" s="62">
        <f t="shared" si="7"/>
        <v>457</v>
      </c>
      <c r="B458" s="10" t="s">
        <v>586</v>
      </c>
      <c r="C458" s="47" t="s">
        <v>147</v>
      </c>
      <c r="D458" s="48" t="str" cm="1">
        <f t="array" ref="D458">VLOOKUP(B458,'Player Data'!A1:D673,4,FALSE)</f>
        <v>D</v>
      </c>
      <c r="E458" s="68" cm="1">
        <f t="array" ref="E458">VLOOKUP(B458,D!A1:C204,3,FALSE)</f>
        <v>189</v>
      </c>
      <c r="F458" s="65" t="str" cm="1">
        <f t="array" ref="F458">VLOOKUP(B458,'Player Data'!A1:B673,2,FALSE)</f>
        <v>STL</v>
      </c>
      <c r="G458" s="11" cm="1">
        <f t="array" ref="G458">VLOOKUP(B458,'Player Data'!A1:D673,3,FALSE)</f>
        <v>26</v>
      </c>
      <c r="H458" s="67" cm="1">
        <f t="array" ref="H458">IFERROR(VLOOKUP(B458,ADP!A1:F671,6,FALSE)/1000000,VLOOKUP(B458,ADP!A1:F671,6,FALSE))</f>
        <v>0.92500000000000004</v>
      </c>
      <c r="I458" s="52">
        <f>IF(Settings!$E$15="POINTS",((R458*Q458)*Settings!$B$12)+(S458*Settings!$B$2)+(T458*Settings!$B$3)+(U458*Settings!$B$4)+(V458*Settings!$B$5)+(X458*Settings!$B$9)+(AA458*Settings!$B$6)+(W458*Settings!$B$8)+(AB458*Settings!$B$7)+(AC458*Settings!$B$14)+(AD458*Settings!$B$15)+(AE458*Settings!$B$16)+(AF458*Settings!$B$17)+(AG458*Settings!$B$18)+(U458*Settings!$B$13)+(Y458*Settings!$B$10)+(Z458*Settings!$B$11),VLOOKUP(B458,'Standard Deviations'!A$1:C$672,3,FALSE))</f>
        <v>102.49788989516772</v>
      </c>
      <c r="J458" s="53" cm="1">
        <f t="array" ref="J458">IF(D458="G",I458/AJ458,I458/Q458)</f>
        <v>1.4627405886070528</v>
      </c>
      <c r="K458" s="52" cm="1">
        <f t="array" ref="K458">VLOOKUP(B458,D!A1:F204,6,FALSE)</f>
        <v>-204.15597744942636</v>
      </c>
      <c r="L458" s="54" cm="1">
        <f t="array" ref="L458">IFERROR(K458/H458,"N/A")</f>
        <v>-220.70916481019066</v>
      </c>
      <c r="M458" s="85" t="s">
        <v>832</v>
      </c>
      <c r="N458" s="85" t="str" cm="1">
        <f t="array" ref="N458">IFERROR(M458-A458,"N/A")</f>
        <v>N/A</v>
      </c>
      <c r="O458" s="55"/>
      <c r="P458" s="56" t="str" cm="1">
        <f t="array" ref="P458">_xlfn.XLOOKUP($B458,ADP!A2:A671,ADP!G2:G671)</f>
        <v xml:space="preserve"> </v>
      </c>
      <c r="Q458" s="57" cm="1">
        <f t="array" ref="Q458">IF(Settings!$E$12="YES",VLOOKUP(B458,'Player Data'!A1:E673,5,FALSE),84)</f>
        <v>70.072500000000005</v>
      </c>
      <c r="R458" s="55" cm="1">
        <f t="array" ref="R458">VLOOKUP(B458,'Player Data'!$A1:$AE673,6,FALSE)</f>
        <v>14.1820861414513</v>
      </c>
      <c r="S458" s="57" cm="1">
        <f t="array" ref="S458">VLOOKUP(B458,'Player Data'!$A1:$AE673,7,FALSE)*$Q458*IFERROR((VLOOKUP(P458,Settings!$E$28:$F$33,2,FALSE)+1),1)</f>
        <v>3.2391270474733762</v>
      </c>
      <c r="T458" s="57" cm="1">
        <f t="array" ref="T458">VLOOKUP(B458,'Player Data'!$A1:$AE673,8,FALSE)*$Q458*IFERROR((VLOOKUP(P458,Settings!$E$28:$F$33,2,FALSE)+1),1)</f>
        <v>10.121695495722069</v>
      </c>
      <c r="U458" s="57" cm="1">
        <f t="array" ref="U458">SUM(S458:T458)</f>
        <v>13.360822543195445</v>
      </c>
      <c r="V458" s="57" cm="1">
        <f t="array" ref="V458">VLOOKUP(B458,'Player Data'!$A1:$AE673,10,FALSE)*$Q458*IFERROR(((VLOOKUP(P458,Settings!$E$28:$F$33,2,FALSE)/2)+1),1)</f>
        <v>63.242677920698732</v>
      </c>
      <c r="W458" s="57" cm="1">
        <f t="array" ref="W458">VLOOKUP(B458,'Player Data'!$A1:$AE673,11,FALSE)*$Q458*IFERROR((VLOOKUP(P458,Settings!$E$28:$F$33,2,FALSE)+1),1)</f>
        <v>6.9256806487928918E-3</v>
      </c>
      <c r="X458" s="57" cm="1">
        <f t="array" ref="X458">VLOOKUP(B458,'Player Data'!$A1:$AE673,12,FALSE)*$Q458*IFERROR((VLOOKUP(P458,Settings!$E$28:$F$33,2,FALSE)+1),1)</f>
        <v>5.4371242217770503E-2</v>
      </c>
      <c r="Y458" s="57" cm="1">
        <f t="array" ref="Y458">VLOOKUP(B458,'Player Data'!$A1:$AE673,13,FALSE)*$Q458</f>
        <v>2.2978826786988739E-2</v>
      </c>
      <c r="Z458" s="57" cm="1">
        <f t="array" ref="Z458">VLOOKUP(B458,'Player Data'!$A1:$AE673,14,FALSE)*$Q458</f>
        <v>0.30596775465852066</v>
      </c>
      <c r="AA458" s="57" cm="1">
        <f t="array" ref="AA458">VLOOKUP(B458,'Player Data'!$A1:$AE673,15,FALSE)*$Q458</f>
        <v>60.867488616711448</v>
      </c>
      <c r="AB458" s="57" cm="1">
        <f t="array" ref="AB458">VLOOKUP(B458,'Player Data'!$A1:$AE673,16,FALSE)*$Q458</f>
        <v>102.13170910830571</v>
      </c>
      <c r="AC458" s="57" cm="1">
        <f t="array" ref="AC458">VLOOKUP(B458,'Player Data'!$A1:$AE673,17,FALSE)*$Q458*IFERROR((VLOOKUP(P458,Settings!$E$28:$F$33,2,FALSE)+1),1)</f>
        <v>-1.9712499362449281</v>
      </c>
      <c r="AD458" s="57" cm="1">
        <f t="array" ref="AD458">VLOOKUP(B458,'Player Data'!$A1:$AE673,18,FALSE)*$Q458</f>
        <v>64.644168941268191</v>
      </c>
      <c r="AE458" s="57" cm="1">
        <f t="array" ref="AE458">VLOOKUP(B458,'Player Data'!$A1:$AE673,19,FALSE)*$Q458*IFERROR((VLOOKUP(P458,Settings!$E$28:$F$33,2,FALSE)+1),1)</f>
        <v>0.46705311166170527</v>
      </c>
      <c r="AF458" s="57" cm="1">
        <f t="array" ref="AF458">VLOOKUP(B458,'Player Data'!$A1:$AE673,20,FALSE)*$Q458</f>
        <v>0</v>
      </c>
      <c r="AG458" s="57" cm="1">
        <f t="array" ref="AG458">VLOOKUP(B458,'Player Data'!$A1:$AE673,21,FALSE)*$Q458</f>
        <v>0</v>
      </c>
      <c r="AH458" s="59" cm="1">
        <f t="array" ref="AH458">VLOOKUP(B458,'Player Data'!$A1:$AE673,22,FALSE)</f>
        <v>0</v>
      </c>
      <c r="AI458" s="55"/>
      <c r="AJ458" s="57"/>
      <c r="AK458" s="57"/>
      <c r="AL458" s="57"/>
      <c r="AM458" s="57"/>
      <c r="AN458" s="57"/>
      <c r="AO458" s="57"/>
      <c r="AP458" s="57"/>
      <c r="AQ458" s="60"/>
      <c r="AR458" s="61"/>
      <c r="AS458" s="55"/>
    </row>
    <row r="459" spans="1:45" ht="21.25" customHeight="1" x14ac:dyDescent="0.15">
      <c r="A459" s="62">
        <f t="shared" si="7"/>
        <v>458</v>
      </c>
      <c r="B459" s="10" t="s">
        <v>587</v>
      </c>
      <c r="C459" s="47" t="s">
        <v>147</v>
      </c>
      <c r="D459" s="48" t="str" cm="1">
        <f t="array" ref="D459">VLOOKUP(B459,'Player Data'!A1:D673,4,FALSE)</f>
        <v>RW</v>
      </c>
      <c r="E459" s="64" cm="1">
        <f t="array" ref="E459">VLOOKUP(B459,RW!A1:F210,3,FALSE)</f>
        <v>125</v>
      </c>
      <c r="F459" s="72" t="str" cm="1">
        <f t="array" ref="F459">VLOOKUP(B459,'Player Data'!A1:B673,2,FALSE)</f>
        <v>PIT</v>
      </c>
      <c r="G459" s="71" cm="1">
        <f t="array" ref="G459">VLOOKUP(B459,'Player Data'!A1:D673,3,FALSE)</f>
        <v>24</v>
      </c>
      <c r="H459" s="51" cm="1">
        <f t="array" ref="H459">IFERROR(VLOOKUP(B459,ADP!A1:F671,6,FALSE)/1000000,VLOOKUP(B459,ADP!A1:F671,6,FALSE))</f>
        <v>3.25</v>
      </c>
      <c r="I459" s="52">
        <f>IF(Settings!$E$15="POINTS",((R459*Q459)*Settings!$B$12)+(S459*Settings!$B$2)+(T459*Settings!$B$3)+(U459*Settings!$B$4)+(V459*Settings!$B$5)+(X459*Settings!$B$9)+(AA459*Settings!$B$6)+(W459*Settings!$B$8)+(AB459*Settings!$B$7)+(AC459*Settings!$B$14)+(AD459*Settings!$B$15)+(AE459*Settings!$B$16)+(AF459*Settings!$B$17)+(AG459*Settings!$B$18)+(Y459*Settings!$B$10)+(Z459*Settings!$B$11),VLOOKUP(B459,'Standard Deviations'!A$1:C$672,3,FALSE))</f>
        <v>190.75624649295403</v>
      </c>
      <c r="J459" s="53" cm="1">
        <f t="array" ref="J459">IF(D459="G",I459/AJ459,I459/Q459)</f>
        <v>2.4167009342533685</v>
      </c>
      <c r="K459" s="52" cm="1">
        <f t="array" ref="K459">IF(Settings!$E$18="C/LW/RW",VLOOKUP(B459,RW!A1:F210,6,FALSE),VLOOKUP(B459,F!A1:F407,6,FALSE))</f>
        <v>-204.18721820060344</v>
      </c>
      <c r="L459" s="54" cm="1">
        <f t="array" ref="L459">IFERROR(K459/H459,"N/A")</f>
        <v>-62.826836369416441</v>
      </c>
      <c r="M459" s="85" t="s">
        <v>832</v>
      </c>
      <c r="N459" s="85" t="str" cm="1">
        <f t="array" ref="N459">IFERROR(M459-A459,"N/A")</f>
        <v>N/A</v>
      </c>
      <c r="O459" s="55"/>
      <c r="P459" s="56" t="str" cm="1">
        <f t="array" ref="P459">_xlfn.XLOOKUP($B459,ADP!A2:A671,ADP!G2:G671)</f>
        <v xml:space="preserve"> </v>
      </c>
      <c r="Q459" s="57" cm="1">
        <f t="array" ref="Q459">IF(Settings!$E$12="YES",VLOOKUP(B459,'Player Data'!A1:E673,5,FALSE),84)</f>
        <v>78.932500000000005</v>
      </c>
      <c r="R459" s="55" cm="1">
        <f t="array" ref="R459">VLOOKUP(B459,'Player Data'!$A1:$AE673,6,FALSE)</f>
        <v>13.209040968278</v>
      </c>
      <c r="S459" s="57" cm="1">
        <f t="array" ref="S459">VLOOKUP(B459,'Player Data'!$A1:$AE673,7,FALSE)*$Q459*IFERROR((VLOOKUP(P459,Settings!$E$28:$F$33,2,FALSE)+1),1)</f>
        <v>17.446834394268166</v>
      </c>
      <c r="T459" s="57" cm="1">
        <f t="array" ref="T459">VLOOKUP(B459,'Player Data'!$A1:$AE673,8,FALSE)*$Q459*IFERROR((VLOOKUP(P459,Settings!$E$28:$F$33,2,FALSE)+1),1)</f>
        <v>15.883210339551503</v>
      </c>
      <c r="U459" s="57" cm="1">
        <f t="array" ref="U459">SUM(S459:T459)</f>
        <v>33.330044733819669</v>
      </c>
      <c r="V459" s="57" cm="1">
        <f t="array" ref="V459">VLOOKUP(B459,'Player Data'!$A1:$AE673,10,FALSE)*$Q459*IFERROR(((VLOOKUP(P459,Settings!$E$28:$F$33,2,FALSE)/2)+1),1)</f>
        <v>134.60402061785911</v>
      </c>
      <c r="W459" s="57" cm="1">
        <f t="array" ref="W459">VLOOKUP(B459,'Player Data'!$A1:$AE673,11,FALSE)*$Q459*IFERROR((VLOOKUP(P459,Settings!$E$28:$F$33,2,FALSE)+1),1)</f>
        <v>2.1901164334242775</v>
      </c>
      <c r="X459" s="57" cm="1">
        <f t="array" ref="X459">VLOOKUP(B459,'Player Data'!$A1:$AE673,12,FALSE)*$Q459*IFERROR((VLOOKUP(P459,Settings!$E$28:$F$33,2,FALSE)+1),1)</f>
        <v>4.3105533753587029</v>
      </c>
      <c r="Y459" s="57" cm="1">
        <f t="array" ref="Y459">VLOOKUP(B459,'Player Data'!$A1:$AE673,13,FALSE)*$Q459</f>
        <v>3.7065475739315346E-2</v>
      </c>
      <c r="Z459" s="57" cm="1">
        <f t="array" ref="Z459">VLOOKUP(B459,'Player Data'!$A1:$AE673,14,FALSE)*$Q459</f>
        <v>6.1040235465005824E-2</v>
      </c>
      <c r="AA459" s="57" cm="1">
        <f t="array" ref="AA459">VLOOKUP(B459,'Player Data'!$A1:$AE673,15,FALSE)*$Q459</f>
        <v>38.185016743483565</v>
      </c>
      <c r="AB459" s="57" cm="1">
        <f t="array" ref="AB459">VLOOKUP(B459,'Player Data'!$A1:$AE673,16,FALSE)*$Q459</f>
        <v>83.635433602489229</v>
      </c>
      <c r="AC459" s="57" cm="1">
        <f t="array" ref="AC459">VLOOKUP(B459,'Player Data'!$A1:$AE673,17,FALSE)*$Q459*IFERROR((VLOOKUP(P459,Settings!$E$28:$F$33,2,FALSE)+1),1)</f>
        <v>-1.2880465921884463</v>
      </c>
      <c r="AD459" s="57" cm="1">
        <f t="array" ref="AD459">VLOOKUP(B459,'Player Data'!$A1:$AE673,18,FALSE)*$Q459</f>
        <v>16.147795829931209</v>
      </c>
      <c r="AE459" s="57" cm="1">
        <f t="array" ref="AE459">VLOOKUP(B459,'Player Data'!$A1:$AE673,19,FALSE)*$Q459*IFERROR((VLOOKUP(P459,Settings!$E$28:$F$33,2,FALSE)+1),1)</f>
        <v>2.5295692646578827</v>
      </c>
      <c r="AF459" s="57" cm="1">
        <f t="array" ref="AF459">VLOOKUP(B459,'Player Data'!$A1:$AE673,20,FALSE)*$Q459</f>
        <v>9.8633744386033833</v>
      </c>
      <c r="AG459" s="57" cm="1">
        <f t="array" ref="AG459">VLOOKUP(B459,'Player Data'!$A1:$AE673,21,FALSE)*$Q459</f>
        <v>13.352561284238659</v>
      </c>
      <c r="AH459" s="59" cm="1">
        <f t="array" ref="AH459">VLOOKUP(B459,'Player Data'!$A1:$AE673,22,FALSE)</f>
        <v>0.42485362452562497</v>
      </c>
      <c r="AI459" s="55"/>
      <c r="AJ459" s="57"/>
      <c r="AK459" s="57"/>
      <c r="AL459" s="57"/>
      <c r="AM459" s="57"/>
      <c r="AN459" s="57"/>
      <c r="AO459" s="57"/>
      <c r="AP459" s="57"/>
      <c r="AQ459" s="60"/>
      <c r="AR459" s="61"/>
      <c r="AS459" s="55"/>
    </row>
    <row r="460" spans="1:45" ht="21.25" customHeight="1" x14ac:dyDescent="0.15">
      <c r="A460" s="62">
        <f t="shared" si="7"/>
        <v>459</v>
      </c>
      <c r="B460" s="10" t="s">
        <v>588</v>
      </c>
      <c r="C460" s="47" t="s">
        <v>147</v>
      </c>
      <c r="D460" s="48" t="str" cm="1">
        <f t="array" ref="D460">VLOOKUP(B460,'Player Data'!A1:D673,4,FALSE)</f>
        <v>LW,RW</v>
      </c>
      <c r="E460" s="74" cm="1">
        <f t="array" ref="E460">VLOOKUP(B460,RW!A1:F210,3,FALSE)</f>
        <v>126</v>
      </c>
      <c r="F460" s="56" t="str" cm="1">
        <f t="array" ref="F460">VLOOKUP(B460,'Player Data'!A1:B673,2,FALSE)</f>
        <v>CHI</v>
      </c>
      <c r="G460" s="66" cm="1">
        <f t="array" ref="G460">VLOOKUP(B460,'Player Data'!A1:D673,3,FALSE)</f>
        <v>31</v>
      </c>
      <c r="H460" s="67" cm="1">
        <f t="array" ref="H460">IFERROR(VLOOKUP(B460,ADP!A1:F671,6,FALSE)/1000000,VLOOKUP(B460,ADP!A1:F671,6,FALSE))</f>
        <v>5.4</v>
      </c>
      <c r="I460" s="52">
        <f>IF(Settings!$E$15="POINTS",((R460*Q460)*Settings!$B$12)+(S460*Settings!$B$2)+(T460*Settings!$B$3)+(U460*Settings!$B$4)+(V460*Settings!$B$5)+(X460*Settings!$B$9)+(AA460*Settings!$B$6)+(W460*Settings!$B$8)+(AB460*Settings!$B$7)+(AC460*Settings!$B$14)+(AD460*Settings!$B$15)+(AE460*Settings!$B$16)+(AF460*Settings!$B$17)+(AG460*Settings!$B$18)+(Y460*Settings!$B$10)+(Z460*Settings!$B$11),VLOOKUP(B460,'Standard Deviations'!A$1:C$672,3,FALSE))</f>
        <v>190.5809825337605</v>
      </c>
      <c r="J460" s="53" cm="1">
        <f t="array" ref="J460">IF(D460="G",I460/AJ460,I460/Q460)</f>
        <v>2.3188560612472759</v>
      </c>
      <c r="K460" s="52" cm="1">
        <f t="array" ref="K460">IF(Settings!$E$18="C/LW/RW",VLOOKUP(B460,RW!A1:F210,6,FALSE),VLOOKUP(B460,F!A1:F407,6,FALSE))</f>
        <v>-204.36248215979697</v>
      </c>
      <c r="L460" s="54" cm="1">
        <f t="array" ref="L460">IFERROR(K460/H460,"N/A")</f>
        <v>-37.844904103666103</v>
      </c>
      <c r="M460" s="85" t="s">
        <v>832</v>
      </c>
      <c r="N460" s="85" t="str" cm="1">
        <f t="array" ref="N460">IFERROR(M460-A460,"N/A")</f>
        <v>N/A</v>
      </c>
      <c r="O460" s="55"/>
      <c r="P460" s="56" t="str" cm="1">
        <f t="array" ref="P460">_xlfn.XLOOKUP($B460,ADP!A2:A671,ADP!G2:G671)</f>
        <v xml:space="preserve"> </v>
      </c>
      <c r="Q460" s="57" cm="1">
        <f t="array" ref="Q460">IF(Settings!$E$12="YES",VLOOKUP(B460,'Player Data'!A1:E673,5,FALSE),84)</f>
        <v>82.1875</v>
      </c>
      <c r="R460" s="84" cm="1">
        <f t="array" ref="R460">VLOOKUP(B460,'Player Data'!$A1:$AE673,6,FALSE)</f>
        <v>16.4009556402439</v>
      </c>
      <c r="S460" s="57" cm="1">
        <f t="array" ref="S460">VLOOKUP(B460,'Player Data'!$A1:$AE673,7,FALSE)*$Q460*IFERROR((VLOOKUP(P460,Settings!$E$28:$F$33,2,FALSE)+1),1)</f>
        <v>12.358173579663168</v>
      </c>
      <c r="T460" s="57" cm="1">
        <f t="array" ref="T460">VLOOKUP(B460,'Player Data'!$A1:$AE673,8,FALSE)*$Q460*IFERROR((VLOOKUP(P460,Settings!$E$28:$F$33,2,FALSE)+1),1)</f>
        <v>23.452248049612109</v>
      </c>
      <c r="U460" s="57" cm="1">
        <f t="array" ref="U460">SUM(S460:T460)</f>
        <v>35.810421629275275</v>
      </c>
      <c r="V460" s="57" cm="1">
        <f t="array" ref="V460">VLOOKUP(B460,'Player Data'!$A1:$AE673,10,FALSE)*$Q460*IFERROR(((VLOOKUP(P460,Settings!$E$28:$F$33,2,FALSE)/2)+1),1)</f>
        <v>98.638632800192013</v>
      </c>
      <c r="W460" s="57" cm="1">
        <f t="array" ref="W460">VLOOKUP(B460,'Player Data'!$A1:$AE673,11,FALSE)*$Q460*IFERROR((VLOOKUP(P460,Settings!$E$28:$F$33,2,FALSE)+1),1)</f>
        <v>3.6153183914819005</v>
      </c>
      <c r="X460" s="57" cm="1">
        <f t="array" ref="X460">VLOOKUP(B460,'Player Data'!$A1:$AE673,12,FALSE)*$Q460*IFERROR((VLOOKUP(P460,Settings!$E$28:$F$33,2,FALSE)+1),1)</f>
        <v>10.189466139117986</v>
      </c>
      <c r="Y460" s="57" cm="1">
        <f t="array" ref="Y460">VLOOKUP(B460,'Player Data'!$A1:$AE673,13,FALSE)*$Q460</f>
        <v>0.83088296102460035</v>
      </c>
      <c r="Z460" s="57" cm="1">
        <f t="array" ref="Z460">VLOOKUP(B460,'Player Data'!$A1:$AE673,14,FALSE)*$Q460</f>
        <v>2.183249061310141</v>
      </c>
      <c r="AA460" s="57" cm="1">
        <f t="array" ref="AA460">VLOOKUP(B460,'Player Data'!$A1:$AE673,15,FALSE)*$Q460</f>
        <v>42.915372090821059</v>
      </c>
      <c r="AB460" s="57" cm="1">
        <f t="array" ref="AB460">VLOOKUP(B460,'Player Data'!$A1:$AE673,16,FALSE)*$Q460</f>
        <v>32.141469716913107</v>
      </c>
      <c r="AC460" s="57" cm="1">
        <f t="array" ref="AC460">VLOOKUP(B460,'Player Data'!$A1:$AE673,17,FALSE)*$Q460*IFERROR((VLOOKUP(P460,Settings!$E$28:$F$33,2,FALSE)+1),1)</f>
        <v>-8.9405328996702504</v>
      </c>
      <c r="AD460" s="57" cm="1">
        <f t="array" ref="AD460">VLOOKUP(B460,'Player Data'!$A1:$AE673,18,FALSE)*$Q460</f>
        <v>13.683003609966963</v>
      </c>
      <c r="AE460" s="57" cm="1">
        <f t="array" ref="AE460">VLOOKUP(B460,'Player Data'!$A1:$AE673,19,FALSE)*$Q460*IFERROR((VLOOKUP(P460,Settings!$E$28:$F$33,2,FALSE)+1),1)</f>
        <v>1.5251969524538234</v>
      </c>
      <c r="AF460" s="57" cm="1">
        <f t="array" ref="AF460">VLOOKUP(B460,'Player Data'!$A1:$AE673,20,FALSE)*$Q460</f>
        <v>53.118179021526288</v>
      </c>
      <c r="AG460" s="57" cm="1">
        <f t="array" ref="AG460">VLOOKUP(B460,'Player Data'!$A1:$AE673,21,FALSE)*$Q460</f>
        <v>76.445226490826229</v>
      </c>
      <c r="AH460" s="59" cm="1">
        <f t="array" ref="AH460">VLOOKUP(B460,'Player Data'!$A1:$AE673,22,FALSE)</f>
        <v>0.40997825590854797</v>
      </c>
      <c r="AI460" s="55"/>
      <c r="AJ460" s="57"/>
      <c r="AK460" s="57"/>
      <c r="AL460" s="57"/>
      <c r="AM460" s="57"/>
      <c r="AN460" s="57"/>
      <c r="AO460" s="57"/>
      <c r="AP460" s="57"/>
      <c r="AQ460" s="60"/>
      <c r="AR460" s="61"/>
      <c r="AS460" s="55"/>
    </row>
    <row r="461" spans="1:45" ht="21.25" customHeight="1" x14ac:dyDescent="0.15">
      <c r="A461" s="62">
        <f t="shared" si="7"/>
        <v>460</v>
      </c>
      <c r="B461" s="10" t="s">
        <v>589</v>
      </c>
      <c r="C461" s="47" t="s">
        <v>147</v>
      </c>
      <c r="D461" s="48" t="str" cm="1">
        <f t="array" ref="D461">VLOOKUP(B461,'Player Data'!A1:D673,4,FALSE)</f>
        <v>D</v>
      </c>
      <c r="E461" s="68" cm="1">
        <f t="array" ref="E461">VLOOKUP(B461,D!A1:C204,3,FALSE)</f>
        <v>190</v>
      </c>
      <c r="F461" s="69" t="str" cm="1">
        <f t="array" ref="F461">VLOOKUP(B461,'Player Data'!A1:B673,2,FALSE)</f>
        <v>N.J</v>
      </c>
      <c r="G461" s="11" cm="1">
        <f t="array" ref="G461">VLOOKUP(B461,'Player Data'!A1:D673,3,FALSE)</f>
        <v>26</v>
      </c>
      <c r="H461" s="67" cm="1">
        <f t="array" ref="H461">IFERROR(VLOOKUP(B461,ADP!A1:F671,6,FALSE)/1000000,VLOOKUP(B461,ADP!A1:F671,6,FALSE))</f>
        <v>1.6</v>
      </c>
      <c r="I461" s="52">
        <f>IF(Settings!$E$15="POINTS",((R461*Q461)*Settings!$B$12)+(S461*Settings!$B$2)+(T461*Settings!$B$3)+(U461*Settings!$B$4)+(V461*Settings!$B$5)+(X461*Settings!$B$9)+(AA461*Settings!$B$6)+(W461*Settings!$B$8)+(AB461*Settings!$B$7)+(AC461*Settings!$B$14)+(AD461*Settings!$B$15)+(AE461*Settings!$B$16)+(AF461*Settings!$B$17)+(AG461*Settings!$B$18)+(U461*Settings!$B$13)+(Y461*Settings!$B$10)+(Z461*Settings!$B$11),VLOOKUP(B461,'Standard Deviations'!A$1:C$672,3,FALSE))</f>
        <v>101.91669225230497</v>
      </c>
      <c r="J461" s="53" cm="1">
        <f t="array" ref="J461">IF(D461="G",I461/AJ461,I461/Q461)</f>
        <v>1.5259274180611613</v>
      </c>
      <c r="K461" s="52" cm="1">
        <f t="array" ref="K461">VLOOKUP(B461,D!A1:F204,6,FALSE)</f>
        <v>-204.73717509228908</v>
      </c>
      <c r="L461" s="54" cm="1">
        <f t="array" ref="L461">IFERROR(K461/H461,"N/A")</f>
        <v>-127.96073443268067</v>
      </c>
      <c r="M461" s="85" t="s">
        <v>832</v>
      </c>
      <c r="N461" s="85" t="str" cm="1">
        <f t="array" ref="N461">IFERROR(M461-A461,"N/A")</f>
        <v>N/A</v>
      </c>
      <c r="O461" s="55"/>
      <c r="P461" s="56" t="str" cm="1">
        <f t="array" ref="P461">_xlfn.XLOOKUP($B461,ADP!A2:A671,ADP!G2:G671)</f>
        <v xml:space="preserve"> </v>
      </c>
      <c r="Q461" s="57" cm="1">
        <f t="array" ref="Q461">IF(Settings!$E$12="YES",VLOOKUP(B461,'Player Data'!A1:E673,5,FALSE),84)</f>
        <v>66.790000000000006</v>
      </c>
      <c r="R461" s="82" cm="1">
        <f t="array" ref="R461">VLOOKUP(B461,'Player Data'!$A1:$AE673,6,FALSE)</f>
        <v>15.2945813778729</v>
      </c>
      <c r="S461" s="57" cm="1">
        <f t="array" ref="S461">VLOOKUP(B461,'Player Data'!$A1:$AE673,7,FALSE)*$Q461*IFERROR((VLOOKUP(P461,Settings!$E$28:$F$33,2,FALSE)+1),1)</f>
        <v>2.0136948799606844</v>
      </c>
      <c r="T461" s="57" cm="1">
        <f t="array" ref="T461">VLOOKUP(B461,'Player Data'!$A1:$AE673,8,FALSE)*$Q461*IFERROR((VLOOKUP(P461,Settings!$E$28:$F$33,2,FALSE)+1),1)</f>
        <v>10.612149735855606</v>
      </c>
      <c r="U461" s="57" cm="1">
        <f t="array" ref="U461">SUM(S461:T461)</f>
        <v>12.625844615816291</v>
      </c>
      <c r="V461" s="57" cm="1">
        <f t="array" ref="V461">VLOOKUP(B461,'Player Data'!$A1:$AE673,10,FALSE)*$Q461*IFERROR(((VLOOKUP(P461,Settings!$E$28:$F$33,2,FALSE)/2)+1),1)</f>
        <v>57.342743526254694</v>
      </c>
      <c r="W461" s="57" cm="1">
        <f t="array" ref="W461">VLOOKUP(B461,'Player Data'!$A1:$AE673,11,FALSE)*$Q461*IFERROR((VLOOKUP(P461,Settings!$E$28:$F$33,2,FALSE)+1),1)</f>
        <v>4.3914087162756084E-2</v>
      </c>
      <c r="X461" s="57" cm="1">
        <f t="array" ref="X461">VLOOKUP(B461,'Player Data'!$A1:$AE673,12,FALSE)*$Q461*IFERROR((VLOOKUP(P461,Settings!$E$28:$F$33,2,FALSE)+1),1)</f>
        <v>0.12444662061532029</v>
      </c>
      <c r="Y461" s="57" cm="1">
        <f t="array" ref="Y461">VLOOKUP(B461,'Player Data'!$A1:$AE673,13,FALSE)*$Q461</f>
        <v>1.0071262917020931E-2</v>
      </c>
      <c r="Z461" s="57" cm="1">
        <f t="array" ref="Z461">VLOOKUP(B461,'Player Data'!$A1:$AE673,14,FALSE)*$Q461</f>
        <v>3.6001014761074507E-2</v>
      </c>
      <c r="AA461" s="57" cm="1">
        <f t="array" ref="AA461">VLOOKUP(B461,'Player Data'!$A1:$AE673,15,FALSE)*$Q461</f>
        <v>70.414678012704741</v>
      </c>
      <c r="AB461" s="57" cm="1">
        <f t="array" ref="AB461">VLOOKUP(B461,'Player Data'!$A1:$AE673,16,FALSE)*$Q461</f>
        <v>48.19765498152794</v>
      </c>
      <c r="AC461" s="57" cm="1">
        <f t="array" ref="AC461">VLOOKUP(B461,'Player Data'!$A1:$AE673,17,FALSE)*$Q461*IFERROR((VLOOKUP(P461,Settings!$E$28:$F$33,2,FALSE)+1),1)</f>
        <v>-0.42253621194989788</v>
      </c>
      <c r="AD461" s="57" cm="1">
        <f t="array" ref="AD461">VLOOKUP(B461,'Player Data'!$A1:$AE673,18,FALSE)*$Q461</f>
        <v>16.300557819397252</v>
      </c>
      <c r="AE461" s="57" cm="1">
        <f t="array" ref="AE461">VLOOKUP(B461,'Player Data'!$A1:$AE673,19,FALSE)*$Q461*IFERROR((VLOOKUP(P461,Settings!$E$28:$F$33,2,FALSE)+1),1)</f>
        <v>0.30097855039036514</v>
      </c>
      <c r="AF461" s="57" cm="1">
        <f t="array" ref="AF461">VLOOKUP(B461,'Player Data'!$A1:$AE673,20,FALSE)*$Q461</f>
        <v>0</v>
      </c>
      <c r="AG461" s="57" cm="1">
        <f t="array" ref="AG461">VLOOKUP(B461,'Player Data'!$A1:$AE673,21,FALSE)*$Q461</f>
        <v>0</v>
      </c>
      <c r="AH461" s="59" cm="1">
        <f t="array" ref="AH461">VLOOKUP(B461,'Player Data'!$A1:$AE673,22,FALSE)</f>
        <v>0</v>
      </c>
      <c r="AI461" s="55"/>
      <c r="AJ461" s="57"/>
      <c r="AK461" s="57"/>
      <c r="AL461" s="57"/>
      <c r="AM461" s="57"/>
      <c r="AN461" s="57"/>
      <c r="AO461" s="57"/>
      <c r="AP461" s="57"/>
      <c r="AQ461" s="60"/>
      <c r="AR461" s="61"/>
      <c r="AS461" s="55"/>
    </row>
    <row r="462" spans="1:45" ht="21.25" customHeight="1" x14ac:dyDescent="0.15">
      <c r="A462" s="62">
        <f t="shared" si="7"/>
        <v>461</v>
      </c>
      <c r="B462" s="10" t="s">
        <v>590</v>
      </c>
      <c r="C462" s="47" t="s">
        <v>147</v>
      </c>
      <c r="D462" s="48" t="str" cm="1">
        <f t="array" ref="D462">VLOOKUP(B462,'Player Data'!A1:D673,4,FALSE)</f>
        <v>C,RW</v>
      </c>
      <c r="E462" s="74" cm="1">
        <f t="array" ref="E462">VLOOKUP(B462,RW!A1:F210,3,FALSE)</f>
        <v>127</v>
      </c>
      <c r="F462" s="65" t="str" cm="1">
        <f t="array" ref="F462">VLOOKUP(B462,'Player Data'!A1:B673,2,FALSE)</f>
        <v>NSH</v>
      </c>
      <c r="G462" s="71" cm="1">
        <f t="array" ref="G462">VLOOKUP(B462,'Player Data'!A1:D673,3,FALSE)</f>
        <v>21</v>
      </c>
      <c r="H462" s="51" cm="1">
        <f t="array" ref="H462">IFERROR(VLOOKUP(B462,ADP!A1:F671,6,FALSE)/1000000,VLOOKUP(B462,ADP!A1:F671,6,FALSE))</f>
        <v>0.95</v>
      </c>
      <c r="I462" s="52">
        <f>IF(Settings!$E$15="POINTS",((R462*Q462)*Settings!$B$12)+(S462*Settings!$B$2)+(T462*Settings!$B$3)+(U462*Settings!$B$4)+(V462*Settings!$B$5)+(X462*Settings!$B$9)+(AA462*Settings!$B$6)+(W462*Settings!$B$8)+(AB462*Settings!$B$7)+(AC462*Settings!$B$14)+(AD462*Settings!$B$15)+(AE462*Settings!$B$16)+(AF462*Settings!$B$17)+(AG462*Settings!$B$18)+(Y462*Settings!$B$10)+(Z462*Settings!$B$11),VLOOKUP(B462,'Standard Deviations'!A$1:C$672,3,FALSE))</f>
        <v>188.90511627143758</v>
      </c>
      <c r="J462" s="53" cm="1">
        <f t="array" ref="J462">IF(D462="G",I462/AJ462,I462/Q462)</f>
        <v>2.377211555671523</v>
      </c>
      <c r="K462" s="52" cm="1">
        <f t="array" ref="K462">IF(Settings!$E$18="C/LW/RW",VLOOKUP(B462,RW!A1:F210,6,FALSE),VLOOKUP(B462,F!A1:F407,6,FALSE))</f>
        <v>-206.0383484221199</v>
      </c>
      <c r="L462" s="54" cm="1">
        <f t="array" ref="L462">IFERROR(K462/H462,"N/A")</f>
        <v>-216.88247202328412</v>
      </c>
      <c r="M462" s="85" t="s">
        <v>832</v>
      </c>
      <c r="N462" s="85" t="str" cm="1">
        <f t="array" ref="N462">IFERROR(M462-A462,"N/A")</f>
        <v>N/A</v>
      </c>
      <c r="O462" s="55"/>
      <c r="P462" s="56" t="str" cm="1">
        <f t="array" ref="P462">_xlfn.XLOOKUP($B462,ADP!A2:A671,ADP!G2:G671)</f>
        <v xml:space="preserve"> </v>
      </c>
      <c r="Q462" s="57" cm="1">
        <f t="array" ref="Q462">IF(Settings!$E$12="YES",VLOOKUP(B462,'Player Data'!A1:E673,5,FALSE),84)</f>
        <v>79.465000000000003</v>
      </c>
      <c r="R462" s="82" cm="1">
        <f t="array" ref="R462">VLOOKUP(B462,'Player Data'!$A1:$AE673,6,FALSE)</f>
        <v>13.4018109740272</v>
      </c>
      <c r="S462" s="57" cm="1">
        <f t="array" ref="S462">VLOOKUP(B462,'Player Data'!$A1:$AE673,7,FALSE)*$Q462*IFERROR((VLOOKUP(P462,Settings!$E$28:$F$33,2,FALSE)+1),1)</f>
        <v>17.164897858802021</v>
      </c>
      <c r="T462" s="57" cm="1">
        <f t="array" ref="T462">VLOOKUP(B462,'Player Data'!$A1:$AE673,8,FALSE)*$Q462*IFERROR((VLOOKUP(P462,Settings!$E$28:$F$33,2,FALSE)+1),1)</f>
        <v>17.39146279262237</v>
      </c>
      <c r="U462" s="57" cm="1">
        <f t="array" ref="U462">SUM(S462:T462)</f>
        <v>34.556360651424392</v>
      </c>
      <c r="V462" s="57" cm="1">
        <f t="array" ref="V462">VLOOKUP(B462,'Player Data'!$A1:$AE673,10,FALSE)*$Q462*IFERROR(((VLOOKUP(P462,Settings!$E$28:$F$33,2,FALSE)/2)+1),1)</f>
        <v>123.05420276404796</v>
      </c>
      <c r="W462" s="57" cm="1">
        <f t="array" ref="W462">VLOOKUP(B462,'Player Data'!$A1:$AE673,11,FALSE)*$Q462*IFERROR((VLOOKUP(P462,Settings!$E$28:$F$33,2,FALSE)+1),1)</f>
        <v>3.3685428422150561</v>
      </c>
      <c r="X462" s="57" cm="1">
        <f t="array" ref="X462">VLOOKUP(B462,'Player Data'!$A1:$AE673,12,FALSE)*$Q462*IFERROR((VLOOKUP(P462,Settings!$E$28:$F$33,2,FALSE)+1),1)</f>
        <v>8.1939574053124975</v>
      </c>
      <c r="Y462" s="57" cm="1">
        <f t="array" ref="Y462">VLOOKUP(B462,'Player Data'!$A1:$AE673,13,FALSE)*$Q462</f>
        <v>1.4242407031025648E-2</v>
      </c>
      <c r="Z462" s="57" cm="1">
        <f t="array" ref="Z462">VLOOKUP(B462,'Player Data'!$A1:$AE673,14,FALSE)*$Q462</f>
        <v>1.608881262638278E-2</v>
      </c>
      <c r="AA462" s="57" cm="1">
        <f t="array" ref="AA462">VLOOKUP(B462,'Player Data'!$A1:$AE673,15,FALSE)*$Q462</f>
        <v>30.99777343440315</v>
      </c>
      <c r="AB462" s="57" cm="1">
        <f t="array" ref="AB462">VLOOKUP(B462,'Player Data'!$A1:$AE673,16,FALSE)*$Q462</f>
        <v>67.058044054980058</v>
      </c>
      <c r="AC462" s="57" cm="1">
        <f t="array" ref="AC462">VLOOKUP(B462,'Player Data'!$A1:$AE673,17,FALSE)*$Q462*IFERROR((VLOOKUP(P462,Settings!$E$28:$F$33,2,FALSE)+1),1)</f>
        <v>-2.8540078677304428</v>
      </c>
      <c r="AD462" s="57" cm="1">
        <f t="array" ref="AD462">VLOOKUP(B462,'Player Data'!$A1:$AE673,18,FALSE)*$Q462</f>
        <v>21.601041655564785</v>
      </c>
      <c r="AE462" s="57" cm="1">
        <f t="array" ref="AE462">VLOOKUP(B462,'Player Data'!$A1:$AE673,19,FALSE)*$Q462*IFERROR((VLOOKUP(P462,Settings!$E$28:$F$33,2,FALSE)+1),1)</f>
        <v>2.3777677602787914</v>
      </c>
      <c r="AF462" s="57" cm="1">
        <f t="array" ref="AF462">VLOOKUP(B462,'Player Data'!$A1:$AE673,20,FALSE)*$Q462</f>
        <v>97.524263051356371</v>
      </c>
      <c r="AG462" s="57" cm="1">
        <f t="array" ref="AG462">VLOOKUP(B462,'Player Data'!$A1:$AE673,21,FALSE)*$Q462</f>
        <v>149.96288976726922</v>
      </c>
      <c r="AH462" s="59" cm="1">
        <f t="array" ref="AH462">VLOOKUP(B462,'Player Data'!$A1:$AE673,22,FALSE)</f>
        <v>0.39405788114920198</v>
      </c>
      <c r="AI462" s="55"/>
      <c r="AJ462" s="57"/>
      <c r="AK462" s="57"/>
      <c r="AL462" s="57"/>
      <c r="AM462" s="57"/>
      <c r="AN462" s="57"/>
      <c r="AO462" s="57"/>
      <c r="AP462" s="57"/>
      <c r="AQ462" s="60"/>
      <c r="AR462" s="61"/>
      <c r="AS462" s="55"/>
    </row>
    <row r="463" spans="1:45" ht="21.25" customHeight="1" x14ac:dyDescent="0.15">
      <c r="A463" s="62">
        <f t="shared" si="7"/>
        <v>462</v>
      </c>
      <c r="B463" s="10" t="s">
        <v>591</v>
      </c>
      <c r="C463" s="47" t="s">
        <v>147</v>
      </c>
      <c r="D463" s="48" t="str" cm="1">
        <f t="array" ref="D463">VLOOKUP(B463,'Player Data'!A1:D673,4,FALSE)</f>
        <v>C</v>
      </c>
      <c r="E463" s="49" cm="1">
        <f t="array" ref="E463">VLOOKUP(B463,'C'!A1:C210,3,FALSE)</f>
        <v>117</v>
      </c>
      <c r="F463" s="73" t="str" cm="1">
        <f t="array" ref="F463">VLOOKUP(B463,'Player Data'!A1:B673,2,FALSE)</f>
        <v>BUF</v>
      </c>
      <c r="G463" s="71" cm="1">
        <f t="array" ref="G463">VLOOKUP(B463,'Player Data'!A1:D673,3,FALSE)</f>
        <v>20</v>
      </c>
      <c r="H463" s="51" cm="1">
        <f t="array" ref="H463">IFERROR(VLOOKUP(B463,ADP!A1:F671,6,FALSE)/1000000,VLOOKUP(B463,ADP!A1:F671,6,FALSE))</f>
        <v>0.95374999999999999</v>
      </c>
      <c r="I463" s="52">
        <f>IF(Settings!$E$15="POINTS",((R463*Q463)*Settings!$B$12)+(S463*Settings!$B$2)+(T463*Settings!$B$3)+(U463*Settings!$B$4)+(V463*Settings!$B$5)+(X463*Settings!$B$9)+(AA463*Settings!$B$6)+(W463*Settings!$B$8)+(AB463*Settings!$B$7)+(AC463*Settings!$B$14)+(AD463*Settings!$B$15)+(AE463*Settings!$B$16)+(AF463*Settings!$B$17)+(AG463*Settings!$B$18)+(Y463*Settings!$B$10)+(Z463*Settings!$B$11),VLOOKUP(B463,'Standard Deviations'!A$1:C$672,3,FALSE))</f>
        <v>180.40159715307152</v>
      </c>
      <c r="J463" s="53" cm="1">
        <f t="array" ref="J463">IF(D463="G",I463/AJ463,I463/Q463)</f>
        <v>2.3737052256983096</v>
      </c>
      <c r="K463" s="52" cm="1">
        <f t="array" ref="K463">IF(Settings!$E$18="C/LW/RW",VLOOKUP(B463,'C'!A1:F210,6,FALSE),VLOOKUP(B463,F!A1:F407,6,FALSE))</f>
        <v>-206.13360924001148</v>
      </c>
      <c r="L463" s="54" cm="1">
        <f t="array" ref="L463">IFERROR(K463/H463,"N/A")</f>
        <v>-216.12960339712868</v>
      </c>
      <c r="M463" s="55">
        <v>130.4</v>
      </c>
      <c r="N463" s="55" cm="1">
        <f t="array" ref="N463">IFERROR(M463-A463,"N/A")</f>
        <v>-331.6</v>
      </c>
      <c r="O463" s="55"/>
      <c r="P463" s="56" t="str" cm="1">
        <f t="array" ref="P463">_xlfn.XLOOKUP($B463,ADP!A2:A671,ADP!G2:G671)</f>
        <v>+</v>
      </c>
      <c r="Q463" s="57" cm="1">
        <f t="array" ref="Q463">IF(Settings!$E$12="YES",VLOOKUP(B463,'Player Data'!A1:E673,5,FALSE),84)</f>
        <v>76</v>
      </c>
      <c r="R463" s="82" cm="1">
        <f t="array" ref="R463">VLOOKUP(B463,'Player Data'!$A1:$AE673,6,FALSE)</f>
        <v>12.900373403030301</v>
      </c>
      <c r="S463" s="57" cm="1">
        <f t="array" ref="S463">VLOOKUP(B463,'Player Data'!$A1:$AE673,7,FALSE)*$Q463*IFERROR((VLOOKUP(P463,Settings!$E$28:$F$33,2,FALSE)+1),1)</f>
        <v>13.545168229103881</v>
      </c>
      <c r="T463" s="57" cm="1">
        <f t="array" ref="T463">VLOOKUP(B463,'Player Data'!$A1:$AE673,8,FALSE)*$Q463*IFERROR((VLOOKUP(P463,Settings!$E$28:$F$33,2,FALSE)+1),1)</f>
        <v>21.576013994880789</v>
      </c>
      <c r="U463" s="57" cm="1">
        <f t="array" ref="U463">SUM(S463:T463)</f>
        <v>35.121182223984668</v>
      </c>
      <c r="V463" s="57" cm="1">
        <f t="array" ref="V463">VLOOKUP(B463,'Player Data'!$A1:$AE673,10,FALSE)*$Q463*IFERROR(((VLOOKUP(P463,Settings!$E$28:$F$33,2,FALSE)/2)+1),1)</f>
        <v>118.29316147561181</v>
      </c>
      <c r="W463" s="57" cm="1">
        <f t="array" ref="W463">VLOOKUP(B463,'Player Data'!$A1:$AE673,11,FALSE)*$Q463*IFERROR((VLOOKUP(P463,Settings!$E$28:$F$33,2,FALSE)+1),1)</f>
        <v>0</v>
      </c>
      <c r="X463" s="57" cm="1">
        <f t="array" ref="X463">VLOOKUP(B463,'Player Data'!$A1:$AE673,12,FALSE)*$Q463*IFERROR((VLOOKUP(P463,Settings!$E$28:$F$33,2,FALSE)+1),1)</f>
        <v>0</v>
      </c>
      <c r="Y463" s="57" cm="1">
        <f t="array" ref="Y463">VLOOKUP(B463,'Player Data'!$A1:$AE673,13,FALSE)*$Q463</f>
        <v>0</v>
      </c>
      <c r="Z463" s="57" cm="1">
        <f t="array" ref="Z463">VLOOKUP(B463,'Player Data'!$A1:$AE673,14,FALSE)*$Q463</f>
        <v>0</v>
      </c>
      <c r="AA463" s="57" cm="1">
        <f t="array" ref="AA463">VLOOKUP(B463,'Player Data'!$A1:$AE673,15,FALSE)*$Q463</f>
        <v>31.78293948662316</v>
      </c>
      <c r="AB463" s="57" cm="1">
        <f t="array" ref="AB463">VLOOKUP(B463,'Player Data'!$A1:$AE673,16,FALSE)*$Q463</f>
        <v>84.470908353444557</v>
      </c>
      <c r="AC463" s="57" cm="1">
        <f t="array" ref="AC463">VLOOKUP(B463,'Player Data'!$A1:$AE673,17,FALSE)*$Q463*IFERROR((VLOOKUP(P463,Settings!$E$28:$F$33,2,FALSE)+1),1)</f>
        <v>1.7928968902457494</v>
      </c>
      <c r="AD463" s="57" cm="1">
        <f t="array" ref="AD463">VLOOKUP(B463,'Player Data'!$A1:$AE673,18,FALSE)*$Q463</f>
        <v>20.42190830581217</v>
      </c>
      <c r="AE463" s="57" cm="1">
        <f t="array" ref="AE463">VLOOKUP(B463,'Player Data'!$A1:$AE673,19,FALSE)*$Q463*IFERROR((VLOOKUP(P463,Settings!$E$28:$F$33,2,FALSE)+1),1)</f>
        <v>2.0422047448568756</v>
      </c>
      <c r="AF463" s="57" cm="1">
        <f t="array" ref="AF463">VLOOKUP(B463,'Player Data'!$A1:$AE673,20,FALSE)*$Q463</f>
        <v>91.474937360542995</v>
      </c>
      <c r="AG463" s="57" cm="1">
        <f t="array" ref="AG463">VLOOKUP(B463,'Player Data'!$A1:$AE673,21,FALSE)*$Q463</f>
        <v>128.06491230476095</v>
      </c>
      <c r="AH463" s="59" cm="1">
        <f t="array" ref="AH463">VLOOKUP(B463,'Player Data'!$A1:$AE673,22,FALSE)</f>
        <v>0.41666666666666702</v>
      </c>
      <c r="AI463" s="55"/>
      <c r="AJ463" s="57"/>
      <c r="AK463" s="57"/>
      <c r="AL463" s="57"/>
      <c r="AM463" s="57"/>
      <c r="AN463" s="57"/>
      <c r="AO463" s="57"/>
      <c r="AP463" s="57"/>
      <c r="AQ463" s="60"/>
      <c r="AR463" s="61"/>
      <c r="AS463" s="55"/>
    </row>
    <row r="464" spans="1:45" ht="21.25" customHeight="1" x14ac:dyDescent="0.15">
      <c r="A464" s="62">
        <f t="shared" si="7"/>
        <v>463</v>
      </c>
      <c r="B464" s="10" t="s">
        <v>592</v>
      </c>
      <c r="C464" s="47" t="s">
        <v>147</v>
      </c>
      <c r="D464" s="48" t="str" cm="1">
        <f t="array" ref="D464">VLOOKUP(B464,'Player Data'!A1:D673,4,FALSE)</f>
        <v>LW,RW</v>
      </c>
      <c r="E464" s="74" cm="1">
        <f t="array" ref="E464">VLOOKUP(B464,RW!A1:F210,3,FALSE)</f>
        <v>128</v>
      </c>
      <c r="F464" s="72" t="str" cm="1">
        <f t="array" ref="F464">VLOOKUP(B464,'Player Data'!A1:B673,2,FALSE)</f>
        <v>NYI</v>
      </c>
      <c r="G464" s="11" cm="1">
        <f t="array" ref="G464">VLOOKUP(B464,'Player Data'!A1:D673,3,FALSE)</f>
        <v>25</v>
      </c>
      <c r="H464" s="67" cm="1">
        <f t="array" ref="H464">IFERROR(VLOOKUP(B464,ADP!A1:F671,6,FALSE)/1000000,VLOOKUP(B464,ADP!A1:F671,6,FALSE))</f>
        <v>2.25</v>
      </c>
      <c r="I464" s="52">
        <f>IF(Settings!$E$15="POINTS",((R464*Q464)*Settings!$B$12)+(S464*Settings!$B$2)+(T464*Settings!$B$3)+(U464*Settings!$B$4)+(V464*Settings!$B$5)+(X464*Settings!$B$9)+(AA464*Settings!$B$6)+(W464*Settings!$B$8)+(AB464*Settings!$B$7)+(AC464*Settings!$B$14)+(AD464*Settings!$B$15)+(AE464*Settings!$B$16)+(AF464*Settings!$B$17)+(AG464*Settings!$B$18)+(Y464*Settings!$B$10)+(Z464*Settings!$B$11),VLOOKUP(B464,'Standard Deviations'!A$1:C$672,3,FALSE))</f>
        <v>188.39018728944882</v>
      </c>
      <c r="J464" s="53" cm="1">
        <f t="array" ref="J464">IF(D464="G",I464/AJ464,I464/Q464)</f>
        <v>2.4040092807943449</v>
      </c>
      <c r="K464" s="52" cm="1">
        <f t="array" ref="K464">IF(Settings!$E$18="C/LW/RW",VLOOKUP(B464,RW!A1:F210,6,FALSE),VLOOKUP(B464,F!A1:F407,6,FALSE))</f>
        <v>-206.55327740410866</v>
      </c>
      <c r="L464" s="54" cm="1">
        <f t="array" ref="L464">IFERROR(K464/H464,"N/A")</f>
        <v>-91.801456624048285</v>
      </c>
      <c r="M464" s="85" t="s">
        <v>832</v>
      </c>
      <c r="N464" s="85" t="str" cm="1">
        <f t="array" ref="N464">IFERROR(M464-A464,"N/A")</f>
        <v>N/A</v>
      </c>
      <c r="O464" s="55"/>
      <c r="P464" s="56" t="str" cm="1">
        <f t="array" ref="P464">_xlfn.XLOOKUP($B464,ADP!A2:A671,ADP!G2:G671)</f>
        <v xml:space="preserve"> </v>
      </c>
      <c r="Q464" s="57" cm="1">
        <f t="array" ref="Q464">IF(Settings!$E$12="YES",VLOOKUP(B464,'Player Data'!A1:E673,5,FALSE),84)</f>
        <v>78.364999999999995</v>
      </c>
      <c r="R464" s="55" cm="1">
        <f t="array" ref="R464">VLOOKUP(B464,'Player Data'!$A1:$AE673,6,FALSE)</f>
        <v>14.2639334504359</v>
      </c>
      <c r="S464" s="57" cm="1">
        <f t="array" ref="S464">VLOOKUP(B464,'Player Data'!$A1:$AE673,7,FALSE)*$Q464*IFERROR((VLOOKUP(P464,Settings!$E$28:$F$33,2,FALSE)+1),1)</f>
        <v>14.475620409322467</v>
      </c>
      <c r="T464" s="57" cm="1">
        <f t="array" ref="T464">VLOOKUP(B464,'Player Data'!$A1:$AE673,8,FALSE)*$Q464*IFERROR((VLOOKUP(P464,Settings!$E$28:$F$33,2,FALSE)+1),1)</f>
        <v>24.666215560380895</v>
      </c>
      <c r="U464" s="57" cm="1">
        <f t="array" ref="U464">SUM(S464:T464)</f>
        <v>39.141835969703365</v>
      </c>
      <c r="V464" s="57" cm="1">
        <f t="array" ref="V464">VLOOKUP(B464,'Player Data'!$A1:$AE673,10,FALSE)*$Q464*IFERROR(((VLOOKUP(P464,Settings!$E$28:$F$33,2,FALSE)/2)+1),1)</f>
        <v>108.50705936409328</v>
      </c>
      <c r="W464" s="57" cm="1">
        <f t="array" ref="W464">VLOOKUP(B464,'Player Data'!$A1:$AE673,11,FALSE)*$Q464*IFERROR((VLOOKUP(P464,Settings!$E$28:$F$33,2,FALSE)+1),1)</f>
        <v>1.6098805760636337</v>
      </c>
      <c r="X464" s="57" cm="1">
        <f t="array" ref="X464">VLOOKUP(B464,'Player Data'!$A1:$AE673,12,FALSE)*$Q464*IFERROR((VLOOKUP(P464,Settings!$E$28:$F$33,2,FALSE)+1),1)</f>
        <v>6.5401492529160672</v>
      </c>
      <c r="Y464" s="57" cm="1">
        <f t="array" ref="Y464">VLOOKUP(B464,'Player Data'!$A1:$AE673,13,FALSE)*$Q464</f>
        <v>0</v>
      </c>
      <c r="Z464" s="57" cm="1">
        <f t="array" ref="Z464">VLOOKUP(B464,'Player Data'!$A1:$AE673,14,FALSE)*$Q464</f>
        <v>0</v>
      </c>
      <c r="AA464" s="57" cm="1">
        <f t="array" ref="AA464">VLOOKUP(B464,'Player Data'!$A1:$AE673,15,FALSE)*$Q464</f>
        <v>20.34200089075204</v>
      </c>
      <c r="AB464" s="57" cm="1">
        <f t="array" ref="AB464">VLOOKUP(B464,'Player Data'!$A1:$AE673,16,FALSE)*$Q464</f>
        <v>31.644552736500764</v>
      </c>
      <c r="AC464" s="57" cm="1">
        <f t="array" ref="AC464">VLOOKUP(B464,'Player Data'!$A1:$AE673,17,FALSE)*$Q464*IFERROR((VLOOKUP(P464,Settings!$E$28:$F$33,2,FALSE)+1),1)</f>
        <v>-2.8032715715694376</v>
      </c>
      <c r="AD464" s="57" cm="1">
        <f t="array" ref="AD464">VLOOKUP(B464,'Player Data'!$A1:$AE673,18,FALSE)*$Q464</f>
        <v>16.023668426000363</v>
      </c>
      <c r="AE464" s="57" cm="1">
        <f t="array" ref="AE464">VLOOKUP(B464,'Player Data'!$A1:$AE673,19,FALSE)*$Q464*IFERROR((VLOOKUP(P464,Settings!$E$28:$F$33,2,FALSE)+1),1)</f>
        <v>2.1140409334526047</v>
      </c>
      <c r="AF464" s="57" cm="1">
        <f t="array" ref="AF464">VLOOKUP(B464,'Player Data'!$A1:$AE673,20,FALSE)*$Q464</f>
        <v>4.1890947189177741</v>
      </c>
      <c r="AG464" s="57" cm="1">
        <f t="array" ref="AG464">VLOOKUP(B464,'Player Data'!$A1:$AE673,21,FALSE)*$Q464</f>
        <v>5.5595270538272814</v>
      </c>
      <c r="AH464" s="59" cm="1">
        <f t="array" ref="AH464">VLOOKUP(B464,'Player Data'!$A1:$AE673,22,FALSE)</f>
        <v>0.42971148297388401</v>
      </c>
      <c r="AI464" s="55"/>
      <c r="AJ464" s="57"/>
      <c r="AK464" s="57"/>
      <c r="AL464" s="57"/>
      <c r="AM464" s="57"/>
      <c r="AN464" s="57"/>
      <c r="AO464" s="57"/>
      <c r="AP464" s="57"/>
      <c r="AQ464" s="60"/>
      <c r="AR464" s="61"/>
      <c r="AS464" s="55"/>
    </row>
    <row r="465" spans="1:45" ht="21.25" customHeight="1" x14ac:dyDescent="0.15">
      <c r="A465" s="62">
        <f t="shared" si="7"/>
        <v>464</v>
      </c>
      <c r="B465" s="10" t="s">
        <v>593</v>
      </c>
      <c r="C465" s="47" t="s">
        <v>147</v>
      </c>
      <c r="D465" s="48" t="str" cm="1">
        <f t="array" ref="D465">VLOOKUP(B465,'Player Data'!A1:D673,4,FALSE)</f>
        <v>D</v>
      </c>
      <c r="E465" s="68" cm="1">
        <f t="array" ref="E465">VLOOKUP(B465,D!A1:C204,3,FALSE)</f>
        <v>191</v>
      </c>
      <c r="F465" s="72" t="str" cm="1">
        <f t="array" ref="F465">VLOOKUP(B465,'Player Data'!A1:B673,2,FALSE)</f>
        <v>NYI</v>
      </c>
      <c r="G465" s="66" cm="1">
        <f t="array" ref="G465">VLOOKUP(B465,'Player Data'!A1:D673,3,FALSE)</f>
        <v>33</v>
      </c>
      <c r="H465" s="51" cm="1">
        <f t="array" ref="H465">IFERROR(VLOOKUP(B465,ADP!A1:F671,6,FALSE)/1000000,VLOOKUP(B465,ADP!A1:F671,6,FALSE))</f>
        <v>3.5</v>
      </c>
      <c r="I465" s="52">
        <f>IF(Settings!$E$15="POINTS",((R465*Q465)*Settings!$B$12)+(S465*Settings!$B$2)+(T465*Settings!$B$3)+(U465*Settings!$B$4)+(V465*Settings!$B$5)+(X465*Settings!$B$9)+(AA465*Settings!$B$6)+(W465*Settings!$B$8)+(AB465*Settings!$B$7)+(AC465*Settings!$B$14)+(AD465*Settings!$B$15)+(AE465*Settings!$B$16)+(AF465*Settings!$B$17)+(AG465*Settings!$B$18)+(U465*Settings!$B$13)+(Y465*Settings!$B$10)+(Z465*Settings!$B$11),VLOOKUP(B465,'Standard Deviations'!A$1:C$672,3,FALSE))</f>
        <v>99.505355789997679</v>
      </c>
      <c r="J465" s="53" cm="1">
        <f t="array" ref="J465">IF(D465="G",I465/AJ465,I465/Q465)</f>
        <v>1.2860142913085322</v>
      </c>
      <c r="K465" s="52" cm="1">
        <f t="array" ref="K465">VLOOKUP(B465,D!A1:F204,6,FALSE)</f>
        <v>-207.14851155459638</v>
      </c>
      <c r="L465" s="54" cm="1">
        <f t="array" ref="L465">IFERROR(K465/H465,"N/A")</f>
        <v>-59.185289015598968</v>
      </c>
      <c r="M465" s="85" t="s">
        <v>832</v>
      </c>
      <c r="N465" s="85" t="str" cm="1">
        <f t="array" ref="N465">IFERROR(M465-A465,"N/A")</f>
        <v>N/A</v>
      </c>
      <c r="O465" s="55"/>
      <c r="P465" s="56" t="str" cm="1">
        <f t="array" ref="P465">_xlfn.XLOOKUP($B465,ADP!A2:A671,ADP!G2:G671)</f>
        <v xml:space="preserve"> </v>
      </c>
      <c r="Q465" s="57" cm="1">
        <f t="array" ref="Q465">IF(Settings!$E$12="YES",VLOOKUP(B465,'Player Data'!A1:E673,5,FALSE),84)</f>
        <v>77.375</v>
      </c>
      <c r="R465" s="55" cm="1">
        <f t="array" ref="R465">VLOOKUP(B465,'Player Data'!$A1:$AE673,6,FALSE)</f>
        <v>16.454642439519802</v>
      </c>
      <c r="S465" s="57" cm="1">
        <f t="array" ref="S465">VLOOKUP(B465,'Player Data'!$A1:$AE673,7,FALSE)*$Q465*IFERROR((VLOOKUP(P465,Settings!$E$28:$F$33,2,FALSE)+1),1)</f>
        <v>0.4711269228330171</v>
      </c>
      <c r="T465" s="57" cm="1">
        <f t="array" ref="T465">VLOOKUP(B465,'Player Data'!$A1:$AE673,8,FALSE)*$Q465*IFERROR((VLOOKUP(P465,Settings!$E$28:$F$33,2,FALSE)+1),1)</f>
        <v>8.7827804931731137</v>
      </c>
      <c r="U465" s="57" cm="1">
        <f t="array" ref="U465">SUM(S465:T465)</f>
        <v>9.2539074160061308</v>
      </c>
      <c r="V465" s="57" cm="1">
        <f t="array" ref="V465">VLOOKUP(B465,'Player Data'!$A1:$AE673,10,FALSE)*$Q465*IFERROR(((VLOOKUP(P465,Settings!$E$28:$F$33,2,FALSE)/2)+1),1)</f>
        <v>48.314224439768701</v>
      </c>
      <c r="W465" s="57" cm="1">
        <f t="array" ref="W465">VLOOKUP(B465,'Player Data'!$A1:$AE673,11,FALSE)*$Q465*IFERROR((VLOOKUP(P465,Settings!$E$28:$F$33,2,FALSE)+1),1)</f>
        <v>7.9220708714916556E-4</v>
      </c>
      <c r="X465" s="57" cm="1">
        <f t="array" ref="X465">VLOOKUP(B465,'Player Data'!$A1:$AE673,12,FALSE)*$Q465*IFERROR((VLOOKUP(P465,Settings!$E$28:$F$33,2,FALSE)+1),1)</f>
        <v>2.2316302709618704E-2</v>
      </c>
      <c r="Y465" s="57" cm="1">
        <f t="array" ref="Y465">VLOOKUP(B465,'Player Data'!$A1:$AE673,13,FALSE)*$Q465</f>
        <v>5.0250909264203884E-2</v>
      </c>
      <c r="Z465" s="57" cm="1">
        <f t="array" ref="Z465">VLOOKUP(B465,'Player Data'!$A1:$AE673,14,FALSE)*$Q465</f>
        <v>0.25259483794044696</v>
      </c>
      <c r="AA465" s="57" cm="1">
        <f t="array" ref="AA465">VLOOKUP(B465,'Player Data'!$A1:$AE673,15,FALSE)*$Q465</f>
        <v>94.623220362889739</v>
      </c>
      <c r="AB465" s="57" cm="1">
        <f t="array" ref="AB465">VLOOKUP(B465,'Player Data'!$A1:$AE673,16,FALSE)*$Q465</f>
        <v>82.677245381922077</v>
      </c>
      <c r="AC465" s="57" cm="1">
        <f t="array" ref="AC465">VLOOKUP(B465,'Player Data'!$A1:$AE673,17,FALSE)*$Q465*IFERROR((VLOOKUP(P465,Settings!$E$28:$F$33,2,FALSE)+1),1)</f>
        <v>-4.7407630791290698</v>
      </c>
      <c r="AD465" s="57" cm="1">
        <f t="array" ref="AD465">VLOOKUP(B465,'Player Data'!$A1:$AE673,18,FALSE)*$Q465</f>
        <v>46.563653933577442</v>
      </c>
      <c r="AE465" s="57" cm="1">
        <f t="array" ref="AE465">VLOOKUP(B465,'Player Data'!$A1:$AE673,19,FALSE)*$Q465*IFERROR((VLOOKUP(P465,Settings!$E$28:$F$33,2,FALSE)+1),1)</f>
        <v>6.880406998508605E-2</v>
      </c>
      <c r="AF465" s="57" cm="1">
        <f t="array" ref="AF465">VLOOKUP(B465,'Player Data'!$A1:$AE673,20,FALSE)*$Q465</f>
        <v>0</v>
      </c>
      <c r="AG465" s="57" cm="1">
        <f t="array" ref="AG465">VLOOKUP(B465,'Player Data'!$A1:$AE673,21,FALSE)*$Q465</f>
        <v>0</v>
      </c>
      <c r="AH465" s="59" cm="1">
        <f t="array" ref="AH465">VLOOKUP(B465,'Player Data'!$A1:$AE673,22,FALSE)</f>
        <v>0</v>
      </c>
      <c r="AI465" s="55"/>
      <c r="AJ465" s="57"/>
      <c r="AK465" s="57"/>
      <c r="AL465" s="57"/>
      <c r="AM465" s="57"/>
      <c r="AN465" s="57"/>
      <c r="AO465" s="57"/>
      <c r="AP465" s="57"/>
      <c r="AQ465" s="60"/>
      <c r="AR465" s="61"/>
      <c r="AS465" s="55"/>
    </row>
    <row r="466" spans="1:45" ht="21.25" customHeight="1" x14ac:dyDescent="0.15">
      <c r="A466" s="62">
        <f t="shared" si="7"/>
        <v>465</v>
      </c>
      <c r="B466" s="10" t="s">
        <v>594</v>
      </c>
      <c r="C466" s="47" t="s">
        <v>147</v>
      </c>
      <c r="D466" s="48" t="str" cm="1">
        <f t="array" ref="D466">VLOOKUP(B466,'Player Data'!A1:D673,4,FALSE)</f>
        <v>C,LW</v>
      </c>
      <c r="E466" s="74" cm="1">
        <f t="array" ref="E466">VLOOKUP(B466,LW!A1:C210,3,FALSE)</f>
        <v>112</v>
      </c>
      <c r="F466" s="70" t="str" cm="1">
        <f t="array" ref="F466">VLOOKUP(B466,'Player Data'!A1:B673,2,FALSE)</f>
        <v>L.A</v>
      </c>
      <c r="G466" s="66" cm="1">
        <f t="array" ref="G466">VLOOKUP(B466,'Player Data'!A1:D673,3,FALSE)</f>
        <v>35</v>
      </c>
      <c r="H466" s="51" cm="1">
        <f t="array" ref="H466">IFERROR(VLOOKUP(B466,ADP!A1:F671,6,FALSE)/1000000,VLOOKUP(B466,ADP!A1:F671,6,FALSE))</f>
        <v>3.6</v>
      </c>
      <c r="I466" s="52">
        <f>IF(Settings!$E$15="POINTS",((R466*Q466)*Settings!$B$12)+(S466*Settings!$B$2)+(T466*Settings!$B$3)+(U466*Settings!$B$4)+(V466*Settings!$B$5)+(X466*Settings!$B$9)+(AA466*Settings!$B$6)+(W466*Settings!$B$8)+(AB466*Settings!$B$7)+(AC466*Settings!$B$14)+(AD466*Settings!$B$15)+(AE466*Settings!$B$16)+(AF466*Settings!$B$17)+(AG466*Settings!$B$18)+(Y466*Settings!$B$10)+(Z466*Settings!$B$11),VLOOKUP(B466,'Standard Deviations'!A$1:C$672,3,FALSE))</f>
        <v>191.38168758955078</v>
      </c>
      <c r="J466" s="53" cm="1">
        <f t="array" ref="J466">IF(D466="G",I466/AJ466,I466/Q466)</f>
        <v>2.3492504460756249</v>
      </c>
      <c r="K466" s="52" cm="1">
        <f t="array" ref="K466">IF(Settings!$E$18="C/LW/RW",VLOOKUP(B466,LW!A1:F210,6,FALSE),VLOOKUP(B466,F!A1:F407,6,FALSE))</f>
        <v>-207.93130572416931</v>
      </c>
      <c r="L466" s="54" cm="1">
        <f t="array" ref="L466">IFERROR(K466/H466,"N/A")</f>
        <v>-57.758696034491471</v>
      </c>
      <c r="M466" s="85" t="s">
        <v>832</v>
      </c>
      <c r="N466" s="85" t="str" cm="1">
        <f t="array" ref="N466">IFERROR(M466-A466,"N/A")</f>
        <v>N/A</v>
      </c>
      <c r="O466" s="55"/>
      <c r="P466" s="56" t="str" cm="1">
        <f t="array" ref="P466">_xlfn.XLOOKUP($B466,ADP!A2:A671,ADP!G2:G671)</f>
        <v xml:space="preserve"> </v>
      </c>
      <c r="Q466" s="57" cm="1">
        <f t="array" ref="Q466">IF(Settings!$E$12="YES",VLOOKUP(B466,'Player Data'!A1:E673,5,FALSE),84)</f>
        <v>81.465000000000003</v>
      </c>
      <c r="R466" s="55" cm="1">
        <f t="array" ref="R466">VLOOKUP(B466,'Player Data'!$A1:$AE673,6,FALSE)</f>
        <v>15.9682595761349</v>
      </c>
      <c r="S466" s="57" cm="1">
        <f t="array" ref="S466">VLOOKUP(B466,'Player Data'!$A1:$AE673,7,FALSE)*$Q466*IFERROR((VLOOKUP(P466,Settings!$E$28:$F$33,2,FALSE)+1),1)</f>
        <v>12.603634306476572</v>
      </c>
      <c r="T466" s="57" cm="1">
        <f t="array" ref="T466">VLOOKUP(B466,'Player Data'!$A1:$AE673,8,FALSE)*$Q466*IFERROR((VLOOKUP(P466,Settings!$E$28:$F$33,2,FALSE)+1),1)</f>
        <v>18.695317900825046</v>
      </c>
      <c r="U466" s="57" cm="1">
        <f t="array" ref="U466">SUM(S466:T466)</f>
        <v>31.298952207301618</v>
      </c>
      <c r="V466" s="57" cm="1">
        <f t="array" ref="V466">VLOOKUP(B466,'Player Data'!$A1:$AE673,10,FALSE)*$Q466*IFERROR(((VLOOKUP(P466,Settings!$E$28:$F$33,2,FALSE)/2)+1),1)</f>
        <v>130.03064462939426</v>
      </c>
      <c r="W466" s="57" cm="1">
        <f t="array" ref="W466">VLOOKUP(B466,'Player Data'!$A1:$AE673,11,FALSE)*$Q466*IFERROR((VLOOKUP(P466,Settings!$E$28:$F$33,2,FALSE)+1),1)</f>
        <v>2.7803531853997416</v>
      </c>
      <c r="X466" s="57" cm="1">
        <f t="array" ref="X466">VLOOKUP(B466,'Player Data'!$A1:$AE673,12,FALSE)*$Q466*IFERROR((VLOOKUP(P466,Settings!$E$28:$F$33,2,FALSE)+1),1)</f>
        <v>7.8848671496286364</v>
      </c>
      <c r="Y466" s="57" cm="1">
        <f t="array" ref="Y466">VLOOKUP(B466,'Player Data'!$A1:$AE673,13,FALSE)*$Q466</f>
        <v>0.49841234324803912</v>
      </c>
      <c r="Z466" s="57" cm="1">
        <f t="array" ref="Z466">VLOOKUP(B466,'Player Data'!$A1:$AE673,14,FALSE)*$Q466</f>
        <v>1.0079479171574088</v>
      </c>
      <c r="AA466" s="57" cm="1">
        <f t="array" ref="AA466">VLOOKUP(B466,'Player Data'!$A1:$AE673,15,FALSE)*$Q466</f>
        <v>47.153387172325544</v>
      </c>
      <c r="AB466" s="57" cm="1">
        <f t="array" ref="AB466">VLOOKUP(B466,'Player Data'!$A1:$AE673,16,FALSE)*$Q466</f>
        <v>113.51320093725792</v>
      </c>
      <c r="AC466" s="57" cm="1">
        <f t="array" ref="AC466">VLOOKUP(B466,'Player Data'!$A1:$AE673,17,FALSE)*$Q466*IFERROR((VLOOKUP(P466,Settings!$E$28:$F$33,2,FALSE)+1),1)</f>
        <v>-2.4046237838502229</v>
      </c>
      <c r="AD466" s="57" cm="1">
        <f t="array" ref="AD466">VLOOKUP(B466,'Player Data'!$A1:$AE673,18,FALSE)*$Q466</f>
        <v>47.570864482775534</v>
      </c>
      <c r="AE466" s="57" cm="1">
        <f t="array" ref="AE466">VLOOKUP(B466,'Player Data'!$A1:$AE673,19,FALSE)*$Q466*IFERROR((VLOOKUP(P466,Settings!$E$28:$F$33,2,FALSE)+1),1)</f>
        <v>1.9909225335343492</v>
      </c>
      <c r="AF466" s="57" cm="1">
        <f t="array" ref="AF466">VLOOKUP(B466,'Player Data'!$A1:$AE673,20,FALSE)*$Q466</f>
        <v>492.43236970822801</v>
      </c>
      <c r="AG466" s="57" cm="1">
        <f t="array" ref="AG466">VLOOKUP(B466,'Player Data'!$A1:$AE673,21,FALSE)*$Q466</f>
        <v>461.80651730313161</v>
      </c>
      <c r="AH466" s="59" cm="1">
        <f t="array" ref="AH466">VLOOKUP(B466,'Player Data'!$A1:$AE673,22,FALSE)</f>
        <v>0.51604726700093695</v>
      </c>
      <c r="AI466" s="55"/>
      <c r="AJ466" s="57"/>
      <c r="AK466" s="57"/>
      <c r="AL466" s="57"/>
      <c r="AM466" s="57"/>
      <c r="AN466" s="57"/>
      <c r="AO466" s="57"/>
      <c r="AP466" s="57"/>
      <c r="AQ466" s="60"/>
      <c r="AR466" s="61"/>
      <c r="AS466" s="55"/>
    </row>
    <row r="467" spans="1:45" ht="21.25" customHeight="1" x14ac:dyDescent="0.15">
      <c r="A467" s="62">
        <f t="shared" si="7"/>
        <v>466</v>
      </c>
      <c r="B467" s="10" t="s">
        <v>595</v>
      </c>
      <c r="C467" s="47" t="s">
        <v>147</v>
      </c>
      <c r="D467" s="48" t="str" cm="1">
        <f t="array" ref="D467">VLOOKUP(B467,'Player Data'!A1:D673,4,FALSE)</f>
        <v>D</v>
      </c>
      <c r="E467" s="68" cm="1">
        <f t="array" ref="E467">VLOOKUP(B467,D!A1:C204,3,FALSE)</f>
        <v>192</v>
      </c>
      <c r="F467" s="56" t="str" cm="1">
        <f t="array" ref="F467">VLOOKUP(B467,'Player Data'!A1:B673,2,FALSE)</f>
        <v>WSH</v>
      </c>
      <c r="G467" s="11" cm="1">
        <f t="array" ref="G467">VLOOKUP(B467,'Player Data'!A1:D673,3,FALSE)</f>
        <v>30</v>
      </c>
      <c r="H467" s="51" cm="1">
        <f t="array" ref="H467">IFERROR(VLOOKUP(B467,ADP!A1:F671,6,FALSE)/1000000,VLOOKUP(B467,ADP!A1:F671,6,FALSE))</f>
        <v>4.2</v>
      </c>
      <c r="I467" s="52">
        <f>IF(Settings!$E$15="POINTS",((R467*Q467)*Settings!$B$12)+(S467*Settings!$B$2)+(T467*Settings!$B$3)+(U467*Settings!$B$4)+(V467*Settings!$B$5)+(X467*Settings!$B$9)+(AA467*Settings!$B$6)+(W467*Settings!$B$8)+(AB467*Settings!$B$7)+(AC467*Settings!$B$14)+(AD467*Settings!$B$15)+(AE467*Settings!$B$16)+(AF467*Settings!$B$17)+(AG467*Settings!$B$18)+(U467*Settings!$B$13)+(Y467*Settings!$B$10)+(Z467*Settings!$B$11),VLOOKUP(B467,'Standard Deviations'!A$1:C$672,3,FALSE))</f>
        <v>98.678774378127287</v>
      </c>
      <c r="J467" s="53" cm="1">
        <f t="array" ref="J467">IF(D467="G",I467/AJ467,I467/Q467)</f>
        <v>1.3295442519284193</v>
      </c>
      <c r="K467" s="52" cm="1">
        <f t="array" ref="K467">VLOOKUP(B467,D!A1:F204,6,FALSE)</f>
        <v>-207.97509296646678</v>
      </c>
      <c r="L467" s="54" cm="1">
        <f t="array" ref="L467">IFERROR(K467/H467,"N/A")</f>
        <v>-49.517879277730181</v>
      </c>
      <c r="M467" s="85" t="s">
        <v>832</v>
      </c>
      <c r="N467" s="85" t="str" cm="1">
        <f t="array" ref="N467">IFERROR(M467-A467,"N/A")</f>
        <v>N/A</v>
      </c>
      <c r="O467" s="55"/>
      <c r="P467" s="56" t="str" cm="1">
        <f t="array" ref="P467">_xlfn.XLOOKUP($B467,ADP!A2:A671,ADP!G2:G671)</f>
        <v xml:space="preserve"> </v>
      </c>
      <c r="Q467" s="57" cm="1">
        <f t="array" ref="Q467">IF(Settings!$E$12="YES",VLOOKUP(B467,'Player Data'!A1:E673,5,FALSE),84)</f>
        <v>74.22</v>
      </c>
      <c r="R467" s="55" cm="1">
        <f t="array" ref="R467">VLOOKUP(B467,'Player Data'!$A1:$AE673,6,FALSE)</f>
        <v>17.373936521114299</v>
      </c>
      <c r="S467" s="57" cm="1">
        <f t="array" ref="S467">VLOOKUP(B467,'Player Data'!$A1:$AE673,7,FALSE)*$Q467*IFERROR((VLOOKUP(P467,Settings!$E$28:$F$33,2,FALSE)+1),1)</f>
        <v>0.36547703507413992</v>
      </c>
      <c r="T467" s="57" cm="1">
        <f t="array" ref="T467">VLOOKUP(B467,'Player Data'!$A1:$AE673,8,FALSE)*$Q467*IFERROR((VLOOKUP(P467,Settings!$E$28:$F$33,2,FALSE)+1),1)</f>
        <v>8.1064051534918491</v>
      </c>
      <c r="U467" s="57" cm="1">
        <f t="array" ref="U467">SUM(S467:T467)</f>
        <v>8.4718821885659885</v>
      </c>
      <c r="V467" s="57" cm="1">
        <f t="array" ref="V467">VLOOKUP(B467,'Player Data'!$A1:$AE673,10,FALSE)*$Q467*IFERROR(((VLOOKUP(P467,Settings!$E$28:$F$33,2,FALSE)/2)+1),1)</f>
        <v>33.708344977982478</v>
      </c>
      <c r="W467" s="57" cm="1">
        <f t="array" ref="W467">VLOOKUP(B467,'Player Data'!$A1:$AE673,11,FALSE)*$Q467*IFERROR((VLOOKUP(P467,Settings!$E$28:$F$33,2,FALSE)+1),1)</f>
        <v>1.7911413250867238E-3</v>
      </c>
      <c r="X467" s="57" cm="1">
        <f t="array" ref="X467">VLOOKUP(B467,'Player Data'!$A1:$AE673,12,FALSE)*$Q467*IFERROR((VLOOKUP(P467,Settings!$E$28:$F$33,2,FALSE)+1),1)</f>
        <v>4.5323128176550452E-2</v>
      </c>
      <c r="Y467" s="57" cm="1">
        <f t="array" ref="Y467">VLOOKUP(B467,'Player Data'!$A1:$AE673,13,FALSE)*$Q467</f>
        <v>6.1675913361804334E-3</v>
      </c>
      <c r="Z467" s="57" cm="1">
        <f t="array" ref="Z467">VLOOKUP(B467,'Player Data'!$A1:$AE673,14,FALSE)*$Q467</f>
        <v>0.26209874898783025</v>
      </c>
      <c r="AA467" s="57" cm="1">
        <f t="array" ref="AA467">VLOOKUP(B467,'Player Data'!$A1:$AE673,15,FALSE)*$Q467</f>
        <v>112.20306689254741</v>
      </c>
      <c r="AB467" s="57" cm="1">
        <f t="array" ref="AB467">VLOOKUP(B467,'Player Data'!$A1:$AE673,16,FALSE)*$Q467</f>
        <v>121.81122053785126</v>
      </c>
      <c r="AC467" s="57" cm="1">
        <f t="array" ref="AC467">VLOOKUP(B467,'Player Data'!$A1:$AE673,17,FALSE)*$Q467*IFERROR((VLOOKUP(P467,Settings!$E$28:$F$33,2,FALSE)+1),1)</f>
        <v>3.5010647537563861</v>
      </c>
      <c r="AD467" s="57" cm="1">
        <f t="array" ref="AD467">VLOOKUP(B467,'Player Data'!$A1:$AE673,18,FALSE)*$Q467</f>
        <v>52.256733314286492</v>
      </c>
      <c r="AE467" s="57" cm="1">
        <f t="array" ref="AE467">VLOOKUP(B467,'Player Data'!$A1:$AE673,19,FALSE)*$Q467*IFERROR((VLOOKUP(P467,Settings!$E$28:$F$33,2,FALSE)+1),1)</f>
        <v>5.4737245090655681E-2</v>
      </c>
      <c r="AF467" s="57" cm="1">
        <f t="array" ref="AF467">VLOOKUP(B467,'Player Data'!$A1:$AE673,20,FALSE)*$Q467</f>
        <v>0</v>
      </c>
      <c r="AG467" s="57" cm="1">
        <f t="array" ref="AG467">VLOOKUP(B467,'Player Data'!$A1:$AE673,21,FALSE)*$Q467</f>
        <v>0</v>
      </c>
      <c r="AH467" s="59" cm="1">
        <f t="array" ref="AH467">VLOOKUP(B467,'Player Data'!$A1:$AE673,22,FALSE)</f>
        <v>0</v>
      </c>
      <c r="AI467" s="55"/>
      <c r="AJ467" s="57"/>
      <c r="AK467" s="57"/>
      <c r="AL467" s="57"/>
      <c r="AM467" s="57"/>
      <c r="AN467" s="57"/>
      <c r="AO467" s="57"/>
      <c r="AP467" s="57"/>
      <c r="AQ467" s="60"/>
      <c r="AR467" s="61"/>
      <c r="AS467" s="55"/>
    </row>
    <row r="468" spans="1:45" ht="21.25" customHeight="1" x14ac:dyDescent="0.15">
      <c r="A468" s="62">
        <f t="shared" si="7"/>
        <v>467</v>
      </c>
      <c r="B468" s="10" t="s">
        <v>596</v>
      </c>
      <c r="C468" s="47" t="s">
        <v>147</v>
      </c>
      <c r="D468" s="48" t="str" cm="1">
        <f t="array" ref="D468">VLOOKUP(B468,'Player Data'!A1:D673,4,FALSE)</f>
        <v>C,RW</v>
      </c>
      <c r="E468" s="74" cm="1">
        <f t="array" ref="E468">VLOOKUP(B468,RW!A1:F210,3,FALSE)</f>
        <v>129</v>
      </c>
      <c r="F468" s="63" t="str" cm="1">
        <f t="array" ref="F468">VLOOKUP(B468,'Player Data'!A1:B673,2,FALSE)</f>
        <v>DAL</v>
      </c>
      <c r="G468" s="66" cm="1">
        <f t="array" ref="G468">VLOOKUP(B468,'Player Data'!A1:D673,3,FALSE)</f>
        <v>34</v>
      </c>
      <c r="H468" s="67" cm="1">
        <f t="array" ref="H468">IFERROR(VLOOKUP(B468,ADP!A1:F671,6,FALSE)/1000000,VLOOKUP(B468,ADP!A1:F671,6,FALSE))</f>
        <v>9.85</v>
      </c>
      <c r="I468" s="52">
        <f>IF(Settings!$E$15="POINTS",((R468*Q468)*Settings!$B$12)+(S468*Settings!$B$2)+(T468*Settings!$B$3)+(U468*Settings!$B$4)+(V468*Settings!$B$5)+(X468*Settings!$B$9)+(AA468*Settings!$B$6)+(W468*Settings!$B$8)+(AB468*Settings!$B$7)+(AC468*Settings!$B$14)+(AD468*Settings!$B$15)+(AE468*Settings!$B$16)+(AF468*Settings!$B$17)+(AG468*Settings!$B$18)+(Y468*Settings!$B$10)+(Z468*Settings!$B$11),VLOOKUP(B468,'Standard Deviations'!A$1:C$672,3,FALSE))</f>
        <v>186.79988143305997</v>
      </c>
      <c r="J468" s="53" cm="1">
        <f t="array" ref="J468">IF(D468="G",I468/AJ468,I468/Q468)</f>
        <v>2.9032114299733451</v>
      </c>
      <c r="K468" s="52" cm="1">
        <f t="array" ref="K468">IF(Settings!$E$18="C/LW/RW",VLOOKUP(B468,RW!A1:F210,6,FALSE),VLOOKUP(B468,F!A1:F407,6,FALSE))</f>
        <v>-208.14358326049751</v>
      </c>
      <c r="L468" s="54" cm="1">
        <f t="array" ref="L468">IFERROR(K468/H468,"N/A")</f>
        <v>-21.131328249796702</v>
      </c>
      <c r="M468" s="85" t="s">
        <v>832</v>
      </c>
      <c r="N468" s="85" t="str" cm="1">
        <f t="array" ref="N468">IFERROR(M468-A468,"N/A")</f>
        <v>N/A</v>
      </c>
      <c r="O468" s="55"/>
      <c r="P468" s="56" t="str" cm="1">
        <f t="array" ref="P468">_xlfn.XLOOKUP($B468,ADP!A2:A671,ADP!G2:G671)</f>
        <v xml:space="preserve"> </v>
      </c>
      <c r="Q468" s="57" cm="1">
        <f t="array" ref="Q468">IF(Settings!$E$12="YES",VLOOKUP(B468,'Player Data'!A1:E673,5,FALSE),84)</f>
        <v>64.342500000000001</v>
      </c>
      <c r="R468" s="84" cm="1">
        <f t="array" ref="R468">VLOOKUP(B468,'Player Data'!$A1:$AE673,6,FALSE)</f>
        <v>15.1602240714939</v>
      </c>
      <c r="S468" s="57" cm="1">
        <f t="array" ref="S468">VLOOKUP(B468,'Player Data'!$A1:$AE673,7,FALSE)*$Q468*IFERROR((VLOOKUP(P468,Settings!$E$28:$F$33,2,FALSE)+1),1)</f>
        <v>17.315047292400578</v>
      </c>
      <c r="T468" s="57" cm="1">
        <f t="array" ref="T468">VLOOKUP(B468,'Player Data'!$A1:$AE673,8,FALSE)*$Q468*IFERROR((VLOOKUP(P468,Settings!$E$28:$F$33,2,FALSE)+1),1)</f>
        <v>23.036861129394492</v>
      </c>
      <c r="U468" s="57" cm="1">
        <f t="array" ref="U468">SUM(S468:T468)</f>
        <v>40.351908421795073</v>
      </c>
      <c r="V468" s="57" cm="1">
        <f t="array" ref="V468">VLOOKUP(B468,'Player Data'!$A1:$AE673,10,FALSE)*$Q468*IFERROR(((VLOOKUP(P468,Settings!$E$28:$F$33,2,FALSE)/2)+1),1)</f>
        <v>100.89942038321264</v>
      </c>
      <c r="W468" s="57" cm="1">
        <f t="array" ref="W468">VLOOKUP(B468,'Player Data'!$A1:$AE673,11,FALSE)*$Q468*IFERROR((VLOOKUP(P468,Settings!$E$28:$F$33,2,FALSE)+1),1)</f>
        <v>2.4673104512065316</v>
      </c>
      <c r="X468" s="57" cm="1">
        <f t="array" ref="X468">VLOOKUP(B468,'Player Data'!$A1:$AE673,12,FALSE)*$Q468*IFERROR((VLOOKUP(P468,Settings!$E$28:$F$33,2,FALSE)+1),1)</f>
        <v>5.2142704466775003</v>
      </c>
      <c r="Y468" s="57" cm="1">
        <f t="array" ref="Y468">VLOOKUP(B468,'Player Data'!$A1:$AE673,13,FALSE)*$Q468</f>
        <v>5.1000496879351945E-2</v>
      </c>
      <c r="Z468" s="57" cm="1">
        <f t="array" ref="Z468">VLOOKUP(B468,'Player Data'!$A1:$AE673,14,FALSE)*$Q468</f>
        <v>0.16494539121863627</v>
      </c>
      <c r="AA468" s="57" cm="1">
        <f t="array" ref="AA468">VLOOKUP(B468,'Player Data'!$A1:$AE673,15,FALSE)*$Q468</f>
        <v>19.830460276344631</v>
      </c>
      <c r="AB468" s="57" cm="1">
        <f t="array" ref="AB468">VLOOKUP(B468,'Player Data'!$A1:$AE673,16,FALSE)*$Q468</f>
        <v>46.566656712862311</v>
      </c>
      <c r="AC468" s="57" cm="1">
        <f t="array" ref="AC468">VLOOKUP(B468,'Player Data'!$A1:$AE673,17,FALSE)*$Q468*IFERROR((VLOOKUP(P468,Settings!$E$28:$F$33,2,FALSE)+1),1)</f>
        <v>5.0529812134259613</v>
      </c>
      <c r="AD468" s="57" cm="1">
        <f t="array" ref="AD468">VLOOKUP(B468,'Player Data'!$A1:$AE673,18,FALSE)*$Q468</f>
        <v>17.991240117168061</v>
      </c>
      <c r="AE468" s="57" cm="1">
        <f t="array" ref="AE468">VLOOKUP(B468,'Player Data'!$A1:$AE673,19,FALSE)*$Q468*IFERROR((VLOOKUP(P468,Settings!$E$28:$F$33,2,FALSE)+1),1)</f>
        <v>2.928369160092497</v>
      </c>
      <c r="AF468" s="57" cm="1">
        <f t="array" ref="AF468">VLOOKUP(B468,'Player Data'!$A1:$AE673,20,FALSE)*$Q468</f>
        <v>282.672570431868</v>
      </c>
      <c r="AG468" s="57" cm="1">
        <f t="array" ref="AG468">VLOOKUP(B468,'Player Data'!$A1:$AE673,21,FALSE)*$Q468</f>
        <v>233.75914030209591</v>
      </c>
      <c r="AH468" s="59" cm="1">
        <f t="array" ref="AH468">VLOOKUP(B468,'Player Data'!$A1:$AE673,22,FALSE)</f>
        <v>0.54735711335411197</v>
      </c>
      <c r="AI468" s="55"/>
      <c r="AJ468" s="57"/>
      <c r="AK468" s="57"/>
      <c r="AL468" s="57"/>
      <c r="AM468" s="57"/>
      <c r="AN468" s="57"/>
      <c r="AO468" s="57"/>
      <c r="AP468" s="57"/>
      <c r="AQ468" s="60"/>
      <c r="AR468" s="61"/>
      <c r="AS468" s="55"/>
    </row>
    <row r="469" spans="1:45" ht="21.25" customHeight="1" x14ac:dyDescent="0.15">
      <c r="A469" s="62">
        <f t="shared" si="7"/>
        <v>468</v>
      </c>
      <c r="B469" s="10" t="s">
        <v>597</v>
      </c>
      <c r="C469" s="47" t="s">
        <v>147</v>
      </c>
      <c r="D469" s="48" t="str" cm="1">
        <f t="array" ref="D469">VLOOKUP(B469,'Player Data'!A1:D673,4,FALSE)</f>
        <v>C</v>
      </c>
      <c r="E469" s="49" cm="1">
        <f t="array" ref="E469">VLOOKUP(B469,'C'!A1:C210,3,FALSE)</f>
        <v>120</v>
      </c>
      <c r="F469" s="72" t="str" cm="1">
        <f t="array" ref="F469">VLOOKUP(B469,'Player Data'!A1:B673,2,FALSE)</f>
        <v>BOS</v>
      </c>
      <c r="G469" s="71" cm="1">
        <f t="array" ref="G469">VLOOKUP(B469,'Player Data'!A1:D673,3,FALSE)</f>
        <v>22</v>
      </c>
      <c r="H469" s="51" cm="1">
        <f t="array" ref="H469">IFERROR(VLOOKUP(B469,ADP!A1:F671,6,FALSE)/1000000,VLOOKUP(B469,ADP!A1:F671,6,FALSE))</f>
        <v>0.87916700000000003</v>
      </c>
      <c r="I469" s="52">
        <f>IF(Settings!$E$15="POINTS",((R469*Q469)*Settings!$B$12)+(S469*Settings!$B$2)+(T469*Settings!$B$3)+(U469*Settings!$B$4)+(V469*Settings!$B$5)+(X469*Settings!$B$9)+(AA469*Settings!$B$6)+(W469*Settings!$B$8)+(AB469*Settings!$B$7)+(AC469*Settings!$B$14)+(AD469*Settings!$B$15)+(AE469*Settings!$B$16)+(AF469*Settings!$B$17)+(AG469*Settings!$B$18)+(Y469*Settings!$B$10)+(Z469*Settings!$B$11),VLOOKUP(B469,'Standard Deviations'!A$1:C$672,3,FALSE))</f>
        <v>178.3904752976616</v>
      </c>
      <c r="J469" s="53" cm="1">
        <f t="array" ref="J469">IF(D469="G",I469/AJ469,I469/Q469)</f>
        <v>2.3847399946215035</v>
      </c>
      <c r="K469" s="52" cm="1">
        <f t="array" ref="K469">IF(Settings!$E$18="C/LW/RW",VLOOKUP(B469,'C'!A1:F210,6,FALSE),VLOOKUP(B469,F!A1:F407,6,FALSE))</f>
        <v>-208.14473109542141</v>
      </c>
      <c r="L469" s="54" cm="1">
        <f t="array" ref="L469">IFERROR(K469/H469,"N/A")</f>
        <v>-236.75221100817183</v>
      </c>
      <c r="M469" s="85" t="s">
        <v>832</v>
      </c>
      <c r="N469" s="85" t="str" cm="1">
        <f t="array" ref="N469">IFERROR(M469-A469,"N/A")</f>
        <v>N/A</v>
      </c>
      <c r="O469" s="55"/>
      <c r="P469" s="56" t="str" cm="1">
        <f t="array" ref="P469">_xlfn.XLOOKUP($B469,ADP!A2:A671,ADP!G2:G671)</f>
        <v xml:space="preserve"> </v>
      </c>
      <c r="Q469" s="57" cm="1">
        <f t="array" ref="Q469">IF(Settings!$E$12="YES",VLOOKUP(B469,'Player Data'!A1:E673,5,FALSE),84)</f>
        <v>74.805000000000007</v>
      </c>
      <c r="R469" s="55" cm="1">
        <f t="array" ref="R469">VLOOKUP(B469,'Player Data'!$A1:$AE673,6,FALSE)</f>
        <v>15.454413919588401</v>
      </c>
      <c r="S469" s="57" cm="1">
        <f t="array" ref="S469">VLOOKUP(B469,'Player Data'!$A1:$AE673,7,FALSE)*$Q469*IFERROR((VLOOKUP(P469,Settings!$E$28:$F$33,2,FALSE)+1),1)</f>
        <v>15.356721171043546</v>
      </c>
      <c r="T469" s="57" cm="1">
        <f t="array" ref="T469">VLOOKUP(B469,'Player Data'!$A1:$AE673,8,FALSE)*$Q469*IFERROR((VLOOKUP(P469,Settings!$E$28:$F$33,2,FALSE)+1),1)</f>
        <v>17.10778723061528</v>
      </c>
      <c r="U469" s="57" cm="1">
        <f t="array" ref="U469">SUM(S469:T469)</f>
        <v>32.464508401658826</v>
      </c>
      <c r="V469" s="57" cm="1">
        <f t="array" ref="V469">VLOOKUP(B469,'Player Data'!$A1:$AE673,10,FALSE)*$Q469*IFERROR(((VLOOKUP(P469,Settings!$E$28:$F$33,2,FALSE)/2)+1),1)</f>
        <v>108.16921998387743</v>
      </c>
      <c r="W469" s="57" cm="1">
        <f t="array" ref="W469">VLOOKUP(B469,'Player Data'!$A1:$AE673,11,FALSE)*$Q469*IFERROR((VLOOKUP(P469,Settings!$E$28:$F$33,2,FALSE)+1),1)</f>
        <v>1.2935225529167764</v>
      </c>
      <c r="X469" s="57" cm="1">
        <f t="array" ref="X469">VLOOKUP(B469,'Player Data'!$A1:$AE673,12,FALSE)*$Q469*IFERROR((VLOOKUP(P469,Settings!$E$28:$F$33,2,FALSE)+1),1)</f>
        <v>3.8999324793833754</v>
      </c>
      <c r="Y469" s="57" cm="1">
        <f t="array" ref="Y469">VLOOKUP(B469,'Player Data'!$A1:$AE673,13,FALSE)*$Q469</f>
        <v>0.12684117322853239</v>
      </c>
      <c r="Z469" s="57" cm="1">
        <f t="array" ref="Z469">VLOOKUP(B469,'Player Data'!$A1:$AE673,14,FALSE)*$Q469</f>
        <v>0.81331100982726512</v>
      </c>
      <c r="AA469" s="57" cm="1">
        <f t="array" ref="AA469">VLOOKUP(B469,'Player Data'!$A1:$AE673,15,FALSE)*$Q469</f>
        <v>44.398193223071509</v>
      </c>
      <c r="AB469" s="57" cm="1">
        <f t="array" ref="AB469">VLOOKUP(B469,'Player Data'!$A1:$AE673,16,FALSE)*$Q469</f>
        <v>125.36223799033147</v>
      </c>
      <c r="AC469" s="57" cm="1">
        <f t="array" ref="AC469">VLOOKUP(B469,'Player Data'!$A1:$AE673,17,FALSE)*$Q469*IFERROR((VLOOKUP(P469,Settings!$E$28:$F$33,2,FALSE)+1),1)</f>
        <v>-0.27350456384611349</v>
      </c>
      <c r="AD469" s="57" cm="1">
        <f t="array" ref="AD469">VLOOKUP(B469,'Player Data'!$A1:$AE673,18,FALSE)*$Q469</f>
        <v>21.117222385426519</v>
      </c>
      <c r="AE469" s="57" cm="1">
        <f t="array" ref="AE469">VLOOKUP(B469,'Player Data'!$A1:$AE673,19,FALSE)*$Q469*IFERROR((VLOOKUP(P469,Settings!$E$28:$F$33,2,FALSE)+1),1)</f>
        <v>2.0673476112261446</v>
      </c>
      <c r="AF469" s="57" cm="1">
        <f t="array" ref="AF469">VLOOKUP(B469,'Player Data'!$A1:$AE673,20,FALSE)*$Q469</f>
        <v>370.38589718447207</v>
      </c>
      <c r="AG469" s="57" cm="1">
        <f t="array" ref="AG469">VLOOKUP(B469,'Player Data'!$A1:$AE673,21,FALSE)*$Q469</f>
        <v>389.17483461573522</v>
      </c>
      <c r="AH469" s="59" cm="1">
        <f t="array" ref="AH469">VLOOKUP(B469,'Player Data'!$A1:$AE673,22,FALSE)</f>
        <v>0.48763170827253499</v>
      </c>
      <c r="AI469" s="55"/>
      <c r="AJ469" s="57"/>
      <c r="AK469" s="57"/>
      <c r="AL469" s="57"/>
      <c r="AM469" s="57"/>
      <c r="AN469" s="57"/>
      <c r="AO469" s="57"/>
      <c r="AP469" s="57"/>
      <c r="AQ469" s="60"/>
      <c r="AR469" s="61"/>
      <c r="AS469" s="55"/>
    </row>
    <row r="470" spans="1:45" ht="21.25" customHeight="1" x14ac:dyDescent="0.15">
      <c r="A470" s="62">
        <f t="shared" si="7"/>
        <v>469</v>
      </c>
      <c r="B470" s="10" t="s">
        <v>598</v>
      </c>
      <c r="C470" s="47" t="s">
        <v>147</v>
      </c>
      <c r="D470" s="48" t="str" cm="1">
        <f t="array" ref="D470">VLOOKUP(B470,'Player Data'!A1:D673,4,FALSE)</f>
        <v>C</v>
      </c>
      <c r="E470" s="49" cm="1">
        <f t="array" ref="E470">VLOOKUP(B470,'C'!A1:C210,3,FALSE)</f>
        <v>121</v>
      </c>
      <c r="F470" s="72" t="str" cm="1">
        <f t="array" ref="F470">VLOOKUP(B470,'Player Data'!A1:B673,2,FALSE)</f>
        <v>NYI</v>
      </c>
      <c r="G470" s="66" cm="1">
        <f t="array" ref="G470">VLOOKUP(B470,'Player Data'!A1:D673,3,FALSE)</f>
        <v>33</v>
      </c>
      <c r="H470" s="51" cm="1">
        <f t="array" ref="H470">IFERROR(VLOOKUP(B470,ADP!A1:F671,6,FALSE)/1000000,VLOOKUP(B470,ADP!A1:F671,6,FALSE))</f>
        <v>4.8499999999999996</v>
      </c>
      <c r="I470" s="52">
        <f>IF(Settings!$E$15="POINTS",((R470*Q470)*Settings!$B$12)+(S470*Settings!$B$2)+(T470*Settings!$B$3)+(U470*Settings!$B$4)+(V470*Settings!$B$5)+(X470*Settings!$B$9)+(AA470*Settings!$B$6)+(W470*Settings!$B$8)+(AB470*Settings!$B$7)+(AC470*Settings!$B$14)+(AD470*Settings!$B$15)+(AE470*Settings!$B$16)+(AF470*Settings!$B$17)+(AG470*Settings!$B$18)+(Y470*Settings!$B$10)+(Z470*Settings!$B$11),VLOOKUP(B470,'Standard Deviations'!A$1:C$672,3,FALSE))</f>
        <v>178.25936011140374</v>
      </c>
      <c r="J470" s="53" cm="1">
        <f t="array" ref="J470">IF(D470="G",I470/AJ470,I470/Q470)</f>
        <v>2.1686713113099998</v>
      </c>
      <c r="K470" s="52" cm="1">
        <f t="array" ref="K470">IF(Settings!$E$18="C/LW/RW",VLOOKUP(B470,'C'!A1:F210,6,FALSE),VLOOKUP(B470,F!A1:F407,6,FALSE))</f>
        <v>-208.27584628167926</v>
      </c>
      <c r="L470" s="54" cm="1">
        <f t="array" ref="L470">IFERROR(K470/H470,"N/A")</f>
        <v>-42.943473460140055</v>
      </c>
      <c r="M470" s="85" t="s">
        <v>832</v>
      </c>
      <c r="N470" s="85" t="str" cm="1">
        <f t="array" ref="N470">IFERROR(M470-A470,"N/A")</f>
        <v>N/A</v>
      </c>
      <c r="O470" s="55"/>
      <c r="P470" s="56" t="str" cm="1">
        <f t="array" ref="P470">_xlfn.XLOOKUP($B470,ADP!A2:A671,ADP!G2:G671)</f>
        <v xml:space="preserve"> </v>
      </c>
      <c r="Q470" s="57" cm="1">
        <f t="array" ref="Q470">IF(Settings!$E$12="YES",VLOOKUP(B470,'Player Data'!A1:E673,5,FALSE),84)</f>
        <v>82.197500000000005</v>
      </c>
      <c r="R470" s="55" cm="1">
        <f t="array" ref="R470">VLOOKUP(B470,'Player Data'!$A1:$AE673,6,FALSE)</f>
        <v>14.785422377912999</v>
      </c>
      <c r="S470" s="57" cm="1">
        <f t="array" ref="S470">VLOOKUP(B470,'Player Data'!$A1:$AE673,7,FALSE)*$Q470*IFERROR((VLOOKUP(P470,Settings!$E$28:$F$33,2,FALSE)+1),1)</f>
        <v>13.026851502229395</v>
      </c>
      <c r="T470" s="57" cm="1">
        <f t="array" ref="T470">VLOOKUP(B470,'Player Data'!$A1:$AE673,8,FALSE)*$Q470*IFERROR((VLOOKUP(P470,Settings!$E$28:$F$33,2,FALSE)+1),1)</f>
        <v>19.515097647518861</v>
      </c>
      <c r="U470" s="57" cm="1">
        <f t="array" ref="U470">SUM(S470:T470)</f>
        <v>32.541949149748255</v>
      </c>
      <c r="V470" s="57" cm="1">
        <f t="array" ref="V470">VLOOKUP(B470,'Player Data'!$A1:$AE673,10,FALSE)*$Q470*IFERROR(((VLOOKUP(P470,Settings!$E$28:$F$33,2,FALSE)/2)+1),1)</f>
        <v>93.397592671403572</v>
      </c>
      <c r="W470" s="57" cm="1">
        <f t="array" ref="W470">VLOOKUP(B470,'Player Data'!$A1:$AE673,11,FALSE)*$Q470*IFERROR((VLOOKUP(P470,Settings!$E$28:$F$33,2,FALSE)+1),1)</f>
        <v>7.7908104618613333E-2</v>
      </c>
      <c r="X470" s="57" cm="1">
        <f t="array" ref="X470">VLOOKUP(B470,'Player Data'!$A1:$AE673,12,FALSE)*$Q470*IFERROR((VLOOKUP(P470,Settings!$E$28:$F$33,2,FALSE)+1),1)</f>
        <v>0.22256851138531764</v>
      </c>
      <c r="Y470" s="57" cm="1">
        <f t="array" ref="Y470">VLOOKUP(B470,'Player Data'!$A1:$AE673,13,FALSE)*$Q470</f>
        <v>1.9836038414435966</v>
      </c>
      <c r="Z470" s="57" cm="1">
        <f t="array" ref="Z470">VLOOKUP(B470,'Player Data'!$A1:$AE673,14,FALSE)*$Q470</f>
        <v>5.8333917419762304</v>
      </c>
      <c r="AA470" s="57" cm="1">
        <f t="array" ref="AA470">VLOOKUP(B470,'Player Data'!$A1:$AE673,15,FALSE)*$Q470</f>
        <v>55.757512146191274</v>
      </c>
      <c r="AB470" s="57" cm="1">
        <f t="array" ref="AB470">VLOOKUP(B470,'Player Data'!$A1:$AE673,16,FALSE)*$Q470</f>
        <v>124.11853554226597</v>
      </c>
      <c r="AC470" s="57" cm="1">
        <f t="array" ref="AC470">VLOOKUP(B470,'Player Data'!$A1:$AE673,17,FALSE)*$Q470*IFERROR((VLOOKUP(P470,Settings!$E$28:$F$33,2,FALSE)+1),1)</f>
        <v>-4.2004361754899326</v>
      </c>
      <c r="AD470" s="57" cm="1">
        <f t="array" ref="AD470">VLOOKUP(B470,'Player Data'!$A1:$AE673,18,FALSE)*$Q470</f>
        <v>13.080201058135088</v>
      </c>
      <c r="AE470" s="57" cm="1">
        <f t="array" ref="AE470">VLOOKUP(B470,'Player Data'!$A1:$AE673,19,FALSE)*$Q470*IFERROR((VLOOKUP(P470,Settings!$E$28:$F$33,2,FALSE)+1),1)</f>
        <v>1.9024605875949769</v>
      </c>
      <c r="AF470" s="57" cm="1">
        <f t="array" ref="AF470">VLOOKUP(B470,'Player Data'!$A1:$AE673,20,FALSE)*$Q470</f>
        <v>649.0672271619718</v>
      </c>
      <c r="AG470" s="57" cm="1">
        <f t="array" ref="AG470">VLOOKUP(B470,'Player Data'!$A1:$AE673,21,FALSE)*$Q470</f>
        <v>463.81272774170537</v>
      </c>
      <c r="AH470" s="59" cm="1">
        <f t="array" ref="AH470">VLOOKUP(B470,'Player Data'!$A1:$AE673,22,FALSE)</f>
        <v>0.58323202273703501</v>
      </c>
      <c r="AI470" s="55"/>
      <c r="AJ470" s="57"/>
      <c r="AK470" s="57"/>
      <c r="AL470" s="57"/>
      <c r="AM470" s="57"/>
      <c r="AN470" s="57"/>
      <c r="AO470" s="57"/>
      <c r="AP470" s="57"/>
      <c r="AQ470" s="60"/>
      <c r="AR470" s="61"/>
      <c r="AS470" s="55"/>
    </row>
    <row r="471" spans="1:45" ht="21.25" customHeight="1" x14ac:dyDescent="0.15">
      <c r="A471" s="62">
        <f t="shared" si="7"/>
        <v>470</v>
      </c>
      <c r="B471" s="10" t="s">
        <v>599</v>
      </c>
      <c r="C471" s="47" t="s">
        <v>147</v>
      </c>
      <c r="D471" s="48" t="str" cm="1">
        <f t="array" ref="D471">VLOOKUP(B471,'Player Data'!A1:D673,4,FALSE)</f>
        <v>LW,RW</v>
      </c>
      <c r="E471" s="74" cm="1">
        <f t="array" ref="E471">VLOOKUP(B471,RW!A1:F210,3,FALSE)</f>
        <v>130</v>
      </c>
      <c r="F471" s="50" t="str" cm="1">
        <f t="array" ref="F471">VLOOKUP(B471,'Player Data'!A1:B673,2,FALSE)</f>
        <v>COL</v>
      </c>
      <c r="G471" s="66" cm="1">
        <f t="array" ref="G471">VLOOKUP(B471,'Player Data'!A1:D673,3,FALSE)</f>
        <v>33</v>
      </c>
      <c r="H471" s="51" cm="1">
        <f t="array" ref="H471">IFERROR(VLOOKUP(B471,ADP!A1:F671,6,FALSE)/1000000,VLOOKUP(B471,ADP!A1:F671,6,FALSE))</f>
        <v>7</v>
      </c>
      <c r="I471" s="52">
        <f>IF(Settings!$E$15="POINTS",((R471*Q471)*Settings!$B$12)+(S471*Settings!$B$2)+(T471*Settings!$B$3)+(U471*Settings!$B$4)+(V471*Settings!$B$5)+(X471*Settings!$B$9)+(AA471*Settings!$B$6)+(W471*Settings!$B$8)+(AB471*Settings!$B$7)+(AC471*Settings!$B$14)+(AD471*Settings!$B$15)+(AE471*Settings!$B$16)+(AF471*Settings!$B$17)+(AG471*Settings!$B$18)+(Y471*Settings!$B$10)+(Z471*Settings!$B$11),VLOOKUP(B471,'Standard Deviations'!A$1:C$672,3,FALSE))</f>
        <v>186.46172734873039</v>
      </c>
      <c r="J471" s="53" cm="1">
        <f t="array" ref="J471">IF(D471="G",I471/AJ471,I471/Q471)</f>
        <v>3.0074472153021032</v>
      </c>
      <c r="K471" s="52" cm="1">
        <f t="array" ref="K471">IF(Settings!$E$18="C/LW/RW",VLOOKUP(B471,RW!A1:F210,6,FALSE),VLOOKUP(B471,F!A1:F407,6,FALSE))</f>
        <v>-208.48173734482708</v>
      </c>
      <c r="L471" s="54" cm="1">
        <f t="array" ref="L471">IFERROR(K471/H471,"N/A")</f>
        <v>-29.783105334975296</v>
      </c>
      <c r="M471" s="55">
        <v>132.6</v>
      </c>
      <c r="N471" s="55" cm="1">
        <f t="array" ref="N471">IFERROR(M471-A471,"N/A")</f>
        <v>-337.4</v>
      </c>
      <c r="O471" s="55"/>
      <c r="P471" s="56" t="str" cm="1">
        <f t="array" ref="P471">_xlfn.XLOOKUP($B471,ADP!A2:A671,ADP!G2:G671)</f>
        <v xml:space="preserve"> </v>
      </c>
      <c r="Q471" s="57" cm="1">
        <f t="array" ref="Q471">IF(Settings!$E$12="YES",VLOOKUP(B471,'Player Data'!A1:E673,5,FALSE),84)</f>
        <v>62</v>
      </c>
      <c r="R471" s="55" cm="1">
        <f t="array" ref="R471">VLOOKUP(B471,'Player Data'!$A1:$AE673,6,FALSE)</f>
        <v>16.030970268281798</v>
      </c>
      <c r="S471" s="57" cm="1">
        <f t="array" ref="S471">VLOOKUP(B471,'Player Data'!$A1:$AE673,7,FALSE)*$Q471*IFERROR((VLOOKUP(P471,Settings!$E$28:$F$33,2,FALSE)+1),1)</f>
        <v>13.206189977191997</v>
      </c>
      <c r="T471" s="57" cm="1">
        <f t="array" ref="T471">VLOOKUP(B471,'Player Data'!$A1:$AE673,8,FALSE)*$Q471*IFERROR((VLOOKUP(P471,Settings!$E$28:$F$33,2,FALSE)+1),1)</f>
        <v>20.244918493869683</v>
      </c>
      <c r="U471" s="57" cm="1">
        <f t="array" ref="U471">SUM(S471:T471)</f>
        <v>33.45110847106168</v>
      </c>
      <c r="V471" s="57" cm="1">
        <f t="array" ref="V471">VLOOKUP(B471,'Player Data'!$A1:$AE673,10,FALSE)*$Q471*IFERROR(((VLOOKUP(P471,Settings!$E$28:$F$33,2,FALSE)/2)+1),1)</f>
        <v>128.67540126266258</v>
      </c>
      <c r="W471" s="57" cm="1">
        <f t="array" ref="W471">VLOOKUP(B471,'Player Data'!$A1:$AE673,11,FALSE)*$Q471*IFERROR((VLOOKUP(P471,Settings!$E$28:$F$33,2,FALSE)+1),1)</f>
        <v>2.5668414135839779</v>
      </c>
      <c r="X471" s="79" cm="1">
        <f t="array" ref="X471">VLOOKUP(B471,'Player Data'!$A1:$AE673,12,FALSE)*$Q471*IFERROR((VLOOKUP(P471,Settings!$E$28:$F$33,2,FALSE)+1),1)</f>
        <v>6.0201747930072926</v>
      </c>
      <c r="Y471" s="57" cm="1">
        <f t="array" ref="Y471">VLOOKUP(B471,'Player Data'!$A1:$AE673,13,FALSE)*$Q471</f>
        <v>1.1698852108506103E-2</v>
      </c>
      <c r="Z471" s="57" cm="1">
        <f t="array" ref="Z471">VLOOKUP(B471,'Player Data'!$A1:$AE673,14,FALSE)*$Q471</f>
        <v>1.9603854438835125E-2</v>
      </c>
      <c r="AA471" s="57" cm="1">
        <f t="array" ref="AA471">VLOOKUP(B471,'Player Data'!$A1:$AE673,15,FALSE)*$Q471</f>
        <v>31.461845313535875</v>
      </c>
      <c r="AB471" s="57" cm="1">
        <f t="array" ref="AB471">VLOOKUP(B471,'Player Data'!$A1:$AE673,16,FALSE)*$Q471</f>
        <v>81.774252157029466</v>
      </c>
      <c r="AC471" s="57" cm="1">
        <f t="array" ref="AC471">VLOOKUP(B471,'Player Data'!$A1:$AE673,17,FALSE)*$Q471*IFERROR((VLOOKUP(P471,Settings!$E$28:$F$33,2,FALSE)+1),1)</f>
        <v>6.6235902757742293</v>
      </c>
      <c r="AD471" s="57" cm="1">
        <f t="array" ref="AD471">VLOOKUP(B471,'Player Data'!$A1:$AE673,18,FALSE)*$Q471</f>
        <v>36.835177186288725</v>
      </c>
      <c r="AE471" s="57" cm="1">
        <f t="array" ref="AE471">VLOOKUP(B471,'Player Data'!$A1:$AE673,19,FALSE)*$Q471*IFERROR((VLOOKUP(P471,Settings!$E$28:$F$33,2,FALSE)+1),1)</f>
        <v>2.3835484015205646</v>
      </c>
      <c r="AF471" s="57" cm="1">
        <f t="array" ref="AF471">VLOOKUP(B471,'Player Data'!$A1:$AE673,20,FALSE)*$Q471</f>
        <v>163.50359001464534</v>
      </c>
      <c r="AG471" s="57" cm="1">
        <f t="array" ref="AG471">VLOOKUP(B471,'Player Data'!$A1:$AE673,21,FALSE)*$Q471</f>
        <v>98.909579144662075</v>
      </c>
      <c r="AH471" s="59" cm="1">
        <f t="array" ref="AH471">VLOOKUP(B471,'Player Data'!$A1:$AE673,22,FALSE)</f>
        <v>0.62307692307692297</v>
      </c>
      <c r="AI471" s="55"/>
      <c r="AJ471" s="57"/>
      <c r="AK471" s="57"/>
      <c r="AL471" s="57"/>
      <c r="AM471" s="57"/>
      <c r="AN471" s="57"/>
      <c r="AO471" s="57"/>
      <c r="AP471" s="57"/>
      <c r="AQ471" s="60"/>
      <c r="AR471" s="61"/>
      <c r="AS471" s="55"/>
    </row>
    <row r="472" spans="1:45" ht="21.25" customHeight="1" x14ac:dyDescent="0.15">
      <c r="A472" s="62">
        <f t="shared" si="7"/>
        <v>471</v>
      </c>
      <c r="B472" s="10" t="s">
        <v>600</v>
      </c>
      <c r="C472" s="47" t="s">
        <v>147</v>
      </c>
      <c r="D472" s="48" t="str" cm="1">
        <f t="array" ref="D472">VLOOKUP(B472,'Player Data'!A1:D673,4,FALSE)</f>
        <v>RW</v>
      </c>
      <c r="E472" s="64" cm="1">
        <f t="array" ref="E472">VLOOKUP(B472,RW!A1:F210,3,FALSE)</f>
        <v>131</v>
      </c>
      <c r="F472" s="69" t="str" cm="1">
        <f t="array" ref="F472">VLOOKUP(B472,'Player Data'!A1:B673,2,FALSE)</f>
        <v>N.J</v>
      </c>
      <c r="G472" s="66" cm="1">
        <f t="array" ref="G472">VLOOKUP(B472,'Player Data'!A1:D673,3,FALSE)</f>
        <v>32</v>
      </c>
      <c r="H472" s="51" cm="1">
        <f t="array" ref="H472">IFERROR(VLOOKUP(B472,ADP!A1:F671,6,FALSE)/1000000,VLOOKUP(B472,ADP!A1:F671,6,FALSE))</f>
        <v>3</v>
      </c>
      <c r="I472" s="52">
        <f>IF(Settings!$E$15="POINTS",((R472*Q472)*Settings!$B$12)+(S472*Settings!$B$2)+(T472*Settings!$B$3)+(U472*Settings!$B$4)+(V472*Settings!$B$5)+(X472*Settings!$B$9)+(AA472*Settings!$B$6)+(W472*Settings!$B$8)+(AB472*Settings!$B$7)+(AC472*Settings!$B$14)+(AD472*Settings!$B$15)+(AE472*Settings!$B$16)+(AF472*Settings!$B$17)+(AG472*Settings!$B$18)+(Y472*Settings!$B$10)+(Z472*Settings!$B$11),VLOOKUP(B472,'Standard Deviations'!A$1:C$672,3,FALSE))</f>
        <v>185.97313431321561</v>
      </c>
      <c r="J472" s="53" cm="1">
        <f t="array" ref="J472">IF(D472="G",I472/AJ472,I472/Q472)</f>
        <v>2.2766412769789208</v>
      </c>
      <c r="K472" s="52" cm="1">
        <f t="array" ref="K472">IF(Settings!$E$18="C/LW/RW",VLOOKUP(B472,RW!A1:F210,6,FALSE),VLOOKUP(B472,F!A1:F407,6,FALSE))</f>
        <v>-208.97033038034186</v>
      </c>
      <c r="L472" s="54" cm="1">
        <f t="array" ref="L472">IFERROR(K472/H472,"N/A")</f>
        <v>-69.656776793447293</v>
      </c>
      <c r="M472" s="85" t="s">
        <v>832</v>
      </c>
      <c r="N472" s="85" t="str" cm="1">
        <f t="array" ref="N472">IFERROR(M472-A472,"N/A")</f>
        <v>N/A</v>
      </c>
      <c r="O472" s="81"/>
      <c r="P472" s="56" t="str" cm="1">
        <f t="array" ref="P472">_xlfn.XLOOKUP($B472,ADP!A2:A671,ADP!G2:G671)</f>
        <v xml:space="preserve"> </v>
      </c>
      <c r="Q472" s="57" cm="1">
        <f t="array" ref="Q472">IF(Settings!$E$12="YES",VLOOKUP(B472,'Player Data'!A1:E673,5,FALSE),84)</f>
        <v>81.6875</v>
      </c>
      <c r="R472" s="84" cm="1">
        <f t="array" ref="R472">VLOOKUP(B472,'Player Data'!$A1:$AE673,6,FALSE)</f>
        <v>15.520441059788199</v>
      </c>
      <c r="S472" s="57" cm="1">
        <f t="array" ref="S472">VLOOKUP(B472,'Player Data'!$A1:$AE673,7,FALSE)*$Q472*IFERROR((VLOOKUP(P472,Settings!$E$28:$F$33,2,FALSE)+1),1)</f>
        <v>13.800142088852393</v>
      </c>
      <c r="T472" s="57" cm="1">
        <f t="array" ref="T472">VLOOKUP(B472,'Player Data'!$A1:$AE673,8,FALSE)*$Q472*IFERROR((VLOOKUP(P472,Settings!$E$28:$F$33,2,FALSE)+1),1)</f>
        <v>19.592571007948866</v>
      </c>
      <c r="U472" s="57" cm="1">
        <f t="array" ref="U472">SUM(S472:T472)</f>
        <v>33.392713096801259</v>
      </c>
      <c r="V472" s="57" cm="1">
        <f t="array" ref="V472">VLOOKUP(B472,'Player Data'!$A1:$AE673,10,FALSE)*$Q472*IFERROR(((VLOOKUP(P472,Settings!$E$28:$F$33,2,FALSE)/2)+1),1)</f>
        <v>119.77373234681045</v>
      </c>
      <c r="W472" s="57" cm="1">
        <f t="array" ref="W472">VLOOKUP(B472,'Player Data'!$A1:$AE673,11,FALSE)*$Q472*IFERROR((VLOOKUP(P472,Settings!$E$28:$F$33,2,FALSE)+1),1)</f>
        <v>2.2462396328033973</v>
      </c>
      <c r="X472" s="57" cm="1">
        <f t="array" ref="X472">VLOOKUP(B472,'Player Data'!$A1:$AE673,12,FALSE)*$Q472*IFERROR((VLOOKUP(P472,Settings!$E$28:$F$33,2,FALSE)+1),1)</f>
        <v>4.8549570058830565</v>
      </c>
      <c r="Y472" s="57" cm="1">
        <f t="array" ref="Y472">VLOOKUP(B472,'Player Data'!$A1:$AE673,13,FALSE)*$Q472</f>
        <v>1.3325646740633947</v>
      </c>
      <c r="Z472" s="57" cm="1">
        <f t="array" ref="Z472">VLOOKUP(B472,'Player Data'!$A1:$AE673,14,FALSE)*$Q472</f>
        <v>1.7333890461183188</v>
      </c>
      <c r="AA472" s="57" cm="1">
        <f t="array" ref="AA472">VLOOKUP(B472,'Player Data'!$A1:$AE673,15,FALSE)*$Q472</f>
        <v>38.639565594810428</v>
      </c>
      <c r="AB472" s="57" cm="1">
        <f t="array" ref="AB472">VLOOKUP(B472,'Player Data'!$A1:$AE673,16,FALSE)*$Q472</f>
        <v>32.010295596063315</v>
      </c>
      <c r="AC472" s="57" cm="1">
        <f t="array" ref="AC472">VLOOKUP(B472,'Player Data'!$A1:$AE673,17,FALSE)*$Q472*IFERROR((VLOOKUP(P472,Settings!$E$28:$F$33,2,FALSE)+1),1)</f>
        <v>-0.78999463652768609</v>
      </c>
      <c r="AD472" s="57" cm="1">
        <f t="array" ref="AD472">VLOOKUP(B472,'Player Data'!$A1:$AE673,18,FALSE)*$Q472</f>
        <v>16.054944542484726</v>
      </c>
      <c r="AE472" s="57" cm="1">
        <f t="array" ref="AE472">VLOOKUP(B472,'Player Data'!$A1:$AE673,19,FALSE)*$Q472*IFERROR((VLOOKUP(P472,Settings!$E$28:$F$33,2,FALSE)+1),1)</f>
        <v>2.0626495118093349</v>
      </c>
      <c r="AF472" s="57" cm="1">
        <f t="array" ref="AF472">VLOOKUP(B472,'Player Data'!$A1:$AE673,20,FALSE)*$Q472</f>
        <v>11.001995034999499</v>
      </c>
      <c r="AG472" s="57" cm="1">
        <f t="array" ref="AG472">VLOOKUP(B472,'Player Data'!$A1:$AE673,21,FALSE)*$Q472</f>
        <v>20.695380643673921</v>
      </c>
      <c r="AH472" s="59" cm="1">
        <f t="array" ref="AH472">VLOOKUP(B472,'Player Data'!$A1:$AE673,22,FALSE)</f>
        <v>0.34709482408039999</v>
      </c>
      <c r="AI472" s="55"/>
      <c r="AJ472" s="57"/>
      <c r="AK472" s="57"/>
      <c r="AL472" s="57"/>
      <c r="AM472" s="57"/>
      <c r="AN472" s="57"/>
      <c r="AO472" s="57"/>
      <c r="AP472" s="57"/>
      <c r="AQ472" s="60"/>
      <c r="AR472" s="61"/>
      <c r="AS472" s="55"/>
    </row>
    <row r="473" spans="1:45" ht="21.25" customHeight="1" x14ac:dyDescent="0.15">
      <c r="A473" s="62">
        <f t="shared" si="7"/>
        <v>472</v>
      </c>
      <c r="B473" s="10" t="s">
        <v>601</v>
      </c>
      <c r="C473" s="47" t="s">
        <v>147</v>
      </c>
      <c r="D473" s="48" t="str" cm="1">
        <f t="array" ref="D473">VLOOKUP(B473,'Player Data'!A1:D673,4,FALSE)</f>
        <v>LW,RW</v>
      </c>
      <c r="E473" s="74" cm="1">
        <f t="array" ref="E473">VLOOKUP(B473,RW!A1:F210,3,FALSE)</f>
        <v>132</v>
      </c>
      <c r="F473" s="18" t="str" cm="1">
        <f t="array" ref="F473">VLOOKUP(B473,'Player Data'!A1:B673,2,FALSE)</f>
        <v>VAN</v>
      </c>
      <c r="G473" s="11" cm="1">
        <f t="array" ref="G473">VLOOKUP(B473,'Player Data'!A1:D673,3,FALSE)</f>
        <v>28</v>
      </c>
      <c r="H473" s="67" cm="1">
        <f t="array" ref="H473">IFERROR(VLOOKUP(B473,ADP!A1:F671,6,FALSE)/1000000,VLOOKUP(B473,ADP!A1:F671,6,FALSE))</f>
        <v>2.5</v>
      </c>
      <c r="I473" s="52">
        <f>IF(Settings!$E$15="POINTS",((R473*Q473)*Settings!$B$12)+(S473*Settings!$B$2)+(T473*Settings!$B$3)+(U473*Settings!$B$4)+(V473*Settings!$B$5)+(X473*Settings!$B$9)+(AA473*Settings!$B$6)+(W473*Settings!$B$8)+(AB473*Settings!$B$7)+(AC473*Settings!$B$14)+(AD473*Settings!$B$15)+(AE473*Settings!$B$16)+(AF473*Settings!$B$17)+(AG473*Settings!$B$18)+(Y473*Settings!$B$10)+(Z473*Settings!$B$11),VLOOKUP(B473,'Standard Deviations'!A$1:C$672,3,FALSE))</f>
        <v>185.79312926436293</v>
      </c>
      <c r="J473" s="53" cm="1">
        <f t="array" ref="J473">IF(D473="G",I473/AJ473,I473/Q473)</f>
        <v>2.2116913191400864</v>
      </c>
      <c r="K473" s="52" cm="1">
        <f t="array" ref="K473">IF(Settings!$E$18="C/LW/RW",VLOOKUP(B473,RW!A1:F210,6,FALSE),VLOOKUP(B473,F!A1:F407,6,FALSE))</f>
        <v>-209.15033542919454</v>
      </c>
      <c r="L473" s="54" cm="1">
        <f t="array" ref="L473">IFERROR(K473/H473,"N/A")</f>
        <v>-83.660134171677811</v>
      </c>
      <c r="M473" s="85" t="s">
        <v>832</v>
      </c>
      <c r="N473" s="85" t="str" cm="1">
        <f t="array" ref="N473">IFERROR(M473-A473,"N/A")</f>
        <v>N/A</v>
      </c>
      <c r="O473" s="83"/>
      <c r="P473" s="56" t="str" cm="1">
        <f t="array" ref="P473">_xlfn.XLOOKUP($B473,ADP!A2:A671,ADP!G2:G671)</f>
        <v xml:space="preserve"> </v>
      </c>
      <c r="Q473" s="57" cm="1">
        <f t="array" ref="Q473">IF(Settings!$E$12="YES",VLOOKUP(B473,'Player Data'!A1:E673,5,FALSE),84)</f>
        <v>84.004999999999995</v>
      </c>
      <c r="R473" s="55" cm="1">
        <f t="array" ref="R473">VLOOKUP(B473,'Player Data'!$A1:$AE673,6,FALSE)</f>
        <v>15.0411930849847</v>
      </c>
      <c r="S473" s="57" cm="1">
        <f t="array" ref="S473">VLOOKUP(B473,'Player Data'!$A1:$AE673,7,FALSE)*$Q473*IFERROR((VLOOKUP(P473,Settings!$E$28:$F$33,2,FALSE)+1),1)</f>
        <v>15.312255830210866</v>
      </c>
      <c r="T473" s="57" cm="1">
        <f t="array" ref="T473">VLOOKUP(B473,'Player Data'!$A1:$AE673,8,FALSE)*$Q473*IFERROR((VLOOKUP(P473,Settings!$E$28:$F$33,2,FALSE)+1),1)</f>
        <v>15.281486447239686</v>
      </c>
      <c r="U473" s="57" cm="1">
        <f t="array" ref="U473">SUM(S473:T473)</f>
        <v>30.593742277450552</v>
      </c>
      <c r="V473" s="57" cm="1">
        <f t="array" ref="V473">VLOOKUP(B473,'Player Data'!$A1:$AE673,10,FALSE)*$Q473*IFERROR(((VLOOKUP(P473,Settings!$E$28:$F$33,2,FALSE)/2)+1),1)</f>
        <v>139.57228708373481</v>
      </c>
      <c r="W473" s="57" cm="1">
        <f t="array" ref="W473">VLOOKUP(B473,'Player Data'!$A1:$AE673,11,FALSE)*$Q473*IFERROR((VLOOKUP(P473,Settings!$E$28:$F$33,2,FALSE)+1),1)</f>
        <v>4.8065366847197449E-2</v>
      </c>
      <c r="X473" s="57" cm="1">
        <f t="array" ref="X473">VLOOKUP(B473,'Player Data'!$A1:$AE673,12,FALSE)*$Q473*IFERROR((VLOOKUP(P473,Settings!$E$28:$F$33,2,FALSE)+1),1)</f>
        <v>0.10101084634193901</v>
      </c>
      <c r="Y473" s="57" cm="1">
        <f t="array" ref="Y473">VLOOKUP(B473,'Player Data'!$A1:$AE673,13,FALSE)*$Q473</f>
        <v>2.0291340162111009</v>
      </c>
      <c r="Z473" s="57" cm="1">
        <f t="array" ref="Z473">VLOOKUP(B473,'Player Data'!$A1:$AE673,14,FALSE)*$Q473</f>
        <v>3.4024897606314299</v>
      </c>
      <c r="AA473" s="57" cm="1">
        <f t="array" ref="AA473">VLOOKUP(B473,'Player Data'!$A1:$AE673,15,FALSE)*$Q473</f>
        <v>41.444516566340994</v>
      </c>
      <c r="AB473" s="57" cm="1">
        <f t="array" ref="AB473">VLOOKUP(B473,'Player Data'!$A1:$AE673,16,FALSE)*$Q473</f>
        <v>79.882401561285434</v>
      </c>
      <c r="AC473" s="57" cm="1">
        <f t="array" ref="AC473">VLOOKUP(B473,'Player Data'!$A1:$AE673,17,FALSE)*$Q473*IFERROR((VLOOKUP(P473,Settings!$E$28:$F$33,2,FALSE)+1),1)</f>
        <v>-10.285832595980514</v>
      </c>
      <c r="AD473" s="57" cm="1">
        <f t="array" ref="AD473">VLOOKUP(B473,'Player Data'!$A1:$AE673,18,FALSE)*$Q473</f>
        <v>32.363923602395332</v>
      </c>
      <c r="AE473" s="57" cm="1">
        <f t="array" ref="AE473">VLOOKUP(B473,'Player Data'!$A1:$AE673,19,FALSE)*$Q473*IFERROR((VLOOKUP(P473,Settings!$E$28:$F$33,2,FALSE)+1),1)</f>
        <v>1.8974568265656835</v>
      </c>
      <c r="AF473" s="57" cm="1">
        <f t="array" ref="AF473">VLOOKUP(B473,'Player Data'!$A1:$AE673,20,FALSE)*$Q473</f>
        <v>48.908896872219692</v>
      </c>
      <c r="AG473" s="57" cm="1">
        <f t="array" ref="AG473">VLOOKUP(B473,'Player Data'!$A1:$AE673,21,FALSE)*$Q473</f>
        <v>57.918760456630579</v>
      </c>
      <c r="AH473" s="59" cm="1">
        <f t="array" ref="AH473">VLOOKUP(B473,'Player Data'!$A1:$AE673,22,FALSE)</f>
        <v>0.45782991123415001</v>
      </c>
      <c r="AI473" s="55"/>
      <c r="AJ473" s="57"/>
      <c r="AK473" s="57"/>
      <c r="AL473" s="57"/>
      <c r="AM473" s="57"/>
      <c r="AN473" s="57"/>
      <c r="AO473" s="57"/>
      <c r="AP473" s="57"/>
      <c r="AQ473" s="60"/>
      <c r="AR473" s="61"/>
      <c r="AS473" s="55"/>
    </row>
    <row r="474" spans="1:45" ht="21.25" customHeight="1" x14ac:dyDescent="0.15">
      <c r="A474" s="62">
        <f t="shared" si="7"/>
        <v>473</v>
      </c>
      <c r="B474" s="10" t="s">
        <v>602</v>
      </c>
      <c r="C474" s="47" t="s">
        <v>147</v>
      </c>
      <c r="D474" s="48" t="str" cm="1">
        <f t="array" ref="D474">VLOOKUP(B474,'Player Data'!A1:D673,4,FALSE)</f>
        <v>D</v>
      </c>
      <c r="E474" s="68" cm="1">
        <f t="array" ref="E474">VLOOKUP(B474,D!A1:C204,3,FALSE)</f>
        <v>193</v>
      </c>
      <c r="F474" s="72" t="str" cm="1">
        <f t="array" ref="F474">VLOOKUP(B474,'Player Data'!A1:B673,2,FALSE)</f>
        <v>PIT</v>
      </c>
      <c r="G474" s="66" cm="1">
        <f t="array" ref="G474">VLOOKUP(B474,'Player Data'!A1:D673,3,FALSE)</f>
        <v>31</v>
      </c>
      <c r="H474" s="51" cm="1">
        <f t="array" ref="H474">IFERROR(VLOOKUP(B474,ADP!A1:F671,6,FALSE)/1000000,VLOOKUP(B474,ADP!A1:F671,6,FALSE))</f>
        <v>4.5</v>
      </c>
      <c r="I474" s="52">
        <f>IF(Settings!$E$15="POINTS",((R474*Q474)*Settings!$B$12)+(S474*Settings!$B$2)+(T474*Settings!$B$3)+(U474*Settings!$B$4)+(V474*Settings!$B$5)+(X474*Settings!$B$9)+(AA474*Settings!$B$6)+(W474*Settings!$B$8)+(AB474*Settings!$B$7)+(AC474*Settings!$B$14)+(AD474*Settings!$B$15)+(AE474*Settings!$B$16)+(AF474*Settings!$B$17)+(AG474*Settings!$B$18)+(U474*Settings!$B$13)+(Y474*Settings!$B$10)+(Z474*Settings!$B$11),VLOOKUP(B474,'Standard Deviations'!A$1:C$672,3,FALSE))</f>
        <v>97.364097281064545</v>
      </c>
      <c r="J474" s="53" cm="1">
        <f t="array" ref="J474">IF(D474="G",I474/AJ474,I474/Q474)</f>
        <v>1.4051173977135265</v>
      </c>
      <c r="K474" s="52" cm="1">
        <f t="array" ref="K474">VLOOKUP(B474,D!A1:F204,6,FALSE)</f>
        <v>-209.28977006352952</v>
      </c>
      <c r="L474" s="54" cm="1">
        <f t="array" ref="L474">IFERROR(K474/H474,"N/A")</f>
        <v>-46.508837791895445</v>
      </c>
      <c r="M474" s="85" t="s">
        <v>832</v>
      </c>
      <c r="N474" s="85" t="str" cm="1">
        <f t="array" ref="N474">IFERROR(M474-A474,"N/A")</f>
        <v>N/A</v>
      </c>
      <c r="O474" s="55"/>
      <c r="P474" s="56" t="str" cm="1">
        <f t="array" ref="P474">_xlfn.XLOOKUP($B474,ADP!A2:A671,ADP!G2:G671)</f>
        <v xml:space="preserve"> </v>
      </c>
      <c r="Q474" s="57" cm="1">
        <f t="array" ref="Q474">IF(Settings!$E$12="YES",VLOOKUP(B474,'Player Data'!A1:E673,5,FALSE),84)</f>
        <v>69.292500000000004</v>
      </c>
      <c r="R474" s="55" cm="1">
        <f t="array" ref="R474">VLOOKUP(B474,'Player Data'!$A1:$AE673,6,FALSE)</f>
        <v>15.9593036212081</v>
      </c>
      <c r="S474" s="57" cm="1">
        <f t="array" ref="S474">VLOOKUP(B474,'Player Data'!$A1:$AE673,7,FALSE)*$Q474*IFERROR((VLOOKUP(P474,Settings!$E$28:$F$33,2,FALSE)+1),1)</f>
        <v>1.2536238775647228</v>
      </c>
      <c r="T474" s="57" cm="1">
        <f t="array" ref="T474">VLOOKUP(B474,'Player Data'!$A1:$AE673,8,FALSE)*$Q474*IFERROR((VLOOKUP(P474,Settings!$E$28:$F$33,2,FALSE)+1),1)</f>
        <v>6.2054557948994651</v>
      </c>
      <c r="U474" s="57" cm="1">
        <f t="array" ref="U474">SUM(S474:T474)</f>
        <v>7.4590796724641883</v>
      </c>
      <c r="V474" s="57" cm="1">
        <f t="array" ref="V474">VLOOKUP(B474,'Player Data'!$A1:$AE673,10,FALSE)*$Q474*IFERROR(((VLOOKUP(P474,Settings!$E$28:$F$33,2,FALSE)/2)+1),1)</f>
        <v>52.229793625796368</v>
      </c>
      <c r="W474" s="57" cm="1">
        <f t="array" ref="W474">VLOOKUP(B474,'Player Data'!$A1:$AE673,11,FALSE)*$Q474*IFERROR((VLOOKUP(P474,Settings!$E$28:$F$33,2,FALSE)+1),1)</f>
        <v>5.4136727798729752E-4</v>
      </c>
      <c r="X474" s="57" cm="1">
        <f t="array" ref="X474">VLOOKUP(B474,'Player Data'!$A1:$AE673,12,FALSE)*$Q474*IFERROR((VLOOKUP(P474,Settings!$E$28:$F$33,2,FALSE)+1),1)</f>
        <v>6.3719900017637889E-3</v>
      </c>
      <c r="Y474" s="57" cm="1">
        <f t="array" ref="Y474">VLOOKUP(B474,'Player Data'!$A1:$AE673,13,FALSE)*$Q474</f>
        <v>1.4005182836617523E-2</v>
      </c>
      <c r="Z474" s="57" cm="1">
        <f t="array" ref="Z474">VLOOKUP(B474,'Player Data'!$A1:$AE673,14,FALSE)*$Q474</f>
        <v>7.2285819351921077E-2</v>
      </c>
      <c r="AA474" s="57" cm="1">
        <f t="array" ref="AA474">VLOOKUP(B474,'Player Data'!$A1:$AE673,15,FALSE)*$Q474</f>
        <v>97.58660728284022</v>
      </c>
      <c r="AB474" s="57" cm="1">
        <f t="array" ref="AB474">VLOOKUP(B474,'Player Data'!$A1:$AE673,16,FALSE)*$Q474</f>
        <v>78.000719484555248</v>
      </c>
      <c r="AC474" s="57" cm="1">
        <f t="array" ref="AC474">VLOOKUP(B474,'Player Data'!$A1:$AE673,17,FALSE)*$Q474*IFERROR((VLOOKUP(P474,Settings!$E$28:$F$33,2,FALSE)+1),1)</f>
        <v>-0.67684479849146584</v>
      </c>
      <c r="AD474" s="57" cm="1">
        <f t="array" ref="AD474">VLOOKUP(B474,'Player Data'!$A1:$AE673,18,FALSE)*$Q474</f>
        <v>26.111391559931615</v>
      </c>
      <c r="AE474" s="57" cm="1">
        <f t="array" ref="AE474">VLOOKUP(B474,'Player Data'!$A1:$AE673,19,FALSE)*$Q474*IFERROR((VLOOKUP(P474,Settings!$E$28:$F$33,2,FALSE)+1),1)</f>
        <v>0.18175953060979189</v>
      </c>
      <c r="AF474" s="57" cm="1">
        <f t="array" ref="AF474">VLOOKUP(B474,'Player Data'!$A1:$AE673,20,FALSE)*$Q474</f>
        <v>0</v>
      </c>
      <c r="AG474" s="57" cm="1">
        <f t="array" ref="AG474">VLOOKUP(B474,'Player Data'!$A1:$AE673,21,FALSE)*$Q474</f>
        <v>0</v>
      </c>
      <c r="AH474" s="59" cm="1">
        <f t="array" ref="AH474">VLOOKUP(B474,'Player Data'!$A1:$AE673,22,FALSE)</f>
        <v>0</v>
      </c>
      <c r="AI474" s="55"/>
      <c r="AJ474" s="57"/>
      <c r="AK474" s="57"/>
      <c r="AL474" s="57"/>
      <c r="AM474" s="57"/>
      <c r="AN474" s="57"/>
      <c r="AO474" s="57"/>
      <c r="AP474" s="57"/>
      <c r="AQ474" s="60"/>
      <c r="AR474" s="61"/>
      <c r="AS474" s="55"/>
    </row>
    <row r="475" spans="1:45" ht="21.25" customHeight="1" x14ac:dyDescent="0.15">
      <c r="A475" s="62">
        <f t="shared" si="7"/>
        <v>474</v>
      </c>
      <c r="B475" s="10" t="s">
        <v>603</v>
      </c>
      <c r="C475" s="47" t="s">
        <v>147</v>
      </c>
      <c r="D475" s="48" t="str" cm="1">
        <f t="array" ref="D475">VLOOKUP(B475,'Player Data'!A1:D673,4,FALSE)</f>
        <v>LW,RW</v>
      </c>
      <c r="E475" s="74" cm="1">
        <f t="array" ref="E475">VLOOKUP(B475,RW!A1:F210,3,FALSE)</f>
        <v>133</v>
      </c>
      <c r="F475" s="56" t="str" cm="1">
        <f t="array" ref="F475">VLOOKUP(B475,'Player Data'!A1:B673,2,FALSE)</f>
        <v>S.J</v>
      </c>
      <c r="G475" s="71" cm="1">
        <f t="array" ref="G475">VLOOKUP(B475,'Player Data'!A1:D673,3,FALSE)</f>
        <v>23</v>
      </c>
      <c r="H475" s="51" cm="1">
        <f t="array" ref="H475">IFERROR(VLOOKUP(B475,ADP!A1:F671,6,FALSE)/1000000,VLOOKUP(B475,ADP!A1:F671,6,FALSE))</f>
        <v>4.25</v>
      </c>
      <c r="I475" s="52">
        <f>IF(Settings!$E$15="POINTS",((R475*Q475)*Settings!$B$12)+(S475*Settings!$B$2)+(T475*Settings!$B$3)+(U475*Settings!$B$4)+(V475*Settings!$B$5)+(X475*Settings!$B$9)+(AA475*Settings!$B$6)+(W475*Settings!$B$8)+(AB475*Settings!$B$7)+(AC475*Settings!$B$14)+(AD475*Settings!$B$15)+(AE475*Settings!$B$16)+(AF475*Settings!$B$17)+(AG475*Settings!$B$18)+(Y475*Settings!$B$10)+(Z475*Settings!$B$11),VLOOKUP(B475,'Standard Deviations'!A$1:C$672,3,FALSE))</f>
        <v>185.60912833551512</v>
      </c>
      <c r="J475" s="53" cm="1">
        <f t="array" ref="J475">IF(D475="G",I475/AJ475,I475/Q475)</f>
        <v>2.3185925278475392</v>
      </c>
      <c r="K475" s="52" cm="1">
        <f t="array" ref="K475">IF(Settings!$E$18="C/LW/RW",VLOOKUP(B475,RW!A1:F210,6,FALSE),VLOOKUP(B475,F!A1:F407,6,FALSE))</f>
        <v>-209.33433635804235</v>
      </c>
      <c r="L475" s="54" cm="1">
        <f t="array" ref="L475">IFERROR(K475/H475,"N/A")</f>
        <v>-49.255137966598198</v>
      </c>
      <c r="M475" s="85" t="s">
        <v>832</v>
      </c>
      <c r="N475" s="85" t="str" cm="1">
        <f t="array" ref="N475">IFERROR(M475-A475,"N/A")</f>
        <v>N/A</v>
      </c>
      <c r="O475" s="55"/>
      <c r="P475" s="56" t="str" cm="1">
        <f t="array" ref="P475">_xlfn.XLOOKUP($B475,ADP!A2:A671,ADP!G2:G671)</f>
        <v xml:space="preserve"> </v>
      </c>
      <c r="Q475" s="57" cm="1">
        <f t="array" ref="Q475">IF(Settings!$E$12="YES",VLOOKUP(B475,'Player Data'!A1:E673,5,FALSE),84)</f>
        <v>80.052499999999995</v>
      </c>
      <c r="R475" s="84" cm="1">
        <f t="array" ref="R475">VLOOKUP(B475,'Player Data'!$A1:$AE673,6,FALSE)</f>
        <v>14.771576378870501</v>
      </c>
      <c r="S475" s="57" cm="1">
        <f t="array" ref="S475">VLOOKUP(B475,'Player Data'!$A1:$AE673,7,FALSE)*$Q475*IFERROR((VLOOKUP(P475,Settings!$E$28:$F$33,2,FALSE)+1),1)</f>
        <v>16.626637418613942</v>
      </c>
      <c r="T475" s="57" cm="1">
        <f t="array" ref="T475">VLOOKUP(B475,'Player Data'!$A1:$AE673,8,FALSE)*$Q475*IFERROR((VLOOKUP(P475,Settings!$E$28:$F$33,2,FALSE)+1),1)</f>
        <v>19.258245348868634</v>
      </c>
      <c r="U475" s="57" cm="1">
        <f t="array" ref="U475">SUM(S475:T475)</f>
        <v>35.88488276748258</v>
      </c>
      <c r="V475" s="57" cm="1">
        <f t="array" ref="V475">VLOOKUP(B475,'Player Data'!$A1:$AE673,10,FALSE)*$Q475*IFERROR(((VLOOKUP(P475,Settings!$E$28:$F$33,2,FALSE)/2)+1),1)</f>
        <v>104.49611087610208</v>
      </c>
      <c r="W475" s="57" cm="1">
        <f t="array" ref="W475">VLOOKUP(B475,'Player Data'!$A1:$AE673,11,FALSE)*$Q475*IFERROR((VLOOKUP(P475,Settings!$E$28:$F$33,2,FALSE)+1),1)</f>
        <v>0.21880212699222937</v>
      </c>
      <c r="X475" s="57" cm="1">
        <f t="array" ref="X475">VLOOKUP(B475,'Player Data'!$A1:$AE673,12,FALSE)*$Q475*IFERROR((VLOOKUP(P475,Settings!$E$28:$F$33,2,FALSE)+1),1)</f>
        <v>0.86985088516583287</v>
      </c>
      <c r="Y475" s="57" cm="1">
        <f t="array" ref="Y475">VLOOKUP(B475,'Player Data'!$A1:$AE673,13,FALSE)*$Q475</f>
        <v>2.1081981532560241</v>
      </c>
      <c r="Z475" s="57" cm="1">
        <f t="array" ref="Z475">VLOOKUP(B475,'Player Data'!$A1:$AE673,14,FALSE)*$Q475</f>
        <v>3.0168595856069409</v>
      </c>
      <c r="AA475" s="57" cm="1">
        <f t="array" ref="AA475">VLOOKUP(B475,'Player Data'!$A1:$AE673,15,FALSE)*$Q475</f>
        <v>43.639428248487164</v>
      </c>
      <c r="AB475" s="57" cm="1">
        <f t="array" ref="AB475">VLOOKUP(B475,'Player Data'!$A1:$AE673,16,FALSE)*$Q475</f>
        <v>75.697226885543273</v>
      </c>
      <c r="AC475" s="57" cm="1">
        <f t="array" ref="AC475">VLOOKUP(B475,'Player Data'!$A1:$AE673,17,FALSE)*$Q475*IFERROR((VLOOKUP(P475,Settings!$E$28:$F$33,2,FALSE)+1),1)</f>
        <v>-2.4169949681709291</v>
      </c>
      <c r="AD475" s="57" cm="1">
        <f t="array" ref="AD475">VLOOKUP(B475,'Player Data'!$A1:$AE673,18,FALSE)*$Q475</f>
        <v>16.773276196775715</v>
      </c>
      <c r="AE475" s="57" cm="1">
        <f t="array" ref="AE475">VLOOKUP(B475,'Player Data'!$A1:$AE673,19,FALSE)*$Q475*IFERROR((VLOOKUP(P475,Settings!$E$28:$F$33,2,FALSE)+1),1)</f>
        <v>2.3248950367038139</v>
      </c>
      <c r="AF475" s="57" cm="1">
        <f t="array" ref="AF475">VLOOKUP(B475,'Player Data'!$A1:$AE673,20,FALSE)*$Q475</f>
        <v>6.2136841029202667</v>
      </c>
      <c r="AG475" s="57" cm="1">
        <f t="array" ref="AG475">VLOOKUP(B475,'Player Data'!$A1:$AE673,21,FALSE)*$Q475</f>
        <v>15.164009031967426</v>
      </c>
      <c r="AH475" s="59" cm="1">
        <f t="array" ref="AH475">VLOOKUP(B475,'Player Data'!$A1:$AE673,22,FALSE)</f>
        <v>0.29066204962872</v>
      </c>
      <c r="AI475" s="55"/>
      <c r="AJ475" s="57"/>
      <c r="AK475" s="57"/>
      <c r="AL475" s="57"/>
      <c r="AM475" s="57"/>
      <c r="AN475" s="57"/>
      <c r="AO475" s="57"/>
      <c r="AP475" s="57"/>
      <c r="AQ475" s="60"/>
      <c r="AR475" s="61"/>
      <c r="AS475" s="55"/>
    </row>
    <row r="476" spans="1:45" ht="21.25" customHeight="1" x14ac:dyDescent="0.15">
      <c r="A476" s="62">
        <f t="shared" si="7"/>
        <v>475</v>
      </c>
      <c r="B476" s="10" t="s">
        <v>604</v>
      </c>
      <c r="C476" s="47" t="s">
        <v>147</v>
      </c>
      <c r="D476" s="48" t="str" cm="1">
        <f t="array" ref="D476">VLOOKUP(B476,'Player Data'!A1:D673,4,FALSE)</f>
        <v>LW,RW</v>
      </c>
      <c r="E476" s="74" cm="1">
        <f t="array" ref="E476">VLOOKUP(B476,RW!A1:F210,3,FALSE)</f>
        <v>134</v>
      </c>
      <c r="F476" s="50" t="str" cm="1">
        <f t="array" ref="F476">VLOOKUP(B476,'Player Data'!A1:B673,2,FALSE)</f>
        <v>ANA</v>
      </c>
      <c r="G476" s="66" cm="1">
        <f t="array" ref="G476">VLOOKUP(B476,'Player Data'!A1:D673,3,FALSE)</f>
        <v>36</v>
      </c>
      <c r="H476" s="67" cm="1">
        <f t="array" ref="H476">IFERROR(VLOOKUP(B476,ADP!A1:F671,6,FALSE)/1000000,VLOOKUP(B476,ADP!A1:F671,6,FALSE))</f>
        <v>6.25</v>
      </c>
      <c r="I476" s="52">
        <f>IF(Settings!$E$15="POINTS",((R476*Q476)*Settings!$B$12)+(S476*Settings!$B$2)+(T476*Settings!$B$3)+(U476*Settings!$B$4)+(V476*Settings!$B$5)+(X476*Settings!$B$9)+(AA476*Settings!$B$6)+(W476*Settings!$B$8)+(AB476*Settings!$B$7)+(AC476*Settings!$B$14)+(AD476*Settings!$B$15)+(AE476*Settings!$B$16)+(AF476*Settings!$B$17)+(AG476*Settings!$B$18)+(Y476*Settings!$B$10)+(Z476*Settings!$B$11),VLOOKUP(B476,'Standard Deviations'!A$1:C$672,3,FALSE))</f>
        <v>185.51107176424807</v>
      </c>
      <c r="J476" s="53" cm="1">
        <f t="array" ref="J476">IF(D476="G",I476/AJ476,I476/Q476)</f>
        <v>2.2587491996133946</v>
      </c>
      <c r="K476" s="52" cm="1">
        <f t="array" ref="K476">IF(Settings!$E$18="C/LW/RW",VLOOKUP(B476,RW!A1:F210,6,FALSE),VLOOKUP(B476,F!A1:F407,6,FALSE))</f>
        <v>-209.4323929293094</v>
      </c>
      <c r="L476" s="54" cm="1">
        <f t="array" ref="L476">IFERROR(K476/H476,"N/A")</f>
        <v>-33.509182868689507</v>
      </c>
      <c r="M476" s="85" t="s">
        <v>832</v>
      </c>
      <c r="N476" s="85" t="str" cm="1">
        <f t="array" ref="N476">IFERROR(M476-A476,"N/A")</f>
        <v>N/A</v>
      </c>
      <c r="O476" s="55"/>
      <c r="P476" s="56" t="str" cm="1">
        <f t="array" ref="P476">_xlfn.XLOOKUP($B476,ADP!A2:A671,ADP!G2:G671)</f>
        <v xml:space="preserve"> </v>
      </c>
      <c r="Q476" s="57" cm="1">
        <f t="array" ref="Q476">IF(Settings!$E$12="YES",VLOOKUP(B476,'Player Data'!A1:E673,5,FALSE),84)</f>
        <v>82.13</v>
      </c>
      <c r="R476" s="55" cm="1">
        <f t="array" ref="R476">VLOOKUP(B476,'Player Data'!$A1:$AE673,6,FALSE)</f>
        <v>16.868051505335401</v>
      </c>
      <c r="S476" s="57" cm="1">
        <f t="array" ref="S476">VLOOKUP(B476,'Player Data'!$A1:$AE673,7,FALSE)*$Q476*IFERROR((VLOOKUP(P476,Settings!$E$28:$F$33,2,FALSE)+1),1)</f>
        <v>14.425675390269896</v>
      </c>
      <c r="T476" s="57" cm="1">
        <f t="array" ref="T476">VLOOKUP(B476,'Player Data'!$A1:$AE673,8,FALSE)*$Q476*IFERROR((VLOOKUP(P476,Settings!$E$28:$F$33,2,FALSE)+1),1)</f>
        <v>16.36055605397631</v>
      </c>
      <c r="U476" s="57" cm="1">
        <f t="array" ref="U476">SUM(S476:T476)</f>
        <v>30.786231444246205</v>
      </c>
      <c r="V476" s="57" cm="1">
        <f t="array" ref="V476">VLOOKUP(B476,'Player Data'!$A1:$AE673,10,FALSE)*$Q476*IFERROR(((VLOOKUP(P476,Settings!$E$28:$F$33,2,FALSE)/2)+1),1)</f>
        <v>144.39123785795189</v>
      </c>
      <c r="W476" s="57" cm="1">
        <f t="array" ref="W476">VLOOKUP(B476,'Player Data'!$A1:$AE673,11,FALSE)*$Q476*IFERROR((VLOOKUP(P476,Settings!$E$28:$F$33,2,FALSE)+1),1)</f>
        <v>1.9724089519240546</v>
      </c>
      <c r="X476" s="57" cm="1">
        <f t="array" ref="X476">VLOOKUP(B476,'Player Data'!$A1:$AE673,12,FALSE)*$Q476*IFERROR((VLOOKUP(P476,Settings!$E$28:$F$33,2,FALSE)+1),1)</f>
        <v>4.1131812680804574</v>
      </c>
      <c r="Y476" s="57" cm="1">
        <f t="array" ref="Y476">VLOOKUP(B476,'Player Data'!$A1:$AE673,13,FALSE)*$Q476</f>
        <v>0.40018028157960478</v>
      </c>
      <c r="Z476" s="57" cm="1">
        <f t="array" ref="Z476">VLOOKUP(B476,'Player Data'!$A1:$AE673,14,FALSE)*$Q476</f>
        <v>1.3087340974622188</v>
      </c>
      <c r="AA476" s="57" cm="1">
        <f t="array" ref="AA476">VLOOKUP(B476,'Player Data'!$A1:$AE673,15,FALSE)*$Q476</f>
        <v>31.06968627398162</v>
      </c>
      <c r="AB476" s="57" cm="1">
        <f t="array" ref="AB476">VLOOKUP(B476,'Player Data'!$A1:$AE673,16,FALSE)*$Q476</f>
        <v>75.251259254217658</v>
      </c>
      <c r="AC476" s="57" cm="1">
        <f t="array" ref="AC476">VLOOKUP(B476,'Player Data'!$A1:$AE673,17,FALSE)*$Q476*IFERROR((VLOOKUP(P476,Settings!$E$28:$F$33,2,FALSE)+1),1)</f>
        <v>-2.6608864882045373</v>
      </c>
      <c r="AD476" s="57" cm="1">
        <f t="array" ref="AD476">VLOOKUP(B476,'Player Data'!$A1:$AE673,18,FALSE)*$Q476</f>
        <v>34.377977848350241</v>
      </c>
      <c r="AE476" s="57" cm="1">
        <f t="array" ref="AE476">VLOOKUP(B476,'Player Data'!$A1:$AE673,19,FALSE)*$Q476*IFERROR((VLOOKUP(P476,Settings!$E$28:$F$33,2,FALSE)+1),1)</f>
        <v>2.1075498149633436</v>
      </c>
      <c r="AF476" s="57" cm="1">
        <f t="array" ref="AF476">VLOOKUP(B476,'Player Data'!$A1:$AE673,20,FALSE)*$Q476</f>
        <v>34.402428379568043</v>
      </c>
      <c r="AG476" s="57" cm="1">
        <f t="array" ref="AG476">VLOOKUP(B476,'Player Data'!$A1:$AE673,21,FALSE)*$Q476</f>
        <v>64.105098471658124</v>
      </c>
      <c r="AH476" s="59" cm="1">
        <f t="array" ref="AH476">VLOOKUP(B476,'Player Data'!$A1:$AE673,22,FALSE)</f>
        <v>0.34923654546241201</v>
      </c>
      <c r="AI476" s="55"/>
      <c r="AJ476" s="57"/>
      <c r="AK476" s="57"/>
      <c r="AL476" s="57"/>
      <c r="AM476" s="57"/>
      <c r="AN476" s="57"/>
      <c r="AO476" s="57"/>
      <c r="AP476" s="57"/>
      <c r="AQ476" s="60"/>
      <c r="AR476" s="61"/>
      <c r="AS476" s="55"/>
    </row>
    <row r="477" spans="1:45" ht="21.25" customHeight="1" x14ac:dyDescent="0.15">
      <c r="A477" s="62">
        <f t="shared" si="7"/>
        <v>476</v>
      </c>
      <c r="B477" s="10" t="s">
        <v>605</v>
      </c>
      <c r="C477" s="47" t="s">
        <v>147</v>
      </c>
      <c r="D477" s="48" t="str" cm="1">
        <f t="array" ref="D477">VLOOKUP(B477,'Player Data'!A1:D673,4,FALSE)</f>
        <v>C</v>
      </c>
      <c r="E477" s="49" cm="1">
        <f t="array" ref="E477">VLOOKUP(B477,'C'!A1:C210,3,FALSE)</f>
        <v>122</v>
      </c>
      <c r="F477" s="65" t="str" cm="1">
        <f t="array" ref="F477">VLOOKUP(B477,'Player Data'!A1:B673,2,FALSE)</f>
        <v>NSH</v>
      </c>
      <c r="G477" s="11" cm="1">
        <f t="array" ref="G477">VLOOKUP(B477,'Player Data'!A1:D673,3,FALSE)</f>
        <v>26</v>
      </c>
      <c r="H477" s="51" cm="1">
        <f t="array" ref="H477">IFERROR(VLOOKUP(B477,ADP!A1:F671,6,FALSE)/1000000,VLOOKUP(B477,ADP!A1:F671,6,FALSE))</f>
        <v>4.5</v>
      </c>
      <c r="I477" s="52">
        <f>IF(Settings!$E$15="POINTS",((R477*Q477)*Settings!$B$12)+(S477*Settings!$B$2)+(T477*Settings!$B$3)+(U477*Settings!$B$4)+(V477*Settings!$B$5)+(X477*Settings!$B$9)+(AA477*Settings!$B$6)+(W477*Settings!$B$8)+(AB477*Settings!$B$7)+(AC477*Settings!$B$14)+(AD477*Settings!$B$15)+(AE477*Settings!$B$16)+(AF477*Settings!$B$17)+(AG477*Settings!$B$18)+(Y477*Settings!$B$10)+(Z477*Settings!$B$11),VLOOKUP(B477,'Standard Deviations'!A$1:C$672,3,FALSE))</f>
        <v>176.99883451490322</v>
      </c>
      <c r="J477" s="53" cm="1">
        <f t="array" ref="J477">IF(D477="G",I477/AJ477,I477/Q477)</f>
        <v>2.1623460328007233</v>
      </c>
      <c r="K477" s="52" cm="1">
        <f t="array" ref="K477">IF(Settings!$E$18="C/LW/RW",VLOOKUP(B477,'C'!A1:F210,6,FALSE),VLOOKUP(B477,F!A1:F407,6,FALSE))</f>
        <v>-209.53637187817978</v>
      </c>
      <c r="L477" s="54" cm="1">
        <f t="array" ref="L477">IFERROR(K477/H477,"N/A")</f>
        <v>-46.563638195151064</v>
      </c>
      <c r="M477" s="85" t="s">
        <v>832</v>
      </c>
      <c r="N477" s="85" t="str" cm="1">
        <f t="array" ref="N477">IFERROR(M477-A477,"N/A")</f>
        <v>N/A</v>
      </c>
      <c r="O477" s="55"/>
      <c r="P477" s="56" t="str" cm="1">
        <f t="array" ref="P477">_xlfn.XLOOKUP($B477,ADP!A2:A671,ADP!G2:G671)</f>
        <v xml:space="preserve"> </v>
      </c>
      <c r="Q477" s="57" cm="1">
        <f t="array" ref="Q477">IF(Settings!$E$12="YES",VLOOKUP(B477,'Player Data'!A1:E673,5,FALSE),84)</f>
        <v>81.855000000000004</v>
      </c>
      <c r="R477" s="82" cm="1">
        <f t="array" ref="R477">VLOOKUP(B477,'Player Data'!$A1:$AE673,6,FALSE)</f>
        <v>15.643106562044499</v>
      </c>
      <c r="S477" s="57" cm="1">
        <f t="array" ref="S477">VLOOKUP(B477,'Player Data'!$A1:$AE673,7,FALSE)*$Q477*IFERROR((VLOOKUP(P477,Settings!$E$28:$F$33,2,FALSE)+1),1)</f>
        <v>11.091883474918921</v>
      </c>
      <c r="T477" s="57" cm="1">
        <f t="array" ref="T477">VLOOKUP(B477,'Player Data'!$A1:$AE673,8,FALSE)*$Q477*IFERROR((VLOOKUP(P477,Settings!$E$28:$F$33,2,FALSE)+1),1)</f>
        <v>17.893366268781893</v>
      </c>
      <c r="U477" s="57" cm="1">
        <f t="array" ref="U477">SUM(S477:T477)</f>
        <v>28.985249743700813</v>
      </c>
      <c r="V477" s="57" cm="1">
        <f t="array" ref="V477">VLOOKUP(B477,'Player Data'!$A1:$AE673,10,FALSE)*$Q477*IFERROR(((VLOOKUP(P477,Settings!$E$28:$F$33,2,FALSE)/2)+1),1)</f>
        <v>114.65148148738605</v>
      </c>
      <c r="W477" s="57" cm="1">
        <f t="array" ref="W477">VLOOKUP(B477,'Player Data'!$A1:$AE673,11,FALSE)*$Q477*IFERROR((VLOOKUP(P477,Settings!$E$28:$F$33,2,FALSE)+1),1)</f>
        <v>0.61236198631609229</v>
      </c>
      <c r="X477" s="57" cm="1">
        <f t="array" ref="X477">VLOOKUP(B477,'Player Data'!$A1:$AE673,12,FALSE)*$Q477*IFERROR((VLOOKUP(P477,Settings!$E$28:$F$33,2,FALSE)+1),1)</f>
        <v>1.6145253672138298</v>
      </c>
      <c r="Y477" s="57" cm="1">
        <f t="array" ref="Y477">VLOOKUP(B477,'Player Data'!$A1:$AE673,13,FALSE)*$Q477</f>
        <v>0.15700935530977608</v>
      </c>
      <c r="Z477" s="57" cm="1">
        <f t="array" ref="Z477">VLOOKUP(B477,'Player Data'!$A1:$AE673,14,FALSE)*$Q477</f>
        <v>0.28300035387125588</v>
      </c>
      <c r="AA477" s="57" cm="1">
        <f t="array" ref="AA477">VLOOKUP(B477,'Player Data'!$A1:$AE673,15,FALSE)*$Q477</f>
        <v>61.639637638045286</v>
      </c>
      <c r="AB477" s="57" cm="1">
        <f t="array" ref="AB477">VLOOKUP(B477,'Player Data'!$A1:$AE673,16,FALSE)*$Q477</f>
        <v>56.149509241502372</v>
      </c>
      <c r="AC477" s="57" cm="1">
        <f t="array" ref="AC477">VLOOKUP(B477,'Player Data'!$A1:$AE673,17,FALSE)*$Q477*IFERROR((VLOOKUP(P477,Settings!$E$28:$F$33,2,FALSE)+1),1)</f>
        <v>-2.4615487170588493</v>
      </c>
      <c r="AD477" s="57" cm="1">
        <f t="array" ref="AD477">VLOOKUP(B477,'Player Data'!$A1:$AE673,18,FALSE)*$Q477</f>
        <v>34.172865880614921</v>
      </c>
      <c r="AE477" s="57" cm="1">
        <f t="array" ref="AE477">VLOOKUP(B477,'Player Data'!$A1:$AE673,19,FALSE)*$Q477*IFERROR((VLOOKUP(P477,Settings!$E$28:$F$33,2,FALSE)+1),1)</f>
        <v>1.5365033421336063</v>
      </c>
      <c r="AF477" s="57" cm="1">
        <f t="array" ref="AF477">VLOOKUP(B477,'Player Data'!$A1:$AE673,20,FALSE)*$Q477</f>
        <v>590.94053543568486</v>
      </c>
      <c r="AG477" s="57" cm="1">
        <f t="array" ref="AG477">VLOOKUP(B477,'Player Data'!$A1:$AE673,21,FALSE)*$Q477</f>
        <v>438.69698803158769</v>
      </c>
      <c r="AH477" s="59" cm="1">
        <f t="array" ref="AH477">VLOOKUP(B477,'Player Data'!$A1:$AE673,22,FALSE)</f>
        <v>0.57393065226072104</v>
      </c>
      <c r="AI477" s="55"/>
      <c r="AJ477" s="57"/>
      <c r="AK477" s="57"/>
      <c r="AL477" s="57"/>
      <c r="AM477" s="57"/>
      <c r="AN477" s="57"/>
      <c r="AO477" s="57"/>
      <c r="AP477" s="57"/>
      <c r="AQ477" s="60"/>
      <c r="AR477" s="61"/>
      <c r="AS477" s="55"/>
    </row>
    <row r="478" spans="1:45" ht="21.25" customHeight="1" x14ac:dyDescent="0.15">
      <c r="A478" s="62">
        <f t="shared" si="7"/>
        <v>477</v>
      </c>
      <c r="B478" s="10" t="s">
        <v>606</v>
      </c>
      <c r="C478" s="47" t="s">
        <v>147</v>
      </c>
      <c r="D478" s="48" t="str" cm="1">
        <f t="array" ref="D478">VLOOKUP(B478,'Player Data'!A1:D673,4,FALSE)</f>
        <v>LW,RW</v>
      </c>
      <c r="E478" s="74" cm="1">
        <f t="array" ref="E478">VLOOKUP(B478,RW!A1:F210,3,FALSE)</f>
        <v>135</v>
      </c>
      <c r="F478" s="18" t="str" cm="1">
        <f t="array" ref="F478">VLOOKUP(B478,'Player Data'!A1:B673,2,FALSE)</f>
        <v>OTT</v>
      </c>
      <c r="G478" s="11" cm="1">
        <f t="array" ref="G478">VLOOKUP(B478,'Player Data'!A1:D673,3,FALSE)</f>
        <v>27</v>
      </c>
      <c r="H478" s="51" cm="1">
        <f t="array" ref="H478">IFERROR(VLOOKUP(B478,ADP!A1:F671,6,FALSE)/1000000,VLOOKUP(B478,ADP!A1:F671,6,FALSE))</f>
        <v>4.2750000000000004</v>
      </c>
      <c r="I478" s="52">
        <f>IF(Settings!$E$15="POINTS",((R478*Q478)*Settings!$B$12)+(S478*Settings!$B$2)+(T478*Settings!$B$3)+(U478*Settings!$B$4)+(V478*Settings!$B$5)+(X478*Settings!$B$9)+(AA478*Settings!$B$6)+(W478*Settings!$B$8)+(AB478*Settings!$B$7)+(AC478*Settings!$B$14)+(AD478*Settings!$B$15)+(AE478*Settings!$B$16)+(AF478*Settings!$B$17)+(AG478*Settings!$B$18)+(Y478*Settings!$B$10)+(Z478*Settings!$B$11),VLOOKUP(B478,'Standard Deviations'!A$1:C$672,3,FALSE))</f>
        <v>185.32708370831983</v>
      </c>
      <c r="J478" s="53" cm="1">
        <f t="array" ref="J478">IF(D478="G",I478/AJ478,I478/Q478)</f>
        <v>2.198292909178813</v>
      </c>
      <c r="K478" s="52" cm="1">
        <f t="array" ref="K478">IF(Settings!$E$18="C/LW/RW",VLOOKUP(B478,RW!A1:F210,6,FALSE),VLOOKUP(B478,F!A1:F407,6,FALSE))</f>
        <v>-209.61638098523764</v>
      </c>
      <c r="L478" s="54" cm="1">
        <f t="array" ref="L478">IFERROR(K478/H478,"N/A")</f>
        <v>-49.033071575494183</v>
      </c>
      <c r="M478" s="85" t="s">
        <v>832</v>
      </c>
      <c r="N478" s="85" t="str" cm="1">
        <f t="array" ref="N478">IFERROR(M478-A478,"N/A")</f>
        <v>N/A</v>
      </c>
      <c r="O478" s="55"/>
      <c r="P478" s="56" t="str" cm="1">
        <f t="array" ref="P478">_xlfn.XLOOKUP($B478,ADP!A2:A671,ADP!G2:G671)</f>
        <v xml:space="preserve"> </v>
      </c>
      <c r="Q478" s="57" cm="1">
        <f t="array" ref="Q478">IF(Settings!$E$12="YES",VLOOKUP(B478,'Player Data'!A1:E673,5,FALSE),84)</f>
        <v>84.305000000000007</v>
      </c>
      <c r="R478" s="55" cm="1">
        <f t="array" ref="R478">VLOOKUP(B478,'Player Data'!$A1:$AE673,6,FALSE)</f>
        <v>12.752470854268299</v>
      </c>
      <c r="S478" s="57" cm="1">
        <f t="array" ref="S478">VLOOKUP(B478,'Player Data'!$A1:$AE673,7,FALSE)*$Q478*IFERROR((VLOOKUP(P478,Settings!$E$28:$F$33,2,FALSE)+1),1)</f>
        <v>14.932234100523122</v>
      </c>
      <c r="T478" s="57" cm="1">
        <f t="array" ref="T478">VLOOKUP(B478,'Player Data'!$A1:$AE673,8,FALSE)*$Q478*IFERROR((VLOOKUP(P478,Settings!$E$28:$F$33,2,FALSE)+1),1)</f>
        <v>15.559229009036498</v>
      </c>
      <c r="U478" s="57" cm="1">
        <f t="array" ref="U478">SUM(S478:T478)</f>
        <v>30.491463109559618</v>
      </c>
      <c r="V478" s="57" cm="1">
        <f t="array" ref="V478">VLOOKUP(B478,'Player Data'!$A1:$AE673,10,FALSE)*$Q478*IFERROR(((VLOOKUP(P478,Settings!$E$28:$F$33,2,FALSE)/2)+1),1)</f>
        <v>133.61221547092171</v>
      </c>
      <c r="W478" s="57" cm="1">
        <f t="array" ref="W478">VLOOKUP(B478,'Player Data'!$A1:$AE673,11,FALSE)*$Q478*IFERROR((VLOOKUP(P478,Settings!$E$28:$F$33,2,FALSE)+1),1)</f>
        <v>2.796413457355686</v>
      </c>
      <c r="X478" s="57" cm="1">
        <f t="array" ref="X478">VLOOKUP(B478,'Player Data'!$A1:$AE673,12,FALSE)*$Q478*IFERROR((VLOOKUP(P478,Settings!$E$28:$F$33,2,FALSE)+1),1)</f>
        <v>5.3109180468970321</v>
      </c>
      <c r="Y478" s="57" cm="1">
        <f t="array" ref="Y478">VLOOKUP(B478,'Player Data'!$A1:$AE673,13,FALSE)*$Q478</f>
        <v>4.134852659033425E-2</v>
      </c>
      <c r="Z478" s="57" cm="1">
        <f t="array" ref="Z478">VLOOKUP(B478,'Player Data'!$A1:$AE673,14,FALSE)*$Q478</f>
        <v>5.1843413079448078E-2</v>
      </c>
      <c r="AA478" s="57" cm="1">
        <f t="array" ref="AA478">VLOOKUP(B478,'Player Data'!$A1:$AE673,15,FALSE)*$Q478</f>
        <v>43.367650368407347</v>
      </c>
      <c r="AB478" s="57" cm="1">
        <f t="array" ref="AB478">VLOOKUP(B478,'Player Data'!$A1:$AE673,16,FALSE)*$Q478</f>
        <v>135.32065772991771</v>
      </c>
      <c r="AC478" s="57" cm="1">
        <f t="array" ref="AC478">VLOOKUP(B478,'Player Data'!$A1:$AE673,17,FALSE)*$Q478*IFERROR((VLOOKUP(P478,Settings!$E$28:$F$33,2,FALSE)+1),1)</f>
        <v>2.3742138270168396</v>
      </c>
      <c r="AD478" s="57" cm="1">
        <f t="array" ref="AD478">VLOOKUP(B478,'Player Data'!$A1:$AE673,18,FALSE)*$Q478</f>
        <v>18.39594660442674</v>
      </c>
      <c r="AE478" s="57" cm="1">
        <f t="array" ref="AE478">VLOOKUP(B478,'Player Data'!$A1:$AE673,19,FALSE)*$Q478*IFERROR((VLOOKUP(P478,Settings!$E$28:$F$33,2,FALSE)+1),1)</f>
        <v>2.6487570159770288</v>
      </c>
      <c r="AF478" s="57" cm="1">
        <f t="array" ref="AF478">VLOOKUP(B478,'Player Data'!$A1:$AE673,20,FALSE)*$Q478</f>
        <v>10.383713702095752</v>
      </c>
      <c r="AG478" s="57" cm="1">
        <f t="array" ref="AG478">VLOOKUP(B478,'Player Data'!$A1:$AE673,21,FALSE)*$Q478</f>
        <v>13.071401917017795</v>
      </c>
      <c r="AH478" s="59" cm="1">
        <f t="array" ref="AH478">VLOOKUP(B478,'Player Data'!$A1:$AE673,22,FALSE)</f>
        <v>0.442705713786123</v>
      </c>
      <c r="AI478" s="55"/>
      <c r="AJ478" s="57"/>
      <c r="AK478" s="57"/>
      <c r="AL478" s="57"/>
      <c r="AM478" s="57"/>
      <c r="AN478" s="57"/>
      <c r="AO478" s="57"/>
      <c r="AP478" s="57"/>
      <c r="AQ478" s="60"/>
      <c r="AR478" s="61"/>
      <c r="AS478" s="55"/>
    </row>
    <row r="479" spans="1:45" ht="21.25" customHeight="1" x14ac:dyDescent="0.15">
      <c r="A479" s="62">
        <f t="shared" si="7"/>
        <v>478</v>
      </c>
      <c r="B479" s="10" t="s">
        <v>607</v>
      </c>
      <c r="C479" s="76"/>
      <c r="D479" s="48" t="str" cm="1">
        <f t="array" ref="D479">VLOOKUP(B479,'Player Data'!A1:D673,4,FALSE)</f>
        <v>G</v>
      </c>
      <c r="E479" s="77" cm="1">
        <f t="array" ref="E479">VLOOKUP(B479,G!A1:D66,3,FALSE)</f>
        <v>49</v>
      </c>
      <c r="F479" s="50" t="str" cm="1">
        <f t="array" ref="F479">VLOOKUP(B479,'Player Data'!A1:B673,2,FALSE)</f>
        <v>UTA</v>
      </c>
      <c r="G479" s="71" cm="1">
        <f t="array" ref="G479">VLOOKUP(B479,'Player Data'!A1:D673,3,FALSE)</f>
        <v>23</v>
      </c>
      <c r="H479" s="51" cm="1">
        <f t="array" ref="H479">IFERROR(VLOOKUP(B479,ADP!A1:F671,6,FALSE)/1000000,VLOOKUP(B479,ADP!A1:F671,6,FALSE))</f>
        <v>2</v>
      </c>
      <c r="I479" s="52">
        <f>IF(Settings!$E$15="POINTS",(AJ479*Settings!$B$29)+(AK479*Settings!$B$21)+(AL479*Settings!$B$22)+(AN479*Settings!$B$24)+(AO479*Settings!$B$25)+(AP479*Settings!$B$27)+(AM479*Settings!$B$23),VLOOKUP(B479,'Standard Deviations'!A$1:C$672,3,FALSE))</f>
        <v>149.39557451323867</v>
      </c>
      <c r="J479" s="53" cm="1">
        <f t="array" ref="J479">IF(D479="G",I479/AJ479,I479/Q479)</f>
        <v>5.9758229805295464</v>
      </c>
      <c r="K479" s="52" cm="1">
        <f t="array" ref="K479">VLOOKUP(B479,G!A1:F66,6,FALSE)</f>
        <v>-209.76233341699935</v>
      </c>
      <c r="L479" s="54" cm="1">
        <f t="array" ref="L479">IFERROR(K479/H479,"N/A")</f>
        <v>-104.88116670849968</v>
      </c>
      <c r="M479" s="85" t="s">
        <v>832</v>
      </c>
      <c r="N479" s="85" t="str" cm="1">
        <f t="array" ref="N479">IFERROR(M479-A479,"N/A")</f>
        <v>N/A</v>
      </c>
      <c r="O479" s="55"/>
      <c r="P479" s="56" t="str" cm="1">
        <f t="array" ref="P479">_xlfn.XLOOKUP($B479,ADP!A2:A671,ADP!G2:G671)</f>
        <v>+</v>
      </c>
      <c r="Q479" s="57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9"/>
      <c r="AI479" s="55"/>
      <c r="AJ479" s="78" cm="1">
        <f t="array" ref="AJ479">VLOOKUP(B479,'Player Data'!$A1:$AE673,24,FALSE)</f>
        <v>25</v>
      </c>
      <c r="AK479" s="57" cm="1">
        <f t="array" ref="AK479">VLOOKUP(B479,'Player Data'!$A1:$AE673,25,FALSE)*$AJ479*IFERROR((VLOOKUP(P479,Settings!$E$28:$F$33,2,FALSE)+1),1)</f>
        <v>13.120159666776225</v>
      </c>
      <c r="AL479" s="57" cm="1">
        <f t="array" ref="AL479">AJ479-AK479-AM479</f>
        <v>8.7536878729323995</v>
      </c>
      <c r="AM479" s="57" cm="1">
        <f t="array" ref="AM479">VLOOKUP(B479,'Player Data'!$A1:$AE673,27,FALSE)*$AJ479</f>
        <v>3.1261524602913751</v>
      </c>
      <c r="AN479" s="57" cm="1">
        <f t="array" ref="AN479">VLOOKUP(B479,'Player Data'!$A1:$AE673,28,FALSE)*AJ479</f>
        <v>1.1402391428250425</v>
      </c>
      <c r="AO479" s="57" cm="1">
        <f t="array" ref="AO479">VLOOKUP(B479,'Player Data'!$A1:$AE673,29,FALSE)*$AJ479*IFERROR((VLOOKUP(P479,Settings!$E$28:$F$33,2,FALSE)/4)+1,1)</f>
        <v>654.39093104856806</v>
      </c>
      <c r="AP479" s="57" cm="1">
        <f t="array" ref="AP479">VLOOKUP(B479,'Player Data'!$A1:$AE673,31,FALSE)*$AJ479*(IFERROR(1-(VLOOKUP(P479,Settings!$E$28:$F$33,2,FALSE)/4),1))</f>
        <v>72.76686971806636</v>
      </c>
      <c r="AQ479" s="60" cm="1">
        <f t="array" ref="AQ479">1-(AP479/(AO479+AP479))</f>
        <v>0.89992974064040976</v>
      </c>
      <c r="AR479" s="61" cm="1">
        <f t="array" ref="AR479">AP479/AJ479</f>
        <v>2.9106747887226545</v>
      </c>
      <c r="AS479" s="55"/>
    </row>
    <row r="480" spans="1:45" ht="21.25" customHeight="1" x14ac:dyDescent="0.15">
      <c r="A480" s="62">
        <f t="shared" si="7"/>
        <v>479</v>
      </c>
      <c r="B480" s="10" t="s">
        <v>608</v>
      </c>
      <c r="C480" s="47" t="s">
        <v>147</v>
      </c>
      <c r="D480" s="48" t="str" cm="1">
        <f t="array" ref="D480">VLOOKUP(B480,'Player Data'!A1:D673,4,FALSE)</f>
        <v>D</v>
      </c>
      <c r="E480" s="68" cm="1">
        <f t="array" ref="E480">VLOOKUP(B480,D!A1:C204,3,FALSE)</f>
        <v>194</v>
      </c>
      <c r="F480" s="69" t="str" cm="1">
        <f t="array" ref="F480">VLOOKUP(B480,'Player Data'!A1:B673,2,FALSE)</f>
        <v>MTL</v>
      </c>
      <c r="G480" s="71" cm="1">
        <f t="array" ref="G480">VLOOKUP(B480,'Player Data'!A1:D673,3,FALSE)</f>
        <v>24</v>
      </c>
      <c r="H480" s="67" cm="1">
        <f t="array" ref="H480">IFERROR(VLOOKUP(B480,ADP!A1:F671,6,FALSE)/1000000,VLOOKUP(B480,ADP!A1:F671,6,FALSE))</f>
        <v>1.4119999999999999</v>
      </c>
      <c r="I480" s="52">
        <f>IF(Settings!$E$15="POINTS",((R480*Q480)*Settings!$B$12)+(S480*Settings!$B$2)+(T480*Settings!$B$3)+(U480*Settings!$B$4)+(V480*Settings!$B$5)+(X480*Settings!$B$9)+(AA480*Settings!$B$6)+(W480*Settings!$B$8)+(AB480*Settings!$B$7)+(AC480*Settings!$B$14)+(AD480*Settings!$B$15)+(AE480*Settings!$B$16)+(AF480*Settings!$B$17)+(AG480*Settings!$B$18)+(U480*Settings!$B$13)+(Y480*Settings!$B$10)+(Z480*Settings!$B$11),VLOOKUP(B480,'Standard Deviations'!A$1:C$672,3,FALSE))</f>
        <v>96.443270882992024</v>
      </c>
      <c r="J480" s="53" cm="1">
        <f t="array" ref="J480">IF(D480="G",I480/AJ480,I480/Q480)</f>
        <v>1.3073065286250571</v>
      </c>
      <c r="K480" s="52" cm="1">
        <f t="array" ref="K480">VLOOKUP(B480,D!A1:F204,6,FALSE)</f>
        <v>-210.21059646160205</v>
      </c>
      <c r="L480" s="54" cm="1">
        <f t="array" ref="L480">IFERROR(K480/H480,"N/A")</f>
        <v>-148.87436010028475</v>
      </c>
      <c r="M480" s="85" t="s">
        <v>832</v>
      </c>
      <c r="N480" s="85" t="str" cm="1">
        <f t="array" ref="N480">IFERROR(M480-A480,"N/A")</f>
        <v>N/A</v>
      </c>
      <c r="O480" s="55"/>
      <c r="P480" s="56" t="str" cm="1">
        <f t="array" ref="P480">_xlfn.XLOOKUP($B480,ADP!A2:A671,ADP!G2:G671)</f>
        <v xml:space="preserve"> </v>
      </c>
      <c r="Q480" s="57" cm="1">
        <f t="array" ref="Q480">IF(Settings!$E$12="YES",VLOOKUP(B480,'Player Data'!A1:E673,5,FALSE),84)</f>
        <v>73.772499999999994</v>
      </c>
      <c r="R480" s="55" cm="1">
        <f t="array" ref="R480">VLOOKUP(B480,'Player Data'!$A1:$AE673,6,FALSE)</f>
        <v>13.9392960254189</v>
      </c>
      <c r="S480" s="57" cm="1">
        <f t="array" ref="S480">VLOOKUP(B480,'Player Data'!$A1:$AE673,7,FALSE)*$Q480*IFERROR((VLOOKUP(P480,Settings!$E$28:$F$33,2,FALSE)+1),1)</f>
        <v>3.0075588816578902</v>
      </c>
      <c r="T480" s="57" cm="1">
        <f t="array" ref="T480">VLOOKUP(B480,'Player Data'!$A1:$AE673,8,FALSE)*$Q480*IFERROR((VLOOKUP(P480,Settings!$E$28:$F$33,2,FALSE)+1),1)</f>
        <v>12.068177773510966</v>
      </c>
      <c r="U480" s="57" cm="1">
        <f t="array" ref="U480">SUM(S480:T480)</f>
        <v>15.075736655168857</v>
      </c>
      <c r="V480" s="57" cm="1">
        <f t="array" ref="V480">VLOOKUP(B480,'Player Data'!$A1:$AE673,10,FALSE)*$Q480*IFERROR(((VLOOKUP(P480,Settings!$E$28:$F$33,2,FALSE)/2)+1),1)</f>
        <v>47.136614231704989</v>
      </c>
      <c r="W480" s="57" cm="1">
        <f t="array" ref="W480">VLOOKUP(B480,'Player Data'!$A1:$AE673,11,FALSE)*$Q480*IFERROR((VLOOKUP(P480,Settings!$E$28:$F$33,2,FALSE)+1),1)</f>
        <v>2.708424770087885E-3</v>
      </c>
      <c r="X480" s="57" cm="1">
        <f t="array" ref="X480">VLOOKUP(B480,'Player Data'!$A1:$AE673,12,FALSE)*$Q480*IFERROR((VLOOKUP(P480,Settings!$E$28:$F$33,2,FALSE)+1),1)</f>
        <v>2.0073699596880965E-2</v>
      </c>
      <c r="Y480" s="57" cm="1">
        <f t="array" ref="Y480">VLOOKUP(B480,'Player Data'!$A1:$AE673,13,FALSE)*$Q480</f>
        <v>2.4594412305619555E-3</v>
      </c>
      <c r="Z480" s="57" cm="1">
        <f t="array" ref="Z480">VLOOKUP(B480,'Player Data'!$A1:$AE673,14,FALSE)*$Q480</f>
        <v>8.0222053432709266E-3</v>
      </c>
      <c r="AA480" s="57" cm="1">
        <f t="array" ref="AA480">VLOOKUP(B480,'Player Data'!$A1:$AE673,15,FALSE)*$Q480</f>
        <v>55.239315793385622</v>
      </c>
      <c r="AB480" s="57" cm="1">
        <f t="array" ref="AB480">VLOOKUP(B480,'Player Data'!$A1:$AE673,16,FALSE)*$Q480</f>
        <v>127.65714042164278</v>
      </c>
      <c r="AC480" s="57" cm="1">
        <f t="array" ref="AC480">VLOOKUP(B480,'Player Data'!$A1:$AE673,17,FALSE)*$Q480*IFERROR((VLOOKUP(P480,Settings!$E$28:$F$33,2,FALSE)+1),1)</f>
        <v>2.2969172788634671</v>
      </c>
      <c r="AD480" s="57" cm="1">
        <f t="array" ref="AD480">VLOOKUP(B480,'Player Data'!$A1:$AE673,18,FALSE)*$Q480</f>
        <v>41.37558147418023</v>
      </c>
      <c r="AE480" s="57" cm="1">
        <f t="array" ref="AE480">VLOOKUP(B480,'Player Data'!$A1:$AE673,19,FALSE)*$Q480*IFERROR((VLOOKUP(P480,Settings!$E$28:$F$33,2,FALSE)+1),1)</f>
        <v>0.50072894027152115</v>
      </c>
      <c r="AF480" s="57" cm="1">
        <f t="array" ref="AF480">VLOOKUP(B480,'Player Data'!$A1:$AE673,20,FALSE)*$Q480</f>
        <v>0</v>
      </c>
      <c r="AG480" s="57" cm="1">
        <f t="array" ref="AG480">VLOOKUP(B480,'Player Data'!$A1:$AE673,21,FALSE)*$Q480</f>
        <v>0</v>
      </c>
      <c r="AH480" s="59" cm="1">
        <f t="array" ref="AH480">VLOOKUP(B480,'Player Data'!$A1:$AE673,22,FALSE)</f>
        <v>0</v>
      </c>
      <c r="AI480" s="55"/>
      <c r="AJ480" s="57"/>
      <c r="AK480" s="57"/>
      <c r="AL480" s="57"/>
      <c r="AM480" s="57"/>
      <c r="AN480" s="57"/>
      <c r="AO480" s="57"/>
      <c r="AP480" s="57"/>
      <c r="AQ480" s="60"/>
      <c r="AR480" s="61"/>
      <c r="AS480" s="55"/>
    </row>
    <row r="481" spans="1:45" ht="21.25" customHeight="1" x14ac:dyDescent="0.15">
      <c r="A481" s="62">
        <f t="shared" si="7"/>
        <v>480</v>
      </c>
      <c r="B481" s="10" t="s">
        <v>609</v>
      </c>
      <c r="C481" s="47" t="s">
        <v>147</v>
      </c>
      <c r="D481" s="48" t="str" cm="1">
        <f t="array" ref="D481">VLOOKUP(B481,'Player Data'!A1:D673,4,FALSE)</f>
        <v>C,LW,RW</v>
      </c>
      <c r="E481" s="74" cm="1">
        <f t="array" ref="E481">VLOOKUP(B481,RW!A1:F210,3,FALSE)</f>
        <v>136</v>
      </c>
      <c r="F481" s="63" t="str" cm="1">
        <f t="array" ref="F481">VLOOKUP(B481,'Player Data'!A1:B673,2,FALSE)</f>
        <v>CGY</v>
      </c>
      <c r="G481" s="71" cm="1">
        <f t="array" ref="G481">VLOOKUP(B481,'Player Data'!A1:D673,3,FALSE)</f>
        <v>24</v>
      </c>
      <c r="H481" s="51" cm="1">
        <f t="array" ref="H481">IFERROR(VLOOKUP(B481,ADP!A1:F671,6,FALSE)/1000000,VLOOKUP(B481,ADP!A1:F671,6,FALSE))</f>
        <v>3.7749999999999999</v>
      </c>
      <c r="I481" s="52">
        <f>IF(Settings!$E$15="POINTS",((R481*Q481)*Settings!$B$12)+(S481*Settings!$B$2)+(T481*Settings!$B$3)+(U481*Settings!$B$4)+(V481*Settings!$B$5)+(X481*Settings!$B$9)+(AA481*Settings!$B$6)+(W481*Settings!$B$8)+(AB481*Settings!$B$7)+(AC481*Settings!$B$14)+(AD481*Settings!$B$15)+(AE481*Settings!$B$16)+(AF481*Settings!$B$17)+(AG481*Settings!$B$18)+(Y481*Settings!$B$10)+(Z481*Settings!$B$11),VLOOKUP(B481,'Standard Deviations'!A$1:C$672,3,FALSE))</f>
        <v>184.44701944686253</v>
      </c>
      <c r="J481" s="53" cm="1">
        <f t="array" ref="J481">IF(D481="G",I481/AJ481,I481/Q481)</f>
        <v>2.3997790716479641</v>
      </c>
      <c r="K481" s="52" cm="1">
        <f t="array" ref="K481">IF(Settings!$E$18="C/LW/RW",VLOOKUP(B481,RW!A1:F210,6,FALSE),VLOOKUP(B481,F!A1:F407,6,FALSE))</f>
        <v>-210.49644524669495</v>
      </c>
      <c r="L481" s="54" cm="1">
        <f t="array" ref="L481">IFERROR(K481/H481,"N/A")</f>
        <v>-55.760647747468859</v>
      </c>
      <c r="M481" s="85" t="s">
        <v>832</v>
      </c>
      <c r="N481" s="85" t="str" cm="1">
        <f t="array" ref="N481">IFERROR(M481-A481,"N/A")</f>
        <v>N/A</v>
      </c>
      <c r="O481" s="55"/>
      <c r="P481" s="56" t="str" cm="1">
        <f t="array" ref="P481">_xlfn.XLOOKUP($B481,ADP!A2:A671,ADP!G2:G671)</f>
        <v xml:space="preserve"> </v>
      </c>
      <c r="Q481" s="57" cm="1">
        <f t="array" ref="Q481">IF(Settings!$E$12="YES",VLOOKUP(B481,'Player Data'!A1:E673,5,FALSE),84)</f>
        <v>76.86</v>
      </c>
      <c r="R481" s="55" cm="1">
        <f t="array" ref="R481">VLOOKUP(B481,'Player Data'!$A1:$AE673,6,FALSE)</f>
        <v>15.258012593353801</v>
      </c>
      <c r="S481" s="57" cm="1">
        <f t="array" ref="S481">VLOOKUP(B481,'Player Data'!$A1:$AE673,7,FALSE)*$Q481*IFERROR((VLOOKUP(P481,Settings!$E$28:$F$33,2,FALSE)+1),1)</f>
        <v>15.920297501423031</v>
      </c>
      <c r="T481" s="57" cm="1">
        <f t="array" ref="T481">VLOOKUP(B481,'Player Data'!$A1:$AE673,8,FALSE)*$Q481*IFERROR((VLOOKUP(P481,Settings!$E$28:$F$33,2,FALSE)+1),1)</f>
        <v>18.083129610942805</v>
      </c>
      <c r="U481" s="57" cm="1">
        <f t="array" ref="U481">SUM(S481:T481)</f>
        <v>34.003427112365834</v>
      </c>
      <c r="V481" s="57" cm="1">
        <f t="array" ref="V481">VLOOKUP(B481,'Player Data'!$A1:$AE673,10,FALSE)*$Q481*IFERROR(((VLOOKUP(P481,Settings!$E$28:$F$33,2,FALSE)/2)+1),1)</f>
        <v>124.66173209283278</v>
      </c>
      <c r="W481" s="57" cm="1">
        <f t="array" ref="W481">VLOOKUP(B481,'Player Data'!$A1:$AE673,11,FALSE)*$Q481*IFERROR((VLOOKUP(P481,Settings!$E$28:$F$33,2,FALSE)+1),1)</f>
        <v>1.8701989884420558</v>
      </c>
      <c r="X481" s="57" cm="1">
        <f t="array" ref="X481">VLOOKUP(B481,'Player Data'!$A1:$AE673,12,FALSE)*$Q481*IFERROR((VLOOKUP(P481,Settings!$E$28:$F$33,2,FALSE)+1),1)</f>
        <v>7.2112585204066937</v>
      </c>
      <c r="Y481" s="57" cm="1">
        <f t="array" ref="Y481">VLOOKUP(B481,'Player Data'!$A1:$AE673,13,FALSE)*$Q481</f>
        <v>6.4936139433802494E-3</v>
      </c>
      <c r="Z481" s="57" cm="1">
        <f t="array" ref="Z481">VLOOKUP(B481,'Player Data'!$A1:$AE673,14,FALSE)*$Q481</f>
        <v>1.0682847744365858E-2</v>
      </c>
      <c r="AA481" s="57" cm="1">
        <f t="array" ref="AA481">VLOOKUP(B481,'Player Data'!$A1:$AE673,15,FALSE)*$Q481</f>
        <v>25.767861390395179</v>
      </c>
      <c r="AB481" s="57" cm="1">
        <f t="array" ref="AB481">VLOOKUP(B481,'Player Data'!$A1:$AE673,16,FALSE)*$Q481</f>
        <v>50.945159471015721</v>
      </c>
      <c r="AC481" s="57" cm="1">
        <f t="array" ref="AC481">VLOOKUP(B481,'Player Data'!$A1:$AE673,17,FALSE)*$Q481*IFERROR((VLOOKUP(P481,Settings!$E$28:$F$33,2,FALSE)+1),1)</f>
        <v>-6.7150247335505693</v>
      </c>
      <c r="AD481" s="57" cm="1">
        <f t="array" ref="AD481">VLOOKUP(B481,'Player Data'!$A1:$AE673,18,FALSE)*$Q481</f>
        <v>25.307905784255794</v>
      </c>
      <c r="AE481" s="57" cm="1">
        <f t="array" ref="AE481">VLOOKUP(B481,'Player Data'!$A1:$AE673,19,FALSE)*$Q481*IFERROR((VLOOKUP(P481,Settings!$E$28:$F$33,2,FALSE)+1),1)</f>
        <v>2.288940277294031</v>
      </c>
      <c r="AF481" s="57" cm="1">
        <f t="array" ref="AF481">VLOOKUP(B481,'Player Data'!$A1:$AE673,20,FALSE)*$Q481</f>
        <v>83.355670344929365</v>
      </c>
      <c r="AG481" s="57" cm="1">
        <f t="array" ref="AG481">VLOOKUP(B481,'Player Data'!$A1:$AE673,21,FALSE)*$Q481</f>
        <v>110.50700121003166</v>
      </c>
      <c r="AH481" s="59" cm="1">
        <f t="array" ref="AH481">VLOOKUP(B481,'Player Data'!$A1:$AE673,22,FALSE)</f>
        <v>0.42997277235652798</v>
      </c>
      <c r="AI481" s="55"/>
      <c r="AJ481" s="57"/>
      <c r="AK481" s="57"/>
      <c r="AL481" s="57"/>
      <c r="AM481" s="57"/>
      <c r="AN481" s="57"/>
      <c r="AO481" s="57"/>
      <c r="AP481" s="57"/>
      <c r="AQ481" s="60"/>
      <c r="AR481" s="61"/>
      <c r="AS481" s="55"/>
    </row>
    <row r="482" spans="1:45" ht="21.25" customHeight="1" x14ac:dyDescent="0.15">
      <c r="A482" s="62">
        <f t="shared" si="7"/>
        <v>481</v>
      </c>
      <c r="B482" s="10" t="s">
        <v>610</v>
      </c>
      <c r="C482" s="47" t="s">
        <v>147</v>
      </c>
      <c r="D482" s="48" t="str" cm="1">
        <f t="array" ref="D482">VLOOKUP(B482,'Player Data'!A1:D673,4,FALSE)</f>
        <v>D</v>
      </c>
      <c r="E482" s="68" cm="1">
        <f t="array" ref="E482">VLOOKUP(B482,D!A1:C204,3,FALSE)</f>
        <v>195</v>
      </c>
      <c r="F482" s="56" t="str" cm="1">
        <f t="array" ref="F482">VLOOKUP(B482,'Player Data'!A1:B673,2,FALSE)</f>
        <v>UTA</v>
      </c>
      <c r="G482" s="71" cm="1">
        <f t="array" ref="G482">VLOOKUP(B482,'Player Data'!A1:D673,3,FALSE)</f>
        <v>21</v>
      </c>
      <c r="H482" s="51" cm="1">
        <f t="array" ref="H482">IFERROR(VLOOKUP(B482,ADP!A1:F671,6,FALSE)/1000000,VLOOKUP(B482,ADP!A1:F671,6,FALSE))</f>
        <v>0.95</v>
      </c>
      <c r="I482" s="52">
        <f>IF(Settings!$E$15="POINTS",((R482*Q482)*Settings!$B$12)+(S482*Settings!$B$2)+(T482*Settings!$B$3)+(U482*Settings!$B$4)+(V482*Settings!$B$5)+(X482*Settings!$B$9)+(AA482*Settings!$B$6)+(W482*Settings!$B$8)+(AB482*Settings!$B$7)+(AC482*Settings!$B$14)+(AD482*Settings!$B$15)+(AE482*Settings!$B$16)+(AF482*Settings!$B$17)+(AG482*Settings!$B$18)+(U482*Settings!$B$13)+(Y482*Settings!$B$10)+(Z482*Settings!$B$11),VLOOKUP(B482,'Standard Deviations'!A$1:C$672,3,FALSE))</f>
        <v>96.106473327734008</v>
      </c>
      <c r="J482" s="53" cm="1">
        <f t="array" ref="J482">IF(D482="G",I482/AJ482,I482/Q482)</f>
        <v>1.5596636372563131</v>
      </c>
      <c r="K482" s="52" cm="1">
        <f t="array" ref="K482">VLOOKUP(B482,D!A1:F204,6,FALSE)</f>
        <v>-210.54739401686004</v>
      </c>
      <c r="L482" s="54" cm="1">
        <f t="array" ref="L482">IFERROR(K482/H482,"N/A")</f>
        <v>-221.62883580722109</v>
      </c>
      <c r="M482" s="85" t="s">
        <v>832</v>
      </c>
      <c r="N482" s="85" t="str" cm="1">
        <f t="array" ref="N482">IFERROR(M482-A482,"N/A")</f>
        <v>N/A</v>
      </c>
      <c r="O482" s="81"/>
      <c r="P482" s="56" t="str" cm="1">
        <f t="array" ref="P482">_xlfn.XLOOKUP($B482,ADP!A2:A671,ADP!G2:G671)</f>
        <v xml:space="preserve"> </v>
      </c>
      <c r="Q482" s="57" cm="1">
        <f t="array" ref="Q482">IF(Settings!$E$12="YES",VLOOKUP(B482,'Player Data'!A1:E673,5,FALSE),84)</f>
        <v>61.62</v>
      </c>
      <c r="R482" s="55" cm="1">
        <f t="array" ref="R482">VLOOKUP(B482,'Player Data'!$A1:$AE673,6,FALSE)</f>
        <v>15.172374137173399</v>
      </c>
      <c r="S482" s="57" cm="1">
        <f t="array" ref="S482">VLOOKUP(B482,'Player Data'!$A1:$AE673,7,FALSE)*$Q482*IFERROR((VLOOKUP(P482,Settings!$E$28:$F$33,2,FALSE)+1),1)</f>
        <v>2.4557997695624465</v>
      </c>
      <c r="T482" s="57" cm="1">
        <f t="array" ref="T482">VLOOKUP(B482,'Player Data'!$A1:$AE673,8,FALSE)*$Q482*IFERROR((VLOOKUP(P482,Settings!$E$28:$F$33,2,FALSE)+1),1)</f>
        <v>7.709288251035753</v>
      </c>
      <c r="U482" s="57" cm="1">
        <f t="array" ref="U482">SUM(S482:T482)</f>
        <v>10.165088020598199</v>
      </c>
      <c r="V482" s="57" cm="1">
        <f t="array" ref="V482">VLOOKUP(B482,'Player Data'!$A1:$AE673,10,FALSE)*$Q482*IFERROR(((VLOOKUP(P482,Settings!$E$28:$F$33,2,FALSE)/2)+1),1)</f>
        <v>65.384952225567844</v>
      </c>
      <c r="W482" s="57" cm="1">
        <f t="array" ref="W482">VLOOKUP(B482,'Player Data'!$A1:$AE673,11,FALSE)*$Q482*IFERROR((VLOOKUP(P482,Settings!$E$28:$F$33,2,FALSE)+1),1)</f>
        <v>6.5256140328738685E-3</v>
      </c>
      <c r="X482" s="57" cm="1">
        <f t="array" ref="X482">VLOOKUP(B482,'Player Data'!$A1:$AE673,12,FALSE)*$Q482*IFERROR((VLOOKUP(P482,Settings!$E$28:$F$33,2,FALSE)+1),1)</f>
        <v>4.0592813511036913E-2</v>
      </c>
      <c r="Y482" s="57" cm="1">
        <f t="array" ref="Y482">VLOOKUP(B482,'Player Data'!$A1:$AE673,13,FALSE)*$Q482</f>
        <v>1.953435584403844E-2</v>
      </c>
      <c r="Z482" s="57" cm="1">
        <f t="array" ref="Z482">VLOOKUP(B482,'Player Data'!$A1:$AE673,14,FALSE)*$Q482</f>
        <v>5.3771238552469201E-2</v>
      </c>
      <c r="AA482" s="57" cm="1">
        <f t="array" ref="AA482">VLOOKUP(B482,'Player Data'!$A1:$AE673,15,FALSE)*$Q482</f>
        <v>65.648738202183949</v>
      </c>
      <c r="AB482" s="57" cm="1">
        <f t="array" ref="AB482">VLOOKUP(B482,'Player Data'!$A1:$AE673,16,FALSE)*$Q482</f>
        <v>50.950818155016485</v>
      </c>
      <c r="AC482" s="57" cm="1">
        <f t="array" ref="AC482">VLOOKUP(B482,'Player Data'!$A1:$AE673,17,FALSE)*$Q482*IFERROR((VLOOKUP(P482,Settings!$E$28:$F$33,2,FALSE)+1),1)</f>
        <v>-0.9695101300560075</v>
      </c>
      <c r="AD482" s="57" cm="1">
        <f t="array" ref="AD482">VLOOKUP(B482,'Player Data'!$A1:$AE673,18,FALSE)*$Q482</f>
        <v>24.444883535034677</v>
      </c>
      <c r="AE482" s="57" cm="1">
        <f t="array" ref="AE482">VLOOKUP(B482,'Player Data'!$A1:$AE673,19,FALSE)*$Q482*IFERROR((VLOOKUP(P482,Settings!$E$28:$F$33,2,FALSE)+1),1)</f>
        <v>0.39696678791439333</v>
      </c>
      <c r="AF482" s="57" cm="1">
        <f t="array" ref="AF482">VLOOKUP(B482,'Player Data'!$A1:$AE673,20,FALSE)*$Q482</f>
        <v>0</v>
      </c>
      <c r="AG482" s="57" cm="1">
        <f t="array" ref="AG482">VLOOKUP(B482,'Player Data'!$A1:$AE673,21,FALSE)*$Q482</f>
        <v>0</v>
      </c>
      <c r="AH482" s="59" cm="1">
        <f t="array" ref="AH482">VLOOKUP(B482,'Player Data'!$A1:$AE673,22,FALSE)</f>
        <v>0</v>
      </c>
      <c r="AI482" s="55"/>
      <c r="AJ482" s="57"/>
      <c r="AK482" s="57"/>
      <c r="AL482" s="57"/>
      <c r="AM482" s="57"/>
      <c r="AN482" s="57"/>
      <c r="AO482" s="57"/>
      <c r="AP482" s="57"/>
      <c r="AQ482" s="60"/>
      <c r="AR482" s="61"/>
      <c r="AS482" s="55"/>
    </row>
    <row r="483" spans="1:45" ht="21.25" customHeight="1" x14ac:dyDescent="0.15">
      <c r="A483" s="62">
        <f t="shared" si="7"/>
        <v>482</v>
      </c>
      <c r="B483" s="10" t="s">
        <v>611</v>
      </c>
      <c r="C483" s="47" t="s">
        <v>147</v>
      </c>
      <c r="D483" s="48" t="str" cm="1">
        <f t="array" ref="D483">VLOOKUP(B483,'Player Data'!A1:D673,4,FALSE)</f>
        <v>LW</v>
      </c>
      <c r="E483" s="75" cm="1">
        <f t="array" ref="E483">VLOOKUP(B483,LW!A1:C210,3,FALSE)</f>
        <v>115</v>
      </c>
      <c r="F483" s="56" t="str" cm="1">
        <f t="array" ref="F483">VLOOKUP(B483,'Player Data'!A1:B673,2,FALSE)</f>
        <v>WSH</v>
      </c>
      <c r="G483" s="71" cm="1">
        <f t="array" ref="G483">VLOOKUP(B483,'Player Data'!A1:D673,3,FALSE)</f>
        <v>20</v>
      </c>
      <c r="H483" s="51" cm="1">
        <f t="array" ref="H483">IFERROR(VLOOKUP(B483,ADP!A1:F671,6,FALSE)/1000000,VLOOKUP(B483,ADP!A1:F671,6,FALSE))</f>
        <v>0.9325</v>
      </c>
      <c r="I483" s="52">
        <f>IF(Settings!$E$15="POINTS",((R483*Q483)*Settings!$B$12)+(S483*Settings!$B$2)+(T483*Settings!$B$3)+(U483*Settings!$B$4)+(V483*Settings!$B$5)+(X483*Settings!$B$9)+(AA483*Settings!$B$6)+(W483*Settings!$B$8)+(AB483*Settings!$B$7)+(AC483*Settings!$B$14)+(AD483*Settings!$B$15)+(AE483*Settings!$B$16)+(AF483*Settings!$B$17)+(AG483*Settings!$B$18)+(Y483*Settings!$B$10)+(Z483*Settings!$B$11),VLOOKUP(B483,'Standard Deviations'!A$1:C$672,3,FALSE))</f>
        <v>188.66475611083101</v>
      </c>
      <c r="J483" s="53" cm="1">
        <f t="array" ref="J483">IF(D483="G",I483/AJ483,I483/Q483)</f>
        <v>2.6203438348726529</v>
      </c>
      <c r="K483" s="52" cm="1">
        <f t="array" ref="K483">IF(Settings!$E$18="C/LW/RW",VLOOKUP(B483,LW!A1:F210,6,FALSE),VLOOKUP(B483,F!A1:F407,6,FALSE))</f>
        <v>-210.64823720288908</v>
      </c>
      <c r="L483" s="54" cm="1">
        <f t="array" ref="L483">IFERROR(K483/H483,"N/A")</f>
        <v>-225.8962329253502</v>
      </c>
      <c r="M483" s="85" t="s">
        <v>832</v>
      </c>
      <c r="N483" s="85" t="str" cm="1">
        <f t="array" ref="N483">IFERROR(M483-A483,"N/A")</f>
        <v>N/A</v>
      </c>
      <c r="O483" s="83"/>
      <c r="P483" s="56" t="str" cm="1">
        <f t="array" ref="P483">_xlfn.XLOOKUP($B483,ADP!A2:A671,ADP!G2:G671)</f>
        <v xml:space="preserve"> </v>
      </c>
      <c r="Q483" s="57" cm="1">
        <f t="array" ref="Q483">IF(Settings!$E$12="YES",VLOOKUP(B483,'Player Data'!A1:E673,5,FALSE),84)</f>
        <v>72</v>
      </c>
      <c r="R483" s="84" cm="1">
        <f t="array" ref="R483">VLOOKUP(B483,'Player Data'!$A1:$AE673,6,FALSE)</f>
        <v>13</v>
      </c>
      <c r="S483" s="57" cm="1">
        <f t="array" ref="S483">VLOOKUP(B483,'Player Data'!$A1:$AE673,7,FALSE)*$Q483*IFERROR((VLOOKUP(P483,Settings!$E$28:$F$33,2,FALSE)+1),1)</f>
        <v>14.4999123795378</v>
      </c>
      <c r="T483" s="57" cm="1">
        <f t="array" ref="T483">VLOOKUP(B483,'Player Data'!$A1:$AE673,8,FALSE)*$Q483*IFERROR((VLOOKUP(P483,Settings!$E$28:$F$33,2,FALSE)+1),1)</f>
        <v>20.276188357733353</v>
      </c>
      <c r="U483" s="57" cm="1">
        <f t="array" ref="U483">SUM(S483:T483)</f>
        <v>34.77610073727115</v>
      </c>
      <c r="V483" s="57" cm="1">
        <f t="array" ref="V483">VLOOKUP(B483,'Player Data'!$A1:$AE673,10,FALSE)*$Q483*IFERROR(((VLOOKUP(P483,Settings!$E$28:$F$33,2,FALSE)/2)+1),1)</f>
        <v>123.46666135455961</v>
      </c>
      <c r="W483" s="57" cm="1">
        <f t="array" ref="W483">VLOOKUP(B483,'Player Data'!$A1:$AE673,11,FALSE)*$Q483*IFERROR((VLOOKUP(P483,Settings!$E$28:$F$33,2,FALSE)+1),1)</f>
        <v>3.237244842751358</v>
      </c>
      <c r="X483" s="57" cm="1">
        <f t="array" ref="X483">VLOOKUP(B483,'Player Data'!$A1:$AE673,12,FALSE)*$Q483*IFERROR((VLOOKUP(P483,Settings!$E$28:$F$33,2,FALSE)+1),1)</f>
        <v>7.7640988314938397</v>
      </c>
      <c r="Y483" s="57" cm="1">
        <f t="array" ref="Y483">VLOOKUP(B483,'Player Data'!$A1:$AE673,13,FALSE)*$Q483</f>
        <v>0</v>
      </c>
      <c r="Z483" s="57" cm="1">
        <f t="array" ref="Z483">VLOOKUP(B483,'Player Data'!$A1:$AE673,14,FALSE)*$Q483</f>
        <v>0</v>
      </c>
      <c r="AA483" s="57" cm="1">
        <f t="array" ref="AA483">VLOOKUP(B483,'Player Data'!$A1:$AE673,15,FALSE)*$Q483</f>
        <v>29.678048780487838</v>
      </c>
      <c r="AB483" s="57" cm="1">
        <f t="array" ref="AB483">VLOOKUP(B483,'Player Data'!$A1:$AE673,16,FALSE)*$Q483</f>
        <v>85.182653035242723</v>
      </c>
      <c r="AC483" s="57" cm="1">
        <f t="array" ref="AC483">VLOOKUP(B483,'Player Data'!$A1:$AE673,17,FALSE)*$Q483*IFERROR((VLOOKUP(P483,Settings!$E$28:$F$33,2,FALSE)+1),1)</f>
        <v>-0.27219512195121959</v>
      </c>
      <c r="AD483" s="57" cm="1">
        <f t="array" ref="AD483">VLOOKUP(B483,'Player Data'!$A1:$AE673,18,FALSE)*$Q483</f>
        <v>29.092816683612288</v>
      </c>
      <c r="AE483" s="57" cm="1">
        <f t="array" ref="AE483">VLOOKUP(B483,'Player Data'!$A1:$AE673,19,FALSE)*$Q483*IFERROR((VLOOKUP(P483,Settings!$E$28:$F$33,2,FALSE)+1),1)</f>
        <v>2.1716419406510377</v>
      </c>
      <c r="AF483" s="57" cm="1">
        <f t="array" ref="AF483">VLOOKUP(B483,'Player Data'!$A1:$AE673,20,FALSE)*$Q483</f>
        <v>140.48780487804862</v>
      </c>
      <c r="AG483" s="57" cm="1">
        <f t="array" ref="AG483">VLOOKUP(B483,'Player Data'!$A1:$AE673,21,FALSE)*$Q483</f>
        <v>210.73170731707296</v>
      </c>
      <c r="AH483" s="59" cm="1">
        <f t="array" ref="AH483">VLOOKUP(B483,'Player Data'!$A1:$AE673,22,FALSE)</f>
        <v>0.4</v>
      </c>
      <c r="AI483" s="55"/>
      <c r="AJ483" s="57"/>
      <c r="AK483" s="57"/>
      <c r="AL483" s="57"/>
      <c r="AM483" s="57"/>
      <c r="AN483" s="57"/>
      <c r="AO483" s="57"/>
      <c r="AP483" s="57"/>
      <c r="AQ483" s="60"/>
      <c r="AR483" s="61"/>
      <c r="AS483" s="55"/>
    </row>
    <row r="484" spans="1:45" ht="21.25" customHeight="1" x14ac:dyDescent="0.15">
      <c r="A484" s="62">
        <f t="shared" si="7"/>
        <v>483</v>
      </c>
      <c r="B484" s="10" t="s">
        <v>612</v>
      </c>
      <c r="C484" s="47" t="s">
        <v>147</v>
      </c>
      <c r="D484" s="48" t="str" cm="1">
        <f t="array" ref="D484">VLOOKUP(B484,'Player Data'!A1:D673,4,FALSE)</f>
        <v>LW,RW</v>
      </c>
      <c r="E484" s="74" cm="1">
        <f t="array" ref="E484">VLOOKUP(B484,RW!A1:F210,3,FALSE)</f>
        <v>137</v>
      </c>
      <c r="F484" s="69" t="str" cm="1">
        <f t="array" ref="F484">VLOOKUP(B484,'Player Data'!A1:B673,2,FALSE)</f>
        <v>CBJ</v>
      </c>
      <c r="G484" s="71" cm="1">
        <f t="array" ref="G484">VLOOKUP(B484,'Player Data'!A1:D673,3,FALSE)</f>
        <v>23</v>
      </c>
      <c r="H484" s="67" cm="1">
        <f t="array" ref="H484">IFERROR(VLOOKUP(B484,ADP!A1:F671,6,FALSE)/1000000,VLOOKUP(B484,ADP!A1:F671,6,FALSE))</f>
        <v>1.8</v>
      </c>
      <c r="I484" s="52">
        <f>IF(Settings!$E$15="POINTS",((R484*Q484)*Settings!$B$12)+(S484*Settings!$B$2)+(T484*Settings!$B$3)+(U484*Settings!$B$4)+(V484*Settings!$B$5)+(X484*Settings!$B$9)+(AA484*Settings!$B$6)+(W484*Settings!$B$8)+(AB484*Settings!$B$7)+(AC484*Settings!$B$14)+(AD484*Settings!$B$15)+(AE484*Settings!$B$16)+(AF484*Settings!$B$17)+(AG484*Settings!$B$18)+(Y484*Settings!$B$10)+(Z484*Settings!$B$11),VLOOKUP(B484,'Standard Deviations'!A$1:C$672,3,FALSE))</f>
        <v>182.99386740441213</v>
      </c>
      <c r="J484" s="53" cm="1">
        <f t="array" ref="J484">IF(D484="G",I484/AJ484,I484/Q484)</f>
        <v>2.3753098053532207</v>
      </c>
      <c r="K484" s="52" cm="1">
        <f t="array" ref="K484">IF(Settings!$E$18="C/LW/RW",VLOOKUP(B484,RW!A1:F210,6,FALSE),VLOOKUP(B484,F!A1:F407,6,FALSE))</f>
        <v>-211.94959728914534</v>
      </c>
      <c r="L484" s="54" cm="1">
        <f t="array" ref="L484">IFERROR(K484/H484,"N/A")</f>
        <v>-117.74977627174741</v>
      </c>
      <c r="M484" s="85" t="s">
        <v>832</v>
      </c>
      <c r="N484" s="85" t="str" cm="1">
        <f t="array" ref="N484">IFERROR(M484-A484,"N/A")</f>
        <v>N/A</v>
      </c>
      <c r="O484" s="55"/>
      <c r="P484" s="56" t="str" cm="1">
        <f t="array" ref="P484">_xlfn.XLOOKUP($B484,ADP!A2:A671,ADP!G2:G671)</f>
        <v xml:space="preserve"> </v>
      </c>
      <c r="Q484" s="57" cm="1">
        <f t="array" ref="Q484">IF(Settings!$E$12="YES",VLOOKUP(B484,'Player Data'!A1:E673,5,FALSE),84)</f>
        <v>77.040000000000006</v>
      </c>
      <c r="R484" s="55" cm="1">
        <f t="array" ref="R484">VLOOKUP(B484,'Player Data'!$A1:$AE673,6,FALSE)</f>
        <v>13.629316554697599</v>
      </c>
      <c r="S484" s="57" cm="1">
        <f t="array" ref="S484">VLOOKUP(B484,'Player Data'!$A1:$AE673,7,FALSE)*$Q484*IFERROR((VLOOKUP(P484,Settings!$E$28:$F$33,2,FALSE)+1),1)</f>
        <v>13.453269506588589</v>
      </c>
      <c r="T484" s="57" cm="1">
        <f t="array" ref="T484">VLOOKUP(B484,'Player Data'!$A1:$AE673,8,FALSE)*$Q484*IFERROR((VLOOKUP(P484,Settings!$E$28:$F$33,2,FALSE)+1),1)</f>
        <v>20.670661839091995</v>
      </c>
      <c r="U484" s="57" cm="1">
        <f t="array" ref="U484">SUM(S484:T484)</f>
        <v>34.123931345680582</v>
      </c>
      <c r="V484" s="57" cm="1">
        <f t="array" ref="V484">VLOOKUP(B484,'Player Data'!$A1:$AE673,10,FALSE)*$Q484*IFERROR(((VLOOKUP(P484,Settings!$E$28:$F$33,2,FALSE)/2)+1),1)</f>
        <v>114.78787001643049</v>
      </c>
      <c r="W484" s="57" cm="1">
        <f t="array" ref="W484">VLOOKUP(B484,'Player Data'!$A1:$AE673,11,FALSE)*$Q484*IFERROR((VLOOKUP(P484,Settings!$E$28:$F$33,2,FALSE)+1),1)</f>
        <v>1.7967074517517123</v>
      </c>
      <c r="X484" s="57" cm="1">
        <f t="array" ref="X484">VLOOKUP(B484,'Player Data'!$A1:$AE673,12,FALSE)*$Q484*IFERROR((VLOOKUP(P484,Settings!$E$28:$F$33,2,FALSE)+1),1)</f>
        <v>5.4685196556782945</v>
      </c>
      <c r="Y484" s="57" cm="1">
        <f t="array" ref="Y484">VLOOKUP(B484,'Player Data'!$A1:$AE673,13,FALSE)*$Q484</f>
        <v>3.4228118463774347E-2</v>
      </c>
      <c r="Z484" s="57" cm="1">
        <f t="array" ref="Z484">VLOOKUP(B484,'Player Data'!$A1:$AE673,14,FALSE)*$Q484</f>
        <v>9.0928359343965093E-2</v>
      </c>
      <c r="AA484" s="57" cm="1">
        <f t="array" ref="AA484">VLOOKUP(B484,'Player Data'!$A1:$AE673,15,FALSE)*$Q484</f>
        <v>35.337380688265732</v>
      </c>
      <c r="AB484" s="57" cm="1">
        <f t="array" ref="AB484">VLOOKUP(B484,'Player Data'!$A1:$AE673,16,FALSE)*$Q484</f>
        <v>21.760588463061374</v>
      </c>
      <c r="AC484" s="57" cm="1">
        <f t="array" ref="AC484">VLOOKUP(B484,'Player Data'!$A1:$AE673,17,FALSE)*$Q484*IFERROR((VLOOKUP(P484,Settings!$E$28:$F$33,2,FALSE)+1),1)</f>
        <v>1.020092339237455</v>
      </c>
      <c r="AD484" s="57" cm="1">
        <f t="array" ref="AD484">VLOOKUP(B484,'Player Data'!$A1:$AE673,18,FALSE)*$Q484</f>
        <v>19.7807319234111</v>
      </c>
      <c r="AE484" s="57" cm="1">
        <f t="array" ref="AE484">VLOOKUP(B484,'Player Data'!$A1:$AE673,19,FALSE)*$Q484*IFERROR((VLOOKUP(P484,Settings!$E$28:$F$33,2,FALSE)+1),1)</f>
        <v>2.1678764850286396</v>
      </c>
      <c r="AF484" s="57" cm="1">
        <f t="array" ref="AF484">VLOOKUP(B484,'Player Data'!$A1:$AE673,20,FALSE)*$Q484</f>
        <v>0.3012103201232797</v>
      </c>
      <c r="AG484" s="57" cm="1">
        <f t="array" ref="AG484">VLOOKUP(B484,'Player Data'!$A1:$AE673,21,FALSE)*$Q484</f>
        <v>4.9093591907581544</v>
      </c>
      <c r="AH484" s="59" cm="1">
        <f t="array" ref="AH484">VLOOKUP(B484,'Player Data'!$A1:$AE673,22,FALSE)</f>
        <v>5.7807562012991198E-2</v>
      </c>
      <c r="AI484" s="55"/>
      <c r="AJ484" s="57"/>
      <c r="AK484" s="57"/>
      <c r="AL484" s="57"/>
      <c r="AM484" s="57"/>
      <c r="AN484" s="57"/>
      <c r="AO484" s="57"/>
      <c r="AP484" s="57"/>
      <c r="AQ484" s="60"/>
      <c r="AR484" s="61"/>
      <c r="AS484" s="55"/>
    </row>
    <row r="485" spans="1:45" ht="21.25" customHeight="1" x14ac:dyDescent="0.15">
      <c r="A485" s="62">
        <f t="shared" si="7"/>
        <v>484</v>
      </c>
      <c r="B485" s="10" t="s">
        <v>613</v>
      </c>
      <c r="C485" s="76"/>
      <c r="D485" s="48" t="str" cm="1">
        <f t="array" ref="D485">VLOOKUP(B485,'Player Data'!A1:D673,4,FALSE)</f>
        <v>G</v>
      </c>
      <c r="E485" s="77" cm="1">
        <f t="array" ref="E485">VLOOKUP(B485,G!A1:D66,3,FALSE)</f>
        <v>50</v>
      </c>
      <c r="F485" s="63" t="str" cm="1">
        <f t="array" ref="F485">VLOOKUP(B485,'Player Data'!A1:B673,2,FALSE)</f>
        <v>DAL</v>
      </c>
      <c r="G485" s="66" cm="1">
        <f t="array" ref="G485">VLOOKUP(B485,'Player Data'!A1:D673,3,FALSE)</f>
        <v>35</v>
      </c>
      <c r="H485" s="67" cm="1">
        <f t="array" ref="H485">IFERROR(VLOOKUP(B485,ADP!A1:F671,6,FALSE)/1000000,VLOOKUP(B485,ADP!A1:F671,6,FALSE))</f>
        <v>1.016</v>
      </c>
      <c r="I485" s="52">
        <f>IF(Settings!$E$15="POINTS",(AJ485*Settings!$B$29)+(AK485*Settings!$B$21)+(AL485*Settings!$B$22)+(AN485*Settings!$B$24)+(AO485*Settings!$B$25)+(AP485*Settings!$B$27)+(AM485*Settings!$B$23),VLOOKUP(B485,'Standard Deviations'!A$1:C$672,3,FALSE))</f>
        <v>147.12134082180484</v>
      </c>
      <c r="J485" s="53" cm="1">
        <f t="array" ref="J485">IF(D485="G",I485/AJ485,I485/Q485)</f>
        <v>5.8848536328721934</v>
      </c>
      <c r="K485" s="52" cm="1">
        <f t="array" ref="K485">VLOOKUP(B485,G!A1:F66,6,FALSE)</f>
        <v>-212.03656710843319</v>
      </c>
      <c r="L485" s="54" cm="1">
        <f t="array" ref="L485">IFERROR(K485/H485,"N/A")</f>
        <v>-208.6974085712925</v>
      </c>
      <c r="M485" s="85" t="s">
        <v>832</v>
      </c>
      <c r="N485" s="85" t="str" cm="1">
        <f t="array" ref="N485">IFERROR(M485-A485,"N/A")</f>
        <v>N/A</v>
      </c>
      <c r="O485" s="55"/>
      <c r="P485" s="56" t="str" cm="1">
        <f t="array" ref="P485">_xlfn.XLOOKUP($B485,ADP!A2:A671,ADP!G2:G671)</f>
        <v xml:space="preserve"> </v>
      </c>
      <c r="Q485" s="57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9"/>
      <c r="AI485" s="55"/>
      <c r="AJ485" s="78" cm="1">
        <f t="array" ref="AJ485">VLOOKUP(B485,'Player Data'!$A1:$AE673,24,FALSE)</f>
        <v>25</v>
      </c>
      <c r="AK485" s="57" cm="1">
        <f t="array" ref="AK485">VLOOKUP(B485,'Player Data'!$A1:$AE673,25,FALSE)*$AJ485*IFERROR((VLOOKUP(P485,Settings!$E$28:$F$33,2,FALSE)+1),1)</f>
        <v>14.063012773495402</v>
      </c>
      <c r="AL485" s="57" cm="1">
        <f t="array" ref="AL485">AJ485-AK485-AM485</f>
        <v>8.2027404198784488</v>
      </c>
      <c r="AM485" s="57" cm="1">
        <f t="array" ref="AM485">VLOOKUP(B485,'Player Data'!$A1:$AE673,27,FALSE)*$AJ485</f>
        <v>2.7342468066261501</v>
      </c>
      <c r="AN485" s="57" cm="1">
        <f t="array" ref="AN485">VLOOKUP(B485,'Player Data'!$A1:$AE673,28,FALSE)*AJ485</f>
        <v>1.4629409605505901</v>
      </c>
      <c r="AO485" s="57" cm="1">
        <f t="array" ref="AO485">VLOOKUP(B485,'Player Data'!$A1:$AE673,29,FALSE)*$AJ485*IFERROR((VLOOKUP(P485,Settings!$E$28:$F$33,2,FALSE)/4)+1,1)</f>
        <v>623.72346439955254</v>
      </c>
      <c r="AP485" s="57" cm="1">
        <f t="array" ref="AP485">VLOOKUP(B485,'Player Data'!$A1:$AE673,31,FALSE)*$AJ485*(IFERROR(1-(VLOOKUP(P485,Settings!$E$28:$F$33,2,FALSE)/4),1))</f>
        <v>69.46412355300275</v>
      </c>
      <c r="AQ485" s="60" cm="1">
        <f t="array" ref="AQ485">1-(AP485/(AO485+AP485))</f>
        <v>0.89979029520973308</v>
      </c>
      <c r="AR485" s="61" cm="1">
        <f t="array" ref="AR485">AP485/AJ485</f>
        <v>2.7785649421201102</v>
      </c>
      <c r="AS485" s="55"/>
    </row>
    <row r="486" spans="1:45" ht="21.25" customHeight="1" x14ac:dyDescent="0.15">
      <c r="A486" s="62">
        <f t="shared" si="7"/>
        <v>485</v>
      </c>
      <c r="B486" s="10" t="s">
        <v>614</v>
      </c>
      <c r="C486" s="47" t="s">
        <v>147</v>
      </c>
      <c r="D486" s="48" t="str" cm="1">
        <f t="array" ref="D486">VLOOKUP(B486,'Player Data'!A1:D673,4,FALSE)</f>
        <v>D</v>
      </c>
      <c r="E486" s="68" cm="1">
        <f t="array" ref="E486">VLOOKUP(B486,D!A1:C204,3,FALSE)</f>
        <v>196</v>
      </c>
      <c r="F486" s="63" t="str" cm="1">
        <f t="array" ref="F486">VLOOKUP(B486,'Player Data'!A1:B673,2,FALSE)</f>
        <v>EDM</v>
      </c>
      <c r="G486" s="11" cm="1">
        <f t="array" ref="G486">VLOOKUP(B486,'Player Data'!A1:D673,3,FALSE)</f>
        <v>26</v>
      </c>
      <c r="H486" s="67" cm="1">
        <f t="array" ref="H486">IFERROR(VLOOKUP(B486,ADP!A1:F671,6,FALSE)/1000000,VLOOKUP(B486,ADP!A1:F671,6,FALSE))</f>
        <v>1.5249999999999999</v>
      </c>
      <c r="I486" s="52">
        <f>IF(Settings!$E$15="POINTS",((R486*Q486)*Settings!$B$12)+(S486*Settings!$B$2)+(T486*Settings!$B$3)+(U486*Settings!$B$4)+(V486*Settings!$B$5)+(X486*Settings!$B$9)+(AA486*Settings!$B$6)+(W486*Settings!$B$8)+(AB486*Settings!$B$7)+(AC486*Settings!$B$14)+(AD486*Settings!$B$15)+(AE486*Settings!$B$16)+(AF486*Settings!$B$17)+(AG486*Settings!$B$18)+(U486*Settings!$B$13)+(Y486*Settings!$B$10)+(Z486*Settings!$B$11),VLOOKUP(B486,'Standard Deviations'!A$1:C$672,3,FALSE))</f>
        <v>93.744763036008251</v>
      </c>
      <c r="J486" s="53" cm="1">
        <f t="array" ref="J486">IF(D486="G",I486/AJ486,I486/Q486)</f>
        <v>1.4017384476992749</v>
      </c>
      <c r="K486" s="52" cm="1">
        <f t="array" ref="K486">VLOOKUP(B486,D!A1:F204,6,FALSE)</f>
        <v>-212.90910430858582</v>
      </c>
      <c r="L486" s="54" cm="1">
        <f t="array" ref="L486">IFERROR(K486/H486,"N/A")</f>
        <v>-139.61252741546613</v>
      </c>
      <c r="M486" s="85" t="s">
        <v>832</v>
      </c>
      <c r="N486" s="85" t="str" cm="1">
        <f t="array" ref="N486">IFERROR(M486-A486,"N/A")</f>
        <v>N/A</v>
      </c>
      <c r="O486" s="55"/>
      <c r="P486" s="56" t="str" cm="1">
        <f t="array" ref="P486">_xlfn.XLOOKUP($B486,ADP!A2:A671,ADP!G2:G671)</f>
        <v xml:space="preserve"> </v>
      </c>
      <c r="Q486" s="57" cm="1">
        <f t="array" ref="Q486">IF(Settings!$E$12="YES",VLOOKUP(B486,'Player Data'!A1:E673,5,FALSE),84)</f>
        <v>66.877499999999998</v>
      </c>
      <c r="R486" s="55" cm="1">
        <f t="array" ref="R486">VLOOKUP(B486,'Player Data'!$A1:$AE673,6,FALSE)</f>
        <v>15.185460289439</v>
      </c>
      <c r="S486" s="57" cm="1">
        <f t="array" ref="S486">VLOOKUP(B486,'Player Data'!$A1:$AE673,7,FALSE)*$Q486*IFERROR((VLOOKUP(P486,Settings!$E$28:$F$33,2,FALSE)+1),1)</f>
        <v>2.2213312959027789</v>
      </c>
      <c r="T486" s="57" cm="1">
        <f t="array" ref="T486">VLOOKUP(B486,'Player Data'!$A1:$AE673,8,FALSE)*$Q486*IFERROR((VLOOKUP(P486,Settings!$E$28:$F$33,2,FALSE)+1),1)</f>
        <v>8.6148841090167352</v>
      </c>
      <c r="U486" s="57" cm="1">
        <f t="array" ref="U486">SUM(S486:T486)</f>
        <v>10.836215404919514</v>
      </c>
      <c r="V486" s="57" cm="1">
        <f t="array" ref="V486">VLOOKUP(B486,'Player Data'!$A1:$AE673,10,FALSE)*$Q486*IFERROR(((VLOOKUP(P486,Settings!$E$28:$F$33,2,FALSE)/2)+1),1)</f>
        <v>53.903928883994354</v>
      </c>
      <c r="W486" s="57" cm="1">
        <f t="array" ref="W486">VLOOKUP(B486,'Player Data'!$A1:$AE673,11,FALSE)*$Q486*IFERROR((VLOOKUP(P486,Settings!$E$28:$F$33,2,FALSE)+1),1)</f>
        <v>9.282656588778351E-3</v>
      </c>
      <c r="X486" s="57" cm="1">
        <f t="array" ref="X486">VLOOKUP(B486,'Player Data'!$A1:$AE673,12,FALSE)*$Q486*IFERROR((VLOOKUP(P486,Settings!$E$28:$F$33,2,FALSE)+1),1)</f>
        <v>7.3823331448223839E-2</v>
      </c>
      <c r="Y486" s="57" cm="1">
        <f t="array" ref="Y486">VLOOKUP(B486,'Player Data'!$A1:$AE673,13,FALSE)*$Q486</f>
        <v>2.3092530290191173E-2</v>
      </c>
      <c r="Z486" s="57" cm="1">
        <f t="array" ref="Z486">VLOOKUP(B486,'Player Data'!$A1:$AE673,14,FALSE)*$Q486</f>
        <v>0.48756577611049107</v>
      </c>
      <c r="AA486" s="57" cm="1">
        <f t="array" ref="AA486">VLOOKUP(B486,'Player Data'!$A1:$AE673,15,FALSE)*$Q486</f>
        <v>67.445526543387643</v>
      </c>
      <c r="AB486" s="57" cm="1">
        <f t="array" ref="AB486">VLOOKUP(B486,'Player Data'!$A1:$AE673,16,FALSE)*$Q486</f>
        <v>32.87382065302382</v>
      </c>
      <c r="AC486" s="57" cm="1">
        <f t="array" ref="AC486">VLOOKUP(B486,'Player Data'!$A1:$AE673,17,FALSE)*$Q486*IFERROR((VLOOKUP(P486,Settings!$E$28:$F$33,2,FALSE)+1),1)</f>
        <v>3.7256182877832882</v>
      </c>
      <c r="AD486" s="57" cm="1">
        <f t="array" ref="AD486">VLOOKUP(B486,'Player Data'!$A1:$AE673,18,FALSE)*$Q486</f>
        <v>19.931213194661897</v>
      </c>
      <c r="AE486" s="57" cm="1">
        <f t="array" ref="AE486">VLOOKUP(B486,'Player Data'!$A1:$AE673,19,FALSE)*$Q486*IFERROR((VLOOKUP(P486,Settings!$E$28:$F$33,2,FALSE)+1),1)</f>
        <v>0.38993594834303158</v>
      </c>
      <c r="AF486" s="57" cm="1">
        <f t="array" ref="AF486">VLOOKUP(B486,'Player Data'!$A1:$AE673,20,FALSE)*$Q486</f>
        <v>0</v>
      </c>
      <c r="AG486" s="57" cm="1">
        <f t="array" ref="AG486">VLOOKUP(B486,'Player Data'!$A1:$AE673,21,FALSE)*$Q486</f>
        <v>0</v>
      </c>
      <c r="AH486" s="59" cm="1">
        <f t="array" ref="AH486">VLOOKUP(B486,'Player Data'!$A1:$AE673,22,FALSE)</f>
        <v>0</v>
      </c>
      <c r="AI486" s="55"/>
      <c r="AJ486" s="57"/>
      <c r="AK486" s="57"/>
      <c r="AL486" s="57"/>
      <c r="AM486" s="57"/>
      <c r="AN486" s="57"/>
      <c r="AO486" s="57"/>
      <c r="AP486" s="57"/>
      <c r="AQ486" s="60"/>
      <c r="AR486" s="61"/>
      <c r="AS486" s="55"/>
    </row>
    <row r="487" spans="1:45" ht="21.25" customHeight="1" x14ac:dyDescent="0.15">
      <c r="A487" s="62">
        <f t="shared" si="7"/>
        <v>486</v>
      </c>
      <c r="B487" s="10" t="s">
        <v>615</v>
      </c>
      <c r="C487" s="47" t="s">
        <v>147</v>
      </c>
      <c r="D487" s="48" t="str" cm="1">
        <f t="array" ref="D487">VLOOKUP(B487,'Player Data'!A1:D673,4,FALSE)</f>
        <v>C,LW</v>
      </c>
      <c r="E487" s="74" cm="1">
        <f t="array" ref="E487">VLOOKUP(B487,LW!A1:C210,3,FALSE)</f>
        <v>118</v>
      </c>
      <c r="F487" s="56" t="str" cm="1">
        <f t="array" ref="F487">VLOOKUP(B487,'Player Data'!A1:B673,2,FALSE)</f>
        <v>WSH</v>
      </c>
      <c r="G487" s="66" cm="1">
        <f t="array" ref="G487">VLOOKUP(B487,'Player Data'!A1:D673,3,FALSE)</f>
        <v>33</v>
      </c>
      <c r="H487" s="51" cm="1">
        <f t="array" ref="H487">IFERROR(VLOOKUP(B487,ADP!A1:F671,6,FALSE)/1000000,VLOOKUP(B487,ADP!A1:F671,6,FALSE))</f>
        <v>5.75</v>
      </c>
      <c r="I487" s="52">
        <f>IF(Settings!$E$15="POINTS",((R487*Q487)*Settings!$B$12)+(S487*Settings!$B$2)+(T487*Settings!$B$3)+(U487*Settings!$B$4)+(V487*Settings!$B$5)+(X487*Settings!$B$9)+(AA487*Settings!$B$6)+(W487*Settings!$B$8)+(AB487*Settings!$B$7)+(AC487*Settings!$B$14)+(AD487*Settings!$B$15)+(AE487*Settings!$B$16)+(AF487*Settings!$B$17)+(AG487*Settings!$B$18)+(Y487*Settings!$B$10)+(Z487*Settings!$B$11),VLOOKUP(B487,'Standard Deviations'!A$1:C$672,3,FALSE))</f>
        <v>185.97927236713855</v>
      </c>
      <c r="J487" s="53" cm="1">
        <f t="array" ref="J487">IF(D487="G",I487/AJ487,I487/Q487)</f>
        <v>2.6095944486215816</v>
      </c>
      <c r="K487" s="52" cm="1">
        <f t="array" ref="K487">IF(Settings!$E$18="C/LW/RW",VLOOKUP(B487,LW!A1:F210,6,FALSE),VLOOKUP(B487,F!A1:F407,6,FALSE))</f>
        <v>-213.33372094658154</v>
      </c>
      <c r="L487" s="54" cm="1">
        <f t="array" ref="L487">IFERROR(K487/H487,"N/A")</f>
        <v>-37.101516686362004</v>
      </c>
      <c r="M487" s="85" t="s">
        <v>832</v>
      </c>
      <c r="N487" s="85" t="str" cm="1">
        <f t="array" ref="N487">IFERROR(M487-A487,"N/A")</f>
        <v>N/A</v>
      </c>
      <c r="O487" s="55"/>
      <c r="P487" s="56" t="str" cm="1">
        <f t="array" ref="P487">_xlfn.XLOOKUP($B487,ADP!A2:A671,ADP!G2:G671)</f>
        <v xml:space="preserve"> </v>
      </c>
      <c r="Q487" s="57" cm="1">
        <f t="array" ref="Q487">IF(Settings!$E$12="YES",VLOOKUP(B487,'Player Data'!A1:E673,5,FALSE),84)</f>
        <v>71.267499999999998</v>
      </c>
      <c r="R487" s="84" cm="1">
        <f t="array" ref="R487">VLOOKUP(B487,'Player Data'!$A1:$AE673,6,FALSE)</f>
        <v>14.437819161748299</v>
      </c>
      <c r="S487" s="57" cm="1">
        <f t="array" ref="S487">VLOOKUP(B487,'Player Data'!$A1:$AE673,7,FALSE)*$Q487*IFERROR((VLOOKUP(P487,Settings!$E$28:$F$33,2,FALSE)+1),1)</f>
        <v>11.518899643523401</v>
      </c>
      <c r="T487" s="57" cm="1">
        <f t="array" ref="T487">VLOOKUP(B487,'Player Data'!$A1:$AE673,8,FALSE)*$Q487*IFERROR((VLOOKUP(P487,Settings!$E$28:$F$33,2,FALSE)+1),1)</f>
        <v>19.444422571811927</v>
      </c>
      <c r="U487" s="57" cm="1">
        <f t="array" ref="U487">SUM(S487:T487)</f>
        <v>30.963322215335328</v>
      </c>
      <c r="V487" s="57" cm="1">
        <f t="array" ref="V487">VLOOKUP(B487,'Player Data'!$A1:$AE673,10,FALSE)*$Q487*IFERROR(((VLOOKUP(P487,Settings!$E$28:$F$33,2,FALSE)/2)+1),1)</f>
        <v>122.66466436505445</v>
      </c>
      <c r="W487" s="57" cm="1">
        <f t="array" ref="W487">VLOOKUP(B487,'Player Data'!$A1:$AE673,11,FALSE)*$Q487*IFERROR((VLOOKUP(P487,Settings!$E$28:$F$33,2,FALSE)+1),1)</f>
        <v>0.75261915742880903</v>
      </c>
      <c r="X487" s="57" cm="1">
        <f t="array" ref="X487">VLOOKUP(B487,'Player Data'!$A1:$AE673,12,FALSE)*$Q487*IFERROR((VLOOKUP(P487,Settings!$E$28:$F$33,2,FALSE)+1),1)</f>
        <v>1.564974230837227</v>
      </c>
      <c r="Y487" s="57" cm="1">
        <f t="array" ref="Y487">VLOOKUP(B487,'Player Data'!$A1:$AE673,13,FALSE)*$Q487</f>
        <v>0.39817435023318076</v>
      </c>
      <c r="Z487" s="57" cm="1">
        <f t="array" ref="Z487">VLOOKUP(B487,'Player Data'!$A1:$AE673,14,FALSE)*$Q487</f>
        <v>1.010071546817741</v>
      </c>
      <c r="AA487" s="57" cm="1">
        <f t="array" ref="AA487">VLOOKUP(B487,'Player Data'!$A1:$AE673,15,FALSE)*$Q487</f>
        <v>58.363855521900767</v>
      </c>
      <c r="AB487" s="57" cm="1">
        <f t="array" ref="AB487">VLOOKUP(B487,'Player Data'!$A1:$AE673,16,FALSE)*$Q487</f>
        <v>124.43475022766044</v>
      </c>
      <c r="AC487" s="57" cm="1">
        <f t="array" ref="AC487">VLOOKUP(B487,'Player Data'!$A1:$AE673,17,FALSE)*$Q487*IFERROR((VLOOKUP(P487,Settings!$E$28:$F$33,2,FALSE)+1),1)</f>
        <v>4.000559088925157</v>
      </c>
      <c r="AD487" s="57" cm="1">
        <f t="array" ref="AD487">VLOOKUP(B487,'Player Data'!$A1:$AE673,18,FALSE)*$Q487</f>
        <v>29.228273610797963</v>
      </c>
      <c r="AE487" s="57" cm="1">
        <f t="array" ref="AE487">VLOOKUP(B487,'Player Data'!$A1:$AE673,19,FALSE)*$Q487*IFERROR((VLOOKUP(P487,Settings!$E$28:$F$33,2,FALSE)+1),1)</f>
        <v>1.7251777059926703</v>
      </c>
      <c r="AF487" s="57" cm="1">
        <f t="array" ref="AF487">VLOOKUP(B487,'Player Data'!$A1:$AE673,20,FALSE)*$Q487</f>
        <v>250.81606089327437</v>
      </c>
      <c r="AG487" s="57" cm="1">
        <f t="array" ref="AG487">VLOOKUP(B487,'Player Data'!$A1:$AE673,21,FALSE)*$Q487</f>
        <v>223.32980432582778</v>
      </c>
      <c r="AH487" s="59" cm="1">
        <f t="array" ref="AH487">VLOOKUP(B487,'Player Data'!$A1:$AE673,22,FALSE)</f>
        <v>0.52898502189273</v>
      </c>
      <c r="AI487" s="55"/>
      <c r="AJ487" s="57"/>
      <c r="AK487" s="57"/>
      <c r="AL487" s="57"/>
      <c r="AM487" s="57"/>
      <c r="AN487" s="57"/>
      <c r="AO487" s="57"/>
      <c r="AP487" s="57"/>
      <c r="AQ487" s="60"/>
      <c r="AR487" s="61"/>
      <c r="AS487" s="55"/>
    </row>
    <row r="488" spans="1:45" ht="21.25" customHeight="1" x14ac:dyDescent="0.15">
      <c r="A488" s="62">
        <f t="shared" si="7"/>
        <v>487</v>
      </c>
      <c r="B488" s="10" t="s">
        <v>616</v>
      </c>
      <c r="C488" s="47" t="s">
        <v>147</v>
      </c>
      <c r="D488" s="48" t="str" cm="1">
        <f t="array" ref="D488">VLOOKUP(B488,'Player Data'!A1:D673,4,FALSE)</f>
        <v>C</v>
      </c>
      <c r="E488" s="49" cm="1">
        <f t="array" ref="E488">VLOOKUP(B488,'C'!A1:C210,3,FALSE)</f>
        <v>125</v>
      </c>
      <c r="F488" s="56" t="str" cm="1">
        <f t="array" ref="F488">VLOOKUP(B488,'Player Data'!A1:B673,2,FALSE)</f>
        <v>PHI</v>
      </c>
      <c r="G488" s="66" cm="1">
        <f t="array" ref="G488">VLOOKUP(B488,'Player Data'!A1:D673,3,FALSE)</f>
        <v>33</v>
      </c>
      <c r="H488" s="51" cm="1">
        <f t="array" ref="H488">IFERROR(VLOOKUP(B488,ADP!A1:F671,6,FALSE)/1000000,VLOOKUP(B488,ADP!A1:F671,6,FALSE))</f>
        <v>7.75</v>
      </c>
      <c r="I488" s="52">
        <f>IF(Settings!$E$15="POINTS",((R488*Q488)*Settings!$B$12)+(S488*Settings!$B$2)+(T488*Settings!$B$3)+(U488*Settings!$B$4)+(V488*Settings!$B$5)+(X488*Settings!$B$9)+(AA488*Settings!$B$6)+(W488*Settings!$B$8)+(AB488*Settings!$B$7)+(AC488*Settings!$B$14)+(AD488*Settings!$B$15)+(AE488*Settings!$B$16)+(AF488*Settings!$B$17)+(AG488*Settings!$B$18)+(Y488*Settings!$B$10)+(Z488*Settings!$B$11),VLOOKUP(B488,'Standard Deviations'!A$1:C$672,3,FALSE))</f>
        <v>173.17667828764331</v>
      </c>
      <c r="J488" s="53" cm="1">
        <f t="array" ref="J488">IF(D488="G",I488/AJ488,I488/Q488)</f>
        <v>2.1091456722911222</v>
      </c>
      <c r="K488" s="52" cm="1">
        <f t="array" ref="K488">IF(Settings!$E$18="C/LW/RW",VLOOKUP(B488,'C'!A1:F210,6,FALSE),VLOOKUP(B488,F!A1:F407,6,FALSE))</f>
        <v>-213.35852810543969</v>
      </c>
      <c r="L488" s="54" cm="1">
        <f t="array" ref="L488">IFERROR(K488/H488,"N/A")</f>
        <v>-27.530132658766412</v>
      </c>
      <c r="M488" s="85" t="s">
        <v>832</v>
      </c>
      <c r="N488" s="85" t="str" cm="1">
        <f t="array" ref="N488">IFERROR(M488-A488,"N/A")</f>
        <v>N/A</v>
      </c>
      <c r="O488" s="55"/>
      <c r="P488" s="56" t="str" cm="1">
        <f t="array" ref="P488">_xlfn.XLOOKUP($B488,ADP!A2:A671,ADP!G2:G671)</f>
        <v xml:space="preserve"> </v>
      </c>
      <c r="Q488" s="57" cm="1">
        <f t="array" ref="Q488">IF(Settings!$E$12="YES",VLOOKUP(B488,'Player Data'!A1:E673,5,FALSE),84)</f>
        <v>82.107500000000002</v>
      </c>
      <c r="R488" s="84" cm="1">
        <f t="array" ref="R488">VLOOKUP(B488,'Player Data'!$A1:$AE673,6,FALSE)</f>
        <v>14.3356740553191</v>
      </c>
      <c r="S488" s="57" cm="1">
        <f t="array" ref="S488">VLOOKUP(B488,'Player Data'!$A1:$AE673,7,FALSE)*$Q488*IFERROR((VLOOKUP(P488,Settings!$E$28:$F$33,2,FALSE)+1),1)</f>
        <v>10.761613490178194</v>
      </c>
      <c r="T488" s="57" cm="1">
        <f t="array" ref="T488">VLOOKUP(B488,'Player Data'!$A1:$AE673,8,FALSE)*$Q488*IFERROR((VLOOKUP(P488,Settings!$E$28:$F$33,2,FALSE)+1),1)</f>
        <v>20.667352315060715</v>
      </c>
      <c r="U488" s="57" cm="1">
        <f t="array" ref="U488">SUM(S488:T488)</f>
        <v>31.42896580523891</v>
      </c>
      <c r="V488" s="57" cm="1">
        <f t="array" ref="V488">VLOOKUP(B488,'Player Data'!$A1:$AE673,10,FALSE)*$Q488*IFERROR(((VLOOKUP(P488,Settings!$E$28:$F$33,2,FALSE)/2)+1),1)</f>
        <v>114.10195138890617</v>
      </c>
      <c r="W488" s="57" cm="1">
        <f t="array" ref="W488">VLOOKUP(B488,'Player Data'!$A1:$AE673,11,FALSE)*$Q488*IFERROR((VLOOKUP(P488,Settings!$E$28:$F$33,2,FALSE)+1),1)</f>
        <v>0.10418065560752131</v>
      </c>
      <c r="X488" s="57" cm="1">
        <f t="array" ref="X488">VLOOKUP(B488,'Player Data'!$A1:$AE673,12,FALSE)*$Q488*IFERROR((VLOOKUP(P488,Settings!$E$28:$F$33,2,FALSE)+1),1)</f>
        <v>0.30998120151289249</v>
      </c>
      <c r="Y488" s="57" cm="1">
        <f t="array" ref="Y488">VLOOKUP(B488,'Player Data'!$A1:$AE673,13,FALSE)*$Q488</f>
        <v>0.13427744922213133</v>
      </c>
      <c r="Z488" s="57" cm="1">
        <f t="array" ref="Z488">VLOOKUP(B488,'Player Data'!$A1:$AE673,14,FALSE)*$Q488</f>
        <v>0.68802776875063942</v>
      </c>
      <c r="AA488" s="57" cm="1">
        <f t="array" ref="AA488">VLOOKUP(B488,'Player Data'!$A1:$AE673,15,FALSE)*$Q488</f>
        <v>41.681592414419903</v>
      </c>
      <c r="AB488" s="57" cm="1">
        <f t="array" ref="AB488">VLOOKUP(B488,'Player Data'!$A1:$AE673,16,FALSE)*$Q488</f>
        <v>78.155056271297795</v>
      </c>
      <c r="AC488" s="57" cm="1">
        <f t="array" ref="AC488">VLOOKUP(B488,'Player Data'!$A1:$AE673,17,FALSE)*$Q488*IFERROR((VLOOKUP(P488,Settings!$E$28:$F$33,2,FALSE)+1),1)</f>
        <v>1.3108509955652117</v>
      </c>
      <c r="AD488" s="57" cm="1">
        <f t="array" ref="AD488">VLOOKUP(B488,'Player Data'!$A1:$AE673,18,FALSE)*$Q488</f>
        <v>29.446937651067344</v>
      </c>
      <c r="AE488" s="57" cm="1">
        <f t="array" ref="AE488">VLOOKUP(B488,'Player Data'!$A1:$AE673,19,FALSE)*$Q488*IFERROR((VLOOKUP(P488,Settings!$E$28:$F$33,2,FALSE)+1),1)</f>
        <v>1.7007111485073976</v>
      </c>
      <c r="AF488" s="57" cm="1">
        <f t="array" ref="AF488">VLOOKUP(B488,'Player Data'!$A1:$AE673,20,FALSE)*$Q488</f>
        <v>583.93667752654062</v>
      </c>
      <c r="AG488" s="57" cm="1">
        <f t="array" ref="AG488">VLOOKUP(B488,'Player Data'!$A1:$AE673,21,FALSE)*$Q488</f>
        <v>483.08676298049926</v>
      </c>
      <c r="AH488" s="59" cm="1">
        <f t="array" ref="AH488">VLOOKUP(B488,'Player Data'!$A1:$AE673,22,FALSE)</f>
        <v>0.54725759093826398</v>
      </c>
      <c r="AI488" s="55"/>
      <c r="AJ488" s="57"/>
      <c r="AK488" s="57"/>
      <c r="AL488" s="57"/>
      <c r="AM488" s="57"/>
      <c r="AN488" s="57"/>
      <c r="AO488" s="57"/>
      <c r="AP488" s="57"/>
      <c r="AQ488" s="60"/>
      <c r="AR488" s="61"/>
      <c r="AS488" s="55"/>
    </row>
    <row r="489" spans="1:45" ht="21.25" customHeight="1" x14ac:dyDescent="0.15">
      <c r="A489" s="62">
        <f t="shared" si="7"/>
        <v>488</v>
      </c>
      <c r="B489" s="10" t="s">
        <v>617</v>
      </c>
      <c r="C489" s="76"/>
      <c r="D489" s="48" t="str" cm="1">
        <f t="array" ref="D489">VLOOKUP(B489,'Player Data'!A1:D673,4,FALSE)</f>
        <v>G</v>
      </c>
      <c r="E489" s="77" cm="1">
        <f t="array" ref="E489">VLOOKUP(B489,G!A1:D66,3,FALSE)</f>
        <v>51</v>
      </c>
      <c r="F489" s="18" t="str" cm="1">
        <f t="array" ref="F489">VLOOKUP(B489,'Player Data'!A1:B673,2,FALSE)</f>
        <v>FLA</v>
      </c>
      <c r="G489" s="11" cm="1">
        <f t="array" ref="G489">VLOOKUP(B489,'Player Data'!A1:D673,3,FALSE)</f>
        <v>26</v>
      </c>
      <c r="H489" s="51" cm="1">
        <f t="array" ref="H489">IFERROR(VLOOKUP(B489,ADP!A1:F671,6,FALSE)/1000000,VLOOKUP(B489,ADP!A1:F671,6,FALSE))</f>
        <v>2</v>
      </c>
      <c r="I489" s="52">
        <f>IF(Settings!$E$15="POINTS",(AJ489*Settings!$B$29)+(AK489*Settings!$B$21)+(AL489*Settings!$B$22)+(AN489*Settings!$B$24)+(AO489*Settings!$B$25)+(AP489*Settings!$B$27)+(AM489*Settings!$B$23),VLOOKUP(B489,'Standard Deviations'!A$1:C$672,3,FALSE))</f>
        <v>145.79047738212643</v>
      </c>
      <c r="J489" s="53" cm="1">
        <f t="array" ref="J489">IF(D489="G",I489/AJ489,I489/Q489)</f>
        <v>5.2068027636473726</v>
      </c>
      <c r="K489" s="52" cm="1">
        <f t="array" ref="K489">VLOOKUP(B489,G!A1:F66,6,FALSE)</f>
        <v>-213.3674305481116</v>
      </c>
      <c r="L489" s="54" cm="1">
        <f t="array" ref="L489">IFERROR(K489/H489,"N/A")</f>
        <v>-106.6837152740558</v>
      </c>
      <c r="M489" s="85" t="s">
        <v>832</v>
      </c>
      <c r="N489" s="85" t="str" cm="1">
        <f t="array" ref="N489">IFERROR(M489-A489,"N/A")</f>
        <v>N/A</v>
      </c>
      <c r="O489" s="55"/>
      <c r="P489" s="56" t="str" cm="1">
        <f t="array" ref="P489">_xlfn.XLOOKUP($B489,ADP!A2:A671,ADP!G2:G671)</f>
        <v xml:space="preserve"> </v>
      </c>
      <c r="Q489" s="57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9"/>
      <c r="AI489" s="55"/>
      <c r="AJ489" s="78" cm="1">
        <f t="array" ref="AJ489">VLOOKUP(B489,'Player Data'!$A1:$AE673,24,FALSE)</f>
        <v>28</v>
      </c>
      <c r="AK489" s="57" cm="1">
        <f t="array" ref="AK489">VLOOKUP(B489,'Player Data'!$A1:$AE673,25,FALSE)*$AJ489*IFERROR((VLOOKUP(P489,Settings!$E$28:$F$33,2,FALSE)+1),1)</f>
        <v>15.621024824687996</v>
      </c>
      <c r="AL489" s="57" cm="1">
        <f t="array" ref="AL489">AJ489-AK489-AM489</f>
        <v>9.2842313814839947</v>
      </c>
      <c r="AM489" s="57" cm="1">
        <f t="array" ref="AM489">VLOOKUP(B489,'Player Data'!$A1:$AE673,27,FALSE)*$AJ489</f>
        <v>3.094743793828008</v>
      </c>
      <c r="AN489" s="57" cm="1">
        <f t="array" ref="AN489">VLOOKUP(B489,'Player Data'!$A1:$AE673,28,FALSE)*AJ489</f>
        <v>1.6108929046960625</v>
      </c>
      <c r="AO489" s="57" cm="1">
        <f t="array" ref="AO489">VLOOKUP(B489,'Player Data'!$A1:$AE673,29,FALSE)*$AJ489*IFERROR((VLOOKUP(P489,Settings!$E$28:$F$33,2,FALSE)/4)+1,1)</f>
        <v>663.59954581594241</v>
      </c>
      <c r="AP489" s="57" cm="1">
        <f t="array" ref="AP489">VLOOKUP(B489,'Player Data'!$A1:$AE673,31,FALSE)*$AJ489*(IFERROR(1-(VLOOKUP(P489,Settings!$E$28:$F$33,2,FALSE)/4),1))</f>
        <v>78.161087634868281</v>
      </c>
      <c r="AQ489" s="60" cm="1">
        <f t="array" ref="AQ489">1-(AP489/(AO489+AP489))</f>
        <v>0.89462761420588188</v>
      </c>
      <c r="AR489" s="61" cm="1">
        <f t="array" ref="AR489">AP489/AJ489</f>
        <v>2.79146741553101</v>
      </c>
      <c r="AS489" s="55"/>
    </row>
    <row r="490" spans="1:45" ht="21.25" customHeight="1" x14ac:dyDescent="0.15">
      <c r="A490" s="62">
        <f t="shared" si="7"/>
        <v>489</v>
      </c>
      <c r="B490" s="10" t="s">
        <v>618</v>
      </c>
      <c r="C490" s="76"/>
      <c r="D490" s="48" t="str" cm="1">
        <f t="array" ref="D490">VLOOKUP(B490,'Player Data'!A1:D673,4,FALSE)</f>
        <v>G</v>
      </c>
      <c r="E490" s="77" cm="1">
        <f t="array" ref="E490">VLOOKUP(B490,G!A1:D66,3,FALSE)</f>
        <v>52</v>
      </c>
      <c r="F490" s="72" t="str" cm="1">
        <f t="array" ref="F490">VLOOKUP(B490,'Player Data'!A1:B673,2,FALSE)</f>
        <v>BOS</v>
      </c>
      <c r="G490" s="11" cm="1">
        <f t="array" ref="G490">VLOOKUP(B490,'Player Data'!A1:D673,3,FALSE)</f>
        <v>27</v>
      </c>
      <c r="H490" s="67" cm="1">
        <f t="array" ref="H490">IFERROR(VLOOKUP(B490,ADP!A1:F671,6,FALSE)/1000000,VLOOKUP(B490,ADP!A1:F671,6,FALSE))</f>
        <v>0.8125</v>
      </c>
      <c r="I490" s="52">
        <f>IF(Settings!$E$15="POINTS",(AJ490*Settings!$B$29)+(AK490*Settings!$B$21)+(AL490*Settings!$B$22)+(AN490*Settings!$B$24)+(AO490*Settings!$B$25)+(AP490*Settings!$B$27)+(AM490*Settings!$B$23),VLOOKUP(B490,'Standard Deviations'!A$1:C$672,3,FALSE))</f>
        <v>144.47069179767911</v>
      </c>
      <c r="J490" s="53" cm="1">
        <f t="array" ref="J490">IF(D490="G",I490/AJ490,I490/Q490)</f>
        <v>5.7788276719071643</v>
      </c>
      <c r="K490" s="52" cm="1">
        <f t="array" ref="K490">VLOOKUP(B490,G!A1:F66,6,FALSE)</f>
        <v>-214.68721613255892</v>
      </c>
      <c r="L490" s="54" cm="1">
        <f t="array" ref="L490">IFERROR(K490/H490,"N/A")</f>
        <v>-264.23041985545711</v>
      </c>
      <c r="M490" s="85" t="s">
        <v>832</v>
      </c>
      <c r="N490" s="85" t="str" cm="1">
        <f t="array" ref="N490">IFERROR(M490-A490,"N/A")</f>
        <v>N/A</v>
      </c>
      <c r="O490" s="55"/>
      <c r="P490" s="56" t="str" cm="1">
        <f t="array" ref="P490">_xlfn.XLOOKUP($B490,ADP!A2:A671,ADP!G2:G671)</f>
        <v xml:space="preserve"> </v>
      </c>
      <c r="Q490" s="57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9"/>
      <c r="AI490" s="55"/>
      <c r="AJ490" s="78" cm="1">
        <f t="array" ref="AJ490">VLOOKUP(B490,'Player Data'!$A1:$AE673,24,FALSE)</f>
        <v>25</v>
      </c>
      <c r="AK490" s="57" cm="1">
        <f t="array" ref="AK490">VLOOKUP(B490,'Player Data'!$A1:$AE673,25,FALSE)*$AJ490*IFERROR((VLOOKUP(P490,Settings!$E$28:$F$33,2,FALSE)+1),1)</f>
        <v>11.518914896270701</v>
      </c>
      <c r="AL490" s="57" cm="1">
        <f t="array" ref="AL490">AJ490-AK490-AM490</f>
        <v>10.110813827796974</v>
      </c>
      <c r="AM490" s="57" cm="1">
        <f t="array" ref="AM490">VLOOKUP(B490,'Player Data'!$A1:$AE673,27,FALSE)*$AJ490</f>
        <v>3.3702712759323252</v>
      </c>
      <c r="AN490" s="57" cm="1">
        <f t="array" ref="AN490">VLOOKUP(B490,'Player Data'!$A1:$AE673,28,FALSE)*AJ490</f>
        <v>1.0426477908280025</v>
      </c>
      <c r="AO490" s="57" cm="1">
        <f t="array" ref="AO490">VLOOKUP(B490,'Player Data'!$A1:$AE673,29,FALSE)*$AJ490*IFERROR((VLOOKUP(P490,Settings!$E$28:$F$33,2,FALSE)/4)+1,1)</f>
        <v>667.53465694801503</v>
      </c>
      <c r="AP490" s="57" cm="1">
        <f t="array" ref="AP490">VLOOKUP(B490,'Player Data'!$A1:$AE673,31,FALSE)*$AJ490*(IFERROR(1-(VLOOKUP(P490,Settings!$E$28:$F$33,2,FALSE)/4),1))</f>
        <v>74.965343051989493</v>
      </c>
      <c r="AQ490" s="60" cm="1">
        <f t="array" ref="AQ490">1-(AP490/(AO490+AP490))</f>
        <v>0.89903657501415624</v>
      </c>
      <c r="AR490" s="61" cm="1">
        <f t="array" ref="AR490">AP490/AJ490</f>
        <v>2.9986137220795799</v>
      </c>
      <c r="AS490" s="55"/>
    </row>
    <row r="491" spans="1:45" ht="21.25" customHeight="1" x14ac:dyDescent="0.15">
      <c r="A491" s="62">
        <f t="shared" si="7"/>
        <v>490</v>
      </c>
      <c r="B491" s="10" t="s">
        <v>619</v>
      </c>
      <c r="C491" s="47" t="s">
        <v>147</v>
      </c>
      <c r="D491" s="48" t="str" cm="1">
        <f t="array" ref="D491">VLOOKUP(B491,'Player Data'!A1:D673,4,FALSE)</f>
        <v>C,LW,RW</v>
      </c>
      <c r="E491" s="74" cm="1">
        <f t="array" ref="E491">VLOOKUP(B491,RW!A1:F210,3,FALSE)</f>
        <v>138</v>
      </c>
      <c r="F491" s="69" t="str" cm="1">
        <f t="array" ref="F491">VLOOKUP(B491,'Player Data'!A1:B673,2,FALSE)</f>
        <v>N.J</v>
      </c>
      <c r="G491" s="66" cm="1">
        <f t="array" ref="G491">VLOOKUP(B491,'Player Data'!A1:D673,3,FALSE)</f>
        <v>33</v>
      </c>
      <c r="H491" s="67" cm="1">
        <f t="array" ref="H491">IFERROR(VLOOKUP(B491,ADP!A1:F671,6,FALSE)/1000000,VLOOKUP(B491,ADP!A1:F671,6,FALSE))</f>
        <v>3.08</v>
      </c>
      <c r="I491" s="52">
        <f>IF(Settings!$E$15="POINTS",((R491*Q491)*Settings!$B$12)+(S491*Settings!$B$2)+(T491*Settings!$B$3)+(U491*Settings!$B$4)+(V491*Settings!$B$5)+(X491*Settings!$B$9)+(AA491*Settings!$B$6)+(W491*Settings!$B$8)+(AB491*Settings!$B$7)+(AC491*Settings!$B$14)+(AD491*Settings!$B$15)+(AE491*Settings!$B$16)+(AF491*Settings!$B$17)+(AG491*Settings!$B$18)+(Y491*Settings!$B$10)+(Z491*Settings!$B$11),VLOOKUP(B491,'Standard Deviations'!A$1:C$672,3,FALSE))</f>
        <v>179.8782635393583</v>
      </c>
      <c r="J491" s="53" cm="1">
        <f t="array" ref="J491">IF(D491="G",I491/AJ491,I491/Q491)</f>
        <v>2.2064861055458103</v>
      </c>
      <c r="K491" s="52" cm="1">
        <f t="array" ref="K491">IF(Settings!$E$18="C/LW/RW",VLOOKUP(B491,RW!A1:F210,6,FALSE),VLOOKUP(B491,F!A1:F407,6,FALSE))</f>
        <v>-215.06520115419917</v>
      </c>
      <c r="L491" s="54" cm="1">
        <f t="array" ref="L491">IFERROR(K491/H491,"N/A")</f>
        <v>-69.826364011103621</v>
      </c>
      <c r="M491" s="85" t="s">
        <v>832</v>
      </c>
      <c r="N491" s="85" t="str" cm="1">
        <f t="array" ref="N491">IFERROR(M491-A491,"N/A")</f>
        <v>N/A</v>
      </c>
      <c r="O491" s="55"/>
      <c r="P491" s="56" t="str" cm="1">
        <f t="array" ref="P491">_xlfn.XLOOKUP($B491,ADP!A2:A671,ADP!G2:G671)</f>
        <v xml:space="preserve"> </v>
      </c>
      <c r="Q491" s="57" cm="1">
        <f t="array" ref="Q491">IF(Settings!$E$12="YES",VLOOKUP(B491,'Player Data'!A1:E673,5,FALSE),84)</f>
        <v>81.522499999999994</v>
      </c>
      <c r="R491" s="84" cm="1">
        <f t="array" ref="R491">VLOOKUP(B491,'Player Data'!$A1:$AE673,6,FALSE)</f>
        <v>13.9965925802051</v>
      </c>
      <c r="S491" s="57" cm="1">
        <f t="array" ref="S491">VLOOKUP(B491,'Player Data'!$A1:$AE673,7,FALSE)*$Q491*IFERROR((VLOOKUP(P491,Settings!$E$28:$F$33,2,FALSE)+1),1)</f>
        <v>11.475192892299226</v>
      </c>
      <c r="T491" s="57" cm="1">
        <f t="array" ref="T491">VLOOKUP(B491,'Player Data'!$A1:$AE673,8,FALSE)*$Q491*IFERROR((VLOOKUP(P491,Settings!$E$28:$F$33,2,FALSE)+1),1)</f>
        <v>17.181184058035807</v>
      </c>
      <c r="U491" s="57" cm="1">
        <f t="array" ref="U491">SUM(S491:T491)</f>
        <v>28.656376950335034</v>
      </c>
      <c r="V491" s="57" cm="1">
        <f t="array" ref="V491">VLOOKUP(B491,'Player Data'!$A1:$AE673,10,FALSE)*$Q491*IFERROR(((VLOOKUP(P491,Settings!$E$28:$F$33,2,FALSE)/2)+1),1)</f>
        <v>150.76448379915604</v>
      </c>
      <c r="W491" s="57" cm="1">
        <f t="array" ref="W491">VLOOKUP(B491,'Player Data'!$A1:$AE673,11,FALSE)*$Q491*IFERROR((VLOOKUP(P491,Settings!$E$28:$F$33,2,FALSE)+1),1)</f>
        <v>1.5530618747062563</v>
      </c>
      <c r="X491" s="57" cm="1">
        <f t="array" ref="X491">VLOOKUP(B491,'Player Data'!$A1:$AE673,12,FALSE)*$Q491*IFERROR((VLOOKUP(P491,Settings!$E$28:$F$33,2,FALSE)+1),1)</f>
        <v>4.3197791329621271</v>
      </c>
      <c r="Y491" s="57" cm="1">
        <f t="array" ref="Y491">VLOOKUP(B491,'Player Data'!$A1:$AE673,13,FALSE)*$Q491</f>
        <v>0.7102203609606158</v>
      </c>
      <c r="Z491" s="57" cm="1">
        <f t="array" ref="Z491">VLOOKUP(B491,'Player Data'!$A1:$AE673,14,FALSE)*$Q491</f>
        <v>0.78705743848676002</v>
      </c>
      <c r="AA491" s="57" cm="1">
        <f t="array" ref="AA491">VLOOKUP(B491,'Player Data'!$A1:$AE673,15,FALSE)*$Q491</f>
        <v>26.840108434652546</v>
      </c>
      <c r="AB491" s="57" cm="1">
        <f t="array" ref="AB491">VLOOKUP(B491,'Player Data'!$A1:$AE673,16,FALSE)*$Q491</f>
        <v>80.50436121571606</v>
      </c>
      <c r="AC491" s="57" cm="1">
        <f t="array" ref="AC491">VLOOKUP(B491,'Player Data'!$A1:$AE673,17,FALSE)*$Q491*IFERROR((VLOOKUP(P491,Settings!$E$28:$F$33,2,FALSE)+1),1)</f>
        <v>0.55303719072067414</v>
      </c>
      <c r="AD491" s="57" cm="1">
        <f t="array" ref="AD491">VLOOKUP(B491,'Player Data'!$A1:$AE673,18,FALSE)*$Q491</f>
        <v>33.228432561127832</v>
      </c>
      <c r="AE491" s="57" cm="1">
        <f t="array" ref="AE491">VLOOKUP(B491,'Player Data'!$A1:$AE673,19,FALSE)*$Q491*IFERROR((VLOOKUP(P491,Settings!$E$28:$F$33,2,FALSE)+1),1)</f>
        <v>1.7151490806995948</v>
      </c>
      <c r="AF491" s="57" cm="1">
        <f t="array" ref="AF491">VLOOKUP(B491,'Player Data'!$A1:$AE673,20,FALSE)*$Q491</f>
        <v>274.64778121379601</v>
      </c>
      <c r="AG491" s="57" cm="1">
        <f t="array" ref="AG491">VLOOKUP(B491,'Player Data'!$A1:$AE673,21,FALSE)*$Q491</f>
        <v>310.36773746450257</v>
      </c>
      <c r="AH491" s="59" cm="1">
        <f t="array" ref="AH491">VLOOKUP(B491,'Player Data'!$A1:$AE673,22,FALSE)</f>
        <v>0.46947093272721402</v>
      </c>
      <c r="AI491" s="55"/>
      <c r="AJ491" s="57"/>
      <c r="AK491" s="57"/>
      <c r="AL491" s="57"/>
      <c r="AM491" s="57"/>
      <c r="AN491" s="57"/>
      <c r="AO491" s="57"/>
      <c r="AP491" s="57"/>
      <c r="AQ491" s="60"/>
      <c r="AR491" s="61"/>
      <c r="AS491" s="55"/>
    </row>
    <row r="492" spans="1:45" ht="21.25" customHeight="1" x14ac:dyDescent="0.15">
      <c r="A492" s="62">
        <f t="shared" si="7"/>
        <v>491</v>
      </c>
      <c r="B492" s="10" t="s">
        <v>620</v>
      </c>
      <c r="C492" s="47" t="s">
        <v>147</v>
      </c>
      <c r="D492" s="48" t="str" cm="1">
        <f t="array" ref="D492">VLOOKUP(B492,'Player Data'!A1:D673,4,FALSE)</f>
        <v>C,RW</v>
      </c>
      <c r="E492" s="74" cm="1">
        <f t="array" ref="E492">VLOOKUP(B492,RW!A1:F210,3,FALSE)</f>
        <v>139</v>
      </c>
      <c r="F492" s="56" t="str" cm="1">
        <f t="array" ref="F492">VLOOKUP(B492,'Player Data'!A1:B673,2,FALSE)</f>
        <v>CHI</v>
      </c>
      <c r="G492" s="71" cm="1">
        <f t="array" ref="G492">VLOOKUP(B492,'Player Data'!A1:D673,3,FALSE)</f>
        <v>22</v>
      </c>
      <c r="H492" s="51" cm="1">
        <f t="array" ref="H492">IFERROR(VLOOKUP(B492,ADP!A1:F671,6,FALSE)/1000000,VLOOKUP(B492,ADP!A1:F671,6,FALSE))</f>
        <v>0.95</v>
      </c>
      <c r="I492" s="52">
        <f>IF(Settings!$E$15="POINTS",((R492*Q492)*Settings!$B$12)+(S492*Settings!$B$2)+(T492*Settings!$B$3)+(U492*Settings!$B$4)+(V492*Settings!$B$5)+(X492*Settings!$B$9)+(AA492*Settings!$B$6)+(W492*Settings!$B$8)+(AB492*Settings!$B$7)+(AC492*Settings!$B$14)+(AD492*Settings!$B$15)+(AE492*Settings!$B$16)+(AF492*Settings!$B$17)+(AG492*Settings!$B$18)+(Y492*Settings!$B$10)+(Z492*Settings!$B$11),VLOOKUP(B492,'Standard Deviations'!A$1:C$672,3,FALSE))</f>
        <v>179.73629821544824</v>
      </c>
      <c r="J492" s="53" cm="1">
        <f t="array" ref="J492">IF(D492="G",I492/AJ492,I492/Q492)</f>
        <v>2.1670641212376207</v>
      </c>
      <c r="K492" s="52" cm="1">
        <f t="array" ref="K492">IF(Settings!$E$18="C/LW/RW",VLOOKUP(B492,RW!A1:F210,6,FALSE),VLOOKUP(B492,F!A1:F407,6,FALSE))</f>
        <v>-215.20716647810923</v>
      </c>
      <c r="L492" s="54" cm="1">
        <f t="array" ref="L492">IFERROR(K492/H492,"N/A")</f>
        <v>-226.5338594506413</v>
      </c>
      <c r="M492" s="85" t="s">
        <v>832</v>
      </c>
      <c r="N492" s="85" t="str" cm="1">
        <f t="array" ref="N492">IFERROR(M492-A492,"N/A")</f>
        <v>N/A</v>
      </c>
      <c r="O492" s="55"/>
      <c r="P492" s="56" t="str" cm="1">
        <f t="array" ref="P492">_xlfn.XLOOKUP($B492,ADP!A2:A671,ADP!G2:G671)</f>
        <v xml:space="preserve"> </v>
      </c>
      <c r="Q492" s="57" cm="1">
        <f t="array" ref="Q492">IF(Settings!$E$12="YES",VLOOKUP(B492,'Player Data'!A1:E673,5,FALSE),84)</f>
        <v>82.94</v>
      </c>
      <c r="R492" s="55" cm="1">
        <f t="array" ref="R492">VLOOKUP(B492,'Player Data'!$A1:$AE673,6,FALSE)</f>
        <v>16.217444361493701</v>
      </c>
      <c r="S492" s="57" cm="1">
        <f t="array" ref="S492">VLOOKUP(B492,'Player Data'!$A1:$AE673,7,FALSE)*$Q492*IFERROR((VLOOKUP(P492,Settings!$E$28:$F$33,2,FALSE)+1),1)</f>
        <v>14.094811630530488</v>
      </c>
      <c r="T492" s="57" cm="1">
        <f t="array" ref="T492">VLOOKUP(B492,'Player Data'!$A1:$AE673,8,FALSE)*$Q492*IFERROR((VLOOKUP(P492,Settings!$E$28:$F$33,2,FALSE)+1),1)</f>
        <v>18.865130891384222</v>
      </c>
      <c r="U492" s="57" cm="1">
        <f t="array" ref="U492">SUM(S492:T492)</f>
        <v>32.959942521914712</v>
      </c>
      <c r="V492" s="57" cm="1">
        <f t="array" ref="V492">VLOOKUP(B492,'Player Data'!$A1:$AE673,10,FALSE)*$Q492*IFERROR(((VLOOKUP(P492,Settings!$E$28:$F$33,2,FALSE)/2)+1),1)</f>
        <v>112.71910305539717</v>
      </c>
      <c r="W492" s="57" cm="1">
        <f t="array" ref="W492">VLOOKUP(B492,'Player Data'!$A1:$AE673,11,FALSE)*$Q492*IFERROR((VLOOKUP(P492,Settings!$E$28:$F$33,2,FALSE)+1),1)</f>
        <v>1.0745815323800256</v>
      </c>
      <c r="X492" s="57" cm="1">
        <f t="array" ref="X492">VLOOKUP(B492,'Player Data'!$A1:$AE673,12,FALSE)*$Q492*IFERROR((VLOOKUP(P492,Settings!$E$28:$F$33,2,FALSE)+1),1)</f>
        <v>3.4209875461933317</v>
      </c>
      <c r="Y492" s="57" cm="1">
        <f t="array" ref="Y492">VLOOKUP(B492,'Player Data'!$A1:$AE673,13,FALSE)*$Q492</f>
        <v>1.2099458587692158</v>
      </c>
      <c r="Z492" s="57" cm="1">
        <f t="array" ref="Z492">VLOOKUP(B492,'Player Data'!$A1:$AE673,14,FALSE)*$Q492</f>
        <v>1.377995155516748</v>
      </c>
      <c r="AA492" s="57" cm="1">
        <f t="array" ref="AA492">VLOOKUP(B492,'Player Data'!$A1:$AE673,15,FALSE)*$Q492</f>
        <v>39.395872840590862</v>
      </c>
      <c r="AB492" s="57" cm="1">
        <f t="array" ref="AB492">VLOOKUP(B492,'Player Data'!$A1:$AE673,16,FALSE)*$Q492</f>
        <v>55.46265103748766</v>
      </c>
      <c r="AC492" s="57" cm="1">
        <f t="array" ref="AC492">VLOOKUP(B492,'Player Data'!$A1:$AE673,17,FALSE)*$Q492*IFERROR((VLOOKUP(P492,Settings!$E$28:$F$33,2,FALSE)+1),1)</f>
        <v>-9.2633033507481546</v>
      </c>
      <c r="AD492" s="57" cm="1">
        <f t="array" ref="AD492">VLOOKUP(B492,'Player Data'!$A1:$AE673,18,FALSE)*$Q492</f>
        <v>20.497088051917871</v>
      </c>
      <c r="AE492" s="57" cm="1">
        <f t="array" ref="AE492">VLOOKUP(B492,'Player Data'!$A1:$AE673,19,FALSE)*$Q492*IFERROR((VLOOKUP(P492,Settings!$E$28:$F$33,2,FALSE)+1),1)</f>
        <v>1.7395259587284184</v>
      </c>
      <c r="AF492" s="57" cm="1">
        <f t="array" ref="AF492">VLOOKUP(B492,'Player Data'!$A1:$AE673,20,FALSE)*$Q492</f>
        <v>337.03786735954662</v>
      </c>
      <c r="AG492" s="57" cm="1">
        <f t="array" ref="AG492">VLOOKUP(B492,'Player Data'!$A1:$AE673,21,FALSE)*$Q492</f>
        <v>452.49547579904862</v>
      </c>
      <c r="AH492" s="59" cm="1">
        <f t="array" ref="AH492">VLOOKUP(B492,'Player Data'!$A1:$AE673,22,FALSE)</f>
        <v>0.426882373341192</v>
      </c>
      <c r="AI492" s="55"/>
      <c r="AJ492" s="57"/>
      <c r="AK492" s="57"/>
      <c r="AL492" s="57"/>
      <c r="AM492" s="57"/>
      <c r="AN492" s="57"/>
      <c r="AO492" s="57"/>
      <c r="AP492" s="57"/>
      <c r="AQ492" s="60"/>
      <c r="AR492" s="61"/>
      <c r="AS492" s="55"/>
    </row>
    <row r="493" spans="1:45" ht="21.25" customHeight="1" x14ac:dyDescent="0.15">
      <c r="A493" s="62">
        <f t="shared" si="7"/>
        <v>492</v>
      </c>
      <c r="B493" s="10" t="s">
        <v>621</v>
      </c>
      <c r="C493" s="47" t="s">
        <v>147</v>
      </c>
      <c r="D493" s="48" t="str" cm="1">
        <f t="array" ref="D493">VLOOKUP(B493,'Player Data'!A1:D673,4,FALSE)</f>
        <v>RW</v>
      </c>
      <c r="E493" s="64" cm="1">
        <f t="array" ref="E493">VLOOKUP(B493,RW!A1:F210,3,FALSE)</f>
        <v>140</v>
      </c>
      <c r="F493" s="18" t="str" cm="1">
        <f t="array" ref="F493">VLOOKUP(B493,'Player Data'!A1:B673,2,FALSE)</f>
        <v>VAN</v>
      </c>
      <c r="G493" s="11" cm="1">
        <f t="array" ref="G493">VLOOKUP(B493,'Player Data'!A1:D673,3,FALSE)</f>
        <v>26</v>
      </c>
      <c r="H493" s="51" cm="1">
        <f t="array" ref="H493">IFERROR(VLOOKUP(B493,ADP!A1:F671,6,FALSE)/1000000,VLOOKUP(B493,ADP!A1:F671,6,FALSE))</f>
        <v>2.25</v>
      </c>
      <c r="I493" s="52">
        <f>IF(Settings!$E$15="POINTS",((R493*Q493)*Settings!$B$12)+(S493*Settings!$B$2)+(T493*Settings!$B$3)+(U493*Settings!$B$4)+(V493*Settings!$B$5)+(X493*Settings!$B$9)+(AA493*Settings!$B$6)+(W493*Settings!$B$8)+(AB493*Settings!$B$7)+(AC493*Settings!$B$14)+(AD493*Settings!$B$15)+(AE493*Settings!$B$16)+(AF493*Settings!$B$17)+(AG493*Settings!$B$18)+(Y493*Settings!$B$10)+(Z493*Settings!$B$11),VLOOKUP(B493,'Standard Deviations'!A$1:C$672,3,FALSE))</f>
        <v>179.47695892758586</v>
      </c>
      <c r="J493" s="53" cm="1">
        <f t="array" ref="J493">IF(D493="G",I493/AJ493,I493/Q493)</f>
        <v>2.4164658376597781</v>
      </c>
      <c r="K493" s="52" cm="1">
        <f t="array" ref="K493">IF(Settings!$E$18="C/LW/RW",VLOOKUP(B493,RW!A1:F210,6,FALSE),VLOOKUP(B493,F!A1:F407,6,FALSE))</f>
        <v>-215.46650576597162</v>
      </c>
      <c r="L493" s="54" cm="1">
        <f t="array" ref="L493">IFERROR(K493/H493,"N/A")</f>
        <v>-95.762891451542941</v>
      </c>
      <c r="M493" s="85" t="s">
        <v>832</v>
      </c>
      <c r="N493" s="85" t="str" cm="1">
        <f t="array" ref="N493">IFERROR(M493-A493,"N/A")</f>
        <v>N/A</v>
      </c>
      <c r="O493" s="55"/>
      <c r="P493" s="56" t="str" cm="1">
        <f t="array" ref="P493">_xlfn.XLOOKUP($B493,ADP!A2:A671,ADP!G2:G671)</f>
        <v xml:space="preserve"> </v>
      </c>
      <c r="Q493" s="57" cm="1">
        <f t="array" ref="Q493">IF(Settings!$E$12="YES",VLOOKUP(B493,'Player Data'!A1:E673,5,FALSE),84)</f>
        <v>74.272499999999994</v>
      </c>
      <c r="R493" s="82" cm="1">
        <f t="array" ref="R493">VLOOKUP(B493,'Player Data'!$A1:$AE673,6,FALSE)</f>
        <v>14.009279279781801</v>
      </c>
      <c r="S493" s="57" cm="1">
        <f t="array" ref="S493">VLOOKUP(B493,'Player Data'!$A1:$AE673,7,FALSE)*$Q493*IFERROR((VLOOKUP(P493,Settings!$E$28:$F$33,2,FALSE)+1),1)</f>
        <v>14.620724079538574</v>
      </c>
      <c r="T493" s="57" cm="1">
        <f t="array" ref="T493">VLOOKUP(B493,'Player Data'!$A1:$AE673,8,FALSE)*$Q493*IFERROR((VLOOKUP(P493,Settings!$E$28:$F$33,2,FALSE)+1),1)</f>
        <v>19.549319073677868</v>
      </c>
      <c r="U493" s="57" cm="1">
        <f t="array" ref="U493">SUM(S493:T493)</f>
        <v>34.17004315321644</v>
      </c>
      <c r="V493" s="57" cm="1">
        <f t="array" ref="V493">VLOOKUP(B493,'Player Data'!$A1:$AE673,10,FALSE)*$Q493*IFERROR(((VLOOKUP(P493,Settings!$E$28:$F$33,2,FALSE)/2)+1),1)</f>
        <v>118.38966385363007</v>
      </c>
      <c r="W493" s="57" cm="1">
        <f t="array" ref="W493">VLOOKUP(B493,'Player Data'!$A1:$AE673,11,FALSE)*$Q493*IFERROR((VLOOKUP(P493,Settings!$E$28:$F$33,2,FALSE)+1),1)</f>
        <v>2.1977572581146672</v>
      </c>
      <c r="X493" s="57" cm="1">
        <f t="array" ref="X493">VLOOKUP(B493,'Player Data'!$A1:$AE673,12,FALSE)*$Q493*IFERROR((VLOOKUP(P493,Settings!$E$28:$F$33,2,FALSE)+1),1)</f>
        <v>4.8023947438308205</v>
      </c>
      <c r="Y493" s="57" cm="1">
        <f t="array" ref="Y493">VLOOKUP(B493,'Player Data'!$A1:$AE673,13,FALSE)*$Q493</f>
        <v>1.3771619093535255E-2</v>
      </c>
      <c r="Z493" s="57" cm="1">
        <f t="array" ref="Z493">VLOOKUP(B493,'Player Data'!$A1:$AE673,14,FALSE)*$Q493</f>
        <v>2.2670209284502557E-2</v>
      </c>
      <c r="AA493" s="57" cm="1">
        <f t="array" ref="AA493">VLOOKUP(B493,'Player Data'!$A1:$AE673,15,FALSE)*$Q493</f>
        <v>25.893865176012305</v>
      </c>
      <c r="AB493" s="57" cm="1">
        <f t="array" ref="AB493">VLOOKUP(B493,'Player Data'!$A1:$AE673,16,FALSE)*$Q493</f>
        <v>88.173566228673025</v>
      </c>
      <c r="AC493" s="57" cm="1">
        <f t="array" ref="AC493">VLOOKUP(B493,'Player Data'!$A1:$AE673,17,FALSE)*$Q493*IFERROR((VLOOKUP(P493,Settings!$E$28:$F$33,2,FALSE)+1),1)</f>
        <v>-8.9166594198171616</v>
      </c>
      <c r="AD493" s="57" cm="1">
        <f t="array" ref="AD493">VLOOKUP(B493,'Player Data'!$A1:$AE673,18,FALSE)*$Q493</f>
        <v>23.617569162766337</v>
      </c>
      <c r="AE493" s="57" cm="1">
        <f t="array" ref="AE493">VLOOKUP(B493,'Player Data'!$A1:$AE673,19,FALSE)*$Q493*IFERROR((VLOOKUP(P493,Settings!$E$28:$F$33,2,FALSE)+1),1)</f>
        <v>1.811763924380023</v>
      </c>
      <c r="AF493" s="57" cm="1">
        <f t="array" ref="AF493">VLOOKUP(B493,'Player Data'!$A1:$AE673,20,FALSE)*$Q493</f>
        <v>14.78849692067991</v>
      </c>
      <c r="AG493" s="57" cm="1">
        <f t="array" ref="AG493">VLOOKUP(B493,'Player Data'!$A1:$AE673,21,FALSE)*$Q493</f>
        <v>38.669963904630841</v>
      </c>
      <c r="AH493" s="59" cm="1">
        <f t="array" ref="AH493">VLOOKUP(B493,'Player Data'!$A1:$AE673,22,FALSE)</f>
        <v>0.276635292007474</v>
      </c>
      <c r="AI493" s="55"/>
      <c r="AJ493" s="57"/>
      <c r="AK493" s="57"/>
      <c r="AL493" s="57"/>
      <c r="AM493" s="57"/>
      <c r="AN493" s="57"/>
      <c r="AO493" s="57"/>
      <c r="AP493" s="57"/>
      <c r="AQ493" s="60"/>
      <c r="AR493" s="61"/>
      <c r="AS493" s="55"/>
    </row>
    <row r="494" spans="1:45" ht="21.25" customHeight="1" x14ac:dyDescent="0.15">
      <c r="A494" s="62">
        <f t="shared" si="7"/>
        <v>493</v>
      </c>
      <c r="B494" s="10" t="s">
        <v>622</v>
      </c>
      <c r="C494" s="47" t="s">
        <v>147</v>
      </c>
      <c r="D494" s="48" t="str" cm="1">
        <f t="array" ref="D494">VLOOKUP(B494,'Player Data'!A1:D673,4,FALSE)</f>
        <v>D</v>
      </c>
      <c r="E494" s="68" cm="1">
        <f t="array" ref="E494">VLOOKUP(B494,D!A1:C204,3,FALSE)</f>
        <v>197</v>
      </c>
      <c r="F494" s="70" t="str" cm="1">
        <f t="array" ref="F494">VLOOKUP(B494,'Player Data'!A1:B673,2,FALSE)</f>
        <v>MIN</v>
      </c>
      <c r="G494" s="66" cm="1">
        <f t="array" ref="G494">VLOOKUP(B494,'Player Data'!A1:D673,3,FALSE)</f>
        <v>36</v>
      </c>
      <c r="H494" s="67" cm="1">
        <f t="array" ref="H494">IFERROR(VLOOKUP(B494,ADP!A1:F671,6,FALSE)/1000000,VLOOKUP(B494,ADP!A1:F671,6,FALSE))</f>
        <v>1.25</v>
      </c>
      <c r="I494" s="52">
        <f>IF(Settings!$E$15="POINTS",((R494*Q494)*Settings!$B$12)+(S494*Settings!$B$2)+(T494*Settings!$B$3)+(U494*Settings!$B$4)+(V494*Settings!$B$5)+(X494*Settings!$B$9)+(AA494*Settings!$B$6)+(W494*Settings!$B$8)+(AB494*Settings!$B$7)+(AC494*Settings!$B$14)+(AD494*Settings!$B$15)+(AE494*Settings!$B$16)+(AF494*Settings!$B$17)+(AG494*Settings!$B$18)+(U494*Settings!$B$13)+(Y494*Settings!$B$10)+(Z494*Settings!$B$11),VLOOKUP(B494,'Standard Deviations'!A$1:C$672,3,FALSE))</f>
        <v>90.271594687059832</v>
      </c>
      <c r="J494" s="53" cm="1">
        <f t="array" ref="J494">IF(D494="G",I494/AJ494,I494/Q494)</f>
        <v>1.204986914330372</v>
      </c>
      <c r="K494" s="52" cm="1">
        <f t="array" ref="K494">VLOOKUP(B494,D!A1:F204,6,FALSE)</f>
        <v>-216.38227265753423</v>
      </c>
      <c r="L494" s="54" cm="1">
        <f t="array" ref="L494">IFERROR(K494/H494,"N/A")</f>
        <v>-173.10581812602737</v>
      </c>
      <c r="M494" s="85" t="s">
        <v>832</v>
      </c>
      <c r="N494" s="85" t="str" cm="1">
        <f t="array" ref="N494">IFERROR(M494-A494,"N/A")</f>
        <v>N/A</v>
      </c>
      <c r="O494" s="55"/>
      <c r="P494" s="56" t="str" cm="1">
        <f t="array" ref="P494">_xlfn.XLOOKUP($B494,ADP!A2:A671,ADP!G2:G671)</f>
        <v xml:space="preserve"> </v>
      </c>
      <c r="Q494" s="57" cm="1">
        <f t="array" ref="Q494">IF(Settings!$E$12="YES",VLOOKUP(B494,'Player Data'!A1:E673,5,FALSE),84)</f>
        <v>74.915000000000006</v>
      </c>
      <c r="R494" s="55" cm="1">
        <f t="array" ref="R494">VLOOKUP(B494,'Player Data'!$A1:$AE673,6,FALSE)</f>
        <v>14.246004149390201</v>
      </c>
      <c r="S494" s="57" cm="1">
        <f t="array" ref="S494">VLOOKUP(B494,'Player Data'!$A1:$AE673,7,FALSE)*$Q494*IFERROR((VLOOKUP(P494,Settings!$E$28:$F$33,2,FALSE)+1),1)</f>
        <v>1.3744517045208093</v>
      </c>
      <c r="T494" s="57" cm="1">
        <f t="array" ref="T494">VLOOKUP(B494,'Player Data'!$A1:$AE673,8,FALSE)*$Q494*IFERROR((VLOOKUP(P494,Settings!$E$28:$F$33,2,FALSE)+1),1)</f>
        <v>8.1479630077823177</v>
      </c>
      <c r="U494" s="57" cm="1">
        <f t="array" ref="U494">SUM(S494:T494)</f>
        <v>9.522414712303128</v>
      </c>
      <c r="V494" s="57" cm="1">
        <f t="array" ref="V494">VLOOKUP(B494,'Player Data'!$A1:$AE673,10,FALSE)*$Q494*IFERROR(((VLOOKUP(P494,Settings!$E$28:$F$33,2,FALSE)/2)+1),1)</f>
        <v>53.293122319973889</v>
      </c>
      <c r="W494" s="57" cm="1">
        <f t="array" ref="W494">VLOOKUP(B494,'Player Data'!$A1:$AE673,11,FALSE)*$Q494*IFERROR((VLOOKUP(P494,Settings!$E$28:$F$33,2,FALSE)+1),1)</f>
        <v>3.3910939695579487E-3</v>
      </c>
      <c r="X494" s="57" cm="1">
        <f t="array" ref="X494">VLOOKUP(B494,'Player Data'!$A1:$AE673,12,FALSE)*$Q494*IFERROR((VLOOKUP(P494,Settings!$E$28:$F$33,2,FALSE)+1),1)</f>
        <v>4.4307104324093557E-2</v>
      </c>
      <c r="Y494" s="57" cm="1">
        <f t="array" ref="Y494">VLOOKUP(B494,'Player Data'!$A1:$AE673,13,FALSE)*$Q494</f>
        <v>4.0145467452076542E-3</v>
      </c>
      <c r="Z494" s="57" cm="1">
        <f t="array" ref="Z494">VLOOKUP(B494,'Player Data'!$A1:$AE673,14,FALSE)*$Q494</f>
        <v>6.3318279056599078E-2</v>
      </c>
      <c r="AA494" s="57" cm="1">
        <f t="array" ref="AA494">VLOOKUP(B494,'Player Data'!$A1:$AE673,15,FALSE)*$Q494</f>
        <v>69.900328013565641</v>
      </c>
      <c r="AB494" s="57" cm="1">
        <f t="array" ref="AB494">VLOOKUP(B494,'Player Data'!$A1:$AE673,16,FALSE)*$Q494</f>
        <v>84.464619094086416</v>
      </c>
      <c r="AC494" s="57" cm="1">
        <f t="array" ref="AC494">VLOOKUP(B494,'Player Data'!$A1:$AE673,17,FALSE)*$Q494*IFERROR((VLOOKUP(P494,Settings!$E$28:$F$33,2,FALSE)+1),1)</f>
        <v>2.0811524244700048</v>
      </c>
      <c r="AD494" s="57" cm="1">
        <f t="array" ref="AD494">VLOOKUP(B494,'Player Data'!$A1:$AE673,18,FALSE)*$Q494</f>
        <v>33.643032654807968</v>
      </c>
      <c r="AE494" s="57" cm="1">
        <f t="array" ref="AE494">VLOOKUP(B494,'Player Data'!$A1:$AE673,19,FALSE)*$Q494*IFERROR((VLOOKUP(P494,Settings!$E$28:$F$33,2,FALSE)+1),1)</f>
        <v>0.22387687167361645</v>
      </c>
      <c r="AF494" s="57" cm="1">
        <f t="array" ref="AF494">VLOOKUP(B494,'Player Data'!$A1:$AE673,20,FALSE)*$Q494</f>
        <v>2.6872539184451278E-8</v>
      </c>
      <c r="AG494" s="57" cm="1">
        <f t="array" ref="AG494">VLOOKUP(B494,'Player Data'!$A1:$AE673,21,FALSE)*$Q494</f>
        <v>0.97089134441063751</v>
      </c>
      <c r="AH494" s="59" cm="1">
        <f t="array" ref="AH494">VLOOKUP(B494,'Player Data'!$A1:$AE673,22,FALSE)</f>
        <v>2.76782140405009E-8</v>
      </c>
      <c r="AI494" s="55"/>
      <c r="AJ494" s="57"/>
      <c r="AK494" s="57"/>
      <c r="AL494" s="57"/>
      <c r="AM494" s="57"/>
      <c r="AN494" s="57"/>
      <c r="AO494" s="57"/>
      <c r="AP494" s="57"/>
      <c r="AQ494" s="60"/>
      <c r="AR494" s="61"/>
      <c r="AS494" s="55"/>
    </row>
    <row r="495" spans="1:45" ht="21.25" customHeight="1" x14ac:dyDescent="0.15">
      <c r="A495" s="62">
        <f t="shared" si="7"/>
        <v>494</v>
      </c>
      <c r="B495" s="10" t="s">
        <v>623</v>
      </c>
      <c r="C495" s="47" t="s">
        <v>147</v>
      </c>
      <c r="D495" s="48" t="str" cm="1">
        <f t="array" ref="D495">VLOOKUP(B495,'Player Data'!A1:D673,4,FALSE)</f>
        <v>D</v>
      </c>
      <c r="E495" s="68" cm="1">
        <f t="array" ref="E495">VLOOKUP(B495,D!A1:C204,3,FALSE)</f>
        <v>198</v>
      </c>
      <c r="F495" s="18" t="str" cm="1">
        <f t="array" ref="F495">VLOOKUP(B495,'Player Data'!A1:B673,2,FALSE)</f>
        <v>OTT</v>
      </c>
      <c r="G495" s="11" cm="1">
        <f t="array" ref="G495">VLOOKUP(B495,'Player Data'!A1:D673,3,FALSE)</f>
        <v>27</v>
      </c>
      <c r="H495" s="67" cm="1">
        <f t="array" ref="H495">IFERROR(VLOOKUP(B495,ADP!A1:F671,6,FALSE)/1000000,VLOOKUP(B495,ADP!A1:F671,6,FALSE))</f>
        <v>0.875</v>
      </c>
      <c r="I495" s="52">
        <f>IF(Settings!$E$15="POINTS",((R495*Q495)*Settings!$B$12)+(S495*Settings!$B$2)+(T495*Settings!$B$3)+(U495*Settings!$B$4)+(V495*Settings!$B$5)+(X495*Settings!$B$9)+(AA495*Settings!$B$6)+(W495*Settings!$B$8)+(AB495*Settings!$B$7)+(AC495*Settings!$B$14)+(AD495*Settings!$B$15)+(AE495*Settings!$B$16)+(AF495*Settings!$B$17)+(AG495*Settings!$B$18)+(U495*Settings!$B$13)+(Y495*Settings!$B$10)+(Z495*Settings!$B$11),VLOOKUP(B495,'Standard Deviations'!A$1:C$672,3,FALSE))</f>
        <v>88.66868179873633</v>
      </c>
      <c r="J495" s="53" cm="1">
        <f t="array" ref="J495">IF(D495="G",I495/AJ495,I495/Q495)</f>
        <v>1.3659723751008872</v>
      </c>
      <c r="K495" s="52" cm="1">
        <f t="array" ref="K495">VLOOKUP(B495,D!A1:F204,6,FALSE)</f>
        <v>-217.98518554585775</v>
      </c>
      <c r="L495" s="54" cm="1">
        <f t="array" ref="L495">IFERROR(K495/H495,"N/A")</f>
        <v>-249.12592633812315</v>
      </c>
      <c r="M495" s="85" t="s">
        <v>832</v>
      </c>
      <c r="N495" s="85" t="str" cm="1">
        <f t="array" ref="N495">IFERROR(M495-A495,"N/A")</f>
        <v>N/A</v>
      </c>
      <c r="O495" s="55"/>
      <c r="P495" s="56" t="str" cm="1">
        <f t="array" ref="P495">_xlfn.XLOOKUP($B495,ADP!A2:A671,ADP!G2:G671)</f>
        <v xml:space="preserve"> </v>
      </c>
      <c r="Q495" s="57" cm="1">
        <f t="array" ref="Q495">IF(Settings!$E$12="YES",VLOOKUP(B495,'Player Data'!A1:E673,5,FALSE),84)</f>
        <v>64.912499999999994</v>
      </c>
      <c r="R495" s="55" cm="1">
        <f t="array" ref="R495">VLOOKUP(B495,'Player Data'!$A1:$AE673,6,FALSE)</f>
        <v>15.684157425876499</v>
      </c>
      <c r="S495" s="57" cm="1">
        <f t="array" ref="S495">VLOOKUP(B495,'Player Data'!$A1:$AE673,7,FALSE)*$Q495*IFERROR((VLOOKUP(P495,Settings!$E$28:$F$33,2,FALSE)+1),1)</f>
        <v>1.0175481678054907</v>
      </c>
      <c r="T495" s="57" cm="1">
        <f t="array" ref="T495">VLOOKUP(B495,'Player Data'!$A1:$AE673,8,FALSE)*$Q495*IFERROR((VLOOKUP(P495,Settings!$E$28:$F$33,2,FALSE)+1),1)</f>
        <v>7.3890397856350249</v>
      </c>
      <c r="U495" s="57" cm="1">
        <f t="array" ref="U495">SUM(S495:T495)</f>
        <v>8.4065879534405159</v>
      </c>
      <c r="V495" s="57" cm="1">
        <f t="array" ref="V495">VLOOKUP(B495,'Player Data'!$A1:$AE673,10,FALSE)*$Q495*IFERROR(((VLOOKUP(P495,Settings!$E$28:$F$33,2,FALSE)/2)+1),1)</f>
        <v>51.194877069230181</v>
      </c>
      <c r="W495" s="57" cm="1">
        <f t="array" ref="W495">VLOOKUP(B495,'Player Data'!$A1:$AE673,11,FALSE)*$Q495*IFERROR((VLOOKUP(P495,Settings!$E$28:$F$33,2,FALSE)+1),1)</f>
        <v>7.0344721366475673E-4</v>
      </c>
      <c r="X495" s="57" cm="1">
        <f t="array" ref="X495">VLOOKUP(B495,'Player Data'!$A1:$AE673,12,FALSE)*$Q495*IFERROR((VLOOKUP(P495,Settings!$E$28:$F$33,2,FALSE)+1),1)</f>
        <v>7.052596188617752E-3</v>
      </c>
      <c r="Y495" s="57" cm="1">
        <f t="array" ref="Y495">VLOOKUP(B495,'Player Data'!$A1:$AE673,13,FALSE)*$Q495</f>
        <v>1.9836572978102773E-2</v>
      </c>
      <c r="Z495" s="57" cm="1">
        <f t="array" ref="Z495">VLOOKUP(B495,'Player Data'!$A1:$AE673,14,FALSE)*$Q495</f>
        <v>0.86543435405523772</v>
      </c>
      <c r="AA495" s="57" cm="1">
        <f t="array" ref="AA495">VLOOKUP(B495,'Player Data'!$A1:$AE673,15,FALSE)*$Q495</f>
        <v>73.95798490711168</v>
      </c>
      <c r="AB495" s="57" cm="1">
        <f t="array" ref="AB495">VLOOKUP(B495,'Player Data'!$A1:$AE673,16,FALSE)*$Q495</f>
        <v>63.510982363465189</v>
      </c>
      <c r="AC495" s="57" cm="1">
        <f t="array" ref="AC495">VLOOKUP(B495,'Player Data'!$A1:$AE673,17,FALSE)*$Q495*IFERROR((VLOOKUP(P495,Settings!$E$28:$F$33,2,FALSE)+1),1)</f>
        <v>0.73072248365497505</v>
      </c>
      <c r="AD495" s="57" cm="1">
        <f t="array" ref="AD495">VLOOKUP(B495,'Player Data'!$A1:$AE673,18,FALSE)*$Q495</f>
        <v>26.026909594587117</v>
      </c>
      <c r="AE495" s="57" cm="1">
        <f t="array" ref="AE495">VLOOKUP(B495,'Player Data'!$A1:$AE673,19,FALSE)*$Q495*IFERROR((VLOOKUP(P495,Settings!$E$28:$F$33,2,FALSE)+1),1)</f>
        <v>0.18049796369552912</v>
      </c>
      <c r="AF495" s="57" cm="1">
        <f t="array" ref="AF495">VLOOKUP(B495,'Player Data'!$A1:$AE673,20,FALSE)*$Q495</f>
        <v>0</v>
      </c>
      <c r="AG495" s="57" cm="1">
        <f t="array" ref="AG495">VLOOKUP(B495,'Player Data'!$A1:$AE673,21,FALSE)*$Q495</f>
        <v>0</v>
      </c>
      <c r="AH495" s="59" cm="1">
        <f t="array" ref="AH495">VLOOKUP(B495,'Player Data'!$A1:$AE673,22,FALSE)</f>
        <v>0</v>
      </c>
      <c r="AI495" s="55"/>
      <c r="AJ495" s="57"/>
      <c r="AK495" s="57"/>
      <c r="AL495" s="57"/>
      <c r="AM495" s="57"/>
      <c r="AN495" s="57"/>
      <c r="AO495" s="57"/>
      <c r="AP495" s="57"/>
      <c r="AQ495" s="60"/>
      <c r="AR495" s="61"/>
      <c r="AS495" s="55"/>
    </row>
    <row r="496" spans="1:45" ht="21.25" customHeight="1" x14ac:dyDescent="0.15">
      <c r="A496" s="62">
        <f t="shared" si="7"/>
        <v>495</v>
      </c>
      <c r="B496" s="10" t="s">
        <v>624</v>
      </c>
      <c r="C496" s="47" t="s">
        <v>147</v>
      </c>
      <c r="D496" s="48" t="str" cm="1">
        <f t="array" ref="D496">VLOOKUP(B496,'Player Data'!A1:D673,4,FALSE)</f>
        <v>LW,RW</v>
      </c>
      <c r="E496" s="74" cm="1">
        <f t="array" ref="E496">VLOOKUP(B496,RW!A1:F210,3,FALSE)</f>
        <v>141</v>
      </c>
      <c r="F496" s="18" t="str" cm="1">
        <f t="array" ref="F496">VLOOKUP(B496,'Player Data'!A1:B673,2,FALSE)</f>
        <v>OTT</v>
      </c>
      <c r="G496" s="11" cm="1">
        <f t="array" ref="G496">VLOOKUP(B496,'Player Data'!A1:D673,3,FALSE)</f>
        <v>30</v>
      </c>
      <c r="H496" s="67" cm="1">
        <f t="array" ref="H496">IFERROR(VLOOKUP(B496,ADP!A1:F671,6,FALSE)/1000000,VLOOKUP(B496,ADP!A1:F671,6,FALSE))</f>
        <v>2.6</v>
      </c>
      <c r="I496" s="52">
        <f>IF(Settings!$E$15="POINTS",((R496*Q496)*Settings!$B$12)+(S496*Settings!$B$2)+(T496*Settings!$B$3)+(U496*Settings!$B$4)+(V496*Settings!$B$5)+(X496*Settings!$B$9)+(AA496*Settings!$B$6)+(W496*Settings!$B$8)+(AB496*Settings!$B$7)+(AC496*Settings!$B$14)+(AD496*Settings!$B$15)+(AE496*Settings!$B$16)+(AF496*Settings!$B$17)+(AG496*Settings!$B$18)+(Y496*Settings!$B$10)+(Z496*Settings!$B$11),VLOOKUP(B496,'Standard Deviations'!A$1:C$672,3,FALSE))</f>
        <v>174.59725930998417</v>
      </c>
      <c r="J496" s="53" cm="1">
        <f t="array" ref="J496">IF(D496="G",I496/AJ496,I496/Q496)</f>
        <v>2.1402624413592495</v>
      </c>
      <c r="K496" s="52" cm="1">
        <f t="array" ref="K496">IF(Settings!$E$18="C/LW/RW",VLOOKUP(B496,RW!A1:F210,6,FALSE),VLOOKUP(B496,F!A1:F407,6,FALSE))</f>
        <v>-220.34620538357331</v>
      </c>
      <c r="L496" s="54" cm="1">
        <f t="array" ref="L496">IFERROR(K496/H496,"N/A")</f>
        <v>-84.748540532143579</v>
      </c>
      <c r="M496" s="85" t="s">
        <v>832</v>
      </c>
      <c r="N496" s="85" t="str" cm="1">
        <f t="array" ref="N496">IFERROR(M496-A496,"N/A")</f>
        <v>N/A</v>
      </c>
      <c r="O496" s="55"/>
      <c r="P496" s="56" t="str" cm="1">
        <f t="array" ref="P496">_xlfn.XLOOKUP($B496,ADP!A2:A671,ADP!G2:G671)</f>
        <v xml:space="preserve"> </v>
      </c>
      <c r="Q496" s="57" cm="1">
        <f t="array" ref="Q496">IF(Settings!$E$12="YES",VLOOKUP(B496,'Player Data'!A1:E673,5,FALSE),84)</f>
        <v>81.577500000000001</v>
      </c>
      <c r="R496" s="55" cm="1">
        <f t="array" ref="R496">VLOOKUP(B496,'Player Data'!$A1:$AE673,6,FALSE)</f>
        <v>15.2074857993455</v>
      </c>
      <c r="S496" s="57" cm="1">
        <f t="array" ref="S496">VLOOKUP(B496,'Player Data'!$A1:$AE673,7,FALSE)*$Q496*IFERROR((VLOOKUP(P496,Settings!$E$28:$F$33,2,FALSE)+1),1)</f>
        <v>13.96314206142306</v>
      </c>
      <c r="T496" s="57" cm="1">
        <f t="array" ref="T496">VLOOKUP(B496,'Player Data'!$A1:$AE673,8,FALSE)*$Q496*IFERROR((VLOOKUP(P496,Settings!$E$28:$F$33,2,FALSE)+1),1)</f>
        <v>18.756293284930027</v>
      </c>
      <c r="U496" s="57" cm="1">
        <f t="array" ref="U496">SUM(S496:T496)</f>
        <v>32.719435346353087</v>
      </c>
      <c r="V496" s="57" cm="1">
        <f t="array" ref="V496">VLOOKUP(B496,'Player Data'!$A1:$AE673,10,FALSE)*$Q496*IFERROR(((VLOOKUP(P496,Settings!$E$28:$F$33,2,FALSE)/2)+1),1)</f>
        <v>101.48626497369722</v>
      </c>
      <c r="W496" s="57" cm="1">
        <f t="array" ref="W496">VLOOKUP(B496,'Player Data'!$A1:$AE673,11,FALSE)*$Q496*IFERROR((VLOOKUP(P496,Settings!$E$28:$F$33,2,FALSE)+1),1)</f>
        <v>0.13829806053743518</v>
      </c>
      <c r="X496" s="57" cm="1">
        <f t="array" ref="X496">VLOOKUP(B496,'Player Data'!$A1:$AE673,12,FALSE)*$Q496*IFERROR((VLOOKUP(P496,Settings!$E$28:$F$33,2,FALSE)+1),1)</f>
        <v>0.23050573281862968</v>
      </c>
      <c r="Y496" s="57" cm="1">
        <f t="array" ref="Y496">VLOOKUP(B496,'Player Data'!$A1:$AE673,13,FALSE)*$Q496</f>
        <v>0.13736524219366139</v>
      </c>
      <c r="Z496" s="57" cm="1">
        <f t="array" ref="Z496">VLOOKUP(B496,'Player Data'!$A1:$AE673,14,FALSE)*$Q496</f>
        <v>0.86584667799458359</v>
      </c>
      <c r="AA496" s="57" cm="1">
        <f t="array" ref="AA496">VLOOKUP(B496,'Player Data'!$A1:$AE673,15,FALSE)*$Q496</f>
        <v>49.198936746526087</v>
      </c>
      <c r="AB496" s="57" cm="1">
        <f t="array" ref="AB496">VLOOKUP(B496,'Player Data'!$A1:$AE673,16,FALSE)*$Q496</f>
        <v>102.36643188654075</v>
      </c>
      <c r="AC496" s="57" cm="1">
        <f t="array" ref="AC496">VLOOKUP(B496,'Player Data'!$A1:$AE673,17,FALSE)*$Q496*IFERROR((VLOOKUP(P496,Settings!$E$28:$F$33,2,FALSE)+1),1)</f>
        <v>2.4913252085218622</v>
      </c>
      <c r="AD496" s="57" cm="1">
        <f t="array" ref="AD496">VLOOKUP(B496,'Player Data'!$A1:$AE673,18,FALSE)*$Q496</f>
        <v>21.713484439199746</v>
      </c>
      <c r="AE496" s="57" cm="1">
        <f t="array" ref="AE496">VLOOKUP(B496,'Player Data'!$A1:$AE673,19,FALSE)*$Q496*IFERROR((VLOOKUP(P496,Settings!$E$28:$F$33,2,FALSE)+1),1)</f>
        <v>2.4768544513364281</v>
      </c>
      <c r="AF496" s="57" cm="1">
        <f t="array" ref="AF496">VLOOKUP(B496,'Player Data'!$A1:$AE673,20,FALSE)*$Q496</f>
        <v>21.265876841260624</v>
      </c>
      <c r="AG496" s="57" cm="1">
        <f t="array" ref="AG496">VLOOKUP(B496,'Player Data'!$A1:$AE673,21,FALSE)*$Q496</f>
        <v>26.70912935661978</v>
      </c>
      <c r="AH496" s="59" cm="1">
        <f t="array" ref="AH496">VLOOKUP(B496,'Player Data'!$A1:$AE673,22,FALSE)</f>
        <v>0.44326991337001997</v>
      </c>
      <c r="AI496" s="55"/>
      <c r="AJ496" s="57"/>
      <c r="AK496" s="57"/>
      <c r="AL496" s="57"/>
      <c r="AM496" s="57"/>
      <c r="AN496" s="57"/>
      <c r="AO496" s="57"/>
      <c r="AP496" s="57"/>
      <c r="AQ496" s="60"/>
      <c r="AR496" s="61"/>
      <c r="AS496" s="55"/>
    </row>
    <row r="497" spans="1:45" ht="21.25" customHeight="1" x14ac:dyDescent="0.15">
      <c r="A497" s="62">
        <f t="shared" si="7"/>
        <v>496</v>
      </c>
      <c r="B497" s="10" t="s">
        <v>625</v>
      </c>
      <c r="C497" s="47" t="s">
        <v>147</v>
      </c>
      <c r="D497" s="48" t="str" cm="1">
        <f t="array" ref="D497">VLOOKUP(B497,'Player Data'!A1:D673,4,FALSE)</f>
        <v>C,LW,RW</v>
      </c>
      <c r="E497" s="74" cm="1">
        <f t="array" ref="E497">VLOOKUP(B497,RW!A1:F210,3,FALSE)</f>
        <v>142</v>
      </c>
      <c r="F497" s="56" t="str" cm="1">
        <f t="array" ref="F497">VLOOKUP(B497,'Player Data'!A1:B673,2,FALSE)</f>
        <v>CHI</v>
      </c>
      <c r="G497" s="11" cm="1">
        <f t="array" ref="G497">VLOOKUP(B497,'Player Data'!A1:D673,3,FALSE)</f>
        <v>30</v>
      </c>
      <c r="H497" s="51" cm="1">
        <f t="array" ref="H497">IFERROR(VLOOKUP(B497,ADP!A1:F671,6,FALSE)/1000000,VLOOKUP(B497,ADP!A1:F671,6,FALSE))</f>
        <v>4</v>
      </c>
      <c r="I497" s="52">
        <f>IF(Settings!$E$15="POINTS",((R497*Q497)*Settings!$B$12)+(S497*Settings!$B$2)+(T497*Settings!$B$3)+(U497*Settings!$B$4)+(V497*Settings!$B$5)+(X497*Settings!$B$9)+(AA497*Settings!$B$6)+(W497*Settings!$B$8)+(AB497*Settings!$B$7)+(AC497*Settings!$B$14)+(AD497*Settings!$B$15)+(AE497*Settings!$B$16)+(AF497*Settings!$B$17)+(AG497*Settings!$B$18)+(Y497*Settings!$B$10)+(Z497*Settings!$B$11),VLOOKUP(B497,'Standard Deviations'!A$1:C$672,3,FALSE))</f>
        <v>173.74835550699348</v>
      </c>
      <c r="J497" s="53" cm="1">
        <f t="array" ref="J497">IF(D497="G",I497/AJ497,I497/Q497)</f>
        <v>2.0844383121227699</v>
      </c>
      <c r="K497" s="52" cm="1">
        <f t="array" ref="K497">IF(Settings!$E$18="C/LW/RW",VLOOKUP(B497,RW!A1:F210,6,FALSE),VLOOKUP(B497,F!A1:F407,6,FALSE))</f>
        <v>-221.195109186564</v>
      </c>
      <c r="L497" s="54" cm="1">
        <f t="array" ref="L497">IFERROR(K497/H497,"N/A")</f>
        <v>-55.298777296640999</v>
      </c>
      <c r="M497" s="85" t="s">
        <v>832</v>
      </c>
      <c r="N497" s="85" t="str" cm="1">
        <f t="array" ref="N497">IFERROR(M497-A497,"N/A")</f>
        <v>N/A</v>
      </c>
      <c r="O497" s="55"/>
      <c r="P497" s="56" t="str" cm="1">
        <f t="array" ref="P497">_xlfn.XLOOKUP($B497,ADP!A2:A671,ADP!G2:G671)</f>
        <v xml:space="preserve"> </v>
      </c>
      <c r="Q497" s="57" cm="1">
        <f t="array" ref="Q497">IF(Settings!$E$12="YES",VLOOKUP(B497,'Player Data'!A1:E673,5,FALSE),84)</f>
        <v>83.355000000000004</v>
      </c>
      <c r="R497" s="84" cm="1">
        <f t="array" ref="R497">VLOOKUP(B497,'Player Data'!$A1:$AE673,6,FALSE)</f>
        <v>13.399955434021299</v>
      </c>
      <c r="S497" s="57" cm="1">
        <f t="array" ref="S497">VLOOKUP(B497,'Player Data'!$A1:$AE673,7,FALSE)*$Q497*IFERROR((VLOOKUP(P497,Settings!$E$28:$F$33,2,FALSE)+1),1)</f>
        <v>16.324054955955354</v>
      </c>
      <c r="T497" s="57" cm="1">
        <f t="array" ref="T497">VLOOKUP(B497,'Player Data'!$A1:$AE673,8,FALSE)*$Q497*IFERROR((VLOOKUP(P497,Settings!$E$28:$F$33,2,FALSE)+1),1)</f>
        <v>17.400707406264065</v>
      </c>
      <c r="U497" s="57" cm="1">
        <f t="array" ref="U497">SUM(S497:T497)</f>
        <v>33.724762362219423</v>
      </c>
      <c r="V497" s="57" cm="1">
        <f t="array" ref="V497">VLOOKUP(B497,'Player Data'!$A1:$AE673,10,FALSE)*$Q497*IFERROR(((VLOOKUP(P497,Settings!$E$28:$F$33,2,FALSE)/2)+1),1)</f>
        <v>120.05091436781078</v>
      </c>
      <c r="W497" s="57" cm="1">
        <f t="array" ref="W497">VLOOKUP(B497,'Player Data'!$A1:$AE673,11,FALSE)*$Q497*IFERROR((VLOOKUP(P497,Settings!$E$28:$F$33,2,FALSE)+1),1)</f>
        <v>0.62961686374727921</v>
      </c>
      <c r="X497" s="57" cm="1">
        <f t="array" ref="X497">VLOOKUP(B497,'Player Data'!$A1:$AE673,12,FALSE)*$Q497*IFERROR((VLOOKUP(P497,Settings!$E$28:$F$33,2,FALSE)+1),1)</f>
        <v>1.6363527653332344</v>
      </c>
      <c r="Y497" s="57" cm="1">
        <f t="array" ref="Y497">VLOOKUP(B497,'Player Data'!$A1:$AE673,13,FALSE)*$Q497</f>
        <v>5.5835234595562431E-4</v>
      </c>
      <c r="Z497" s="57" cm="1">
        <f t="array" ref="Z497">VLOOKUP(B497,'Player Data'!$A1:$AE673,14,FALSE)*$Q497</f>
        <v>9.1972075760338948E-4</v>
      </c>
      <c r="AA497" s="57" cm="1">
        <f t="array" ref="AA497">VLOOKUP(B497,'Player Data'!$A1:$AE673,15,FALSE)*$Q497</f>
        <v>21.822677500677965</v>
      </c>
      <c r="AB497" s="57" cm="1">
        <f t="array" ref="AB497">VLOOKUP(B497,'Player Data'!$A1:$AE673,16,FALSE)*$Q497</f>
        <v>84.950657408927924</v>
      </c>
      <c r="AC497" s="57" cm="1">
        <f t="array" ref="AC497">VLOOKUP(B497,'Player Data'!$A1:$AE673,17,FALSE)*$Q497*IFERROR((VLOOKUP(P497,Settings!$E$28:$F$33,2,FALSE)+1),1)</f>
        <v>-8.2350444527464024</v>
      </c>
      <c r="AD497" s="57" cm="1">
        <f t="array" ref="AD497">VLOOKUP(B497,'Player Data'!$A1:$AE673,18,FALSE)*$Q497</f>
        <v>29.121647910435193</v>
      </c>
      <c r="AE497" s="57" cm="1">
        <f t="array" ref="AE497">VLOOKUP(B497,'Player Data'!$A1:$AE673,19,FALSE)*$Q497*IFERROR((VLOOKUP(P497,Settings!$E$28:$F$33,2,FALSE)+1),1)</f>
        <v>2.0146503615617921</v>
      </c>
      <c r="AF497" s="57" cm="1">
        <f t="array" ref="AF497">VLOOKUP(B497,'Player Data'!$A1:$AE673,20,FALSE)*$Q497</f>
        <v>154.17980208619778</v>
      </c>
      <c r="AG497" s="57" cm="1">
        <f t="array" ref="AG497">VLOOKUP(B497,'Player Data'!$A1:$AE673,21,FALSE)*$Q497</f>
        <v>185.51562169597972</v>
      </c>
      <c r="AH497" s="59" cm="1">
        <f t="array" ref="AH497">VLOOKUP(B497,'Player Data'!$A1:$AE673,22,FALSE)</f>
        <v>0.45387659441966</v>
      </c>
      <c r="AI497" s="55"/>
      <c r="AJ497" s="57"/>
      <c r="AK497" s="57"/>
      <c r="AL497" s="57"/>
      <c r="AM497" s="57"/>
      <c r="AN497" s="57"/>
      <c r="AO497" s="57"/>
      <c r="AP497" s="57"/>
      <c r="AQ497" s="60"/>
      <c r="AR497" s="61"/>
      <c r="AS497" s="55"/>
    </row>
    <row r="498" spans="1:45" ht="21.25" customHeight="1" x14ac:dyDescent="0.15">
      <c r="A498" s="62">
        <f t="shared" si="7"/>
        <v>497</v>
      </c>
      <c r="B498" s="10" t="s">
        <v>626</v>
      </c>
      <c r="C498" s="47" t="s">
        <v>147</v>
      </c>
      <c r="D498" s="48" t="str" cm="1">
        <f t="array" ref="D498">VLOOKUP(B498,'Player Data'!A1:D673,4,FALSE)</f>
        <v>D</v>
      </c>
      <c r="E498" s="68" cm="1">
        <f t="array" ref="E498">VLOOKUP(B498,D!A1:C204,3,FALSE)</f>
        <v>199</v>
      </c>
      <c r="F498" s="56" t="str" cm="1">
        <f t="array" ref="F498">VLOOKUP(B498,'Player Data'!A1:B673,2,FALSE)</f>
        <v>NYR</v>
      </c>
      <c r="G498" s="71" cm="1">
        <f t="array" ref="G498">VLOOKUP(B498,'Player Data'!A1:D673,3,FALSE)</f>
        <v>23</v>
      </c>
      <c r="H498" s="51" cm="1">
        <f t="array" ref="H498">IFERROR(VLOOKUP(B498,ADP!A1:F671,6,FALSE)/1000000,VLOOKUP(B498,ADP!A1:F671,6,FALSE))</f>
        <v>0.85</v>
      </c>
      <c r="I498" s="52">
        <f>IF(Settings!$E$15="POINTS",((R498*Q498)*Settings!$B$12)+(S498*Settings!$B$2)+(T498*Settings!$B$3)+(U498*Settings!$B$4)+(V498*Settings!$B$5)+(X498*Settings!$B$9)+(AA498*Settings!$B$6)+(W498*Settings!$B$8)+(AB498*Settings!$B$7)+(AC498*Settings!$B$14)+(AD498*Settings!$B$15)+(AE498*Settings!$B$16)+(AF498*Settings!$B$17)+(AG498*Settings!$B$18)+(U498*Settings!$B$13)+(Y498*Settings!$B$10)+(Z498*Settings!$B$11),VLOOKUP(B498,'Standard Deviations'!A$1:C$672,3,FALSE))</f>
        <v>84.549569121578926</v>
      </c>
      <c r="J498" s="53" cm="1">
        <f t="array" ref="J498">IF(D498="G",I498/AJ498,I498/Q498)</f>
        <v>1.5039724128888501</v>
      </c>
      <c r="K498" s="52" cm="1">
        <f t="array" ref="K498">VLOOKUP(B498,D!A1:F204,6,FALSE)</f>
        <v>-222.10429822301512</v>
      </c>
      <c r="L498" s="54" cm="1">
        <f t="array" ref="L498">IFERROR(K498/H498,"N/A")</f>
        <v>-261.2991743800178</v>
      </c>
      <c r="M498" s="85" t="s">
        <v>832</v>
      </c>
      <c r="N498" s="85" t="str" cm="1">
        <f t="array" ref="N498">IFERROR(M498-A498,"N/A")</f>
        <v>N/A</v>
      </c>
      <c r="O498" s="55"/>
      <c r="P498" s="56" t="str" cm="1">
        <f t="array" ref="P498">_xlfn.XLOOKUP($B498,ADP!A2:A671,ADP!G2:G671)</f>
        <v xml:space="preserve"> </v>
      </c>
      <c r="Q498" s="57" cm="1">
        <f t="array" ref="Q498">IF(Settings!$E$12="YES",VLOOKUP(B498,'Player Data'!A1:E673,5,FALSE),84)</f>
        <v>56.217500000000001</v>
      </c>
      <c r="R498" s="55" cm="1">
        <f t="array" ref="R498">VLOOKUP(B498,'Player Data'!$A1:$AE673,6,FALSE)</f>
        <v>15.491433642186101</v>
      </c>
      <c r="S498" s="57" cm="1">
        <f t="array" ref="S498">VLOOKUP(B498,'Player Data'!$A1:$AE673,7,FALSE)*$Q498*IFERROR((VLOOKUP(P498,Settings!$E$28:$F$33,2,FALSE)+1),1)</f>
        <v>1.4650976202361432</v>
      </c>
      <c r="T498" s="57" cm="1">
        <f t="array" ref="T498">VLOOKUP(B498,'Player Data'!$A1:$AE673,8,FALSE)*$Q498*IFERROR((VLOOKUP(P498,Settings!$E$28:$F$33,2,FALSE)+1),1)</f>
        <v>7.8151372884332329</v>
      </c>
      <c r="U498" s="57" cm="1">
        <f t="array" ref="U498">SUM(S498:T498)</f>
        <v>9.2802349086693763</v>
      </c>
      <c r="V498" s="57" cm="1">
        <f t="array" ref="V498">VLOOKUP(B498,'Player Data'!$A1:$AE673,10,FALSE)*$Q498*IFERROR(((VLOOKUP(P498,Settings!$E$28:$F$33,2,FALSE)/2)+1),1)</f>
        <v>42.025896561775077</v>
      </c>
      <c r="W498" s="57" cm="1">
        <f t="array" ref="W498">VLOOKUP(B498,'Player Data'!$A1:$AE673,11,FALSE)*$Q498*IFERROR((VLOOKUP(P498,Settings!$E$28:$F$33,2,FALSE)+1),1)</f>
        <v>8.1231498918970472E-3</v>
      </c>
      <c r="X498" s="57" cm="1">
        <f t="array" ref="X498">VLOOKUP(B498,'Player Data'!$A1:$AE673,12,FALSE)*$Q498*IFERROR((VLOOKUP(P498,Settings!$E$28:$F$33,2,FALSE)+1),1)</f>
        <v>6.078850607124351E-2</v>
      </c>
      <c r="Y498" s="57" cm="1">
        <f t="array" ref="Y498">VLOOKUP(B498,'Player Data'!$A1:$AE673,13,FALSE)*$Q498</f>
        <v>3.5714393175219544E-2</v>
      </c>
      <c r="Z498" s="57" cm="1">
        <f t="array" ref="Z498">VLOOKUP(B498,'Player Data'!$A1:$AE673,14,FALSE)*$Q498</f>
        <v>0.11952549157216297</v>
      </c>
      <c r="AA498" s="57" cm="1">
        <f t="array" ref="AA498">VLOOKUP(B498,'Player Data'!$A1:$AE673,15,FALSE)*$Q498</f>
        <v>71.031204234079709</v>
      </c>
      <c r="AB498" s="57" cm="1">
        <f t="array" ref="AB498">VLOOKUP(B498,'Player Data'!$A1:$AE673,16,FALSE)*$Q498</f>
        <v>48.28605303487717</v>
      </c>
      <c r="AC498" s="57" cm="1">
        <f t="array" ref="AC498">VLOOKUP(B498,'Player Data'!$A1:$AE673,17,FALSE)*$Q498*IFERROR((VLOOKUP(P498,Settings!$E$28:$F$33,2,FALSE)+1),1)</f>
        <v>-1.1941079303008804</v>
      </c>
      <c r="AD498" s="57" cm="1">
        <f t="array" ref="AD498">VLOOKUP(B498,'Player Data'!$A1:$AE673,18,FALSE)*$Q498</f>
        <v>21.40671057726205</v>
      </c>
      <c r="AE498" s="57" cm="1">
        <f t="array" ref="AE498">VLOOKUP(B498,'Player Data'!$A1:$AE673,19,FALSE)*$Q498*IFERROR((VLOOKUP(P498,Settings!$E$28:$F$33,2,FALSE)+1),1)</f>
        <v>0.23017239184920033</v>
      </c>
      <c r="AF498" s="57" cm="1">
        <f t="array" ref="AF498">VLOOKUP(B498,'Player Data'!$A1:$AE673,20,FALSE)*$Q498</f>
        <v>0</v>
      </c>
      <c r="AG498" s="57" cm="1">
        <f t="array" ref="AG498">VLOOKUP(B498,'Player Data'!$A1:$AE673,21,FALSE)*$Q498</f>
        <v>0</v>
      </c>
      <c r="AH498" s="59" cm="1">
        <f t="array" ref="AH498">VLOOKUP(B498,'Player Data'!$A1:$AE673,22,FALSE)</f>
        <v>0</v>
      </c>
      <c r="AI498" s="55"/>
      <c r="AJ498" s="57"/>
      <c r="AK498" s="57"/>
      <c r="AL498" s="57"/>
      <c r="AM498" s="57"/>
      <c r="AN498" s="57"/>
      <c r="AO498" s="57"/>
      <c r="AP498" s="57"/>
      <c r="AQ498" s="60"/>
      <c r="AR498" s="61"/>
      <c r="AS498" s="55"/>
    </row>
    <row r="499" spans="1:45" ht="21.25" customHeight="1" x14ac:dyDescent="0.15">
      <c r="A499" s="62">
        <f t="shared" si="7"/>
        <v>498</v>
      </c>
      <c r="B499" s="10" t="s">
        <v>627</v>
      </c>
      <c r="C499" s="47" t="s">
        <v>147</v>
      </c>
      <c r="D499" s="48" t="str" cm="1">
        <f t="array" ref="D499">VLOOKUP(B499,'Player Data'!A1:D673,4,FALSE)</f>
        <v>C</v>
      </c>
      <c r="E499" s="49" cm="1">
        <f t="array" ref="E499">VLOOKUP(B499,'C'!A1:C210,3,FALSE)</f>
        <v>133</v>
      </c>
      <c r="F499" s="65" t="str" cm="1">
        <f t="array" ref="F499">VLOOKUP(B499,'Player Data'!A1:B673,2,FALSE)</f>
        <v>STL</v>
      </c>
      <c r="G499" s="71" cm="1">
        <f t="array" ref="G499">VLOOKUP(B499,'Player Data'!A1:D673,3,FALSE)</f>
        <v>21</v>
      </c>
      <c r="H499" s="51" cm="1">
        <f t="array" ref="H499">IFERROR(VLOOKUP(B499,ADP!A1:F671,6,FALSE)/1000000,VLOOKUP(B499,ADP!A1:F671,6,FALSE))</f>
        <v>0.90916699999999995</v>
      </c>
      <c r="I499" s="52">
        <f>IF(Settings!$E$15="POINTS",((R499*Q499)*Settings!$B$12)+(S499*Settings!$B$2)+(T499*Settings!$B$3)+(U499*Settings!$B$4)+(V499*Settings!$B$5)+(X499*Settings!$B$9)+(AA499*Settings!$B$6)+(W499*Settings!$B$8)+(AB499*Settings!$B$7)+(AC499*Settings!$B$14)+(AD499*Settings!$B$15)+(AE499*Settings!$B$16)+(AF499*Settings!$B$17)+(AG499*Settings!$B$18)+(Y499*Settings!$B$10)+(Z499*Settings!$B$11),VLOOKUP(B499,'Standard Deviations'!A$1:C$672,3,FALSE))</f>
        <v>163.47861742047604</v>
      </c>
      <c r="J499" s="53" cm="1">
        <f t="array" ref="J499">IF(D499="G",I499/AJ499,I499/Q499)</f>
        <v>2.0748650516623433</v>
      </c>
      <c r="K499" s="52" cm="1">
        <f t="array" ref="K499">IF(Settings!$E$18="C/LW/RW",VLOOKUP(B499,'C'!A1:F210,6,FALSE),VLOOKUP(B499,F!A1:F407,6,FALSE))</f>
        <v>-223.05658897260696</v>
      </c>
      <c r="L499" s="54" cm="1">
        <f t="array" ref="L499">IFERROR(K499/H499,"N/A")</f>
        <v>-245.34171276850896</v>
      </c>
      <c r="M499" s="85" t="s">
        <v>832</v>
      </c>
      <c r="N499" s="85" t="str" cm="1">
        <f t="array" ref="N499">IFERROR(M499-A499,"N/A")</f>
        <v>N/A</v>
      </c>
      <c r="O499" s="55"/>
      <c r="P499" s="56" t="str" cm="1">
        <f t="array" ref="P499">_xlfn.XLOOKUP($B499,ADP!A2:A671,ADP!G2:G671)</f>
        <v xml:space="preserve"> </v>
      </c>
      <c r="Q499" s="57" cm="1">
        <f t="array" ref="Q499">IF(Settings!$E$12="YES",VLOOKUP(B499,'Player Data'!A1:E673,5,FALSE),84)</f>
        <v>78.790000000000006</v>
      </c>
      <c r="R499" s="55" cm="1">
        <f t="array" ref="R499">VLOOKUP(B499,'Player Data'!$A1:$AE673,6,FALSE)</f>
        <v>14.7198167734738</v>
      </c>
      <c r="S499" s="57" cm="1">
        <f t="array" ref="S499">VLOOKUP(B499,'Player Data'!$A1:$AE673,7,FALSE)*$Q499*IFERROR((VLOOKUP(P499,Settings!$E$28:$F$33,2,FALSE)+1),1)</f>
        <v>14.364129961574616</v>
      </c>
      <c r="T499" s="57" cm="1">
        <f t="array" ref="T499">VLOOKUP(B499,'Player Data'!$A1:$AE673,8,FALSE)*$Q499*IFERROR((VLOOKUP(P499,Settings!$E$28:$F$33,2,FALSE)+1),1)</f>
        <v>14.536531726637763</v>
      </c>
      <c r="U499" s="57" cm="1">
        <f t="array" ref="U499">SUM(S499:T499)</f>
        <v>28.900661688212381</v>
      </c>
      <c r="V499" s="57" cm="1">
        <f t="array" ref="V499">VLOOKUP(B499,'Player Data'!$A1:$AE673,10,FALSE)*$Q499*IFERROR(((VLOOKUP(P499,Settings!$E$28:$F$33,2,FALSE)/2)+1),1)</f>
        <v>108.16691814641327</v>
      </c>
      <c r="W499" s="57" cm="1">
        <f t="array" ref="W499">VLOOKUP(B499,'Player Data'!$A1:$AE673,11,FALSE)*$Q499*IFERROR((VLOOKUP(P499,Settings!$E$28:$F$33,2,FALSE)+1),1)</f>
        <v>4.8192461872842722</v>
      </c>
      <c r="X499" s="57" cm="1">
        <f t="array" ref="X499">VLOOKUP(B499,'Player Data'!$A1:$AE673,12,FALSE)*$Q499*IFERROR((VLOOKUP(P499,Settings!$E$28:$F$33,2,FALSE)+1),1)</f>
        <v>8.1837351411961841</v>
      </c>
      <c r="Y499" s="57" cm="1">
        <f t="array" ref="Y499">VLOOKUP(B499,'Player Data'!$A1:$AE673,13,FALSE)*$Q499</f>
        <v>5.6929342185054049E-3</v>
      </c>
      <c r="Z499" s="57" cm="1">
        <f t="array" ref="Z499">VLOOKUP(B499,'Player Data'!$A1:$AE673,14,FALSE)*$Q499</f>
        <v>9.4811806459096024E-3</v>
      </c>
      <c r="AA499" s="57" cm="1">
        <f t="array" ref="AA499">VLOOKUP(B499,'Player Data'!$A1:$AE673,15,FALSE)*$Q499</f>
        <v>28.999913921580326</v>
      </c>
      <c r="AB499" s="57" cm="1">
        <f t="array" ref="AB499">VLOOKUP(B499,'Player Data'!$A1:$AE673,16,FALSE)*$Q499</f>
        <v>87.531684856048471</v>
      </c>
      <c r="AC499" s="57" cm="1">
        <f t="array" ref="AC499">VLOOKUP(B499,'Player Data'!$A1:$AE673,17,FALSE)*$Q499*IFERROR((VLOOKUP(P499,Settings!$E$28:$F$33,2,FALSE)+1),1)</f>
        <v>-3.5571827638612898</v>
      </c>
      <c r="AD499" s="57" cm="1">
        <f t="array" ref="AD499">VLOOKUP(B499,'Player Data'!$A1:$AE673,18,FALSE)*$Q499</f>
        <v>29.067600694162081</v>
      </c>
      <c r="AE499" s="57" cm="1">
        <f t="array" ref="AE499">VLOOKUP(B499,'Player Data'!$A1:$AE673,19,FALSE)*$Q499*IFERROR((VLOOKUP(P499,Settings!$E$28:$F$33,2,FALSE)+1),1)</f>
        <v>2.0711788999136824</v>
      </c>
      <c r="AF499" s="57" cm="1">
        <f t="array" ref="AF499">VLOOKUP(B499,'Player Data'!$A1:$AE673,20,FALSE)*$Q499</f>
        <v>381.33192247860666</v>
      </c>
      <c r="AG499" s="57" cm="1">
        <f t="array" ref="AG499">VLOOKUP(B499,'Player Data'!$A1:$AE673,21,FALSE)*$Q499</f>
        <v>447.38981514759519</v>
      </c>
      <c r="AH499" s="59" cm="1">
        <f t="array" ref="AH499">VLOOKUP(B499,'Player Data'!$A1:$AE673,22,FALSE)</f>
        <v>0.46014470860978901</v>
      </c>
      <c r="AI499" s="55"/>
      <c r="AJ499" s="57"/>
      <c r="AK499" s="57"/>
      <c r="AL499" s="57"/>
      <c r="AM499" s="57"/>
      <c r="AN499" s="57"/>
      <c r="AO499" s="57"/>
      <c r="AP499" s="57"/>
      <c r="AQ499" s="60"/>
      <c r="AR499" s="61"/>
      <c r="AS499" s="55"/>
    </row>
    <row r="500" spans="1:45" ht="21.25" customHeight="1" x14ac:dyDescent="0.15">
      <c r="A500" s="62">
        <f t="shared" si="7"/>
        <v>499</v>
      </c>
      <c r="B500" s="10" t="s">
        <v>628</v>
      </c>
      <c r="C500" s="47" t="s">
        <v>147</v>
      </c>
      <c r="D500" s="48" t="str" cm="1">
        <f t="array" ref="D500">VLOOKUP(B500,'Player Data'!A1:D673,4,FALSE)</f>
        <v>C</v>
      </c>
      <c r="E500" s="49" cm="1">
        <f t="array" ref="E500">VLOOKUP(B500,'C'!A1:C210,3,FALSE)</f>
        <v>134</v>
      </c>
      <c r="F500" s="18" t="str" cm="1">
        <f t="array" ref="F500">VLOOKUP(B500,'Player Data'!A1:B673,2,FALSE)</f>
        <v>VAN</v>
      </c>
      <c r="G500" s="11" cm="1">
        <f t="array" ref="G500">VLOOKUP(B500,'Player Data'!A1:D673,3,FALSE)</f>
        <v>26</v>
      </c>
      <c r="H500" s="67" cm="1">
        <f t="array" ref="H500">IFERROR(VLOOKUP(B500,ADP!A1:F671,6,FALSE)/1000000,VLOOKUP(B500,ADP!A1:F671,6,FALSE))</f>
        <v>4.4375</v>
      </c>
      <c r="I500" s="52">
        <f>IF(Settings!$E$15="POINTS",((R500*Q500)*Settings!$B$12)+(S500*Settings!$B$2)+(T500*Settings!$B$3)+(U500*Settings!$B$4)+(V500*Settings!$B$5)+(X500*Settings!$B$9)+(AA500*Settings!$B$6)+(W500*Settings!$B$8)+(AB500*Settings!$B$7)+(AC500*Settings!$B$14)+(AD500*Settings!$B$15)+(AE500*Settings!$B$16)+(AF500*Settings!$B$17)+(AG500*Settings!$B$18)+(Y500*Settings!$B$10)+(Z500*Settings!$B$11),VLOOKUP(B500,'Standard Deviations'!A$1:C$672,3,FALSE))</f>
        <v>163.37930353912526</v>
      </c>
      <c r="J500" s="53" cm="1">
        <f t="array" ref="J500">IF(D500="G",I500/AJ500,I500/Q500)</f>
        <v>2.6858343504705782</v>
      </c>
      <c r="K500" s="52" cm="1">
        <f t="array" ref="K500">IF(Settings!$E$18="C/LW/RW",VLOOKUP(B500,'C'!A1:F210,6,FALSE),VLOOKUP(B500,F!A1:F407,6,FALSE))</f>
        <v>-223.15590285395774</v>
      </c>
      <c r="L500" s="54" cm="1">
        <f t="array" ref="L500">IFERROR(K500/H500,"N/A")</f>
        <v>-50.288654164272167</v>
      </c>
      <c r="M500" s="85" t="s">
        <v>832</v>
      </c>
      <c r="N500" s="85" t="str" cm="1">
        <f t="array" ref="N500">IFERROR(M500-A500,"N/A")</f>
        <v>N/A</v>
      </c>
      <c r="O500" s="55"/>
      <c r="P500" s="56" t="str" cm="1">
        <f t="array" ref="P500">_xlfn.XLOOKUP($B500,ADP!A2:A671,ADP!G2:G671)</f>
        <v xml:space="preserve"> </v>
      </c>
      <c r="Q500" s="57" cm="1">
        <f t="array" ref="Q500">IF(Settings!$E$12="YES",VLOOKUP(B500,'Player Data'!A1:E673,5,FALSE),84)</f>
        <v>60.83</v>
      </c>
      <c r="R500" s="55" cm="1">
        <f t="array" ref="R500">VLOOKUP(B500,'Player Data'!$A1:$AE673,6,FALSE)</f>
        <v>15.367199186991799</v>
      </c>
      <c r="S500" s="57" cm="1">
        <f t="array" ref="S500">VLOOKUP(B500,'Player Data'!$A1:$AE673,7,FALSE)*$Q500*IFERROR((VLOOKUP(P500,Settings!$E$28:$F$33,2,FALSE)+1),1)</f>
        <v>13.541334441065089</v>
      </c>
      <c r="T500" s="57" cm="1">
        <f t="array" ref="T500">VLOOKUP(B500,'Player Data'!$A1:$AE673,8,FALSE)*$Q500*IFERROR((VLOOKUP(P500,Settings!$E$28:$F$33,2,FALSE)+1),1)</f>
        <v>14.509665619302993</v>
      </c>
      <c r="U500" s="57" cm="1">
        <f t="array" ref="U500">SUM(S500:T500)</f>
        <v>28.051000060368082</v>
      </c>
      <c r="V500" s="57" cm="1">
        <f t="array" ref="V500">VLOOKUP(B500,'Player Data'!$A1:$AE673,10,FALSE)*$Q500*IFERROR(((VLOOKUP(P500,Settings!$E$28:$F$33,2,FALSE)/2)+1),1)</f>
        <v>128.56507215712864</v>
      </c>
      <c r="W500" s="57" cm="1">
        <f t="array" ref="W500">VLOOKUP(B500,'Player Data'!$A1:$AE673,11,FALSE)*$Q500*IFERROR((VLOOKUP(P500,Settings!$E$28:$F$33,2,FALSE)+1),1)</f>
        <v>1.2073522175970963</v>
      </c>
      <c r="X500" s="57" cm="1">
        <f t="array" ref="X500">VLOOKUP(B500,'Player Data'!$A1:$AE673,12,FALSE)*$Q500*IFERROR((VLOOKUP(P500,Settings!$E$28:$F$33,2,FALSE)+1),1)</f>
        <v>4.1998200934256005</v>
      </c>
      <c r="Y500" s="57" cm="1">
        <f t="array" ref="Y500">VLOOKUP(B500,'Player Data'!$A1:$AE673,13,FALSE)*$Q500</f>
        <v>9.5912005521257448E-2</v>
      </c>
      <c r="Z500" s="57" cm="1">
        <f t="array" ref="Z500">VLOOKUP(B500,'Player Data'!$A1:$AE673,14,FALSE)*$Q500</f>
        <v>0.15788425819849428</v>
      </c>
      <c r="AA500" s="57" cm="1">
        <f t="array" ref="AA500">VLOOKUP(B500,'Player Data'!$A1:$AE673,15,FALSE)*$Q500</f>
        <v>21.172125855665239</v>
      </c>
      <c r="AB500" s="57" cm="1">
        <f t="array" ref="AB500">VLOOKUP(B500,'Player Data'!$A1:$AE673,16,FALSE)*$Q500</f>
        <v>35.173222016351019</v>
      </c>
      <c r="AC500" s="57" cm="1">
        <f t="array" ref="AC500">VLOOKUP(B500,'Player Data'!$A1:$AE673,17,FALSE)*$Q500*IFERROR((VLOOKUP(P500,Settings!$E$28:$F$33,2,FALSE)+1),1)</f>
        <v>-6.4325794983022648</v>
      </c>
      <c r="AD500" s="57" cm="1">
        <f t="array" ref="AD500">VLOOKUP(B500,'Player Data'!$A1:$AE673,18,FALSE)*$Q500</f>
        <v>22.433420363584787</v>
      </c>
      <c r="AE500" s="57" cm="1">
        <f t="array" ref="AE500">VLOOKUP(B500,'Player Data'!$A1:$AE673,19,FALSE)*$Q500*IFERROR((VLOOKUP(P500,Settings!$E$28:$F$33,2,FALSE)+1),1)</f>
        <v>1.6780086331442998</v>
      </c>
      <c r="AF500" s="57" cm="1">
        <f t="array" ref="AF500">VLOOKUP(B500,'Player Data'!$A1:$AE673,20,FALSE)*$Q500</f>
        <v>285.80778004871553</v>
      </c>
      <c r="AG500" s="57" cm="1">
        <f t="array" ref="AG500">VLOOKUP(B500,'Player Data'!$A1:$AE673,21,FALSE)*$Q500</f>
        <v>325.13827938202587</v>
      </c>
      <c r="AH500" s="59" cm="1">
        <f t="array" ref="AH500">VLOOKUP(B500,'Player Data'!$A1:$AE673,22,FALSE)</f>
        <v>0.467811807011279</v>
      </c>
      <c r="AI500" s="55"/>
      <c r="AJ500" s="57"/>
      <c r="AK500" s="57"/>
      <c r="AL500" s="57"/>
      <c r="AM500" s="57"/>
      <c r="AN500" s="57"/>
      <c r="AO500" s="57"/>
      <c r="AP500" s="57"/>
      <c r="AQ500" s="60"/>
      <c r="AR500" s="61"/>
      <c r="AS500" s="55"/>
    </row>
    <row r="501" spans="1:45" ht="21.25" customHeight="1" x14ac:dyDescent="0.15">
      <c r="A501" s="62">
        <f t="shared" si="7"/>
        <v>500</v>
      </c>
      <c r="B501" s="10" t="s">
        <v>629</v>
      </c>
      <c r="C501" s="47" t="s">
        <v>147</v>
      </c>
      <c r="D501" s="48" t="str" cm="1">
        <f t="array" ref="D501">VLOOKUP(B501,'Player Data'!A1:D673,4,FALSE)</f>
        <v>C,LW</v>
      </c>
      <c r="E501" s="74" cm="1">
        <f t="array" ref="E501">VLOOKUP(B501,LW!A1:C210,3,FALSE)</f>
        <v>126</v>
      </c>
      <c r="F501" s="63" t="str" cm="1">
        <f t="array" ref="F501">VLOOKUP(B501,'Player Data'!A1:B673,2,FALSE)</f>
        <v>VGK</v>
      </c>
      <c r="G501" s="11" cm="1">
        <f t="array" ref="G501">VLOOKUP(B501,'Player Data'!A1:D673,3,FALSE)</f>
        <v>28</v>
      </c>
      <c r="H501" s="51" cm="1">
        <f t="array" ref="H501">IFERROR(VLOOKUP(B501,ADP!A1:F671,6,FALSE)/1000000,VLOOKUP(B501,ADP!A1:F671,6,FALSE))</f>
        <v>2.5</v>
      </c>
      <c r="I501" s="52">
        <f>IF(Settings!$E$15="POINTS",((R501*Q501)*Settings!$B$12)+(S501*Settings!$B$2)+(T501*Settings!$B$3)+(U501*Settings!$B$4)+(V501*Settings!$B$5)+(X501*Settings!$B$9)+(AA501*Settings!$B$6)+(W501*Settings!$B$8)+(AB501*Settings!$B$7)+(AC501*Settings!$B$14)+(AD501*Settings!$B$15)+(AE501*Settings!$B$16)+(AF501*Settings!$B$17)+(AG501*Settings!$B$18)+(Y501*Settings!$B$10)+(Z501*Settings!$B$11),VLOOKUP(B501,'Standard Deviations'!A$1:C$672,3,FALSE))</f>
        <v>175.80542348377887</v>
      </c>
      <c r="J501" s="53" cm="1">
        <f t="array" ref="J501">IF(D501="G",I501/AJ501,I501/Q501)</f>
        <v>2.2397021910157191</v>
      </c>
      <c r="K501" s="52" cm="1">
        <f t="array" ref="K501">IF(Settings!$E$18="C/LW/RW",VLOOKUP(B501,LW!A1:F210,6,FALSE),VLOOKUP(B501,F!A1:F407,6,FALSE))</f>
        <v>-223.50756982994122</v>
      </c>
      <c r="L501" s="54" cm="1">
        <f t="array" ref="L501">IFERROR(K501/H501,"N/A")</f>
        <v>-89.403027931976482</v>
      </c>
      <c r="M501" s="85" t="s">
        <v>832</v>
      </c>
      <c r="N501" s="85" t="str" cm="1">
        <f t="array" ref="N501">IFERROR(M501-A501,"N/A")</f>
        <v>N/A</v>
      </c>
      <c r="O501" s="55"/>
      <c r="P501" s="56" t="str" cm="1">
        <f t="array" ref="P501">_xlfn.XLOOKUP($B501,ADP!A2:A671,ADP!G2:G671)</f>
        <v xml:space="preserve"> </v>
      </c>
      <c r="Q501" s="57" cm="1">
        <f t="array" ref="Q501">IF(Settings!$E$12="YES",VLOOKUP(B501,'Player Data'!A1:E673,5,FALSE),84)</f>
        <v>78.495000000000005</v>
      </c>
      <c r="R501" s="55" cm="1">
        <f t="array" ref="R501">VLOOKUP(B501,'Player Data'!$A1:$AE673,6,FALSE)</f>
        <v>15.439399037418699</v>
      </c>
      <c r="S501" s="57" cm="1">
        <f t="array" ref="S501">VLOOKUP(B501,'Player Data'!$A1:$AE673,7,FALSE)*$Q501*IFERROR((VLOOKUP(P501,Settings!$E$28:$F$33,2,FALSE)+1),1)</f>
        <v>17.266280317563428</v>
      </c>
      <c r="T501" s="57" cm="1">
        <f t="array" ref="T501">VLOOKUP(B501,'Player Data'!$A1:$AE673,8,FALSE)*$Q501*IFERROR((VLOOKUP(P501,Settings!$E$28:$F$33,2,FALSE)+1),1)</f>
        <v>16.382876185647589</v>
      </c>
      <c r="U501" s="57" cm="1">
        <f t="array" ref="U501">SUM(S501:T501)</f>
        <v>33.649156503211017</v>
      </c>
      <c r="V501" s="57" cm="1">
        <f t="array" ref="V501">VLOOKUP(B501,'Player Data'!$A1:$AE673,10,FALSE)*$Q501*IFERROR(((VLOOKUP(P501,Settings!$E$28:$F$33,2,FALSE)/2)+1),1)</f>
        <v>103.74316291527853</v>
      </c>
      <c r="W501" s="57" cm="1">
        <f t="array" ref="W501">VLOOKUP(B501,'Player Data'!$A1:$AE673,11,FALSE)*$Q501*IFERROR((VLOOKUP(P501,Settings!$E$28:$F$33,2,FALSE)+1),1)</f>
        <v>0.50034734677429393</v>
      </c>
      <c r="X501" s="57" cm="1">
        <f t="array" ref="X501">VLOOKUP(B501,'Player Data'!$A1:$AE673,12,FALSE)*$Q501*IFERROR((VLOOKUP(P501,Settings!$E$28:$F$33,2,FALSE)+1),1)</f>
        <v>2.7122836694946626</v>
      </c>
      <c r="Y501" s="57" cm="1">
        <f t="array" ref="Y501">VLOOKUP(B501,'Player Data'!$A1:$AE673,13,FALSE)*$Q501</f>
        <v>0.5661847169679548</v>
      </c>
      <c r="Z501" s="57" cm="1">
        <f t="array" ref="Z501">VLOOKUP(B501,'Player Data'!$A1:$AE673,14,FALSE)*$Q501</f>
        <v>0.63979600078560028</v>
      </c>
      <c r="AA501" s="57" cm="1">
        <f t="array" ref="AA501">VLOOKUP(B501,'Player Data'!$A1:$AE673,15,FALSE)*$Q501</f>
        <v>39.268585692452554</v>
      </c>
      <c r="AB501" s="57" cm="1">
        <f t="array" ref="AB501">VLOOKUP(B501,'Player Data'!$A1:$AE673,16,FALSE)*$Q501</f>
        <v>123.69135128067639</v>
      </c>
      <c r="AC501" s="57" cm="1">
        <f t="array" ref="AC501">VLOOKUP(B501,'Player Data'!$A1:$AE673,17,FALSE)*$Q501*IFERROR((VLOOKUP(P501,Settings!$E$28:$F$33,2,FALSE)+1),1)</f>
        <v>2.9759033322458364</v>
      </c>
      <c r="AD501" s="57" cm="1">
        <f t="array" ref="AD501">VLOOKUP(B501,'Player Data'!$A1:$AE673,18,FALSE)*$Q501</f>
        <v>44.06007695733387</v>
      </c>
      <c r="AE501" s="57" cm="1">
        <f t="array" ref="AE501">VLOOKUP(B501,'Player Data'!$A1:$AE673,19,FALSE)*$Q501*IFERROR((VLOOKUP(P501,Settings!$E$28:$F$33,2,FALSE)+1),1)</f>
        <v>3.2940166254104946</v>
      </c>
      <c r="AF501" s="57" cm="1">
        <f t="array" ref="AF501">VLOOKUP(B501,'Player Data'!$A1:$AE673,20,FALSE)*$Q501</f>
        <v>324.58364071540876</v>
      </c>
      <c r="AG501" s="57" cm="1">
        <f t="array" ref="AG501">VLOOKUP(B501,'Player Data'!$A1:$AE673,21,FALSE)*$Q501</f>
        <v>324.1492063406323</v>
      </c>
      <c r="AH501" s="59" cm="1">
        <f t="array" ref="AH501">VLOOKUP(B501,'Player Data'!$A1:$AE673,22,FALSE)</f>
        <v>0.50033483303392701</v>
      </c>
      <c r="AI501" s="55"/>
      <c r="AJ501" s="57"/>
      <c r="AK501" s="57"/>
      <c r="AL501" s="57"/>
      <c r="AM501" s="57"/>
      <c r="AN501" s="57"/>
      <c r="AO501" s="57"/>
      <c r="AP501" s="57"/>
      <c r="AQ501" s="60"/>
      <c r="AR501" s="61"/>
      <c r="AS501" s="55"/>
    </row>
    <row r="502" spans="1:45" ht="21.25" customHeight="1" x14ac:dyDescent="0.15">
      <c r="A502" s="62">
        <f t="shared" si="7"/>
        <v>501</v>
      </c>
      <c r="B502" s="10" t="s">
        <v>630</v>
      </c>
      <c r="C502" s="47" t="s">
        <v>147</v>
      </c>
      <c r="D502" s="48" t="str" cm="1">
        <f t="array" ref="D502">VLOOKUP(B502,'Player Data'!A1:D673,4,FALSE)</f>
        <v>LW,RW</v>
      </c>
      <c r="E502" s="74" cm="1">
        <f t="array" ref="E502">VLOOKUP(B502,RW!A1:F210,3,FALSE)</f>
        <v>143</v>
      </c>
      <c r="F502" s="18" t="str" cm="1">
        <f t="array" ref="F502">VLOOKUP(B502,'Player Data'!A1:B673,2,FALSE)</f>
        <v>OTT</v>
      </c>
      <c r="G502" s="11" cm="1">
        <f t="array" ref="G502">VLOOKUP(B502,'Player Data'!A1:D673,3,FALSE)</f>
        <v>30</v>
      </c>
      <c r="H502" s="67" cm="1">
        <f t="array" ref="H502">IFERROR(VLOOKUP(B502,ADP!A1:F671,6,FALSE)/1000000,VLOOKUP(B502,ADP!A1:F671,6,FALSE))</f>
        <v>3.5</v>
      </c>
      <c r="I502" s="52">
        <f>IF(Settings!$E$15="POINTS",((R502*Q502)*Settings!$B$12)+(S502*Settings!$B$2)+(T502*Settings!$B$3)+(U502*Settings!$B$4)+(V502*Settings!$B$5)+(X502*Settings!$B$9)+(AA502*Settings!$B$6)+(W502*Settings!$B$8)+(AB502*Settings!$B$7)+(AC502*Settings!$B$14)+(AD502*Settings!$B$15)+(AE502*Settings!$B$16)+(AF502*Settings!$B$17)+(AG502*Settings!$B$18)+(Y502*Settings!$B$10)+(Z502*Settings!$B$11),VLOOKUP(B502,'Standard Deviations'!A$1:C$672,3,FALSE))</f>
        <v>171.42921212127862</v>
      </c>
      <c r="J502" s="53" cm="1">
        <f t="array" ref="J502">IF(D502="G",I502/AJ502,I502/Q502)</f>
        <v>2.1022651556965921</v>
      </c>
      <c r="K502" s="52" cm="1">
        <f t="array" ref="K502">IF(Settings!$E$18="C/LW/RW",VLOOKUP(B502,RW!A1:F210,6,FALSE),VLOOKUP(B502,F!A1:F407,6,FALSE))</f>
        <v>-223.51425257227885</v>
      </c>
      <c r="L502" s="54" cm="1">
        <f t="array" ref="L502">IFERROR(K502/H502,"N/A")</f>
        <v>-63.861215020651102</v>
      </c>
      <c r="M502" s="85" t="s">
        <v>832</v>
      </c>
      <c r="N502" s="85" t="str" cm="1">
        <f t="array" ref="N502">IFERROR(M502-A502,"N/A")</f>
        <v>N/A</v>
      </c>
      <c r="O502" s="55"/>
      <c r="P502" s="56" t="str" cm="1">
        <f t="array" ref="P502">_xlfn.XLOOKUP($B502,ADP!A2:A671,ADP!G2:G671)</f>
        <v xml:space="preserve"> </v>
      </c>
      <c r="Q502" s="57" cm="1">
        <f t="array" ref="Q502">IF(Settings!$E$12="YES",VLOOKUP(B502,'Player Data'!A1:E673,5,FALSE),84)</f>
        <v>81.545000000000002</v>
      </c>
      <c r="R502" s="55" cm="1">
        <f t="array" ref="R502">VLOOKUP(B502,'Player Data'!$A1:$AE673,6,FALSE)</f>
        <v>13.121431765752201</v>
      </c>
      <c r="S502" s="57" cm="1">
        <f t="array" ref="S502">VLOOKUP(B502,'Player Data'!$A1:$AE673,7,FALSE)*$Q502*IFERROR((VLOOKUP(P502,Settings!$E$28:$F$33,2,FALSE)+1),1)</f>
        <v>15.871404808237527</v>
      </c>
      <c r="T502" s="57" cm="1">
        <f t="array" ref="T502">VLOOKUP(B502,'Player Data'!$A1:$AE673,8,FALSE)*$Q502*IFERROR((VLOOKUP(P502,Settings!$E$28:$F$33,2,FALSE)+1),1)</f>
        <v>12.807676720422114</v>
      </c>
      <c r="U502" s="57" cm="1">
        <f t="array" ref="U502">SUM(S502:T502)</f>
        <v>28.679081528659641</v>
      </c>
      <c r="V502" s="57" cm="1">
        <f t="array" ref="V502">VLOOKUP(B502,'Player Data'!$A1:$AE673,10,FALSE)*$Q502*IFERROR(((VLOOKUP(P502,Settings!$E$28:$F$33,2,FALSE)/2)+1),1)</f>
        <v>139.41586750875922</v>
      </c>
      <c r="W502" s="57" cm="1">
        <f t="array" ref="W502">VLOOKUP(B502,'Player Data'!$A1:$AE673,11,FALSE)*$Q502*IFERROR((VLOOKUP(P502,Settings!$E$28:$F$33,2,FALSE)+1),1)</f>
        <v>1.1155961650012598</v>
      </c>
      <c r="X502" s="57" cm="1">
        <f t="array" ref="X502">VLOOKUP(B502,'Player Data'!$A1:$AE673,12,FALSE)*$Q502*IFERROR((VLOOKUP(P502,Settings!$E$28:$F$33,2,FALSE)+1),1)</f>
        <v>1.873990140888885</v>
      </c>
      <c r="Y502" s="57" cm="1">
        <f t="array" ref="Y502">VLOOKUP(B502,'Player Data'!$A1:$AE673,13,FALSE)*$Q502</f>
        <v>0.15676712786553698</v>
      </c>
      <c r="Z502" s="57" cm="1">
        <f t="array" ref="Z502">VLOOKUP(B502,'Player Data'!$A1:$AE673,14,FALSE)*$Q502</f>
        <v>0.29263118235814151</v>
      </c>
      <c r="AA502" s="57" cm="1">
        <f t="array" ref="AA502">VLOOKUP(B502,'Player Data'!$A1:$AE673,15,FALSE)*$Q502</f>
        <v>27.034824915346121</v>
      </c>
      <c r="AB502" s="57" cm="1">
        <f t="array" ref="AB502">VLOOKUP(B502,'Player Data'!$A1:$AE673,16,FALSE)*$Q502</f>
        <v>77.87779226189889</v>
      </c>
      <c r="AC502" s="57" cm="1">
        <f t="array" ref="AC502">VLOOKUP(B502,'Player Data'!$A1:$AE673,17,FALSE)*$Q502*IFERROR((VLOOKUP(P502,Settings!$E$28:$F$33,2,FALSE)+1),1)</f>
        <v>2.4824055616666665</v>
      </c>
      <c r="AD502" s="57" cm="1">
        <f t="array" ref="AD502">VLOOKUP(B502,'Player Data'!$A1:$AE673,18,FALSE)*$Q502</f>
        <v>24.134591635271384</v>
      </c>
      <c r="AE502" s="57" cm="1">
        <f t="array" ref="AE502">VLOOKUP(B502,'Player Data'!$A1:$AE673,19,FALSE)*$Q502*IFERROR((VLOOKUP(P502,Settings!$E$28:$F$33,2,FALSE)+1),1)</f>
        <v>2.8153519798995008</v>
      </c>
      <c r="AF502" s="57" cm="1">
        <f t="array" ref="AF502">VLOOKUP(B502,'Player Data'!$A1:$AE673,20,FALSE)*$Q502</f>
        <v>14.221583976189565</v>
      </c>
      <c r="AG502" s="57" cm="1">
        <f t="array" ref="AG502">VLOOKUP(B502,'Player Data'!$A1:$AE673,21,FALSE)*$Q502</f>
        <v>18.662985946093595</v>
      </c>
      <c r="AH502" s="59" cm="1">
        <f t="array" ref="AH502">VLOOKUP(B502,'Player Data'!$A1:$AE673,22,FALSE)</f>
        <v>0.43246981820956498</v>
      </c>
      <c r="AI502" s="55"/>
      <c r="AJ502" s="57"/>
      <c r="AK502" s="57"/>
      <c r="AL502" s="57"/>
      <c r="AM502" s="57"/>
      <c r="AN502" s="57"/>
      <c r="AO502" s="57"/>
      <c r="AP502" s="57"/>
      <c r="AQ502" s="60"/>
      <c r="AR502" s="61"/>
      <c r="AS502" s="55"/>
    </row>
    <row r="503" spans="1:45" ht="21.25" customHeight="1" x14ac:dyDescent="0.15">
      <c r="A503" s="62">
        <f t="shared" si="7"/>
        <v>502</v>
      </c>
      <c r="B503" s="10" t="s">
        <v>631</v>
      </c>
      <c r="C503" s="47" t="s">
        <v>147</v>
      </c>
      <c r="D503" s="48" t="str" cm="1">
        <f t="array" ref="D503">VLOOKUP(B503,'Player Data'!A1:D673,4,FALSE)</f>
        <v>C</v>
      </c>
      <c r="E503" s="49" cm="1">
        <f t="array" ref="E503">VLOOKUP(B503,'C'!A1:C210,3,FALSE)</f>
        <v>135</v>
      </c>
      <c r="F503" s="69" t="str" cm="1">
        <f t="array" ref="F503">VLOOKUP(B503,'Player Data'!A1:B673,2,FALSE)</f>
        <v>MTL</v>
      </c>
      <c r="G503" s="11" cm="1">
        <f t="array" ref="G503">VLOOKUP(B503,'Player Data'!A1:D673,3,FALSE)</f>
        <v>30</v>
      </c>
      <c r="H503" s="51" cm="1">
        <f t="array" ref="H503">IFERROR(VLOOKUP(B503,ADP!A1:F671,6,FALSE)/1000000,VLOOKUP(B503,ADP!A1:F671,6,FALSE))</f>
        <v>2.85</v>
      </c>
      <c r="I503" s="52">
        <f>IF(Settings!$E$15="POINTS",((R503*Q503)*Settings!$B$12)+(S503*Settings!$B$2)+(T503*Settings!$B$3)+(U503*Settings!$B$4)+(V503*Settings!$B$5)+(X503*Settings!$B$9)+(AA503*Settings!$B$6)+(W503*Settings!$B$8)+(AB503*Settings!$B$7)+(AC503*Settings!$B$14)+(AD503*Settings!$B$15)+(AE503*Settings!$B$16)+(AF503*Settings!$B$17)+(AG503*Settings!$B$18)+(Y503*Settings!$B$10)+(Z503*Settings!$B$11),VLOOKUP(B503,'Standard Deviations'!A$1:C$672,3,FALSE))</f>
        <v>162.73664907869886</v>
      </c>
      <c r="J503" s="53" cm="1">
        <f t="array" ref="J503">IF(D503="G",I503/AJ503,I503/Q503)</f>
        <v>1.9956667984388847</v>
      </c>
      <c r="K503" s="52" cm="1">
        <f t="array" ref="K503">IF(Settings!$E$18="C/LW/RW",VLOOKUP(B503,'C'!A1:F210,6,FALSE),VLOOKUP(B503,F!A1:F407,6,FALSE))</f>
        <v>-223.79855731438414</v>
      </c>
      <c r="L503" s="54" cm="1">
        <f t="array" ref="L503">IFERROR(K503/H503,"N/A")</f>
        <v>-78.52580958399443</v>
      </c>
      <c r="M503" s="85" t="s">
        <v>832</v>
      </c>
      <c r="N503" s="85" t="str" cm="1">
        <f t="array" ref="N503">IFERROR(M503-A503,"N/A")</f>
        <v>N/A</v>
      </c>
      <c r="O503" s="55"/>
      <c r="P503" s="56" t="str" cm="1">
        <f t="array" ref="P503">_xlfn.XLOOKUP($B503,ADP!A2:A671,ADP!G2:G671)</f>
        <v xml:space="preserve"> </v>
      </c>
      <c r="Q503" s="57" cm="1">
        <f t="array" ref="Q503">IF(Settings!$E$12="YES",VLOOKUP(B503,'Player Data'!A1:E673,5,FALSE),84)</f>
        <v>81.545000000000002</v>
      </c>
      <c r="R503" s="55" cm="1">
        <f t="array" ref="R503">VLOOKUP(B503,'Player Data'!$A1:$AE673,6,FALSE)</f>
        <v>15.388980286158301</v>
      </c>
      <c r="S503" s="57" cm="1">
        <f t="array" ref="S503">VLOOKUP(B503,'Player Data'!$A1:$AE673,7,FALSE)*$Q503*IFERROR((VLOOKUP(P503,Settings!$E$28:$F$33,2,FALSE)+1),1)</f>
        <v>11.470778552416622</v>
      </c>
      <c r="T503" s="57" cm="1">
        <f t="array" ref="T503">VLOOKUP(B503,'Player Data'!$A1:$AE673,8,FALSE)*$Q503*IFERROR((VLOOKUP(P503,Settings!$E$28:$F$33,2,FALSE)+1),1)</f>
        <v>17.573728558990226</v>
      </c>
      <c r="U503" s="57" cm="1">
        <f t="array" ref="U503">SUM(S503:T503)</f>
        <v>29.044507111406848</v>
      </c>
      <c r="V503" s="57" cm="1">
        <f t="array" ref="V503">VLOOKUP(B503,'Player Data'!$A1:$AE673,10,FALSE)*$Q503*IFERROR(((VLOOKUP(P503,Settings!$E$28:$F$33,2,FALSE)/2)+1),1)</f>
        <v>87.754020823189947</v>
      </c>
      <c r="W503" s="57" cm="1">
        <f t="array" ref="W503">VLOOKUP(B503,'Player Data'!$A1:$AE673,11,FALSE)*$Q503*IFERROR((VLOOKUP(P503,Settings!$E$28:$F$33,2,FALSE)+1),1)</f>
        <v>3.0739334561740432E-2</v>
      </c>
      <c r="X503" s="57" cm="1">
        <f t="array" ref="X503">VLOOKUP(B503,'Player Data'!$A1:$AE673,12,FALSE)*$Q503*IFERROR((VLOOKUP(P503,Settings!$E$28:$F$33,2,FALSE)+1),1)</f>
        <v>6.8416565347909089E-2</v>
      </c>
      <c r="Y503" s="57" cm="1">
        <f t="array" ref="Y503">VLOOKUP(B503,'Player Data'!$A1:$AE673,13,FALSE)*$Q503</f>
        <v>1.584297186696898</v>
      </c>
      <c r="Z503" s="57" cm="1">
        <f t="array" ref="Z503">VLOOKUP(B503,'Player Data'!$A1:$AE673,14,FALSE)*$Q503</f>
        <v>2.5711566436657507</v>
      </c>
      <c r="AA503" s="57" cm="1">
        <f t="array" ref="AA503">VLOOKUP(B503,'Player Data'!$A1:$AE673,15,FALSE)*$Q503</f>
        <v>58.173088247739372</v>
      </c>
      <c r="AB503" s="57" cm="1">
        <f t="array" ref="AB503">VLOOKUP(B503,'Player Data'!$A1:$AE673,16,FALSE)*$Q503</f>
        <v>106.29853739606293</v>
      </c>
      <c r="AC503" s="57" cm="1">
        <f t="array" ref="AC503">VLOOKUP(B503,'Player Data'!$A1:$AE673,17,FALSE)*$Q503*IFERROR((VLOOKUP(P503,Settings!$E$28:$F$33,2,FALSE)+1),1)</f>
        <v>0.88576031549222611</v>
      </c>
      <c r="AD503" s="57" cm="1">
        <f t="array" ref="AD503">VLOOKUP(B503,'Player Data'!$A1:$AE673,18,FALSE)*$Q503</f>
        <v>20.628182605013624</v>
      </c>
      <c r="AE503" s="57" cm="1">
        <f t="array" ref="AE503">VLOOKUP(B503,'Player Data'!$A1:$AE673,19,FALSE)*$Q503*IFERROR((VLOOKUP(P503,Settings!$E$28:$F$33,2,FALSE)+1),1)</f>
        <v>1.9097716834972434</v>
      </c>
      <c r="AF503" s="57" cm="1">
        <f t="array" ref="AF503">VLOOKUP(B503,'Player Data'!$A1:$AE673,20,FALSE)*$Q503</f>
        <v>560.80402880836255</v>
      </c>
      <c r="AG503" s="57" cm="1">
        <f t="array" ref="AG503">VLOOKUP(B503,'Player Data'!$A1:$AE673,21,FALSE)*$Q503</f>
        <v>481.5931144193874</v>
      </c>
      <c r="AH503" s="59" cm="1">
        <f t="array" ref="AH503">VLOOKUP(B503,'Player Data'!$A1:$AE673,22,FALSE)</f>
        <v>0.53799459491211798</v>
      </c>
      <c r="AI503" s="55"/>
      <c r="AJ503" s="57"/>
      <c r="AK503" s="57"/>
      <c r="AL503" s="57"/>
      <c r="AM503" s="57"/>
      <c r="AN503" s="57"/>
      <c r="AO503" s="57"/>
      <c r="AP503" s="57"/>
      <c r="AQ503" s="60"/>
      <c r="AR503" s="61"/>
      <c r="AS503" s="55"/>
    </row>
    <row r="504" spans="1:45" ht="21.25" customHeight="1" x14ac:dyDescent="0.15">
      <c r="A504" s="62">
        <f t="shared" si="7"/>
        <v>503</v>
      </c>
      <c r="B504" s="10" t="s">
        <v>632</v>
      </c>
      <c r="C504" s="47" t="s">
        <v>147</v>
      </c>
      <c r="D504" s="48" t="str" cm="1">
        <f t="array" ref="D504">VLOOKUP(B504,'Player Data'!A1:D673,4,FALSE)</f>
        <v>D</v>
      </c>
      <c r="E504" s="68" cm="1">
        <f t="array" ref="E504">VLOOKUP(B504,D!A1:C204,3,FALSE)</f>
        <v>200</v>
      </c>
      <c r="F504" s="72" t="str" cm="1">
        <f t="array" ref="F504">VLOOKUP(B504,'Player Data'!A1:B673,2,FALSE)</f>
        <v>NYI</v>
      </c>
      <c r="G504" s="11" cm="1">
        <f t="array" ref="G504">VLOOKUP(B504,'Player Data'!A1:D673,3,FALSE)</f>
        <v>26</v>
      </c>
      <c r="H504" s="51" cm="1">
        <f t="array" ref="H504">IFERROR(VLOOKUP(B504,ADP!A1:F671,6,FALSE)/1000000,VLOOKUP(B504,ADP!A1:F671,6,FALSE))</f>
        <v>0</v>
      </c>
      <c r="I504" s="52">
        <f>IF(Settings!$E$15="POINTS",((R504*Q504)*Settings!$B$12)+(S504*Settings!$B$2)+(T504*Settings!$B$3)+(U504*Settings!$B$4)+(V504*Settings!$B$5)+(X504*Settings!$B$9)+(AA504*Settings!$B$6)+(W504*Settings!$B$8)+(AB504*Settings!$B$7)+(AC504*Settings!$B$14)+(AD504*Settings!$B$15)+(AE504*Settings!$B$16)+(AF504*Settings!$B$17)+(AG504*Settings!$B$18)+(U504*Settings!$B$13)+(Y504*Settings!$B$10)+(Z504*Settings!$B$11),VLOOKUP(B504,'Standard Deviations'!A$1:C$672,3,FALSE))</f>
        <v>82.678372928208063</v>
      </c>
      <c r="J504" s="53" cm="1">
        <f t="array" ref="J504">IF(D504="G",I504/AJ504,I504/Q504)</f>
        <v>1.3064966290555535</v>
      </c>
      <c r="K504" s="52" cm="1">
        <f t="array" ref="K504">VLOOKUP(B504,D!A1:F204,6,FALSE)</f>
        <v>-223.975494416386</v>
      </c>
      <c r="L504" s="80" t="str" cm="1">
        <f t="array" ref="L504">IFERROR(K504/H504,"N/A")</f>
        <v>N/A</v>
      </c>
      <c r="M504" s="85" t="s">
        <v>832</v>
      </c>
      <c r="N504" s="85" t="str" cm="1">
        <f t="array" ref="N504">IFERROR(M504-A504,"N/A")</f>
        <v>N/A</v>
      </c>
      <c r="O504" s="55"/>
      <c r="P504" s="56" t="str" cm="1">
        <f t="array" ref="P504">_xlfn.XLOOKUP($B504,ADP!A2:A671,ADP!G2:G671)</f>
        <v xml:space="preserve"> </v>
      </c>
      <c r="Q504" s="57" cm="1">
        <f t="array" ref="Q504">IF(Settings!$E$12="YES",VLOOKUP(B504,'Player Data'!A1:E673,5,FALSE),84)</f>
        <v>63.282499999999999</v>
      </c>
      <c r="R504" s="55" cm="1">
        <f t="array" ref="R504">VLOOKUP(B504,'Player Data'!$A1:$AE673,6,FALSE)</f>
        <v>12.8241904298236</v>
      </c>
      <c r="S504" s="57" cm="1">
        <f t="array" ref="S504">VLOOKUP(B504,'Player Data'!$A1:$AE673,7,FALSE)*$Q504*IFERROR((VLOOKUP(P504,Settings!$E$28:$F$33,2,FALSE)+1),1)</f>
        <v>2.2854354574176088</v>
      </c>
      <c r="T504" s="57" cm="1">
        <f t="array" ref="T504">VLOOKUP(B504,'Player Data'!$A1:$AE673,8,FALSE)*$Q504*IFERROR((VLOOKUP(P504,Settings!$E$28:$F$33,2,FALSE)+1),1)</f>
        <v>8.4579784430376268</v>
      </c>
      <c r="U504" s="57" cm="1">
        <f t="array" ref="U504">SUM(S504:T504)</f>
        <v>10.743413900455236</v>
      </c>
      <c r="V504" s="57" cm="1">
        <f t="array" ref="V504">VLOOKUP(B504,'Player Data'!$A1:$AE673,10,FALSE)*$Q504*IFERROR(((VLOOKUP(P504,Settings!$E$28:$F$33,2,FALSE)/2)+1),1)</f>
        <v>46.80814595895216</v>
      </c>
      <c r="W504" s="57" cm="1">
        <f t="array" ref="W504">VLOOKUP(B504,'Player Data'!$A1:$AE673,11,FALSE)*$Q504*IFERROR((VLOOKUP(P504,Settings!$E$28:$F$33,2,FALSE)+1),1)</f>
        <v>9.2858387566060463E-2</v>
      </c>
      <c r="X504" s="57" cm="1">
        <f t="array" ref="X504">VLOOKUP(B504,'Player Data'!$A1:$AE673,12,FALSE)*$Q504*IFERROR((VLOOKUP(P504,Settings!$E$28:$F$33,2,FALSE)+1),1)</f>
        <v>0.91797600075438213</v>
      </c>
      <c r="Y504" s="57" cm="1">
        <f t="array" ref="Y504">VLOOKUP(B504,'Player Data'!$A1:$AE673,13,FALSE)*$Q504</f>
        <v>2.4302773901232391E-3</v>
      </c>
      <c r="Z504" s="57" cm="1">
        <f t="array" ref="Z504">VLOOKUP(B504,'Player Data'!$A1:$AE673,14,FALSE)*$Q504</f>
        <v>8.348971119498871E-3</v>
      </c>
      <c r="AA504" s="57" cm="1">
        <f t="array" ref="AA504">VLOOKUP(B504,'Player Data'!$A1:$AE673,15,FALSE)*$Q504</f>
        <v>52.235466550984789</v>
      </c>
      <c r="AB504" s="57" cm="1">
        <f t="array" ref="AB504">VLOOKUP(B504,'Player Data'!$A1:$AE673,16,FALSE)*$Q504</f>
        <v>46.058754037458826</v>
      </c>
      <c r="AC504" s="57" cm="1">
        <f t="array" ref="AC504">VLOOKUP(B504,'Player Data'!$A1:$AE673,17,FALSE)*$Q504*IFERROR((VLOOKUP(P504,Settings!$E$28:$F$33,2,FALSE)+1),1)</f>
        <v>-3.5176586973995119</v>
      </c>
      <c r="AD504" s="57" cm="1">
        <f t="array" ref="AD504">VLOOKUP(B504,'Player Data'!$A1:$AE673,18,FALSE)*$Q504</f>
        <v>14.817520532587888</v>
      </c>
      <c r="AE504" s="57" cm="1">
        <f t="array" ref="AE504">VLOOKUP(B504,'Player Data'!$A1:$AE673,19,FALSE)*$Q504*IFERROR((VLOOKUP(P504,Settings!$E$28:$F$33,2,FALSE)+1),1)</f>
        <v>0.33376836164018597</v>
      </c>
      <c r="AF504" s="57" cm="1">
        <f t="array" ref="AF504">VLOOKUP(B504,'Player Data'!$A1:$AE673,20,FALSE)*$Q504</f>
        <v>0</v>
      </c>
      <c r="AG504" s="57" cm="1">
        <f t="array" ref="AG504">VLOOKUP(B504,'Player Data'!$A1:$AE673,21,FALSE)*$Q504</f>
        <v>0</v>
      </c>
      <c r="AH504" s="59" cm="1">
        <f t="array" ref="AH504">VLOOKUP(B504,'Player Data'!$A1:$AE673,22,FALSE)</f>
        <v>0</v>
      </c>
      <c r="AI504" s="55"/>
      <c r="AJ504" s="57"/>
      <c r="AK504" s="57"/>
      <c r="AL504" s="57"/>
      <c r="AM504" s="57"/>
      <c r="AN504" s="57"/>
      <c r="AO504" s="57"/>
      <c r="AP504" s="57"/>
      <c r="AQ504" s="60"/>
      <c r="AR504" s="61"/>
      <c r="AS504" s="55"/>
    </row>
    <row r="505" spans="1:45" ht="21.25" customHeight="1" x14ac:dyDescent="0.15">
      <c r="A505" s="62">
        <f t="shared" si="7"/>
        <v>504</v>
      </c>
      <c r="B505" s="10" t="s">
        <v>633</v>
      </c>
      <c r="C505" s="47" t="s">
        <v>147</v>
      </c>
      <c r="D505" s="48" t="str" cm="1">
        <f t="array" ref="D505">VLOOKUP(B505,'Player Data'!A1:D673,4,FALSE)</f>
        <v>D</v>
      </c>
      <c r="E505" s="68" cm="1">
        <f t="array" ref="E505">VLOOKUP(B505,D!A1:C204,3,FALSE)</f>
        <v>201</v>
      </c>
      <c r="F505" s="63" t="str" cm="1">
        <f t="array" ref="F505">VLOOKUP(B505,'Player Data'!A1:B673,2,FALSE)</f>
        <v>CGY</v>
      </c>
      <c r="G505" s="66" cm="1">
        <f t="array" ref="G505">VLOOKUP(B505,'Player Data'!A1:D673,3,FALSE)</f>
        <v>35</v>
      </c>
      <c r="H505" s="67" cm="1">
        <f t="array" ref="H505">IFERROR(VLOOKUP(B505,ADP!A1:F671,6,FALSE)/1000000,VLOOKUP(B505,ADP!A1:F671,6,FALSE))</f>
        <v>1.75</v>
      </c>
      <c r="I505" s="52">
        <f>IF(Settings!$E$15="POINTS",((R505*Q505)*Settings!$B$12)+(S505*Settings!$B$2)+(T505*Settings!$B$3)+(U505*Settings!$B$4)+(V505*Settings!$B$5)+(X505*Settings!$B$9)+(AA505*Settings!$B$6)+(W505*Settings!$B$8)+(AB505*Settings!$B$7)+(AC505*Settings!$B$14)+(AD505*Settings!$B$15)+(AE505*Settings!$B$16)+(AF505*Settings!$B$17)+(AG505*Settings!$B$18)+(U505*Settings!$B$13)+(Y505*Settings!$B$10)+(Z505*Settings!$B$11),VLOOKUP(B505,'Standard Deviations'!A$1:C$672,3,FALSE))</f>
        <v>82.04541074720791</v>
      </c>
      <c r="J505" s="53" cm="1">
        <f t="array" ref="J505">IF(D505="G",I505/AJ505,I505/Q505)</f>
        <v>1.1153915066065039</v>
      </c>
      <c r="K505" s="52" cm="1">
        <f t="array" ref="K505">VLOOKUP(B505,D!A1:F204,6,FALSE)</f>
        <v>-224.60845659738615</v>
      </c>
      <c r="L505" s="54" cm="1">
        <f t="array" ref="L505">IFERROR(K505/H505,"N/A")</f>
        <v>-128.34768948422067</v>
      </c>
      <c r="M505" s="85" t="s">
        <v>832</v>
      </c>
      <c r="N505" s="85" t="str" cm="1">
        <f t="array" ref="N505">IFERROR(M505-A505,"N/A")</f>
        <v>N/A</v>
      </c>
      <c r="O505" s="55"/>
      <c r="P505" s="56" t="str" cm="1">
        <f t="array" ref="P505">_xlfn.XLOOKUP($B505,ADP!A2:A671,ADP!G2:G671)</f>
        <v xml:space="preserve"> </v>
      </c>
      <c r="Q505" s="57" cm="1">
        <f t="array" ref="Q505">IF(Settings!$E$12="YES",VLOOKUP(B505,'Player Data'!A1:E673,5,FALSE),84)</f>
        <v>73.557500000000005</v>
      </c>
      <c r="R505" s="55" cm="1">
        <f t="array" ref="R505">VLOOKUP(B505,'Player Data'!$A1:$AE673,6,FALSE)</f>
        <v>15.350984055067499</v>
      </c>
      <c r="S505" s="57" cm="1">
        <f t="array" ref="S505">VLOOKUP(B505,'Player Data'!$A1:$AE673,7,FALSE)*$Q505*IFERROR((VLOOKUP(P505,Settings!$E$28:$F$33,2,FALSE)+1),1)</f>
        <v>-0.31812155292943101</v>
      </c>
      <c r="T505" s="57" cm="1">
        <f t="array" ref="T505">VLOOKUP(B505,'Player Data'!$A1:$AE673,8,FALSE)*$Q505*IFERROR((VLOOKUP(P505,Settings!$E$28:$F$33,2,FALSE)+1),1)</f>
        <v>6.5942271365755243</v>
      </c>
      <c r="U505" s="57" cm="1">
        <f t="array" ref="U505">SUM(S505:T505)</f>
        <v>6.2761055836460935</v>
      </c>
      <c r="V505" s="57" cm="1">
        <f t="array" ref="V505">VLOOKUP(B505,'Player Data'!$A1:$AE673,10,FALSE)*$Q505*IFERROR(((VLOOKUP(P505,Settings!$E$28:$F$33,2,FALSE)/2)+1),1)</f>
        <v>25.751879974126695</v>
      </c>
      <c r="W505" s="57" cm="1">
        <f t="array" ref="W505">VLOOKUP(B505,'Player Data'!$A1:$AE673,11,FALSE)*$Q505*IFERROR((VLOOKUP(P505,Settings!$E$28:$F$33,2,FALSE)+1),1)</f>
        <v>-1.1046783444692504E-3</v>
      </c>
      <c r="X505" s="57" cm="1">
        <f t="array" ref="X505">VLOOKUP(B505,'Player Data'!$A1:$AE673,12,FALSE)*$Q505*IFERROR((VLOOKUP(P505,Settings!$E$28:$F$33,2,FALSE)+1),1)</f>
        <v>2.665747542083682E-2</v>
      </c>
      <c r="Y505" s="57" cm="1">
        <f t="array" ref="Y505">VLOOKUP(B505,'Player Data'!$A1:$AE673,13,FALSE)*$Q505</f>
        <v>-5.2211270694420787E-3</v>
      </c>
      <c r="Z505" s="57" cm="1">
        <f t="array" ref="Z505">VLOOKUP(B505,'Player Data'!$A1:$AE673,14,FALSE)*$Q505</f>
        <v>0.11509004553588219</v>
      </c>
      <c r="AA505" s="57" cm="1">
        <f t="array" ref="AA505">VLOOKUP(B505,'Player Data'!$A1:$AE673,15,FALSE)*$Q505</f>
        <v>100.39881297649914</v>
      </c>
      <c r="AB505" s="57" cm="1">
        <f t="array" ref="AB505">VLOOKUP(B505,'Player Data'!$A1:$AE673,16,FALSE)*$Q505</f>
        <v>64.900562270006816</v>
      </c>
      <c r="AC505" s="57" cm="1">
        <f t="array" ref="AC505">VLOOKUP(B505,'Player Data'!$A1:$AE673,17,FALSE)*$Q505*IFERROR((VLOOKUP(P505,Settings!$E$28:$F$33,2,FALSE)+1),1)</f>
        <v>-6.6411153742086917</v>
      </c>
      <c r="AD505" s="57" cm="1">
        <f t="array" ref="AD505">VLOOKUP(B505,'Player Data'!$A1:$AE673,18,FALSE)*$Q505</f>
        <v>35.590664019657432</v>
      </c>
      <c r="AE505" s="57" cm="1">
        <f t="array" ref="AE505">VLOOKUP(B505,'Player Data'!$A1:$AE673,19,FALSE)*$Q505*IFERROR((VLOOKUP(P505,Settings!$E$28:$F$33,2,FALSE)+1),1)</f>
        <v>-4.5737916361827495E-2</v>
      </c>
      <c r="AF505" s="57" cm="1">
        <f t="array" ref="AF505">VLOOKUP(B505,'Player Data'!$A1:$AE673,20,FALSE)*$Q505</f>
        <v>0</v>
      </c>
      <c r="AG505" s="57" cm="1">
        <f t="array" ref="AG505">VLOOKUP(B505,'Player Data'!$A1:$AE673,21,FALSE)*$Q505</f>
        <v>0</v>
      </c>
      <c r="AH505" s="59" cm="1">
        <f t="array" ref="AH505">VLOOKUP(B505,'Player Data'!$A1:$AE673,22,FALSE)</f>
        <v>0</v>
      </c>
      <c r="AI505" s="55"/>
      <c r="AJ505" s="57"/>
      <c r="AK505" s="57"/>
      <c r="AL505" s="57"/>
      <c r="AM505" s="57"/>
      <c r="AN505" s="57"/>
      <c r="AO505" s="57"/>
      <c r="AP505" s="57"/>
      <c r="AQ505" s="60"/>
      <c r="AR505" s="61"/>
      <c r="AS505" s="55"/>
    </row>
    <row r="506" spans="1:45" ht="21.25" customHeight="1" x14ac:dyDescent="0.15">
      <c r="A506" s="62">
        <f t="shared" si="7"/>
        <v>505</v>
      </c>
      <c r="B506" s="10" t="s">
        <v>634</v>
      </c>
      <c r="C506" s="47" t="s">
        <v>147</v>
      </c>
      <c r="D506" s="48" t="str" cm="1">
        <f t="array" ref="D506">VLOOKUP(B506,'Player Data'!A1:D673,4,FALSE)</f>
        <v>C</v>
      </c>
      <c r="E506" s="49" cm="1">
        <f t="array" ref="E506">VLOOKUP(B506,'C'!A1:C210,3,FALSE)</f>
        <v>136</v>
      </c>
      <c r="F506" s="56" t="str" cm="1">
        <f t="array" ref="F506">VLOOKUP(B506,'Player Data'!A1:B673,2,FALSE)</f>
        <v>NYR</v>
      </c>
      <c r="G506" s="71" cm="1">
        <f t="array" ref="G506">VLOOKUP(B506,'Player Data'!A1:D673,3,FALSE)</f>
        <v>23</v>
      </c>
      <c r="H506" s="51" cm="1">
        <f t="array" ref="H506">IFERROR(VLOOKUP(B506,ADP!A1:F671,6,FALSE)/1000000,VLOOKUP(B506,ADP!A1:F671,6,FALSE))</f>
        <v>0.90749999999999997</v>
      </c>
      <c r="I506" s="52">
        <f>IF(Settings!$E$15="POINTS",((R506*Q506)*Settings!$B$12)+(S506*Settings!$B$2)+(T506*Settings!$B$3)+(U506*Settings!$B$4)+(V506*Settings!$B$5)+(X506*Settings!$B$9)+(AA506*Settings!$B$6)+(W506*Settings!$B$8)+(AB506*Settings!$B$7)+(AC506*Settings!$B$14)+(AD506*Settings!$B$15)+(AE506*Settings!$B$16)+(AF506*Settings!$B$17)+(AG506*Settings!$B$18)+(Y506*Settings!$B$10)+(Z506*Settings!$B$11),VLOOKUP(B506,'Standard Deviations'!A$1:C$672,3,FALSE))</f>
        <v>161.337632082765</v>
      </c>
      <c r="J506" s="53" cm="1">
        <f t="array" ref="J506">IF(D506="G",I506/AJ506,I506/Q506)</f>
        <v>1.9989794583417793</v>
      </c>
      <c r="K506" s="52" cm="1">
        <f t="array" ref="K506">IF(Settings!$E$18="C/LW/RW",VLOOKUP(B506,'C'!A1:F210,6,FALSE),VLOOKUP(B506,F!A1:F407,6,FALSE))</f>
        <v>-225.197574310318</v>
      </c>
      <c r="L506" s="54" cm="1">
        <f t="array" ref="L506">IFERROR(K506/H506,"N/A")</f>
        <v>-248.15159703616311</v>
      </c>
      <c r="M506" s="85" t="s">
        <v>832</v>
      </c>
      <c r="N506" s="85" t="str" cm="1">
        <f t="array" ref="N506">IFERROR(M506-A506,"N/A")</f>
        <v>N/A</v>
      </c>
      <c r="O506" s="55"/>
      <c r="P506" s="56" t="str" cm="1">
        <f t="array" ref="P506">_xlfn.XLOOKUP($B506,ADP!A2:A671,ADP!G2:G671)</f>
        <v xml:space="preserve"> </v>
      </c>
      <c r="Q506" s="57" cm="1">
        <f t="array" ref="Q506">IF(Settings!$E$12="YES",VLOOKUP(B506,'Player Data'!A1:E673,5,FALSE),84)</f>
        <v>80.709999999999994</v>
      </c>
      <c r="R506" s="55" cm="1">
        <f t="array" ref="R506">VLOOKUP(B506,'Player Data'!$A1:$AE673,6,FALSE)</f>
        <v>14.095032652368101</v>
      </c>
      <c r="S506" s="57" cm="1">
        <f t="array" ref="S506">VLOOKUP(B506,'Player Data'!$A1:$AE673,7,FALSE)*$Q506*IFERROR((VLOOKUP(P506,Settings!$E$28:$F$33,2,FALSE)+1),1)</f>
        <v>11.374736686031255</v>
      </c>
      <c r="T506" s="57" cm="1">
        <f t="array" ref="T506">VLOOKUP(B506,'Player Data'!$A1:$AE673,8,FALSE)*$Q506*IFERROR((VLOOKUP(P506,Settings!$E$28:$F$33,2,FALSE)+1),1)</f>
        <v>18.026372663003631</v>
      </c>
      <c r="U506" s="57" cm="1">
        <f t="array" ref="U506">SUM(S506:T506)</f>
        <v>29.401109349034886</v>
      </c>
      <c r="V506" s="57" cm="1">
        <f t="array" ref="V506">VLOOKUP(B506,'Player Data'!$A1:$AE673,10,FALSE)*$Q506*IFERROR(((VLOOKUP(P506,Settings!$E$28:$F$33,2,FALSE)/2)+1),1)</f>
        <v>90.109390495298726</v>
      </c>
      <c r="W506" s="57" cm="1">
        <f t="array" ref="W506">VLOOKUP(B506,'Player Data'!$A1:$AE673,11,FALSE)*$Q506*IFERROR((VLOOKUP(P506,Settings!$E$28:$F$33,2,FALSE)+1),1)</f>
        <v>2.3352047645400122</v>
      </c>
      <c r="X506" s="57" cm="1">
        <f t="array" ref="X506">VLOOKUP(B506,'Player Data'!$A1:$AE673,12,FALSE)*$Q506*IFERROR((VLOOKUP(P506,Settings!$E$28:$F$33,2,FALSE)+1),1)</f>
        <v>4.2889147776801879</v>
      </c>
      <c r="Y506" s="57" cm="1">
        <f t="array" ref="Y506">VLOOKUP(B506,'Player Data'!$A1:$AE673,13,FALSE)*$Q506</f>
        <v>0.18996551718767971</v>
      </c>
      <c r="Z506" s="57" cm="1">
        <f t="array" ref="Z506">VLOOKUP(B506,'Player Data'!$A1:$AE673,14,FALSE)*$Q506</f>
        <v>0.30894163946863068</v>
      </c>
      <c r="AA506" s="57" cm="1">
        <f t="array" ref="AA506">VLOOKUP(B506,'Player Data'!$A1:$AE673,15,FALSE)*$Q506</f>
        <v>46.963504741724329</v>
      </c>
      <c r="AB506" s="57" cm="1">
        <f t="array" ref="AB506">VLOOKUP(B506,'Player Data'!$A1:$AE673,16,FALSE)*$Q506</f>
        <v>115.92065294848574</v>
      </c>
      <c r="AC506" s="57" cm="1">
        <f t="array" ref="AC506">VLOOKUP(B506,'Player Data'!$A1:$AE673,17,FALSE)*$Q506*IFERROR((VLOOKUP(P506,Settings!$E$28:$F$33,2,FALSE)+1),1)</f>
        <v>-0.24606141887489461</v>
      </c>
      <c r="AD506" s="57" cm="1">
        <f t="array" ref="AD506">VLOOKUP(B506,'Player Data'!$A1:$AE673,18,FALSE)*$Q506</f>
        <v>32.394431723266891</v>
      </c>
      <c r="AE506" s="57" cm="1">
        <f t="array" ref="AE506">VLOOKUP(B506,'Player Data'!$A1:$AE673,19,FALSE)*$Q506*IFERROR((VLOOKUP(P506,Settings!$E$28:$F$33,2,FALSE)+1),1)</f>
        <v>1.7870142668422797</v>
      </c>
      <c r="AF506" s="57" cm="1">
        <f t="array" ref="AF506">VLOOKUP(B506,'Player Data'!$A1:$AE673,20,FALSE)*$Q506</f>
        <v>378.88002040799864</v>
      </c>
      <c r="AG506" s="57" cm="1">
        <f t="array" ref="AG506">VLOOKUP(B506,'Player Data'!$A1:$AE673,21,FALSE)*$Q506</f>
        <v>365.18556183903411</v>
      </c>
      <c r="AH506" s="59" cm="1">
        <f t="array" ref="AH506">VLOOKUP(B506,'Player Data'!$A1:$AE673,22,FALSE)</f>
        <v>0.50920245398773001</v>
      </c>
      <c r="AI506" s="55"/>
      <c r="AJ506" s="57"/>
      <c r="AK506" s="57"/>
      <c r="AL506" s="57"/>
      <c r="AM506" s="57"/>
      <c r="AN506" s="57"/>
      <c r="AO506" s="57"/>
      <c r="AP506" s="57"/>
      <c r="AQ506" s="60"/>
      <c r="AR506" s="61"/>
      <c r="AS506" s="55"/>
    </row>
    <row r="507" spans="1:45" ht="21.25" customHeight="1" x14ac:dyDescent="0.15">
      <c r="A507" s="62">
        <f t="shared" si="7"/>
        <v>506</v>
      </c>
      <c r="B507" s="10" t="s">
        <v>635</v>
      </c>
      <c r="C507" s="76"/>
      <c r="D507" s="48" t="str" cm="1">
        <f t="array" ref="D507">VLOOKUP(B507,'Player Data'!A1:D673,4,FALSE)</f>
        <v>G</v>
      </c>
      <c r="E507" s="77" cm="1">
        <f t="array" ref="E507">VLOOKUP(B507,G!A1:D66,3,FALSE)</f>
        <v>53</v>
      </c>
      <c r="F507" s="65" t="str" cm="1">
        <f t="array" ref="F507">VLOOKUP(B507,'Player Data'!A1:B673,2,FALSE)</f>
        <v>T.B</v>
      </c>
      <c r="G507" s="11" cm="1">
        <f t="array" ref="G507">VLOOKUP(B507,'Player Data'!A1:D673,3,FALSE)</f>
        <v>25</v>
      </c>
      <c r="H507" s="51" cm="1">
        <f t="array" ref="H507">IFERROR(VLOOKUP(B507,ADP!A1:F671,6,FALSE)/1000000,VLOOKUP(B507,ADP!A1:F671,6,FALSE))</f>
        <v>0.84099999999999997</v>
      </c>
      <c r="I507" s="52">
        <f>IF(Settings!$E$15="POINTS",(AJ507*Settings!$B$29)+(AK507*Settings!$B$21)+(AL507*Settings!$B$22)+(AN507*Settings!$B$24)+(AO507*Settings!$B$25)+(AP507*Settings!$B$27)+(AM507*Settings!$B$23),VLOOKUP(B507,'Standard Deviations'!A$1:C$672,3,FALSE))</f>
        <v>133.88494644045161</v>
      </c>
      <c r="J507" s="53" cm="1">
        <f t="array" ref="J507">IF(D507="G",I507/AJ507,I507/Q507)</f>
        <v>5.3553978576180645</v>
      </c>
      <c r="K507" s="52" cm="1">
        <f t="array" ref="K507">VLOOKUP(B507,G!A1:F66,6,FALSE)</f>
        <v>-225.27296148978641</v>
      </c>
      <c r="L507" s="54" cm="1">
        <f t="array" ref="L507">IFERROR(K507/H507,"N/A")</f>
        <v>-267.86321223518007</v>
      </c>
      <c r="M507" s="85" t="s">
        <v>832</v>
      </c>
      <c r="N507" s="85" t="str" cm="1">
        <f t="array" ref="N507">IFERROR(M507-A507,"N/A")</f>
        <v>N/A</v>
      </c>
      <c r="O507" s="55"/>
      <c r="P507" s="56" t="str" cm="1">
        <f t="array" ref="P507">_xlfn.XLOOKUP($B507,ADP!A2:A671,ADP!G2:G671)</f>
        <v xml:space="preserve"> </v>
      </c>
      <c r="Q507" s="57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9"/>
      <c r="AI507" s="55"/>
      <c r="AJ507" s="78" cm="1">
        <f t="array" ref="AJ507">VLOOKUP(B507,'Player Data'!$A1:$AE673,24,FALSE)</f>
        <v>25</v>
      </c>
      <c r="AK507" s="57" cm="1">
        <f t="array" ref="AK507">VLOOKUP(B507,'Player Data'!$A1:$AE673,25,FALSE)*$AJ507*IFERROR((VLOOKUP(P507,Settings!$E$28:$F$33,2,FALSE)+1),1)</f>
        <v>14.698590898552199</v>
      </c>
      <c r="AL507" s="57" cm="1">
        <f t="array" ref="AL507">AJ507-AK507-AM507</f>
        <v>7.7260568260858502</v>
      </c>
      <c r="AM507" s="57" cm="1">
        <f t="array" ref="AM507">VLOOKUP(B507,'Player Data'!$A1:$AE673,27,FALSE)*$AJ507</f>
        <v>2.5753522753619502</v>
      </c>
      <c r="AN507" s="57" cm="1">
        <f t="array" ref="AN507">VLOOKUP(B507,'Player Data'!$A1:$AE673,28,FALSE)*AJ507</f>
        <v>1.5363700593432374</v>
      </c>
      <c r="AO507" s="57" cm="1">
        <f t="array" ref="AO507">VLOOKUP(B507,'Player Data'!$A1:$AE673,29,FALSE)*$AJ507*IFERROR((VLOOKUP(P507,Settings!$E$28:$F$33,2,FALSE)/4)+1,1)</f>
        <v>587.52366553766501</v>
      </c>
      <c r="AP507" s="57" cm="1">
        <f t="array" ref="AP507">VLOOKUP(B507,'Player Data'!$A1:$AE673,31,FALSE)*$AJ507*(IFERROR(1-(VLOOKUP(P507,Settings!$E$28:$F$33,2,FALSE)/4),1))</f>
        <v>68.503009694460246</v>
      </c>
      <c r="AQ507" s="60" cm="1">
        <f t="array" ref="AQ507">1-(AP507/(AO507+AP507))</f>
        <v>0.89557892646633386</v>
      </c>
      <c r="AR507" s="61" cm="1">
        <f t="array" ref="AR507">AP507/AJ507</f>
        <v>2.7401203877784099</v>
      </c>
      <c r="AS507" s="55"/>
    </row>
    <row r="508" spans="1:45" ht="21.25" customHeight="1" x14ac:dyDescent="0.15">
      <c r="A508" s="62">
        <f t="shared" si="7"/>
        <v>507</v>
      </c>
      <c r="B508" s="10" t="s">
        <v>636</v>
      </c>
      <c r="C508" s="47" t="s">
        <v>147</v>
      </c>
      <c r="D508" s="48" t="str" cm="1">
        <f t="array" ref="D508">VLOOKUP(B508,'Player Data'!A1:D673,4,FALSE)</f>
        <v>C</v>
      </c>
      <c r="E508" s="49" cm="1">
        <f t="array" ref="E508">VLOOKUP(B508,'C'!A1:C210,3,FALSE)</f>
        <v>137</v>
      </c>
      <c r="F508" s="65" t="str" cm="1">
        <f t="array" ref="F508">VLOOKUP(B508,'Player Data'!A1:B673,2,FALSE)</f>
        <v>T.B</v>
      </c>
      <c r="G508" s="66" cm="1">
        <f t="array" ref="G508">VLOOKUP(B508,'Player Data'!A1:D673,3,FALSE)</f>
        <v>34</v>
      </c>
      <c r="H508" s="51" cm="1">
        <f t="array" ref="H508">IFERROR(VLOOKUP(B508,ADP!A1:F671,6,FALSE)/1000000,VLOOKUP(B508,ADP!A1:F671,6,FALSE))</f>
        <v>2.33</v>
      </c>
      <c r="I508" s="52">
        <f>IF(Settings!$E$15="POINTS",((R508*Q508)*Settings!$B$12)+(S508*Settings!$B$2)+(T508*Settings!$B$3)+(U508*Settings!$B$4)+(V508*Settings!$B$5)+(X508*Settings!$B$9)+(AA508*Settings!$B$6)+(W508*Settings!$B$8)+(AB508*Settings!$B$7)+(AC508*Settings!$B$14)+(AD508*Settings!$B$15)+(AE508*Settings!$B$16)+(AF508*Settings!$B$17)+(AG508*Settings!$B$18)+(Y508*Settings!$B$10)+(Z508*Settings!$B$11),VLOOKUP(B508,'Standard Deviations'!A$1:C$672,3,FALSE))</f>
        <v>160.38045837053971</v>
      </c>
      <c r="J508" s="53" cm="1">
        <f t="array" ref="J508">IF(D508="G",I508/AJ508,I508/Q508)</f>
        <v>1.9949679182826721</v>
      </c>
      <c r="K508" s="52" cm="1">
        <f t="array" ref="K508">IF(Settings!$E$18="C/LW/RW",VLOOKUP(B508,'C'!A1:F210,6,FALSE),VLOOKUP(B508,F!A1:F407,6,FALSE))</f>
        <v>-226.15474802254329</v>
      </c>
      <c r="L508" s="54" cm="1">
        <f t="array" ref="L508">IFERROR(K508/H508,"N/A")</f>
        <v>-97.062123614825438</v>
      </c>
      <c r="M508" s="85" t="s">
        <v>832</v>
      </c>
      <c r="N508" s="85" t="str" cm="1">
        <f t="array" ref="N508">IFERROR(M508-A508,"N/A")</f>
        <v>N/A</v>
      </c>
      <c r="O508" s="55"/>
      <c r="P508" s="56" t="str" cm="1">
        <f t="array" ref="P508">_xlfn.XLOOKUP($B508,ADP!A2:A671,ADP!G2:G671)</f>
        <v xml:space="preserve"> </v>
      </c>
      <c r="Q508" s="57" cm="1">
        <f t="array" ref="Q508">IF(Settings!$E$12="YES",VLOOKUP(B508,'Player Data'!A1:E673,5,FALSE),84)</f>
        <v>80.392499999999998</v>
      </c>
      <c r="R508" s="84" cm="1">
        <f t="array" ref="R508">VLOOKUP(B508,'Player Data'!$A1:$AE673,6,FALSE)</f>
        <v>15.1277387420135</v>
      </c>
      <c r="S508" s="57" cm="1">
        <f t="array" ref="S508">VLOOKUP(B508,'Player Data'!$A1:$AE673,7,FALSE)*$Q508*IFERROR((VLOOKUP(P508,Settings!$E$28:$F$33,2,FALSE)+1),1)</f>
        <v>9.1749792537957262</v>
      </c>
      <c r="T508" s="57" cm="1">
        <f t="array" ref="T508">VLOOKUP(B508,'Player Data'!$A1:$AE673,8,FALSE)*$Q508*IFERROR((VLOOKUP(P508,Settings!$E$28:$F$33,2,FALSE)+1),1)</f>
        <v>19.997279633003767</v>
      </c>
      <c r="U508" s="57" cm="1">
        <f t="array" ref="U508">SUM(S508:T508)</f>
        <v>29.172258886799494</v>
      </c>
      <c r="V508" s="57" cm="1">
        <f t="array" ref="V508">VLOOKUP(B508,'Player Data'!$A1:$AE673,10,FALSE)*$Q508*IFERROR(((VLOOKUP(P508,Settings!$E$28:$F$33,2,FALSE)/2)+1),1)</f>
        <v>109.27245132528124</v>
      </c>
      <c r="W508" s="57" cm="1">
        <f t="array" ref="W508">VLOOKUP(B508,'Player Data'!$A1:$AE673,11,FALSE)*$Q508*IFERROR((VLOOKUP(P508,Settings!$E$28:$F$33,2,FALSE)+1),1)</f>
        <v>7.8325495596553829E-2</v>
      </c>
      <c r="X508" s="57" cm="1">
        <f t="array" ref="X508">VLOOKUP(B508,'Player Data'!$A1:$AE673,12,FALSE)*$Q508*IFERROR((VLOOKUP(P508,Settings!$E$28:$F$33,2,FALSE)+1),1)</f>
        <v>0.30406918106856534</v>
      </c>
      <c r="Y508" s="57" cm="1">
        <f t="array" ref="Y508">VLOOKUP(B508,'Player Data'!$A1:$AE673,13,FALSE)*$Q508</f>
        <v>0.242191248392577</v>
      </c>
      <c r="Z508" s="57" cm="1">
        <f t="array" ref="Z508">VLOOKUP(B508,'Player Data'!$A1:$AE673,14,FALSE)*$Q508</f>
        <v>0.47465009863316293</v>
      </c>
      <c r="AA508" s="57" cm="1">
        <f t="array" ref="AA508">VLOOKUP(B508,'Player Data'!$A1:$AE673,15,FALSE)*$Q508</f>
        <v>34.897473535597783</v>
      </c>
      <c r="AB508" s="57" cm="1">
        <f t="array" ref="AB508">VLOOKUP(B508,'Player Data'!$A1:$AE673,16,FALSE)*$Q508</f>
        <v>110.83011695939427</v>
      </c>
      <c r="AC508" s="57" cm="1">
        <f t="array" ref="AC508">VLOOKUP(B508,'Player Data'!$A1:$AE673,17,FALSE)*$Q508*IFERROR((VLOOKUP(P508,Settings!$E$28:$F$33,2,FALSE)+1),1)</f>
        <v>5.9140253773026084</v>
      </c>
      <c r="AD508" s="57" cm="1">
        <f t="array" ref="AD508">VLOOKUP(B508,'Player Data'!$A1:$AE673,18,FALSE)*$Q508</f>
        <v>46.25502604381478</v>
      </c>
      <c r="AE508" s="57" cm="1">
        <f t="array" ref="AE508">VLOOKUP(B508,'Player Data'!$A1:$AE673,19,FALSE)*$Q508*IFERROR((VLOOKUP(P508,Settings!$E$28:$F$33,2,FALSE)+1),1)</f>
        <v>1.6286454150345415</v>
      </c>
      <c r="AF508" s="57" cm="1">
        <f t="array" ref="AF508">VLOOKUP(B508,'Player Data'!$A1:$AE673,20,FALSE)*$Q508</f>
        <v>381.9158984567074</v>
      </c>
      <c r="AG508" s="57" cm="1">
        <f t="array" ref="AG508">VLOOKUP(B508,'Player Data'!$A1:$AE673,21,FALSE)*$Q508</f>
        <v>431.10740491714745</v>
      </c>
      <c r="AH508" s="59" cm="1">
        <f t="array" ref="AH508">VLOOKUP(B508,'Player Data'!$A1:$AE673,22,FALSE)</f>
        <v>0.46974778812839302</v>
      </c>
      <c r="AI508" s="55"/>
      <c r="AJ508" s="57"/>
      <c r="AK508" s="57"/>
      <c r="AL508" s="57"/>
      <c r="AM508" s="57"/>
      <c r="AN508" s="57"/>
      <c r="AO508" s="57"/>
      <c r="AP508" s="57"/>
      <c r="AQ508" s="60"/>
      <c r="AR508" s="61"/>
      <c r="AS508" s="55"/>
    </row>
    <row r="509" spans="1:45" ht="21.25" customHeight="1" x14ac:dyDescent="0.15">
      <c r="A509" s="62">
        <f t="shared" si="7"/>
        <v>508</v>
      </c>
      <c r="B509" s="10" t="s">
        <v>637</v>
      </c>
      <c r="C509" s="47" t="s">
        <v>147</v>
      </c>
      <c r="D509" s="48" t="str" cm="1">
        <f t="array" ref="D509">VLOOKUP(B509,'Player Data'!A1:D673,4,FALSE)</f>
        <v>LW,RW</v>
      </c>
      <c r="E509" s="74" cm="1">
        <f t="array" ref="E509">VLOOKUP(B509,RW!A1:F210,3,FALSE)</f>
        <v>144</v>
      </c>
      <c r="F509" s="65" t="str" cm="1">
        <f t="array" ref="F509">VLOOKUP(B509,'Player Data'!A1:B673,2,FALSE)</f>
        <v>CAR</v>
      </c>
      <c r="G509" s="66" cm="1">
        <f t="array" ref="G509">VLOOKUP(B509,'Player Data'!A1:D673,3,FALSE)</f>
        <v>34</v>
      </c>
      <c r="H509" s="67" cm="1">
        <f t="array" ref="H509">IFERROR(VLOOKUP(B509,ADP!A1:F671,6,FALSE)/1000000,VLOOKUP(B509,ADP!A1:F671,6,FALSE))</f>
        <v>3.0750000000000002</v>
      </c>
      <c r="I509" s="52">
        <f>IF(Settings!$E$15="POINTS",((R509*Q509)*Settings!$B$12)+(S509*Settings!$B$2)+(T509*Settings!$B$3)+(U509*Settings!$B$4)+(V509*Settings!$B$5)+(X509*Settings!$B$9)+(AA509*Settings!$B$6)+(W509*Settings!$B$8)+(AB509*Settings!$B$7)+(AC509*Settings!$B$14)+(AD509*Settings!$B$15)+(AE509*Settings!$B$16)+(AF509*Settings!$B$17)+(AG509*Settings!$B$18)+(Y509*Settings!$B$10)+(Z509*Settings!$B$11),VLOOKUP(B509,'Standard Deviations'!A$1:C$672,3,FALSE))</f>
        <v>168.06508144202166</v>
      </c>
      <c r="J509" s="53" cm="1">
        <f t="array" ref="J509">IF(D509="G",I509/AJ509,I509/Q509)</f>
        <v>2.0314889573555139</v>
      </c>
      <c r="K509" s="52" cm="1">
        <f t="array" ref="K509">IF(Settings!$E$18="C/LW/RW",VLOOKUP(B509,RW!A1:F210,6,FALSE),VLOOKUP(B509,F!A1:F407,6,FALSE))</f>
        <v>-226.87838325153581</v>
      </c>
      <c r="L509" s="54" cm="1">
        <f t="array" ref="L509">IFERROR(K509/H509,"N/A")</f>
        <v>-73.781588049279932</v>
      </c>
      <c r="M509" s="85" t="s">
        <v>832</v>
      </c>
      <c r="N509" s="85" t="str" cm="1">
        <f t="array" ref="N509">IFERROR(M509-A509,"N/A")</f>
        <v>N/A</v>
      </c>
      <c r="O509" s="55"/>
      <c r="P509" s="56" t="str" cm="1">
        <f t="array" ref="P509">_xlfn.XLOOKUP($B509,ADP!A2:A671,ADP!G2:G671)</f>
        <v xml:space="preserve"> </v>
      </c>
      <c r="Q509" s="57" cm="1">
        <f t="array" ref="Q509">IF(Settings!$E$12="YES",VLOOKUP(B509,'Player Data'!A1:E673,5,FALSE),84)</f>
        <v>82.73</v>
      </c>
      <c r="R509" s="55" cm="1">
        <f t="array" ref="R509">VLOOKUP(B509,'Player Data'!$A1:$AE673,6,FALSE)</f>
        <v>14.300218389072599</v>
      </c>
      <c r="S509" s="57" cm="1">
        <f t="array" ref="S509">VLOOKUP(B509,'Player Data'!$A1:$AE673,7,FALSE)*$Q509*IFERROR((VLOOKUP(P509,Settings!$E$28:$F$33,2,FALSE)+1),1)</f>
        <v>11.570596331553171</v>
      </c>
      <c r="T509" s="57" cm="1">
        <f t="array" ref="T509">VLOOKUP(B509,'Player Data'!$A1:$AE673,8,FALSE)*$Q509*IFERROR((VLOOKUP(P509,Settings!$E$28:$F$33,2,FALSE)+1),1)</f>
        <v>16.662420613286272</v>
      </c>
      <c r="U509" s="57" cm="1">
        <f t="array" ref="U509">SUM(S509:T509)</f>
        <v>28.233016944839441</v>
      </c>
      <c r="V509" s="57" cm="1">
        <f t="array" ref="V509">VLOOKUP(B509,'Player Data'!$A1:$AE673,10,FALSE)*$Q509*IFERROR(((VLOOKUP(P509,Settings!$E$28:$F$33,2,FALSE)/2)+1),1)</f>
        <v>114.6471643665346</v>
      </c>
      <c r="W509" s="57" cm="1">
        <f t="array" ref="W509">VLOOKUP(B509,'Player Data'!$A1:$AE673,11,FALSE)*$Q509*IFERROR((VLOOKUP(P509,Settings!$E$28:$F$33,2,FALSE)+1),1)</f>
        <v>2.8124980379712748E-2</v>
      </c>
      <c r="X509" s="57" cm="1">
        <f t="array" ref="X509">VLOOKUP(B509,'Player Data'!$A1:$AE673,12,FALSE)*$Q509*IFERROR((VLOOKUP(P509,Settings!$E$28:$F$33,2,FALSE)+1),1)</f>
        <v>6.2795577873591427E-2</v>
      </c>
      <c r="Y509" s="57" cm="1">
        <f t="array" ref="Y509">VLOOKUP(B509,'Player Data'!$A1:$AE673,13,FALSE)*$Q509</f>
        <v>0.70555481467492254</v>
      </c>
      <c r="Z509" s="57" cm="1">
        <f t="array" ref="Z509">VLOOKUP(B509,'Player Data'!$A1:$AE673,14,FALSE)*$Q509</f>
        <v>1.074770898662202</v>
      </c>
      <c r="AA509" s="57" cm="1">
        <f t="array" ref="AA509">VLOOKUP(B509,'Player Data'!$A1:$AE673,15,FALSE)*$Q509</f>
        <v>49.809763895400444</v>
      </c>
      <c r="AB509" s="57" cm="1">
        <f t="array" ref="AB509">VLOOKUP(B509,'Player Data'!$A1:$AE673,16,FALSE)*$Q509</f>
        <v>99.927234229874841</v>
      </c>
      <c r="AC509" s="57" cm="1">
        <f t="array" ref="AC509">VLOOKUP(B509,'Player Data'!$A1:$AE673,17,FALSE)*$Q509*IFERROR((VLOOKUP(P509,Settings!$E$28:$F$33,2,FALSE)+1),1)</f>
        <v>6.2403227810290982</v>
      </c>
      <c r="AD509" s="57" cm="1">
        <f t="array" ref="AD509">VLOOKUP(B509,'Player Data'!$A1:$AE673,18,FALSE)*$Q509</f>
        <v>29.923265175096251</v>
      </c>
      <c r="AE509" s="57" cm="1">
        <f t="array" ref="AE509">VLOOKUP(B509,'Player Data'!$A1:$AE673,19,FALSE)*$Q509*IFERROR((VLOOKUP(P509,Settings!$E$28:$F$33,2,FALSE)+1),1)</f>
        <v>1.9869696099321652</v>
      </c>
      <c r="AF509" s="57" cm="1">
        <f t="array" ref="AF509">VLOOKUP(B509,'Player Data'!$A1:$AE673,20,FALSE)*$Q509</f>
        <v>36.307962036433921</v>
      </c>
      <c r="AG509" s="57" cm="1">
        <f t="array" ref="AG509">VLOOKUP(B509,'Player Data'!$A1:$AE673,21,FALSE)*$Q509</f>
        <v>41.078309684182898</v>
      </c>
      <c r="AH509" s="59" cm="1">
        <f t="array" ref="AH509">VLOOKUP(B509,'Player Data'!$A1:$AE673,22,FALSE)</f>
        <v>0.46917833394939201</v>
      </c>
      <c r="AI509" s="55"/>
      <c r="AJ509" s="57"/>
      <c r="AK509" s="57"/>
      <c r="AL509" s="57"/>
      <c r="AM509" s="57"/>
      <c r="AN509" s="57"/>
      <c r="AO509" s="57"/>
      <c r="AP509" s="57"/>
      <c r="AQ509" s="60"/>
      <c r="AR509" s="61"/>
      <c r="AS509" s="55"/>
    </row>
    <row r="510" spans="1:45" ht="21.25" customHeight="1" x14ac:dyDescent="0.15">
      <c r="A510" s="62">
        <f t="shared" si="7"/>
        <v>509</v>
      </c>
      <c r="B510" s="10" t="s">
        <v>638</v>
      </c>
      <c r="C510" s="76"/>
      <c r="D510" s="48" t="str" cm="1">
        <f t="array" ref="D510">VLOOKUP(B510,'Player Data'!A1:D673,4,FALSE)</f>
        <v>G</v>
      </c>
      <c r="E510" s="77" cm="1">
        <f t="array" ref="E510">VLOOKUP(B510,G!A1:D66,3,FALSE)</f>
        <v>54</v>
      </c>
      <c r="F510" s="18" t="str" cm="1">
        <f t="array" ref="F510">VLOOKUP(B510,'Player Data'!A1:B673,2,FALSE)</f>
        <v>CGY</v>
      </c>
      <c r="G510" s="11" cm="1">
        <f t="array" ref="G510">VLOOKUP(B510,'Player Data'!A1:D673,3,FALSE)</f>
        <v>29</v>
      </c>
      <c r="H510" s="51" cm="1">
        <f t="array" ref="H510">IFERROR(VLOOKUP(B510,ADP!A1:F671,6,FALSE)/1000000,VLOOKUP(B510,ADP!A1:F671,6,FALSE))</f>
        <v>1.35</v>
      </c>
      <c r="I510" s="52">
        <f>IF(Settings!$E$15="POINTS",(AJ510*Settings!$B$29)+(AK510*Settings!$B$21)+(AL510*Settings!$B$22)+(AN510*Settings!$B$24)+(AO510*Settings!$B$25)+(AP510*Settings!$B$27)+(AM510*Settings!$B$23),VLOOKUP(B510,'Standard Deviations'!A$1:C$672,3,FALSE))</f>
        <v>132.24772165567026</v>
      </c>
      <c r="J510" s="53" cm="1">
        <f t="array" ref="J510">IF(D510="G",I510/AJ510,I510/Q510)</f>
        <v>5.2899088662268108</v>
      </c>
      <c r="K510" s="52" cm="1">
        <f t="array" ref="K510">VLOOKUP(B510,G!A1:F66,6,FALSE)</f>
        <v>-226.91018627456776</v>
      </c>
      <c r="L510" s="54" cm="1">
        <f t="array" ref="L510">IFERROR(K510/H510,"N/A")</f>
        <v>-168.08161946264278</v>
      </c>
      <c r="M510" s="85" t="s">
        <v>832</v>
      </c>
      <c r="N510" s="85" t="str" cm="1">
        <f t="array" ref="N510">IFERROR(M510-A510,"N/A")</f>
        <v>N/A</v>
      </c>
      <c r="O510" s="55"/>
      <c r="P510" s="56" t="str" cm="1">
        <f t="array" ref="P510">_xlfn.XLOOKUP($B510,ADP!A2:A671,ADP!G2:G671)</f>
        <v xml:space="preserve"> </v>
      </c>
      <c r="Q510" s="57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9"/>
      <c r="AI510" s="55"/>
      <c r="AJ510" s="78" cm="1">
        <f t="array" ref="AJ510">VLOOKUP(B510,'Player Data'!$A1:$AE673,24,FALSE)</f>
        <v>25</v>
      </c>
      <c r="AK510" s="57" cm="1">
        <f t="array" ref="AK510">VLOOKUP(B510,'Player Data'!$A1:$AE673,25,FALSE)*$AJ510*IFERROR((VLOOKUP(P510,Settings!$E$28:$F$33,2,FALSE)+1),1)</f>
        <v>8.5822331207083504</v>
      </c>
      <c r="AL510" s="57" cm="1">
        <f t="array" ref="AL510">AJ510-AK510-AM510</f>
        <v>12.313325159468747</v>
      </c>
      <c r="AM510" s="57" cm="1">
        <f t="array" ref="AM510">VLOOKUP(B510,'Player Data'!$A1:$AE673,27,FALSE)*$AJ510</f>
        <v>4.1044417198229004</v>
      </c>
      <c r="AN510" s="57" cm="1">
        <f t="array" ref="AN510">VLOOKUP(B510,'Player Data'!$A1:$AE673,28,FALSE)*AJ510</f>
        <v>0.83940742613896491</v>
      </c>
      <c r="AO510" s="57" cm="1">
        <f t="array" ref="AO510">VLOOKUP(B510,'Player Data'!$A1:$AE673,29,FALSE)*$AJ510*IFERROR((VLOOKUP(P510,Settings!$E$28:$F$33,2,FALSE)/4)+1,1)</f>
        <v>677.07657323175249</v>
      </c>
      <c r="AP510" s="57" cm="1">
        <f t="array" ref="AP510">VLOOKUP(B510,'Player Data'!$A1:$AE673,31,FALSE)*$AJ510*(IFERROR(1-(VLOOKUP(P510,Settings!$E$28:$F$33,2,FALSE)/4),1))</f>
        <v>77.625557249490001</v>
      </c>
      <c r="AQ510" s="60" cm="1">
        <f t="array" ref="AQ510">1-(AP510/(AO510+AP510))</f>
        <v>0.89714411273757588</v>
      </c>
      <c r="AR510" s="61" cm="1">
        <f t="array" ref="AR510">AP510/AJ510</f>
        <v>3.1050222899795998</v>
      </c>
      <c r="AS510" s="55"/>
    </row>
    <row r="511" spans="1:45" ht="21.25" customHeight="1" x14ac:dyDescent="0.15">
      <c r="A511" s="62">
        <f t="shared" si="7"/>
        <v>510</v>
      </c>
      <c r="B511" s="10" t="s">
        <v>639</v>
      </c>
      <c r="C511" s="47" t="s">
        <v>147</v>
      </c>
      <c r="D511" s="48" t="str" cm="1">
        <f t="array" ref="D511">VLOOKUP(B511,'Player Data'!A1:D673,4,FALSE)</f>
        <v>LW</v>
      </c>
      <c r="E511" s="75" cm="1">
        <f t="array" ref="E511">VLOOKUP(B511,LW!A1:C210,3,FALSE)</f>
        <v>129</v>
      </c>
      <c r="F511" s="72" t="str" cm="1">
        <f t="array" ref="F511">VLOOKUP(B511,'Player Data'!A1:B673,2,FALSE)</f>
        <v>FLA</v>
      </c>
      <c r="G511" s="11" cm="1">
        <f t="array" ref="G511">VLOOKUP(B511,'Player Data'!A1:D673,3,FALSE)</f>
        <v>27</v>
      </c>
      <c r="H511" s="51" cm="1">
        <f t="array" ref="H511">IFERROR(VLOOKUP(B511,ADP!A1:F671,6,FALSE)/1000000,VLOOKUP(B511,ADP!A1:F671,6,FALSE))</f>
        <v>3</v>
      </c>
      <c r="I511" s="52">
        <f>IF(Settings!$E$15="POINTS",((R511*Q511)*Settings!$B$12)+(S511*Settings!$B$2)+(T511*Settings!$B$3)+(U511*Settings!$B$4)+(V511*Settings!$B$5)+(X511*Settings!$B$9)+(AA511*Settings!$B$6)+(W511*Settings!$B$8)+(AB511*Settings!$B$7)+(AC511*Settings!$B$14)+(AD511*Settings!$B$15)+(AE511*Settings!$B$16)+(AF511*Settings!$B$17)+(AG511*Settings!$B$18)+(Y511*Settings!$B$10)+(Z511*Settings!$B$11),VLOOKUP(B511,'Standard Deviations'!A$1:C$672,3,FALSE))</f>
        <v>172.11032312253755</v>
      </c>
      <c r="J511" s="53" cm="1">
        <f t="array" ref="J511">IF(D511="G",I511/AJ511,I511/Q511)</f>
        <v>2.0948826719719751</v>
      </c>
      <c r="K511" s="52" cm="1">
        <f t="array" ref="K511">IF(Settings!$E$18="C/LW/RW",VLOOKUP(B511,LW!A1:F210,6,FALSE),VLOOKUP(B511,F!A1:F407,6,FALSE))</f>
        <v>-227.20267019118253</v>
      </c>
      <c r="L511" s="54" cm="1">
        <f t="array" ref="L511">IFERROR(K511/H511,"N/A")</f>
        <v>-75.734223397060845</v>
      </c>
      <c r="M511" s="85" t="s">
        <v>832</v>
      </c>
      <c r="N511" s="85" t="str" cm="1">
        <f t="array" ref="N511">IFERROR(M511-A511,"N/A")</f>
        <v>N/A</v>
      </c>
      <c r="O511" s="55"/>
      <c r="P511" s="56" t="str" cm="1">
        <f t="array" ref="P511">_xlfn.XLOOKUP($B511,ADP!A2:A671,ADP!G2:G671)</f>
        <v xml:space="preserve"> </v>
      </c>
      <c r="Q511" s="57" cm="1">
        <f t="array" ref="Q511">IF(Settings!$E$12="YES",VLOOKUP(B511,'Player Data'!A1:E673,5,FALSE),84)</f>
        <v>82.157499999999999</v>
      </c>
      <c r="R511" s="84" cm="1">
        <f t="array" ref="R511">VLOOKUP(B511,'Player Data'!$A1:$AE673,6,FALSE)</f>
        <v>14.8880391223532</v>
      </c>
      <c r="S511" s="57" cm="1">
        <f t="array" ref="S511">VLOOKUP(B511,'Player Data'!$A1:$AE673,7,FALSE)*$Q511*IFERROR((VLOOKUP(P511,Settings!$E$28:$F$33,2,FALSE)+1),1)</f>
        <v>10.938769967561193</v>
      </c>
      <c r="T511" s="57" cm="1">
        <f t="array" ref="T511">VLOOKUP(B511,'Player Data'!$A1:$AE673,8,FALSE)*$Q511*IFERROR((VLOOKUP(P511,Settings!$E$28:$F$33,2,FALSE)+1),1)</f>
        <v>19.986957474271751</v>
      </c>
      <c r="U511" s="57" cm="1">
        <f t="array" ref="U511">SUM(S511:T511)</f>
        <v>30.925727441832944</v>
      </c>
      <c r="V511" s="57" cm="1">
        <f t="array" ref="V511">VLOOKUP(B511,'Player Data'!$A1:$AE673,10,FALSE)*$Q511*IFERROR(((VLOOKUP(P511,Settings!$E$28:$F$33,2,FALSE)/2)+1),1)</f>
        <v>100.24726671494018</v>
      </c>
      <c r="W511" s="57" cm="1">
        <f t="array" ref="W511">VLOOKUP(B511,'Player Data'!$A1:$AE673,11,FALSE)*$Q511*IFERROR((VLOOKUP(P511,Settings!$E$28:$F$33,2,FALSE)+1),1)</f>
        <v>5.2113199255489379E-2</v>
      </c>
      <c r="X511" s="57" cm="1">
        <f t="array" ref="X511">VLOOKUP(B511,'Player Data'!$A1:$AE673,12,FALSE)*$Q511*IFERROR((VLOOKUP(P511,Settings!$E$28:$F$33,2,FALSE)+1),1)</f>
        <v>8.4658134183567324E-2</v>
      </c>
      <c r="Y511" s="57" cm="1">
        <f t="array" ref="Y511">VLOOKUP(B511,'Player Data'!$A1:$AE673,13,FALSE)*$Q511</f>
        <v>0.2329520476689633</v>
      </c>
      <c r="Z511" s="57" cm="1">
        <f t="array" ref="Z511">VLOOKUP(B511,'Player Data'!$A1:$AE673,14,FALSE)*$Q511</f>
        <v>0.86218857920341729</v>
      </c>
      <c r="AA511" s="57" cm="1">
        <f t="array" ref="AA511">VLOOKUP(B511,'Player Data'!$A1:$AE673,15,FALSE)*$Q511</f>
        <v>56.525321452363279</v>
      </c>
      <c r="AB511" s="57" cm="1">
        <f t="array" ref="AB511">VLOOKUP(B511,'Player Data'!$A1:$AE673,16,FALSE)*$Q511</f>
        <v>140.62976755665744</v>
      </c>
      <c r="AC511" s="57" cm="1">
        <f t="array" ref="AC511">VLOOKUP(B511,'Player Data'!$A1:$AE673,17,FALSE)*$Q511*IFERROR((VLOOKUP(P511,Settings!$E$28:$F$33,2,FALSE)+1),1)</f>
        <v>3.5223238266341572</v>
      </c>
      <c r="AD511" s="57" cm="1">
        <f t="array" ref="AD511">VLOOKUP(B511,'Player Data'!$A1:$AE673,18,FALSE)*$Q511</f>
        <v>28.88597711896675</v>
      </c>
      <c r="AE511" s="57" cm="1">
        <f t="array" ref="AE511">VLOOKUP(B511,'Player Data'!$A1:$AE673,19,FALSE)*$Q511*IFERROR((VLOOKUP(P511,Settings!$E$28:$F$33,2,FALSE)+1),1)</f>
        <v>1.821258906482673</v>
      </c>
      <c r="AF511" s="57" cm="1">
        <f t="array" ref="AF511">VLOOKUP(B511,'Player Data'!$A1:$AE673,20,FALSE)*$Q511</f>
        <v>100.18816007763606</v>
      </c>
      <c r="AG511" s="57" cm="1">
        <f t="array" ref="AG511">VLOOKUP(B511,'Player Data'!$A1:$AE673,21,FALSE)*$Q511</f>
        <v>112.45373898824391</v>
      </c>
      <c r="AH511" s="59" cm="1">
        <f t="array" ref="AH511">VLOOKUP(B511,'Player Data'!$A1:$AE673,22,FALSE)</f>
        <v>0.471159073154233</v>
      </c>
      <c r="AI511" s="55"/>
      <c r="AJ511" s="57"/>
      <c r="AK511" s="57"/>
      <c r="AL511" s="57"/>
      <c r="AM511" s="57"/>
      <c r="AN511" s="57"/>
      <c r="AO511" s="57"/>
      <c r="AP511" s="57"/>
      <c r="AQ511" s="60"/>
      <c r="AR511" s="61"/>
      <c r="AS511" s="55"/>
    </row>
    <row r="512" spans="1:45" ht="21.25" customHeight="1" x14ac:dyDescent="0.15">
      <c r="A512" s="62">
        <f t="shared" si="7"/>
        <v>511</v>
      </c>
      <c r="B512" s="10" t="s">
        <v>640</v>
      </c>
      <c r="C512" s="47" t="s">
        <v>147</v>
      </c>
      <c r="D512" s="48" t="str" cm="1">
        <f t="array" ref="D512">VLOOKUP(B512,'Player Data'!A1:D673,4,FALSE)</f>
        <v>C,LW</v>
      </c>
      <c r="E512" s="74" cm="1">
        <f t="array" ref="E512">VLOOKUP(B512,LW!A1:C210,3,FALSE)</f>
        <v>130</v>
      </c>
      <c r="F512" s="65" t="str" cm="1">
        <f t="array" ref="F512">VLOOKUP(B512,'Player Data'!A1:B673,2,FALSE)</f>
        <v>STL</v>
      </c>
      <c r="G512" s="11" cm="1">
        <f t="array" ref="G512">VLOOKUP(B512,'Player Data'!A1:D673,3,FALSE)</f>
        <v>30</v>
      </c>
      <c r="H512" s="67" cm="1">
        <f t="array" ref="H512">IFERROR(VLOOKUP(B512,ADP!A1:F671,6,FALSE)/1000000,VLOOKUP(B512,ADP!A1:F671,6,FALSE))</f>
        <v>4.125</v>
      </c>
      <c r="I512" s="52">
        <f>IF(Settings!$E$15="POINTS",((R512*Q512)*Settings!$B$12)+(S512*Settings!$B$2)+(T512*Settings!$B$3)+(U512*Settings!$B$4)+(V512*Settings!$B$5)+(X512*Settings!$B$9)+(AA512*Settings!$B$6)+(W512*Settings!$B$8)+(AB512*Settings!$B$7)+(AC512*Settings!$B$14)+(AD512*Settings!$B$15)+(AE512*Settings!$B$16)+(AF512*Settings!$B$17)+(AG512*Settings!$B$18)+(Y512*Settings!$B$10)+(Z512*Settings!$B$11),VLOOKUP(B512,'Standard Deviations'!A$1:C$672,3,FALSE))</f>
        <v>171.81950076685914</v>
      </c>
      <c r="J512" s="53" cm="1">
        <f t="array" ref="J512">IF(D512="G",I512/AJ512,I512/Q512)</f>
        <v>2.1695066228966713</v>
      </c>
      <c r="K512" s="52" cm="1">
        <f t="array" ref="K512">IF(Settings!$E$18="C/LW/RW",VLOOKUP(B512,LW!A1:F210,6,FALSE),VLOOKUP(B512,F!A1:F407,6,FALSE))</f>
        <v>-227.49349254686095</v>
      </c>
      <c r="L512" s="54" cm="1">
        <f t="array" ref="L512">IFERROR(K512/H512,"N/A")</f>
        <v>-55.149937587117805</v>
      </c>
      <c r="M512" s="85" t="s">
        <v>832</v>
      </c>
      <c r="N512" s="85" t="str" cm="1">
        <f t="array" ref="N512">IFERROR(M512-A512,"N/A")</f>
        <v>N/A</v>
      </c>
      <c r="O512" s="55"/>
      <c r="P512" s="56" t="str" cm="1">
        <f t="array" ref="P512">_xlfn.XLOOKUP($B512,ADP!A2:A671,ADP!G2:G671)</f>
        <v xml:space="preserve"> </v>
      </c>
      <c r="Q512" s="57" cm="1">
        <f t="array" ref="Q512">IF(Settings!$E$12="YES",VLOOKUP(B512,'Player Data'!A1:E673,5,FALSE),84)</f>
        <v>79.197500000000005</v>
      </c>
      <c r="R512" s="84" cm="1">
        <f t="array" ref="R512">VLOOKUP(B512,'Player Data'!$A1:$AE673,6,FALSE)</f>
        <v>14.3794651333434</v>
      </c>
      <c r="S512" s="57" cm="1">
        <f t="array" ref="S512">VLOOKUP(B512,'Player Data'!$A1:$AE673,7,FALSE)*$Q512*IFERROR((VLOOKUP(P512,Settings!$E$28:$F$33,2,FALSE)+1),1)</f>
        <v>16.17129861596899</v>
      </c>
      <c r="T512" s="57" cm="1">
        <f t="array" ref="T512">VLOOKUP(B512,'Player Data'!$A1:$AE673,8,FALSE)*$Q512*IFERROR((VLOOKUP(P512,Settings!$E$28:$F$33,2,FALSE)+1),1)</f>
        <v>16.376206176617508</v>
      </c>
      <c r="U512" s="57" cm="1">
        <f t="array" ref="U512">SUM(S512:T512)</f>
        <v>32.547504792586494</v>
      </c>
      <c r="V512" s="57" cm="1">
        <f t="array" ref="V512">VLOOKUP(B512,'Player Data'!$A1:$AE673,10,FALSE)*$Q512*IFERROR(((VLOOKUP(P512,Settings!$E$28:$F$33,2,FALSE)/2)+1),1)</f>
        <v>108.86807052291509</v>
      </c>
      <c r="W512" s="57" cm="1">
        <f t="array" ref="W512">VLOOKUP(B512,'Player Data'!$A1:$AE673,11,FALSE)*$Q512*IFERROR((VLOOKUP(P512,Settings!$E$28:$F$33,2,FALSE)+1),1)</f>
        <v>0.75616881113198342</v>
      </c>
      <c r="X512" s="57" cm="1">
        <f t="array" ref="X512">VLOOKUP(B512,'Player Data'!$A1:$AE673,12,FALSE)*$Q512*IFERROR((VLOOKUP(P512,Settings!$E$28:$F$33,2,FALSE)+1),1)</f>
        <v>2.4014048692828323</v>
      </c>
      <c r="Y512" s="57" cm="1">
        <f t="array" ref="Y512">VLOOKUP(B512,'Player Data'!$A1:$AE673,13,FALSE)*$Q512</f>
        <v>0.80331325726652147</v>
      </c>
      <c r="Z512" s="57" cm="1">
        <f t="array" ref="Z512">VLOOKUP(B512,'Player Data'!$A1:$AE673,14,FALSE)*$Q512</f>
        <v>1.5904470441299754</v>
      </c>
      <c r="AA512" s="57" cm="1">
        <f t="array" ref="AA512">VLOOKUP(B512,'Player Data'!$A1:$AE673,15,FALSE)*$Q512</f>
        <v>31.502198428458595</v>
      </c>
      <c r="AB512" s="57" cm="1">
        <f t="array" ref="AB512">VLOOKUP(B512,'Player Data'!$A1:$AE673,16,FALSE)*$Q512</f>
        <v>52.98570128906497</v>
      </c>
      <c r="AC512" s="57" cm="1">
        <f t="array" ref="AC512">VLOOKUP(B512,'Player Data'!$A1:$AE673,17,FALSE)*$Q512*IFERROR((VLOOKUP(P512,Settings!$E$28:$F$33,2,FALSE)+1),1)</f>
        <v>-0.26288043094099967</v>
      </c>
      <c r="AD512" s="57" cm="1">
        <f t="array" ref="AD512">VLOOKUP(B512,'Player Data'!$A1:$AE673,18,FALSE)*$Q512</f>
        <v>20.441135551793451</v>
      </c>
      <c r="AE512" s="57" cm="1">
        <f t="array" ref="AE512">VLOOKUP(B512,'Player Data'!$A1:$AE673,19,FALSE)*$Q512*IFERROR((VLOOKUP(P512,Settings!$E$28:$F$33,2,FALSE)+1),1)</f>
        <v>2.3317564354539324</v>
      </c>
      <c r="AF512" s="57" cm="1">
        <f t="array" ref="AF512">VLOOKUP(B512,'Player Data'!$A1:$AE673,20,FALSE)*$Q512</f>
        <v>280.22867634088203</v>
      </c>
      <c r="AG512" s="57" cm="1">
        <f t="array" ref="AG512">VLOOKUP(B512,'Player Data'!$A1:$AE673,21,FALSE)*$Q512</f>
        <v>326.24297852870654</v>
      </c>
      <c r="AH512" s="59" cm="1">
        <f t="array" ref="AH512">VLOOKUP(B512,'Player Data'!$A1:$AE673,22,FALSE)</f>
        <v>0.46206393009602498</v>
      </c>
      <c r="AI512" s="55"/>
      <c r="AJ512" s="57"/>
      <c r="AK512" s="57"/>
      <c r="AL512" s="57"/>
      <c r="AM512" s="57"/>
      <c r="AN512" s="57"/>
      <c r="AO512" s="57"/>
      <c r="AP512" s="57"/>
      <c r="AQ512" s="60"/>
      <c r="AR512" s="61"/>
      <c r="AS512" s="55"/>
    </row>
    <row r="513" spans="1:45" ht="21.25" customHeight="1" x14ac:dyDescent="0.15">
      <c r="A513" s="62">
        <f t="shared" si="7"/>
        <v>512</v>
      </c>
      <c r="B513" s="10" t="s">
        <v>641</v>
      </c>
      <c r="C513" s="47" t="s">
        <v>147</v>
      </c>
      <c r="D513" s="48" t="str" cm="1">
        <f t="array" ref="D513">VLOOKUP(B513,'Player Data'!A1:D673,4,FALSE)</f>
        <v>C</v>
      </c>
      <c r="E513" s="49" cm="1">
        <f t="array" ref="E513">VLOOKUP(B513,'C'!A1:C210,3,FALSE)</f>
        <v>139</v>
      </c>
      <c r="F513" s="63" t="str" cm="1">
        <f t="array" ref="F513">VLOOKUP(B513,'Player Data'!A1:B673,2,FALSE)</f>
        <v>WPG</v>
      </c>
      <c r="G513" s="66" cm="1">
        <f t="array" ref="G513">VLOOKUP(B513,'Player Data'!A1:D673,3,FALSE)</f>
        <v>33</v>
      </c>
      <c r="H513" s="51" cm="1">
        <f t="array" ref="H513">IFERROR(VLOOKUP(B513,ADP!A1:F671,6,FALSE)/1000000,VLOOKUP(B513,ADP!A1:F671,6,FALSE))</f>
        <v>5</v>
      </c>
      <c r="I513" s="52">
        <f>IF(Settings!$E$15="POINTS",((R513*Q513)*Settings!$B$12)+(S513*Settings!$B$2)+(T513*Settings!$B$3)+(U513*Settings!$B$4)+(V513*Settings!$B$5)+(X513*Settings!$B$9)+(AA513*Settings!$B$6)+(W513*Settings!$B$8)+(AB513*Settings!$B$7)+(AC513*Settings!$B$14)+(AD513*Settings!$B$15)+(AE513*Settings!$B$16)+(AF513*Settings!$B$17)+(AG513*Settings!$B$18)+(Y513*Settings!$B$10)+(Z513*Settings!$B$11),VLOOKUP(B513,'Standard Deviations'!A$1:C$672,3,FALSE))</f>
        <v>158.65927600151582</v>
      </c>
      <c r="J513" s="53" cm="1">
        <f t="array" ref="J513">IF(D513="G",I513/AJ513,I513/Q513)</f>
        <v>1.96939365091098</v>
      </c>
      <c r="K513" s="52" cm="1">
        <f t="array" ref="K513">IF(Settings!$E$18="C/LW/RW",VLOOKUP(B513,'C'!A1:F210,6,FALSE),VLOOKUP(B513,F!A1:F407,6,FALSE))</f>
        <v>-227.87593039156718</v>
      </c>
      <c r="L513" s="54" cm="1">
        <f t="array" ref="L513">IFERROR(K513/H513,"N/A")</f>
        <v>-45.575186078313436</v>
      </c>
      <c r="M513" s="85" t="s">
        <v>832</v>
      </c>
      <c r="N513" s="85" t="str" cm="1">
        <f t="array" ref="N513">IFERROR(M513-A513,"N/A")</f>
        <v>N/A</v>
      </c>
      <c r="O513" s="55"/>
      <c r="P513" s="56" t="str" cm="1">
        <f t="array" ref="P513">_xlfn.XLOOKUP($B513,ADP!A2:A671,ADP!G2:G671)</f>
        <v xml:space="preserve"> </v>
      </c>
      <c r="Q513" s="57" cm="1">
        <f t="array" ref="Q513">IF(Settings!$E$12="YES",VLOOKUP(B513,'Player Data'!A1:E673,5,FALSE),84)</f>
        <v>80.5625</v>
      </c>
      <c r="R513" s="55" cm="1">
        <f t="array" ref="R513">VLOOKUP(B513,'Player Data'!$A1:$AE673,6,FALSE)</f>
        <v>15.0209353933472</v>
      </c>
      <c r="S513" s="57" cm="1">
        <f t="array" ref="S513">VLOOKUP(B513,'Player Data'!$A1:$AE673,7,FALSE)*$Q513*IFERROR((VLOOKUP(P513,Settings!$E$28:$F$33,2,FALSE)+1),1)</f>
        <v>9.6539510327781493</v>
      </c>
      <c r="T513" s="57" cm="1">
        <f t="array" ref="T513">VLOOKUP(B513,'Player Data'!$A1:$AE673,8,FALSE)*$Q513*IFERROR((VLOOKUP(P513,Settings!$E$28:$F$33,2,FALSE)+1),1)</f>
        <v>17.69109157348656</v>
      </c>
      <c r="U513" s="57" cm="1">
        <f t="array" ref="U513">SUM(S513:T513)</f>
        <v>27.345042606264709</v>
      </c>
      <c r="V513" s="57" cm="1">
        <f t="array" ref="V513">VLOOKUP(B513,'Player Data'!$A1:$AE673,10,FALSE)*$Q513*IFERROR(((VLOOKUP(P513,Settings!$E$28:$F$33,2,FALSE)/2)+1),1)</f>
        <v>92.875680269590902</v>
      </c>
      <c r="W513" s="57" cm="1">
        <f t="array" ref="W513">VLOOKUP(B513,'Player Data'!$A1:$AE673,11,FALSE)*$Q513*IFERROR((VLOOKUP(P513,Settings!$E$28:$F$33,2,FALSE)+1),1)</f>
        <v>2.8944804045909371E-2</v>
      </c>
      <c r="X513" s="57" cm="1">
        <f t="array" ref="X513">VLOOKUP(B513,'Player Data'!$A1:$AE673,12,FALSE)*$Q513*IFERROR((VLOOKUP(P513,Settings!$E$28:$F$33,2,FALSE)+1),1)</f>
        <v>9.5417828384266795E-2</v>
      </c>
      <c r="Y513" s="57" cm="1">
        <f t="array" ref="Y513">VLOOKUP(B513,'Player Data'!$A1:$AE673,13,FALSE)*$Q513</f>
        <v>0.51433968833601873</v>
      </c>
      <c r="Z513" s="57" cm="1">
        <f t="array" ref="Z513">VLOOKUP(B513,'Player Data'!$A1:$AE673,14,FALSE)*$Q513</f>
        <v>1.4944596640286976</v>
      </c>
      <c r="AA513" s="57" cm="1">
        <f t="array" ref="AA513">VLOOKUP(B513,'Player Data'!$A1:$AE673,15,FALSE)*$Q513</f>
        <v>57.192861111026552</v>
      </c>
      <c r="AB513" s="57" cm="1">
        <f t="array" ref="AB513">VLOOKUP(B513,'Player Data'!$A1:$AE673,16,FALSE)*$Q513</f>
        <v>154.35659162501392</v>
      </c>
      <c r="AC513" s="57" cm="1">
        <f t="array" ref="AC513">VLOOKUP(B513,'Player Data'!$A1:$AE673,17,FALSE)*$Q513*IFERROR((VLOOKUP(P513,Settings!$E$28:$F$33,2,FALSE)+1),1)</f>
        <v>1.0848891896589776</v>
      </c>
      <c r="AD513" s="57" cm="1">
        <f t="array" ref="AD513">VLOOKUP(B513,'Player Data'!$A1:$AE673,18,FALSE)*$Q513</f>
        <v>36.96282396186237</v>
      </c>
      <c r="AE513" s="57" cm="1">
        <f t="array" ref="AE513">VLOOKUP(B513,'Player Data'!$A1:$AE673,19,FALSE)*$Q513*IFERROR((VLOOKUP(P513,Settings!$E$28:$F$33,2,FALSE)+1),1)</f>
        <v>1.677564701612356</v>
      </c>
      <c r="AF513" s="57" cm="1">
        <f t="array" ref="AF513">VLOOKUP(B513,'Player Data'!$A1:$AE673,20,FALSE)*$Q513</f>
        <v>603.17393488716777</v>
      </c>
      <c r="AG513" s="57" cm="1">
        <f t="array" ref="AG513">VLOOKUP(B513,'Player Data'!$A1:$AE673,21,FALSE)*$Q513</f>
        <v>553.64829384351378</v>
      </c>
      <c r="AH513" s="59" cm="1">
        <f t="array" ref="AH513">VLOOKUP(B513,'Player Data'!$A1:$AE673,22,FALSE)</f>
        <v>0.52140589963334105</v>
      </c>
      <c r="AI513" s="55"/>
      <c r="AJ513" s="57"/>
      <c r="AK513" s="57"/>
      <c r="AL513" s="57"/>
      <c r="AM513" s="57"/>
      <c r="AN513" s="57"/>
      <c r="AO513" s="57"/>
      <c r="AP513" s="57"/>
      <c r="AQ513" s="60"/>
      <c r="AR513" s="61"/>
      <c r="AS513" s="55"/>
    </row>
    <row r="514" spans="1:45" ht="21.25" customHeight="1" x14ac:dyDescent="0.15">
      <c r="A514" s="62">
        <f t="shared" ref="A514:A577" si="8">RANK(K514,K$2:K$671)</f>
        <v>513</v>
      </c>
      <c r="B514" s="10" t="s">
        <v>642</v>
      </c>
      <c r="C514" s="47" t="s">
        <v>147</v>
      </c>
      <c r="D514" s="48" t="str" cm="1">
        <f t="array" ref="D514">VLOOKUP(B514,'Player Data'!A1:D673,4,FALSE)</f>
        <v>C</v>
      </c>
      <c r="E514" s="49" cm="1">
        <f t="array" ref="E514">VLOOKUP(B514,'C'!A1:C210,3,FALSE)</f>
        <v>140</v>
      </c>
      <c r="F514" s="72" t="str" cm="1">
        <f t="array" ref="F514">VLOOKUP(B514,'Player Data'!A1:B673,2,FALSE)</f>
        <v>DET</v>
      </c>
      <c r="G514" s="66" cm="1">
        <f t="array" ref="G514">VLOOKUP(B514,'Player Data'!A1:D673,3,FALSE)</f>
        <v>31</v>
      </c>
      <c r="H514" s="51" cm="1">
        <f t="array" ref="H514">IFERROR(VLOOKUP(B514,ADP!A1:F671,6,FALSE)/1000000,VLOOKUP(B514,ADP!A1:F671,6,FALSE))</f>
        <v>5.0999999999999996</v>
      </c>
      <c r="I514" s="52">
        <f>IF(Settings!$E$15="POINTS",((R514*Q514)*Settings!$B$12)+(S514*Settings!$B$2)+(T514*Settings!$B$3)+(U514*Settings!$B$4)+(V514*Settings!$B$5)+(X514*Settings!$B$9)+(AA514*Settings!$B$6)+(W514*Settings!$B$8)+(AB514*Settings!$B$7)+(AC514*Settings!$B$14)+(AD514*Settings!$B$15)+(AE514*Settings!$B$16)+(AF514*Settings!$B$17)+(AG514*Settings!$B$18)+(Y514*Settings!$B$10)+(Z514*Settings!$B$11),VLOOKUP(B514,'Standard Deviations'!A$1:C$672,3,FALSE))</f>
        <v>158.51598718718785</v>
      </c>
      <c r="J514" s="53" cm="1">
        <f t="array" ref="J514">IF(D514="G",I514/AJ514,I514/Q514)</f>
        <v>1.9166433370072891</v>
      </c>
      <c r="K514" s="52" cm="1">
        <f t="array" ref="K514">IF(Settings!$E$18="C/LW/RW",VLOOKUP(B514,'C'!A1:F210,6,FALSE),VLOOKUP(B514,F!A1:F407,6,FALSE))</f>
        <v>-228.01921920589515</v>
      </c>
      <c r="L514" s="54" cm="1">
        <f t="array" ref="L514">IFERROR(K514/H514,"N/A")</f>
        <v>-44.709650824685326</v>
      </c>
      <c r="M514" s="85" t="s">
        <v>832</v>
      </c>
      <c r="N514" s="85" t="str" cm="1">
        <f t="array" ref="N514">IFERROR(M514-A514,"N/A")</f>
        <v>N/A</v>
      </c>
      <c r="O514" s="55"/>
      <c r="P514" s="56" t="str" cm="1">
        <f t="array" ref="P514">_xlfn.XLOOKUP($B514,ADP!A2:A671,ADP!G2:G671)</f>
        <v xml:space="preserve"> </v>
      </c>
      <c r="Q514" s="57" cm="1">
        <f t="array" ref="Q514">IF(Settings!$E$12="YES",VLOOKUP(B514,'Player Data'!A1:E673,5,FALSE),84)</f>
        <v>82.704999999999998</v>
      </c>
      <c r="R514" s="84" cm="1">
        <f t="array" ref="R514">VLOOKUP(B514,'Player Data'!$A1:$AE673,6,FALSE)</f>
        <v>14.423988976167999</v>
      </c>
      <c r="S514" s="57" cm="1">
        <f t="array" ref="S514">VLOOKUP(B514,'Player Data'!$A1:$AE673,7,FALSE)*$Q514*IFERROR((VLOOKUP(P514,Settings!$E$28:$F$33,2,FALSE)+1),1)</f>
        <v>10.788718801719426</v>
      </c>
      <c r="T514" s="57" cm="1">
        <f t="array" ref="T514">VLOOKUP(B514,'Player Data'!$A1:$AE673,8,FALSE)*$Q514*IFERROR((VLOOKUP(P514,Settings!$E$28:$F$33,2,FALSE)+1),1)</f>
        <v>17.462883583073967</v>
      </c>
      <c r="U514" s="57" cm="1">
        <f t="array" ref="U514">SUM(S514:T514)</f>
        <v>28.251602384793394</v>
      </c>
      <c r="V514" s="57" cm="1">
        <f t="array" ref="V514">VLOOKUP(B514,'Player Data'!$A1:$AE673,10,FALSE)*$Q514*IFERROR(((VLOOKUP(P514,Settings!$E$28:$F$33,2,FALSE)/2)+1),1)</f>
        <v>88.782990524529623</v>
      </c>
      <c r="W514" s="57" cm="1">
        <f t="array" ref="W514">VLOOKUP(B514,'Player Data'!$A1:$AE673,11,FALSE)*$Q514*IFERROR((VLOOKUP(P514,Settings!$E$28:$F$33,2,FALSE)+1),1)</f>
        <v>1.2567582940154389</v>
      </c>
      <c r="X514" s="57" cm="1">
        <f t="array" ref="X514">VLOOKUP(B514,'Player Data'!$A1:$AE673,12,FALSE)*$Q514*IFERROR((VLOOKUP(P514,Settings!$E$28:$F$33,2,FALSE)+1),1)</f>
        <v>2.709660597833397</v>
      </c>
      <c r="Y514" s="57" cm="1">
        <f t="array" ref="Y514">VLOOKUP(B514,'Player Data'!$A1:$AE673,13,FALSE)*$Q514</f>
        <v>0.40171162928552784</v>
      </c>
      <c r="Z514" s="57" cm="1">
        <f t="array" ref="Z514">VLOOKUP(B514,'Player Data'!$A1:$AE673,14,FALSE)*$Q514</f>
        <v>0.47440482964814734</v>
      </c>
      <c r="AA514" s="57" cm="1">
        <f t="array" ref="AA514">VLOOKUP(B514,'Player Data'!$A1:$AE673,15,FALSE)*$Q514</f>
        <v>52.371238686122645</v>
      </c>
      <c r="AB514" s="57" cm="1">
        <f t="array" ref="AB514">VLOOKUP(B514,'Player Data'!$A1:$AE673,16,FALSE)*$Q514</f>
        <v>31.620312914447634</v>
      </c>
      <c r="AC514" s="57" cm="1">
        <f t="array" ref="AC514">VLOOKUP(B514,'Player Data'!$A1:$AE673,17,FALSE)*$Q514*IFERROR((VLOOKUP(P514,Settings!$E$28:$F$33,2,FALSE)+1),1)</f>
        <v>-3.0481273768432282</v>
      </c>
      <c r="AD514" s="57" cm="1">
        <f t="array" ref="AD514">VLOOKUP(B514,'Player Data'!$A1:$AE673,18,FALSE)*$Q514</f>
        <v>21.562273062510943</v>
      </c>
      <c r="AE514" s="57" cm="1">
        <f t="array" ref="AE514">VLOOKUP(B514,'Player Data'!$A1:$AE673,19,FALSE)*$Q514*IFERROR((VLOOKUP(P514,Settings!$E$28:$F$33,2,FALSE)+1),1)</f>
        <v>1.6906774897607046</v>
      </c>
      <c r="AF514" s="57" cm="1">
        <f t="array" ref="AF514">VLOOKUP(B514,'Player Data'!$A1:$AE673,20,FALSE)*$Q514</f>
        <v>440.05625362445937</v>
      </c>
      <c r="AG514" s="57" cm="1">
        <f t="array" ref="AG514">VLOOKUP(B514,'Player Data'!$A1:$AE673,21,FALSE)*$Q514</f>
        <v>489.88839120007981</v>
      </c>
      <c r="AH514" s="59" cm="1">
        <f t="array" ref="AH514">VLOOKUP(B514,'Player Data'!$A1:$AE673,22,FALSE)</f>
        <v>0.47320693341643899</v>
      </c>
      <c r="AI514" s="55"/>
      <c r="AJ514" s="57"/>
      <c r="AK514" s="57"/>
      <c r="AL514" s="57"/>
      <c r="AM514" s="57"/>
      <c r="AN514" s="57"/>
      <c r="AO514" s="57"/>
      <c r="AP514" s="57"/>
      <c r="AQ514" s="60"/>
      <c r="AR514" s="61"/>
      <c r="AS514" s="55"/>
    </row>
    <row r="515" spans="1:45" ht="21.25" customHeight="1" x14ac:dyDescent="0.15">
      <c r="A515" s="62">
        <f t="shared" si="8"/>
        <v>514</v>
      </c>
      <c r="B515" s="10" t="s">
        <v>643</v>
      </c>
      <c r="C515" s="47" t="s">
        <v>147</v>
      </c>
      <c r="D515" s="48" t="str" cm="1">
        <f t="array" ref="D515">VLOOKUP(B515,'Player Data'!A1:D673,4,FALSE)</f>
        <v>C,LW</v>
      </c>
      <c r="E515" s="74" cm="1">
        <f t="array" ref="E515">VLOOKUP(B515,LW!A1:C210,3,FALSE)</f>
        <v>132</v>
      </c>
      <c r="F515" s="69" t="str" cm="1">
        <f t="array" ref="F515">VLOOKUP(B515,'Player Data'!A1:B673,2,FALSE)</f>
        <v>MTL</v>
      </c>
      <c r="G515" s="11" cm="1">
        <f t="array" ref="G515">VLOOKUP(B515,'Player Data'!A1:D673,3,FALSE)</f>
        <v>25</v>
      </c>
      <c r="H515" s="67" cm="1">
        <f t="array" ref="H515">IFERROR(VLOOKUP(B515,ADP!A1:F671,6,FALSE)/1000000,VLOOKUP(B515,ADP!A1:F671,6,FALSE))</f>
        <v>2.9</v>
      </c>
      <c r="I515" s="52">
        <f>IF(Settings!$E$15="POINTS",((R515*Q515)*Settings!$B$12)+(S515*Settings!$B$2)+(T515*Settings!$B$3)+(U515*Settings!$B$4)+(V515*Settings!$B$5)+(X515*Settings!$B$9)+(AA515*Settings!$B$6)+(W515*Settings!$B$8)+(AB515*Settings!$B$7)+(AC515*Settings!$B$14)+(AD515*Settings!$B$15)+(AE515*Settings!$B$16)+(AF515*Settings!$B$17)+(AG515*Settings!$B$18)+(Y515*Settings!$B$10)+(Z515*Settings!$B$11),VLOOKUP(B515,'Standard Deviations'!A$1:C$672,3,FALSE))</f>
        <v>170.81907065353187</v>
      </c>
      <c r="J515" s="53" cm="1">
        <f t="array" ref="J515">IF(D515="G",I515/AJ515,I515/Q515)</f>
        <v>2.3012133996164872</v>
      </c>
      <c r="K515" s="52" cm="1">
        <f t="array" ref="K515">IF(Settings!$E$18="C/LW/RW",VLOOKUP(B515,LW!A1:F210,6,FALSE),VLOOKUP(B515,F!A1:F407,6,FALSE))</f>
        <v>-228.49392266018822</v>
      </c>
      <c r="L515" s="54" cm="1">
        <f t="array" ref="L515">IFERROR(K515/H515,"N/A")</f>
        <v>-78.791007813858002</v>
      </c>
      <c r="M515" s="85" t="s">
        <v>832</v>
      </c>
      <c r="N515" s="85" t="str" cm="1">
        <f t="array" ref="N515">IFERROR(M515-A515,"N/A")</f>
        <v>N/A</v>
      </c>
      <c r="O515" s="55"/>
      <c r="P515" s="56" t="str" cm="1">
        <f t="array" ref="P515">_xlfn.XLOOKUP($B515,ADP!A2:A671,ADP!G2:G671)</f>
        <v xml:space="preserve"> </v>
      </c>
      <c r="Q515" s="57" cm="1">
        <f t="array" ref="Q515">IF(Settings!$E$12="YES",VLOOKUP(B515,'Player Data'!A1:E673,5,FALSE),84)</f>
        <v>74.23</v>
      </c>
      <c r="R515" s="55" cm="1">
        <f t="array" ref="R515">VLOOKUP(B515,'Player Data'!$A1:$AE673,6,FALSE)</f>
        <v>14.668333443531299</v>
      </c>
      <c r="S515" s="57" cm="1">
        <f t="array" ref="S515">VLOOKUP(B515,'Player Data'!$A1:$AE673,7,FALSE)*$Q515*IFERROR((VLOOKUP(P515,Settings!$E$28:$F$33,2,FALSE)+1),1)</f>
        <v>16.744686461017551</v>
      </c>
      <c r="T515" s="57" cm="1">
        <f t="array" ref="T515">VLOOKUP(B515,'Player Data'!$A1:$AE673,8,FALSE)*$Q515*IFERROR((VLOOKUP(P515,Settings!$E$28:$F$33,2,FALSE)+1),1)</f>
        <v>16.45565894425577</v>
      </c>
      <c r="U515" s="57" cm="1">
        <f t="array" ref="U515">SUM(S515:T515)</f>
        <v>33.200345405273325</v>
      </c>
      <c r="V515" s="57" cm="1">
        <f t="array" ref="V515">VLOOKUP(B515,'Player Data'!$A1:$AE673,10,FALSE)*$Q515*IFERROR(((VLOOKUP(P515,Settings!$E$28:$F$33,2,FALSE)/2)+1),1)</f>
        <v>103.59432787013868</v>
      </c>
      <c r="W515" s="57" cm="1">
        <f t="array" ref="W515">VLOOKUP(B515,'Player Data'!$A1:$AE673,11,FALSE)*$Q515*IFERROR((VLOOKUP(P515,Settings!$E$28:$F$33,2,FALSE)+1),1)</f>
        <v>1.3387087620223326</v>
      </c>
      <c r="X515" s="57" cm="1">
        <f t="array" ref="X515">VLOOKUP(B515,'Player Data'!$A1:$AE673,12,FALSE)*$Q515*IFERROR((VLOOKUP(P515,Settings!$E$28:$F$33,2,FALSE)+1),1)</f>
        <v>3.3222532321836713</v>
      </c>
      <c r="Y515" s="57" cm="1">
        <f t="array" ref="Y515">VLOOKUP(B515,'Player Data'!$A1:$AE673,13,FALSE)*$Q515</f>
        <v>0.16267259798140588</v>
      </c>
      <c r="Z515" s="57" cm="1">
        <f t="array" ref="Z515">VLOOKUP(B515,'Player Data'!$A1:$AE673,14,FALSE)*$Q515</f>
        <v>0.26777095451465832</v>
      </c>
      <c r="AA515" s="57" cm="1">
        <f t="array" ref="AA515">VLOOKUP(B515,'Player Data'!$A1:$AE673,15,FALSE)*$Q515</f>
        <v>31.661692631888538</v>
      </c>
      <c r="AB515" s="57" cm="1">
        <f t="array" ref="AB515">VLOOKUP(B515,'Player Data'!$A1:$AE673,16,FALSE)*$Q515</f>
        <v>80.929585332682663</v>
      </c>
      <c r="AC515" s="57" cm="1">
        <f t="array" ref="AC515">VLOOKUP(B515,'Player Data'!$A1:$AE673,17,FALSE)*$Q515*IFERROR((VLOOKUP(P515,Settings!$E$28:$F$33,2,FALSE)+1),1)</f>
        <v>1.6469941666659009</v>
      </c>
      <c r="AD515" s="57" cm="1">
        <f t="array" ref="AD515">VLOOKUP(B515,'Player Data'!$A1:$AE673,18,FALSE)*$Q515</f>
        <v>22.134469073656138</v>
      </c>
      <c r="AE515" s="57" cm="1">
        <f t="array" ref="AE515">VLOOKUP(B515,'Player Data'!$A1:$AE673,19,FALSE)*$Q515*IFERROR((VLOOKUP(P515,Settings!$E$28:$F$33,2,FALSE)+1),1)</f>
        <v>2.7878254214535279</v>
      </c>
      <c r="AF515" s="57" cm="1">
        <f t="array" ref="AF515">VLOOKUP(B515,'Player Data'!$A1:$AE673,20,FALSE)*$Q515</f>
        <v>223.72789401871401</v>
      </c>
      <c r="AG515" s="57" cm="1">
        <f t="array" ref="AG515">VLOOKUP(B515,'Player Data'!$A1:$AE673,21,FALSE)*$Q515</f>
        <v>272.61793588591388</v>
      </c>
      <c r="AH515" s="59" cm="1">
        <f t="array" ref="AH515">VLOOKUP(B515,'Player Data'!$A1:$AE673,22,FALSE)</f>
        <v>0.45075002254315999</v>
      </c>
      <c r="AI515" s="55"/>
      <c r="AJ515" s="57"/>
      <c r="AK515" s="57"/>
      <c r="AL515" s="57"/>
      <c r="AM515" s="57"/>
      <c r="AN515" s="57"/>
      <c r="AO515" s="57"/>
      <c r="AP515" s="57"/>
      <c r="AQ515" s="60"/>
      <c r="AR515" s="61"/>
      <c r="AS515" s="55"/>
    </row>
    <row r="516" spans="1:45" ht="21.25" customHeight="1" x14ac:dyDescent="0.15">
      <c r="A516" s="62">
        <f t="shared" si="8"/>
        <v>515</v>
      </c>
      <c r="B516" s="10" t="s">
        <v>644</v>
      </c>
      <c r="C516" s="47" t="s">
        <v>147</v>
      </c>
      <c r="D516" s="48" t="str" cm="1">
        <f t="array" ref="D516">VLOOKUP(B516,'Player Data'!A1:D673,4,FALSE)</f>
        <v>C,LW</v>
      </c>
      <c r="E516" s="74" cm="1">
        <f t="array" ref="E516">VLOOKUP(B516,LW!A1:C210,3,FALSE)</f>
        <v>133</v>
      </c>
      <c r="F516" s="50" t="str" cm="1">
        <f t="array" ref="F516">VLOOKUP(B516,'Player Data'!A1:B673,2,FALSE)</f>
        <v>COL</v>
      </c>
      <c r="G516" s="66" cm="1">
        <f t="array" ref="G516">VLOOKUP(B516,'Player Data'!A1:D673,3,FALSE)</f>
        <v>34</v>
      </c>
      <c r="H516" s="51" cm="1">
        <f t="array" ref="H516">IFERROR(VLOOKUP(B516,ADP!A1:F671,6,FALSE)/1000000,VLOOKUP(B516,ADP!A1:F671,6,FALSE))</f>
        <v>3.25</v>
      </c>
      <c r="I516" s="52">
        <f>IF(Settings!$E$15="POINTS",((R516*Q516)*Settings!$B$12)+(S516*Settings!$B$2)+(T516*Settings!$B$3)+(U516*Settings!$B$4)+(V516*Settings!$B$5)+(X516*Settings!$B$9)+(AA516*Settings!$B$6)+(W516*Settings!$B$8)+(AB516*Settings!$B$7)+(AC516*Settings!$B$14)+(AD516*Settings!$B$15)+(AE516*Settings!$B$16)+(AF516*Settings!$B$17)+(AG516*Settings!$B$18)+(Y516*Settings!$B$10)+(Z516*Settings!$B$11),VLOOKUP(B516,'Standard Deviations'!A$1:C$672,3,FALSE))</f>
        <v>170.07348128542856</v>
      </c>
      <c r="J516" s="53" cm="1">
        <f t="array" ref="J516">IF(D516="G",I516/AJ516,I516/Q516)</f>
        <v>2.2315693788476767</v>
      </c>
      <c r="K516" s="52" cm="1">
        <f t="array" ref="K516">IF(Settings!$E$18="C/LW/RW",VLOOKUP(B516,LW!A1:F210,6,FALSE),VLOOKUP(B516,F!A1:F407,6,FALSE))</f>
        <v>-229.23951202829153</v>
      </c>
      <c r="L516" s="54" cm="1">
        <f t="array" ref="L516">IFERROR(K516/H516,"N/A")</f>
        <v>-70.535234470243552</v>
      </c>
      <c r="M516" s="85" t="s">
        <v>832</v>
      </c>
      <c r="N516" s="85" t="str" cm="1">
        <f t="array" ref="N516">IFERROR(M516-A516,"N/A")</f>
        <v>N/A</v>
      </c>
      <c r="O516" s="55"/>
      <c r="P516" s="56" t="str" cm="1">
        <f t="array" ref="P516">_xlfn.XLOOKUP($B516,ADP!A2:A671,ADP!G2:G671)</f>
        <v xml:space="preserve"> </v>
      </c>
      <c r="Q516" s="57" cm="1">
        <f t="array" ref="Q516">IF(Settings!$E$12="YES",VLOOKUP(B516,'Player Data'!A1:E673,5,FALSE),84)</f>
        <v>76.212500000000006</v>
      </c>
      <c r="R516" s="84" cm="1">
        <f t="array" ref="R516">VLOOKUP(B516,'Player Data'!$A1:$AE673,6,FALSE)</f>
        <v>13.2667465083747</v>
      </c>
      <c r="S516" s="57" cm="1">
        <f t="array" ref="S516">VLOOKUP(B516,'Player Data'!$A1:$AE673,7,FALSE)*$Q516*IFERROR((VLOOKUP(P516,Settings!$E$28:$F$33,2,FALSE)+1),1)</f>
        <v>14.135728179901943</v>
      </c>
      <c r="T516" s="57" cm="1">
        <f t="array" ref="T516">VLOOKUP(B516,'Player Data'!$A1:$AE673,8,FALSE)*$Q516*IFERROR((VLOOKUP(P516,Settings!$E$28:$F$33,2,FALSE)+1),1)</f>
        <v>15.966405754094904</v>
      </c>
      <c r="U516" s="57" cm="1">
        <f t="array" ref="U516">SUM(S516:T516)</f>
        <v>30.102133933996846</v>
      </c>
      <c r="V516" s="57" cm="1">
        <f t="array" ref="V516">VLOOKUP(B516,'Player Data'!$A1:$AE673,10,FALSE)*$Q516*IFERROR(((VLOOKUP(P516,Settings!$E$28:$F$33,2,FALSE)/2)+1),1)</f>
        <v>110.50804758549474</v>
      </c>
      <c r="W516" s="57" cm="1">
        <f t="array" ref="W516">VLOOKUP(B516,'Player Data'!$A1:$AE673,11,FALSE)*$Q516*IFERROR((VLOOKUP(P516,Settings!$E$28:$F$33,2,FALSE)+1),1)</f>
        <v>2.1083592961233126</v>
      </c>
      <c r="X516" s="57" cm="1">
        <f t="array" ref="X516">VLOOKUP(B516,'Player Data'!$A1:$AE673,12,FALSE)*$Q516*IFERROR((VLOOKUP(P516,Settings!$E$28:$F$33,2,FALSE)+1),1)</f>
        <v>3.5653528469949753</v>
      </c>
      <c r="Y516" s="57" cm="1">
        <f t="array" ref="Y516">VLOOKUP(B516,'Player Data'!$A1:$AE673,13,FALSE)*$Q516</f>
        <v>0.10403163514773907</v>
      </c>
      <c r="Z516" s="57" cm="1">
        <f t="array" ref="Z516">VLOOKUP(B516,'Player Data'!$A1:$AE673,14,FALSE)*$Q516</f>
        <v>0.16798562684158511</v>
      </c>
      <c r="AA516" s="57" cm="1">
        <f t="array" ref="AA516">VLOOKUP(B516,'Player Data'!$A1:$AE673,15,FALSE)*$Q516</f>
        <v>41.559434433708212</v>
      </c>
      <c r="AB516" s="57" cm="1">
        <f t="array" ref="AB516">VLOOKUP(B516,'Player Data'!$A1:$AE673,16,FALSE)*$Q516</f>
        <v>44.339807862922278</v>
      </c>
      <c r="AC516" s="57" cm="1">
        <f t="array" ref="AC516">VLOOKUP(B516,'Player Data'!$A1:$AE673,17,FALSE)*$Q516*IFERROR((VLOOKUP(P516,Settings!$E$28:$F$33,2,FALSE)+1),1)</f>
        <v>5.138902806496807</v>
      </c>
      <c r="AD516" s="57" cm="1">
        <f t="array" ref="AD516">VLOOKUP(B516,'Player Data'!$A1:$AE673,18,FALSE)*$Q516</f>
        <v>18.12989794440098</v>
      </c>
      <c r="AE516" s="57" cm="1">
        <f t="array" ref="AE516">VLOOKUP(B516,'Player Data'!$A1:$AE673,19,FALSE)*$Q516*IFERROR((VLOOKUP(P516,Settings!$E$28:$F$33,2,FALSE)+1),1)</f>
        <v>2.5513181595694854</v>
      </c>
      <c r="AF516" s="57" cm="1">
        <f t="array" ref="AF516">VLOOKUP(B516,'Player Data'!$A1:$AE673,20,FALSE)*$Q516</f>
        <v>42.417496175627619</v>
      </c>
      <c r="AG516" s="57" cm="1">
        <f t="array" ref="AG516">VLOOKUP(B516,'Player Data'!$A1:$AE673,21,FALSE)*$Q516</f>
        <v>35.406477411117436</v>
      </c>
      <c r="AH516" s="59" cm="1">
        <f t="array" ref="AH516">VLOOKUP(B516,'Player Data'!$A1:$AE673,22,FALSE)</f>
        <v>0.54504408115768799</v>
      </c>
      <c r="AI516" s="55"/>
      <c r="AJ516" s="57"/>
      <c r="AK516" s="57"/>
      <c r="AL516" s="57"/>
      <c r="AM516" s="57"/>
      <c r="AN516" s="57"/>
      <c r="AO516" s="57"/>
      <c r="AP516" s="57"/>
      <c r="AQ516" s="60"/>
      <c r="AR516" s="61"/>
      <c r="AS516" s="55"/>
    </row>
    <row r="517" spans="1:45" ht="21.25" customHeight="1" x14ac:dyDescent="0.15">
      <c r="A517" s="62">
        <f t="shared" si="8"/>
        <v>516</v>
      </c>
      <c r="B517" s="10" t="s">
        <v>645</v>
      </c>
      <c r="C517" s="47" t="s">
        <v>147</v>
      </c>
      <c r="D517" s="48" t="str" cm="1">
        <f t="array" ref="D517">VLOOKUP(B517,'Player Data'!A1:D673,4,FALSE)</f>
        <v>C,RW</v>
      </c>
      <c r="E517" s="74" cm="1">
        <f t="array" ref="E517">VLOOKUP(B517,RW!A1:F210,3,FALSE)</f>
        <v>145</v>
      </c>
      <c r="F517" s="70" t="str" cm="1">
        <f t="array" ref="F517">VLOOKUP(B517,'Player Data'!A1:B673,2,FALSE)</f>
        <v>MIN</v>
      </c>
      <c r="G517" s="71" cm="1">
        <f t="array" ref="G517">VLOOKUP(B517,'Player Data'!A1:D673,3,FALSE)</f>
        <v>22</v>
      </c>
      <c r="H517" s="51" cm="1">
        <f t="array" ref="H517">IFERROR(VLOOKUP(B517,ADP!A1:F671,6,FALSE)/1000000,VLOOKUP(B517,ADP!A1:F671,6,FALSE))</f>
        <v>0.95</v>
      </c>
      <c r="I517" s="52">
        <f>IF(Settings!$E$15="POINTS",((R517*Q517)*Settings!$B$12)+(S517*Settings!$B$2)+(T517*Settings!$B$3)+(U517*Settings!$B$4)+(V517*Settings!$B$5)+(X517*Settings!$B$9)+(AA517*Settings!$B$6)+(W517*Settings!$B$8)+(AB517*Settings!$B$7)+(AC517*Settings!$B$14)+(AD517*Settings!$B$15)+(AE517*Settings!$B$16)+(AF517*Settings!$B$17)+(AG517*Settings!$B$18)+(Y517*Settings!$B$10)+(Z517*Settings!$B$11),VLOOKUP(B517,'Standard Deviations'!A$1:C$672,3,FALSE))</f>
        <v>165.62787590108982</v>
      </c>
      <c r="J517" s="53" cm="1">
        <f t="array" ref="J517">IF(D517="G",I517/AJ517,I517/Q517)</f>
        <v>2.0627420873166424</v>
      </c>
      <c r="K517" s="52" cm="1">
        <f t="array" ref="K517">IF(Settings!$E$18="C/LW/RW",VLOOKUP(B517,RW!A1:F210,6,FALSE),VLOOKUP(B517,F!A1:F407,6,FALSE))</f>
        <v>-229.31558879246765</v>
      </c>
      <c r="L517" s="54" cm="1">
        <f t="array" ref="L517">IFERROR(K517/H517,"N/A")</f>
        <v>-241.38483030786071</v>
      </c>
      <c r="M517" s="85" t="s">
        <v>832</v>
      </c>
      <c r="N517" s="85" t="str" cm="1">
        <f t="array" ref="N517">IFERROR(M517-A517,"N/A")</f>
        <v>N/A</v>
      </c>
      <c r="O517" s="81"/>
      <c r="P517" s="56" t="str" cm="1">
        <f t="array" ref="P517">_xlfn.XLOOKUP($B517,ADP!A2:A671,ADP!G2:G671)</f>
        <v xml:space="preserve"> </v>
      </c>
      <c r="Q517" s="57" cm="1">
        <f t="array" ref="Q517">IF(Settings!$E$12="YES",VLOOKUP(B517,'Player Data'!A1:E673,5,FALSE),84)</f>
        <v>80.295000000000002</v>
      </c>
      <c r="R517" s="55" cm="1">
        <f t="array" ref="R517">VLOOKUP(B517,'Player Data'!$A1:$AE673,6,FALSE)</f>
        <v>13.249117498172801</v>
      </c>
      <c r="S517" s="57" cm="1">
        <f t="array" ref="S517">VLOOKUP(B517,'Player Data'!$A1:$AE673,7,FALSE)*$Q517*IFERROR((VLOOKUP(P517,Settings!$E$28:$F$33,2,FALSE)+1),1)</f>
        <v>13.877088987041123</v>
      </c>
      <c r="T517" s="57" cm="1">
        <f t="array" ref="T517">VLOOKUP(B517,'Player Data'!$A1:$AE673,8,FALSE)*$Q517*IFERROR((VLOOKUP(P517,Settings!$E$28:$F$33,2,FALSE)+1),1)</f>
        <v>17.460869799921852</v>
      </c>
      <c r="U517" s="57" cm="1">
        <f t="array" ref="U517">SUM(S517:T517)</f>
        <v>31.337958786962975</v>
      </c>
      <c r="V517" s="57" cm="1">
        <f t="array" ref="V517">VLOOKUP(B517,'Player Data'!$A1:$AE673,10,FALSE)*$Q517*IFERROR(((VLOOKUP(P517,Settings!$E$28:$F$33,2,FALSE)/2)+1),1)</f>
        <v>91.628983122345005</v>
      </c>
      <c r="W517" s="57" cm="1">
        <f t="array" ref="W517">VLOOKUP(B517,'Player Data'!$A1:$AE673,11,FALSE)*$Q517*IFERROR((VLOOKUP(P517,Settings!$E$28:$F$33,2,FALSE)+1),1)</f>
        <v>0.93307344040878559</v>
      </c>
      <c r="X517" s="57" cm="1">
        <f t="array" ref="X517">VLOOKUP(B517,'Player Data'!$A1:$AE673,12,FALSE)*$Q517*IFERROR((VLOOKUP(P517,Settings!$E$28:$F$33,2,FALSE)+1),1)</f>
        <v>2.512746451993046</v>
      </c>
      <c r="Y517" s="57" cm="1">
        <f t="array" ref="Y517">VLOOKUP(B517,'Player Data'!$A1:$AE673,13,FALSE)*$Q517</f>
        <v>8.6363707911219459E-2</v>
      </c>
      <c r="Z517" s="57" cm="1">
        <f t="array" ref="Z517">VLOOKUP(B517,'Player Data'!$A1:$AE673,14,FALSE)*$Q517</f>
        <v>0.14152599872877419</v>
      </c>
      <c r="AA517" s="57" cm="1">
        <f t="array" ref="AA517">VLOOKUP(B517,'Player Data'!$A1:$AE673,15,FALSE)*$Q517</f>
        <v>46.290471056613107</v>
      </c>
      <c r="AB517" s="57" cm="1">
        <f t="array" ref="AB517">VLOOKUP(B517,'Player Data'!$A1:$AE673,16,FALSE)*$Q517</f>
        <v>70.544807165411001</v>
      </c>
      <c r="AC517" s="57" cm="1">
        <f t="array" ref="AC517">VLOOKUP(B517,'Player Data'!$A1:$AE673,17,FALSE)*$Q517*IFERROR((VLOOKUP(P517,Settings!$E$28:$F$33,2,FALSE)+1),1)</f>
        <v>1.678252633162282</v>
      </c>
      <c r="AD517" s="57" cm="1">
        <f t="array" ref="AD517">VLOOKUP(B517,'Player Data'!$A1:$AE673,18,FALSE)*$Q517</f>
        <v>28.877512556550816</v>
      </c>
      <c r="AE517" s="57" cm="1">
        <f t="array" ref="AE517">VLOOKUP(B517,'Player Data'!$A1:$AE673,19,FALSE)*$Q517*IFERROR((VLOOKUP(P517,Settings!$E$28:$F$33,2,FALSE)+1),1)</f>
        <v>2.2603626305213149</v>
      </c>
      <c r="AF517" s="57" cm="1">
        <f t="array" ref="AF517">VLOOKUP(B517,'Player Data'!$A1:$AE673,20,FALSE)*$Q517</f>
        <v>321.10649994655995</v>
      </c>
      <c r="AG517" s="57" cm="1">
        <f t="array" ref="AG517">VLOOKUP(B517,'Player Data'!$A1:$AE673,21,FALSE)*$Q517</f>
        <v>492.07105281913203</v>
      </c>
      <c r="AH517" s="59" cm="1">
        <f t="array" ref="AH517">VLOOKUP(B517,'Player Data'!$A1:$AE673,22,FALSE)</f>
        <v>0.39487870619946103</v>
      </c>
      <c r="AI517" s="55"/>
      <c r="AJ517" s="57"/>
      <c r="AK517" s="57"/>
      <c r="AL517" s="57"/>
      <c r="AM517" s="57"/>
      <c r="AN517" s="57"/>
      <c r="AO517" s="57"/>
      <c r="AP517" s="57"/>
      <c r="AQ517" s="60"/>
      <c r="AR517" s="61"/>
      <c r="AS517" s="55"/>
    </row>
    <row r="518" spans="1:45" ht="21.25" customHeight="1" x14ac:dyDescent="0.15">
      <c r="A518" s="62">
        <f t="shared" si="8"/>
        <v>517</v>
      </c>
      <c r="B518" s="10" t="s">
        <v>646</v>
      </c>
      <c r="C518" s="47" t="s">
        <v>147</v>
      </c>
      <c r="D518" s="48" t="str" cm="1">
        <f t="array" ref="D518">VLOOKUP(B518,'Player Data'!A1:D673,4,FALSE)</f>
        <v>RW</v>
      </c>
      <c r="E518" s="64" cm="1">
        <f t="array" ref="E518">VLOOKUP(B518,RW!A1:F210,3,FALSE)</f>
        <v>146</v>
      </c>
      <c r="F518" s="69" t="str" cm="1">
        <f t="array" ref="F518">VLOOKUP(B518,'Player Data'!A1:B673,2,FALSE)</f>
        <v>CBJ</v>
      </c>
      <c r="G518" s="11" cm="1">
        <f t="array" ref="G518">VLOOKUP(B518,'Player Data'!A1:D673,3,FALSE)</f>
        <v>29</v>
      </c>
      <c r="H518" s="51" cm="1">
        <f t="array" ref="H518">IFERROR(VLOOKUP(B518,ADP!A1:F671,6,FALSE)/1000000,VLOOKUP(B518,ADP!A1:F671,6,FALSE))</f>
        <v>3</v>
      </c>
      <c r="I518" s="52">
        <f>IF(Settings!$E$15="POINTS",((R518*Q518)*Settings!$B$12)+(S518*Settings!$B$2)+(T518*Settings!$B$3)+(U518*Settings!$B$4)+(V518*Settings!$B$5)+(X518*Settings!$B$9)+(AA518*Settings!$B$6)+(W518*Settings!$B$8)+(AB518*Settings!$B$7)+(AC518*Settings!$B$14)+(AD518*Settings!$B$15)+(AE518*Settings!$B$16)+(AF518*Settings!$B$17)+(AG518*Settings!$B$18)+(Y518*Settings!$B$10)+(Z518*Settings!$B$11),VLOOKUP(B518,'Standard Deviations'!A$1:C$672,3,FALSE))</f>
        <v>165.17399612833819</v>
      </c>
      <c r="J518" s="53" cm="1">
        <f t="array" ref="J518">IF(D518="G",I518/AJ518,I518/Q518)</f>
        <v>2.1312086207327274</v>
      </c>
      <c r="K518" s="52" cm="1">
        <f t="array" ref="K518">IF(Settings!$E$18="C/LW/RW",VLOOKUP(B518,RW!A1:F210,6,FALSE),VLOOKUP(B518,F!A1:F407,6,FALSE))</f>
        <v>-229.76946856521928</v>
      </c>
      <c r="L518" s="54" cm="1">
        <f t="array" ref="L518">IFERROR(K518/H518,"N/A")</f>
        <v>-76.589822855073095</v>
      </c>
      <c r="M518" s="85" t="s">
        <v>832</v>
      </c>
      <c r="N518" s="85" t="str" cm="1">
        <f t="array" ref="N518">IFERROR(M518-A518,"N/A")</f>
        <v>N/A</v>
      </c>
      <c r="O518" s="83"/>
      <c r="P518" s="56" t="str" cm="1">
        <f t="array" ref="P518">_xlfn.XLOOKUP($B518,ADP!A2:A671,ADP!G2:G671)</f>
        <v xml:space="preserve"> </v>
      </c>
      <c r="Q518" s="57" cm="1">
        <f t="array" ref="Q518">IF(Settings!$E$12="YES",VLOOKUP(B518,'Player Data'!A1:E673,5,FALSE),84)</f>
        <v>77.502499999999998</v>
      </c>
      <c r="R518" s="55" cm="1">
        <f t="array" ref="R518">VLOOKUP(B518,'Player Data'!$A1:$AE673,6,FALSE)</f>
        <v>13.646511476668</v>
      </c>
      <c r="S518" s="57" cm="1">
        <f t="array" ref="S518">VLOOKUP(B518,'Player Data'!$A1:$AE673,7,FALSE)*$Q518*IFERROR((VLOOKUP(P518,Settings!$E$28:$F$33,2,FALSE)+1),1)</f>
        <v>14.674987761817933</v>
      </c>
      <c r="T518" s="57" cm="1">
        <f t="array" ref="T518">VLOOKUP(B518,'Player Data'!$A1:$AE673,8,FALSE)*$Q518*IFERROR((VLOOKUP(P518,Settings!$E$28:$F$33,2,FALSE)+1),1)</f>
        <v>12.883003684999304</v>
      </c>
      <c r="U518" s="57" cm="1">
        <f t="array" ref="U518">SUM(S518:T518)</f>
        <v>27.557991446817237</v>
      </c>
      <c r="V518" s="57" cm="1">
        <f t="array" ref="V518">VLOOKUP(B518,'Player Data'!$A1:$AE673,10,FALSE)*$Q518*IFERROR(((VLOOKUP(P518,Settings!$E$28:$F$33,2,FALSE)/2)+1),1)</f>
        <v>105.3347602070632</v>
      </c>
      <c r="W518" s="57" cm="1">
        <f t="array" ref="W518">VLOOKUP(B518,'Player Data'!$A1:$AE673,11,FALSE)*$Q518*IFERROR((VLOOKUP(P518,Settings!$E$28:$F$33,2,FALSE)+1),1)</f>
        <v>2.3655061649006815E-2</v>
      </c>
      <c r="X518" s="57" cm="1">
        <f t="array" ref="X518">VLOOKUP(B518,'Player Data'!$A1:$AE673,12,FALSE)*$Q518*IFERROR((VLOOKUP(P518,Settings!$E$28:$F$33,2,FALSE)+1),1)</f>
        <v>5.140996696720232E-2</v>
      </c>
      <c r="Y518" s="57" cm="1">
        <f t="array" ref="Y518">VLOOKUP(B518,'Player Data'!$A1:$AE673,13,FALSE)*$Q518</f>
        <v>0.72119946264725954</v>
      </c>
      <c r="Z518" s="57" cm="1">
        <f t="array" ref="Z518">VLOOKUP(B518,'Player Data'!$A1:$AE673,14,FALSE)*$Q518</f>
        <v>1.1801454800980899</v>
      </c>
      <c r="AA518" s="57" cm="1">
        <f t="array" ref="AA518">VLOOKUP(B518,'Player Data'!$A1:$AE673,15,FALSE)*$Q518</f>
        <v>57.202172474579207</v>
      </c>
      <c r="AB518" s="57" cm="1">
        <f t="array" ref="AB518">VLOOKUP(B518,'Player Data'!$A1:$AE673,16,FALSE)*$Q518</f>
        <v>230.21889933693447</v>
      </c>
      <c r="AC518" s="57" cm="1">
        <f t="array" ref="AC518">VLOOKUP(B518,'Player Data'!$A1:$AE673,17,FALSE)*$Q518*IFERROR((VLOOKUP(P518,Settings!$E$28:$F$33,2,FALSE)+1),1)</f>
        <v>2.0135280662217472</v>
      </c>
      <c r="AD518" s="57" cm="1">
        <f t="array" ref="AD518">VLOOKUP(B518,'Player Data'!$A1:$AE673,18,FALSE)*$Q518</f>
        <v>84.127737757445914</v>
      </c>
      <c r="AE518" s="57" cm="1">
        <f t="array" ref="AE518">VLOOKUP(B518,'Player Data'!$A1:$AE673,19,FALSE)*$Q518*IFERROR((VLOOKUP(P518,Settings!$E$28:$F$33,2,FALSE)+1),1)</f>
        <v>2.3647456754915801</v>
      </c>
      <c r="AF518" s="57" cm="1">
        <f t="array" ref="AF518">VLOOKUP(B518,'Player Data'!$A1:$AE673,20,FALSE)*$Q518</f>
        <v>5.2880079069438706</v>
      </c>
      <c r="AG518" s="57" cm="1">
        <f t="array" ref="AG518">VLOOKUP(B518,'Player Data'!$A1:$AE673,21,FALSE)*$Q518</f>
        <v>13.264342898046779</v>
      </c>
      <c r="AH518" s="59" cm="1">
        <f t="array" ref="AH518">VLOOKUP(B518,'Player Data'!$A1:$AE673,22,FALSE)</f>
        <v>0.28503169018997798</v>
      </c>
      <c r="AI518" s="55"/>
      <c r="AJ518" s="57"/>
      <c r="AK518" s="57"/>
      <c r="AL518" s="57"/>
      <c r="AM518" s="57"/>
      <c r="AN518" s="57"/>
      <c r="AO518" s="57"/>
      <c r="AP518" s="57"/>
      <c r="AQ518" s="60"/>
      <c r="AR518" s="61"/>
      <c r="AS518" s="55"/>
    </row>
    <row r="519" spans="1:45" ht="21.25" customHeight="1" x14ac:dyDescent="0.15">
      <c r="A519" s="62">
        <f t="shared" si="8"/>
        <v>518</v>
      </c>
      <c r="B519" s="10" t="s">
        <v>647</v>
      </c>
      <c r="C519" s="47" t="s">
        <v>147</v>
      </c>
      <c r="D519" s="48" t="str" cm="1">
        <f t="array" ref="D519">VLOOKUP(B519,'Player Data'!A1:D673,4,FALSE)</f>
        <v>C,LW</v>
      </c>
      <c r="E519" s="74" cm="1">
        <f t="array" ref="E519">VLOOKUP(B519,LW!A1:C210,3,FALSE)</f>
        <v>134</v>
      </c>
      <c r="F519" s="69" t="str" cm="1">
        <f t="array" ref="F519">VLOOKUP(B519,'Player Data'!A1:B673,2,FALSE)</f>
        <v>TOR</v>
      </c>
      <c r="G519" s="66" cm="1">
        <f t="array" ref="G519">VLOOKUP(B519,'Player Data'!A1:D673,3,FALSE)</f>
        <v>31</v>
      </c>
      <c r="H519" s="51" cm="1">
        <f t="array" ref="H519">IFERROR(VLOOKUP(B519,ADP!A1:F671,6,FALSE)/1000000,VLOOKUP(B519,ADP!A1:F671,6,FALSE))</f>
        <v>3.15</v>
      </c>
      <c r="I519" s="52">
        <f>IF(Settings!$E$15="POINTS",((R519*Q519)*Settings!$B$12)+(S519*Settings!$B$2)+(T519*Settings!$B$3)+(U519*Settings!$B$4)+(V519*Settings!$B$5)+(X519*Settings!$B$9)+(AA519*Settings!$B$6)+(W519*Settings!$B$8)+(AB519*Settings!$B$7)+(AC519*Settings!$B$14)+(AD519*Settings!$B$15)+(AE519*Settings!$B$16)+(AF519*Settings!$B$17)+(AG519*Settings!$B$18)+(Y519*Settings!$B$10)+(Z519*Settings!$B$11),VLOOKUP(B519,'Standard Deviations'!A$1:C$672,3,FALSE))</f>
        <v>168.9945023124931</v>
      </c>
      <c r="J519" s="53" cm="1">
        <f t="array" ref="J519">IF(D519="G",I519/AJ519,I519/Q519)</f>
        <v>2.1748914425210657</v>
      </c>
      <c r="K519" s="52" cm="1">
        <f t="array" ref="K519">IF(Settings!$E$18="C/LW/RW",VLOOKUP(B519,LW!A1:F210,6,FALSE),VLOOKUP(B519,F!A1:F407,6,FALSE))</f>
        <v>-230.31849100122699</v>
      </c>
      <c r="L519" s="54" cm="1">
        <f t="array" ref="L519">IFERROR(K519/H519,"N/A")</f>
        <v>-73.116981270230795</v>
      </c>
      <c r="M519" s="85" t="s">
        <v>832</v>
      </c>
      <c r="N519" s="85" t="str" cm="1">
        <f t="array" ref="N519">IFERROR(M519-A519,"N/A")</f>
        <v>N/A</v>
      </c>
      <c r="O519" s="55"/>
      <c r="P519" s="56" t="str" cm="1">
        <f t="array" ref="P519">_xlfn.XLOOKUP($B519,ADP!A2:A671,ADP!G2:G671)</f>
        <v xml:space="preserve"> </v>
      </c>
      <c r="Q519" s="57" cm="1">
        <f t="array" ref="Q519">IF(Settings!$E$12="YES",VLOOKUP(B519,'Player Data'!A1:E673,5,FALSE),84)</f>
        <v>77.702500000000001</v>
      </c>
      <c r="R519" s="55" cm="1">
        <f t="array" ref="R519">VLOOKUP(B519,'Player Data'!$A1:$AE673,6,FALSE)</f>
        <v>14.470078714647901</v>
      </c>
      <c r="S519" s="57" cm="1">
        <f t="array" ref="S519">VLOOKUP(B519,'Player Data'!$A1:$AE673,7,FALSE)*$Q519*IFERROR((VLOOKUP(P519,Settings!$E$28:$F$33,2,FALSE)+1),1)</f>
        <v>15.15126784731914</v>
      </c>
      <c r="T519" s="57" cm="1">
        <f t="array" ref="T519">VLOOKUP(B519,'Player Data'!$A1:$AE673,8,FALSE)*$Q519*IFERROR((VLOOKUP(P519,Settings!$E$28:$F$33,2,FALSE)+1),1)</f>
        <v>14.973665293195678</v>
      </c>
      <c r="U519" s="57" cm="1">
        <f t="array" ref="U519">SUM(S519:T519)</f>
        <v>30.12493314051482</v>
      </c>
      <c r="V519" s="57" cm="1">
        <f t="array" ref="V519">VLOOKUP(B519,'Player Data'!$A1:$AE673,10,FALSE)*$Q519*IFERROR(((VLOOKUP(P519,Settings!$E$28:$F$33,2,FALSE)/2)+1),1)</f>
        <v>114.84121512050835</v>
      </c>
      <c r="W519" s="57" cm="1">
        <f t="array" ref="W519">VLOOKUP(B519,'Player Data'!$A1:$AE673,11,FALSE)*$Q519*IFERROR((VLOOKUP(P519,Settings!$E$28:$F$33,2,FALSE)+1),1)</f>
        <v>1.7017112957455409</v>
      </c>
      <c r="X519" s="57" cm="1">
        <f t="array" ref="X519">VLOOKUP(B519,'Player Data'!$A1:$AE673,12,FALSE)*$Q519*IFERROR((VLOOKUP(P519,Settings!$E$28:$F$33,2,FALSE)+1),1)</f>
        <v>3.2846592841152975</v>
      </c>
      <c r="Y519" s="57" cm="1">
        <f t="array" ref="Y519">VLOOKUP(B519,'Player Data'!$A1:$AE673,13,FALSE)*$Q519</f>
        <v>0.16171337337546124</v>
      </c>
      <c r="Z519" s="57" cm="1">
        <f t="array" ref="Z519">VLOOKUP(B519,'Player Data'!$A1:$AE673,14,FALSE)*$Q519</f>
        <v>0.69130579966854755</v>
      </c>
      <c r="AA519" s="57" cm="1">
        <f t="array" ref="AA519">VLOOKUP(B519,'Player Data'!$A1:$AE673,15,FALSE)*$Q519</f>
        <v>34.446260493821249</v>
      </c>
      <c r="AB519" s="57" cm="1">
        <f t="array" ref="AB519">VLOOKUP(B519,'Player Data'!$A1:$AE673,16,FALSE)*$Q519</f>
        <v>91.00633785234858</v>
      </c>
      <c r="AC519" s="57" cm="1">
        <f t="array" ref="AC519">VLOOKUP(B519,'Player Data'!$A1:$AE673,17,FALSE)*$Q519*IFERROR((VLOOKUP(P519,Settings!$E$28:$F$33,2,FALSE)+1),1)</f>
        <v>-0.62715012513528123</v>
      </c>
      <c r="AD519" s="57" cm="1">
        <f t="array" ref="AD519">VLOOKUP(B519,'Player Data'!$A1:$AE673,18,FALSE)*$Q519</f>
        <v>22.482141250657751</v>
      </c>
      <c r="AE519" s="57" cm="1">
        <f t="array" ref="AE519">VLOOKUP(B519,'Player Data'!$A1:$AE673,19,FALSE)*$Q519*IFERROR((VLOOKUP(P519,Settings!$E$28:$F$33,2,FALSE)+1),1)</f>
        <v>2.0690680392810732</v>
      </c>
      <c r="AF519" s="57" cm="1">
        <f t="array" ref="AF519">VLOOKUP(B519,'Player Data'!$A1:$AE673,20,FALSE)*$Q519</f>
        <v>435.37256333672224</v>
      </c>
      <c r="AG519" s="57" cm="1">
        <f t="array" ref="AG519">VLOOKUP(B519,'Player Data'!$A1:$AE673,21,FALSE)*$Q519</f>
        <v>394.82764370400918</v>
      </c>
      <c r="AH519" s="59" cm="1">
        <f t="array" ref="AH519">VLOOKUP(B519,'Player Data'!$A1:$AE673,22,FALSE)</f>
        <v>0.52441876025136003</v>
      </c>
      <c r="AI519" s="55"/>
      <c r="AJ519" s="57"/>
      <c r="AK519" s="57"/>
      <c r="AL519" s="57"/>
      <c r="AM519" s="57"/>
      <c r="AN519" s="57"/>
      <c r="AO519" s="57"/>
      <c r="AP519" s="57"/>
      <c r="AQ519" s="60"/>
      <c r="AR519" s="61"/>
      <c r="AS519" s="55"/>
    </row>
    <row r="520" spans="1:45" ht="21.25" customHeight="1" x14ac:dyDescent="0.15">
      <c r="A520" s="62">
        <f t="shared" si="8"/>
        <v>519</v>
      </c>
      <c r="B520" s="10" t="s">
        <v>648</v>
      </c>
      <c r="C520" s="47" t="s">
        <v>147</v>
      </c>
      <c r="D520" s="48" t="str" cm="1">
        <f t="array" ref="D520">VLOOKUP(B520,'Player Data'!A1:D673,4,FALSE)</f>
        <v>LW,RW</v>
      </c>
      <c r="E520" s="74" cm="1">
        <f t="array" ref="E520">VLOOKUP(B520,RW!A1:F210,3,FALSE)</f>
        <v>147</v>
      </c>
      <c r="F520" s="63" t="str" cm="1">
        <f t="array" ref="F520">VLOOKUP(B520,'Player Data'!A1:B673,2,FALSE)</f>
        <v>VGK</v>
      </c>
      <c r="G520" s="66" cm="1">
        <f t="array" ref="G520">VLOOKUP(B520,'Player Data'!A1:D673,3,FALSE)</f>
        <v>31</v>
      </c>
      <c r="H520" s="67" cm="1">
        <f t="array" ref="H520">IFERROR(VLOOKUP(B520,ADP!A1:F671,6,FALSE)/1000000,VLOOKUP(B520,ADP!A1:F671,6,FALSE))</f>
        <v>1.6379999999999999</v>
      </c>
      <c r="I520" s="52">
        <f>IF(Settings!$E$15="POINTS",((R520*Q520)*Settings!$B$12)+(S520*Settings!$B$2)+(T520*Settings!$B$3)+(U520*Settings!$B$4)+(V520*Settings!$B$5)+(X520*Settings!$B$9)+(AA520*Settings!$B$6)+(W520*Settings!$B$8)+(AB520*Settings!$B$7)+(AC520*Settings!$B$14)+(AD520*Settings!$B$15)+(AE520*Settings!$B$16)+(AF520*Settings!$B$17)+(AG520*Settings!$B$18)+(Y520*Settings!$B$10)+(Z520*Settings!$B$11),VLOOKUP(B520,'Standard Deviations'!A$1:C$672,3,FALSE))</f>
        <v>161.58573696180008</v>
      </c>
      <c r="J520" s="53" cm="1">
        <f t="array" ref="J520">IF(D520="G",I520/AJ520,I520/Q520)</f>
        <v>2.1082358531124026</v>
      </c>
      <c r="K520" s="52" cm="1">
        <f t="array" ref="K520">IF(Settings!$E$18="C/LW/RW",VLOOKUP(B520,RW!A1:F210,6,FALSE),VLOOKUP(B520,F!A1:F407,6,FALSE))</f>
        <v>-233.35772773175739</v>
      </c>
      <c r="L520" s="54" cm="1">
        <f t="array" ref="L520">IFERROR(K520/H520,"N/A")</f>
        <v>-142.46503524527313</v>
      </c>
      <c r="M520" s="85" t="s">
        <v>832</v>
      </c>
      <c r="N520" s="85" t="str" cm="1">
        <f t="array" ref="N520">IFERROR(M520-A520,"N/A")</f>
        <v>N/A</v>
      </c>
      <c r="O520" s="55"/>
      <c r="P520" s="56" t="str" cm="1">
        <f t="array" ref="P520">_xlfn.XLOOKUP($B520,ADP!A2:A671,ADP!G2:G671)</f>
        <v xml:space="preserve"> </v>
      </c>
      <c r="Q520" s="57" cm="1">
        <f t="array" ref="Q520">IF(Settings!$E$12="YES",VLOOKUP(B520,'Player Data'!A1:E673,5,FALSE),84)</f>
        <v>76.644999999999996</v>
      </c>
      <c r="R520" s="55" cm="1">
        <f t="array" ref="R520">VLOOKUP(B520,'Player Data'!$A1:$AE673,6,FALSE)</f>
        <v>13.1221541609199</v>
      </c>
      <c r="S520" s="57" cm="1">
        <f t="array" ref="S520">VLOOKUP(B520,'Player Data'!$A1:$AE673,7,FALSE)*$Q520*IFERROR((VLOOKUP(P520,Settings!$E$28:$F$33,2,FALSE)+1),1)</f>
        <v>12.151661217254464</v>
      </c>
      <c r="T520" s="57" cm="1">
        <f t="array" ref="T520">VLOOKUP(B520,'Player Data'!$A1:$AE673,8,FALSE)*$Q520*IFERROR((VLOOKUP(P520,Settings!$E$28:$F$33,2,FALSE)+1),1)</f>
        <v>15.407795265716635</v>
      </c>
      <c r="U520" s="57" cm="1">
        <f t="array" ref="U520">SUM(S520:T520)</f>
        <v>27.5594564829711</v>
      </c>
      <c r="V520" s="57" cm="1">
        <f t="array" ref="V520">VLOOKUP(B520,'Player Data'!$A1:$AE673,10,FALSE)*$Q520*IFERROR(((VLOOKUP(P520,Settings!$E$28:$F$33,2,FALSE)/2)+1),1)</f>
        <v>126.28409939585946</v>
      </c>
      <c r="W520" s="57" cm="1">
        <f t="array" ref="W520">VLOOKUP(B520,'Player Data'!$A1:$AE673,11,FALSE)*$Q520*IFERROR((VLOOKUP(P520,Settings!$E$28:$F$33,2,FALSE)+1),1)</f>
        <v>1.9498913970647003</v>
      </c>
      <c r="X520" s="57" cm="1">
        <f t="array" ref="X520">VLOOKUP(B520,'Player Data'!$A1:$AE673,12,FALSE)*$Q520*IFERROR((VLOOKUP(P520,Settings!$E$28:$F$33,2,FALSE)+1),1)</f>
        <v>4.4320811338786505</v>
      </c>
      <c r="Y520" s="57" cm="1">
        <f t="array" ref="Y520">VLOOKUP(B520,'Player Data'!$A1:$AE673,13,FALSE)*$Q520</f>
        <v>1.3318219678788571E-3</v>
      </c>
      <c r="Z520" s="57" cm="1">
        <f t="array" ref="Z520">VLOOKUP(B520,'Player Data'!$A1:$AE673,14,FALSE)*$Q520</f>
        <v>2.2118066062917574E-3</v>
      </c>
      <c r="AA520" s="57" cm="1">
        <f t="array" ref="AA520">VLOOKUP(B520,'Player Data'!$A1:$AE673,15,FALSE)*$Q520</f>
        <v>22.662049748944234</v>
      </c>
      <c r="AB520" s="57" cm="1">
        <f t="array" ref="AB520">VLOOKUP(B520,'Player Data'!$A1:$AE673,16,FALSE)*$Q520</f>
        <v>30.971062906221402</v>
      </c>
      <c r="AC520" s="57" cm="1">
        <f t="array" ref="AC520">VLOOKUP(B520,'Player Data'!$A1:$AE673,17,FALSE)*$Q520*IFERROR((VLOOKUP(P520,Settings!$E$28:$F$33,2,FALSE)+1),1)</f>
        <v>4.3223264675812221</v>
      </c>
      <c r="AD520" s="57" cm="1">
        <f t="array" ref="AD520">VLOOKUP(B520,'Player Data'!$A1:$AE673,18,FALSE)*$Q520</f>
        <v>13.952007337395111</v>
      </c>
      <c r="AE520" s="57" cm="1">
        <f t="array" ref="AE520">VLOOKUP(B520,'Player Data'!$A1:$AE673,19,FALSE)*$Q520*IFERROR((VLOOKUP(P520,Settings!$E$28:$F$33,2,FALSE)+1),1)</f>
        <v>2.3182627259488808</v>
      </c>
      <c r="AF520" s="57" cm="1">
        <f t="array" ref="AF520">VLOOKUP(B520,'Player Data'!$A1:$AE673,20,FALSE)*$Q520</f>
        <v>1.7508261960686602</v>
      </c>
      <c r="AG520" s="57" cm="1">
        <f t="array" ref="AG520">VLOOKUP(B520,'Player Data'!$A1:$AE673,21,FALSE)*$Q520</f>
        <v>6.3564215577420198</v>
      </c>
      <c r="AH520" s="59" cm="1">
        <f t="array" ref="AH520">VLOOKUP(B520,'Player Data'!$A1:$AE673,22,FALSE)</f>
        <v>0.21595814624583501</v>
      </c>
      <c r="AI520" s="55"/>
      <c r="AJ520" s="57"/>
      <c r="AK520" s="57"/>
      <c r="AL520" s="57"/>
      <c r="AM520" s="57"/>
      <c r="AN520" s="57"/>
      <c r="AO520" s="57"/>
      <c r="AP520" s="57"/>
      <c r="AQ520" s="60"/>
      <c r="AR520" s="61"/>
      <c r="AS520" s="55"/>
    </row>
    <row r="521" spans="1:45" ht="21.25" customHeight="1" x14ac:dyDescent="0.15">
      <c r="A521" s="62">
        <f t="shared" si="8"/>
        <v>520</v>
      </c>
      <c r="B521" s="10" t="s">
        <v>649</v>
      </c>
      <c r="C521" s="47" t="s">
        <v>147</v>
      </c>
      <c r="D521" s="48" t="str" cm="1">
        <f t="array" ref="D521">VLOOKUP(B521,'Player Data'!A1:D673,4,FALSE)</f>
        <v>C,LW</v>
      </c>
      <c r="E521" s="74" cm="1">
        <f t="array" ref="E521">VLOOKUP(B521,LW!A1:C210,3,FALSE)</f>
        <v>136</v>
      </c>
      <c r="F521" s="50" t="str" cm="1">
        <f t="array" ref="F521">VLOOKUP(B521,'Player Data'!A1:B673,2,FALSE)</f>
        <v>COL</v>
      </c>
      <c r="G521" s="11" cm="1">
        <f t="array" ref="G521">VLOOKUP(B521,'Player Data'!A1:D673,3,FALSE)</f>
        <v>27</v>
      </c>
      <c r="H521" s="51" cm="1">
        <f t="array" ref="H521">IFERROR(VLOOKUP(B521,ADP!A1:F671,6,FALSE)/1000000,VLOOKUP(B521,ADP!A1:F671,6,FALSE))</f>
        <v>1.7</v>
      </c>
      <c r="I521" s="52">
        <f>IF(Settings!$E$15="POINTS",((R521*Q521)*Settings!$B$12)+(S521*Settings!$B$2)+(T521*Settings!$B$3)+(U521*Settings!$B$4)+(V521*Settings!$B$5)+(X521*Settings!$B$9)+(AA521*Settings!$B$6)+(W521*Settings!$B$8)+(AB521*Settings!$B$7)+(AC521*Settings!$B$14)+(AD521*Settings!$B$15)+(AE521*Settings!$B$16)+(AF521*Settings!$B$17)+(AG521*Settings!$B$18)+(Y521*Settings!$B$10)+(Z521*Settings!$B$11),VLOOKUP(B521,'Standard Deviations'!A$1:C$672,3,FALSE))</f>
        <v>164.06070320209082</v>
      </c>
      <c r="J521" s="53" cm="1">
        <f t="array" ref="J521">IF(D521="G",I521/AJ521,I521/Q521)</f>
        <v>1.963505513758492</v>
      </c>
      <c r="K521" s="52" cm="1">
        <f t="array" ref="K521">IF(Settings!$E$18="C/LW/RW",VLOOKUP(B521,LW!A1:F210,6,FALSE),VLOOKUP(B521,F!A1:F407,6,FALSE))</f>
        <v>-235.25229011162926</v>
      </c>
      <c r="L521" s="54" cm="1">
        <f t="array" ref="L521">IFERROR(K521/H521,"N/A")</f>
        <v>-138.38370006566427</v>
      </c>
      <c r="M521" s="85" t="s">
        <v>832</v>
      </c>
      <c r="N521" s="85" t="str" cm="1">
        <f t="array" ref="N521">IFERROR(M521-A521,"N/A")</f>
        <v>N/A</v>
      </c>
      <c r="O521" s="55"/>
      <c r="P521" s="56" t="str" cm="1">
        <f t="array" ref="P521">_xlfn.XLOOKUP($B521,ADP!A2:A671,ADP!G2:G671)</f>
        <v xml:space="preserve"> </v>
      </c>
      <c r="Q521" s="57" cm="1">
        <f t="array" ref="Q521">IF(Settings!$E$12="YES",VLOOKUP(B521,'Player Data'!A1:E673,5,FALSE),84)</f>
        <v>83.555000000000007</v>
      </c>
      <c r="R521" s="55" cm="1">
        <f t="array" ref="R521">VLOOKUP(B521,'Player Data'!$A1:$AE673,6,FALSE)</f>
        <v>12.730019626333901</v>
      </c>
      <c r="S521" s="57" cm="1">
        <f t="array" ref="S521">VLOOKUP(B521,'Player Data'!$A1:$AE673,7,FALSE)*$Q521*IFERROR((VLOOKUP(P521,Settings!$E$28:$F$33,2,FALSE)+1),1)</f>
        <v>13.950079279121418</v>
      </c>
      <c r="T521" s="57" cm="1">
        <f t="array" ref="T521">VLOOKUP(B521,'Player Data'!$A1:$AE673,8,FALSE)*$Q521*IFERROR((VLOOKUP(P521,Settings!$E$28:$F$33,2,FALSE)+1),1)</f>
        <v>12.767206352909971</v>
      </c>
      <c r="U521" s="57" cm="1">
        <f t="array" ref="U521">SUM(S521:T521)</f>
        <v>26.717285632031391</v>
      </c>
      <c r="V521" s="57" cm="1">
        <f t="array" ref="V521">VLOOKUP(B521,'Player Data'!$A1:$AE673,10,FALSE)*$Q521*IFERROR(((VLOOKUP(P521,Settings!$E$28:$F$33,2,FALSE)/2)+1),1)</f>
        <v>101.90255984513703</v>
      </c>
      <c r="W521" s="57" cm="1">
        <f t="array" ref="W521">VLOOKUP(B521,'Player Data'!$A1:$AE673,11,FALSE)*$Q521*IFERROR((VLOOKUP(P521,Settings!$E$28:$F$33,2,FALSE)+1),1)</f>
        <v>3.9882640877835787E-2</v>
      </c>
      <c r="X521" s="57" cm="1">
        <f t="array" ref="X521">VLOOKUP(B521,'Player Data'!$A1:$AE673,12,FALSE)*$Q521*IFERROR((VLOOKUP(P521,Settings!$E$28:$F$33,2,FALSE)+1),1)</f>
        <v>8.7202551377172546E-2</v>
      </c>
      <c r="Y521" s="57" cm="1">
        <f t="array" ref="Y521">VLOOKUP(B521,'Player Data'!$A1:$AE673,13,FALSE)*$Q521</f>
        <v>1.2424935730757993</v>
      </c>
      <c r="Z521" s="57" cm="1">
        <f t="array" ref="Z521">VLOOKUP(B521,'Player Data'!$A1:$AE673,14,FALSE)*$Q521</f>
        <v>1.8062054964275678</v>
      </c>
      <c r="AA521" s="57" cm="1">
        <f t="array" ref="AA521">VLOOKUP(B521,'Player Data'!$A1:$AE673,15,FALSE)*$Q521</f>
        <v>62.128316671246779</v>
      </c>
      <c r="AB521" s="57" cm="1">
        <f t="array" ref="AB521">VLOOKUP(B521,'Player Data'!$A1:$AE673,16,FALSE)*$Q521</f>
        <v>169.77712158062732</v>
      </c>
      <c r="AC521" s="57" cm="1">
        <f t="array" ref="AC521">VLOOKUP(B521,'Player Data'!$A1:$AE673,17,FALSE)*$Q521*IFERROR((VLOOKUP(P521,Settings!$E$28:$F$33,2,FALSE)+1),1)</f>
        <v>6.3658772309295184</v>
      </c>
      <c r="AD521" s="57" cm="1">
        <f t="array" ref="AD521">VLOOKUP(B521,'Player Data'!$A1:$AE673,18,FALSE)*$Q521</f>
        <v>29.77325529066772</v>
      </c>
      <c r="AE521" s="57" cm="1">
        <f t="array" ref="AE521">VLOOKUP(B521,'Player Data'!$A1:$AE673,19,FALSE)*$Q521*IFERROR((VLOOKUP(P521,Settings!$E$28:$F$33,2,FALSE)+1),1)</f>
        <v>2.5178109071777146</v>
      </c>
      <c r="AF521" s="57" cm="1">
        <f t="array" ref="AF521">VLOOKUP(B521,'Player Data'!$A1:$AE673,20,FALSE)*$Q521</f>
        <v>90.981408790627384</v>
      </c>
      <c r="AG521" s="57" cm="1">
        <f t="array" ref="AG521">VLOOKUP(B521,'Player Data'!$A1:$AE673,21,FALSE)*$Q521</f>
        <v>163.10882994658013</v>
      </c>
      <c r="AH521" s="59" cm="1">
        <f t="array" ref="AH521">VLOOKUP(B521,'Player Data'!$A1:$AE673,22,FALSE)</f>
        <v>0.35806731200219399</v>
      </c>
      <c r="AI521" s="55"/>
      <c r="AJ521" s="57"/>
      <c r="AK521" s="57"/>
      <c r="AL521" s="57"/>
      <c r="AM521" s="57"/>
      <c r="AN521" s="57"/>
      <c r="AO521" s="57"/>
      <c r="AP521" s="57"/>
      <c r="AQ521" s="60"/>
      <c r="AR521" s="61"/>
      <c r="AS521" s="55"/>
    </row>
    <row r="522" spans="1:45" ht="21.25" customHeight="1" x14ac:dyDescent="0.15">
      <c r="A522" s="62">
        <f t="shared" si="8"/>
        <v>521</v>
      </c>
      <c r="B522" s="10" t="s">
        <v>650</v>
      </c>
      <c r="C522" s="47" t="s">
        <v>147</v>
      </c>
      <c r="D522" s="48" t="str" cm="1">
        <f t="array" ref="D522">VLOOKUP(B522,'Player Data'!A1:D673,4,FALSE)</f>
        <v>C,LW</v>
      </c>
      <c r="E522" s="74" cm="1">
        <f t="array" ref="E522">VLOOKUP(B522,LW!A1:C210,3,FALSE)</f>
        <v>137</v>
      </c>
      <c r="F522" s="63" t="str" cm="1">
        <f t="array" ref="F522">VLOOKUP(B522,'Player Data'!A1:B673,2,FALSE)</f>
        <v>SEA</v>
      </c>
      <c r="G522" s="71" cm="1">
        <f t="array" ref="G522">VLOOKUP(B522,'Player Data'!A1:D673,3,FALSE)</f>
        <v>20</v>
      </c>
      <c r="H522" s="51" cm="1">
        <f t="array" ref="H522">IFERROR(VLOOKUP(B522,ADP!A1:F671,6,FALSE)/1000000,VLOOKUP(B522,ADP!A1:F671,6,FALSE))</f>
        <v>0.95374999999999999</v>
      </c>
      <c r="I522" s="52">
        <f>IF(Settings!$E$15="POINTS",((R522*Q522)*Settings!$B$12)+(S522*Settings!$B$2)+(T522*Settings!$B$3)+(U522*Settings!$B$4)+(V522*Settings!$B$5)+(X522*Settings!$B$9)+(AA522*Settings!$B$6)+(W522*Settings!$B$8)+(AB522*Settings!$B$7)+(AC522*Settings!$B$14)+(AD522*Settings!$B$15)+(AE522*Settings!$B$16)+(AF522*Settings!$B$17)+(AG522*Settings!$B$18)+(Y522*Settings!$B$10)+(Z522*Settings!$B$11),VLOOKUP(B522,'Standard Deviations'!A$1:C$672,3,FALSE))</f>
        <v>163.80895934809433</v>
      </c>
      <c r="J522" s="53" cm="1">
        <f t="array" ref="J522">IF(D522="G",I522/AJ522,I522/Q522)</f>
        <v>2.1166682949747297</v>
      </c>
      <c r="K522" s="52" cm="1">
        <f t="array" ref="K522">IF(Settings!$E$18="C/LW/RW",VLOOKUP(B522,LW!A1:F210,6,FALSE),VLOOKUP(B522,F!A1:F407,6,FALSE))</f>
        <v>-235.50403396562575</v>
      </c>
      <c r="L522" s="54" cm="1">
        <f t="array" ref="L522">IFERROR(K522/H522,"N/A")</f>
        <v>-246.92428200851978</v>
      </c>
      <c r="M522" s="85" t="s">
        <v>832</v>
      </c>
      <c r="N522" s="85" t="str" cm="1">
        <f t="array" ref="N522">IFERROR(M522-A522,"N/A")</f>
        <v>N/A</v>
      </c>
      <c r="O522" s="55"/>
      <c r="P522" s="56" t="str" cm="1">
        <f t="array" ref="P522">_xlfn.XLOOKUP($B522,ADP!A2:A671,ADP!G2:G671)</f>
        <v xml:space="preserve"> </v>
      </c>
      <c r="Q522" s="57" cm="1">
        <f t="array" ref="Q522">IF(Settings!$E$12="YES",VLOOKUP(B522,'Player Data'!A1:E673,5,FALSE),84)</f>
        <v>77.39</v>
      </c>
      <c r="R522" s="82" cm="1">
        <f t="array" ref="R522">VLOOKUP(B522,'Player Data'!$A1:$AE673,6,FALSE)</f>
        <v>14.4453757240684</v>
      </c>
      <c r="S522" s="57" cm="1">
        <f t="array" ref="S522">VLOOKUP(B522,'Player Data'!$A1:$AE673,7,FALSE)*$Q522*IFERROR((VLOOKUP(P522,Settings!$E$28:$F$33,2,FALSE)+1),1)</f>
        <v>11.6646816896194</v>
      </c>
      <c r="T522" s="57" cm="1">
        <f t="array" ref="T522">VLOOKUP(B522,'Player Data'!$A1:$AE673,8,FALSE)*$Q522*IFERROR((VLOOKUP(P522,Settings!$E$28:$F$33,2,FALSE)+1),1)</f>
        <v>16.760291704356771</v>
      </c>
      <c r="U522" s="57" cm="1">
        <f t="array" ref="U522">SUM(S522:T522)</f>
        <v>28.42497339397617</v>
      </c>
      <c r="V522" s="57" cm="1">
        <f t="array" ref="V522">VLOOKUP(B522,'Player Data'!$A1:$AE673,10,FALSE)*$Q522*IFERROR(((VLOOKUP(P522,Settings!$E$28:$F$33,2,FALSE)/2)+1),1)</f>
        <v>109.76293763701909</v>
      </c>
      <c r="W522" s="57" cm="1">
        <f t="array" ref="W522">VLOOKUP(B522,'Player Data'!$A1:$AE673,11,FALSE)*$Q522*IFERROR((VLOOKUP(P522,Settings!$E$28:$F$33,2,FALSE)+1),1)</f>
        <v>2.1367036416625051</v>
      </c>
      <c r="X522" s="57" cm="1">
        <f t="array" ref="X522">VLOOKUP(B522,'Player Data'!$A1:$AE673,12,FALSE)*$Q522*IFERROR((VLOOKUP(P522,Settings!$E$28:$F$33,2,FALSE)+1),1)</f>
        <v>4.9469387001964211</v>
      </c>
      <c r="Y522" s="57" cm="1">
        <f t="array" ref="Y522">VLOOKUP(B522,'Player Data'!$A1:$AE673,13,FALSE)*$Q522</f>
        <v>0</v>
      </c>
      <c r="Z522" s="57" cm="1">
        <f t="array" ref="Z522">VLOOKUP(B522,'Player Data'!$A1:$AE673,14,FALSE)*$Q522</f>
        <v>0</v>
      </c>
      <c r="AA522" s="57" cm="1">
        <f t="array" ref="AA522">VLOOKUP(B522,'Player Data'!$A1:$AE673,15,FALSE)*$Q522</f>
        <v>37.411263294919678</v>
      </c>
      <c r="AB522" s="57" cm="1">
        <f t="array" ref="AB522">VLOOKUP(B522,'Player Data'!$A1:$AE673,16,FALSE)*$Q522</f>
        <v>25.320778761896456</v>
      </c>
      <c r="AC522" s="57" cm="1">
        <f t="array" ref="AC522">VLOOKUP(B522,'Player Data'!$A1:$AE673,17,FALSE)*$Q522*IFERROR((VLOOKUP(P522,Settings!$E$28:$F$33,2,FALSE)+1),1)</f>
        <v>-6.8028518202069002</v>
      </c>
      <c r="AD522" s="57" cm="1">
        <f t="array" ref="AD522">VLOOKUP(B522,'Player Data'!$A1:$AE673,18,FALSE)*$Q522</f>
        <v>34.72139963491513</v>
      </c>
      <c r="AE522" s="57" cm="1">
        <f t="array" ref="AE522">VLOOKUP(B522,'Player Data'!$A1:$AE673,19,FALSE)*$Q522*IFERROR((VLOOKUP(P522,Settings!$E$28:$F$33,2,FALSE)+1),1)</f>
        <v>1.6071036741465614</v>
      </c>
      <c r="AF522" s="57" cm="1">
        <f t="array" ref="AF522">VLOOKUP(B522,'Player Data'!$A1:$AE673,20,FALSE)*$Q522</f>
        <v>91.660244696919889</v>
      </c>
      <c r="AG522" s="57" cm="1">
        <f t="array" ref="AG522">VLOOKUP(B522,'Player Data'!$A1:$AE673,21,FALSE)*$Q522</f>
        <v>115.23002190469994</v>
      </c>
      <c r="AH522" s="59" cm="1">
        <f t="array" ref="AH522">VLOOKUP(B522,'Player Data'!$A1:$AE673,22,FALSE)</f>
        <v>0.443037974683544</v>
      </c>
      <c r="AI522" s="55"/>
      <c r="AJ522" s="57"/>
      <c r="AK522" s="57"/>
      <c r="AL522" s="57"/>
      <c r="AM522" s="57"/>
      <c r="AN522" s="57"/>
      <c r="AO522" s="57"/>
      <c r="AP522" s="57"/>
      <c r="AQ522" s="60"/>
      <c r="AR522" s="61"/>
      <c r="AS522" s="55"/>
    </row>
    <row r="523" spans="1:45" ht="21.25" customHeight="1" x14ac:dyDescent="0.15">
      <c r="A523" s="62">
        <f t="shared" si="8"/>
        <v>522</v>
      </c>
      <c r="B523" s="10" t="s">
        <v>651</v>
      </c>
      <c r="C523" s="76"/>
      <c r="D523" s="48" t="str" cm="1">
        <f t="array" ref="D523">VLOOKUP(B523,'Player Data'!A1:D673,4,FALSE)</f>
        <v>G</v>
      </c>
      <c r="E523" s="77" cm="1">
        <f t="array" ref="E523">VLOOKUP(B523,G!A1:D66,3,FALSE)</f>
        <v>55</v>
      </c>
      <c r="F523" s="73" t="str" cm="1">
        <f t="array" ref="F523">VLOOKUP(B523,'Player Data'!A1:B673,2,FALSE)</f>
        <v>NYR</v>
      </c>
      <c r="G523" s="66" cm="1">
        <f t="array" ref="G523">VLOOKUP(B523,'Player Data'!A1:D673,3,FALSE)</f>
        <v>32</v>
      </c>
      <c r="H523" s="51" cm="1">
        <f t="array" ref="H523">IFERROR(VLOOKUP(B523,ADP!A1:F671,6,FALSE)/1000000,VLOOKUP(B523,ADP!A1:F671,6,FALSE))</f>
        <v>3</v>
      </c>
      <c r="I523" s="52">
        <f>IF(Settings!$E$15="POINTS",(AJ523*Settings!$B$29)+(AK523*Settings!$B$21)+(AL523*Settings!$B$22)+(AN523*Settings!$B$24)+(AO523*Settings!$B$25)+(AP523*Settings!$B$27)+(AM523*Settings!$B$23),VLOOKUP(B523,'Standard Deviations'!A$1:C$672,3,FALSE))</f>
        <v>123.0991796813837</v>
      </c>
      <c r="J523" s="53" cm="1">
        <f t="array" ref="J523">IF(D523="G",I523/AJ523,I523/Q523)</f>
        <v>4.9239671872553483</v>
      </c>
      <c r="K523" s="52" cm="1">
        <f t="array" ref="K523">VLOOKUP(B523,G!A1:F66,6,FALSE)</f>
        <v>-236.05872824885432</v>
      </c>
      <c r="L523" s="54" cm="1">
        <f t="array" ref="L523">IFERROR(K523/H523,"N/A")</f>
        <v>-78.686242749618103</v>
      </c>
      <c r="M523" s="85" t="s">
        <v>832</v>
      </c>
      <c r="N523" s="85" t="str" cm="1">
        <f t="array" ref="N523">IFERROR(M523-A523,"N/A")</f>
        <v>N/A</v>
      </c>
      <c r="O523" s="55"/>
      <c r="P523" s="56" t="str" cm="1">
        <f t="array" ref="P523">_xlfn.XLOOKUP($B523,ADP!A2:A671,ADP!G2:G671)</f>
        <v xml:space="preserve"> </v>
      </c>
      <c r="Q523" s="57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9"/>
      <c r="AI523" s="55"/>
      <c r="AJ523" s="78" cm="1">
        <f t="array" ref="AJ523">VLOOKUP(B523,'Player Data'!$A1:$AE673,24,FALSE)</f>
        <v>25</v>
      </c>
      <c r="AK523" s="57" cm="1">
        <f t="array" ref="AK523">VLOOKUP(B523,'Player Data'!$A1:$AE673,25,FALSE)*$AJ523*IFERROR((VLOOKUP(P523,Settings!$E$28:$F$33,2,FALSE)+1),1)</f>
        <v>11.685265074405999</v>
      </c>
      <c r="AL523" s="57" cm="1">
        <f t="array" ref="AL523">AJ523-AK523-AM523</f>
        <v>9.9860511941955004</v>
      </c>
      <c r="AM523" s="57" cm="1">
        <f t="array" ref="AM523">VLOOKUP(B523,'Player Data'!$A1:$AE673,27,FALSE)*$AJ523</f>
        <v>3.3286837313984998</v>
      </c>
      <c r="AN523" s="57" cm="1">
        <f t="array" ref="AN523">VLOOKUP(B523,'Player Data'!$A1:$AE673,28,FALSE)*AJ523</f>
        <v>1.2362070690759299</v>
      </c>
      <c r="AO523" s="57" cm="1">
        <f t="array" ref="AO523">VLOOKUP(B523,'Player Data'!$A1:$AE673,29,FALSE)*$AJ523*IFERROR((VLOOKUP(P523,Settings!$E$28:$F$33,2,FALSE)/4)+1,1)</f>
        <v>608.20542265179756</v>
      </c>
      <c r="AP523" s="57" cm="1">
        <f t="array" ref="AP523">VLOOKUP(B523,'Player Data'!$A1:$AE673,31,FALSE)*$AJ523*(IFERROR(1-(VLOOKUP(P523,Settings!$E$28:$F$33,2,FALSE)/4),1))</f>
        <v>72.431844645603007</v>
      </c>
      <c r="AQ523" s="60" cm="1">
        <f t="array" ref="AQ523">1-(AP523/(AO523+AP523))</f>
        <v>0.89358231156926304</v>
      </c>
      <c r="AR523" s="61" cm="1">
        <f t="array" ref="AR523">AP523/AJ523</f>
        <v>2.8972737858241202</v>
      </c>
      <c r="AS523" s="55"/>
    </row>
    <row r="524" spans="1:45" ht="21.25" customHeight="1" x14ac:dyDescent="0.15">
      <c r="A524" s="62">
        <f t="shared" si="8"/>
        <v>523</v>
      </c>
      <c r="B524" s="10" t="s">
        <v>652</v>
      </c>
      <c r="C524" s="47" t="s">
        <v>147</v>
      </c>
      <c r="D524" s="48" t="str" cm="1">
        <f t="array" ref="D524">VLOOKUP(B524,'Player Data'!A1:D673,4,FALSE)</f>
        <v>LW,RW</v>
      </c>
      <c r="E524" s="74" cm="1">
        <f t="array" ref="E524">VLOOKUP(B524,RW!A1:F210,3,FALSE)</f>
        <v>148</v>
      </c>
      <c r="F524" s="65" t="str" cm="1">
        <f t="array" ref="F524">VLOOKUP(B524,'Player Data'!A1:B673,2,FALSE)</f>
        <v>T.B</v>
      </c>
      <c r="G524" s="66" cm="1">
        <f t="array" ref="G524">VLOOKUP(B524,'Player Data'!A1:D673,3,FALSE)</f>
        <v>31</v>
      </c>
      <c r="H524" s="51" cm="1">
        <f t="array" ref="H524">IFERROR(VLOOKUP(B524,ADP!A1:F671,6,FALSE)/1000000,VLOOKUP(B524,ADP!A1:F671,6,FALSE))</f>
        <v>3.85</v>
      </c>
      <c r="I524" s="52">
        <f>IF(Settings!$E$15="POINTS",((R524*Q524)*Settings!$B$12)+(S524*Settings!$B$2)+(T524*Settings!$B$3)+(U524*Settings!$B$4)+(V524*Settings!$B$5)+(X524*Settings!$B$9)+(AA524*Settings!$B$6)+(W524*Settings!$B$8)+(AB524*Settings!$B$7)+(AC524*Settings!$B$14)+(AD524*Settings!$B$15)+(AE524*Settings!$B$16)+(AF524*Settings!$B$17)+(AG524*Settings!$B$18)+(Y524*Settings!$B$10)+(Z524*Settings!$B$11),VLOOKUP(B524,'Standard Deviations'!A$1:C$672,3,FALSE))</f>
        <v>158.52835148460397</v>
      </c>
      <c r="J524" s="53" cm="1">
        <f t="array" ref="J524">IF(D524="G",I524/AJ524,I524/Q524)</f>
        <v>1.9223130504089971</v>
      </c>
      <c r="K524" s="52" cm="1">
        <f t="array" ref="K524">IF(Settings!$E$18="C/LW/RW",VLOOKUP(B524,RW!A1:F210,6,FALSE),VLOOKUP(B524,F!A1:F407,6,FALSE))</f>
        <v>-236.4151132089535</v>
      </c>
      <c r="L524" s="54" cm="1">
        <f t="array" ref="L524">IFERROR(K524/H524,"N/A")</f>
        <v>-61.406522911416495</v>
      </c>
      <c r="M524" s="85" t="s">
        <v>832</v>
      </c>
      <c r="N524" s="85" t="str" cm="1">
        <f t="array" ref="N524">IFERROR(M524-A524,"N/A")</f>
        <v>N/A</v>
      </c>
      <c r="O524" s="55"/>
      <c r="P524" s="56" t="str" cm="1">
        <f t="array" ref="P524">_xlfn.XLOOKUP($B524,ADP!A2:A671,ADP!G2:G671)</f>
        <v xml:space="preserve"> </v>
      </c>
      <c r="Q524" s="57" cm="1">
        <f t="array" ref="Q524">IF(Settings!$E$12="YES",VLOOKUP(B524,'Player Data'!A1:E673,5,FALSE),84)</f>
        <v>82.467500000000001</v>
      </c>
      <c r="R524" s="84" cm="1">
        <f t="array" ref="R524">VLOOKUP(B524,'Player Data'!$A1:$AE673,6,FALSE)</f>
        <v>14.2812526722602</v>
      </c>
      <c r="S524" s="57" cm="1">
        <f t="array" ref="S524">VLOOKUP(B524,'Player Data'!$A1:$AE673,7,FALSE)*$Q524*IFERROR((VLOOKUP(P524,Settings!$E$28:$F$33,2,FALSE)+1),1)</f>
        <v>14.457084527255875</v>
      </c>
      <c r="T524" s="57" cm="1">
        <f t="array" ref="T524">VLOOKUP(B524,'Player Data'!$A1:$AE673,8,FALSE)*$Q524*IFERROR((VLOOKUP(P524,Settings!$E$28:$F$33,2,FALSE)+1),1)</f>
        <v>14.471033652823332</v>
      </c>
      <c r="U524" s="57" cm="1">
        <f t="array" ref="U524">SUM(S524:T524)</f>
        <v>28.928118180079206</v>
      </c>
      <c r="V524" s="57" cm="1">
        <f t="array" ref="V524">VLOOKUP(B524,'Player Data'!$A1:$AE673,10,FALSE)*$Q524*IFERROR(((VLOOKUP(P524,Settings!$E$28:$F$33,2,FALSE)/2)+1),1)</f>
        <v>116.12567870668964</v>
      </c>
      <c r="W524" s="57" cm="1">
        <f t="array" ref="W524">VLOOKUP(B524,'Player Data'!$A1:$AE673,11,FALSE)*$Q524*IFERROR((VLOOKUP(P524,Settings!$E$28:$F$33,2,FALSE)+1),1)</f>
        <v>3.0803326470314519E-2</v>
      </c>
      <c r="X524" s="57" cm="1">
        <f t="array" ref="X524">VLOOKUP(B524,'Player Data'!$A1:$AE673,12,FALSE)*$Q524*IFERROR((VLOOKUP(P524,Settings!$E$28:$F$33,2,FALSE)+1),1)</f>
        <v>6.7428096188735173E-2</v>
      </c>
      <c r="Y524" s="57" cm="1">
        <f t="array" ref="Y524">VLOOKUP(B524,'Player Data'!$A1:$AE673,13,FALSE)*$Q524</f>
        <v>1.4252310826195285</v>
      </c>
      <c r="Z524" s="57" cm="1">
        <f t="array" ref="Z524">VLOOKUP(B524,'Player Data'!$A1:$AE673,14,FALSE)*$Q524</f>
        <v>2.5070774299863459</v>
      </c>
      <c r="AA524" s="57" cm="1">
        <f t="array" ref="AA524">VLOOKUP(B524,'Player Data'!$A1:$AE673,15,FALSE)*$Q524</f>
        <v>22.213304129692915</v>
      </c>
      <c r="AB524" s="57" cm="1">
        <f t="array" ref="AB524">VLOOKUP(B524,'Player Data'!$A1:$AE673,16,FALSE)*$Q524</f>
        <v>36.173018596877945</v>
      </c>
      <c r="AC524" s="57" cm="1">
        <f t="array" ref="AC524">VLOOKUP(B524,'Player Data'!$A1:$AE673,17,FALSE)*$Q524*IFERROR((VLOOKUP(P524,Settings!$E$28:$F$33,2,FALSE)+1),1)</f>
        <v>6.0287289116873062</v>
      </c>
      <c r="AD524" s="57" cm="1">
        <f t="array" ref="AD524">VLOOKUP(B524,'Player Data'!$A1:$AE673,18,FALSE)*$Q524</f>
        <v>16.143110675226911</v>
      </c>
      <c r="AE524" s="57" cm="1">
        <f t="array" ref="AE524">VLOOKUP(B524,'Player Data'!$A1:$AE673,19,FALSE)*$Q524*IFERROR((VLOOKUP(P524,Settings!$E$28:$F$33,2,FALSE)+1),1)</f>
        <v>2.5662689559043148</v>
      </c>
      <c r="AF524" s="57" cm="1">
        <f t="array" ref="AF524">VLOOKUP(B524,'Player Data'!$A1:$AE673,20,FALSE)*$Q524</f>
        <v>2.0906072903056869</v>
      </c>
      <c r="AG524" s="57" cm="1">
        <f t="array" ref="AG524">VLOOKUP(B524,'Player Data'!$A1:$AE673,21,FALSE)*$Q524</f>
        <v>9.136575070972059</v>
      </c>
      <c r="AH524" s="59" cm="1">
        <f t="array" ref="AH524">VLOOKUP(B524,'Player Data'!$A1:$AE673,22,FALSE)</f>
        <v>0.186209435549576</v>
      </c>
      <c r="AI524" s="55"/>
      <c r="AJ524" s="57"/>
      <c r="AK524" s="57"/>
      <c r="AL524" s="57"/>
      <c r="AM524" s="57"/>
      <c r="AN524" s="57"/>
      <c r="AO524" s="57"/>
      <c r="AP524" s="57"/>
      <c r="AQ524" s="60"/>
      <c r="AR524" s="61"/>
      <c r="AS524" s="55"/>
    </row>
    <row r="525" spans="1:45" ht="21.25" customHeight="1" x14ac:dyDescent="0.15">
      <c r="A525" s="62">
        <f t="shared" si="8"/>
        <v>524</v>
      </c>
      <c r="B525" s="10" t="s">
        <v>653</v>
      </c>
      <c r="C525" s="76"/>
      <c r="D525" s="48" t="str" cm="1">
        <f t="array" ref="D525">VLOOKUP(B525,'Player Data'!A1:D673,4,FALSE)</f>
        <v>G</v>
      </c>
      <c r="E525" s="77" cm="1">
        <f t="array" ref="E525">VLOOKUP(B525,G!A1:D66,3,FALSE)</f>
        <v>56</v>
      </c>
      <c r="F525" s="56" t="str" cm="1">
        <f t="array" ref="F525">VLOOKUP(B525,'Player Data'!A1:B673,2,FALSE)</f>
        <v>WSH</v>
      </c>
      <c r="G525" s="66" cm="1">
        <f t="array" ref="G525">VLOOKUP(B525,'Player Data'!A1:D673,3,FALSE)</f>
        <v>32</v>
      </c>
      <c r="H525" s="51" cm="1">
        <f t="array" ref="H525">IFERROR(VLOOKUP(B525,ADP!A1:F671,6,FALSE)/1000000,VLOOKUP(B525,ADP!A1:F671,6,FALSE))</f>
        <v>3</v>
      </c>
      <c r="I525" s="52">
        <f>IF(Settings!$E$15="POINTS",(AJ525*Settings!$B$29)+(AK525*Settings!$B$21)+(AL525*Settings!$B$22)+(AN525*Settings!$B$24)+(AO525*Settings!$B$25)+(AP525*Settings!$B$27)+(AM525*Settings!$B$23),VLOOKUP(B525,'Standard Deviations'!A$1:C$672,3,FALSE))</f>
        <v>122.49419122114853</v>
      </c>
      <c r="J525" s="53" cm="1">
        <f t="array" ref="J525">IF(D525="G",I525/AJ525,I525/Q525)</f>
        <v>4.8997676488459412</v>
      </c>
      <c r="K525" s="52" cm="1">
        <f t="array" ref="K525">VLOOKUP(B525,G!A1:F66,6,FALSE)</f>
        <v>-236.6637167090895</v>
      </c>
      <c r="L525" s="54" cm="1">
        <f t="array" ref="L525">IFERROR(K525/H525,"N/A")</f>
        <v>-78.8879055696965</v>
      </c>
      <c r="M525" s="85" t="s">
        <v>832</v>
      </c>
      <c r="N525" s="85" t="str" cm="1">
        <f t="array" ref="N525">IFERROR(M525-A525,"N/A")</f>
        <v>N/A</v>
      </c>
      <c r="O525" s="55"/>
      <c r="P525" s="56" t="str" cm="1">
        <f t="array" ref="P525">_xlfn.XLOOKUP($B525,ADP!A2:A671,ADP!G2:G671)</f>
        <v xml:space="preserve"> </v>
      </c>
      <c r="Q525" s="57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9"/>
      <c r="AI525" s="55"/>
      <c r="AJ525" s="78" cm="1">
        <f t="array" ref="AJ525">VLOOKUP(B525,'Player Data'!$A1:$AE673,24,FALSE)</f>
        <v>25</v>
      </c>
      <c r="AK525" s="57" cm="1">
        <f t="array" ref="AK525">VLOOKUP(B525,'Player Data'!$A1:$AE673,25,FALSE)*$AJ525*IFERROR((VLOOKUP(P525,Settings!$E$28:$F$33,2,FALSE)+1),1)</f>
        <v>13.164946631932899</v>
      </c>
      <c r="AL525" s="57" cm="1">
        <f t="array" ref="AL525">AJ525-AK525-AM525</f>
        <v>8.8762900260503255</v>
      </c>
      <c r="AM525" s="57" cm="1">
        <f t="array" ref="AM525">VLOOKUP(B525,'Player Data'!$A1:$AE673,27,FALSE)*$AJ525</f>
        <v>2.9587633420167752</v>
      </c>
      <c r="AN525" s="57" cm="1">
        <f t="array" ref="AN525">VLOOKUP(B525,'Player Data'!$A1:$AE673,28,FALSE)*AJ525</f>
        <v>1.2045724137186249</v>
      </c>
      <c r="AO525" s="57" cm="1">
        <f t="array" ref="AO525">VLOOKUP(B525,'Player Data'!$A1:$AE673,29,FALSE)*$AJ525*IFERROR((VLOOKUP(P525,Settings!$E$28:$F$33,2,FALSE)/4)+1,1)</f>
        <v>600.66502271446996</v>
      </c>
      <c r="AP525" s="57" cm="1">
        <f t="array" ref="AP525">VLOOKUP(B525,'Player Data'!$A1:$AE673,31,FALSE)*$AJ525*(IFERROR(1-(VLOOKUP(P525,Settings!$E$28:$F$33,2,FALSE)/4),1))</f>
        <v>72.84591081520125</v>
      </c>
      <c r="AQ525" s="60" cm="1">
        <f t="array" ref="AQ525">1-(AP525/(AO525+AP525))</f>
        <v>0.89184153190589288</v>
      </c>
      <c r="AR525" s="61" cm="1">
        <f t="array" ref="AR525">AP525/AJ525</f>
        <v>2.9138364326080501</v>
      </c>
      <c r="AS525" s="55"/>
    </row>
    <row r="526" spans="1:45" ht="21.25" customHeight="1" x14ac:dyDescent="0.15">
      <c r="A526" s="62">
        <f t="shared" si="8"/>
        <v>525</v>
      </c>
      <c r="B526" s="10" t="s">
        <v>654</v>
      </c>
      <c r="C526" s="76"/>
      <c r="D526" s="48" t="str" cm="1">
        <f t="array" ref="D526">VLOOKUP(B526,'Player Data'!A1:D673,4,FALSE)</f>
        <v>G</v>
      </c>
      <c r="E526" s="77" cm="1">
        <f t="array" ref="E526">VLOOKUP(B526,G!A1:D66,3,FALSE)</f>
        <v>57</v>
      </c>
      <c r="F526" s="72" t="str" cm="1">
        <f t="array" ref="F526">VLOOKUP(B526,'Player Data'!A1:B673,2,FALSE)</f>
        <v>OTT</v>
      </c>
      <c r="G526" s="11" cm="1">
        <f t="array" ref="G526">VLOOKUP(B526,'Player Data'!A1:D673,3,FALSE)</f>
        <v>26</v>
      </c>
      <c r="H526" s="51" cm="1">
        <f t="array" ref="H526">IFERROR(VLOOKUP(B526,ADP!A1:F671,6,FALSE)/1000000,VLOOKUP(B526,ADP!A1:F671,6,FALSE))</f>
        <v>2.2000000000000002</v>
      </c>
      <c r="I526" s="52">
        <f>IF(Settings!$E$15="POINTS",(AJ526*Settings!$B$29)+(AK526*Settings!$B$21)+(AL526*Settings!$B$22)+(AN526*Settings!$B$24)+(AO526*Settings!$B$25)+(AP526*Settings!$B$27)+(AM526*Settings!$B$23),VLOOKUP(B526,'Standard Deviations'!A$1:C$672,3,FALSE))</f>
        <v>122.28448775918787</v>
      </c>
      <c r="J526" s="53" cm="1">
        <f t="array" ref="J526">IF(D526="G",I526/AJ526,I526/Q526)</f>
        <v>4.0761495919729294</v>
      </c>
      <c r="K526" s="52" cm="1">
        <f t="array" ref="K526">VLOOKUP(B526,G!A1:F66,6,FALSE)</f>
        <v>-236.87342017105016</v>
      </c>
      <c r="L526" s="54" cm="1">
        <f t="array" ref="L526">IFERROR(K526/H526,"N/A")</f>
        <v>-107.66973644138642</v>
      </c>
      <c r="M526" s="85" t="s">
        <v>832</v>
      </c>
      <c r="N526" s="85" t="str" cm="1">
        <f t="array" ref="N526">IFERROR(M526-A526,"N/A")</f>
        <v>N/A</v>
      </c>
      <c r="O526" s="55"/>
      <c r="P526" s="56" t="str" cm="1">
        <f t="array" ref="P526">_xlfn.XLOOKUP($B526,ADP!A2:A671,ADP!G2:G671)</f>
        <v xml:space="preserve"> </v>
      </c>
      <c r="Q526" s="57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9"/>
      <c r="AI526" s="55"/>
      <c r="AJ526" s="78" cm="1">
        <f t="array" ref="AJ526">VLOOKUP(B526,'Player Data'!$A1:$AE673,24,FALSE)</f>
        <v>30</v>
      </c>
      <c r="AK526" s="57" cm="1">
        <f t="array" ref="AK526">VLOOKUP(B526,'Player Data'!$A1:$AE673,25,FALSE)*$AJ526*IFERROR((VLOOKUP(P526,Settings!$E$28:$F$33,2,FALSE)+1),1)</f>
        <v>15.8561100140154</v>
      </c>
      <c r="AL526" s="57" cm="1">
        <f t="array" ref="AL526">AJ526-AK526-AM526</f>
        <v>10.60791748948845</v>
      </c>
      <c r="AM526" s="57" cm="1">
        <f t="array" ref="AM526">VLOOKUP(B526,'Player Data'!$A1:$AE673,27,FALSE)*$AJ526</f>
        <v>3.5359724964961501</v>
      </c>
      <c r="AN526" s="57" cm="1">
        <f t="array" ref="AN526">VLOOKUP(B526,'Player Data'!$A1:$AE673,28,FALSE)*AJ526</f>
        <v>1.8633977425880881</v>
      </c>
      <c r="AO526" s="57" cm="1">
        <f t="array" ref="AO526">VLOOKUP(B526,'Player Data'!$A1:$AE673,29,FALSE)*$AJ526*IFERROR((VLOOKUP(P526,Settings!$E$28:$F$33,2,FALSE)/4)+1,1)</f>
        <v>637.375854300828</v>
      </c>
      <c r="AP526" s="57" cm="1">
        <f t="array" ref="AP526">VLOOKUP(B526,'Player Data'!$A1:$AE673,31,FALSE)*$AJ526*(IFERROR(1-(VLOOKUP(P526,Settings!$E$28:$F$33,2,FALSE)/4),1))</f>
        <v>81.945055725286807</v>
      </c>
      <c r="AQ526" s="60" cm="1">
        <f t="array" ref="AQ526">1-(AP526/(AO526+AP526))</f>
        <v>0.88607997545586181</v>
      </c>
      <c r="AR526" s="61" cm="1">
        <f t="array" ref="AR526">AP526/AJ526</f>
        <v>2.7315018575095604</v>
      </c>
      <c r="AS526" s="55"/>
    </row>
    <row r="527" spans="1:45" ht="21.25" customHeight="1" x14ac:dyDescent="0.15">
      <c r="A527" s="62">
        <f t="shared" si="8"/>
        <v>526</v>
      </c>
      <c r="B527" s="10" t="s">
        <v>655</v>
      </c>
      <c r="C527" s="76"/>
      <c r="D527" s="48" t="str" cm="1">
        <f t="array" ref="D527">VLOOKUP(B527,'Player Data'!A1:D673,4,FALSE)</f>
        <v>G</v>
      </c>
      <c r="E527" s="77" cm="1">
        <f t="array" ref="E527">VLOOKUP(B527,G!A1:D66,3,FALSE)</f>
        <v>58</v>
      </c>
      <c r="F527" s="50" t="str" cm="1">
        <f t="array" ref="F527">VLOOKUP(B527,'Player Data'!A1:B673,2,FALSE)</f>
        <v>ANA</v>
      </c>
      <c r="G527" s="66" cm="1">
        <f t="array" ref="G527">VLOOKUP(B527,'Player Data'!A1:D673,3,FALSE)</f>
        <v>31</v>
      </c>
      <c r="H527" s="67" cm="1">
        <f t="array" ref="H527">IFERROR(VLOOKUP(B527,ADP!A1:F671,6,FALSE)/1000000,VLOOKUP(B527,ADP!A1:F671,6,FALSE))</f>
        <v>2.2000000000000002</v>
      </c>
      <c r="I527" s="52">
        <f>IF(Settings!$E$15="POINTS",(AJ527*Settings!$B$29)+(AK527*Settings!$B$21)+(AL527*Settings!$B$22)+(AN527*Settings!$B$24)+(AO527*Settings!$B$25)+(AP527*Settings!$B$27)+(AM527*Settings!$B$23),VLOOKUP(B527,'Standard Deviations'!A$1:C$672,3,FALSE))</f>
        <v>122.20375003317528</v>
      </c>
      <c r="J527" s="53" cm="1">
        <f t="array" ref="J527">IF(D527="G",I527/AJ527,I527/Q527)</f>
        <v>4.8881500013270109</v>
      </c>
      <c r="K527" s="52" cm="1">
        <f t="array" ref="K527">VLOOKUP(B527,G!A1:F66,6,FALSE)</f>
        <v>-236.95415789706274</v>
      </c>
      <c r="L527" s="54" cm="1">
        <f t="array" ref="L527">IFERROR(K527/H527,"N/A")</f>
        <v>-107.70643540775578</v>
      </c>
      <c r="M527" s="85" t="s">
        <v>832</v>
      </c>
      <c r="N527" s="85" t="str" cm="1">
        <f t="array" ref="N527">IFERROR(M527-A527,"N/A")</f>
        <v>N/A</v>
      </c>
      <c r="O527" s="55"/>
      <c r="P527" s="56" t="str" cm="1">
        <f t="array" ref="P527">_xlfn.XLOOKUP($B527,ADP!A2:A671,ADP!G2:G671)</f>
        <v xml:space="preserve"> </v>
      </c>
      <c r="Q527" s="57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9"/>
      <c r="AI527" s="55"/>
      <c r="AJ527" s="78" cm="1">
        <f t="array" ref="AJ527">VLOOKUP(B527,'Player Data'!$A1:$AE673,24,FALSE)</f>
        <v>25</v>
      </c>
      <c r="AK527" s="57" cm="1">
        <f t="array" ref="AK527">VLOOKUP(B527,'Player Data'!$A1:$AE673,25,FALSE)*$AJ527*IFERROR((VLOOKUP(P527,Settings!$E$28:$F$33,2,FALSE)+1),1)</f>
        <v>10.819572143446599</v>
      </c>
      <c r="AL527" s="57" cm="1">
        <f t="array" ref="AL527">AJ527-AK527-AM527</f>
        <v>10.63532089241505</v>
      </c>
      <c r="AM527" s="57" cm="1">
        <f t="array" ref="AM527">VLOOKUP(B527,'Player Data'!$A1:$AE673,27,FALSE)*$AJ527</f>
        <v>3.5451069641383497</v>
      </c>
      <c r="AN527" s="57" cm="1">
        <f t="array" ref="AN527">VLOOKUP(B527,'Player Data'!$A1:$AE673,28,FALSE)*AJ527</f>
        <v>0.61034996539648756</v>
      </c>
      <c r="AO527" s="57" cm="1">
        <f t="array" ref="AO527">VLOOKUP(B527,'Player Data'!$A1:$AE673,29,FALSE)*$AJ527*IFERROR((VLOOKUP(P527,Settings!$E$28:$F$33,2,FALSE)/4)+1,1)</f>
        <v>662.01151658928995</v>
      </c>
      <c r="AP527" s="57" cm="1">
        <f t="array" ref="AP527">VLOOKUP(B527,'Player Data'!$A1:$AE673,31,FALSE)*$AJ527*(IFERROR(1-(VLOOKUP(P527,Settings!$E$28:$F$33,2,FALSE)/4),1))</f>
        <v>80.623691552401993</v>
      </c>
      <c r="AQ527" s="60" cm="1">
        <f t="array" ref="AQ527">1-(AP527/(AO527+AP527))</f>
        <v>0.89143567303501814</v>
      </c>
      <c r="AR527" s="61" cm="1">
        <f t="array" ref="AR527">AP527/AJ527</f>
        <v>3.2249476620960795</v>
      </c>
      <c r="AS527" s="55"/>
    </row>
    <row r="528" spans="1:45" ht="21.25" customHeight="1" x14ac:dyDescent="0.15">
      <c r="A528" s="62">
        <f t="shared" si="8"/>
        <v>527</v>
      </c>
      <c r="B528" s="10" t="s">
        <v>656</v>
      </c>
      <c r="C528" s="47" t="s">
        <v>147</v>
      </c>
      <c r="D528" s="48" t="str" cm="1">
        <f t="array" ref="D528">VLOOKUP(B528,'Player Data'!A1:D673,4,FALSE)</f>
        <v>C</v>
      </c>
      <c r="E528" s="49" cm="1">
        <f t="array" ref="E528">VLOOKUP(B528,'C'!A1:C210,3,FALSE)</f>
        <v>149</v>
      </c>
      <c r="F528" s="69" t="str" cm="1">
        <f t="array" ref="F528">VLOOKUP(B528,'Player Data'!A1:B673,2,FALSE)</f>
        <v>TOR</v>
      </c>
      <c r="G528" s="71" cm="1">
        <f t="array" ref="G528">VLOOKUP(B528,'Player Data'!A1:D673,3,FALSE)</f>
        <v>19</v>
      </c>
      <c r="H528" s="51" cm="1">
        <f t="array" ref="H528">IFERROR(VLOOKUP(B528,ADP!A1:F671,6,FALSE)/1000000,VLOOKUP(B528,ADP!A1:F671,6,FALSE))</f>
        <v>2.5</v>
      </c>
      <c r="I528" s="52">
        <f>IF(Settings!$E$15="POINTS",((R528*Q528)*Settings!$B$12)+(S528*Settings!$B$2)+(T528*Settings!$B$3)+(U528*Settings!$B$4)+(V528*Settings!$B$5)+(X528*Settings!$B$9)+(AA528*Settings!$B$6)+(W528*Settings!$B$8)+(AB528*Settings!$B$7)+(AC528*Settings!$B$14)+(AD528*Settings!$B$15)+(AE528*Settings!$B$16)+(AF528*Settings!$B$17)+(AG528*Settings!$B$18)+(Y528*Settings!$B$10)+(Z528*Settings!$B$11),VLOOKUP(B528,'Standard Deviations'!A$1:C$672,3,FALSE))</f>
        <v>148.42194902572274</v>
      </c>
      <c r="J528" s="53" cm="1">
        <f t="array" ref="J528">IF(D528="G",I528/AJ528,I528/Q528)</f>
        <v>1.9288102537455847</v>
      </c>
      <c r="K528" s="52" cm="1">
        <f t="array" ref="K528">IF(Settings!$E$18="C/LW/RW",VLOOKUP(B528,'C'!A1:F210,6,FALSE),VLOOKUP(B528,F!A1:F407,6,FALSE))</f>
        <v>-238.11325736736026</v>
      </c>
      <c r="L528" s="54" cm="1">
        <f t="array" ref="L528">IFERROR(K528/H528,"N/A")</f>
        <v>-95.245302946944108</v>
      </c>
      <c r="M528" s="85" t="s">
        <v>832</v>
      </c>
      <c r="N528" s="85" t="str" cm="1">
        <f t="array" ref="N528">IFERROR(M528-A528,"N/A")</f>
        <v>N/A</v>
      </c>
      <c r="O528" s="55"/>
      <c r="P528" s="56" t="str" cm="1">
        <f t="array" ref="P528">_xlfn.XLOOKUP($B528,ADP!A2:A671,ADP!G2:G671)</f>
        <v xml:space="preserve"> </v>
      </c>
      <c r="Q528" s="57" cm="1">
        <f t="array" ref="Q528">IF(Settings!$E$12="YES",VLOOKUP(B528,'Player Data'!A1:E673,5,FALSE),84)</f>
        <v>76.95</v>
      </c>
      <c r="R528" s="84" cm="1">
        <f t="array" ref="R528">VLOOKUP(B528,'Player Data'!$A1:$AE673,6,FALSE)</f>
        <v>14.2274129374163</v>
      </c>
      <c r="S528" s="57" cm="1">
        <f t="array" ref="S528">VLOOKUP(B528,'Player Data'!$A1:$AE673,7,FALSE)*$Q528*IFERROR((VLOOKUP(P528,Settings!$E$28:$F$33,2,FALSE)+1),1)</f>
        <v>10.52772956976915</v>
      </c>
      <c r="T528" s="57" cm="1">
        <f t="array" ref="T528">VLOOKUP(B528,'Player Data'!$A1:$AE673,8,FALSE)*$Q528*IFERROR((VLOOKUP(P528,Settings!$E$28:$F$33,2,FALSE)+1),1)</f>
        <v>15.872273041650802</v>
      </c>
      <c r="U528" s="57" cm="1">
        <f t="array" ref="U528">SUM(S528:T528)</f>
        <v>26.40000261141995</v>
      </c>
      <c r="V528" s="57" cm="1">
        <f t="array" ref="V528">VLOOKUP(B528,'Player Data'!$A1:$AE673,10,FALSE)*$Q528*IFERROR(((VLOOKUP(P528,Settings!$E$28:$F$33,2,FALSE)/2)+1),1)</f>
        <v>95.617472262119563</v>
      </c>
      <c r="W528" s="57" cm="1">
        <f t="array" ref="W528">VLOOKUP(B528,'Player Data'!$A1:$AE673,11,FALSE)*$Q528*IFERROR((VLOOKUP(P528,Settings!$E$28:$F$33,2,FALSE)+1),1)</f>
        <v>7.8838731950220023E-2</v>
      </c>
      <c r="X528" s="57" cm="1">
        <f t="array" ref="X528">VLOOKUP(B528,'Player Data'!$A1:$AE673,12,FALSE)*$Q528*IFERROR((VLOOKUP(P528,Settings!$E$28:$F$33,2,FALSE)+1),1)</f>
        <v>0.1172679144586448</v>
      </c>
      <c r="Y528" s="57" cm="1">
        <f t="array" ref="Y528">VLOOKUP(B528,'Player Data'!$A1:$AE673,13,FALSE)*$Q528</f>
        <v>2.1145380037258432</v>
      </c>
      <c r="Z528" s="57" cm="1">
        <f t="array" ref="Z528">VLOOKUP(B528,'Player Data'!$A1:$AE673,14,FALSE)*$Q528</f>
        <v>2.736825379473415</v>
      </c>
      <c r="AA528" s="57" cm="1">
        <f t="array" ref="AA528">VLOOKUP(B528,'Player Data'!$A1:$AE673,15,FALSE)*$Q528</f>
        <v>37.11822353294211</v>
      </c>
      <c r="AB528" s="57" cm="1">
        <f t="array" ref="AB528">VLOOKUP(B528,'Player Data'!$A1:$AE673,16,FALSE)*$Q528</f>
        <v>94.09768158111504</v>
      </c>
      <c r="AC528" s="57" cm="1">
        <f t="array" ref="AC528">VLOOKUP(B528,'Player Data'!$A1:$AE673,17,FALSE)*$Q528*IFERROR((VLOOKUP(P528,Settings!$E$28:$F$33,2,FALSE)+1),1)</f>
        <v>-0.6399191313575423</v>
      </c>
      <c r="AD528" s="57" cm="1">
        <f t="array" ref="AD528">VLOOKUP(B528,'Player Data'!$A1:$AE673,18,FALSE)*$Q528</f>
        <v>38.725463087698699</v>
      </c>
      <c r="AE528" s="57" cm="1">
        <f t="array" ref="AE528">VLOOKUP(B528,'Player Data'!$A1:$AE673,19,FALSE)*$Q528*IFERROR((VLOOKUP(P528,Settings!$E$28:$F$33,2,FALSE)+1),1)</f>
        <v>1.4376743252451882</v>
      </c>
      <c r="AF528" s="57" cm="1">
        <f t="array" ref="AF528">VLOOKUP(B528,'Player Data'!$A1:$AE673,20,FALSE)*$Q528</f>
        <v>420.92696207798389</v>
      </c>
      <c r="AG528" s="57" cm="1">
        <f t="array" ref="AG528">VLOOKUP(B528,'Player Data'!$A1:$AE673,21,FALSE)*$Q528</f>
        <v>413.18644540064292</v>
      </c>
      <c r="AH528" s="59" cm="1">
        <f t="array" ref="AH528">VLOOKUP(B528,'Player Data'!$A1:$AE673,22,FALSE)</f>
        <v>0.504639966584843</v>
      </c>
      <c r="AI528" s="55"/>
      <c r="AJ528" s="57"/>
      <c r="AK528" s="57"/>
      <c r="AL528" s="57"/>
      <c r="AM528" s="57"/>
      <c r="AN528" s="57"/>
      <c r="AO528" s="57"/>
      <c r="AP528" s="57"/>
      <c r="AQ528" s="60"/>
      <c r="AR528" s="61"/>
      <c r="AS528" s="55"/>
    </row>
    <row r="529" spans="1:45" ht="21.25" customHeight="1" x14ac:dyDescent="0.15">
      <c r="A529" s="62">
        <f t="shared" si="8"/>
        <v>528</v>
      </c>
      <c r="B529" s="10" t="s">
        <v>657</v>
      </c>
      <c r="C529" s="47" t="s">
        <v>147</v>
      </c>
      <c r="D529" s="48" t="str" cm="1">
        <f t="array" ref="D529">VLOOKUP(B529,'Player Data'!A1:D673,4,FALSE)</f>
        <v>RW</v>
      </c>
      <c r="E529" s="64" cm="1">
        <f t="array" ref="E529">VLOOKUP(B529,RW!A1:F210,3,FALSE)</f>
        <v>149</v>
      </c>
      <c r="F529" s="72" t="str" cm="1">
        <f t="array" ref="F529">VLOOKUP(B529,'Player Data'!A1:B673,2,FALSE)</f>
        <v>PIT</v>
      </c>
      <c r="G529" s="11" cm="1">
        <f t="array" ref="G529">VLOOKUP(B529,'Player Data'!A1:D673,3,FALSE)</f>
        <v>28</v>
      </c>
      <c r="H529" s="67" cm="1">
        <f t="array" ref="H529">IFERROR(VLOOKUP(B529,ADP!A1:F671,6,FALSE)/1000000,VLOOKUP(B529,ADP!A1:F671,6,FALSE))</f>
        <v>1.5</v>
      </c>
      <c r="I529" s="52">
        <f>IF(Settings!$E$15="POINTS",((R529*Q529)*Settings!$B$12)+(S529*Settings!$B$2)+(T529*Settings!$B$3)+(U529*Settings!$B$4)+(V529*Settings!$B$5)+(X529*Settings!$B$9)+(AA529*Settings!$B$6)+(W529*Settings!$B$8)+(AB529*Settings!$B$7)+(AC529*Settings!$B$14)+(AD529*Settings!$B$15)+(AE529*Settings!$B$16)+(AF529*Settings!$B$17)+(AG529*Settings!$B$18)+(Y529*Settings!$B$10)+(Z529*Settings!$B$11),VLOOKUP(B529,'Standard Deviations'!A$1:C$672,3,FALSE))</f>
        <v>156.32491163151195</v>
      </c>
      <c r="J529" s="53" cm="1">
        <f t="array" ref="J529">IF(D529="G",I529/AJ529,I529/Q529)</f>
        <v>2.0352156181683627</v>
      </c>
      <c r="K529" s="52" cm="1">
        <f t="array" ref="K529">IF(Settings!$E$18="C/LW/RW",VLOOKUP(B529,RW!A1:F210,6,FALSE),VLOOKUP(B529,F!A1:F407,6,FALSE))</f>
        <v>-238.61855306204552</v>
      </c>
      <c r="L529" s="54" cm="1">
        <f t="array" ref="L529">IFERROR(K529/H529,"N/A")</f>
        <v>-159.07903537469701</v>
      </c>
      <c r="M529" s="85" t="s">
        <v>832</v>
      </c>
      <c r="N529" s="85" t="str" cm="1">
        <f t="array" ref="N529">IFERROR(M529-A529,"N/A")</f>
        <v>N/A</v>
      </c>
      <c r="O529" s="55"/>
      <c r="P529" s="56" t="str" cm="1">
        <f t="array" ref="P529">_xlfn.XLOOKUP($B529,ADP!A2:A671,ADP!G2:G671)</f>
        <v xml:space="preserve"> </v>
      </c>
      <c r="Q529" s="57" cm="1">
        <f t="array" ref="Q529">IF(Settings!$E$12="YES",VLOOKUP(B529,'Player Data'!A1:E673,5,FALSE),84)</f>
        <v>76.81</v>
      </c>
      <c r="R529" s="84" cm="1">
        <f t="array" ref="R529">VLOOKUP(B529,'Player Data'!$A1:$AE673,6,FALSE)</f>
        <v>11.6206056310936</v>
      </c>
      <c r="S529" s="57" cm="1">
        <f t="array" ref="S529">VLOOKUP(B529,'Player Data'!$A1:$AE673,7,FALSE)*$Q529*IFERROR((VLOOKUP(P529,Settings!$E$28:$F$33,2,FALSE)+1),1)</f>
        <v>12.70507267489192</v>
      </c>
      <c r="T529" s="57" cm="1">
        <f t="array" ref="T529">VLOOKUP(B529,'Player Data'!$A1:$AE673,8,FALSE)*$Q529*IFERROR((VLOOKUP(P529,Settings!$E$28:$F$33,2,FALSE)+1),1)</f>
        <v>14.199371234136182</v>
      </c>
      <c r="U529" s="57" cm="1">
        <f t="array" ref="U529">SUM(S529:T529)</f>
        <v>26.904443909028103</v>
      </c>
      <c r="V529" s="57" cm="1">
        <f t="array" ref="V529">VLOOKUP(B529,'Player Data'!$A1:$AE673,10,FALSE)*$Q529*IFERROR(((VLOOKUP(P529,Settings!$E$28:$F$33,2,FALSE)/2)+1),1)</f>
        <v>101.59755011249038</v>
      </c>
      <c r="W529" s="57" cm="1">
        <f t="array" ref="W529">VLOOKUP(B529,'Player Data'!$A1:$AE673,11,FALSE)*$Q529*IFERROR((VLOOKUP(P529,Settings!$E$28:$F$33,2,FALSE)+1),1)</f>
        <v>1.316722701686347</v>
      </c>
      <c r="X529" s="57" cm="1">
        <f t="array" ref="X529">VLOOKUP(B529,'Player Data'!$A1:$AE673,12,FALSE)*$Q529*IFERROR((VLOOKUP(P529,Settings!$E$28:$F$33,2,FALSE)+1),1)</f>
        <v>2.0590543108293891</v>
      </c>
      <c r="Y529" s="57" cm="1">
        <f t="array" ref="Y529">VLOOKUP(B529,'Player Data'!$A1:$AE673,13,FALSE)*$Q529</f>
        <v>3.1558764942072959E-3</v>
      </c>
      <c r="Z529" s="57" cm="1">
        <f t="array" ref="Z529">VLOOKUP(B529,'Player Data'!$A1:$AE673,14,FALSE)*$Q529</f>
        <v>5.2010406545274467E-3</v>
      </c>
      <c r="AA529" s="57" cm="1">
        <f t="array" ref="AA529">VLOOKUP(B529,'Player Data'!$A1:$AE673,15,FALSE)*$Q529</f>
        <v>45.497098993397074</v>
      </c>
      <c r="AB529" s="57" cm="1">
        <f t="array" ref="AB529">VLOOKUP(B529,'Player Data'!$A1:$AE673,16,FALSE)*$Q529</f>
        <v>114.91273509425494</v>
      </c>
      <c r="AC529" s="57" cm="1">
        <f t="array" ref="AC529">VLOOKUP(B529,'Player Data'!$A1:$AE673,17,FALSE)*$Q529*IFERROR((VLOOKUP(P529,Settings!$E$28:$F$33,2,FALSE)+1),1)</f>
        <v>0.33905563264624761</v>
      </c>
      <c r="AD529" s="57" cm="1">
        <f t="array" ref="AD529">VLOOKUP(B529,'Player Data'!$A1:$AE673,18,FALSE)*$Q529</f>
        <v>15.059807518116362</v>
      </c>
      <c r="AE529" s="57" cm="1">
        <f t="array" ref="AE529">VLOOKUP(B529,'Player Data'!$A1:$AE673,19,FALSE)*$Q529*IFERROR((VLOOKUP(P529,Settings!$E$28:$F$33,2,FALSE)+1),1)</f>
        <v>1.8420740758684442</v>
      </c>
      <c r="AF529" s="57" cm="1">
        <f t="array" ref="AF529">VLOOKUP(B529,'Player Data'!$A1:$AE673,20,FALSE)*$Q529</f>
        <v>0.82911022504528709</v>
      </c>
      <c r="AG529" s="57" cm="1">
        <f t="array" ref="AG529">VLOOKUP(B529,'Player Data'!$A1:$AE673,21,FALSE)*$Q529</f>
        <v>5.8161945218201625</v>
      </c>
      <c r="AH529" s="59" cm="1">
        <f t="array" ref="AH529">VLOOKUP(B529,'Player Data'!$A1:$AE673,22,FALSE)</f>
        <v>0.124766320978188</v>
      </c>
      <c r="AI529" s="55"/>
      <c r="AJ529" s="57"/>
      <c r="AK529" s="57"/>
      <c r="AL529" s="57"/>
      <c r="AM529" s="57"/>
      <c r="AN529" s="57"/>
      <c r="AO529" s="57"/>
      <c r="AP529" s="57"/>
      <c r="AQ529" s="60"/>
      <c r="AR529" s="61"/>
      <c r="AS529" s="55"/>
    </row>
    <row r="530" spans="1:45" ht="21.25" customHeight="1" x14ac:dyDescent="0.15">
      <c r="A530" s="62">
        <f t="shared" si="8"/>
        <v>529</v>
      </c>
      <c r="B530" s="10" t="s">
        <v>658</v>
      </c>
      <c r="C530" s="76"/>
      <c r="D530" s="48" t="str" cm="1">
        <f t="array" ref="D530">VLOOKUP(B530,'Player Data'!A1:D673,4,FALSE)</f>
        <v>G</v>
      </c>
      <c r="E530" s="77" cm="1">
        <f t="array" ref="E530">VLOOKUP(B530,G!A1:D66,3,FALSE)</f>
        <v>59</v>
      </c>
      <c r="F530" s="72" t="str" cm="1">
        <f t="array" ref="F530">VLOOKUP(B530,'Player Data'!A1:B673,2,FALSE)</f>
        <v>DET</v>
      </c>
      <c r="G530" s="11" cm="1">
        <f t="array" ref="G530">VLOOKUP(B530,'Player Data'!A1:D673,3,FALSE)</f>
        <v>27</v>
      </c>
      <c r="H530" s="67" cm="1">
        <f t="array" ref="H530">IFERROR(VLOOKUP(B530,ADP!A1:F671,6,FALSE)/1000000,VLOOKUP(B530,ADP!A1:F671,6,FALSE))</f>
        <v>2</v>
      </c>
      <c r="I530" s="52">
        <f>IF(Settings!$E$15="POINTS",(AJ530*Settings!$B$29)+(AK530*Settings!$B$21)+(AL530*Settings!$B$22)+(AN530*Settings!$B$24)+(AO530*Settings!$B$25)+(AP530*Settings!$B$27)+(AM530*Settings!$B$23),VLOOKUP(B530,'Standard Deviations'!A$1:C$672,3,FALSE))</f>
        <v>120.3609823520722</v>
      </c>
      <c r="J530" s="53" cm="1">
        <f t="array" ref="J530">IF(D530="G",I530/AJ530,I530/Q530)</f>
        <v>4.814439294082888</v>
      </c>
      <c r="K530" s="52" cm="1">
        <f t="array" ref="K530">VLOOKUP(B530,G!A1:F66,6,FALSE)</f>
        <v>-238.79692557816583</v>
      </c>
      <c r="L530" s="54" cm="1">
        <f t="array" ref="L530">IFERROR(K530/H530,"N/A")</f>
        <v>-119.39846278908291</v>
      </c>
      <c r="M530" s="85" t="s">
        <v>832</v>
      </c>
      <c r="N530" s="85" t="str" cm="1">
        <f t="array" ref="N530">IFERROR(M530-A530,"N/A")</f>
        <v>N/A</v>
      </c>
      <c r="O530" s="55"/>
      <c r="P530" s="56" t="str" cm="1">
        <f t="array" ref="P530">_xlfn.XLOOKUP($B530,ADP!A2:A671,ADP!G2:G671)</f>
        <v xml:space="preserve"> </v>
      </c>
      <c r="Q530" s="57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9"/>
      <c r="AI530" s="55"/>
      <c r="AJ530" s="78" cm="1">
        <f t="array" ref="AJ530">VLOOKUP(B530,'Player Data'!$A1:$AE673,24,FALSE)</f>
        <v>25</v>
      </c>
      <c r="AK530" s="57" cm="1">
        <f t="array" ref="AK530">VLOOKUP(B530,'Player Data'!$A1:$AE673,25,FALSE)*$AJ530*IFERROR((VLOOKUP(P530,Settings!$E$28:$F$33,2,FALSE)+1),1)</f>
        <v>11.5980922263577</v>
      </c>
      <c r="AL530" s="57" cm="1">
        <f t="array" ref="AL530">AJ530-AK530-AM530</f>
        <v>10.051430830231725</v>
      </c>
      <c r="AM530" s="57" cm="1">
        <f t="array" ref="AM530">VLOOKUP(B530,'Player Data'!$A1:$AE673,27,FALSE)*$AJ530</f>
        <v>3.350476943410575</v>
      </c>
      <c r="AN530" s="57" cm="1">
        <f t="array" ref="AN530">VLOOKUP(B530,'Player Data'!$A1:$AE673,28,FALSE)*AJ530</f>
        <v>1.1776527648336124</v>
      </c>
      <c r="AO530" s="57" cm="1">
        <f t="array" ref="AO530">VLOOKUP(B530,'Player Data'!$A1:$AE673,29,FALSE)*$AJ530*IFERROR((VLOOKUP(P530,Settings!$E$28:$F$33,2,FALSE)/4)+1,1)</f>
        <v>607.96767925871745</v>
      </c>
      <c r="AP530" s="57" cm="1">
        <f t="array" ref="AP530">VLOOKUP(B530,'Player Data'!$A1:$AE673,31,FALSE)*$AJ530*(IFERROR(1-(VLOOKUP(P530,Settings!$E$28:$F$33,2,FALSE)/4),1))</f>
        <v>73.198262240397753</v>
      </c>
      <c r="AQ530" s="60" cm="1">
        <f t="array" ref="AQ530">1-(AP530/(AO530+AP530))</f>
        <v>0.892539750182896</v>
      </c>
      <c r="AR530" s="61" cm="1">
        <f t="array" ref="AR530">AP530/AJ530</f>
        <v>2.92793048961591</v>
      </c>
      <c r="AS530" s="55"/>
    </row>
    <row r="531" spans="1:45" ht="21.25" customHeight="1" x14ac:dyDescent="0.15">
      <c r="A531" s="62">
        <f t="shared" si="8"/>
        <v>530</v>
      </c>
      <c r="B531" s="10" t="s">
        <v>659</v>
      </c>
      <c r="C531" s="47" t="s">
        <v>147</v>
      </c>
      <c r="D531" s="48" t="str" cm="1">
        <f t="array" ref="D531">VLOOKUP(B531,'Player Data'!A1:D673,4,FALSE)</f>
        <v>C</v>
      </c>
      <c r="E531" s="49" cm="1">
        <f t="array" ref="E531">VLOOKUP(B531,'C'!A1:C210,3,FALSE)</f>
        <v>150</v>
      </c>
      <c r="F531" s="72" t="str" cm="1">
        <f t="array" ref="F531">VLOOKUP(B531,'Player Data'!A1:B673,2,FALSE)</f>
        <v>DET</v>
      </c>
      <c r="G531" s="71" cm="1">
        <f t="array" ref="G531">VLOOKUP(B531,'Player Data'!A1:D673,3,FALSE)</f>
        <v>21</v>
      </c>
      <c r="H531" s="51" cm="1">
        <f t="array" ref="H531">IFERROR(VLOOKUP(B531,ADP!A1:F671,6,FALSE)/1000000,VLOOKUP(B531,ADP!A1:F671,6,FALSE))</f>
        <v>0.90916699999999995</v>
      </c>
      <c r="I531" s="52">
        <f>IF(Settings!$E$15="POINTS",((R531*Q531)*Settings!$B$12)+(S531*Settings!$B$2)+(T531*Settings!$B$3)+(U531*Settings!$B$4)+(V531*Settings!$B$5)+(X531*Settings!$B$9)+(AA531*Settings!$B$6)+(W531*Settings!$B$8)+(AB531*Settings!$B$7)+(AC531*Settings!$B$14)+(AD531*Settings!$B$15)+(AE531*Settings!$B$16)+(AF531*Settings!$B$17)+(AG531*Settings!$B$18)+(Y531*Settings!$B$10)+(Z531*Settings!$B$11),VLOOKUP(B531,'Standard Deviations'!A$1:C$672,3,FALSE))</f>
        <v>147.63915242422775</v>
      </c>
      <c r="J531" s="53" cm="1">
        <f t="array" ref="J531">IF(D531="G",I531/AJ531,I531/Q531)</f>
        <v>2.1711640062386435</v>
      </c>
      <c r="K531" s="52" cm="1">
        <f t="array" ref="K531">IF(Settings!$E$18="C/LW/RW",VLOOKUP(B531,'C'!A1:F210,6,FALSE),VLOOKUP(B531,F!A1:F407,6,FALSE))</f>
        <v>-238.89605396885526</v>
      </c>
      <c r="L531" s="54" cm="1">
        <f t="array" ref="L531">IFERROR(K531/H531,"N/A")</f>
        <v>-262.76366604689269</v>
      </c>
      <c r="M531" s="85" t="s">
        <v>832</v>
      </c>
      <c r="N531" s="85" t="str" cm="1">
        <f t="array" ref="N531">IFERROR(M531-A531,"N/A")</f>
        <v>N/A</v>
      </c>
      <c r="O531" s="55"/>
      <c r="P531" s="56" t="str" cm="1">
        <f t="array" ref="P531">_xlfn.XLOOKUP($B531,ADP!A2:A671,ADP!G2:G671)</f>
        <v xml:space="preserve"> </v>
      </c>
      <c r="Q531" s="57" cm="1">
        <f t="array" ref="Q531">IF(Settings!$E$12="YES",VLOOKUP(B531,'Player Data'!A1:E673,5,FALSE),84)</f>
        <v>68</v>
      </c>
      <c r="R531" s="82" cm="1">
        <f t="array" ref="R531">VLOOKUP(B531,'Player Data'!$A1:$AE673,6,FALSE)</f>
        <v>13.6401021461576</v>
      </c>
      <c r="S531" s="57" cm="1">
        <f t="array" ref="S531">VLOOKUP(B531,'Player Data'!$A1:$AE673,7,FALSE)*$Q531*IFERROR((VLOOKUP(P531,Settings!$E$28:$F$33,2,FALSE)+1),1)</f>
        <v>9.7607579882320277</v>
      </c>
      <c r="T531" s="57" cm="1">
        <f t="array" ref="T531">VLOOKUP(B531,'Player Data'!$A1:$AE673,8,FALSE)*$Q531*IFERROR((VLOOKUP(P531,Settings!$E$28:$F$33,2,FALSE)+1),1)</f>
        <v>16.07910088640438</v>
      </c>
      <c r="U531" s="57" cm="1">
        <f t="array" ref="U531">SUM(S531:T531)</f>
        <v>25.839858874636406</v>
      </c>
      <c r="V531" s="57" cm="1">
        <f t="array" ref="V531">VLOOKUP(B531,'Player Data'!$A1:$AE673,10,FALSE)*$Q531*IFERROR(((VLOOKUP(P531,Settings!$E$28:$F$33,2,FALSE)/2)+1),1)</f>
        <v>96.983577901503082</v>
      </c>
      <c r="W531" s="57" cm="1">
        <f t="array" ref="W531">VLOOKUP(B531,'Player Data'!$A1:$AE673,11,FALSE)*$Q531*IFERROR((VLOOKUP(P531,Settings!$E$28:$F$33,2,FALSE)+1),1)</f>
        <v>1.6271148938933315</v>
      </c>
      <c r="X531" s="57" cm="1">
        <f t="array" ref="X531">VLOOKUP(B531,'Player Data'!$A1:$AE673,12,FALSE)*$Q531*IFERROR((VLOOKUP(P531,Settings!$E$28:$F$33,2,FALSE)+1),1)</f>
        <v>7.6560732580172006</v>
      </c>
      <c r="Y531" s="57" cm="1">
        <f t="array" ref="Y531">VLOOKUP(B531,'Player Data'!$A1:$AE673,13,FALSE)*$Q531</f>
        <v>1.2383302786718099E-2</v>
      </c>
      <c r="Z531" s="57" cm="1">
        <f t="array" ref="Z531">VLOOKUP(B531,'Player Data'!$A1:$AE673,14,FALSE)*$Q531</f>
        <v>2.0475674835009026E-2</v>
      </c>
      <c r="AA531" s="57" cm="1">
        <f t="array" ref="AA531">VLOOKUP(B531,'Player Data'!$A1:$AE673,15,FALSE)*$Q531</f>
        <v>27.902475833429534</v>
      </c>
      <c r="AB531" s="57" cm="1">
        <f t="array" ref="AB531">VLOOKUP(B531,'Player Data'!$A1:$AE673,16,FALSE)*$Q531</f>
        <v>44.577416484731359</v>
      </c>
      <c r="AC531" s="57" cm="1">
        <f t="array" ref="AC531">VLOOKUP(B531,'Player Data'!$A1:$AE673,17,FALSE)*$Q531*IFERROR((VLOOKUP(P531,Settings!$E$28:$F$33,2,FALSE)+1),1)</f>
        <v>-1.6303811100453733</v>
      </c>
      <c r="AD531" s="57" cm="1">
        <f t="array" ref="AD531">VLOOKUP(B531,'Player Data'!$A1:$AE673,18,FALSE)*$Q531</f>
        <v>19.138734229619118</v>
      </c>
      <c r="AE531" s="57" cm="1">
        <f t="array" ref="AE531">VLOOKUP(B531,'Player Data'!$A1:$AE673,19,FALSE)*$Q531*IFERROR((VLOOKUP(P531,Settings!$E$28:$F$33,2,FALSE)+1),1)</f>
        <v>1.5295879072384264</v>
      </c>
      <c r="AF531" s="57" cm="1">
        <f t="array" ref="AF531">VLOOKUP(B531,'Player Data'!$A1:$AE673,20,FALSE)*$Q531</f>
        <v>164.83773434997207</v>
      </c>
      <c r="AG531" s="57" cm="1">
        <f t="array" ref="AG531">VLOOKUP(B531,'Player Data'!$A1:$AE673,21,FALSE)*$Q531</f>
        <v>272.73152410631849</v>
      </c>
      <c r="AH531" s="59" cm="1">
        <f t="array" ref="AH531">VLOOKUP(B531,'Player Data'!$A1:$AE673,22,FALSE)</f>
        <v>0.37671232876712302</v>
      </c>
      <c r="AI531" s="55"/>
      <c r="AJ531" s="57"/>
      <c r="AK531" s="57"/>
      <c r="AL531" s="57"/>
      <c r="AM531" s="57"/>
      <c r="AN531" s="57"/>
      <c r="AO531" s="57"/>
      <c r="AP531" s="57"/>
      <c r="AQ531" s="60"/>
      <c r="AR531" s="61"/>
      <c r="AS531" s="55"/>
    </row>
    <row r="532" spans="1:45" ht="21.25" customHeight="1" x14ac:dyDescent="0.15">
      <c r="A532" s="62">
        <f t="shared" si="8"/>
        <v>531</v>
      </c>
      <c r="B532" s="10" t="s">
        <v>660</v>
      </c>
      <c r="C532" s="47" t="s">
        <v>147</v>
      </c>
      <c r="D532" s="48" t="str" cm="1">
        <f t="array" ref="D532">VLOOKUP(B532,'Player Data'!A1:D673,4,FALSE)</f>
        <v>C,LW</v>
      </c>
      <c r="E532" s="74" cm="1">
        <f t="array" ref="E532">VLOOKUP(B532,LW!A1:C210,3,FALSE)</f>
        <v>139</v>
      </c>
      <c r="F532" s="70" t="str" cm="1">
        <f t="array" ref="F532">VLOOKUP(B532,'Player Data'!A1:B673,2,FALSE)</f>
        <v>L.A</v>
      </c>
      <c r="G532" s="66" cm="1">
        <f t="array" ref="G532">VLOOKUP(B532,'Player Data'!A1:D673,3,FALSE)</f>
        <v>32</v>
      </c>
      <c r="H532" s="51" cm="1">
        <f t="array" ref="H532">IFERROR(VLOOKUP(B532,ADP!A1:F671,6,FALSE)/1000000,VLOOKUP(B532,ADP!A1:F671,6,FALSE))</f>
        <v>3.5</v>
      </c>
      <c r="I532" s="52">
        <f>IF(Settings!$E$15="POINTS",((R532*Q532)*Settings!$B$12)+(S532*Settings!$B$2)+(T532*Settings!$B$3)+(U532*Settings!$B$4)+(V532*Settings!$B$5)+(X532*Settings!$B$9)+(AA532*Settings!$B$6)+(W532*Settings!$B$8)+(AB532*Settings!$B$7)+(AC532*Settings!$B$14)+(AD532*Settings!$B$15)+(AE532*Settings!$B$16)+(AF532*Settings!$B$17)+(AG532*Settings!$B$18)+(Y532*Settings!$B$10)+(Z532*Settings!$B$11),VLOOKUP(B532,'Standard Deviations'!A$1:C$672,3,FALSE))</f>
        <v>160.11576418090513</v>
      </c>
      <c r="J532" s="53" cm="1">
        <f t="array" ref="J532">IF(D532="G",I532/AJ532,I532/Q532)</f>
        <v>1.9875343120767766</v>
      </c>
      <c r="K532" s="52" cm="1">
        <f t="array" ref="K532">IF(Settings!$E$18="C/LW/RW",VLOOKUP(B532,LW!A1:F210,6,FALSE),VLOOKUP(B532,F!A1:F407,6,FALSE))</f>
        <v>-239.19722913281495</v>
      </c>
      <c r="L532" s="54" cm="1">
        <f t="array" ref="L532">IFERROR(K532/H532,"N/A")</f>
        <v>-68.342065466518562</v>
      </c>
      <c r="M532" s="85" t="s">
        <v>832</v>
      </c>
      <c r="N532" s="85" t="str" cm="1">
        <f t="array" ref="N532">IFERROR(M532-A532,"N/A")</f>
        <v>N/A</v>
      </c>
      <c r="O532" s="55"/>
      <c r="P532" s="56" t="str" cm="1">
        <f t="array" ref="P532">_xlfn.XLOOKUP($B532,ADP!A2:A671,ADP!G2:G671)</f>
        <v xml:space="preserve"> </v>
      </c>
      <c r="Q532" s="57" cm="1">
        <f t="array" ref="Q532">IF(Settings!$E$12="YES",VLOOKUP(B532,'Player Data'!A1:E673,5,FALSE),84)</f>
        <v>80.56</v>
      </c>
      <c r="R532" s="55" cm="1">
        <f t="array" ref="R532">VLOOKUP(B532,'Player Data'!$A1:$AE673,6,FALSE)</f>
        <v>13.640115131292101</v>
      </c>
      <c r="S532" s="57" cm="1">
        <f t="array" ref="S532">VLOOKUP(B532,'Player Data'!$A1:$AE673,7,FALSE)*$Q532*IFERROR((VLOOKUP(P532,Settings!$E$28:$F$33,2,FALSE)+1),1)</f>
        <v>11.869168010531418</v>
      </c>
      <c r="T532" s="57" cm="1">
        <f t="array" ref="T532">VLOOKUP(B532,'Player Data'!$A1:$AE673,8,FALSE)*$Q532*IFERROR((VLOOKUP(P532,Settings!$E$28:$F$33,2,FALSE)+1),1)</f>
        <v>12.84634450459208</v>
      </c>
      <c r="U532" s="57" cm="1">
        <f t="array" ref="U532">SUM(S532:T532)</f>
        <v>24.7155125151235</v>
      </c>
      <c r="V532" s="57" cm="1">
        <f t="array" ref="V532">VLOOKUP(B532,'Player Data'!$A1:$AE673,10,FALSE)*$Q532*IFERROR(((VLOOKUP(P532,Settings!$E$28:$F$33,2,FALSE)/2)+1),1)</f>
        <v>114.4848733598251</v>
      </c>
      <c r="W532" s="57" cm="1">
        <f t="array" ref="W532">VLOOKUP(B532,'Player Data'!$A1:$AE673,11,FALSE)*$Q532*IFERROR((VLOOKUP(P532,Settings!$E$28:$F$33,2,FALSE)+1),1)</f>
        <v>4.8369638733680019E-2</v>
      </c>
      <c r="X532" s="57" cm="1">
        <f t="array" ref="X532">VLOOKUP(B532,'Player Data'!$A1:$AE673,12,FALSE)*$Q532*IFERROR((VLOOKUP(P532,Settings!$E$28:$F$33,2,FALSE)+1),1)</f>
        <v>0.10926346096132655</v>
      </c>
      <c r="Y532" s="57" cm="1">
        <f t="array" ref="Y532">VLOOKUP(B532,'Player Data'!$A1:$AE673,13,FALSE)*$Q532</f>
        <v>1.8997742944231157</v>
      </c>
      <c r="Z532" s="57" cm="1">
        <f t="array" ref="Z532">VLOOKUP(B532,'Player Data'!$A1:$AE673,14,FALSE)*$Q532</f>
        <v>3.4938092706127089</v>
      </c>
      <c r="AA532" s="57" cm="1">
        <f t="array" ref="AA532">VLOOKUP(B532,'Player Data'!$A1:$AE673,15,FALSE)*$Q532</f>
        <v>50.24743444809608</v>
      </c>
      <c r="AB532" s="57" cm="1">
        <f t="array" ref="AB532">VLOOKUP(B532,'Player Data'!$A1:$AE673,16,FALSE)*$Q532</f>
        <v>139.37488987548844</v>
      </c>
      <c r="AC532" s="57" cm="1">
        <f t="array" ref="AC532">VLOOKUP(B532,'Player Data'!$A1:$AE673,17,FALSE)*$Q532*IFERROR((VLOOKUP(P532,Settings!$E$28:$F$33,2,FALSE)+1),1)</f>
        <v>-1.791003300345084</v>
      </c>
      <c r="AD532" s="57" cm="1">
        <f t="array" ref="AD532">VLOOKUP(B532,'Player Data'!$A1:$AE673,18,FALSE)*$Q532</f>
        <v>36.182079916857475</v>
      </c>
      <c r="AE532" s="57" cm="1">
        <f t="array" ref="AE532">VLOOKUP(B532,'Player Data'!$A1:$AE673,19,FALSE)*$Q532*IFERROR((VLOOKUP(P532,Settings!$E$28:$F$33,2,FALSE)+1),1)</f>
        <v>1.8749031804524134</v>
      </c>
      <c r="AF532" s="57" cm="1">
        <f t="array" ref="AF532">VLOOKUP(B532,'Player Data'!$A1:$AE673,20,FALSE)*$Q532</f>
        <v>435.60130759874374</v>
      </c>
      <c r="AG532" s="57" cm="1">
        <f t="array" ref="AG532">VLOOKUP(B532,'Player Data'!$A1:$AE673,21,FALSE)*$Q532</f>
        <v>391.63127278285793</v>
      </c>
      <c r="AH532" s="59" cm="1">
        <f t="array" ref="AH532">VLOOKUP(B532,'Player Data'!$A1:$AE673,22,FALSE)</f>
        <v>0.52657658550851705</v>
      </c>
      <c r="AI532" s="55"/>
      <c r="AJ532" s="57"/>
      <c r="AK532" s="57"/>
      <c r="AL532" s="57"/>
      <c r="AM532" s="57"/>
      <c r="AN532" s="57"/>
      <c r="AO532" s="57"/>
      <c r="AP532" s="57"/>
      <c r="AQ532" s="60"/>
      <c r="AR532" s="61"/>
      <c r="AS532" s="55"/>
    </row>
    <row r="533" spans="1:45" ht="21.25" customHeight="1" x14ac:dyDescent="0.15">
      <c r="A533" s="62">
        <f t="shared" si="8"/>
        <v>532</v>
      </c>
      <c r="B533" s="10" t="s">
        <v>661</v>
      </c>
      <c r="C533" s="47" t="s">
        <v>147</v>
      </c>
      <c r="D533" s="48" t="str" cm="1">
        <f t="array" ref="D533">VLOOKUP(B533,'Player Data'!A1:D673,4,FALSE)</f>
        <v>C</v>
      </c>
      <c r="E533" s="49" cm="1">
        <f t="array" ref="E533">VLOOKUP(B533,'C'!A1:C210,3,FALSE)</f>
        <v>152</v>
      </c>
      <c r="F533" s="63" t="str" cm="1">
        <f t="array" ref="F533">VLOOKUP(B533,'Player Data'!A1:B673,2,FALSE)</f>
        <v>CGY</v>
      </c>
      <c r="G533" s="66" cm="1">
        <f t="array" ref="G533">VLOOKUP(B533,'Player Data'!A1:D673,3,FALSE)</f>
        <v>33</v>
      </c>
      <c r="H533" s="67" cm="1">
        <f t="array" ref="H533">IFERROR(VLOOKUP(B533,ADP!A1:F671,6,FALSE)/1000000,VLOOKUP(B533,ADP!A1:F671,6,FALSE))</f>
        <v>5</v>
      </c>
      <c r="I533" s="52">
        <f>IF(Settings!$E$15="POINTS",((R533*Q533)*Settings!$B$12)+(S533*Settings!$B$2)+(T533*Settings!$B$3)+(U533*Settings!$B$4)+(V533*Settings!$B$5)+(X533*Settings!$B$9)+(AA533*Settings!$B$6)+(W533*Settings!$B$8)+(AB533*Settings!$B$7)+(AC533*Settings!$B$14)+(AD533*Settings!$B$15)+(AE533*Settings!$B$16)+(AF533*Settings!$B$17)+(AG533*Settings!$B$18)+(Y533*Settings!$B$10)+(Z533*Settings!$B$11),VLOOKUP(B533,'Standard Deviations'!A$1:C$672,3,FALSE))</f>
        <v>147.31566899271124</v>
      </c>
      <c r="J533" s="53" cm="1">
        <f t="array" ref="J533">IF(D533="G",I533/AJ533,I533/Q533)</f>
        <v>1.878906561988537</v>
      </c>
      <c r="K533" s="52" cm="1">
        <f t="array" ref="K533">IF(Settings!$E$18="C/LW/RW",VLOOKUP(B533,'C'!A1:F210,6,FALSE),VLOOKUP(B533,F!A1:F407,6,FALSE))</f>
        <v>-239.21953740037176</v>
      </c>
      <c r="L533" s="54" cm="1">
        <f t="array" ref="L533">IFERROR(K533/H533,"N/A")</f>
        <v>-47.84390748007435</v>
      </c>
      <c r="M533" s="85" t="s">
        <v>832</v>
      </c>
      <c r="N533" s="85" t="str" cm="1">
        <f t="array" ref="N533">IFERROR(M533-A533,"N/A")</f>
        <v>N/A</v>
      </c>
      <c r="O533" s="55"/>
      <c r="P533" s="56" t="str" cm="1">
        <f t="array" ref="P533">_xlfn.XLOOKUP($B533,ADP!A2:A671,ADP!G2:G671)</f>
        <v xml:space="preserve"> </v>
      </c>
      <c r="Q533" s="57" cm="1">
        <f t="array" ref="Q533">IF(Settings!$E$12="YES",VLOOKUP(B533,'Player Data'!A1:E673,5,FALSE),84)</f>
        <v>78.405000000000001</v>
      </c>
      <c r="R533" s="55" cm="1">
        <f t="array" ref="R533">VLOOKUP(B533,'Player Data'!$A1:$AE673,6,FALSE)</f>
        <v>12.961920452397999</v>
      </c>
      <c r="S533" s="57" cm="1">
        <f t="array" ref="S533">VLOOKUP(B533,'Player Data'!$A1:$AE673,7,FALSE)*$Q533*IFERROR((VLOOKUP(P533,Settings!$E$28:$F$33,2,FALSE)+1),1)</f>
        <v>8.624791014977415</v>
      </c>
      <c r="T533" s="57" cm="1">
        <f t="array" ref="T533">VLOOKUP(B533,'Player Data'!$A1:$AE673,8,FALSE)*$Q533*IFERROR((VLOOKUP(P533,Settings!$E$28:$F$33,2,FALSE)+1),1)</f>
        <v>19.496429917893863</v>
      </c>
      <c r="U533" s="57" cm="1">
        <f t="array" ref="U533">SUM(S533:T533)</f>
        <v>28.121220932871278</v>
      </c>
      <c r="V533" s="57" cm="1">
        <f t="array" ref="V533">VLOOKUP(B533,'Player Data'!$A1:$AE673,10,FALSE)*$Q533*IFERROR(((VLOOKUP(P533,Settings!$E$28:$F$33,2,FALSE)/2)+1),1)</f>
        <v>94.259540166223118</v>
      </c>
      <c r="W533" s="57" cm="1">
        <f t="array" ref="W533">VLOOKUP(B533,'Player Data'!$A1:$AE673,11,FALSE)*$Q533*IFERROR((VLOOKUP(P533,Settings!$E$28:$F$33,2,FALSE)+1),1)</f>
        <v>0.58118105264896858</v>
      </c>
      <c r="X533" s="57" cm="1">
        <f t="array" ref="X533">VLOOKUP(B533,'Player Data'!$A1:$AE673,12,FALSE)*$Q533*IFERROR((VLOOKUP(P533,Settings!$E$28:$F$33,2,FALSE)+1),1)</f>
        <v>2.7446887043792803</v>
      </c>
      <c r="Y533" s="57" cm="1">
        <f t="array" ref="Y533">VLOOKUP(B533,'Player Data'!$A1:$AE673,13,FALSE)*$Q533</f>
        <v>2.7029948895395502E-2</v>
      </c>
      <c r="Z533" s="57" cm="1">
        <f t="array" ref="Z533">VLOOKUP(B533,'Player Data'!$A1:$AE673,14,FALSE)*$Q533</f>
        <v>4.6976766466069089E-2</v>
      </c>
      <c r="AA533" s="57" cm="1">
        <f t="array" ref="AA533">VLOOKUP(B533,'Player Data'!$A1:$AE673,15,FALSE)*$Q533</f>
        <v>26.061141280280996</v>
      </c>
      <c r="AB533" s="57" cm="1">
        <f t="array" ref="AB533">VLOOKUP(B533,'Player Data'!$A1:$AE673,16,FALSE)*$Q533</f>
        <v>45.010153894263929</v>
      </c>
      <c r="AC533" s="57" cm="1">
        <f t="array" ref="AC533">VLOOKUP(B533,'Player Data'!$A1:$AE673,17,FALSE)*$Q533*IFERROR((VLOOKUP(P533,Settings!$E$28:$F$33,2,FALSE)+1),1)</f>
        <v>-7.287823444164399</v>
      </c>
      <c r="AD533" s="57" cm="1">
        <f t="array" ref="AD533">VLOOKUP(B533,'Player Data'!$A1:$AE673,18,FALSE)*$Q533</f>
        <v>44.970112197504641</v>
      </c>
      <c r="AE533" s="57" cm="1">
        <f t="array" ref="AE533">VLOOKUP(B533,'Player Data'!$A1:$AE673,19,FALSE)*$Q533*IFERROR((VLOOKUP(P533,Settings!$E$28:$F$33,2,FALSE)+1),1)</f>
        <v>1.2400290594859089</v>
      </c>
      <c r="AF533" s="57" cm="1">
        <f t="array" ref="AF533">VLOOKUP(B533,'Player Data'!$A1:$AE673,20,FALSE)*$Q533</f>
        <v>275.42363036338753</v>
      </c>
      <c r="AG533" s="57" cm="1">
        <f t="array" ref="AG533">VLOOKUP(B533,'Player Data'!$A1:$AE673,21,FALSE)*$Q533</f>
        <v>351.17838483876682</v>
      </c>
      <c r="AH533" s="59" cm="1">
        <f t="array" ref="AH533">VLOOKUP(B533,'Player Data'!$A1:$AE673,22,FALSE)</f>
        <v>0.43955114040693</v>
      </c>
      <c r="AI533" s="55"/>
      <c r="AJ533" s="57"/>
      <c r="AK533" s="57"/>
      <c r="AL533" s="57"/>
      <c r="AM533" s="57"/>
      <c r="AN533" s="57"/>
      <c r="AO533" s="57"/>
      <c r="AP533" s="57"/>
      <c r="AQ533" s="60"/>
      <c r="AR533" s="61"/>
      <c r="AS533" s="55"/>
    </row>
    <row r="534" spans="1:45" ht="21.25" customHeight="1" x14ac:dyDescent="0.15">
      <c r="A534" s="62">
        <f t="shared" si="8"/>
        <v>533</v>
      </c>
      <c r="B534" s="10" t="s">
        <v>662</v>
      </c>
      <c r="C534" s="76"/>
      <c r="D534" s="48" t="str" cm="1">
        <f t="array" ref="D534">VLOOKUP(B534,'Player Data'!A1:D673,4,FALSE)</f>
        <v>G</v>
      </c>
      <c r="E534" s="77" cm="1">
        <f t="array" ref="E534">VLOOKUP(B534,G!A1:D66,3,FALSE)</f>
        <v>60</v>
      </c>
      <c r="F534" s="69" t="str" cm="1">
        <f t="array" ref="F534">VLOOKUP(B534,'Player Data'!A1:B673,2,FALSE)</f>
        <v>CBJ</v>
      </c>
      <c r="G534" s="66" cm="1">
        <f t="array" ref="G534">VLOOKUP(B534,'Player Data'!A1:D673,3,FALSE)</f>
        <v>32</v>
      </c>
      <c r="H534" s="67" cm="1">
        <f t="array" ref="H534">IFERROR(VLOOKUP(B534,ADP!A1:F671,6,FALSE)/1000000,VLOOKUP(B534,ADP!A1:F671,6,FALSE))</f>
        <v>5.4</v>
      </c>
      <c r="I534" s="52">
        <f>IF(Settings!$E$15="POINTS",(AJ534*Settings!$B$29)+(AK534*Settings!$B$21)+(AL534*Settings!$B$22)+(AN534*Settings!$B$24)+(AO534*Settings!$B$25)+(AP534*Settings!$B$27)+(AM534*Settings!$B$23),VLOOKUP(B534,'Standard Deviations'!A$1:C$672,3,FALSE))</f>
        <v>118.31103986836717</v>
      </c>
      <c r="J534" s="53" cm="1">
        <f t="array" ref="J534">IF(D534="G",I534/AJ534,I534/Q534)</f>
        <v>4.732441594734687</v>
      </c>
      <c r="K534" s="52" cm="1">
        <f t="array" ref="K534">VLOOKUP(B534,G!A1:F66,6,FALSE)</f>
        <v>-240.84686806187085</v>
      </c>
      <c r="L534" s="54" cm="1">
        <f t="array" ref="L534">IFERROR(K534/H534,"N/A")</f>
        <v>-44.601271863309414</v>
      </c>
      <c r="M534" s="85" t="s">
        <v>832</v>
      </c>
      <c r="N534" s="85" t="str" cm="1">
        <f t="array" ref="N534">IFERROR(M534-A534,"N/A")</f>
        <v>N/A</v>
      </c>
      <c r="O534" s="55"/>
      <c r="P534" s="56" t="str" cm="1">
        <f t="array" ref="P534">_xlfn.XLOOKUP($B534,ADP!A2:A671,ADP!G2:G671)</f>
        <v xml:space="preserve"> </v>
      </c>
      <c r="Q534" s="57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9"/>
      <c r="AI534" s="55"/>
      <c r="AJ534" s="78" cm="1">
        <f t="array" ref="AJ534">VLOOKUP(B534,'Player Data'!$A1:$AE673,24,FALSE)</f>
        <v>25</v>
      </c>
      <c r="AK534" s="57" cm="1">
        <f t="array" ref="AK534">VLOOKUP(B534,'Player Data'!$A1:$AE673,25,FALSE)*$AJ534*IFERROR((VLOOKUP(P534,Settings!$E$28:$F$33,2,FALSE)+1),1)</f>
        <v>12.2549514524607</v>
      </c>
      <c r="AL534" s="57" cm="1">
        <f t="array" ref="AL534">AJ534-AK534-AM534</f>
        <v>9.5587864106544753</v>
      </c>
      <c r="AM534" s="57" cm="1">
        <f t="array" ref="AM534">VLOOKUP(B534,'Player Data'!$A1:$AE673,27,FALSE)*$AJ534</f>
        <v>3.186262136884825</v>
      </c>
      <c r="AN534" s="57" cm="1">
        <f t="array" ref="AN534">VLOOKUP(B534,'Player Data'!$A1:$AE673,28,FALSE)*AJ534</f>
        <v>1.1800170792578351</v>
      </c>
      <c r="AO534" s="57" cm="1">
        <f t="array" ref="AO534">VLOOKUP(B534,'Player Data'!$A1:$AE673,29,FALSE)*$AJ534*IFERROR((VLOOKUP(P534,Settings!$E$28:$F$33,2,FALSE)/4)+1,1)</f>
        <v>599.7362311625775</v>
      </c>
      <c r="AP534" s="57" cm="1">
        <f t="array" ref="AP534">VLOOKUP(B534,'Player Data'!$A1:$AE673,31,FALSE)*$AJ534*(IFERROR(1-(VLOOKUP(P534,Settings!$E$28:$F$33,2,FALSE)/4),1))</f>
        <v>73.167315716520491</v>
      </c>
      <c r="AQ534" s="60" cm="1">
        <f t="array" ref="AQ534">1-(AP534/(AO534+AP534))</f>
        <v>0.89126626534238407</v>
      </c>
      <c r="AR534" s="61" cm="1">
        <f t="array" ref="AR534">AP534/AJ534</f>
        <v>2.9266926286608195</v>
      </c>
      <c r="AS534" s="55"/>
    </row>
    <row r="535" spans="1:45" ht="21.25" customHeight="1" x14ac:dyDescent="0.15">
      <c r="A535" s="62">
        <f t="shared" si="8"/>
        <v>534</v>
      </c>
      <c r="B535" s="10" t="s">
        <v>663</v>
      </c>
      <c r="C535" s="76"/>
      <c r="D535" s="48" t="str" cm="1">
        <f t="array" ref="D535">VLOOKUP(B535,'Player Data'!A1:D673,4,FALSE)</f>
        <v>G</v>
      </c>
      <c r="E535" s="77" cm="1">
        <f t="array" ref="E535">VLOOKUP(B535,G!A1:D66,3,FALSE)</f>
        <v>61</v>
      </c>
      <c r="F535" s="72" t="str" cm="1">
        <f t="array" ref="F535">VLOOKUP(B535,'Player Data'!A1:B673,2,FALSE)</f>
        <v>NYI</v>
      </c>
      <c r="G535" s="11" cm="1">
        <f t="array" ref="G535">VLOOKUP(B535,'Player Data'!A1:D673,3,FALSE)</f>
        <v>30</v>
      </c>
      <c r="H535" s="67" cm="1">
        <f t="array" ref="H535">IFERROR(VLOOKUP(B535,ADP!A1:F671,6,FALSE)/1000000,VLOOKUP(B535,ADP!A1:F671,6,FALSE))</f>
        <v>1</v>
      </c>
      <c r="I535" s="52">
        <f>IF(Settings!$E$15="POINTS",(AJ535*Settings!$B$29)+(AK535*Settings!$B$21)+(AL535*Settings!$B$22)+(AN535*Settings!$B$24)+(AO535*Settings!$B$25)+(AP535*Settings!$B$27)+(AM535*Settings!$B$23),VLOOKUP(B535,'Standard Deviations'!A$1:C$672,3,FALSE))</f>
        <v>118.24718157967101</v>
      </c>
      <c r="J535" s="53" cm="1">
        <f t="array" ref="J535">IF(D535="G",I535/AJ535,I535/Q535)</f>
        <v>4.7298872631868401</v>
      </c>
      <c r="K535" s="52" cm="1">
        <f t="array" ref="K535">VLOOKUP(B535,G!A1:F66,6,FALSE)</f>
        <v>-240.91072635056702</v>
      </c>
      <c r="L535" s="54" cm="1">
        <f t="array" ref="L535">IFERROR(K535/H535,"N/A")</f>
        <v>-240.91072635056702</v>
      </c>
      <c r="M535" s="85" t="s">
        <v>832</v>
      </c>
      <c r="N535" s="85" t="str" cm="1">
        <f t="array" ref="N535">IFERROR(M535-A535,"N/A")</f>
        <v>N/A</v>
      </c>
      <c r="O535" s="55"/>
      <c r="P535" s="56" t="str" cm="1">
        <f t="array" ref="P535">_xlfn.XLOOKUP($B535,ADP!A2:A671,ADP!G2:G671)</f>
        <v xml:space="preserve"> </v>
      </c>
      <c r="Q535" s="57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9"/>
      <c r="AI535" s="55"/>
      <c r="AJ535" s="78" cm="1">
        <f t="array" ref="AJ535">VLOOKUP(B535,'Player Data'!$A1:$AE673,24,FALSE)</f>
        <v>25</v>
      </c>
      <c r="AK535" s="57" cm="1">
        <f t="array" ref="AK535">VLOOKUP(B535,'Player Data'!$A1:$AE673,25,FALSE)*$AJ535*IFERROR((VLOOKUP(P535,Settings!$E$28:$F$33,2,FALSE)+1),1)</f>
        <v>10.2936537635479</v>
      </c>
      <c r="AL535" s="57" cm="1">
        <f t="array" ref="AL535">AJ535-AK535-AM535</f>
        <v>11.029759677339076</v>
      </c>
      <c r="AM535" s="57" cm="1">
        <f t="array" ref="AM535">VLOOKUP(B535,'Player Data'!$A1:$AE673,27,FALSE)*$AJ535</f>
        <v>3.6765865591130251</v>
      </c>
      <c r="AN535" s="57" cm="1">
        <f t="array" ref="AN535">VLOOKUP(B535,'Player Data'!$A1:$AE673,28,FALSE)*AJ535</f>
        <v>0.84716938631057503</v>
      </c>
      <c r="AO535" s="57" cm="1">
        <f t="array" ref="AO535">VLOOKUP(B535,'Player Data'!$A1:$AE673,29,FALSE)*$AJ535*IFERROR((VLOOKUP(P535,Settings!$E$28:$F$33,2,FALSE)/4)+1,1)</f>
        <v>638.18186727842499</v>
      </c>
      <c r="AP535" s="57" cm="1">
        <f t="array" ref="AP535">VLOOKUP(B535,'Player Data'!$A1:$AE673,31,FALSE)*$AJ535*(IFERROR(1-(VLOOKUP(P535,Settings!$E$28:$F$33,2,FALSE)/4),1))</f>
        <v>77.523960912165251</v>
      </c>
      <c r="AQ535" s="60" cm="1">
        <f t="array" ref="AQ535">1-(AP535/(AO535+AP535))</f>
        <v>0.89168180856070822</v>
      </c>
      <c r="AR535" s="61" cm="1">
        <f t="array" ref="AR535">AP535/AJ535</f>
        <v>3.1009584364866098</v>
      </c>
      <c r="AS535" s="55"/>
    </row>
    <row r="536" spans="1:45" ht="21.25" customHeight="1" x14ac:dyDescent="0.15">
      <c r="A536" s="62">
        <f t="shared" si="8"/>
        <v>535</v>
      </c>
      <c r="B536" s="10" t="s">
        <v>664</v>
      </c>
      <c r="C536" s="47" t="s">
        <v>147</v>
      </c>
      <c r="D536" s="48" t="str" cm="1">
        <f t="array" ref="D536">VLOOKUP(B536,'Player Data'!A1:D673,4,FALSE)</f>
        <v>C</v>
      </c>
      <c r="E536" s="49" cm="1">
        <f t="array" ref="E536">VLOOKUP(B536,'C'!A1:C210,3,FALSE)</f>
        <v>157</v>
      </c>
      <c r="F536" s="69" t="str" cm="1">
        <f t="array" ref="F536">VLOOKUP(B536,'Player Data'!A1:B673,2,FALSE)</f>
        <v>MTL</v>
      </c>
      <c r="G536" s="66" cm="1">
        <f t="array" ref="G536">VLOOKUP(B536,'Player Data'!A1:D673,3,FALSE)</f>
        <v>33</v>
      </c>
      <c r="H536" s="67" cm="1">
        <f t="array" ref="H536">IFERROR(VLOOKUP(B536,ADP!A1:F671,6,FALSE)/1000000,VLOOKUP(B536,ADP!A1:F671,6,FALSE))</f>
        <v>5.5</v>
      </c>
      <c r="I536" s="52">
        <f>IF(Settings!$E$15="POINTS",((R536*Q536)*Settings!$B$12)+(S536*Settings!$B$2)+(T536*Settings!$B$3)+(U536*Settings!$B$4)+(V536*Settings!$B$5)+(X536*Settings!$B$9)+(AA536*Settings!$B$6)+(W536*Settings!$B$8)+(AB536*Settings!$B$7)+(AC536*Settings!$B$14)+(AD536*Settings!$B$15)+(AE536*Settings!$B$16)+(AF536*Settings!$B$17)+(AG536*Settings!$B$18)+(Y536*Settings!$B$10)+(Z536*Settings!$B$11),VLOOKUP(B536,'Standard Deviations'!A$1:C$672,3,FALSE))</f>
        <v>144.8317027273041</v>
      </c>
      <c r="J536" s="53" cm="1">
        <f t="array" ref="J536">IF(D536="G",I536/AJ536,I536/Q536)</f>
        <v>1.7638204016112542</v>
      </c>
      <c r="K536" s="52" cm="1">
        <f t="array" ref="K536">IF(Settings!$E$18="C/LW/RW",VLOOKUP(B536,'C'!A1:F210,6,FALSE),VLOOKUP(B536,F!A1:F407,6,FALSE))</f>
        <v>-241.7035036657789</v>
      </c>
      <c r="L536" s="54" cm="1">
        <f t="array" ref="L536">IFERROR(K536/H536,"N/A")</f>
        <v>-43.946091575596164</v>
      </c>
      <c r="M536" s="85" t="s">
        <v>832</v>
      </c>
      <c r="N536" s="85" t="str" cm="1">
        <f t="array" ref="N536">IFERROR(M536-A536,"N/A")</f>
        <v>N/A</v>
      </c>
      <c r="O536" s="55"/>
      <c r="P536" s="56" t="str" cm="1">
        <f t="array" ref="P536">_xlfn.XLOOKUP($B536,ADP!A2:A671,ADP!G2:G671)</f>
        <v xml:space="preserve"> </v>
      </c>
      <c r="Q536" s="57" cm="1">
        <f t="array" ref="Q536">IF(Settings!$E$12="YES",VLOOKUP(B536,'Player Data'!A1:E673,5,FALSE),84)</f>
        <v>82.112499999999997</v>
      </c>
      <c r="R536" s="84" cm="1">
        <f t="array" ref="R536">VLOOKUP(B536,'Player Data'!$A1:$AE673,6,FALSE)</f>
        <v>13.944970818048599</v>
      </c>
      <c r="S536" s="57" cm="1">
        <f t="array" ref="S536">VLOOKUP(B536,'Player Data'!$A1:$AE673,7,FALSE)*$Q536*IFERROR((VLOOKUP(P536,Settings!$E$28:$F$33,2,FALSE)+1),1)</f>
        <v>6.1339074449363613</v>
      </c>
      <c r="T536" s="57" cm="1">
        <f t="array" ref="T536">VLOOKUP(B536,'Player Data'!$A1:$AE673,8,FALSE)*$Q536*IFERROR((VLOOKUP(P536,Settings!$E$28:$F$33,2,FALSE)+1),1)</f>
        <v>18.085623284723777</v>
      </c>
      <c r="U536" s="57" cm="1">
        <f t="array" ref="U536">SUM(S536:T536)</f>
        <v>24.219530729660139</v>
      </c>
      <c r="V536" s="57" cm="1">
        <f t="array" ref="V536">VLOOKUP(B536,'Player Data'!$A1:$AE673,10,FALSE)*$Q536*IFERROR(((VLOOKUP(P536,Settings!$E$28:$F$33,2,FALSE)/2)+1),1)</f>
        <v>94.35309865269042</v>
      </c>
      <c r="W536" s="57" cm="1">
        <f t="array" ref="W536">VLOOKUP(B536,'Player Data'!$A1:$AE673,11,FALSE)*$Q536*IFERROR((VLOOKUP(P536,Settings!$E$28:$F$33,2,FALSE)+1),1)</f>
        <v>0.17196948244160987</v>
      </c>
      <c r="X536" s="57" cm="1">
        <f t="array" ref="X536">VLOOKUP(B536,'Player Data'!$A1:$AE673,12,FALSE)*$Q536*IFERROR((VLOOKUP(P536,Settings!$E$28:$F$33,2,FALSE)+1),1)</f>
        <v>0.41377117233641775</v>
      </c>
      <c r="Y536" s="57" cm="1">
        <f t="array" ref="Y536">VLOOKUP(B536,'Player Data'!$A1:$AE673,13,FALSE)*$Q536</f>
        <v>6.7541064166396603E-2</v>
      </c>
      <c r="Z536" s="57" cm="1">
        <f t="array" ref="Z536">VLOOKUP(B536,'Player Data'!$A1:$AE673,14,FALSE)*$Q536</f>
        <v>0.91486140757953793</v>
      </c>
      <c r="AA536" s="57" cm="1">
        <f t="array" ref="AA536">VLOOKUP(B536,'Player Data'!$A1:$AE673,15,FALSE)*$Q536</f>
        <v>47.335857264125032</v>
      </c>
      <c r="AB536" s="57" cm="1">
        <f t="array" ref="AB536">VLOOKUP(B536,'Player Data'!$A1:$AE673,16,FALSE)*$Q536</f>
        <v>68.148843238879763</v>
      </c>
      <c r="AC536" s="57" cm="1">
        <f t="array" ref="AC536">VLOOKUP(B536,'Player Data'!$A1:$AE673,17,FALSE)*$Q536*IFERROR((VLOOKUP(P536,Settings!$E$28:$F$33,2,FALSE)+1),1)</f>
        <v>2.4758803249084465</v>
      </c>
      <c r="AD536" s="57" cm="1">
        <f t="array" ref="AD536">VLOOKUP(B536,'Player Data'!$A1:$AE673,18,FALSE)*$Q536</f>
        <v>22.296454679924366</v>
      </c>
      <c r="AE536" s="57" cm="1">
        <f t="array" ref="AE536">VLOOKUP(B536,'Player Data'!$A1:$AE673,19,FALSE)*$Q536*IFERROR((VLOOKUP(P536,Settings!$E$28:$F$33,2,FALSE)+1),1)</f>
        <v>1.0212351928862295</v>
      </c>
      <c r="AF536" s="57" cm="1">
        <f t="array" ref="AF536">VLOOKUP(B536,'Player Data'!$A1:$AE673,20,FALSE)*$Q536</f>
        <v>514.11438664583886</v>
      </c>
      <c r="AG536" s="57" cm="1">
        <f t="array" ref="AG536">VLOOKUP(B536,'Player Data'!$A1:$AE673,21,FALSE)*$Q536</f>
        <v>455.38609006957847</v>
      </c>
      <c r="AH536" s="59" cm="1">
        <f t="array" ref="AH536">VLOOKUP(B536,'Player Data'!$A1:$AE673,22,FALSE)</f>
        <v>0.53028791526499697</v>
      </c>
      <c r="AI536" s="55"/>
      <c r="AJ536" s="57"/>
      <c r="AK536" s="57"/>
      <c r="AL536" s="57"/>
      <c r="AM536" s="57"/>
      <c r="AN536" s="57"/>
      <c r="AO536" s="57"/>
      <c r="AP536" s="57"/>
      <c r="AQ536" s="60"/>
      <c r="AR536" s="61"/>
      <c r="AS536" s="55"/>
    </row>
    <row r="537" spans="1:45" ht="21.25" customHeight="1" x14ac:dyDescent="0.15">
      <c r="A537" s="62">
        <f t="shared" si="8"/>
        <v>536</v>
      </c>
      <c r="B537" s="10" t="s">
        <v>665</v>
      </c>
      <c r="C537" s="76"/>
      <c r="D537" s="48" t="str" cm="1">
        <f t="array" ref="D537">VLOOKUP(B537,'Player Data'!A1:D673,4,FALSE)</f>
        <v>G</v>
      </c>
      <c r="E537" s="77" cm="1">
        <f t="array" ref="E537">VLOOKUP(B537,G!A1:D66,3,FALSE)</f>
        <v>62</v>
      </c>
      <c r="F537" s="56" t="str" cm="1">
        <f t="array" ref="F537">VLOOKUP(B537,'Player Data'!A1:B673,2,FALSE)</f>
        <v>CHI</v>
      </c>
      <c r="G537" s="11" cm="1">
        <f t="array" ref="G537">VLOOKUP(B537,'Player Data'!A1:D673,3,FALSE)</f>
        <v>27</v>
      </c>
      <c r="H537" s="67" cm="1">
        <f t="array" ref="H537">IFERROR(VLOOKUP(B537,ADP!A1:F671,6,FALSE)/1000000,VLOOKUP(B537,ADP!A1:F671,6,FALSE))</f>
        <v>2.75</v>
      </c>
      <c r="I537" s="52">
        <f>IF(Settings!$E$15="POINTS",(AJ537*Settings!$B$29)+(AK537*Settings!$B$21)+(AL537*Settings!$B$22)+(AN537*Settings!$B$24)+(AO537*Settings!$B$25)+(AP537*Settings!$B$27)+(AM537*Settings!$B$23),VLOOKUP(B537,'Standard Deviations'!A$1:C$672,3,FALSE))</f>
        <v>116.7666194716017</v>
      </c>
      <c r="J537" s="53" cm="1">
        <f t="array" ref="J537">IF(D537="G",I537/AJ537,I537/Q537)</f>
        <v>4.6706647788640678</v>
      </c>
      <c r="K537" s="52" cm="1">
        <f t="array" ref="K537">VLOOKUP(B537,G!A1:F66,6,FALSE)</f>
        <v>-242.39128845863632</v>
      </c>
      <c r="L537" s="54" cm="1">
        <f t="array" ref="L537">IFERROR(K537/H537,"N/A")</f>
        <v>-88.142286712231396</v>
      </c>
      <c r="M537" s="85" t="s">
        <v>832</v>
      </c>
      <c r="N537" s="85" t="str" cm="1">
        <f t="array" ref="N537">IFERROR(M537-A537,"N/A")</f>
        <v>N/A</v>
      </c>
      <c r="O537" s="55"/>
      <c r="P537" s="56" t="str" cm="1">
        <f t="array" ref="P537">_xlfn.XLOOKUP($B537,ADP!A2:A671,ADP!G2:G671)</f>
        <v xml:space="preserve"> </v>
      </c>
      <c r="Q537" s="57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9"/>
      <c r="AI537" s="55"/>
      <c r="AJ537" s="78" cm="1">
        <f t="array" ref="AJ537">VLOOKUP(B537,'Player Data'!$A1:$AE673,24,FALSE)</f>
        <v>25</v>
      </c>
      <c r="AK537" s="57" cm="1">
        <f t="array" ref="AK537">VLOOKUP(B537,'Player Data'!$A1:$AE673,25,FALSE)*$AJ537*IFERROR((VLOOKUP(P537,Settings!$E$28:$F$33,2,FALSE)+1),1)</f>
        <v>9.1618365975693763</v>
      </c>
      <c r="AL537" s="57" cm="1">
        <f t="array" ref="AL537">AJ537-AK537-AM537</f>
        <v>11.878622551822975</v>
      </c>
      <c r="AM537" s="57" cm="1">
        <f t="array" ref="AM537">VLOOKUP(B537,'Player Data'!$A1:$AE673,27,FALSE)*$AJ537</f>
        <v>3.9595408506076497</v>
      </c>
      <c r="AN537" s="57" cm="1">
        <f t="array" ref="AN537">VLOOKUP(B537,'Player Data'!$A1:$AE673,28,FALSE)*AJ537</f>
        <v>0.4664023943201025</v>
      </c>
      <c r="AO537" s="57" cm="1">
        <f t="array" ref="AO537">VLOOKUP(B537,'Player Data'!$A1:$AE673,29,FALSE)*$AJ537*IFERROR((VLOOKUP(P537,Settings!$E$28:$F$33,2,FALSE)/4)+1,1)</f>
        <v>672.67634695238496</v>
      </c>
      <c r="AP537" s="57" cm="1">
        <f t="array" ref="AP537">VLOOKUP(B537,'Player Data'!$A1:$AE673,31,FALSE)*$AJ537*(IFERROR(1-(VLOOKUP(P537,Settings!$E$28:$F$33,2,FALSE)/4),1))</f>
        <v>82.507822063873007</v>
      </c>
      <c r="AQ537" s="60" cm="1">
        <f t="array" ref="AQ537">1-(AP537/(AO537+AP537))</f>
        <v>0.89074476737065078</v>
      </c>
      <c r="AR537" s="61" cm="1">
        <f t="array" ref="AR537">AP537/AJ537</f>
        <v>3.3003128825549202</v>
      </c>
      <c r="AS537" s="55"/>
    </row>
    <row r="538" spans="1:45" ht="21.25" customHeight="1" x14ac:dyDescent="0.15">
      <c r="A538" s="62">
        <f t="shared" si="8"/>
        <v>537</v>
      </c>
      <c r="B538" s="10" t="s">
        <v>666</v>
      </c>
      <c r="C538" s="47" t="s">
        <v>147</v>
      </c>
      <c r="D538" s="48" t="str" cm="1">
        <f t="array" ref="D538">VLOOKUP(B538,'Player Data'!A1:D673,4,FALSE)</f>
        <v>C,LW</v>
      </c>
      <c r="E538" s="74" cm="1">
        <f t="array" ref="E538">VLOOKUP(B538,LW!A1:C210,3,FALSE)</f>
        <v>141</v>
      </c>
      <c r="F538" s="63" t="str" cm="1">
        <f t="array" ref="F538">VLOOKUP(B538,'Player Data'!A1:B673,2,FALSE)</f>
        <v>DAL</v>
      </c>
      <c r="G538" s="11" cm="1">
        <f t="array" ref="G538">VLOOKUP(B538,'Player Data'!A1:D673,3,FALSE)</f>
        <v>25</v>
      </c>
      <c r="H538" s="51" cm="1">
        <f t="array" ref="H538">IFERROR(VLOOKUP(B538,ADP!A1:F671,6,FALSE)/1000000,VLOOKUP(B538,ADP!A1:F671,6,FALSE))</f>
        <v>0.95</v>
      </c>
      <c r="I538" s="52">
        <f>IF(Settings!$E$15="POINTS",((R538*Q538)*Settings!$B$12)+(S538*Settings!$B$2)+(T538*Settings!$B$3)+(U538*Settings!$B$4)+(V538*Settings!$B$5)+(X538*Settings!$B$9)+(AA538*Settings!$B$6)+(W538*Settings!$B$8)+(AB538*Settings!$B$7)+(AC538*Settings!$B$14)+(AD538*Settings!$B$15)+(AE538*Settings!$B$16)+(AF538*Settings!$B$17)+(AG538*Settings!$B$18)+(Y538*Settings!$B$10)+(Z538*Settings!$B$11),VLOOKUP(B538,'Standard Deviations'!A$1:C$672,3,FALSE))</f>
        <v>156.13141068931625</v>
      </c>
      <c r="J538" s="53" cm="1">
        <f t="array" ref="J538">IF(D538="G",I538/AJ538,I538/Q538)</f>
        <v>1.9343543416876201</v>
      </c>
      <c r="K538" s="52" cm="1">
        <f t="array" ref="K538">IF(Settings!$E$18="C/LW/RW",VLOOKUP(B538,LW!A1:F210,6,FALSE),VLOOKUP(B538,F!A1:F407,6,FALSE))</f>
        <v>-243.18158262440383</v>
      </c>
      <c r="L538" s="54" cm="1">
        <f t="array" ref="L538">IFERROR(K538/H538,"N/A")</f>
        <v>-255.98061328884614</v>
      </c>
      <c r="M538" s="85" t="s">
        <v>832</v>
      </c>
      <c r="N538" s="85" t="str" cm="1">
        <f t="array" ref="N538">IFERROR(M538-A538,"N/A")</f>
        <v>N/A</v>
      </c>
      <c r="O538" s="55"/>
      <c r="P538" s="56" t="str" cm="1">
        <f t="array" ref="P538">_xlfn.XLOOKUP($B538,ADP!A2:A671,ADP!G2:G671)</f>
        <v xml:space="preserve"> </v>
      </c>
      <c r="Q538" s="57" cm="1">
        <f t="array" ref="Q538">IF(Settings!$E$12="YES",VLOOKUP(B538,'Player Data'!A1:E673,5,FALSE),84)</f>
        <v>80.715000000000003</v>
      </c>
      <c r="R538" s="55" cm="1">
        <f t="array" ref="R538">VLOOKUP(B538,'Player Data'!$A1:$AE673,6,FALSE)</f>
        <v>13.5499352731365</v>
      </c>
      <c r="S538" s="57" cm="1">
        <f t="array" ref="S538">VLOOKUP(B538,'Player Data'!$A1:$AE673,7,FALSE)*$Q538*IFERROR((VLOOKUP(P538,Settings!$E$28:$F$33,2,FALSE)+1),1)</f>
        <v>13.139678629686722</v>
      </c>
      <c r="T538" s="57" cm="1">
        <f t="array" ref="T538">VLOOKUP(B538,'Player Data'!$A1:$AE673,8,FALSE)*$Q538*IFERROR((VLOOKUP(P538,Settings!$E$28:$F$33,2,FALSE)+1),1)</f>
        <v>15.989763675427211</v>
      </c>
      <c r="U538" s="57" cm="1">
        <f t="array" ref="U538">SUM(S538:T538)</f>
        <v>29.129442305113933</v>
      </c>
      <c r="V538" s="57" cm="1">
        <f t="array" ref="V538">VLOOKUP(B538,'Player Data'!$A1:$AE673,10,FALSE)*$Q538*IFERROR(((VLOOKUP(P538,Settings!$E$28:$F$33,2,FALSE)/2)+1),1)</f>
        <v>87.674598000093511</v>
      </c>
      <c r="W538" s="57" cm="1">
        <f t="array" ref="W538">VLOOKUP(B538,'Player Data'!$A1:$AE673,11,FALSE)*$Q538*IFERROR((VLOOKUP(P538,Settings!$E$28:$F$33,2,FALSE)+1),1)</f>
        <v>1.0203288443125436</v>
      </c>
      <c r="X538" s="57" cm="1">
        <f t="array" ref="X538">VLOOKUP(B538,'Player Data'!$A1:$AE673,12,FALSE)*$Q538*IFERROR((VLOOKUP(P538,Settings!$E$28:$F$33,2,FALSE)+1),1)</f>
        <v>2.5170080089932516</v>
      </c>
      <c r="Y538" s="57" cm="1">
        <f t="array" ref="Y538">VLOOKUP(B538,'Player Data'!$A1:$AE673,13,FALSE)*$Q538</f>
        <v>0.16006437089806363</v>
      </c>
      <c r="Z538" s="57" cm="1">
        <f t="array" ref="Z538">VLOOKUP(B538,'Player Data'!$A1:$AE673,14,FALSE)*$Q538</f>
        <v>0.2635290647896521</v>
      </c>
      <c r="AA538" s="57" cm="1">
        <f t="array" ref="AA538">VLOOKUP(B538,'Player Data'!$A1:$AE673,15,FALSE)*$Q538</f>
        <v>44.25049540028958</v>
      </c>
      <c r="AB538" s="57" cm="1">
        <f t="array" ref="AB538">VLOOKUP(B538,'Player Data'!$A1:$AE673,16,FALSE)*$Q538</f>
        <v>116.50460203368326</v>
      </c>
      <c r="AC538" s="57" cm="1">
        <f t="array" ref="AC538">VLOOKUP(B538,'Player Data'!$A1:$AE673,17,FALSE)*$Q538*IFERROR((VLOOKUP(P538,Settings!$E$28:$F$33,2,FALSE)+1),1)</f>
        <v>5.1704454220087772</v>
      </c>
      <c r="AD538" s="57" cm="1">
        <f t="array" ref="AD538">VLOOKUP(B538,'Player Data'!$A1:$AE673,18,FALSE)*$Q538</f>
        <v>35.625051830683276</v>
      </c>
      <c r="AE538" s="57" cm="1">
        <f t="array" ref="AE538">VLOOKUP(B538,'Player Data'!$A1:$AE673,19,FALSE)*$Q538*IFERROR((VLOOKUP(P538,Settings!$E$28:$F$33,2,FALSE)+1),1)</f>
        <v>2.222219149790519</v>
      </c>
      <c r="AF538" s="57" cm="1">
        <f t="array" ref="AF538">VLOOKUP(B538,'Player Data'!$A1:$AE673,20,FALSE)*$Q538</f>
        <v>191.51681525913239</v>
      </c>
      <c r="AG538" s="57" cm="1">
        <f t="array" ref="AG538">VLOOKUP(B538,'Player Data'!$A1:$AE673,21,FALSE)*$Q538</f>
        <v>155.14348331582099</v>
      </c>
      <c r="AH538" s="59" cm="1">
        <f t="array" ref="AH538">VLOOKUP(B538,'Player Data'!$A1:$AE673,22,FALSE)</f>
        <v>0.55246250016635001</v>
      </c>
      <c r="AI538" s="55"/>
      <c r="AJ538" s="57"/>
      <c r="AK538" s="57"/>
      <c r="AL538" s="57"/>
      <c r="AM538" s="57"/>
      <c r="AN538" s="57"/>
      <c r="AO538" s="57"/>
      <c r="AP538" s="57"/>
      <c r="AQ538" s="60"/>
      <c r="AR538" s="61"/>
      <c r="AS538" s="55"/>
    </row>
    <row r="539" spans="1:45" ht="21.25" customHeight="1" x14ac:dyDescent="0.15">
      <c r="A539" s="62">
        <f t="shared" si="8"/>
        <v>538</v>
      </c>
      <c r="B539" s="10" t="s">
        <v>667</v>
      </c>
      <c r="C539" s="47" t="s">
        <v>147</v>
      </c>
      <c r="D539" s="48" t="str" cm="1">
        <f t="array" ref="D539">VLOOKUP(B539,'Player Data'!A1:D673,4,FALSE)</f>
        <v>C,RW</v>
      </c>
      <c r="E539" s="74" cm="1">
        <f t="array" ref="E539">VLOOKUP(B539,RW!A1:F210,3,FALSE)</f>
        <v>150</v>
      </c>
      <c r="F539" s="50" t="str" cm="1">
        <f t="array" ref="F539">VLOOKUP(B539,'Player Data'!A1:B673,2,FALSE)</f>
        <v>COL</v>
      </c>
      <c r="G539" s="11" cm="1">
        <f t="array" ref="G539">VLOOKUP(B539,'Player Data'!A1:D673,3,FALSE)</f>
        <v>29</v>
      </c>
      <c r="H539" s="67" cm="1">
        <f t="array" ref="H539">IFERROR(VLOOKUP(B539,ADP!A1:F671,6,FALSE)/1000000,VLOOKUP(B539,ADP!A1:F671,6,FALSE))</f>
        <v>3</v>
      </c>
      <c r="I539" s="52">
        <f>IF(Settings!$E$15="POINTS",((R539*Q539)*Settings!$B$12)+(S539*Settings!$B$2)+(T539*Settings!$B$3)+(U539*Settings!$B$4)+(V539*Settings!$B$5)+(X539*Settings!$B$9)+(AA539*Settings!$B$6)+(W539*Settings!$B$8)+(AB539*Settings!$B$7)+(AC539*Settings!$B$14)+(AD539*Settings!$B$15)+(AE539*Settings!$B$16)+(AF539*Settings!$B$17)+(AG539*Settings!$B$18)+(Y539*Settings!$B$10)+(Z539*Settings!$B$11),VLOOKUP(B539,'Standard Deviations'!A$1:C$672,3,FALSE))</f>
        <v>151.52782171336438</v>
      </c>
      <c r="J539" s="53" cm="1">
        <f t="array" ref="J539">IF(D539="G",I539/AJ539,I539/Q539)</f>
        <v>1.8965276975295144</v>
      </c>
      <c r="K539" s="52" cm="1">
        <f t="array" ref="K539">IF(Settings!$E$18="C/LW/RW",VLOOKUP(B539,RW!A1:F210,6,FALSE),VLOOKUP(B539,F!A1:F407,6,FALSE))</f>
        <v>-243.4156429801931</v>
      </c>
      <c r="L539" s="54" cm="1">
        <f t="array" ref="L539">IFERROR(K539/H539,"N/A")</f>
        <v>-81.138547660064361</v>
      </c>
      <c r="M539" s="85" t="s">
        <v>832</v>
      </c>
      <c r="N539" s="85" t="str" cm="1">
        <f t="array" ref="N539">IFERROR(M539-A539,"N/A")</f>
        <v>N/A</v>
      </c>
      <c r="O539" s="55"/>
      <c r="P539" s="56" t="str" cm="1">
        <f t="array" ref="P539">_xlfn.XLOOKUP($B539,ADP!A2:A671,ADP!G2:G671)</f>
        <v xml:space="preserve"> </v>
      </c>
      <c r="Q539" s="57" cm="1">
        <f t="array" ref="Q539">IF(Settings!$E$12="YES",VLOOKUP(B539,'Player Data'!A1:E673,5,FALSE),84)</f>
        <v>79.897499999999994</v>
      </c>
      <c r="R539" s="84" cm="1">
        <f t="array" ref="R539">VLOOKUP(B539,'Player Data'!$A1:$AE673,6,FALSE)</f>
        <v>13.3573914742152</v>
      </c>
      <c r="S539" s="57" cm="1">
        <f t="array" ref="S539">VLOOKUP(B539,'Player Data'!$A1:$AE673,7,FALSE)*$Q539*IFERROR((VLOOKUP(P539,Settings!$E$28:$F$33,2,FALSE)+1),1)</f>
        <v>10.540979808385075</v>
      </c>
      <c r="T539" s="57" cm="1">
        <f t="array" ref="T539">VLOOKUP(B539,'Player Data'!$A1:$AE673,8,FALSE)*$Q539*IFERROR((VLOOKUP(P539,Settings!$E$28:$F$33,2,FALSE)+1),1)</f>
        <v>17.392069599862921</v>
      </c>
      <c r="U539" s="57" cm="1">
        <f t="array" ref="U539">SUM(S539:T539)</f>
        <v>27.933049408247996</v>
      </c>
      <c r="V539" s="57" cm="1">
        <f t="array" ref="V539">VLOOKUP(B539,'Player Data'!$A1:$AE673,10,FALSE)*$Q539*IFERROR(((VLOOKUP(P539,Settings!$E$28:$F$33,2,FALSE)/2)+1),1)</f>
        <v>85.17690829032388</v>
      </c>
      <c r="W539" s="57" cm="1">
        <f t="array" ref="W539">VLOOKUP(B539,'Player Data'!$A1:$AE673,11,FALSE)*$Q539*IFERROR((VLOOKUP(P539,Settings!$E$28:$F$33,2,FALSE)+1),1)</f>
        <v>1.2741022857626116</v>
      </c>
      <c r="X539" s="57" cm="1">
        <f t="array" ref="X539">VLOOKUP(B539,'Player Data'!$A1:$AE673,12,FALSE)*$Q539*IFERROR((VLOOKUP(P539,Settings!$E$28:$F$33,2,FALSE)+1),1)</f>
        <v>2.5937018535845739</v>
      </c>
      <c r="Y539" s="57" cm="1">
        <f t="array" ref="Y539">VLOOKUP(B539,'Player Data'!$A1:$AE673,13,FALSE)*$Q539</f>
        <v>0.30859393610952823</v>
      </c>
      <c r="Z539" s="57" cm="1">
        <f t="array" ref="Z539">VLOOKUP(B539,'Player Data'!$A1:$AE673,14,FALSE)*$Q539</f>
        <v>0.93669857219634212</v>
      </c>
      <c r="AA539" s="57" cm="1">
        <f t="array" ref="AA539">VLOOKUP(B539,'Player Data'!$A1:$AE673,15,FALSE)*$Q539</f>
        <v>43.219637835355073</v>
      </c>
      <c r="AB539" s="57" cm="1">
        <f t="array" ref="AB539">VLOOKUP(B539,'Player Data'!$A1:$AE673,16,FALSE)*$Q539</f>
        <v>78.924685437057818</v>
      </c>
      <c r="AC539" s="57" cm="1">
        <f t="array" ref="AC539">VLOOKUP(B539,'Player Data'!$A1:$AE673,17,FALSE)*$Q539*IFERROR((VLOOKUP(P539,Settings!$E$28:$F$33,2,FALSE)+1),1)</f>
        <v>5.3795429181869014</v>
      </c>
      <c r="AD539" s="57" cm="1">
        <f t="array" ref="AD539">VLOOKUP(B539,'Player Data'!$A1:$AE673,18,FALSE)*$Q539</f>
        <v>27.219764963056594</v>
      </c>
      <c r="AE539" s="57" cm="1">
        <f t="array" ref="AE539">VLOOKUP(B539,'Player Data'!$A1:$AE673,19,FALSE)*$Q539*IFERROR((VLOOKUP(P539,Settings!$E$28:$F$33,2,FALSE)+1),1)</f>
        <v>1.9025120504952091</v>
      </c>
      <c r="AF539" s="57" cm="1">
        <f t="array" ref="AF539">VLOOKUP(B539,'Player Data'!$A1:$AE673,20,FALSE)*$Q539</f>
        <v>361.61472921804966</v>
      </c>
      <c r="AG539" s="57" cm="1">
        <f t="array" ref="AG539">VLOOKUP(B539,'Player Data'!$A1:$AE673,21,FALSE)*$Q539</f>
        <v>370.28808282361291</v>
      </c>
      <c r="AH539" s="59" cm="1">
        <f t="array" ref="AH539">VLOOKUP(B539,'Player Data'!$A1:$AE673,22,FALSE)</f>
        <v>0.49407479144576</v>
      </c>
      <c r="AI539" s="55"/>
      <c r="AJ539" s="57"/>
      <c r="AK539" s="57"/>
      <c r="AL539" s="57"/>
      <c r="AM539" s="57"/>
      <c r="AN539" s="57"/>
      <c r="AO539" s="57"/>
      <c r="AP539" s="57"/>
      <c r="AQ539" s="60"/>
      <c r="AR539" s="61"/>
      <c r="AS539" s="55"/>
    </row>
    <row r="540" spans="1:45" ht="21.25" customHeight="1" x14ac:dyDescent="0.15">
      <c r="A540" s="62">
        <f t="shared" si="8"/>
        <v>539</v>
      </c>
      <c r="B540" s="10" t="s">
        <v>668</v>
      </c>
      <c r="C540" s="47" t="s">
        <v>147</v>
      </c>
      <c r="D540" s="48" t="str" cm="1">
        <f t="array" ref="D540">VLOOKUP(B540,'Player Data'!A1:D673,4,FALSE)</f>
        <v>C,LW</v>
      </c>
      <c r="E540" s="74" cm="1">
        <f t="array" ref="E540">VLOOKUP(B540,LW!A1:C210,3,FALSE)</f>
        <v>142</v>
      </c>
      <c r="F540" s="65" t="str" cm="1">
        <f t="array" ref="F540">VLOOKUP(B540,'Player Data'!A1:B673,2,FALSE)</f>
        <v>T.B</v>
      </c>
      <c r="G540" s="11" cm="1">
        <f t="array" ref="G540">VLOOKUP(B540,'Player Data'!A1:D673,3,FALSE)</f>
        <v>25</v>
      </c>
      <c r="H540" s="67" cm="1">
        <f t="array" ref="H540">IFERROR(VLOOKUP(B540,ADP!A1:F671,6,FALSE)/1000000,VLOOKUP(B540,ADP!A1:F671,6,FALSE))</f>
        <v>1.2</v>
      </c>
      <c r="I540" s="52">
        <f>IF(Settings!$E$15="POINTS",((R540*Q540)*Settings!$B$12)+(S540*Settings!$B$2)+(T540*Settings!$B$3)+(U540*Settings!$B$4)+(V540*Settings!$B$5)+(X540*Settings!$B$9)+(AA540*Settings!$B$6)+(W540*Settings!$B$8)+(AB540*Settings!$B$7)+(AC540*Settings!$B$14)+(AD540*Settings!$B$15)+(AE540*Settings!$B$16)+(AF540*Settings!$B$17)+(AG540*Settings!$B$18)+(Y540*Settings!$B$10)+(Z540*Settings!$B$11),VLOOKUP(B540,'Standard Deviations'!A$1:C$672,3,FALSE))</f>
        <v>154.14218459151215</v>
      </c>
      <c r="J540" s="53" cm="1">
        <f t="array" ref="J540">IF(D540="G",I540/AJ540,I540/Q540)</f>
        <v>1.9918871175487773</v>
      </c>
      <c r="K540" s="52" cm="1">
        <f t="array" ref="K540">IF(Settings!$E$18="C/LW/RW",VLOOKUP(B540,LW!A1:F210,6,FALSE),VLOOKUP(B540,F!A1:F407,6,FALSE))</f>
        <v>-245.17080872220794</v>
      </c>
      <c r="L540" s="54" cm="1">
        <f t="array" ref="L540">IFERROR(K540/H540,"N/A")</f>
        <v>-204.30900726850663</v>
      </c>
      <c r="M540" s="85" t="s">
        <v>832</v>
      </c>
      <c r="N540" s="85" t="str" cm="1">
        <f t="array" ref="N540">IFERROR(M540-A540,"N/A")</f>
        <v>N/A</v>
      </c>
      <c r="O540" s="55"/>
      <c r="P540" s="56" t="str" cm="1">
        <f t="array" ref="P540">_xlfn.XLOOKUP($B540,ADP!A2:A671,ADP!G2:G671)</f>
        <v xml:space="preserve"> </v>
      </c>
      <c r="Q540" s="57" cm="1">
        <f t="array" ref="Q540">IF(Settings!$E$12="YES",VLOOKUP(B540,'Player Data'!A1:E673,5,FALSE),84)</f>
        <v>77.385000000000005</v>
      </c>
      <c r="R540" s="55" cm="1">
        <f t="array" ref="R540">VLOOKUP(B540,'Player Data'!$A1:$AE673,6,FALSE)</f>
        <v>12.939665368428701</v>
      </c>
      <c r="S540" s="57" cm="1">
        <f t="array" ref="S540">VLOOKUP(B540,'Player Data'!$A1:$AE673,7,FALSE)*$Q540*IFERROR((VLOOKUP(P540,Settings!$E$28:$F$33,2,FALSE)+1),1)</f>
        <v>11.542204538825633</v>
      </c>
      <c r="T540" s="57" cm="1">
        <f t="array" ref="T540">VLOOKUP(B540,'Player Data'!$A1:$AE673,8,FALSE)*$Q540*IFERROR((VLOOKUP(P540,Settings!$E$28:$F$33,2,FALSE)+1),1)</f>
        <v>19.947425393148809</v>
      </c>
      <c r="U540" s="57" cm="1">
        <f t="array" ref="U540">SUM(S540:T540)</f>
        <v>31.489629931974441</v>
      </c>
      <c r="V540" s="57" cm="1">
        <f t="array" ref="V540">VLOOKUP(B540,'Player Data'!$A1:$AE673,10,FALSE)*$Q540*IFERROR(((VLOOKUP(P540,Settings!$E$28:$F$33,2,FALSE)/2)+1),1)</f>
        <v>83.611046547696574</v>
      </c>
      <c r="W540" s="57" cm="1">
        <f t="array" ref="W540">VLOOKUP(B540,'Player Data'!$A1:$AE673,11,FALSE)*$Q540*IFERROR((VLOOKUP(P540,Settings!$E$28:$F$33,2,FALSE)+1),1)</f>
        <v>0.87084595249744901</v>
      </c>
      <c r="X540" s="57" cm="1">
        <f t="array" ref="X540">VLOOKUP(B540,'Player Data'!$A1:$AE673,12,FALSE)*$Q540*IFERROR((VLOOKUP(P540,Settings!$E$28:$F$33,2,FALSE)+1),1)</f>
        <v>3.037072941114511</v>
      </c>
      <c r="Y540" s="57" cm="1">
        <f t="array" ref="Y540">VLOOKUP(B540,'Player Data'!$A1:$AE673,13,FALSE)*$Q540</f>
        <v>1.7915660209635267E-2</v>
      </c>
      <c r="Z540" s="57" cm="1">
        <f t="array" ref="Z540">VLOOKUP(B540,'Player Data'!$A1:$AE673,14,FALSE)*$Q540</f>
        <v>2.9385911314590153E-2</v>
      </c>
      <c r="AA540" s="57" cm="1">
        <f t="array" ref="AA540">VLOOKUP(B540,'Player Data'!$A1:$AE673,15,FALSE)*$Q540</f>
        <v>29.602625338622889</v>
      </c>
      <c r="AB540" s="57" cm="1">
        <f t="array" ref="AB540">VLOOKUP(B540,'Player Data'!$A1:$AE673,16,FALSE)*$Q540</f>
        <v>86.716011541021061</v>
      </c>
      <c r="AC540" s="57" cm="1">
        <f t="array" ref="AC540">VLOOKUP(B540,'Player Data'!$A1:$AE673,17,FALSE)*$Q540*IFERROR((VLOOKUP(P540,Settings!$E$28:$F$33,2,FALSE)+1),1)</f>
        <v>8.3411375638925556</v>
      </c>
      <c r="AD540" s="57" cm="1">
        <f t="array" ref="AD540">VLOOKUP(B540,'Player Data'!$A1:$AE673,18,FALSE)*$Q540</f>
        <v>28.144479016253833</v>
      </c>
      <c r="AE540" s="57" cm="1">
        <f t="array" ref="AE540">VLOOKUP(B540,'Player Data'!$A1:$AE673,19,FALSE)*$Q540*IFERROR((VLOOKUP(P540,Settings!$E$28:$F$33,2,FALSE)+1),1)</f>
        <v>2.0488502460397764</v>
      </c>
      <c r="AF540" s="57" cm="1">
        <f t="array" ref="AF540">VLOOKUP(B540,'Player Data'!$A1:$AE673,20,FALSE)*$Q540</f>
        <v>8.2068409517161829</v>
      </c>
      <c r="AG540" s="57" cm="1">
        <f t="array" ref="AG540">VLOOKUP(B540,'Player Data'!$A1:$AE673,21,FALSE)*$Q540</f>
        <v>13.436816605270552</v>
      </c>
      <c r="AH540" s="59" cm="1">
        <f t="array" ref="AH540">VLOOKUP(B540,'Player Data'!$A1:$AE673,22,FALSE)</f>
        <v>0.37917994821845402</v>
      </c>
      <c r="AI540" s="55"/>
      <c r="AJ540" s="57"/>
      <c r="AK540" s="57"/>
      <c r="AL540" s="57"/>
      <c r="AM540" s="57"/>
      <c r="AN540" s="57"/>
      <c r="AO540" s="57"/>
      <c r="AP540" s="57"/>
      <c r="AQ540" s="60"/>
      <c r="AR540" s="61"/>
      <c r="AS540" s="55"/>
    </row>
    <row r="541" spans="1:45" ht="21.25" customHeight="1" x14ac:dyDescent="0.15">
      <c r="A541" s="62">
        <f t="shared" si="8"/>
        <v>540</v>
      </c>
      <c r="B541" s="10" t="s">
        <v>669</v>
      </c>
      <c r="C541" s="47" t="s">
        <v>147</v>
      </c>
      <c r="D541" s="48" t="str" cm="1">
        <f t="array" ref="D541">VLOOKUP(B541,'Player Data'!A1:D673,4,FALSE)</f>
        <v>C,RW</v>
      </c>
      <c r="E541" s="74" cm="1">
        <f t="array" ref="E541">VLOOKUP(B541,RW!A1:F210,3,FALSE)</f>
        <v>151</v>
      </c>
      <c r="F541" s="69" t="str" cm="1">
        <f t="array" ref="F541">VLOOKUP(B541,'Player Data'!A1:B673,2,FALSE)</f>
        <v>N.J</v>
      </c>
      <c r="G541" s="11" cm="1">
        <f t="array" ref="G541">VLOOKUP(B541,'Player Data'!A1:D673,3,FALSE)</f>
        <v>27</v>
      </c>
      <c r="H541" s="67" cm="1">
        <f t="array" ref="H541">IFERROR(VLOOKUP(B541,ADP!A1:F671,6,FALSE)/1000000,VLOOKUP(B541,ADP!A1:F671,6,FALSE))</f>
        <v>2.5</v>
      </c>
      <c r="I541" s="52">
        <f>IF(Settings!$E$15="POINTS",((R541*Q541)*Settings!$B$12)+(S541*Settings!$B$2)+(T541*Settings!$B$3)+(U541*Settings!$B$4)+(V541*Settings!$B$5)+(X541*Settings!$B$9)+(AA541*Settings!$B$6)+(W541*Settings!$B$8)+(AB541*Settings!$B$7)+(AC541*Settings!$B$14)+(AD541*Settings!$B$15)+(AE541*Settings!$B$16)+(AF541*Settings!$B$17)+(AG541*Settings!$B$18)+(Y541*Settings!$B$10)+(Z541*Settings!$B$11),VLOOKUP(B541,'Standard Deviations'!A$1:C$672,3,FALSE))</f>
        <v>149.51594419857432</v>
      </c>
      <c r="J541" s="53" cm="1">
        <f t="array" ref="J541">IF(D541="G",I541/AJ541,I541/Q541)</f>
        <v>1.9813277349488065</v>
      </c>
      <c r="K541" s="52" cm="1">
        <f t="array" ref="K541">IF(Settings!$E$18="C/LW/RW",VLOOKUP(B541,RW!A1:F210,6,FALSE),VLOOKUP(B541,F!A1:F407,6,FALSE))</f>
        <v>-245.42752049498316</v>
      </c>
      <c r="L541" s="54" cm="1">
        <f t="array" ref="L541">IFERROR(K541/H541,"N/A")</f>
        <v>-98.17100819799326</v>
      </c>
      <c r="M541" s="85" t="s">
        <v>832</v>
      </c>
      <c r="N541" s="85" t="str" cm="1">
        <f t="array" ref="N541">IFERROR(M541-A541,"N/A")</f>
        <v>N/A</v>
      </c>
      <c r="O541" s="81"/>
      <c r="P541" s="56" t="str" cm="1">
        <f t="array" ref="P541">_xlfn.XLOOKUP($B541,ADP!A2:A671,ADP!G2:G671)</f>
        <v xml:space="preserve"> </v>
      </c>
      <c r="Q541" s="57" cm="1">
        <f t="array" ref="Q541">IF(Settings!$E$12="YES",VLOOKUP(B541,'Player Data'!A1:E673,5,FALSE),84)</f>
        <v>75.462500000000006</v>
      </c>
      <c r="R541" s="55" cm="1">
        <f t="array" ref="R541">VLOOKUP(B541,'Player Data'!$A1:$AE673,6,FALSE)</f>
        <v>13.0440887768601</v>
      </c>
      <c r="S541" s="57" cm="1">
        <f t="array" ref="S541">VLOOKUP(B541,'Player Data'!$A1:$AE673,7,FALSE)*$Q541*IFERROR((VLOOKUP(P541,Settings!$E$28:$F$33,2,FALSE)+1),1)</f>
        <v>13.445093899209706</v>
      </c>
      <c r="T541" s="57" cm="1">
        <f t="array" ref="T541">VLOOKUP(B541,'Player Data'!$A1:$AE673,8,FALSE)*$Q541*IFERROR((VLOOKUP(P541,Settings!$E$28:$F$33,2,FALSE)+1),1)</f>
        <v>11.588085154703855</v>
      </c>
      <c r="U541" s="57" cm="1">
        <f t="array" ref="U541">SUM(S541:T541)</f>
        <v>25.03317905391356</v>
      </c>
      <c r="V541" s="57" cm="1">
        <f t="array" ref="V541">VLOOKUP(B541,'Player Data'!$A1:$AE673,10,FALSE)*$Q541*IFERROR(((VLOOKUP(P541,Settings!$E$28:$F$33,2,FALSE)/2)+1),1)</f>
        <v>106.19493127654205</v>
      </c>
      <c r="W541" s="57" cm="1">
        <f t="array" ref="W541">VLOOKUP(B541,'Player Data'!$A1:$AE673,11,FALSE)*$Q541*IFERROR((VLOOKUP(P541,Settings!$E$28:$F$33,2,FALSE)+1),1)</f>
        <v>0.16503805634733418</v>
      </c>
      <c r="X541" s="57" cm="1">
        <f t="array" ref="X541">VLOOKUP(B541,'Player Data'!$A1:$AE673,12,FALSE)*$Q541*IFERROR((VLOOKUP(P541,Settings!$E$28:$F$33,2,FALSE)+1),1)</f>
        <v>0.36792327519700685</v>
      </c>
      <c r="Y541" s="57" cm="1">
        <f t="array" ref="Y541">VLOOKUP(B541,'Player Data'!$A1:$AE673,13,FALSE)*$Q541</f>
        <v>0.11468662305941614</v>
      </c>
      <c r="Z541" s="57" cm="1">
        <f t="array" ref="Z541">VLOOKUP(B541,'Player Data'!$A1:$AE673,14,FALSE)*$Q541</f>
        <v>0.18815424307282116</v>
      </c>
      <c r="AA541" s="57" cm="1">
        <f t="array" ref="AA541">VLOOKUP(B541,'Player Data'!$A1:$AE673,15,FALSE)*$Q541</f>
        <v>41.525727760585596</v>
      </c>
      <c r="AB541" s="57" cm="1">
        <f t="array" ref="AB541">VLOOKUP(B541,'Player Data'!$A1:$AE673,16,FALSE)*$Q541</f>
        <v>52.749095318038428</v>
      </c>
      <c r="AC541" s="57" cm="1">
        <f t="array" ref="AC541">VLOOKUP(B541,'Player Data'!$A1:$AE673,17,FALSE)*$Q541*IFERROR((VLOOKUP(P541,Settings!$E$28:$F$33,2,FALSE)+1),1)</f>
        <v>7.9637822686657644E-2</v>
      </c>
      <c r="AD541" s="57" cm="1">
        <f t="array" ref="AD541">VLOOKUP(B541,'Player Data'!$A1:$AE673,18,FALSE)*$Q541</f>
        <v>25.814089556714634</v>
      </c>
      <c r="AE541" s="57" cm="1">
        <f t="array" ref="AE541">VLOOKUP(B541,'Player Data'!$A1:$AE673,19,FALSE)*$Q541*IFERROR((VLOOKUP(P541,Settings!$E$28:$F$33,2,FALSE)+1),1)</f>
        <v>2.0095819440756011</v>
      </c>
      <c r="AF541" s="57" cm="1">
        <f t="array" ref="AF541">VLOOKUP(B541,'Player Data'!$A1:$AE673,20,FALSE)*$Q541</f>
        <v>423.77901426615148</v>
      </c>
      <c r="AG541" s="57" cm="1">
        <f t="array" ref="AG541">VLOOKUP(B541,'Player Data'!$A1:$AE673,21,FALSE)*$Q541</f>
        <v>394.28587360282114</v>
      </c>
      <c r="AH541" s="59" cm="1">
        <f t="array" ref="AH541">VLOOKUP(B541,'Player Data'!$A1:$AE673,22,FALSE)</f>
        <v>0.518026162166768</v>
      </c>
      <c r="AI541" s="55"/>
      <c r="AJ541" s="57"/>
      <c r="AK541" s="57"/>
      <c r="AL541" s="57"/>
      <c r="AM541" s="57"/>
      <c r="AN541" s="57"/>
      <c r="AO541" s="57"/>
      <c r="AP541" s="57"/>
      <c r="AQ541" s="60"/>
      <c r="AR541" s="61"/>
      <c r="AS541" s="55"/>
    </row>
    <row r="542" spans="1:45" ht="21.25" customHeight="1" x14ac:dyDescent="0.15">
      <c r="A542" s="62">
        <f t="shared" si="8"/>
        <v>541</v>
      </c>
      <c r="B542" s="10" t="s">
        <v>670</v>
      </c>
      <c r="C542" s="47" t="s">
        <v>147</v>
      </c>
      <c r="D542" s="48" t="str" cm="1">
        <f t="array" ref="D542">VLOOKUP(B542,'Player Data'!A1:D673,4,FALSE)</f>
        <v>D</v>
      </c>
      <c r="E542" s="68" cm="1">
        <f t="array" ref="E542">VLOOKUP(B542,D!A1:C204,3,FALSE)</f>
        <v>202</v>
      </c>
      <c r="F542" s="69" t="str" cm="1">
        <f t="array" ref="F542">VLOOKUP(B542,'Player Data'!A1:B673,2,FALSE)</f>
        <v>CBJ</v>
      </c>
      <c r="G542" s="11" cm="1">
        <f t="array" ref="G542">VLOOKUP(B542,'Player Data'!A1:D673,3,FALSE)</f>
        <v>26</v>
      </c>
      <c r="H542" s="67" cm="1">
        <f t="array" ref="H542">IFERROR(VLOOKUP(B542,ADP!A1:F671,6,FALSE)/1000000,VLOOKUP(B542,ADP!A1:F671,6,FALSE))</f>
        <v>0.97499999999999998</v>
      </c>
      <c r="I542" s="52">
        <f>IF(Settings!$E$15="POINTS",((R542*Q542)*Settings!$B$12)+(S542*Settings!$B$2)+(T542*Settings!$B$3)+(U542*Settings!$B$4)+(V542*Settings!$B$5)+(X542*Settings!$B$9)+(AA542*Settings!$B$6)+(W542*Settings!$B$8)+(AB542*Settings!$B$7)+(AC542*Settings!$B$14)+(AD542*Settings!$B$15)+(AE542*Settings!$B$16)+(AF542*Settings!$B$17)+(AG542*Settings!$B$18)+(U542*Settings!$B$13)+(Y542*Settings!$B$10)+(Z542*Settings!$B$11),VLOOKUP(B542,'Standard Deviations'!A$1:C$672,3,FALSE))</f>
        <v>60.810087270103402</v>
      </c>
      <c r="J542" s="53" cm="1">
        <f t="array" ref="J542">IF(D542="G",I542/AJ542,I542/Q542)</f>
        <v>0.89889264257359047</v>
      </c>
      <c r="K542" s="52" cm="1">
        <f t="array" ref="K542">VLOOKUP(B542,D!A1:F204,6,FALSE)</f>
        <v>-245.84378007449067</v>
      </c>
      <c r="L542" s="54" cm="1">
        <f t="array" ref="L542">IFERROR(K542/H542,"N/A")</f>
        <v>-252.14746674306735</v>
      </c>
      <c r="M542" s="85" t="s">
        <v>832</v>
      </c>
      <c r="N542" s="85" t="str" cm="1">
        <f t="array" ref="N542">IFERROR(M542-A542,"N/A")</f>
        <v>N/A</v>
      </c>
      <c r="O542" s="83"/>
      <c r="P542" s="56" t="str" cm="1">
        <f t="array" ref="P542">_xlfn.XLOOKUP($B542,ADP!A2:A671,ADP!G2:G671)</f>
        <v xml:space="preserve"> </v>
      </c>
      <c r="Q542" s="57" cm="1">
        <f t="array" ref="Q542">IF(Settings!$E$12="YES",VLOOKUP(B542,'Player Data'!A1:E673,5,FALSE),84)</f>
        <v>67.650000000000006</v>
      </c>
      <c r="R542" s="55" cm="1">
        <f t="array" ref="R542">VLOOKUP(B542,'Player Data'!$A1:$AE673,6,FALSE)</f>
        <v>10.0724925289634</v>
      </c>
      <c r="S542" s="57" cm="1">
        <f t="array" ref="S542">VLOOKUP(B542,'Player Data'!$A1:$AE673,7,FALSE)*$Q542*IFERROR((VLOOKUP(P542,Settings!$E$28:$F$33,2,FALSE)+1),1)</f>
        <v>0.48749945736473149</v>
      </c>
      <c r="T542" s="57" cm="1">
        <f t="array" ref="T542">VLOOKUP(B542,'Player Data'!$A1:$AE673,8,FALSE)*$Q542*IFERROR((VLOOKUP(P542,Settings!$E$28:$F$33,2,FALSE)+1),1)</f>
        <v>5.3005276359047695</v>
      </c>
      <c r="U542" s="57" cm="1">
        <f t="array" ref="U542">SUM(S542:T542)</f>
        <v>5.788027093269501</v>
      </c>
      <c r="V542" s="57" cm="1">
        <f t="array" ref="V542">VLOOKUP(B542,'Player Data'!$A1:$AE673,10,FALSE)*$Q542*IFERROR(((VLOOKUP(P542,Settings!$E$28:$F$33,2,FALSE)/2)+1),1)</f>
        <v>40.785680972679671</v>
      </c>
      <c r="W542" s="57" cm="1">
        <f t="array" ref="W542">VLOOKUP(B542,'Player Data'!$A1:$AE673,11,FALSE)*$Q542*IFERROR((VLOOKUP(P542,Settings!$E$28:$F$33,2,FALSE)+1),1)</f>
        <v>2.815003651063815E-4</v>
      </c>
      <c r="X542" s="57" cm="1">
        <f t="array" ref="X542">VLOOKUP(B542,'Player Data'!$A1:$AE673,12,FALSE)*$Q542*IFERROR((VLOOKUP(P542,Settings!$E$28:$F$33,2,FALSE)+1),1)</f>
        <v>2.6580689034310222E-3</v>
      </c>
      <c r="Y542" s="57" cm="1">
        <f t="array" ref="Y542">VLOOKUP(B542,'Player Data'!$A1:$AE673,13,FALSE)*$Q542</f>
        <v>7.0787569973607177E-3</v>
      </c>
      <c r="Z542" s="57" cm="1">
        <f t="array" ref="Z542">VLOOKUP(B542,'Player Data'!$A1:$AE673,14,FALSE)*$Q542</f>
        <v>2.9257273653843948E-2</v>
      </c>
      <c r="AA542" s="57" cm="1">
        <f t="array" ref="AA542">VLOOKUP(B542,'Player Data'!$A1:$AE673,15,FALSE)*$Q542</f>
        <v>46.042500322795568</v>
      </c>
      <c r="AB542" s="57" cm="1">
        <f t="array" ref="AB542">VLOOKUP(B542,'Player Data'!$A1:$AE673,16,FALSE)*$Q542</f>
        <v>51.355239956151294</v>
      </c>
      <c r="AC542" s="57" cm="1">
        <f t="array" ref="AC542">VLOOKUP(B542,'Player Data'!$A1:$AE673,17,FALSE)*$Q542*IFERROR((VLOOKUP(P542,Settings!$E$28:$F$33,2,FALSE)+1),1)</f>
        <v>0.25277130232240858</v>
      </c>
      <c r="AD542" s="57" cm="1">
        <f t="array" ref="AD542">VLOOKUP(B542,'Player Data'!$A1:$AE673,18,FALSE)*$Q542</f>
        <v>13.044220120482763</v>
      </c>
      <c r="AE542" s="57" cm="1">
        <f t="array" ref="AE542">VLOOKUP(B542,'Player Data'!$A1:$AE673,19,FALSE)*$Q542*IFERROR((VLOOKUP(P542,Settings!$E$28:$F$33,2,FALSE)+1),1)</f>
        <v>7.8556265416941731E-2</v>
      </c>
      <c r="AF542" s="57" cm="1">
        <f t="array" ref="AF542">VLOOKUP(B542,'Player Data'!$A1:$AE673,20,FALSE)*$Q542</f>
        <v>0</v>
      </c>
      <c r="AG542" s="57" cm="1">
        <f t="array" ref="AG542">VLOOKUP(B542,'Player Data'!$A1:$AE673,21,FALSE)*$Q542</f>
        <v>0</v>
      </c>
      <c r="AH542" s="59" cm="1">
        <f t="array" ref="AH542">VLOOKUP(B542,'Player Data'!$A1:$AE673,22,FALSE)</f>
        <v>0</v>
      </c>
      <c r="AI542" s="55"/>
      <c r="AJ542" s="57"/>
      <c r="AK542" s="57"/>
      <c r="AL542" s="57"/>
      <c r="AM542" s="57"/>
      <c r="AN542" s="57"/>
      <c r="AO542" s="57"/>
      <c r="AP542" s="57"/>
      <c r="AQ542" s="60"/>
      <c r="AR542" s="61"/>
      <c r="AS542" s="55"/>
    </row>
    <row r="543" spans="1:45" ht="21.25" customHeight="1" x14ac:dyDescent="0.15">
      <c r="A543" s="62">
        <f t="shared" si="8"/>
        <v>542</v>
      </c>
      <c r="B543" s="10" t="s">
        <v>671</v>
      </c>
      <c r="C543" s="47" t="s">
        <v>147</v>
      </c>
      <c r="D543" s="48" t="str" cm="1">
        <f t="array" ref="D543">VLOOKUP(B543,'Player Data'!A1:D673,4,FALSE)</f>
        <v>LW</v>
      </c>
      <c r="E543" s="75" cm="1">
        <f t="array" ref="E543">VLOOKUP(B543,LW!A1:C210,3,FALSE)</f>
        <v>143</v>
      </c>
      <c r="F543" s="72" t="str" cm="1">
        <f t="array" ref="F543">VLOOKUP(B543,'Player Data'!A1:B673,2,FALSE)</f>
        <v>BOS</v>
      </c>
      <c r="G543" s="11" cm="1">
        <f t="array" ref="G543">VLOOKUP(B543,'Player Data'!A1:D673,3,FALSE)</f>
        <v>29</v>
      </c>
      <c r="H543" s="67" cm="1">
        <f t="array" ref="H543">IFERROR(VLOOKUP(B543,ADP!A1:F671,6,FALSE)/1000000,VLOOKUP(B543,ADP!A1:F671,6,FALSE))</f>
        <v>1.45</v>
      </c>
      <c r="I543" s="52">
        <f>IF(Settings!$E$15="POINTS",((R543*Q543)*Settings!$B$12)+(S543*Settings!$B$2)+(T543*Settings!$B$3)+(U543*Settings!$B$4)+(V543*Settings!$B$5)+(X543*Settings!$B$9)+(AA543*Settings!$B$6)+(W543*Settings!$B$8)+(AB543*Settings!$B$7)+(AC543*Settings!$B$14)+(AD543*Settings!$B$15)+(AE543*Settings!$B$16)+(AF543*Settings!$B$17)+(AG543*Settings!$B$18)+(Y543*Settings!$B$10)+(Z543*Settings!$B$11),VLOOKUP(B543,'Standard Deviations'!A$1:C$672,3,FALSE))</f>
        <v>153.0046557202665</v>
      </c>
      <c r="J543" s="53" cm="1">
        <f t="array" ref="J543">IF(D543="G",I543/AJ543,I543/Q543)</f>
        <v>1.9459432860038346</v>
      </c>
      <c r="K543" s="52" cm="1">
        <f t="array" ref="K543">IF(Settings!$E$18="C/LW/RW",VLOOKUP(B543,LW!A1:F210,6,FALSE),VLOOKUP(B543,F!A1:F407,6,FALSE))</f>
        <v>-246.30833759345359</v>
      </c>
      <c r="L543" s="54" cm="1">
        <f t="array" ref="L543">IFERROR(K543/H543,"N/A")</f>
        <v>-169.86781902996799</v>
      </c>
      <c r="M543" s="85" t="s">
        <v>832</v>
      </c>
      <c r="N543" s="85" t="str" cm="1">
        <f t="array" ref="N543">IFERROR(M543-A543,"N/A")</f>
        <v>N/A</v>
      </c>
      <c r="O543" s="55"/>
      <c r="P543" s="56" t="str" cm="1">
        <f t="array" ref="P543">_xlfn.XLOOKUP($B543,ADP!A2:A671,ADP!G2:G671)</f>
        <v xml:space="preserve"> </v>
      </c>
      <c r="Q543" s="57" cm="1">
        <f t="array" ref="Q543">IF(Settings!$E$12="YES",VLOOKUP(B543,'Player Data'!A1:E673,5,FALSE),84)</f>
        <v>78.627499999999998</v>
      </c>
      <c r="R543" s="55" cm="1">
        <f t="array" ref="R543">VLOOKUP(B543,'Player Data'!$A1:$AE673,6,FALSE)</f>
        <v>11.7585873078357</v>
      </c>
      <c r="S543" s="57" cm="1">
        <f t="array" ref="S543">VLOOKUP(B543,'Player Data'!$A1:$AE673,7,FALSE)*$Q543*IFERROR((VLOOKUP(P543,Settings!$E$28:$F$33,2,FALSE)+1),1)</f>
        <v>10.255332966143291</v>
      </c>
      <c r="T543" s="57" cm="1">
        <f t="array" ref="T543">VLOOKUP(B543,'Player Data'!$A1:$AE673,8,FALSE)*$Q543*IFERROR((VLOOKUP(P543,Settings!$E$28:$F$33,2,FALSE)+1),1)</f>
        <v>10.934321458738406</v>
      </c>
      <c r="U543" s="57" cm="1">
        <f t="array" ref="U543">SUM(S543:T543)</f>
        <v>21.189654424881695</v>
      </c>
      <c r="V543" s="57" cm="1">
        <f t="array" ref="V543">VLOOKUP(B543,'Player Data'!$A1:$AE673,10,FALSE)*$Q543*IFERROR(((VLOOKUP(P543,Settings!$E$28:$F$33,2,FALSE)/2)+1),1)</f>
        <v>146.82135651531638</v>
      </c>
      <c r="W543" s="57" cm="1">
        <f t="array" ref="W543">VLOOKUP(B543,'Player Data'!$A1:$AE673,11,FALSE)*$Q543*IFERROR((VLOOKUP(P543,Settings!$E$28:$F$33,2,FALSE)+1),1)</f>
        <v>0.15844572657182412</v>
      </c>
      <c r="X543" s="57" cm="1">
        <f t="array" ref="X543">VLOOKUP(B543,'Player Data'!$A1:$AE673,12,FALSE)*$Q543*IFERROR((VLOOKUP(P543,Settings!$E$28:$F$33,2,FALSE)+1),1)</f>
        <v>0.45540774180641441</v>
      </c>
      <c r="Y543" s="57" cm="1">
        <f t="array" ref="Y543">VLOOKUP(B543,'Player Data'!$A1:$AE673,13,FALSE)*$Q543</f>
        <v>1.709200474919275E-2</v>
      </c>
      <c r="Z543" s="57" cm="1">
        <f t="array" ref="Z543">VLOOKUP(B543,'Player Data'!$A1:$AE673,14,FALSE)*$Q543</f>
        <v>2.7831084879972143E-2</v>
      </c>
      <c r="AA543" s="57" cm="1">
        <f t="array" ref="AA543">VLOOKUP(B543,'Player Data'!$A1:$AE673,15,FALSE)*$Q543</f>
        <v>31.083550722553621</v>
      </c>
      <c r="AB543" s="57" cm="1">
        <f t="array" ref="AB543">VLOOKUP(B543,'Player Data'!$A1:$AE673,16,FALSE)*$Q543</f>
        <v>97.449463183951039</v>
      </c>
      <c r="AC543" s="57" cm="1">
        <f t="array" ref="AC543">VLOOKUP(B543,'Player Data'!$A1:$AE673,17,FALSE)*$Q543*IFERROR((VLOOKUP(P543,Settings!$E$28:$F$33,2,FALSE)+1),1)</f>
        <v>-1.2759197236186028</v>
      </c>
      <c r="AD543" s="57" cm="1">
        <f t="array" ref="AD543">VLOOKUP(B543,'Player Data'!$A1:$AE673,18,FALSE)*$Q543</f>
        <v>51.208511666937895</v>
      </c>
      <c r="AE543" s="57" cm="1">
        <f t="array" ref="AE543">VLOOKUP(B543,'Player Data'!$A1:$AE673,19,FALSE)*$Q543*IFERROR((VLOOKUP(P543,Settings!$E$28:$F$33,2,FALSE)+1),1)</f>
        <v>1.3805901581297195</v>
      </c>
      <c r="AF543" s="57" cm="1">
        <f t="array" ref="AF543">VLOOKUP(B543,'Player Data'!$A1:$AE673,20,FALSE)*$Q543</f>
        <v>5.0079426429317513</v>
      </c>
      <c r="AG543" s="57" cm="1">
        <f t="array" ref="AG543">VLOOKUP(B543,'Player Data'!$A1:$AE673,21,FALSE)*$Q543</f>
        <v>6.7110500293095985</v>
      </c>
      <c r="AH543" s="59" cm="1">
        <f t="array" ref="AH543">VLOOKUP(B543,'Player Data'!$A1:$AE673,22,FALSE)</f>
        <v>0.42733558958476098</v>
      </c>
      <c r="AI543" s="55"/>
      <c r="AJ543" s="57"/>
      <c r="AK543" s="57"/>
      <c r="AL543" s="57"/>
      <c r="AM543" s="57"/>
      <c r="AN543" s="57"/>
      <c r="AO543" s="57"/>
      <c r="AP543" s="57"/>
      <c r="AQ543" s="60"/>
      <c r="AR543" s="61"/>
      <c r="AS543" s="55"/>
    </row>
    <row r="544" spans="1:45" ht="21.25" customHeight="1" x14ac:dyDescent="0.15">
      <c r="A544" s="62">
        <f t="shared" si="8"/>
        <v>543</v>
      </c>
      <c r="B544" s="10" t="s">
        <v>672</v>
      </c>
      <c r="C544" s="47" t="s">
        <v>147</v>
      </c>
      <c r="D544" s="48" t="str" cm="1">
        <f t="array" ref="D544">VLOOKUP(B544,'Player Data'!A1:D673,4,FALSE)</f>
        <v>C,LW</v>
      </c>
      <c r="E544" s="74" cm="1">
        <f t="array" ref="E544">VLOOKUP(B544,LW!A1:C210,3,FALSE)</f>
        <v>144</v>
      </c>
      <c r="F544" s="63" t="str" cm="1">
        <f t="array" ref="F544">VLOOKUP(B544,'Player Data'!A1:B673,2,FALSE)</f>
        <v>WPG</v>
      </c>
      <c r="G544" s="11" cm="1">
        <f t="array" ref="G544">VLOOKUP(B544,'Player Data'!A1:D673,3,FALSE)</f>
        <v>27</v>
      </c>
      <c r="H544" s="67" cm="1">
        <f t="array" ref="H544">IFERROR(VLOOKUP(B544,ADP!A1:F671,6,FALSE)/1000000,VLOOKUP(B544,ADP!A1:F671,6,FALSE))</f>
        <v>1.85</v>
      </c>
      <c r="I544" s="52">
        <f>IF(Settings!$E$15="POINTS",((R544*Q544)*Settings!$B$12)+(S544*Settings!$B$2)+(T544*Settings!$B$3)+(U544*Settings!$B$4)+(V544*Settings!$B$5)+(X544*Settings!$B$9)+(AA544*Settings!$B$6)+(W544*Settings!$B$8)+(AB544*Settings!$B$7)+(AC544*Settings!$B$14)+(AD544*Settings!$B$15)+(AE544*Settings!$B$16)+(AF544*Settings!$B$17)+(AG544*Settings!$B$18)+(Y544*Settings!$B$10)+(Z544*Settings!$B$11),VLOOKUP(B544,'Standard Deviations'!A$1:C$672,3,FALSE))</f>
        <v>152.2931111061238</v>
      </c>
      <c r="J544" s="53" cm="1">
        <f t="array" ref="J544">IF(D544="G",I544/AJ544,I544/Q544)</f>
        <v>1.9105298554947316</v>
      </c>
      <c r="K544" s="52" cm="1">
        <f t="array" ref="K544">IF(Settings!$E$18="C/LW/RW",VLOOKUP(B544,LW!A1:F210,6,FALSE),VLOOKUP(B544,F!A1:F407,6,FALSE))</f>
        <v>-247.01988220759628</v>
      </c>
      <c r="L544" s="54" cm="1">
        <f t="array" ref="L544">IFERROR(K544/H544,"N/A")</f>
        <v>-133.52426065275475</v>
      </c>
      <c r="M544" s="85" t="s">
        <v>832</v>
      </c>
      <c r="N544" s="85" t="str" cm="1">
        <f t="array" ref="N544">IFERROR(M544-A544,"N/A")</f>
        <v>N/A</v>
      </c>
      <c r="O544" s="55"/>
      <c r="P544" s="56" t="str" cm="1">
        <f t="array" ref="P544">_xlfn.XLOOKUP($B544,ADP!A2:A671,ADP!G2:G671)</f>
        <v xml:space="preserve"> </v>
      </c>
      <c r="Q544" s="57" cm="1">
        <f t="array" ref="Q544">IF(Settings!$E$12="YES",VLOOKUP(B544,'Player Data'!A1:E673,5,FALSE),84)</f>
        <v>79.712500000000006</v>
      </c>
      <c r="R544" s="55" cm="1">
        <f t="array" ref="R544">VLOOKUP(B544,'Player Data'!$A1:$AE673,6,FALSE)</f>
        <v>12.7838186278744</v>
      </c>
      <c r="S544" s="57" cm="1">
        <f t="array" ref="S544">VLOOKUP(B544,'Player Data'!$A1:$AE673,7,FALSE)*$Q544*IFERROR((VLOOKUP(P544,Settings!$E$28:$F$33,2,FALSE)+1),1)</f>
        <v>11.790648008183645</v>
      </c>
      <c r="T544" s="57" cm="1">
        <f t="array" ref="T544">VLOOKUP(B544,'Player Data'!$A1:$AE673,8,FALSE)*$Q544*IFERROR((VLOOKUP(P544,Settings!$E$28:$F$33,2,FALSE)+1),1)</f>
        <v>11.640531144558659</v>
      </c>
      <c r="U544" s="57" cm="1">
        <f t="array" ref="U544">SUM(S544:T544)</f>
        <v>23.431179152742303</v>
      </c>
      <c r="V544" s="57" cm="1">
        <f t="array" ref="V544">VLOOKUP(B544,'Player Data'!$A1:$AE673,10,FALSE)*$Q544*IFERROR(((VLOOKUP(P544,Settings!$E$28:$F$33,2,FALSE)/2)+1),1)</f>
        <v>111.63601327720998</v>
      </c>
      <c r="W544" s="57" cm="1">
        <f t="array" ref="W544">VLOOKUP(B544,'Player Data'!$A1:$AE673,11,FALSE)*$Q544*IFERROR((VLOOKUP(P544,Settings!$E$28:$F$33,2,FALSE)+1),1)</f>
        <v>3.2045418570906668E-2</v>
      </c>
      <c r="X544" s="57" cm="1">
        <f t="array" ref="X544">VLOOKUP(B544,'Player Data'!$A1:$AE673,12,FALSE)*$Q544*IFERROR((VLOOKUP(P544,Settings!$E$28:$F$33,2,FALSE)+1),1)</f>
        <v>8.5627569296165107E-2</v>
      </c>
      <c r="Y544" s="57" cm="1">
        <f t="array" ref="Y544">VLOOKUP(B544,'Player Data'!$A1:$AE673,13,FALSE)*$Q544</f>
        <v>1.2977733093020374</v>
      </c>
      <c r="Z544" s="57" cm="1">
        <f t="array" ref="Z544">VLOOKUP(B544,'Player Data'!$A1:$AE673,14,FALSE)*$Q544</f>
        <v>1.4096263792139223</v>
      </c>
      <c r="AA544" s="57" cm="1">
        <f t="array" ref="AA544">VLOOKUP(B544,'Player Data'!$A1:$AE673,15,FALSE)*$Q544</f>
        <v>49.372626121563577</v>
      </c>
      <c r="AB544" s="57" cm="1">
        <f t="array" ref="AB544">VLOOKUP(B544,'Player Data'!$A1:$AE673,16,FALSE)*$Q544</f>
        <v>154.32098398336487</v>
      </c>
      <c r="AC544" s="57" cm="1">
        <f t="array" ref="AC544">VLOOKUP(B544,'Player Data'!$A1:$AE673,17,FALSE)*$Q544*IFERROR((VLOOKUP(P544,Settings!$E$28:$F$33,2,FALSE)+1),1)</f>
        <v>1.0023769141098726</v>
      </c>
      <c r="AD544" s="57" cm="1">
        <f t="array" ref="AD544">VLOOKUP(B544,'Player Data'!$A1:$AE673,18,FALSE)*$Q544</f>
        <v>28.549833457286493</v>
      </c>
      <c r="AE544" s="57" cm="1">
        <f t="array" ref="AE544">VLOOKUP(B544,'Player Data'!$A1:$AE673,19,FALSE)*$Q544*IFERROR((VLOOKUP(P544,Settings!$E$28:$F$33,2,FALSE)+1),1)</f>
        <v>2.0488580106224994</v>
      </c>
      <c r="AF544" s="57" cm="1">
        <f t="array" ref="AF544">VLOOKUP(B544,'Player Data'!$A1:$AE673,20,FALSE)*$Q544</f>
        <v>272.48141622701718</v>
      </c>
      <c r="AG544" s="57" cm="1">
        <f t="array" ref="AG544">VLOOKUP(B544,'Player Data'!$A1:$AE673,21,FALSE)*$Q544</f>
        <v>293.69100138753623</v>
      </c>
      <c r="AH544" s="59" cm="1">
        <f t="array" ref="AH544">VLOOKUP(B544,'Player Data'!$A1:$AE673,22,FALSE)</f>
        <v>0.48126932317731003</v>
      </c>
      <c r="AI544" s="55"/>
      <c r="AJ544" s="57"/>
      <c r="AK544" s="57"/>
      <c r="AL544" s="57"/>
      <c r="AM544" s="57"/>
      <c r="AN544" s="57"/>
      <c r="AO544" s="57"/>
      <c r="AP544" s="57"/>
      <c r="AQ544" s="60"/>
      <c r="AR544" s="61"/>
      <c r="AS544" s="55"/>
    </row>
    <row r="545" spans="1:45" ht="21.25" customHeight="1" x14ac:dyDescent="0.15">
      <c r="A545" s="62">
        <f t="shared" si="8"/>
        <v>544</v>
      </c>
      <c r="B545" s="10" t="s">
        <v>673</v>
      </c>
      <c r="C545" s="47" t="s">
        <v>147</v>
      </c>
      <c r="D545" s="48" t="str" cm="1">
        <f t="array" ref="D545">VLOOKUP(B545,'Player Data'!A1:D673,4,FALSE)</f>
        <v>C,LW</v>
      </c>
      <c r="E545" s="74" cm="1">
        <f t="array" ref="E545">VLOOKUP(B545,LW!A1:C210,3,FALSE)</f>
        <v>145</v>
      </c>
      <c r="F545" s="69" t="str" cm="1">
        <f t="array" ref="F545">VLOOKUP(B545,'Player Data'!A1:B673,2,FALSE)</f>
        <v>TOR</v>
      </c>
      <c r="G545" s="66" cm="1">
        <f t="array" ref="G545">VLOOKUP(B545,'Player Data'!A1:D673,3,FALSE)</f>
        <v>31</v>
      </c>
      <c r="H545" s="51" cm="1">
        <f t="array" ref="H545">IFERROR(VLOOKUP(B545,ADP!A1:F671,6,FALSE)/1000000,VLOOKUP(B545,ADP!A1:F671,6,FALSE))</f>
        <v>3.75</v>
      </c>
      <c r="I545" s="52">
        <f>IF(Settings!$E$15="POINTS",((R545*Q545)*Settings!$B$12)+(S545*Settings!$B$2)+(T545*Settings!$B$3)+(U545*Settings!$B$4)+(V545*Settings!$B$5)+(X545*Settings!$B$9)+(AA545*Settings!$B$6)+(W545*Settings!$B$8)+(AB545*Settings!$B$7)+(AC545*Settings!$B$14)+(AD545*Settings!$B$15)+(AE545*Settings!$B$16)+(AF545*Settings!$B$17)+(AG545*Settings!$B$18)+(Y545*Settings!$B$10)+(Z545*Settings!$B$11),VLOOKUP(B545,'Standard Deviations'!A$1:C$672,3,FALSE))</f>
        <v>152.10078647623914</v>
      </c>
      <c r="J545" s="53" cm="1">
        <f t="array" ref="J545">IF(D545="G",I545/AJ545,I545/Q545)</f>
        <v>1.846443538406545</v>
      </c>
      <c r="K545" s="52" cm="1">
        <f t="array" ref="K545">IF(Settings!$E$18="C/LW/RW",VLOOKUP(B545,LW!A1:F210,6,FALSE),VLOOKUP(B545,F!A1:F407,6,FALSE))</f>
        <v>-247.21220683748095</v>
      </c>
      <c r="L545" s="54" cm="1">
        <f t="array" ref="L545">IFERROR(K545/H545,"N/A")</f>
        <v>-65.923255156661583</v>
      </c>
      <c r="M545" s="85" t="s">
        <v>832</v>
      </c>
      <c r="N545" s="85" t="str" cm="1">
        <f t="array" ref="N545">IFERROR(M545-A545,"N/A")</f>
        <v>N/A</v>
      </c>
      <c r="O545" s="55"/>
      <c r="P545" s="56" t="str" cm="1">
        <f t="array" ref="P545">_xlfn.XLOOKUP($B545,ADP!A2:A671,ADP!G2:G671)</f>
        <v xml:space="preserve"> </v>
      </c>
      <c r="Q545" s="57" cm="1">
        <f t="array" ref="Q545">IF(Settings!$E$12="YES",VLOOKUP(B545,'Player Data'!A1:E673,5,FALSE),84)</f>
        <v>82.375</v>
      </c>
      <c r="R545" s="84" cm="1">
        <f t="array" ref="R545">VLOOKUP(B545,'Player Data'!$A1:$AE673,6,FALSE)</f>
        <v>12.593727527463701</v>
      </c>
      <c r="S545" s="57" cm="1">
        <f t="array" ref="S545">VLOOKUP(B545,'Player Data'!$A1:$AE673,7,FALSE)*$Q545*IFERROR((VLOOKUP(P545,Settings!$E$28:$F$33,2,FALSE)+1),1)</f>
        <v>8.5858248099181527</v>
      </c>
      <c r="T545" s="57" cm="1">
        <f t="array" ref="T545">VLOOKUP(B545,'Player Data'!$A1:$AE673,8,FALSE)*$Q545*IFERROR((VLOOKUP(P545,Settings!$E$28:$F$33,2,FALSE)+1),1)</f>
        <v>19.811781014015761</v>
      </c>
      <c r="U545" s="57" cm="1">
        <f t="array" ref="U545">SUM(S545:T545)</f>
        <v>28.397605823933915</v>
      </c>
      <c r="V545" s="57" cm="1">
        <f t="array" ref="V545">VLOOKUP(B545,'Player Data'!$A1:$AE673,10,FALSE)*$Q545*IFERROR(((VLOOKUP(P545,Settings!$E$28:$F$33,2,FALSE)/2)+1),1)</f>
        <v>98.420124192527368</v>
      </c>
      <c r="W545" s="57" cm="1">
        <f t="array" ref="W545">VLOOKUP(B545,'Player Data'!$A1:$AE673,11,FALSE)*$Q545*IFERROR((VLOOKUP(P545,Settings!$E$28:$F$33,2,FALSE)+1),1)</f>
        <v>0.41117800980117658</v>
      </c>
      <c r="X545" s="57" cm="1">
        <f t="array" ref="X545">VLOOKUP(B545,'Player Data'!$A1:$AE673,12,FALSE)*$Q545*IFERROR((VLOOKUP(P545,Settings!$E$28:$F$33,2,FALSE)+1),1)</f>
        <v>1.9825144201931777</v>
      </c>
      <c r="Y545" s="57" cm="1">
        <f t="array" ref="Y545">VLOOKUP(B545,'Player Data'!$A1:$AE673,13,FALSE)*$Q545</f>
        <v>9.6699797137239825E-4</v>
      </c>
      <c r="Z545" s="57" cm="1">
        <f t="array" ref="Z545">VLOOKUP(B545,'Player Data'!$A1:$AE673,14,FALSE)*$Q545</f>
        <v>1.668619912840272E-3</v>
      </c>
      <c r="AA545" s="57" cm="1">
        <f t="array" ref="AA545">VLOOKUP(B545,'Player Data'!$A1:$AE673,15,FALSE)*$Q545</f>
        <v>31.427447736135349</v>
      </c>
      <c r="AB545" s="57" cm="1">
        <f t="array" ref="AB545">VLOOKUP(B545,'Player Data'!$A1:$AE673,16,FALSE)*$Q545</f>
        <v>40.954378090286056</v>
      </c>
      <c r="AC545" s="57" cm="1">
        <f t="array" ref="AC545">VLOOKUP(B545,'Player Data'!$A1:$AE673,17,FALSE)*$Q545*IFERROR((VLOOKUP(P545,Settings!$E$28:$F$33,2,FALSE)+1),1)</f>
        <v>-1.0880128696453968</v>
      </c>
      <c r="AD545" s="57" cm="1">
        <f t="array" ref="AD545">VLOOKUP(B545,'Player Data'!$A1:$AE673,18,FALSE)*$Q545</f>
        <v>53.563655072357591</v>
      </c>
      <c r="AE545" s="57" cm="1">
        <f t="array" ref="AE545">VLOOKUP(B545,'Player Data'!$A1:$AE673,19,FALSE)*$Q545*IFERROR((VLOOKUP(P545,Settings!$E$28:$F$33,2,FALSE)+1),1)</f>
        <v>1.1724864139479543</v>
      </c>
      <c r="AF545" s="57" cm="1">
        <f t="array" ref="AF545">VLOOKUP(B545,'Player Data'!$A1:$AE673,20,FALSE)*$Q545</f>
        <v>203.96592312828054</v>
      </c>
      <c r="AG545" s="57" cm="1">
        <f t="array" ref="AG545">VLOOKUP(B545,'Player Data'!$A1:$AE673,21,FALSE)*$Q545</f>
        <v>199.3677012146928</v>
      </c>
      <c r="AH545" s="59" cm="1">
        <f t="array" ref="AH545">VLOOKUP(B545,'Player Data'!$A1:$AE673,22,FALSE)</f>
        <v>0.50570027098667703</v>
      </c>
      <c r="AI545" s="55"/>
      <c r="AJ545" s="57"/>
      <c r="AK545" s="57"/>
      <c r="AL545" s="57"/>
      <c r="AM545" s="57"/>
      <c r="AN545" s="57"/>
      <c r="AO545" s="57"/>
      <c r="AP545" s="57"/>
      <c r="AQ545" s="60"/>
      <c r="AR545" s="61"/>
      <c r="AS545" s="55"/>
    </row>
    <row r="546" spans="1:45" ht="21.25" customHeight="1" x14ac:dyDescent="0.15">
      <c r="A546" s="62">
        <f t="shared" si="8"/>
        <v>545</v>
      </c>
      <c r="B546" s="10" t="s">
        <v>674</v>
      </c>
      <c r="C546" s="47" t="s">
        <v>147</v>
      </c>
      <c r="D546" s="48" t="str" cm="1">
        <f t="array" ref="D546">VLOOKUP(B546,'Player Data'!A1:D673,4,FALSE)</f>
        <v>LW,RW</v>
      </c>
      <c r="E546" s="74" cm="1">
        <f t="array" ref="E546">VLOOKUP(B546,RW!A1:F210,3,FALSE)</f>
        <v>152</v>
      </c>
      <c r="F546" s="69" t="str" cm="1">
        <f t="array" ref="F546">VLOOKUP(B546,'Player Data'!A1:B673,2,FALSE)</f>
        <v>MTL</v>
      </c>
      <c r="G546" s="11" cm="1">
        <f t="array" ref="G546">VLOOKUP(B546,'Player Data'!A1:D673,3,FALSE)</f>
        <v>26</v>
      </c>
      <c r="H546" s="51" cm="1">
        <f t="array" ref="H546">IFERROR(VLOOKUP(B546,ADP!A1:F671,6,FALSE)/1000000,VLOOKUP(B546,ADP!A1:F671,6,FALSE))</f>
        <v>2.5</v>
      </c>
      <c r="I546" s="52">
        <f>IF(Settings!$E$15="POINTS",((R546*Q546)*Settings!$B$12)+(S546*Settings!$B$2)+(T546*Settings!$B$3)+(U546*Settings!$B$4)+(V546*Settings!$B$5)+(X546*Settings!$B$9)+(AA546*Settings!$B$6)+(W546*Settings!$B$8)+(AB546*Settings!$B$7)+(AC546*Settings!$B$14)+(AD546*Settings!$B$15)+(AE546*Settings!$B$16)+(AF546*Settings!$B$17)+(AG546*Settings!$B$18)+(Y546*Settings!$B$10)+(Z546*Settings!$B$11),VLOOKUP(B546,'Standard Deviations'!A$1:C$672,3,FALSE))</f>
        <v>147.13223319186213</v>
      </c>
      <c r="J546" s="53" cm="1">
        <f t="array" ref="J546">IF(D546="G",I546/AJ546,I546/Q546)</f>
        <v>2.0689338844387559</v>
      </c>
      <c r="K546" s="52" cm="1">
        <f t="array" ref="K546">IF(Settings!$E$18="C/LW/RW",VLOOKUP(B546,RW!A1:F210,6,FALSE),VLOOKUP(B546,F!A1:F407,6,FALSE))</f>
        <v>-247.81123150169535</v>
      </c>
      <c r="L546" s="54" cm="1">
        <f t="array" ref="L546">IFERROR(K546/H546,"N/A")</f>
        <v>-99.124492600678138</v>
      </c>
      <c r="M546" s="85" t="s">
        <v>832</v>
      </c>
      <c r="N546" s="85" t="str" cm="1">
        <f t="array" ref="N546">IFERROR(M546-A546,"N/A")</f>
        <v>N/A</v>
      </c>
      <c r="O546" s="55"/>
      <c r="P546" s="56" t="str" cm="1">
        <f t="array" ref="P546">_xlfn.XLOOKUP($B546,ADP!A2:A671,ADP!G2:G671)</f>
        <v xml:space="preserve"> </v>
      </c>
      <c r="Q546" s="57" cm="1">
        <f t="array" ref="Q546">IF(Settings!$E$12="YES",VLOOKUP(B546,'Player Data'!A1:E673,5,FALSE),84)</f>
        <v>71.114999999999995</v>
      </c>
      <c r="R546" s="55" cm="1">
        <f t="array" ref="R546">VLOOKUP(B546,'Player Data'!$A1:$AE673,6,FALSE)</f>
        <v>13.260442714423499</v>
      </c>
      <c r="S546" s="57" cm="1">
        <f t="array" ref="S546">VLOOKUP(B546,'Player Data'!$A1:$AE673,7,FALSE)*$Q546*IFERROR((VLOOKUP(P546,Settings!$E$28:$F$33,2,FALSE)+1),1)</f>
        <v>11.481437018840651</v>
      </c>
      <c r="T546" s="57" cm="1">
        <f t="array" ref="T546">VLOOKUP(B546,'Player Data'!$A1:$AE673,8,FALSE)*$Q546*IFERROR((VLOOKUP(P546,Settings!$E$28:$F$33,2,FALSE)+1),1)</f>
        <v>16.3822269919809</v>
      </c>
      <c r="U546" s="57" cm="1">
        <f t="array" ref="U546">SUM(S546:T546)</f>
        <v>27.863664010821552</v>
      </c>
      <c r="V546" s="57" cm="1">
        <f t="array" ref="V546">VLOOKUP(B546,'Player Data'!$A1:$AE673,10,FALSE)*$Q546*IFERROR(((VLOOKUP(P546,Settings!$E$28:$F$33,2,FALSE)/2)+1),1)</f>
        <v>99.69149986061953</v>
      </c>
      <c r="W546" s="57" cm="1">
        <f t="array" ref="W546">VLOOKUP(B546,'Player Data'!$A1:$AE673,11,FALSE)*$Q546*IFERROR((VLOOKUP(P546,Settings!$E$28:$F$33,2,FALSE)+1),1)</f>
        <v>0.62693830445168364</v>
      </c>
      <c r="X546" s="57" cm="1">
        <f t="array" ref="X546">VLOOKUP(B546,'Player Data'!$A1:$AE673,12,FALSE)*$Q546*IFERROR((VLOOKUP(P546,Settings!$E$28:$F$33,2,FALSE)+1),1)</f>
        <v>1.8699149228579057</v>
      </c>
      <c r="Y546" s="57" cm="1">
        <f t="array" ref="Y546">VLOOKUP(B546,'Player Data'!$A1:$AE673,13,FALSE)*$Q546</f>
        <v>6.9199508905339477E-2</v>
      </c>
      <c r="Z546" s="57" cm="1">
        <f t="array" ref="Z546">VLOOKUP(B546,'Player Data'!$A1:$AE673,14,FALSE)*$Q546</f>
        <v>8.0476323586725296E-2</v>
      </c>
      <c r="AA546" s="57" cm="1">
        <f t="array" ref="AA546">VLOOKUP(B546,'Player Data'!$A1:$AE673,15,FALSE)*$Q546</f>
        <v>23.490199965286159</v>
      </c>
      <c r="AB546" s="57" cm="1">
        <f t="array" ref="AB546">VLOOKUP(B546,'Player Data'!$A1:$AE673,16,FALSE)*$Q546</f>
        <v>79.733496155242008</v>
      </c>
      <c r="AC546" s="57" cm="1">
        <f t="array" ref="AC546">VLOOKUP(B546,'Player Data'!$A1:$AE673,17,FALSE)*$Q546*IFERROR((VLOOKUP(P546,Settings!$E$28:$F$33,2,FALSE)+1),1)</f>
        <v>2.4007785880316543</v>
      </c>
      <c r="AD546" s="57" cm="1">
        <f t="array" ref="AD546">VLOOKUP(B546,'Player Data'!$A1:$AE673,18,FALSE)*$Q546</f>
        <v>24.607318545531086</v>
      </c>
      <c r="AE546" s="57" cm="1">
        <f t="array" ref="AE546">VLOOKUP(B546,'Player Data'!$A1:$AE673,19,FALSE)*$Q546*IFERROR((VLOOKUP(P546,Settings!$E$28:$F$33,2,FALSE)+1),1)</f>
        <v>1.9115462132096805</v>
      </c>
      <c r="AF546" s="57" cm="1">
        <f t="array" ref="AF546">VLOOKUP(B546,'Player Data'!$A1:$AE673,20,FALSE)*$Q546</f>
        <v>4.2559117389706538</v>
      </c>
      <c r="AG546" s="57" cm="1">
        <f t="array" ref="AG546">VLOOKUP(B546,'Player Data'!$A1:$AE673,21,FALSE)*$Q546</f>
        <v>14.960303831451538</v>
      </c>
      <c r="AH546" s="59" cm="1">
        <f t="array" ref="AH546">VLOOKUP(B546,'Player Data'!$A1:$AE673,22,FALSE)</f>
        <v>0.221475020582169</v>
      </c>
      <c r="AI546" s="55"/>
      <c r="AJ546" s="57"/>
      <c r="AK546" s="57"/>
      <c r="AL546" s="57"/>
      <c r="AM546" s="57"/>
      <c r="AN546" s="57"/>
      <c r="AO546" s="57"/>
      <c r="AP546" s="57"/>
      <c r="AQ546" s="60"/>
      <c r="AR546" s="61"/>
      <c r="AS546" s="55"/>
    </row>
    <row r="547" spans="1:45" ht="21.25" customHeight="1" x14ac:dyDescent="0.15">
      <c r="A547" s="62">
        <f t="shared" si="8"/>
        <v>546</v>
      </c>
      <c r="B547" s="10" t="s">
        <v>675</v>
      </c>
      <c r="C547" s="47" t="s">
        <v>147</v>
      </c>
      <c r="D547" s="48" t="str" cm="1">
        <f t="array" ref="D547">VLOOKUP(B547,'Player Data'!A1:D673,4,FALSE)</f>
        <v>C,RW</v>
      </c>
      <c r="E547" s="74" cm="1">
        <f t="array" ref="E547">VLOOKUP(B547,RW!A1:F210,3,FALSE)</f>
        <v>153</v>
      </c>
      <c r="F547" s="69" t="str" cm="1">
        <f t="array" ref="F547">VLOOKUP(B547,'Player Data'!A1:B673,2,FALSE)</f>
        <v>MTL</v>
      </c>
      <c r="G547" s="11" cm="1">
        <f t="array" ref="G547">VLOOKUP(B547,'Player Data'!A1:D673,3,FALSE)</f>
        <v>25</v>
      </c>
      <c r="H547" s="67" cm="1">
        <f t="array" ref="H547">IFERROR(VLOOKUP(B547,ADP!A1:F671,6,FALSE)/1000000,VLOOKUP(B547,ADP!A1:F671,6,FALSE))</f>
        <v>3.6</v>
      </c>
      <c r="I547" s="52">
        <f>IF(Settings!$E$15="POINTS",((R547*Q547)*Settings!$B$12)+(S547*Settings!$B$2)+(T547*Settings!$B$3)+(U547*Settings!$B$4)+(V547*Settings!$B$5)+(X547*Settings!$B$9)+(AA547*Settings!$B$6)+(W547*Settings!$B$8)+(AB547*Settings!$B$7)+(AC547*Settings!$B$14)+(AD547*Settings!$B$15)+(AE547*Settings!$B$16)+(AF547*Settings!$B$17)+(AG547*Settings!$B$18)+(Y547*Settings!$B$10)+(Z547*Settings!$B$11),VLOOKUP(B547,'Standard Deviations'!A$1:C$672,3,FALSE))</f>
        <v>146.52044804829563</v>
      </c>
      <c r="J547" s="53" cm="1">
        <f t="array" ref="J547">IF(D547="G",I547/AJ547,I547/Q547)</f>
        <v>2.2679428534679302</v>
      </c>
      <c r="K547" s="52" cm="1">
        <f t="array" ref="K547">IF(Settings!$E$18="C/LW/RW",VLOOKUP(B547,RW!A1:F210,6,FALSE),VLOOKUP(B547,F!A1:F407,6,FALSE))</f>
        <v>-248.42301664526184</v>
      </c>
      <c r="L547" s="54" cm="1">
        <f t="array" ref="L547">IFERROR(K547/H547,"N/A")</f>
        <v>-69.006393512572728</v>
      </c>
      <c r="M547" s="85" t="s">
        <v>832</v>
      </c>
      <c r="N547" s="85" t="str" cm="1">
        <f t="array" ref="N547">IFERROR(M547-A547,"N/A")</f>
        <v>N/A</v>
      </c>
      <c r="O547" s="55"/>
      <c r="P547" s="56" t="str" cm="1">
        <f t="array" ref="P547">_xlfn.XLOOKUP($B547,ADP!A2:A671,ADP!G2:G671)</f>
        <v xml:space="preserve"> </v>
      </c>
      <c r="Q547" s="57" cm="1">
        <f t="array" ref="Q547">IF(Settings!$E$12="YES",VLOOKUP(B547,'Player Data'!A1:E673,5,FALSE),84)</f>
        <v>64.605000000000004</v>
      </c>
      <c r="R547" s="55" cm="1">
        <f t="array" ref="R547">VLOOKUP(B547,'Player Data'!$A1:$AE673,6,FALSE)</f>
        <v>13.983018364541101</v>
      </c>
      <c r="S547" s="57" cm="1">
        <f t="array" ref="S547">VLOOKUP(B547,'Player Data'!$A1:$AE673,7,FALSE)*$Q547*IFERROR((VLOOKUP(P547,Settings!$E$28:$F$33,2,FALSE)+1),1)</f>
        <v>12.368159975926563</v>
      </c>
      <c r="T547" s="57" cm="1">
        <f t="array" ref="T547">VLOOKUP(B547,'Player Data'!$A1:$AE673,8,FALSE)*$Q547*IFERROR((VLOOKUP(P547,Settings!$E$28:$F$33,2,FALSE)+1),1)</f>
        <v>13.147896583560936</v>
      </c>
      <c r="U547" s="57" cm="1">
        <f t="array" ref="U547">SUM(S547:T547)</f>
        <v>25.516056559487499</v>
      </c>
      <c r="V547" s="57" cm="1">
        <f t="array" ref="V547">VLOOKUP(B547,'Player Data'!$A1:$AE673,10,FALSE)*$Q547*IFERROR(((VLOOKUP(P547,Settings!$E$28:$F$33,2,FALSE)/2)+1),1)</f>
        <v>88.741057540943672</v>
      </c>
      <c r="W547" s="57" cm="1">
        <f t="array" ref="W547">VLOOKUP(B547,'Player Data'!$A1:$AE673,11,FALSE)*$Q547*IFERROR((VLOOKUP(P547,Settings!$E$28:$F$33,2,FALSE)+1),1)</f>
        <v>0.71871092827992367</v>
      </c>
      <c r="X547" s="57" cm="1">
        <f t="array" ref="X547">VLOOKUP(B547,'Player Data'!$A1:$AE673,12,FALSE)*$Q547*IFERROR((VLOOKUP(P547,Settings!$E$28:$F$33,2,FALSE)+1),1)</f>
        <v>3.6598598880011859</v>
      </c>
      <c r="Y547" s="57" cm="1">
        <f t="array" ref="Y547">VLOOKUP(B547,'Player Data'!$A1:$AE673,13,FALSE)*$Q547</f>
        <v>8.93136970133117E-3</v>
      </c>
      <c r="Z547" s="57" cm="1">
        <f t="array" ref="Z547">VLOOKUP(B547,'Player Data'!$A1:$AE673,14,FALSE)*$Q547</f>
        <v>1.4714965295092402E-2</v>
      </c>
      <c r="AA547" s="57" cm="1">
        <f t="array" ref="AA547">VLOOKUP(B547,'Player Data'!$A1:$AE673,15,FALSE)*$Q547</f>
        <v>43.854349492130055</v>
      </c>
      <c r="AB547" s="57" cm="1">
        <f t="array" ref="AB547">VLOOKUP(B547,'Player Data'!$A1:$AE673,16,FALSE)*$Q547</f>
        <v>93.677929408960381</v>
      </c>
      <c r="AC547" s="57" cm="1">
        <f t="array" ref="AC547">VLOOKUP(B547,'Player Data'!$A1:$AE673,17,FALSE)*$Q547*IFERROR((VLOOKUP(P547,Settings!$E$28:$F$33,2,FALSE)+1),1)</f>
        <v>1.3991655267657104</v>
      </c>
      <c r="AD547" s="57" cm="1">
        <f t="array" ref="AD547">VLOOKUP(B547,'Player Data'!$A1:$AE673,18,FALSE)*$Q547</f>
        <v>37.235003295410515</v>
      </c>
      <c r="AE547" s="57" cm="1">
        <f t="array" ref="AE547">VLOOKUP(B547,'Player Data'!$A1:$AE673,19,FALSE)*$Q547*IFERROR((VLOOKUP(P547,Settings!$E$28:$F$33,2,FALSE)+1),1)</f>
        <v>2.0591768545660072</v>
      </c>
      <c r="AF547" s="57" cm="1">
        <f t="array" ref="AF547">VLOOKUP(B547,'Player Data'!$A1:$AE673,20,FALSE)*$Q547</f>
        <v>88.24744664912086</v>
      </c>
      <c r="AG547" s="57" cm="1">
        <f t="array" ref="AG547">VLOOKUP(B547,'Player Data'!$A1:$AE673,21,FALSE)*$Q547</f>
        <v>128.47270100757964</v>
      </c>
      <c r="AH547" s="59" cm="1">
        <f t="array" ref="AH547">VLOOKUP(B547,'Player Data'!$A1:$AE673,22,FALSE)</f>
        <v>0.40719539739752703</v>
      </c>
      <c r="AI547" s="55"/>
      <c r="AJ547" s="57"/>
      <c r="AK547" s="57"/>
      <c r="AL547" s="57"/>
      <c r="AM547" s="57"/>
      <c r="AN547" s="57"/>
      <c r="AO547" s="57"/>
      <c r="AP547" s="57"/>
      <c r="AQ547" s="60"/>
      <c r="AR547" s="61"/>
      <c r="AS547" s="55"/>
    </row>
    <row r="548" spans="1:45" ht="21.25" customHeight="1" x14ac:dyDescent="0.15">
      <c r="A548" s="62">
        <f t="shared" si="8"/>
        <v>547</v>
      </c>
      <c r="B548" s="10" t="s">
        <v>676</v>
      </c>
      <c r="C548" s="47" t="s">
        <v>147</v>
      </c>
      <c r="D548" s="48" t="str" cm="1">
        <f t="array" ref="D548">VLOOKUP(B548,'Player Data'!A1:D673,4,FALSE)</f>
        <v>C</v>
      </c>
      <c r="E548" s="49" cm="1">
        <f t="array" ref="E548">VLOOKUP(B548,'C'!A1:C210,3,FALSE)</f>
        <v>162</v>
      </c>
      <c r="F548" s="70" t="str" cm="1">
        <f t="array" ref="F548">VLOOKUP(B548,'Player Data'!A1:B673,2,FALSE)</f>
        <v>MIN</v>
      </c>
      <c r="G548" s="66" cm="1">
        <f t="array" ref="G548">VLOOKUP(B548,'Player Data'!A1:D673,3,FALSE)</f>
        <v>31</v>
      </c>
      <c r="H548" s="51" cm="1">
        <f t="array" ref="H548">IFERROR(VLOOKUP(B548,ADP!A1:F671,6,FALSE)/1000000,VLOOKUP(B548,ADP!A1:F671,6,FALSE))</f>
        <v>3.3330000000000002</v>
      </c>
      <c r="I548" s="52">
        <f>IF(Settings!$E$15="POINTS",((R548*Q548)*Settings!$B$12)+(S548*Settings!$B$2)+(T548*Settings!$B$3)+(U548*Settings!$B$4)+(V548*Settings!$B$5)+(X548*Settings!$B$9)+(AA548*Settings!$B$6)+(W548*Settings!$B$8)+(AB548*Settings!$B$7)+(AC548*Settings!$B$14)+(AD548*Settings!$B$15)+(AE548*Settings!$B$16)+(AF548*Settings!$B$17)+(AG548*Settings!$B$18)+(Y548*Settings!$B$10)+(Z548*Settings!$B$11),VLOOKUP(B548,'Standard Deviations'!A$1:C$672,3,FALSE))</f>
        <v>137.78286335914413</v>
      </c>
      <c r="J548" s="53" cm="1">
        <f t="array" ref="J548">IF(D548="G",I548/AJ548,I548/Q548)</f>
        <v>1.6968855366131239</v>
      </c>
      <c r="K548" s="52" cm="1">
        <f t="array" ref="K548">IF(Settings!$E$18="C/LW/RW",VLOOKUP(B548,'C'!A1:F210,6,FALSE),VLOOKUP(B548,F!A1:F407,6,FALSE))</f>
        <v>-248.75234303393887</v>
      </c>
      <c r="L548" s="54" cm="1">
        <f t="array" ref="L548">IFERROR(K548/H548,"N/A")</f>
        <v>-74.633166226804335</v>
      </c>
      <c r="M548" s="85" t="s">
        <v>832</v>
      </c>
      <c r="N548" s="85" t="str" cm="1">
        <f t="array" ref="N548">IFERROR(M548-A548,"N/A")</f>
        <v>N/A</v>
      </c>
      <c r="O548" s="55"/>
      <c r="P548" s="56" t="str" cm="1">
        <f t="array" ref="P548">_xlfn.XLOOKUP($B548,ADP!A2:A671,ADP!G2:G671)</f>
        <v xml:space="preserve"> </v>
      </c>
      <c r="Q548" s="57" cm="1">
        <f t="array" ref="Q548">IF(Settings!$E$12="YES",VLOOKUP(B548,'Player Data'!A1:E673,5,FALSE),84)</f>
        <v>81.197500000000005</v>
      </c>
      <c r="R548" s="55" cm="1">
        <f t="array" ref="R548">VLOOKUP(B548,'Player Data'!$A1:$AE673,6,FALSE)</f>
        <v>13.255414656505099</v>
      </c>
      <c r="S548" s="57" cm="1">
        <f t="array" ref="S548">VLOOKUP(B548,'Player Data'!$A1:$AE673,7,FALSE)*$Q548*IFERROR((VLOOKUP(P548,Settings!$E$28:$F$33,2,FALSE)+1),1)</f>
        <v>7.8596788498122381</v>
      </c>
      <c r="T548" s="57" cm="1">
        <f t="array" ref="T548">VLOOKUP(B548,'Player Data'!$A1:$AE673,8,FALSE)*$Q548*IFERROR((VLOOKUP(P548,Settings!$E$28:$F$33,2,FALSE)+1),1)</f>
        <v>9.6277495022643187</v>
      </c>
      <c r="U548" s="57" cm="1">
        <f t="array" ref="U548">SUM(S548:T548)</f>
        <v>17.487428352076556</v>
      </c>
      <c r="V548" s="57" cm="1">
        <f t="array" ref="V548">VLOOKUP(B548,'Player Data'!$A1:$AE673,10,FALSE)*$Q548*IFERROR(((VLOOKUP(P548,Settings!$E$28:$F$33,2,FALSE)/2)+1),1)</f>
        <v>100.86318257307285</v>
      </c>
      <c r="W548" s="57" cm="1">
        <f t="array" ref="W548">VLOOKUP(B548,'Player Data'!$A1:$AE673,11,FALSE)*$Q548*IFERROR((VLOOKUP(P548,Settings!$E$28:$F$33,2,FALSE)+1),1)</f>
        <v>4.0535951048296465E-2</v>
      </c>
      <c r="X548" s="57" cm="1">
        <f t="array" ref="X548">VLOOKUP(B548,'Player Data'!$A1:$AE673,12,FALSE)*$Q548*IFERROR((VLOOKUP(P548,Settings!$E$28:$F$33,2,FALSE)+1),1)</f>
        <v>8.7299877863409814E-2</v>
      </c>
      <c r="Y548" s="57" cm="1">
        <f t="array" ref="Y548">VLOOKUP(B548,'Player Data'!$A1:$AE673,13,FALSE)*$Q548</f>
        <v>0.55936589081029908</v>
      </c>
      <c r="Z548" s="57" cm="1">
        <f t="array" ref="Z548">VLOOKUP(B548,'Player Data'!$A1:$AE673,14,FALSE)*$Q548</f>
        <v>0.63216065143288758</v>
      </c>
      <c r="AA548" s="57" cm="1">
        <f t="array" ref="AA548">VLOOKUP(B548,'Player Data'!$A1:$AE673,15,FALSE)*$Q548</f>
        <v>68.339052974163465</v>
      </c>
      <c r="AB548" s="57" cm="1">
        <f t="array" ref="AB548">VLOOKUP(B548,'Player Data'!$A1:$AE673,16,FALSE)*$Q548</f>
        <v>180.21996497946395</v>
      </c>
      <c r="AC548" s="57" cm="1">
        <f t="array" ref="AC548">VLOOKUP(B548,'Player Data'!$A1:$AE673,17,FALSE)*$Q548*IFERROR((VLOOKUP(P548,Settings!$E$28:$F$33,2,FALSE)+1),1)</f>
        <v>0.91321662503689505</v>
      </c>
      <c r="AD548" s="57" cm="1">
        <f t="array" ref="AD548">VLOOKUP(B548,'Player Data'!$A1:$AE673,18,FALSE)*$Q548</f>
        <v>68.899847931134033</v>
      </c>
      <c r="AE548" s="57" cm="1">
        <f t="array" ref="AE548">VLOOKUP(B548,'Player Data'!$A1:$AE673,19,FALSE)*$Q548*IFERROR((VLOOKUP(P548,Settings!$E$28:$F$33,2,FALSE)+1),1)</f>
        <v>1.280219819632533</v>
      </c>
      <c r="AF548" s="57" cm="1">
        <f t="array" ref="AF548">VLOOKUP(B548,'Player Data'!$A1:$AE673,20,FALSE)*$Q548</f>
        <v>504.95325049096147</v>
      </c>
      <c r="AG548" s="57" cm="1">
        <f t="array" ref="AG548">VLOOKUP(B548,'Player Data'!$A1:$AE673,21,FALSE)*$Q548</f>
        <v>442.43897629829706</v>
      </c>
      <c r="AH548" s="59" cm="1">
        <f t="array" ref="AH548">VLOOKUP(B548,'Player Data'!$A1:$AE673,22,FALSE)</f>
        <v>0.53299281566016599</v>
      </c>
      <c r="AI548" s="55"/>
      <c r="AJ548" s="57"/>
      <c r="AK548" s="57"/>
      <c r="AL548" s="57"/>
      <c r="AM548" s="57"/>
      <c r="AN548" s="57"/>
      <c r="AO548" s="57"/>
      <c r="AP548" s="57"/>
      <c r="AQ548" s="60"/>
      <c r="AR548" s="61"/>
      <c r="AS548" s="55"/>
    </row>
    <row r="549" spans="1:45" ht="21.25" customHeight="1" x14ac:dyDescent="0.15">
      <c r="A549" s="62">
        <f t="shared" si="8"/>
        <v>548</v>
      </c>
      <c r="B549" s="10" t="s">
        <v>677</v>
      </c>
      <c r="C549" s="47" t="s">
        <v>147</v>
      </c>
      <c r="D549" s="48" t="str" cm="1">
        <f t="array" ref="D549">VLOOKUP(B549,'Player Data'!A1:D673,4,FALSE)</f>
        <v>C,RW</v>
      </c>
      <c r="E549" s="74" cm="1">
        <f t="array" ref="E549">VLOOKUP(B549,RW!A1:F210,3,FALSE)</f>
        <v>154</v>
      </c>
      <c r="F549" s="56" t="str" cm="1">
        <f t="array" ref="F549">VLOOKUP(B549,'Player Data'!A1:B673,2,FALSE)</f>
        <v>WSH</v>
      </c>
      <c r="G549" s="71" cm="1">
        <f t="array" ref="G549">VLOOKUP(B549,'Player Data'!A1:D673,3,FALSE)</f>
        <v>24</v>
      </c>
      <c r="H549" s="67" cm="1">
        <f t="array" ref="H549">IFERROR(VLOOKUP(B549,ADP!A1:F671,6,FALSE)/1000000,VLOOKUP(B549,ADP!A1:F671,6,FALSE))</f>
        <v>0.82509999999999994</v>
      </c>
      <c r="I549" s="52">
        <f>IF(Settings!$E$15="POINTS",((R549*Q549)*Settings!$B$12)+(S549*Settings!$B$2)+(T549*Settings!$B$3)+(U549*Settings!$B$4)+(V549*Settings!$B$5)+(X549*Settings!$B$9)+(AA549*Settings!$B$6)+(W549*Settings!$B$8)+(AB549*Settings!$B$7)+(AC549*Settings!$B$14)+(AD549*Settings!$B$15)+(AE549*Settings!$B$16)+(AF549*Settings!$B$17)+(AG549*Settings!$B$18)+(Y549*Settings!$B$10)+(Z549*Settings!$B$11),VLOOKUP(B549,'Standard Deviations'!A$1:C$672,3,FALSE))</f>
        <v>146.03634311885486</v>
      </c>
      <c r="J549" s="53" cm="1">
        <f t="array" ref="J549">IF(D549="G",I549/AJ549,I549/Q549)</f>
        <v>1.8486783102583055</v>
      </c>
      <c r="K549" s="52" cm="1">
        <f t="array" ref="K549">IF(Settings!$E$18="C/LW/RW",VLOOKUP(B549,RW!A1:F210,6,FALSE),VLOOKUP(B549,F!A1:F407,6,FALSE))</f>
        <v>-248.90712157470261</v>
      </c>
      <c r="L549" s="54" cm="1">
        <f t="array" ref="L549">IFERROR(K549/H549,"N/A")</f>
        <v>-301.66903596497713</v>
      </c>
      <c r="M549" s="85" t="s">
        <v>832</v>
      </c>
      <c r="N549" s="85" t="str" cm="1">
        <f t="array" ref="N549">IFERROR(M549-A549,"N/A")</f>
        <v>N/A</v>
      </c>
      <c r="O549" s="55"/>
      <c r="P549" s="56" t="str" cm="1">
        <f t="array" ref="P549">_xlfn.XLOOKUP($B549,ADP!A2:A671,ADP!G2:G671)</f>
        <v xml:space="preserve"> </v>
      </c>
      <c r="Q549" s="57" cm="1">
        <f t="array" ref="Q549">IF(Settings!$E$12="YES",VLOOKUP(B549,'Player Data'!A1:E673,5,FALSE),84)</f>
        <v>78.995000000000005</v>
      </c>
      <c r="R549" s="84" cm="1">
        <f t="array" ref="R549">VLOOKUP(B549,'Player Data'!$A1:$AE673,6,FALSE)</f>
        <v>12.0509768302556</v>
      </c>
      <c r="S549" s="57" cm="1">
        <f t="array" ref="S549">VLOOKUP(B549,'Player Data'!$A1:$AE673,7,FALSE)*$Q549*IFERROR((VLOOKUP(P549,Settings!$E$28:$F$33,2,FALSE)+1),1)</f>
        <v>11.24437087277026</v>
      </c>
      <c r="T549" s="57" cm="1">
        <f t="array" ref="T549">VLOOKUP(B549,'Player Data'!$A1:$AE673,8,FALSE)*$Q549*IFERROR((VLOOKUP(P549,Settings!$E$28:$F$33,2,FALSE)+1),1)</f>
        <v>16.902501542022492</v>
      </c>
      <c r="U549" s="57" cm="1">
        <f t="array" ref="U549">SUM(S549:T549)</f>
        <v>28.146872414792753</v>
      </c>
      <c r="V549" s="57" cm="1">
        <f t="array" ref="V549">VLOOKUP(B549,'Player Data'!$A1:$AE673,10,FALSE)*$Q549*IFERROR(((VLOOKUP(P549,Settings!$E$28:$F$33,2,FALSE)/2)+1),1)</f>
        <v>87.370517550621187</v>
      </c>
      <c r="W549" s="57" cm="1">
        <f t="array" ref="W549">VLOOKUP(B549,'Player Data'!$A1:$AE673,11,FALSE)*$Q549*IFERROR((VLOOKUP(P549,Settings!$E$28:$F$33,2,FALSE)+1),1)</f>
        <v>0.20658290076570557</v>
      </c>
      <c r="X549" s="57" cm="1">
        <f t="array" ref="X549">VLOOKUP(B549,'Player Data'!$A1:$AE673,12,FALSE)*$Q549*IFERROR((VLOOKUP(P549,Settings!$E$28:$F$33,2,FALSE)+1),1)</f>
        <v>0.25844570819993623</v>
      </c>
      <c r="Y549" s="57" cm="1">
        <f t="array" ref="Y549">VLOOKUP(B549,'Player Data'!$A1:$AE673,13,FALSE)*$Q549</f>
        <v>0.10332558636797684</v>
      </c>
      <c r="Z549" s="57" cm="1">
        <f t="array" ref="Z549">VLOOKUP(B549,'Player Data'!$A1:$AE673,14,FALSE)*$Q549</f>
        <v>0.17031653043775841</v>
      </c>
      <c r="AA549" s="57" cm="1">
        <f t="array" ref="AA549">VLOOKUP(B549,'Player Data'!$A1:$AE673,15,FALSE)*$Q549</f>
        <v>34.963409721056671</v>
      </c>
      <c r="AB549" s="57" cm="1">
        <f t="array" ref="AB549">VLOOKUP(B549,'Player Data'!$A1:$AE673,16,FALSE)*$Q549</f>
        <v>82.900293477251907</v>
      </c>
      <c r="AC549" s="57" cm="1">
        <f t="array" ref="AC549">VLOOKUP(B549,'Player Data'!$A1:$AE673,17,FALSE)*$Q549*IFERROR((VLOOKUP(P549,Settings!$E$28:$F$33,2,FALSE)+1),1)</f>
        <v>5.735014591939894</v>
      </c>
      <c r="AD549" s="57" cm="1">
        <f t="array" ref="AD549">VLOOKUP(B549,'Player Data'!$A1:$AE673,18,FALSE)*$Q549</f>
        <v>26.067395501880128</v>
      </c>
      <c r="AE549" s="57" cm="1">
        <f t="array" ref="AE549">VLOOKUP(B549,'Player Data'!$A1:$AE673,19,FALSE)*$Q549*IFERROR((VLOOKUP(P549,Settings!$E$28:$F$33,2,FALSE)+1),1)</f>
        <v>1.6840617201247632</v>
      </c>
      <c r="AF549" s="57" cm="1">
        <f t="array" ref="AF549">VLOOKUP(B549,'Player Data'!$A1:$AE673,20,FALSE)*$Q549</f>
        <v>254.79851166960478</v>
      </c>
      <c r="AG549" s="57" cm="1">
        <f t="array" ref="AG549">VLOOKUP(B549,'Player Data'!$A1:$AE673,21,FALSE)*$Q549</f>
        <v>310.43996621158033</v>
      </c>
      <c r="AH549" s="59" cm="1">
        <f t="array" ref="AH549">VLOOKUP(B549,'Player Data'!$A1:$AE673,22,FALSE)</f>
        <v>0.45078054952084201</v>
      </c>
      <c r="AI549" s="55"/>
      <c r="AJ549" s="57"/>
      <c r="AK549" s="57"/>
      <c r="AL549" s="57"/>
      <c r="AM549" s="57"/>
      <c r="AN549" s="57"/>
      <c r="AO549" s="57"/>
      <c r="AP549" s="57"/>
      <c r="AQ549" s="60"/>
      <c r="AR549" s="61"/>
      <c r="AS549" s="55"/>
    </row>
    <row r="550" spans="1:45" ht="21.25" customHeight="1" x14ac:dyDescent="0.15">
      <c r="A550" s="62">
        <f t="shared" si="8"/>
        <v>549</v>
      </c>
      <c r="B550" s="10" t="s">
        <v>678</v>
      </c>
      <c r="C550" s="47" t="s">
        <v>147</v>
      </c>
      <c r="D550" s="48" t="str" cm="1">
        <f t="array" ref="D550">VLOOKUP(B550,'Player Data'!A1:D673,4,FALSE)</f>
        <v>LW,RW</v>
      </c>
      <c r="E550" s="74" cm="1">
        <f t="array" ref="E550">VLOOKUP(B550,RW!A1:F210,3,FALSE)</f>
        <v>155</v>
      </c>
      <c r="F550" s="63" t="str" cm="1">
        <f t="array" ref="F550">VLOOKUP(B550,'Player Data'!A1:B673,2,FALSE)</f>
        <v>VGK</v>
      </c>
      <c r="G550" s="71" cm="1">
        <f t="array" ref="G550">VLOOKUP(B550,'Player Data'!A1:D673,3,FALSE)</f>
        <v>23</v>
      </c>
      <c r="H550" s="51" cm="1">
        <f t="array" ref="H550">IFERROR(VLOOKUP(B550,ADP!A1:F671,6,FALSE)/1000000,VLOOKUP(B550,ADP!A1:F671,6,FALSE))</f>
        <v>0.875</v>
      </c>
      <c r="I550" s="52">
        <f>IF(Settings!$E$15="POINTS",((R550*Q550)*Settings!$B$12)+(S550*Settings!$B$2)+(T550*Settings!$B$3)+(U550*Settings!$B$4)+(V550*Settings!$B$5)+(X550*Settings!$B$9)+(AA550*Settings!$B$6)+(W550*Settings!$B$8)+(AB550*Settings!$B$7)+(AC550*Settings!$B$14)+(AD550*Settings!$B$15)+(AE550*Settings!$B$16)+(AF550*Settings!$B$17)+(AG550*Settings!$B$18)+(Y550*Settings!$B$10)+(Z550*Settings!$B$11),VLOOKUP(B550,'Standard Deviations'!A$1:C$672,3,FALSE))</f>
        <v>145.43204260548367</v>
      </c>
      <c r="J550" s="53" cm="1">
        <f t="array" ref="J550">IF(D550="G",I550/AJ550,I550/Q550)</f>
        <v>2.008452459680758</v>
      </c>
      <c r="K550" s="52" cm="1">
        <f t="array" ref="K550">IF(Settings!$E$18="C/LW/RW",VLOOKUP(B550,RW!A1:F210,6,FALSE),VLOOKUP(B550,F!A1:F407,6,FALSE))</f>
        <v>-249.5114220880738</v>
      </c>
      <c r="L550" s="54" cm="1">
        <f t="array" ref="L550">IFERROR(K550/H550,"N/A")</f>
        <v>-285.15591095779865</v>
      </c>
      <c r="M550" s="85" t="s">
        <v>832</v>
      </c>
      <c r="N550" s="85" t="str" cm="1">
        <f t="array" ref="N550">IFERROR(M550-A550,"N/A")</f>
        <v>N/A</v>
      </c>
      <c r="O550" s="55"/>
      <c r="P550" s="56" t="str" cm="1">
        <f t="array" ref="P550">_xlfn.XLOOKUP($B550,ADP!A2:A671,ADP!G2:G671)</f>
        <v xml:space="preserve"> </v>
      </c>
      <c r="Q550" s="57" cm="1">
        <f t="array" ref="Q550">IF(Settings!$E$12="YES",VLOOKUP(B550,'Player Data'!A1:E673,5,FALSE),84)</f>
        <v>72.41</v>
      </c>
      <c r="R550" s="84" cm="1">
        <f t="array" ref="R550">VLOOKUP(B550,'Player Data'!$A1:$AE673,6,FALSE)</f>
        <v>12.3247008518724</v>
      </c>
      <c r="S550" s="57" cm="1">
        <f t="array" ref="S550">VLOOKUP(B550,'Player Data'!$A1:$AE673,7,FALSE)*$Q550*IFERROR((VLOOKUP(P550,Settings!$E$28:$F$33,2,FALSE)+1),1)</f>
        <v>9.5775195343316195</v>
      </c>
      <c r="T550" s="57" cm="1">
        <f t="array" ref="T550">VLOOKUP(B550,'Player Data'!$A1:$AE673,8,FALSE)*$Q550*IFERROR((VLOOKUP(P550,Settings!$E$28:$F$33,2,FALSE)+1),1)</f>
        <v>19.122422556757336</v>
      </c>
      <c r="U550" s="57" cm="1">
        <f t="array" ref="U550">SUM(S550:T550)</f>
        <v>28.699942091088957</v>
      </c>
      <c r="V550" s="57" cm="1">
        <f t="array" ref="V550">VLOOKUP(B550,'Player Data'!$A1:$AE673,10,FALSE)*$Q550*IFERROR(((VLOOKUP(P550,Settings!$E$28:$F$33,2,FALSE)/2)+1),1)</f>
        <v>85.595630581135438</v>
      </c>
      <c r="W550" s="57" cm="1">
        <f t="array" ref="W550">VLOOKUP(B550,'Player Data'!$A1:$AE673,11,FALSE)*$Q550*IFERROR((VLOOKUP(P550,Settings!$E$28:$F$33,2,FALSE)+1),1)</f>
        <v>0.79547145974299838</v>
      </c>
      <c r="X550" s="57" cm="1">
        <f t="array" ref="X550">VLOOKUP(B550,'Player Data'!$A1:$AE673,12,FALSE)*$Q550*IFERROR((VLOOKUP(P550,Settings!$E$28:$F$33,2,FALSE)+1),1)</f>
        <v>1.6504738412535962</v>
      </c>
      <c r="Y550" s="57" cm="1">
        <f t="array" ref="Y550">VLOOKUP(B550,'Player Data'!$A1:$AE673,13,FALSE)*$Q550</f>
        <v>3.8847329169484032E-3</v>
      </c>
      <c r="Z550" s="57" cm="1">
        <f t="array" ref="Z550">VLOOKUP(B550,'Player Data'!$A1:$AE673,14,FALSE)*$Q550</f>
        <v>6.2674873029950852E-3</v>
      </c>
      <c r="AA550" s="57" cm="1">
        <f t="array" ref="AA550">VLOOKUP(B550,'Player Data'!$A1:$AE673,15,FALSE)*$Q550</f>
        <v>29.755319426184982</v>
      </c>
      <c r="AB550" s="57" cm="1">
        <f t="array" ref="AB550">VLOOKUP(B550,'Player Data'!$A1:$AE673,16,FALSE)*$Q550</f>
        <v>35.313272217566251</v>
      </c>
      <c r="AC550" s="57" cm="1">
        <f t="array" ref="AC550">VLOOKUP(B550,'Player Data'!$A1:$AE673,17,FALSE)*$Q550*IFERROR((VLOOKUP(P550,Settings!$E$28:$F$33,2,FALSE)+1),1)</f>
        <v>2.2425157311333583</v>
      </c>
      <c r="AD550" s="57" cm="1">
        <f t="array" ref="AD550">VLOOKUP(B550,'Player Data'!$A1:$AE673,18,FALSE)*$Q550</f>
        <v>18.004933573420548</v>
      </c>
      <c r="AE550" s="57" cm="1">
        <f t="array" ref="AE550">VLOOKUP(B550,'Player Data'!$A1:$AE673,19,FALSE)*$Q550*IFERROR((VLOOKUP(P550,Settings!$E$28:$F$33,2,FALSE)+1),1)</f>
        <v>1.8271745851473704</v>
      </c>
      <c r="AF550" s="57" cm="1">
        <f t="array" ref="AF550">VLOOKUP(B550,'Player Data'!$A1:$AE673,20,FALSE)*$Q550</f>
        <v>3.5085374614093414</v>
      </c>
      <c r="AG550" s="57" cm="1">
        <f t="array" ref="AG550">VLOOKUP(B550,'Player Data'!$A1:$AE673,21,FALSE)*$Q550</f>
        <v>10.525612384228022</v>
      </c>
      <c r="AH550" s="59" cm="1">
        <f t="array" ref="AH550">VLOOKUP(B550,'Player Data'!$A1:$AE673,22,FALSE)</f>
        <v>0.25</v>
      </c>
      <c r="AI550" s="55"/>
      <c r="AJ550" s="57"/>
      <c r="AK550" s="57"/>
      <c r="AL550" s="57"/>
      <c r="AM550" s="57"/>
      <c r="AN550" s="57"/>
      <c r="AO550" s="57"/>
      <c r="AP550" s="57"/>
      <c r="AQ550" s="60"/>
      <c r="AR550" s="61"/>
      <c r="AS550" s="55"/>
    </row>
    <row r="551" spans="1:45" ht="21.25" customHeight="1" x14ac:dyDescent="0.15">
      <c r="A551" s="62">
        <f t="shared" si="8"/>
        <v>550</v>
      </c>
      <c r="B551" s="10" t="s">
        <v>679</v>
      </c>
      <c r="C551" s="47" t="s">
        <v>147</v>
      </c>
      <c r="D551" s="48" t="str" cm="1">
        <f t="array" ref="D551">VLOOKUP(B551,'Player Data'!A1:D673,4,FALSE)</f>
        <v>C,LW</v>
      </c>
      <c r="E551" s="74" cm="1">
        <f t="array" ref="E551">VLOOKUP(B551,LW!A1:C210,3,FALSE)</f>
        <v>146</v>
      </c>
      <c r="F551" s="72" t="str" cm="1">
        <f t="array" ref="F551">VLOOKUP(B551,'Player Data'!A1:B673,2,FALSE)</f>
        <v>BOS</v>
      </c>
      <c r="G551" s="71" cm="1">
        <f t="array" ref="G551">VLOOKUP(B551,'Player Data'!A1:D673,3,FALSE)</f>
        <v>24</v>
      </c>
      <c r="H551" s="67" cm="1">
        <f t="array" ref="H551">IFERROR(VLOOKUP(B551,ADP!A1:F671,6,FALSE)/1000000,VLOOKUP(B551,ADP!A1:F671,6,FALSE))</f>
        <v>0.92500000000000004</v>
      </c>
      <c r="I551" s="52">
        <f>IF(Settings!$E$15="POINTS",((R551*Q551)*Settings!$B$12)+(S551*Settings!$B$2)+(T551*Settings!$B$3)+(U551*Settings!$B$4)+(V551*Settings!$B$5)+(X551*Settings!$B$9)+(AA551*Settings!$B$6)+(W551*Settings!$B$8)+(AB551*Settings!$B$7)+(AC551*Settings!$B$14)+(AD551*Settings!$B$15)+(AE551*Settings!$B$16)+(AF551*Settings!$B$17)+(AG551*Settings!$B$18)+(Y551*Settings!$B$10)+(Z551*Settings!$B$11),VLOOKUP(B551,'Standard Deviations'!A$1:C$672,3,FALSE))</f>
        <v>149.15578870461394</v>
      </c>
      <c r="J551" s="53" cm="1">
        <f t="array" ref="J551">IF(D551="G",I551/AJ551,I551/Q551)</f>
        <v>1.8350859830784194</v>
      </c>
      <c r="K551" s="52" cm="1">
        <f t="array" ref="K551">IF(Settings!$E$18="C/LW/RW",VLOOKUP(B551,LW!A1:F210,6,FALSE),VLOOKUP(B551,F!A1:F407,6,FALSE))</f>
        <v>-250.15720460910615</v>
      </c>
      <c r="L551" s="54" cm="1">
        <f t="array" ref="L551">IFERROR(K551/H551,"N/A")</f>
        <v>-270.44022119903366</v>
      </c>
      <c r="M551" s="85" t="s">
        <v>832</v>
      </c>
      <c r="N551" s="85" t="str" cm="1">
        <f t="array" ref="N551">IFERROR(M551-A551,"N/A")</f>
        <v>N/A</v>
      </c>
      <c r="O551" s="55"/>
      <c r="P551" s="56" t="str" cm="1">
        <f t="array" ref="P551">_xlfn.XLOOKUP($B551,ADP!A2:A671,ADP!G2:G671)</f>
        <v xml:space="preserve"> </v>
      </c>
      <c r="Q551" s="57" cm="1">
        <f t="array" ref="Q551">IF(Settings!$E$12="YES",VLOOKUP(B551,'Player Data'!A1:E673,5,FALSE),84)</f>
        <v>81.28</v>
      </c>
      <c r="R551" s="55" cm="1">
        <f t="array" ref="R551">VLOOKUP(B551,'Player Data'!$A1:$AE673,6,FALSE)</f>
        <v>13.842773492561101</v>
      </c>
      <c r="S551" s="57" cm="1">
        <f t="array" ref="S551">VLOOKUP(B551,'Player Data'!$A1:$AE673,7,FALSE)*$Q551*IFERROR((VLOOKUP(P551,Settings!$E$28:$F$33,2,FALSE)+1),1)</f>
        <v>13.021990628953883</v>
      </c>
      <c r="T551" s="57" cm="1">
        <f t="array" ref="T551">VLOOKUP(B551,'Player Data'!$A1:$AE673,8,FALSE)*$Q551*IFERROR((VLOOKUP(P551,Settings!$E$28:$F$33,2,FALSE)+1),1)</f>
        <v>16.016303247894903</v>
      </c>
      <c r="U551" s="57" cm="1">
        <f t="array" ref="U551">SUM(S551:T551)</f>
        <v>29.038293876848787</v>
      </c>
      <c r="V551" s="57" cm="1">
        <f t="array" ref="V551">VLOOKUP(B551,'Player Data'!$A1:$AE673,10,FALSE)*$Q551*IFERROR(((VLOOKUP(P551,Settings!$E$28:$F$33,2,FALSE)/2)+1),1)</f>
        <v>78.093863424715337</v>
      </c>
      <c r="W551" s="57" cm="1">
        <f t="array" ref="W551">VLOOKUP(B551,'Player Data'!$A1:$AE673,11,FALSE)*$Q551*IFERROR((VLOOKUP(P551,Settings!$E$28:$F$33,2,FALSE)+1),1)</f>
        <v>0.18187440839138821</v>
      </c>
      <c r="X551" s="57" cm="1">
        <f t="array" ref="X551">VLOOKUP(B551,'Player Data'!$A1:$AE673,12,FALSE)*$Q551*IFERROR((VLOOKUP(P551,Settings!$E$28:$F$33,2,FALSE)+1),1)</f>
        <v>0.59210444439235366</v>
      </c>
      <c r="Y551" s="57" cm="1">
        <f t="array" ref="Y551">VLOOKUP(B551,'Player Data'!$A1:$AE673,13,FALSE)*$Q551</f>
        <v>8.3482866443634382E-2</v>
      </c>
      <c r="Z551" s="57" cm="1">
        <f t="array" ref="Z551">VLOOKUP(B551,'Player Data'!$A1:$AE673,14,FALSE)*$Q551</f>
        <v>0.36201206380893142</v>
      </c>
      <c r="AA551" s="57" cm="1">
        <f t="array" ref="AA551">VLOOKUP(B551,'Player Data'!$A1:$AE673,15,FALSE)*$Q551</f>
        <v>44.079717707017274</v>
      </c>
      <c r="AB551" s="57" cm="1">
        <f t="array" ref="AB551">VLOOKUP(B551,'Player Data'!$A1:$AE673,16,FALSE)*$Q551</f>
        <v>56.52107842082134</v>
      </c>
      <c r="AC551" s="57" cm="1">
        <f t="array" ref="AC551">VLOOKUP(B551,'Player Data'!$A1:$AE673,17,FALSE)*$Q551*IFERROR((VLOOKUP(P551,Settings!$E$28:$F$33,2,FALSE)+1),1)</f>
        <v>-2.3708365947259229</v>
      </c>
      <c r="AD551" s="57" cm="1">
        <f t="array" ref="AD551">VLOOKUP(B551,'Player Data'!$A1:$AE673,18,FALSE)*$Q551</f>
        <v>22.329578351026896</v>
      </c>
      <c r="AE551" s="57" cm="1">
        <f t="array" ref="AE551">VLOOKUP(B551,'Player Data'!$A1:$AE673,19,FALSE)*$Q551*IFERROR((VLOOKUP(P551,Settings!$E$28:$F$33,2,FALSE)+1),1)</f>
        <v>1.7530422621033734</v>
      </c>
      <c r="AF551" s="57" cm="1">
        <f t="array" ref="AF551">VLOOKUP(B551,'Player Data'!$A1:$AE673,20,FALSE)*$Q551</f>
        <v>88.606645884184644</v>
      </c>
      <c r="AG551" s="57" cm="1">
        <f t="array" ref="AG551">VLOOKUP(B551,'Player Data'!$A1:$AE673,21,FALSE)*$Q551</f>
        <v>103.91663837858698</v>
      </c>
      <c r="AH551" s="59" cm="1">
        <f t="array" ref="AH551">VLOOKUP(B551,'Player Data'!$A1:$AE673,22,FALSE)</f>
        <v>0.46023859515739002</v>
      </c>
      <c r="AI551" s="55"/>
      <c r="AJ551" s="57"/>
      <c r="AK551" s="57"/>
      <c r="AL551" s="57"/>
      <c r="AM551" s="57"/>
      <c r="AN551" s="57"/>
      <c r="AO551" s="57"/>
      <c r="AP551" s="57"/>
      <c r="AQ551" s="60"/>
      <c r="AR551" s="61"/>
      <c r="AS551" s="55"/>
    </row>
    <row r="552" spans="1:45" ht="21.25" customHeight="1" x14ac:dyDescent="0.15">
      <c r="A552" s="62">
        <f t="shared" si="8"/>
        <v>551</v>
      </c>
      <c r="B552" s="10" t="s">
        <v>680</v>
      </c>
      <c r="C552" s="47" t="s">
        <v>147</v>
      </c>
      <c r="D552" s="48" t="str" cm="1">
        <f t="array" ref="D552">VLOOKUP(B552,'Player Data'!A1:D673,4,FALSE)</f>
        <v>C,LW</v>
      </c>
      <c r="E552" s="74" cm="1">
        <f t="array" ref="E552">VLOOKUP(B552,LW!A1:C210,3,FALSE)</f>
        <v>147</v>
      </c>
      <c r="F552" s="72" t="str" cm="1">
        <f t="array" ref="F552">VLOOKUP(B552,'Player Data'!A1:B673,2,FALSE)</f>
        <v>PIT</v>
      </c>
      <c r="G552" s="11" cm="1">
        <f t="array" ref="G552">VLOOKUP(B552,'Player Data'!A1:D673,3,FALSE)</f>
        <v>27</v>
      </c>
      <c r="H552" s="51" cm="1">
        <f t="array" ref="H552">IFERROR(VLOOKUP(B552,ADP!A1:F671,6,FALSE)/1000000,VLOOKUP(B552,ADP!A1:F671,6,FALSE))</f>
        <v>2.25</v>
      </c>
      <c r="I552" s="52">
        <f>IF(Settings!$E$15="POINTS",((R552*Q552)*Settings!$B$12)+(S552*Settings!$B$2)+(T552*Settings!$B$3)+(U552*Settings!$B$4)+(V552*Settings!$B$5)+(X552*Settings!$B$9)+(AA552*Settings!$B$6)+(W552*Settings!$B$8)+(AB552*Settings!$B$7)+(AC552*Settings!$B$14)+(AD552*Settings!$B$15)+(AE552*Settings!$B$16)+(AF552*Settings!$B$17)+(AG552*Settings!$B$18)+(Y552*Settings!$B$10)+(Z552*Settings!$B$11),VLOOKUP(B552,'Standard Deviations'!A$1:C$672,3,FALSE))</f>
        <v>148.92316495648106</v>
      </c>
      <c r="J552" s="53" cm="1">
        <f t="array" ref="J552">IF(D552="G",I552/AJ552,I552/Q552)</f>
        <v>1.9130729649493361</v>
      </c>
      <c r="K552" s="52" cm="1">
        <f t="array" ref="K552">IF(Settings!$E$18="C/LW/RW",VLOOKUP(B552,LW!A1:F210,6,FALSE),VLOOKUP(B552,F!A1:F407,6,FALSE))</f>
        <v>-250.38982835723903</v>
      </c>
      <c r="L552" s="54" cm="1">
        <f t="array" ref="L552">IFERROR(K552/H552,"N/A")</f>
        <v>-111.28436815877291</v>
      </c>
      <c r="M552" s="85" t="s">
        <v>832</v>
      </c>
      <c r="N552" s="85" t="str" cm="1">
        <f t="array" ref="N552">IFERROR(M552-A552,"N/A")</f>
        <v>N/A</v>
      </c>
      <c r="O552" s="55"/>
      <c r="P552" s="56" t="str" cm="1">
        <f t="array" ref="P552">_xlfn.XLOOKUP($B552,ADP!A2:A671,ADP!G2:G671)</f>
        <v xml:space="preserve"> </v>
      </c>
      <c r="Q552" s="57" cm="1">
        <f t="array" ref="Q552">IF(Settings!$E$12="YES",VLOOKUP(B552,'Player Data'!A1:E673,5,FALSE),84)</f>
        <v>77.844999999999999</v>
      </c>
      <c r="R552" s="55" cm="1">
        <f t="array" ref="R552">VLOOKUP(B552,'Player Data'!$A1:$AE673,6,FALSE)</f>
        <v>13.339163220453001</v>
      </c>
      <c r="S552" s="57" cm="1">
        <f t="array" ref="S552">VLOOKUP(B552,'Player Data'!$A1:$AE673,7,FALSE)*$Q552*IFERROR((VLOOKUP(P552,Settings!$E$28:$F$33,2,FALSE)+1),1)</f>
        <v>11.333687082481557</v>
      </c>
      <c r="T552" s="57" cm="1">
        <f t="array" ref="T552">VLOOKUP(B552,'Player Data'!$A1:$AE673,8,FALSE)*$Q552*IFERROR((VLOOKUP(P552,Settings!$E$28:$F$33,2,FALSE)+1),1)</f>
        <v>12.964236001825281</v>
      </c>
      <c r="U552" s="57" cm="1">
        <f t="array" ref="U552">SUM(S552:T552)</f>
        <v>24.297923084306838</v>
      </c>
      <c r="V552" s="57" cm="1">
        <f t="array" ref="V552">VLOOKUP(B552,'Player Data'!$A1:$AE673,10,FALSE)*$Q552*IFERROR(((VLOOKUP(P552,Settings!$E$28:$F$33,2,FALSE)/2)+1),1)</f>
        <v>100.53924088577379</v>
      </c>
      <c r="W552" s="57" cm="1">
        <f t="array" ref="W552">VLOOKUP(B552,'Player Data'!$A1:$AE673,11,FALSE)*$Q552*IFERROR((VLOOKUP(P552,Settings!$E$28:$F$33,2,FALSE)+1),1)</f>
        <v>2.4370487626694526E-2</v>
      </c>
      <c r="X552" s="57" cm="1">
        <f t="array" ref="X552">VLOOKUP(B552,'Player Data'!$A1:$AE673,12,FALSE)*$Q552*IFERROR((VLOOKUP(P552,Settings!$E$28:$F$33,2,FALSE)+1),1)</f>
        <v>5.3269031397787638E-2</v>
      </c>
      <c r="Y552" s="57" cm="1">
        <f t="array" ref="Y552">VLOOKUP(B552,'Player Data'!$A1:$AE673,13,FALSE)*$Q552</f>
        <v>0.92276893957405426</v>
      </c>
      <c r="Z552" s="57" cm="1">
        <f t="array" ref="Z552">VLOOKUP(B552,'Player Data'!$A1:$AE673,14,FALSE)*$Q552</f>
        <v>1.3782140033627874</v>
      </c>
      <c r="AA552" s="57" cm="1">
        <f t="array" ref="AA552">VLOOKUP(B552,'Player Data'!$A1:$AE673,15,FALSE)*$Q552</f>
        <v>48.65658445182617</v>
      </c>
      <c r="AB552" s="57" cm="1">
        <f t="array" ref="AB552">VLOOKUP(B552,'Player Data'!$A1:$AE673,16,FALSE)*$Q552</f>
        <v>150.10661957875067</v>
      </c>
      <c r="AC552" s="57" cm="1">
        <f t="array" ref="AC552">VLOOKUP(B552,'Player Data'!$A1:$AE673,17,FALSE)*$Q552*IFERROR((VLOOKUP(P552,Settings!$E$28:$F$33,2,FALSE)+1),1)</f>
        <v>-0.55947935894302925</v>
      </c>
      <c r="AD552" s="57" cm="1">
        <f t="array" ref="AD552">VLOOKUP(B552,'Player Data'!$A1:$AE673,18,FALSE)*$Q552</f>
        <v>23.962405861996782</v>
      </c>
      <c r="AE552" s="57" cm="1">
        <f t="array" ref="AE552">VLOOKUP(B552,'Player Data'!$A1:$AE673,19,FALSE)*$Q552*IFERROR((VLOOKUP(P552,Settings!$E$28:$F$33,2,FALSE)+1),1)</f>
        <v>1.6432405931768401</v>
      </c>
      <c r="AF552" s="57" cm="1">
        <f t="array" ref="AF552">VLOOKUP(B552,'Player Data'!$A1:$AE673,20,FALSE)*$Q552</f>
        <v>78.715012463951169</v>
      </c>
      <c r="AG552" s="57" cm="1">
        <f t="array" ref="AG552">VLOOKUP(B552,'Player Data'!$A1:$AE673,21,FALSE)*$Q552</f>
        <v>91.580948335672218</v>
      </c>
      <c r="AH552" s="59" cm="1">
        <f t="array" ref="AH552">VLOOKUP(B552,'Player Data'!$A1:$AE673,22,FALSE)</f>
        <v>0.462224776761263</v>
      </c>
      <c r="AI552" s="55"/>
      <c r="AJ552" s="57"/>
      <c r="AK552" s="57"/>
      <c r="AL552" s="57"/>
      <c r="AM552" s="57"/>
      <c r="AN552" s="57"/>
      <c r="AO552" s="57"/>
      <c r="AP552" s="57"/>
      <c r="AQ552" s="60"/>
      <c r="AR552" s="61"/>
      <c r="AS552" s="55"/>
    </row>
    <row r="553" spans="1:45" ht="21.25" customHeight="1" x14ac:dyDescent="0.15">
      <c r="A553" s="62">
        <f t="shared" si="8"/>
        <v>552</v>
      </c>
      <c r="B553" s="10" t="s">
        <v>681</v>
      </c>
      <c r="C553" s="47" t="s">
        <v>147</v>
      </c>
      <c r="D553" s="48" t="str" cm="1">
        <f t="array" ref="D553">VLOOKUP(B553,'Player Data'!A1:D673,4,FALSE)</f>
        <v>C,RW</v>
      </c>
      <c r="E553" s="74" cm="1">
        <f t="array" ref="E553">VLOOKUP(B553,RW!A1:F210,3,FALSE)</f>
        <v>156</v>
      </c>
      <c r="F553" s="63" t="str" cm="1">
        <f t="array" ref="F553">VLOOKUP(B553,'Player Data'!A1:B673,2,FALSE)</f>
        <v>SEA</v>
      </c>
      <c r="G553" s="66" cm="1">
        <f t="array" ref="G553">VLOOKUP(B553,'Player Data'!A1:D673,3,FALSE)</f>
        <v>33</v>
      </c>
      <c r="H553" s="51" cm="1">
        <f t="array" ref="H553">IFERROR(VLOOKUP(B553,ADP!A1:F671,6,FALSE)/1000000,VLOOKUP(B553,ADP!A1:F671,6,FALSE))</f>
        <v>2.1</v>
      </c>
      <c r="I553" s="52">
        <f>IF(Settings!$E$15="POINTS",((R553*Q553)*Settings!$B$12)+(S553*Settings!$B$2)+(T553*Settings!$B$3)+(U553*Settings!$B$4)+(V553*Settings!$B$5)+(X553*Settings!$B$9)+(AA553*Settings!$B$6)+(W553*Settings!$B$8)+(AB553*Settings!$B$7)+(AC553*Settings!$B$14)+(AD553*Settings!$B$15)+(AE553*Settings!$B$16)+(AF553*Settings!$B$17)+(AG553*Settings!$B$18)+(Y553*Settings!$B$10)+(Z553*Settings!$B$11),VLOOKUP(B553,'Standard Deviations'!A$1:C$672,3,FALSE))</f>
        <v>144.41385497594416</v>
      </c>
      <c r="J553" s="53" cm="1">
        <f t="array" ref="J553">IF(D553="G",I553/AJ553,I553/Q553)</f>
        <v>1.8041583481284797</v>
      </c>
      <c r="K553" s="52" cm="1">
        <f t="array" ref="K553">IF(Settings!$E$18="C/LW/RW",VLOOKUP(B553,RW!A1:F210,6,FALSE),VLOOKUP(B553,F!A1:F407,6,FALSE))</f>
        <v>-250.52960971761331</v>
      </c>
      <c r="L553" s="54" cm="1">
        <f t="array" ref="L553">IFERROR(K553/H553,"N/A")</f>
        <v>-119.29981415124443</v>
      </c>
      <c r="M553" s="85" t="s">
        <v>832</v>
      </c>
      <c r="N553" s="85" t="str" cm="1">
        <f t="array" ref="N553">IFERROR(M553-A553,"N/A")</f>
        <v>N/A</v>
      </c>
      <c r="O553" s="55"/>
      <c r="P553" s="56" t="str" cm="1">
        <f t="array" ref="P553">_xlfn.XLOOKUP($B553,ADP!A2:A671,ADP!G2:G671)</f>
        <v xml:space="preserve"> </v>
      </c>
      <c r="Q553" s="57" cm="1">
        <f t="array" ref="Q553">IF(Settings!$E$12="YES",VLOOKUP(B553,'Player Data'!A1:E673,5,FALSE),84)</f>
        <v>80.045000000000002</v>
      </c>
      <c r="R553" s="84" cm="1">
        <f t="array" ref="R553">VLOOKUP(B553,'Player Data'!$A1:$AE673,6,FALSE)</f>
        <v>15.0299601680729</v>
      </c>
      <c r="S553" s="57" cm="1">
        <f t="array" ref="S553">VLOOKUP(B553,'Player Data'!$A1:$AE673,7,FALSE)*$Q553*IFERROR((VLOOKUP(P553,Settings!$E$28:$F$33,2,FALSE)+1),1)</f>
        <v>8.4190117958352459</v>
      </c>
      <c r="T553" s="57" cm="1">
        <f t="array" ref="T553">VLOOKUP(B553,'Player Data'!$A1:$AE673,8,FALSE)*$Q553*IFERROR((VLOOKUP(P553,Settings!$E$28:$F$33,2,FALSE)+1),1)</f>
        <v>15.496824809523122</v>
      </c>
      <c r="U553" s="57" cm="1">
        <f t="array" ref="U553">SUM(S553:T553)</f>
        <v>23.915836605358368</v>
      </c>
      <c r="V553" s="57" cm="1">
        <f t="array" ref="V553">VLOOKUP(B553,'Player Data'!$A1:$AE673,10,FALSE)*$Q553*IFERROR(((VLOOKUP(P553,Settings!$E$28:$F$33,2,FALSE)/2)+1),1)</f>
        <v>85.201410324445064</v>
      </c>
      <c r="W553" s="57" cm="1">
        <f t="array" ref="W553">VLOOKUP(B553,'Player Data'!$A1:$AE673,11,FALSE)*$Q553*IFERROR((VLOOKUP(P553,Settings!$E$28:$F$33,2,FALSE)+1),1)</f>
        <v>0.67740018897333643</v>
      </c>
      <c r="X553" s="57" cm="1">
        <f t="array" ref="X553">VLOOKUP(B553,'Player Data'!$A1:$AE673,12,FALSE)*$Q553*IFERROR((VLOOKUP(P553,Settings!$E$28:$F$33,2,FALSE)+1),1)</f>
        <v>1.3630331089540462</v>
      </c>
      <c r="Y553" s="57" cm="1">
        <f t="array" ref="Y553">VLOOKUP(B553,'Player Data'!$A1:$AE673,13,FALSE)*$Q553</f>
        <v>0.10663897093397424</v>
      </c>
      <c r="Z553" s="57" cm="1">
        <f t="array" ref="Z553">VLOOKUP(B553,'Player Data'!$A1:$AE673,14,FALSE)*$Q553</f>
        <v>0.20248768851112589</v>
      </c>
      <c r="AA553" s="57" cm="1">
        <f t="array" ref="AA553">VLOOKUP(B553,'Player Data'!$A1:$AE673,15,FALSE)*$Q553</f>
        <v>57.000238400362676</v>
      </c>
      <c r="AB553" s="57" cm="1">
        <f t="array" ref="AB553">VLOOKUP(B553,'Player Data'!$A1:$AE673,16,FALSE)*$Q553</f>
        <v>47.420315283093743</v>
      </c>
      <c r="AC553" s="57" cm="1">
        <f t="array" ref="AC553">VLOOKUP(B553,'Player Data'!$A1:$AE673,17,FALSE)*$Q553*IFERROR((VLOOKUP(P553,Settings!$E$28:$F$33,2,FALSE)+1),1)</f>
        <v>-9.3664575241634118</v>
      </c>
      <c r="AD553" s="57" cm="1">
        <f t="array" ref="AD553">VLOOKUP(B553,'Player Data'!$A1:$AE673,18,FALSE)*$Q553</f>
        <v>15.188644334385749</v>
      </c>
      <c r="AE553" s="57" cm="1">
        <f t="array" ref="AE553">VLOOKUP(B553,'Player Data'!$A1:$AE673,19,FALSE)*$Q553*IFERROR((VLOOKUP(P553,Settings!$E$28:$F$33,2,FALSE)+1),1)</f>
        <v>1.1599309050851212</v>
      </c>
      <c r="AF553" s="57" cm="1">
        <f t="array" ref="AF553">VLOOKUP(B553,'Player Data'!$A1:$AE673,20,FALSE)*$Q553</f>
        <v>366.64223236823983</v>
      </c>
      <c r="AG553" s="57" cm="1">
        <f t="array" ref="AG553">VLOOKUP(B553,'Player Data'!$A1:$AE673,21,FALSE)*$Q553</f>
        <v>422.21219844463155</v>
      </c>
      <c r="AH553" s="59" cm="1">
        <f t="array" ref="AH553">VLOOKUP(B553,'Player Data'!$A1:$AE673,22,FALSE)</f>
        <v>0.46477806049772102</v>
      </c>
      <c r="AI553" s="55"/>
      <c r="AJ553" s="57"/>
      <c r="AK553" s="57"/>
      <c r="AL553" s="57"/>
      <c r="AM553" s="57"/>
      <c r="AN553" s="57"/>
      <c r="AO553" s="57"/>
      <c r="AP553" s="57"/>
      <c r="AQ553" s="60"/>
      <c r="AR553" s="61"/>
      <c r="AS553" s="55"/>
    </row>
    <row r="554" spans="1:45" ht="21.25" customHeight="1" x14ac:dyDescent="0.15">
      <c r="A554" s="62">
        <f t="shared" si="8"/>
        <v>553</v>
      </c>
      <c r="B554" s="10" t="s">
        <v>682</v>
      </c>
      <c r="C554" s="47" t="s">
        <v>147</v>
      </c>
      <c r="D554" s="48" t="str" cm="1">
        <f t="array" ref="D554">VLOOKUP(B554,'Player Data'!A1:D673,4,FALSE)</f>
        <v>LW,RW</v>
      </c>
      <c r="E554" s="74" cm="1">
        <f t="array" ref="E554">VLOOKUP(B554,RW!A1:F210,3,FALSE)</f>
        <v>157</v>
      </c>
      <c r="F554" s="65" t="str" cm="1">
        <f t="array" ref="F554">VLOOKUP(B554,'Player Data'!A1:B673,2,FALSE)</f>
        <v>STL</v>
      </c>
      <c r="G554" s="66" cm="1">
        <f t="array" ref="G554">VLOOKUP(B554,'Player Data'!A1:D673,3,FALSE)</f>
        <v>31</v>
      </c>
      <c r="H554" s="51" cm="1">
        <f t="array" ref="H554">IFERROR(VLOOKUP(B554,ADP!A1:F671,6,FALSE)/1000000,VLOOKUP(B554,ADP!A1:F671,6,FALSE))</f>
        <v>0</v>
      </c>
      <c r="I554" s="52">
        <f>IF(Settings!$E$15="POINTS",((R554*Q554)*Settings!$B$12)+(S554*Settings!$B$2)+(T554*Settings!$B$3)+(U554*Settings!$B$4)+(V554*Settings!$B$5)+(X554*Settings!$B$9)+(AA554*Settings!$B$6)+(W554*Settings!$B$8)+(AB554*Settings!$B$7)+(AC554*Settings!$B$14)+(AD554*Settings!$B$15)+(AE554*Settings!$B$16)+(AF554*Settings!$B$17)+(AG554*Settings!$B$18)+(Y554*Settings!$B$10)+(Z554*Settings!$B$11),VLOOKUP(B554,'Standard Deviations'!A$1:C$672,3,FALSE))</f>
        <v>143.94228151447854</v>
      </c>
      <c r="J554" s="53" cm="1">
        <f t="array" ref="J554">IF(D554="G",I554/AJ554,I554/Q554)</f>
        <v>1.9148263196578341</v>
      </c>
      <c r="K554" s="52" cm="1">
        <f t="array" ref="K554">IF(Settings!$E$18="C/LW/RW",VLOOKUP(B554,RW!A1:F210,6,FALSE),VLOOKUP(B554,F!A1:F407,6,FALSE))</f>
        <v>-251.00118317907894</v>
      </c>
      <c r="L554" s="80" t="str" cm="1">
        <f t="array" ref="L554">IFERROR(K554/H554,"N/A")</f>
        <v>N/A</v>
      </c>
      <c r="M554" s="85" t="s">
        <v>832</v>
      </c>
      <c r="N554" s="85" t="str" cm="1">
        <f t="array" ref="N554">IFERROR(M554-A554,"N/A")</f>
        <v>N/A</v>
      </c>
      <c r="O554" s="55"/>
      <c r="P554" s="56" t="str" cm="1">
        <f t="array" ref="P554">_xlfn.XLOOKUP($B554,ADP!A2:A671,ADP!G2:G671)</f>
        <v xml:space="preserve"> </v>
      </c>
      <c r="Q554" s="57" cm="1">
        <f t="array" ref="Q554">IF(Settings!$E$12="YES",VLOOKUP(B554,'Player Data'!A1:E673,5,FALSE),84)</f>
        <v>75.172499999999999</v>
      </c>
      <c r="R554" s="84" cm="1">
        <f t="array" ref="R554">VLOOKUP(B554,'Player Data'!$A1:$AE673,6,FALSE)</f>
        <v>13.4348534636572</v>
      </c>
      <c r="S554" s="57" cm="1">
        <f t="array" ref="S554">VLOOKUP(B554,'Player Data'!$A1:$AE673,7,FALSE)*$Q554*IFERROR((VLOOKUP(P554,Settings!$E$28:$F$33,2,FALSE)+1),1)</f>
        <v>7.5407127546785304</v>
      </c>
      <c r="T554" s="57" cm="1">
        <f t="array" ref="T554">VLOOKUP(B554,'Player Data'!$A1:$AE673,8,FALSE)*$Q554*IFERROR((VLOOKUP(P554,Settings!$E$28:$F$33,2,FALSE)+1),1)</f>
        <v>20.290965307223242</v>
      </c>
      <c r="U554" s="57" cm="1">
        <f t="array" ref="U554">SUM(S554:T554)</f>
        <v>27.831678061901773</v>
      </c>
      <c r="V554" s="57" cm="1">
        <f t="array" ref="V554">VLOOKUP(B554,'Player Data'!$A1:$AE673,10,FALSE)*$Q554*IFERROR(((VLOOKUP(P554,Settings!$E$28:$F$33,2,FALSE)/2)+1),1)</f>
        <v>83.455285382431313</v>
      </c>
      <c r="W554" s="57" cm="1">
        <f t="array" ref="W554">VLOOKUP(B554,'Player Data'!$A1:$AE673,11,FALSE)*$Q554*IFERROR((VLOOKUP(P554,Settings!$E$28:$F$33,2,FALSE)+1),1)</f>
        <v>1.034898921620623</v>
      </c>
      <c r="X554" s="57" cm="1">
        <f t="array" ref="X554">VLOOKUP(B554,'Player Data'!$A1:$AE673,12,FALSE)*$Q554*IFERROR((VLOOKUP(P554,Settings!$E$28:$F$33,2,FALSE)+1),1)</f>
        <v>4.402032972626146</v>
      </c>
      <c r="Y554" s="57" cm="1">
        <f t="array" ref="Y554">VLOOKUP(B554,'Player Data'!$A1:$AE673,13,FALSE)*$Q554</f>
        <v>2.7636854425096549E-3</v>
      </c>
      <c r="Z554" s="57" cm="1">
        <f t="array" ref="Z554">VLOOKUP(B554,'Player Data'!$A1:$AE673,14,FALSE)*$Q554</f>
        <v>4.828850380897985E-3</v>
      </c>
      <c r="AA554" s="57" cm="1">
        <f t="array" ref="AA554">VLOOKUP(B554,'Player Data'!$A1:$AE673,15,FALSE)*$Q554</f>
        <v>28.625485629100965</v>
      </c>
      <c r="AB554" s="57" cm="1">
        <f t="array" ref="AB554">VLOOKUP(B554,'Player Data'!$A1:$AE673,16,FALSE)*$Q554</f>
        <v>28.219856927564731</v>
      </c>
      <c r="AC554" s="57" cm="1">
        <f t="array" ref="AC554">VLOOKUP(B554,'Player Data'!$A1:$AE673,17,FALSE)*$Q554*IFERROR((VLOOKUP(P554,Settings!$E$28:$F$33,2,FALSE)+1),1)</f>
        <v>-1.869994671042631</v>
      </c>
      <c r="AD554" s="57" cm="1">
        <f t="array" ref="AD554">VLOOKUP(B554,'Player Data'!$A1:$AE673,18,FALSE)*$Q554</f>
        <v>15.015507523324221</v>
      </c>
      <c r="AE554" s="57" cm="1">
        <f t="array" ref="AE554">VLOOKUP(B554,'Player Data'!$A1:$AE673,19,FALSE)*$Q554*IFERROR((VLOOKUP(P554,Settings!$E$28:$F$33,2,FALSE)+1),1)</f>
        <v>1.087303247017412</v>
      </c>
      <c r="AF554" s="57" cm="1">
        <f t="array" ref="AF554">VLOOKUP(B554,'Player Data'!$A1:$AE673,20,FALSE)*$Q554</f>
        <v>79.542799774444333</v>
      </c>
      <c r="AG554" s="57" cm="1">
        <f t="array" ref="AG554">VLOOKUP(B554,'Player Data'!$A1:$AE673,21,FALSE)*$Q554</f>
        <v>85.494931333072643</v>
      </c>
      <c r="AH554" s="59" cm="1">
        <f t="array" ref="AH554">VLOOKUP(B554,'Player Data'!$A1:$AE673,22,FALSE)</f>
        <v>0.48196736128555201</v>
      </c>
      <c r="AI554" s="55"/>
      <c r="AJ554" s="57"/>
      <c r="AK554" s="57"/>
      <c r="AL554" s="57"/>
      <c r="AM554" s="57"/>
      <c r="AN554" s="57"/>
      <c r="AO554" s="57"/>
      <c r="AP554" s="57"/>
      <c r="AQ554" s="60"/>
      <c r="AR554" s="61"/>
      <c r="AS554" s="55"/>
    </row>
    <row r="555" spans="1:45" ht="21.25" customHeight="1" x14ac:dyDescent="0.15">
      <c r="A555" s="62">
        <f t="shared" si="8"/>
        <v>554</v>
      </c>
      <c r="B555" s="10" t="s">
        <v>683</v>
      </c>
      <c r="C555" s="47" t="s">
        <v>147</v>
      </c>
      <c r="D555" s="48" t="str" cm="1">
        <f t="array" ref="D555">VLOOKUP(B555,'Player Data'!A1:D673,4,FALSE)</f>
        <v>LW,RW</v>
      </c>
      <c r="E555" s="74" cm="1">
        <f t="array" ref="E555">VLOOKUP(B555,RW!A1:F210,3,FALSE)</f>
        <v>158</v>
      </c>
      <c r="F555" s="63" t="str" cm="1">
        <f t="array" ref="F555">VLOOKUP(B555,'Player Data'!A1:B673,2,FALSE)</f>
        <v>WPG</v>
      </c>
      <c r="G555" s="66" cm="1">
        <f t="array" ref="G555">VLOOKUP(B555,'Player Data'!A1:D673,3,FALSE)</f>
        <v>33</v>
      </c>
      <c r="H555" s="67" cm="1">
        <f t="array" ref="H555">IFERROR(VLOOKUP(B555,ADP!A1:F671,6,FALSE)/1000000,VLOOKUP(B555,ADP!A1:F671,6,FALSE))</f>
        <v>4</v>
      </c>
      <c r="I555" s="52">
        <f>IF(Settings!$E$15="POINTS",((R555*Q555)*Settings!$B$12)+(S555*Settings!$B$2)+(T555*Settings!$B$3)+(U555*Settings!$B$4)+(V555*Settings!$B$5)+(X555*Settings!$B$9)+(AA555*Settings!$B$6)+(W555*Settings!$B$8)+(AB555*Settings!$B$7)+(AC555*Settings!$B$14)+(AD555*Settings!$B$15)+(AE555*Settings!$B$16)+(AF555*Settings!$B$17)+(AG555*Settings!$B$18)+(Y555*Settings!$B$10)+(Z555*Settings!$B$11),VLOOKUP(B555,'Standard Deviations'!A$1:C$672,3,FALSE))</f>
        <v>143.92132183640524</v>
      </c>
      <c r="J555" s="53" cm="1">
        <f t="array" ref="J555">IF(D555="G",I555/AJ555,I555/Q555)</f>
        <v>1.8034688366455343</v>
      </c>
      <c r="K555" s="52" cm="1">
        <f t="array" ref="K555">IF(Settings!$E$18="C/LW/RW",VLOOKUP(B555,RW!A1:F210,6,FALSE),VLOOKUP(B555,F!A1:F407,6,FALSE))</f>
        <v>-251.02214285715223</v>
      </c>
      <c r="L555" s="54" cm="1">
        <f t="array" ref="L555">IFERROR(K555/H555,"N/A")</f>
        <v>-62.755535714288058</v>
      </c>
      <c r="M555" s="85" t="s">
        <v>832</v>
      </c>
      <c r="N555" s="85" t="str" cm="1">
        <f t="array" ref="N555">IFERROR(M555-A555,"N/A")</f>
        <v>N/A</v>
      </c>
      <c r="O555" s="55"/>
      <c r="P555" s="56" t="str" cm="1">
        <f t="array" ref="P555">_xlfn.XLOOKUP($B555,ADP!A2:A671,ADP!G2:G671)</f>
        <v xml:space="preserve"> </v>
      </c>
      <c r="Q555" s="57" cm="1">
        <f t="array" ref="Q555">IF(Settings!$E$12="YES",VLOOKUP(B555,'Player Data'!A1:E673,5,FALSE),84)</f>
        <v>79.802499999999995</v>
      </c>
      <c r="R555" s="84" cm="1">
        <f t="array" ref="R555">VLOOKUP(B555,'Player Data'!$A1:$AE673,6,FALSE)</f>
        <v>12.6765363656777</v>
      </c>
      <c r="S555" s="57" cm="1">
        <f t="array" ref="S555">VLOOKUP(B555,'Player Data'!$A1:$AE673,7,FALSE)*$Q555*IFERROR((VLOOKUP(P555,Settings!$E$28:$F$33,2,FALSE)+1),1)</f>
        <v>10.446243503882334</v>
      </c>
      <c r="T555" s="57" cm="1">
        <f t="array" ref="T555">VLOOKUP(B555,'Player Data'!$A1:$AE673,8,FALSE)*$Q555*IFERROR((VLOOKUP(P555,Settings!$E$28:$F$33,2,FALSE)+1),1)</f>
        <v>12.503522965233737</v>
      </c>
      <c r="U555" s="57" cm="1">
        <f t="array" ref="U555">SUM(S555:T555)</f>
        <v>22.949766469116071</v>
      </c>
      <c r="V555" s="57" cm="1">
        <f t="array" ref="V555">VLOOKUP(B555,'Player Data'!$A1:$AE673,10,FALSE)*$Q555*IFERROR(((VLOOKUP(P555,Settings!$E$28:$F$33,2,FALSE)/2)+1),1)</f>
        <v>112.95452098942779</v>
      </c>
      <c r="W555" s="57" cm="1">
        <f t="array" ref="W555">VLOOKUP(B555,'Player Data'!$A1:$AE673,11,FALSE)*$Q555*IFERROR((VLOOKUP(P555,Settings!$E$28:$F$33,2,FALSE)+1),1)</f>
        <v>1.3397074116382079</v>
      </c>
      <c r="X555" s="57" cm="1">
        <f t="array" ref="X555">VLOOKUP(B555,'Player Data'!$A1:$AE673,12,FALSE)*$Q555*IFERROR((VLOOKUP(P555,Settings!$E$28:$F$33,2,FALSE)+1),1)</f>
        <v>3.865589976755321</v>
      </c>
      <c r="Y555" s="57" cm="1">
        <f t="array" ref="Y555">VLOOKUP(B555,'Player Data'!$A1:$AE673,13,FALSE)*$Q555</f>
        <v>6.795889988121793E-4</v>
      </c>
      <c r="Z555" s="57" cm="1">
        <f t="array" ref="Z555">VLOOKUP(B555,'Player Data'!$A1:$AE673,14,FALSE)*$Q555</f>
        <v>1.1307552420703963E-3</v>
      </c>
      <c r="AA555" s="57" cm="1">
        <f t="array" ref="AA555">VLOOKUP(B555,'Player Data'!$A1:$AE673,15,FALSE)*$Q555</f>
        <v>29.456082404691497</v>
      </c>
      <c r="AB555" s="57" cm="1">
        <f t="array" ref="AB555">VLOOKUP(B555,'Player Data'!$A1:$AE673,16,FALSE)*$Q555</f>
        <v>98.949525694544533</v>
      </c>
      <c r="AC555" s="57" cm="1">
        <f t="array" ref="AC555">VLOOKUP(B555,'Player Data'!$A1:$AE673,17,FALSE)*$Q555*IFERROR((VLOOKUP(P555,Settings!$E$28:$F$33,2,FALSE)+1),1)</f>
        <v>1.2994392955450376</v>
      </c>
      <c r="AD555" s="57" cm="1">
        <f t="array" ref="AD555">VLOOKUP(B555,'Player Data'!$A1:$AE673,18,FALSE)*$Q555</f>
        <v>23.486622093902671</v>
      </c>
      <c r="AE555" s="57" cm="1">
        <f t="array" ref="AE555">VLOOKUP(B555,'Player Data'!$A1:$AE673,19,FALSE)*$Q555*IFERROR((VLOOKUP(P555,Settings!$E$28:$F$33,2,FALSE)+1),1)</f>
        <v>1.8152411698650719</v>
      </c>
      <c r="AF555" s="57" cm="1">
        <f t="array" ref="AF555">VLOOKUP(B555,'Player Data'!$A1:$AE673,20,FALSE)*$Q555</f>
        <v>9.4214770103198866</v>
      </c>
      <c r="AG555" s="57" cm="1">
        <f t="array" ref="AG555">VLOOKUP(B555,'Player Data'!$A1:$AE673,21,FALSE)*$Q555</f>
        <v>12.066894450602884</v>
      </c>
      <c r="AH555" s="59" cm="1">
        <f t="array" ref="AH555">VLOOKUP(B555,'Player Data'!$A1:$AE673,22,FALSE)</f>
        <v>0.43844537160264302</v>
      </c>
      <c r="AI555" s="55"/>
      <c r="AJ555" s="57"/>
      <c r="AK555" s="57"/>
      <c r="AL555" s="57"/>
      <c r="AM555" s="57"/>
      <c r="AN555" s="57"/>
      <c r="AO555" s="57"/>
      <c r="AP555" s="57"/>
      <c r="AQ555" s="60"/>
      <c r="AR555" s="61"/>
      <c r="AS555" s="55"/>
    </row>
    <row r="556" spans="1:45" ht="21.25" customHeight="1" x14ac:dyDescent="0.15">
      <c r="A556" s="62">
        <f t="shared" si="8"/>
        <v>555</v>
      </c>
      <c r="B556" s="10" t="s">
        <v>684</v>
      </c>
      <c r="C556" s="47" t="s">
        <v>147</v>
      </c>
      <c r="D556" s="48" t="str" cm="1">
        <f t="array" ref="D556">VLOOKUP(B556,'Player Data'!A1:D673,4,FALSE)</f>
        <v>C,LW</v>
      </c>
      <c r="E556" s="74" cm="1">
        <f t="array" ref="E556">VLOOKUP(B556,LW!A1:C210,3,FALSE)</f>
        <v>148</v>
      </c>
      <c r="F556" s="56" t="str" cm="1">
        <f t="array" ref="F556">VLOOKUP(B556,'Player Data'!A1:B673,2,FALSE)</f>
        <v>UTA</v>
      </c>
      <c r="G556" s="11" cm="1">
        <f t="array" ref="G556">VLOOKUP(B556,'Player Data'!A1:D673,3,FALSE)</f>
        <v>26</v>
      </c>
      <c r="H556" s="51" cm="1">
        <f t="array" ref="H556">IFERROR(VLOOKUP(B556,ADP!A1:F671,6,FALSE)/1000000,VLOOKUP(B556,ADP!A1:F671,6,FALSE))</f>
        <v>4.25</v>
      </c>
      <c r="I556" s="52">
        <f>IF(Settings!$E$15="POINTS",((R556*Q556)*Settings!$B$12)+(S556*Settings!$B$2)+(T556*Settings!$B$3)+(U556*Settings!$B$4)+(V556*Settings!$B$5)+(X556*Settings!$B$9)+(AA556*Settings!$B$6)+(W556*Settings!$B$8)+(AB556*Settings!$B$7)+(AC556*Settings!$B$14)+(AD556*Settings!$B$15)+(AE556*Settings!$B$16)+(AF556*Settings!$B$17)+(AG556*Settings!$B$18)+(Y556*Settings!$B$10)+(Z556*Settings!$B$11),VLOOKUP(B556,'Standard Deviations'!A$1:C$672,3,FALSE))</f>
        <v>147.34149050842899</v>
      </c>
      <c r="J556" s="53" cm="1">
        <f t="array" ref="J556">IF(D556="G",I556/AJ556,I556/Q556)</f>
        <v>1.8125971460363401</v>
      </c>
      <c r="K556" s="52" cm="1">
        <f t="array" ref="K556">IF(Settings!$E$18="C/LW/RW",VLOOKUP(B556,LW!A1:F210,6,FALSE),VLOOKUP(B556,F!A1:F407,6,FALSE))</f>
        <v>-251.9715028052911</v>
      </c>
      <c r="L556" s="54" cm="1">
        <f t="array" ref="L556">IFERROR(K556/H556,"N/A")</f>
        <v>-59.287412424774374</v>
      </c>
      <c r="M556" s="85" t="s">
        <v>832</v>
      </c>
      <c r="N556" s="85" t="str" cm="1">
        <f t="array" ref="N556">IFERROR(M556-A556,"N/A")</f>
        <v>N/A</v>
      </c>
      <c r="O556" s="55"/>
      <c r="P556" s="56" t="str" cm="1">
        <f t="array" ref="P556">_xlfn.XLOOKUP($B556,ADP!A2:A671,ADP!G2:G671)</f>
        <v xml:space="preserve"> </v>
      </c>
      <c r="Q556" s="57" cm="1">
        <f t="array" ref="Q556">IF(Settings!$E$12="YES",VLOOKUP(B556,'Player Data'!A1:E673,5,FALSE),84)</f>
        <v>81.287499999999994</v>
      </c>
      <c r="R556" s="84" cm="1">
        <f t="array" ref="R556">VLOOKUP(B556,'Player Data'!$A1:$AE673,6,FALSE)</f>
        <v>12.7212489841717</v>
      </c>
      <c r="S556" s="57" cm="1">
        <f t="array" ref="S556">VLOOKUP(B556,'Player Data'!$A1:$AE673,7,FALSE)*$Q556*IFERROR((VLOOKUP(P556,Settings!$E$28:$F$33,2,FALSE)+1),1)</f>
        <v>10.063889184309746</v>
      </c>
      <c r="T556" s="57" cm="1">
        <f t="array" ref="T556">VLOOKUP(B556,'Player Data'!$A1:$AE673,8,FALSE)*$Q556*IFERROR((VLOOKUP(P556,Settings!$E$28:$F$33,2,FALSE)+1),1)</f>
        <v>15.402901302442325</v>
      </c>
      <c r="U556" s="57" cm="1">
        <f t="array" ref="U556">SUM(S556:T556)</f>
        <v>25.466790486752071</v>
      </c>
      <c r="V556" s="57" cm="1">
        <f t="array" ref="V556">VLOOKUP(B556,'Player Data'!$A1:$AE673,10,FALSE)*$Q556*IFERROR(((VLOOKUP(P556,Settings!$E$28:$F$33,2,FALSE)/2)+1),1)</f>
        <v>93.482359796878868</v>
      </c>
      <c r="W556" s="57" cm="1">
        <f t="array" ref="W556">VLOOKUP(B556,'Player Data'!$A1:$AE673,11,FALSE)*$Q556*IFERROR((VLOOKUP(P556,Settings!$E$28:$F$33,2,FALSE)+1),1)</f>
        <v>0.14726663921811892</v>
      </c>
      <c r="X556" s="57" cm="1">
        <f t="array" ref="X556">VLOOKUP(B556,'Player Data'!$A1:$AE673,12,FALSE)*$Q556*IFERROR((VLOOKUP(P556,Settings!$E$28:$F$33,2,FALSE)+1),1)</f>
        <v>0.37979616340815775</v>
      </c>
      <c r="Y556" s="57" cm="1">
        <f t="array" ref="Y556">VLOOKUP(B556,'Player Data'!$A1:$AE673,13,FALSE)*$Q556</f>
        <v>0.58635044360866939</v>
      </c>
      <c r="Z556" s="57" cm="1">
        <f t="array" ref="Z556">VLOOKUP(B556,'Player Data'!$A1:$AE673,14,FALSE)*$Q556</f>
        <v>1.1509232028999019</v>
      </c>
      <c r="AA556" s="57" cm="1">
        <f t="array" ref="AA556">VLOOKUP(B556,'Player Data'!$A1:$AE673,15,FALSE)*$Q556</f>
        <v>45.338439566850575</v>
      </c>
      <c r="AB556" s="57" cm="1">
        <f t="array" ref="AB556">VLOOKUP(B556,'Player Data'!$A1:$AE673,16,FALSE)*$Q556</f>
        <v>250.45350023817574</v>
      </c>
      <c r="AC556" s="57" cm="1">
        <f t="array" ref="AC556">VLOOKUP(B556,'Player Data'!$A1:$AE673,17,FALSE)*$Q556*IFERROR((VLOOKUP(P556,Settings!$E$28:$F$33,2,FALSE)+1),1)</f>
        <v>1.9553457205840592</v>
      </c>
      <c r="AD556" s="57" cm="1">
        <f t="array" ref="AD556">VLOOKUP(B556,'Player Data'!$A1:$AE673,18,FALSE)*$Q556</f>
        <v>56.620097120139768</v>
      </c>
      <c r="AE556" s="57" cm="1">
        <f t="array" ref="AE556">VLOOKUP(B556,'Player Data'!$A1:$AE673,19,FALSE)*$Q556*IFERROR((VLOOKUP(P556,Settings!$E$28:$F$33,2,FALSE)+1),1)</f>
        <v>1.6267734091911117</v>
      </c>
      <c r="AF556" s="57" cm="1">
        <f t="array" ref="AF556">VLOOKUP(B556,'Player Data'!$A1:$AE673,20,FALSE)*$Q556</f>
        <v>308.04699753323484</v>
      </c>
      <c r="AG556" s="57" cm="1">
        <f t="array" ref="AG556">VLOOKUP(B556,'Player Data'!$A1:$AE673,21,FALSE)*$Q556</f>
        <v>315.44774507797547</v>
      </c>
      <c r="AH556" s="59" cm="1">
        <f t="array" ref="AH556">VLOOKUP(B556,'Player Data'!$A1:$AE673,22,FALSE)</f>
        <v>0.49406510830087602</v>
      </c>
      <c r="AI556" s="55"/>
      <c r="AJ556" s="57"/>
      <c r="AK556" s="57"/>
      <c r="AL556" s="57"/>
      <c r="AM556" s="57"/>
      <c r="AN556" s="57"/>
      <c r="AO556" s="57"/>
      <c r="AP556" s="57"/>
      <c r="AQ556" s="60"/>
      <c r="AR556" s="61"/>
      <c r="AS556" s="55"/>
    </row>
    <row r="557" spans="1:45" ht="21.25" customHeight="1" x14ac:dyDescent="0.15">
      <c r="A557" s="62">
        <f t="shared" si="8"/>
        <v>556</v>
      </c>
      <c r="B557" s="10" t="s">
        <v>685</v>
      </c>
      <c r="C557" s="47" t="s">
        <v>147</v>
      </c>
      <c r="D557" s="48" t="str" cm="1">
        <f t="array" ref="D557">VLOOKUP(B557,'Player Data'!A1:D673,4,FALSE)</f>
        <v>C,LW</v>
      </c>
      <c r="E557" s="74" cm="1">
        <f t="array" ref="E557">VLOOKUP(B557,LW!A1:C210,3,FALSE)</f>
        <v>150</v>
      </c>
      <c r="F557" s="73" t="str" cm="1">
        <f t="array" ref="F557">VLOOKUP(B557,'Player Data'!A1:B673,2,FALSE)</f>
        <v>BUF</v>
      </c>
      <c r="G557" s="11" cm="1">
        <f t="array" ref="G557">VLOOKUP(B557,'Player Data'!A1:D673,3,FALSE)</f>
        <v>25</v>
      </c>
      <c r="H557" s="51" cm="1">
        <f t="array" ref="H557">IFERROR(VLOOKUP(B557,ADP!A1:F671,6,FALSE)/1000000,VLOOKUP(B557,ADP!A1:F671,6,FALSE))</f>
        <v>4.5</v>
      </c>
      <c r="I557" s="52">
        <f>IF(Settings!$E$15="POINTS",((R557*Q557)*Settings!$B$12)+(S557*Settings!$B$2)+(T557*Settings!$B$3)+(U557*Settings!$B$4)+(V557*Settings!$B$5)+(X557*Settings!$B$9)+(AA557*Settings!$B$6)+(W557*Settings!$B$8)+(AB557*Settings!$B$7)+(AC557*Settings!$B$14)+(AD557*Settings!$B$15)+(AE557*Settings!$B$16)+(AF557*Settings!$B$17)+(AG557*Settings!$B$18)+(Y557*Settings!$B$10)+(Z557*Settings!$B$11),VLOOKUP(B557,'Standard Deviations'!A$1:C$672,3,FALSE))</f>
        <v>146.01881101514866</v>
      </c>
      <c r="J557" s="53" cm="1">
        <f t="array" ref="J557">IF(D557="G",I557/AJ557,I557/Q557)</f>
        <v>1.7447060491101194</v>
      </c>
      <c r="K557" s="52" cm="1">
        <f t="array" ref="K557">IF(Settings!$E$18="C/LW/RW",VLOOKUP(B557,LW!A1:F210,6,FALSE),VLOOKUP(B557,F!A1:F407,6,FALSE))</f>
        <v>-253.29418229857143</v>
      </c>
      <c r="L557" s="54" cm="1">
        <f t="array" ref="L557">IFERROR(K557/H557,"N/A")</f>
        <v>-56.287596066349209</v>
      </c>
      <c r="M557" s="85" t="s">
        <v>832</v>
      </c>
      <c r="N557" s="85" t="str" cm="1">
        <f t="array" ref="N557">IFERROR(M557-A557,"N/A")</f>
        <v>N/A</v>
      </c>
      <c r="O557" s="55"/>
      <c r="P557" s="56" t="str" cm="1">
        <f t="array" ref="P557">_xlfn.XLOOKUP($B557,ADP!A2:A671,ADP!G2:G671)</f>
        <v xml:space="preserve"> </v>
      </c>
      <c r="Q557" s="57" cm="1">
        <f t="array" ref="Q557">IF(Settings!$E$12="YES",VLOOKUP(B557,'Player Data'!A1:E673,5,FALSE),84)</f>
        <v>83.692499999999995</v>
      </c>
      <c r="R557" s="84" cm="1">
        <f t="array" ref="R557">VLOOKUP(B557,'Player Data'!$A1:$AE673,6,FALSE)</f>
        <v>12.227688354697101</v>
      </c>
      <c r="S557" s="57" cm="1">
        <f t="array" ref="S557">VLOOKUP(B557,'Player Data'!$A1:$AE673,7,FALSE)*$Q557*IFERROR((VLOOKUP(P557,Settings!$E$28:$F$33,2,FALSE)+1),1)</f>
        <v>9.4613898373660312</v>
      </c>
      <c r="T557" s="57" cm="1">
        <f t="array" ref="T557">VLOOKUP(B557,'Player Data'!$A1:$AE673,8,FALSE)*$Q557*IFERROR((VLOOKUP(P557,Settings!$E$28:$F$33,2,FALSE)+1),1)</f>
        <v>19.270953166614905</v>
      </c>
      <c r="U557" s="57" cm="1">
        <f t="array" ref="U557">SUM(S557:T557)</f>
        <v>28.732343003980937</v>
      </c>
      <c r="V557" s="57" cm="1">
        <f t="array" ref="V557">VLOOKUP(B557,'Player Data'!$A1:$AE673,10,FALSE)*$Q557*IFERROR(((VLOOKUP(P557,Settings!$E$28:$F$33,2,FALSE)/2)+1),1)</f>
        <v>83.384618623477053</v>
      </c>
      <c r="W557" s="57" cm="1">
        <f t="array" ref="W557">VLOOKUP(B557,'Player Data'!$A1:$AE673,11,FALSE)*$Q557*IFERROR((VLOOKUP(P557,Settings!$E$28:$F$33,2,FALSE)+1),1)</f>
        <v>8.4312358099092433E-2</v>
      </c>
      <c r="X557" s="57" cm="1">
        <f t="array" ref="X557">VLOOKUP(B557,'Player Data'!$A1:$AE673,12,FALSE)*$Q557*IFERROR((VLOOKUP(P557,Settings!$E$28:$F$33,2,FALSE)+1),1)</f>
        <v>0.20650350498079895</v>
      </c>
      <c r="Y557" s="57" cm="1">
        <f t="array" ref="Y557">VLOOKUP(B557,'Player Data'!$A1:$AE673,13,FALSE)*$Q557</f>
        <v>0.41214755730794322</v>
      </c>
      <c r="Z557" s="57" cm="1">
        <f t="array" ref="Z557">VLOOKUP(B557,'Player Data'!$A1:$AE673,14,FALSE)*$Q557</f>
        <v>0.48743277011061825</v>
      </c>
      <c r="AA557" s="57" cm="1">
        <f t="array" ref="AA557">VLOOKUP(B557,'Player Data'!$A1:$AE673,15,FALSE)*$Q557</f>
        <v>34.871072832751793</v>
      </c>
      <c r="AB557" s="57" cm="1">
        <f t="array" ref="AB557">VLOOKUP(B557,'Player Data'!$A1:$AE673,16,FALSE)*$Q557</f>
        <v>150.13467887829873</v>
      </c>
      <c r="AC557" s="57" cm="1">
        <f t="array" ref="AC557">VLOOKUP(B557,'Player Data'!$A1:$AE673,17,FALSE)*$Q557*IFERROR((VLOOKUP(P557,Settings!$E$28:$F$33,2,FALSE)+1),1)</f>
        <v>1.2539450104387435</v>
      </c>
      <c r="AD557" s="57" cm="1">
        <f t="array" ref="AD557">VLOOKUP(B557,'Player Data'!$A1:$AE673,18,FALSE)*$Q557</f>
        <v>43.290465011554694</v>
      </c>
      <c r="AE557" s="57" cm="1">
        <f t="array" ref="AE557">VLOOKUP(B557,'Player Data'!$A1:$AE673,19,FALSE)*$Q557*IFERROR((VLOOKUP(P557,Settings!$E$28:$F$33,2,FALSE)+1),1)</f>
        <v>1.4264935578498805</v>
      </c>
      <c r="AF557" s="57" cm="1">
        <f t="array" ref="AF557">VLOOKUP(B557,'Player Data'!$A1:$AE673,20,FALSE)*$Q557</f>
        <v>223.77550050060984</v>
      </c>
      <c r="AG557" s="57" cm="1">
        <f t="array" ref="AG557">VLOOKUP(B557,'Player Data'!$A1:$AE673,21,FALSE)*$Q557</f>
        <v>259.72186150579449</v>
      </c>
      <c r="AH557" s="59" cm="1">
        <f t="array" ref="AH557">VLOOKUP(B557,'Player Data'!$A1:$AE673,22,FALSE)</f>
        <v>0.46282672478706399</v>
      </c>
      <c r="AI557" s="55"/>
      <c r="AJ557" s="57"/>
      <c r="AK557" s="57"/>
      <c r="AL557" s="57"/>
      <c r="AM557" s="57"/>
      <c r="AN557" s="57"/>
      <c r="AO557" s="57"/>
      <c r="AP557" s="57"/>
      <c r="AQ557" s="60"/>
      <c r="AR557" s="61"/>
      <c r="AS557" s="55"/>
    </row>
    <row r="558" spans="1:45" ht="21.25" customHeight="1" x14ac:dyDescent="0.15">
      <c r="A558" s="62">
        <f t="shared" si="8"/>
        <v>557</v>
      </c>
      <c r="B558" s="10" t="s">
        <v>686</v>
      </c>
      <c r="C558" s="47" t="s">
        <v>147</v>
      </c>
      <c r="D558" s="48" t="str" cm="1">
        <f t="array" ref="D558">VLOOKUP(B558,'Player Data'!A1:D673,4,FALSE)</f>
        <v>C,LW</v>
      </c>
      <c r="E558" s="74" cm="1">
        <f t="array" ref="E558">VLOOKUP(B558,LW!A1:C210,3,FALSE)</f>
        <v>151</v>
      </c>
      <c r="F558" s="63" t="str" cm="1">
        <f t="array" ref="F558">VLOOKUP(B558,'Player Data'!A1:B673,2,FALSE)</f>
        <v>DAL</v>
      </c>
      <c r="G558" s="11" cm="1">
        <f t="array" ref="G558">VLOOKUP(B558,'Player Data'!A1:D673,3,FALSE)</f>
        <v>28</v>
      </c>
      <c r="H558" s="67" cm="1">
        <f t="array" ref="H558">IFERROR(VLOOKUP(B558,ADP!A1:F671,6,FALSE)/1000000,VLOOKUP(B558,ADP!A1:F671,6,FALSE))</f>
        <v>2.1</v>
      </c>
      <c r="I558" s="52">
        <f>IF(Settings!$E$15="POINTS",((R558*Q558)*Settings!$B$12)+(S558*Settings!$B$2)+(T558*Settings!$B$3)+(U558*Settings!$B$4)+(V558*Settings!$B$5)+(X558*Settings!$B$9)+(AA558*Settings!$B$6)+(W558*Settings!$B$8)+(AB558*Settings!$B$7)+(AC558*Settings!$B$14)+(AD558*Settings!$B$15)+(AE558*Settings!$B$16)+(AF558*Settings!$B$17)+(AG558*Settings!$B$18)+(Y558*Settings!$B$10)+(Z558*Settings!$B$11),VLOOKUP(B558,'Standard Deviations'!A$1:C$672,3,FALSE))</f>
        <v>145.96338984928676</v>
      </c>
      <c r="J558" s="53" cm="1">
        <f t="array" ref="J558">IF(D558="G",I558/AJ558,I558/Q558)</f>
        <v>1.7905224466301124</v>
      </c>
      <c r="K558" s="52" cm="1">
        <f t="array" ref="K558">IF(Settings!$E$18="C/LW/RW",VLOOKUP(B558,LW!A1:F210,6,FALSE),VLOOKUP(B558,F!A1:F407,6,FALSE))</f>
        <v>-253.34960346443333</v>
      </c>
      <c r="L558" s="54" cm="1">
        <f t="array" ref="L558">IFERROR(K558/H558,"N/A")</f>
        <v>-120.64266831639682</v>
      </c>
      <c r="M558" s="85" t="s">
        <v>832</v>
      </c>
      <c r="N558" s="85" t="str" cm="1">
        <f t="array" ref="N558">IFERROR(M558-A558,"N/A")</f>
        <v>N/A</v>
      </c>
      <c r="O558" s="55"/>
      <c r="P558" s="56" t="str" cm="1">
        <f t="array" ref="P558">_xlfn.XLOOKUP($B558,ADP!A2:A671,ADP!G2:G671)</f>
        <v xml:space="preserve"> </v>
      </c>
      <c r="Q558" s="57" cm="1">
        <f t="array" ref="Q558">IF(Settings!$E$12="YES",VLOOKUP(B558,'Player Data'!A1:E673,5,FALSE),84)</f>
        <v>81.52</v>
      </c>
      <c r="R558" s="84" cm="1">
        <f t="array" ref="R558">VLOOKUP(B558,'Player Data'!$A1:$AE673,6,FALSE)</f>
        <v>13.9752781672232</v>
      </c>
      <c r="S558" s="57" cm="1">
        <f t="array" ref="S558">VLOOKUP(B558,'Player Data'!$A1:$AE673,7,FALSE)*$Q558*IFERROR((VLOOKUP(P558,Settings!$E$28:$F$33,2,FALSE)+1),1)</f>
        <v>9.7228155448333293</v>
      </c>
      <c r="T558" s="57" cm="1">
        <f t="array" ref="T558">VLOOKUP(B558,'Player Data'!$A1:$AE673,8,FALSE)*$Q558*IFERROR((VLOOKUP(P558,Settings!$E$28:$F$33,2,FALSE)+1),1)</f>
        <v>18.647428917935517</v>
      </c>
      <c r="U558" s="57" cm="1">
        <f t="array" ref="U558">SUM(S558:T558)</f>
        <v>28.370244462768845</v>
      </c>
      <c r="V558" s="57" cm="1">
        <f t="array" ref="V558">VLOOKUP(B558,'Player Data'!$A1:$AE673,10,FALSE)*$Q558*IFERROR(((VLOOKUP(P558,Settings!$E$28:$F$33,2,FALSE)/2)+1),1)</f>
        <v>87.222827386632588</v>
      </c>
      <c r="W558" s="57" cm="1">
        <f t="array" ref="W558">VLOOKUP(B558,'Player Data'!$A1:$AE673,11,FALSE)*$Q558*IFERROR((VLOOKUP(P558,Settings!$E$28:$F$33,2,FALSE)+1),1)</f>
        <v>0.5333127772997267</v>
      </c>
      <c r="X558" s="57" cm="1">
        <f t="array" ref="X558">VLOOKUP(B558,'Player Data'!$A1:$AE673,12,FALSE)*$Q558*IFERROR((VLOOKUP(P558,Settings!$E$28:$F$33,2,FALSE)+1),1)</f>
        <v>1.4649327434540966</v>
      </c>
      <c r="Y558" s="57" cm="1">
        <f t="array" ref="Y558">VLOOKUP(B558,'Player Data'!$A1:$AE673,13,FALSE)*$Q558</f>
        <v>0.40144818316126796</v>
      </c>
      <c r="Z558" s="57" cm="1">
        <f t="array" ref="Z558">VLOOKUP(B558,'Player Data'!$A1:$AE673,14,FALSE)*$Q558</f>
        <v>1.0068142428432729</v>
      </c>
      <c r="AA558" s="57" cm="1">
        <f t="array" ref="AA558">VLOOKUP(B558,'Player Data'!$A1:$AE673,15,FALSE)*$Q558</f>
        <v>29.538991562733123</v>
      </c>
      <c r="AB558" s="57" cm="1">
        <f t="array" ref="AB558">VLOOKUP(B558,'Player Data'!$A1:$AE673,16,FALSE)*$Q558</f>
        <v>74.879255526245572</v>
      </c>
      <c r="AC558" s="57" cm="1">
        <f t="array" ref="AC558">VLOOKUP(B558,'Player Data'!$A1:$AE673,17,FALSE)*$Q558*IFERROR((VLOOKUP(P558,Settings!$E$28:$F$33,2,FALSE)+1),1)</f>
        <v>3.8853482445460887</v>
      </c>
      <c r="AD558" s="57" cm="1">
        <f t="array" ref="AD558">VLOOKUP(B558,'Player Data'!$A1:$AE673,18,FALSE)*$Q558</f>
        <v>28.086780228409012</v>
      </c>
      <c r="AE558" s="57" cm="1">
        <f t="array" ref="AE558">VLOOKUP(B558,'Player Data'!$A1:$AE673,19,FALSE)*$Q558*IFERROR((VLOOKUP(P558,Settings!$E$28:$F$33,2,FALSE)+1),1)</f>
        <v>1.6443497213694596</v>
      </c>
      <c r="AF558" s="57" cm="1">
        <f t="array" ref="AF558">VLOOKUP(B558,'Player Data'!$A1:$AE673,20,FALSE)*$Q558</f>
        <v>135.30649908221531</v>
      </c>
      <c r="AG558" s="57" cm="1">
        <f t="array" ref="AG558">VLOOKUP(B558,'Player Data'!$A1:$AE673,21,FALSE)*$Q558</f>
        <v>133.4752058680308</v>
      </c>
      <c r="AH558" s="59" cm="1">
        <f t="array" ref="AH558">VLOOKUP(B558,'Player Data'!$A1:$AE673,22,FALSE)</f>
        <v>0.50340665525304895</v>
      </c>
      <c r="AI558" s="55"/>
      <c r="AJ558" s="57"/>
      <c r="AK558" s="57"/>
      <c r="AL558" s="57"/>
      <c r="AM558" s="57"/>
      <c r="AN558" s="57"/>
      <c r="AO558" s="57"/>
      <c r="AP558" s="57"/>
      <c r="AQ558" s="60"/>
      <c r="AR558" s="61"/>
      <c r="AS558" s="55"/>
    </row>
    <row r="559" spans="1:45" ht="21.25" customHeight="1" x14ac:dyDescent="0.15">
      <c r="A559" s="62">
        <f t="shared" si="8"/>
        <v>558</v>
      </c>
      <c r="B559" s="10" t="s">
        <v>687</v>
      </c>
      <c r="C559" s="47" t="s">
        <v>147</v>
      </c>
      <c r="D559" s="48" t="str" cm="1">
        <f t="array" ref="D559">VLOOKUP(B559,'Player Data'!A1:D673,4,FALSE)</f>
        <v>RW</v>
      </c>
      <c r="E559" s="64" cm="1">
        <f t="array" ref="E559">VLOOKUP(B559,RW!A1:F210,3,FALSE)</f>
        <v>159</v>
      </c>
      <c r="F559" s="56" t="str" cm="1">
        <f t="array" ref="F559">VLOOKUP(B559,'Player Data'!A1:B673,2,FALSE)</f>
        <v>WSH</v>
      </c>
      <c r="G559" s="11" cm="1">
        <f t="array" ref="G559">VLOOKUP(B559,'Player Data'!A1:D673,3,FALSE)</f>
        <v>28</v>
      </c>
      <c r="H559" s="51" cm="1">
        <f t="array" ref="H559">IFERROR(VLOOKUP(B559,ADP!A1:F671,6,FALSE)/1000000,VLOOKUP(B559,ADP!A1:F671,6,FALSE))</f>
        <v>2</v>
      </c>
      <c r="I559" s="52">
        <f>IF(Settings!$E$15="POINTS",((R559*Q559)*Settings!$B$12)+(S559*Settings!$B$2)+(T559*Settings!$B$3)+(U559*Settings!$B$4)+(V559*Settings!$B$5)+(X559*Settings!$B$9)+(AA559*Settings!$B$6)+(W559*Settings!$B$8)+(AB559*Settings!$B$7)+(AC559*Settings!$B$14)+(AD559*Settings!$B$15)+(AE559*Settings!$B$16)+(AF559*Settings!$B$17)+(AG559*Settings!$B$18)+(Y559*Settings!$B$10)+(Z559*Settings!$B$11),VLOOKUP(B559,'Standard Deviations'!A$1:C$672,3,FALSE))</f>
        <v>139.564342246161</v>
      </c>
      <c r="J559" s="53" cm="1">
        <f t="array" ref="J559">IF(D559="G",I559/AJ559,I559/Q559)</f>
        <v>1.8429201405804965</v>
      </c>
      <c r="K559" s="52" cm="1">
        <f t="array" ref="K559">IF(Settings!$E$18="C/LW/RW",VLOOKUP(B559,RW!A1:F210,6,FALSE),VLOOKUP(B559,F!A1:F407,6,FALSE))</f>
        <v>-255.37912244739647</v>
      </c>
      <c r="L559" s="54" cm="1">
        <f t="array" ref="L559">IFERROR(K559/H559,"N/A")</f>
        <v>-127.68956122369823</v>
      </c>
      <c r="M559" s="85" t="s">
        <v>832</v>
      </c>
      <c r="N559" s="85" t="str" cm="1">
        <f t="array" ref="N559">IFERROR(M559-A559,"N/A")</f>
        <v>N/A</v>
      </c>
      <c r="O559" s="55"/>
      <c r="P559" s="56" t="str" cm="1">
        <f t="array" ref="P559">_xlfn.XLOOKUP($B559,ADP!A2:A671,ADP!G2:G671)</f>
        <v xml:space="preserve"> </v>
      </c>
      <c r="Q559" s="57" cm="1">
        <f t="array" ref="Q559">IF(Settings!$E$12="YES",VLOOKUP(B559,'Player Data'!A1:E673,5,FALSE),84)</f>
        <v>75.73</v>
      </c>
      <c r="R559" s="84" cm="1">
        <f t="array" ref="R559">VLOOKUP(B559,'Player Data'!$A1:$AE673,6,FALSE)</f>
        <v>10.9875646669072</v>
      </c>
      <c r="S559" s="57" cm="1">
        <f t="array" ref="S559">VLOOKUP(B559,'Player Data'!$A1:$AE673,7,FALSE)*$Q559*IFERROR((VLOOKUP(P559,Settings!$E$28:$F$33,2,FALSE)+1),1)</f>
        <v>11.321135359184648</v>
      </c>
      <c r="T559" s="57" cm="1">
        <f t="array" ref="T559">VLOOKUP(B559,'Player Data'!$A1:$AE673,8,FALSE)*$Q559*IFERROR((VLOOKUP(P559,Settings!$E$28:$F$33,2,FALSE)+1),1)</f>
        <v>11.340928109314126</v>
      </c>
      <c r="U559" s="57" cm="1">
        <f t="array" ref="U559">SUM(S559:T559)</f>
        <v>22.662063468498772</v>
      </c>
      <c r="V559" s="57" cm="1">
        <f t="array" ref="V559">VLOOKUP(B559,'Player Data'!$A1:$AE673,10,FALSE)*$Q559*IFERROR(((VLOOKUP(P559,Settings!$E$28:$F$33,2,FALSE)/2)+1),1)</f>
        <v>92.522026602424916</v>
      </c>
      <c r="W559" s="57" cm="1">
        <f t="array" ref="W559">VLOOKUP(B559,'Player Data'!$A1:$AE673,11,FALSE)*$Q559*IFERROR((VLOOKUP(P559,Settings!$E$28:$F$33,2,FALSE)+1),1)</f>
        <v>0.31519092275925875</v>
      </c>
      <c r="X559" s="57" cm="1">
        <f t="array" ref="X559">VLOOKUP(B559,'Player Data'!$A1:$AE673,12,FALSE)*$Q559*IFERROR((VLOOKUP(P559,Settings!$E$28:$F$33,2,FALSE)+1),1)</f>
        <v>0.7185081691391787</v>
      </c>
      <c r="Y559" s="57" cm="1">
        <f t="array" ref="Y559">VLOOKUP(B559,'Player Data'!$A1:$AE673,13,FALSE)*$Q559</f>
        <v>1.1794812525795017E-2</v>
      </c>
      <c r="Z559" s="57" cm="1">
        <f t="array" ref="Z559">VLOOKUP(B559,'Player Data'!$A1:$AE673,14,FALSE)*$Q559</f>
        <v>1.9278315612081258E-2</v>
      </c>
      <c r="AA559" s="57" cm="1">
        <f t="array" ref="AA559">VLOOKUP(B559,'Player Data'!$A1:$AE673,15,FALSE)*$Q559</f>
        <v>49.158704109401938</v>
      </c>
      <c r="AB559" s="57" cm="1">
        <f t="array" ref="AB559">VLOOKUP(B559,'Player Data'!$A1:$AE673,16,FALSE)*$Q559</f>
        <v>72.08743625910104</v>
      </c>
      <c r="AC559" s="57" cm="1">
        <f t="array" ref="AC559">VLOOKUP(B559,'Player Data'!$A1:$AE673,17,FALSE)*$Q559*IFERROR((VLOOKUP(P559,Settings!$E$28:$F$33,2,FALSE)+1),1)</f>
        <v>4.2258498040921806</v>
      </c>
      <c r="AD559" s="57" cm="1">
        <f t="array" ref="AD559">VLOOKUP(B559,'Player Data'!$A1:$AE673,18,FALSE)*$Q559</f>
        <v>19.665788380224473</v>
      </c>
      <c r="AE559" s="57" cm="1">
        <f t="array" ref="AE559">VLOOKUP(B559,'Player Data'!$A1:$AE673,19,FALSE)*$Q559*IFERROR((VLOOKUP(P559,Settings!$E$28:$F$33,2,FALSE)+1),1)</f>
        <v>1.6955586846502397</v>
      </c>
      <c r="AF559" s="57" cm="1">
        <f t="array" ref="AF559">VLOOKUP(B559,'Player Data'!$A1:$AE673,20,FALSE)*$Q559</f>
        <v>0.82529039942441118</v>
      </c>
      <c r="AG559" s="57" cm="1">
        <f t="array" ref="AG559">VLOOKUP(B559,'Player Data'!$A1:$AE673,21,FALSE)*$Q559</f>
        <v>5.5327912407752899</v>
      </c>
      <c r="AH559" s="59" cm="1">
        <f t="array" ref="AH559">VLOOKUP(B559,'Player Data'!$A1:$AE673,22,FALSE)</f>
        <v>0.129801793391016</v>
      </c>
      <c r="AI559" s="55"/>
      <c r="AJ559" s="57"/>
      <c r="AK559" s="57"/>
      <c r="AL559" s="57"/>
      <c r="AM559" s="57"/>
      <c r="AN559" s="57"/>
      <c r="AO559" s="57"/>
      <c r="AP559" s="57"/>
      <c r="AQ559" s="60"/>
      <c r="AR559" s="61"/>
      <c r="AS559" s="55"/>
    </row>
    <row r="560" spans="1:45" ht="21.25" customHeight="1" x14ac:dyDescent="0.15">
      <c r="A560" s="62">
        <f t="shared" si="8"/>
        <v>559</v>
      </c>
      <c r="B560" s="10" t="s">
        <v>688</v>
      </c>
      <c r="C560" s="76"/>
      <c r="D560" s="48" t="str" cm="1">
        <f t="array" ref="D560">VLOOKUP(B560,'Player Data'!A1:D673,4,FALSE)</f>
        <v>LW</v>
      </c>
      <c r="E560" s="75" cm="1">
        <f t="array" ref="E560">VLOOKUP(B560,LW!A1:C210,3,FALSE)</f>
        <v>155</v>
      </c>
      <c r="F560" s="18" t="str" cm="1">
        <f t="array" ref="F560">VLOOKUP(B560,'Player Data'!A1:B673,2,FALSE)</f>
        <v>VAN</v>
      </c>
      <c r="G560" s="71" cm="1">
        <f t="array" ref="G560">VLOOKUP(B560,'Player Data'!A1:D673,3,FALSE)</f>
        <v>22</v>
      </c>
      <c r="H560" s="51" cm="1">
        <f t="array" ref="H560">IFERROR(VLOOKUP(B560,ADP!A1:F671,6,FALSE)/1000000,VLOOKUP(B560,ADP!A1:F671,6,FALSE))</f>
        <v>0.88666699999999998</v>
      </c>
      <c r="I560" s="52">
        <f>IF(Settings!$E$15="POINTS",((R560*Q560)*Settings!$B$12)+(S560*Settings!$B$2)+(T560*Settings!$B$3)+(U560*Settings!$B$4)+(V560*Settings!$B$5)+(X560*Settings!$B$9)+(AA560*Settings!$B$6)+(W560*Settings!$B$8)+(AB560*Settings!$B$7)+(AC560*Settings!$B$14)+(AD560*Settings!$B$15)+(AE560*Settings!$B$16)+(AF560*Settings!$B$17)+(AG560*Settings!$B$18)+(Y560*Settings!$B$10)+(Z560*Settings!$B$11),VLOOKUP(B560,'Standard Deviations'!A$1:C$672,3,FALSE))</f>
        <v>142.7279887416434</v>
      </c>
      <c r="J560" s="53" cm="1">
        <f t="array" ref="J560">IF(D560="G",I560/AJ560,I560/Q560)</f>
        <v>2.1642668598755583</v>
      </c>
      <c r="K560" s="52" cm="1">
        <f t="array" ref="K560">IF(Settings!$E$18="C/LW/RW",VLOOKUP(B560,LW!A1:F210,6,FALSE),VLOOKUP(B560,F!A1:F407,6,FALSE))</f>
        <v>-256.58500457207668</v>
      </c>
      <c r="L560" s="54" cm="1">
        <f t="array" ref="L560">IFERROR(K560/H560,"N/A")</f>
        <v>-289.38147531381759</v>
      </c>
      <c r="M560" s="85" t="s">
        <v>832</v>
      </c>
      <c r="N560" s="85" t="str" cm="1">
        <f t="array" ref="N560">IFERROR(M560-A560,"N/A")</f>
        <v>N/A</v>
      </c>
      <c r="O560" s="55"/>
      <c r="P560" s="56" t="str" cm="1">
        <f t="array" ref="P560">_xlfn.XLOOKUP($B560,ADP!A2:A671,ADP!G2:G671)</f>
        <v xml:space="preserve"> </v>
      </c>
      <c r="Q560" s="57" cm="1">
        <f t="array" ref="Q560">IF(Settings!$E$12="YES",VLOOKUP(B560,'Player Data'!A1:E673,5,FALSE),84)</f>
        <v>65.947500000000005</v>
      </c>
      <c r="R560" s="82" cm="1">
        <f t="array" ref="R560">VLOOKUP(B560,'Player Data'!$A1:$AE673,6,FALSE)</f>
        <v>14.624377942473</v>
      </c>
      <c r="S560" s="57" cm="1">
        <f t="array" ref="S560">VLOOKUP(B560,'Player Data'!$A1:$AE673,7,FALSE)*$Q560*IFERROR((VLOOKUP(P560,Settings!$E$28:$F$33,2,FALSE)+1),1)</f>
        <v>10.283721954724211</v>
      </c>
      <c r="T560" s="57" cm="1">
        <f t="array" ref="T560">VLOOKUP(B560,'Player Data'!$A1:$AE673,8,FALSE)*$Q560*IFERROR((VLOOKUP(P560,Settings!$E$28:$F$33,2,FALSE)+1),1)</f>
        <v>13.298220903118606</v>
      </c>
      <c r="U560" s="57" cm="1">
        <f t="array" ref="U560">SUM(S560:T560)</f>
        <v>23.581942857842819</v>
      </c>
      <c r="V560" s="57" cm="1">
        <f t="array" ref="V560">VLOOKUP(B560,'Player Data'!$A1:$AE673,10,FALSE)*$Q560*IFERROR(((VLOOKUP(P560,Settings!$E$28:$F$33,2,FALSE)/2)+1),1)</f>
        <v>97.96258458409811</v>
      </c>
      <c r="W560" s="57" cm="1">
        <f t="array" ref="W560">VLOOKUP(B560,'Player Data'!$A1:$AE673,11,FALSE)*$Q560*IFERROR((VLOOKUP(P560,Settings!$E$28:$F$33,2,FALSE)+1),1)</f>
        <v>0.22699980426100569</v>
      </c>
      <c r="X560" s="57" cm="1">
        <f t="array" ref="X560">VLOOKUP(B560,'Player Data'!$A1:$AE673,12,FALSE)*$Q560*IFERROR((VLOOKUP(P560,Settings!$E$28:$F$33,2,FALSE)+1),1)</f>
        <v>0.67157236231421047</v>
      </c>
      <c r="Y560" s="57" cm="1">
        <f t="array" ref="Y560">VLOOKUP(B560,'Player Data'!$A1:$AE673,13,FALSE)*$Q560</f>
        <v>0.22232669842155056</v>
      </c>
      <c r="Z560" s="57" cm="1">
        <f t="array" ref="Z560">VLOOKUP(B560,'Player Data'!$A1:$AE673,14,FALSE)*$Q560</f>
        <v>1.4088355129029386</v>
      </c>
      <c r="AA560" s="57" cm="1">
        <f t="array" ref="AA560">VLOOKUP(B560,'Player Data'!$A1:$AE673,15,FALSE)*$Q560</f>
        <v>41.840920001697491</v>
      </c>
      <c r="AB560" s="57" cm="1">
        <f t="array" ref="AB560">VLOOKUP(B560,'Player Data'!$A1:$AE673,16,FALSE)*$Q560</f>
        <v>72.681710721687935</v>
      </c>
      <c r="AC560" s="57" cm="1">
        <f t="array" ref="AC560">VLOOKUP(B560,'Player Data'!$A1:$AE673,17,FALSE)*$Q560*IFERROR((VLOOKUP(P560,Settings!$E$28:$F$33,2,FALSE)+1),1)</f>
        <v>-10.389410949060625</v>
      </c>
      <c r="AD560" s="57" cm="1">
        <f t="array" ref="AD560">VLOOKUP(B560,'Player Data'!$A1:$AE673,18,FALSE)*$Q560</f>
        <v>11.129734463918147</v>
      </c>
      <c r="AE560" s="57" cm="1">
        <f t="array" ref="AE560">VLOOKUP(B560,'Player Data'!$A1:$AE673,19,FALSE)*$Q560*IFERROR((VLOOKUP(P560,Settings!$E$28:$F$33,2,FALSE)+1),1)</f>
        <v>1.2743333602744658</v>
      </c>
      <c r="AF560" s="57" cm="1">
        <f t="array" ref="AF560">VLOOKUP(B560,'Player Data'!$A1:$AE673,20,FALSE)*$Q560</f>
        <v>7.0934058968609159</v>
      </c>
      <c r="AG560" s="57" cm="1">
        <f t="array" ref="AG560">VLOOKUP(B560,'Player Data'!$A1:$AE673,21,FALSE)*$Q560</f>
        <v>13.100268717468751</v>
      </c>
      <c r="AH560" s="59" cm="1">
        <f t="array" ref="AH560">VLOOKUP(B560,'Player Data'!$A1:$AE673,22,FALSE)</f>
        <v>0.35126870331105198</v>
      </c>
      <c r="AI560" s="55"/>
      <c r="AJ560" s="57"/>
      <c r="AK560" s="57"/>
      <c r="AL560" s="57"/>
      <c r="AM560" s="57"/>
      <c r="AN560" s="57"/>
      <c r="AO560" s="57"/>
      <c r="AP560" s="57"/>
      <c r="AQ560" s="60"/>
      <c r="AR560" s="61"/>
      <c r="AS560" s="55"/>
    </row>
    <row r="561" spans="1:45" ht="21.25" customHeight="1" x14ac:dyDescent="0.15">
      <c r="A561" s="62">
        <f t="shared" si="8"/>
        <v>560</v>
      </c>
      <c r="B561" s="10" t="s">
        <v>689</v>
      </c>
      <c r="C561" s="47" t="s">
        <v>147</v>
      </c>
      <c r="D561" s="48" t="str" cm="1">
        <f t="array" ref="D561">VLOOKUP(B561,'Player Data'!A1:D673,4,FALSE)</f>
        <v>RW</v>
      </c>
      <c r="E561" s="64" cm="1">
        <f t="array" ref="E561">VLOOKUP(B561,RW!A1:F210,3,FALSE)</f>
        <v>160</v>
      </c>
      <c r="F561" s="69" t="str" cm="1">
        <f t="array" ref="F561">VLOOKUP(B561,'Player Data'!A1:B673,2,FALSE)</f>
        <v>MTL</v>
      </c>
      <c r="G561" s="66" cm="1">
        <f t="array" ref="G561">VLOOKUP(B561,'Player Data'!A1:D673,3,FALSE)</f>
        <v>32</v>
      </c>
      <c r="H561" s="67" cm="1">
        <f t="array" ref="H561">IFERROR(VLOOKUP(B561,ADP!A1:F671,6,FALSE)/1000000,VLOOKUP(B561,ADP!A1:F671,6,FALSE))</f>
        <v>5.5</v>
      </c>
      <c r="I561" s="52">
        <f>IF(Settings!$E$15="POINTS",((R561*Q561)*Settings!$B$12)+(S561*Settings!$B$2)+(T561*Settings!$B$3)+(U561*Settings!$B$4)+(V561*Settings!$B$5)+(X561*Settings!$B$9)+(AA561*Settings!$B$6)+(W561*Settings!$B$8)+(AB561*Settings!$B$7)+(AC561*Settings!$B$14)+(AD561*Settings!$B$15)+(AE561*Settings!$B$16)+(AF561*Settings!$B$17)+(AG561*Settings!$B$18)+(Y561*Settings!$B$10)+(Z561*Settings!$B$11),VLOOKUP(B561,'Standard Deviations'!A$1:C$672,3,FALSE))</f>
        <v>138.28564580507515</v>
      </c>
      <c r="J561" s="53" cm="1">
        <f t="array" ref="J561">IF(D561="G",I561/AJ561,I561/Q561)</f>
        <v>1.6922402888619348</v>
      </c>
      <c r="K561" s="52" cm="1">
        <f t="array" ref="K561">IF(Settings!$E$18="C/LW/RW",VLOOKUP(B561,RW!A1:F210,6,FALSE),VLOOKUP(B561,F!A1:F407,6,FALSE))</f>
        <v>-256.65781888848232</v>
      </c>
      <c r="L561" s="54" cm="1">
        <f t="array" ref="L561">IFERROR(K561/H561,"N/A")</f>
        <v>-46.665057979724061</v>
      </c>
      <c r="M561" s="85" t="s">
        <v>832</v>
      </c>
      <c r="N561" s="85" t="str" cm="1">
        <f t="array" ref="N561">IFERROR(M561-A561,"N/A")</f>
        <v>N/A</v>
      </c>
      <c r="O561" s="55"/>
      <c r="P561" s="56" t="str" cm="1">
        <f t="array" ref="P561">_xlfn.XLOOKUP($B561,ADP!A2:A671,ADP!G2:G671)</f>
        <v xml:space="preserve"> </v>
      </c>
      <c r="Q561" s="57" cm="1">
        <f t="array" ref="Q561">IF(Settings!$E$12="YES",VLOOKUP(B561,'Player Data'!A1:E673,5,FALSE),84)</f>
        <v>81.717500000000001</v>
      </c>
      <c r="R561" s="55" cm="1">
        <f t="array" ref="R561">VLOOKUP(B561,'Player Data'!$A1:$AE673,6,FALSE)</f>
        <v>13.2481546140458</v>
      </c>
      <c r="S561" s="57" cm="1">
        <f t="array" ref="S561">VLOOKUP(B561,'Player Data'!$A1:$AE673,7,FALSE)*$Q561*IFERROR((VLOOKUP(P561,Settings!$E$28:$F$33,2,FALSE)+1),1)</f>
        <v>12.103659685341576</v>
      </c>
      <c r="T561" s="57" cm="1">
        <f t="array" ref="T561">VLOOKUP(B561,'Player Data'!$A1:$AE673,8,FALSE)*$Q561*IFERROR((VLOOKUP(P561,Settings!$E$28:$F$33,2,FALSE)+1),1)</f>
        <v>9.678761631315826</v>
      </c>
      <c r="U561" s="57" cm="1">
        <f t="array" ref="U561">SUM(S561:T561)</f>
        <v>21.782421316657402</v>
      </c>
      <c r="V561" s="57" cm="1">
        <f t="array" ref="V561">VLOOKUP(B561,'Player Data'!$A1:$AE673,10,FALSE)*$Q561*IFERROR(((VLOOKUP(P561,Settings!$E$28:$F$33,2,FALSE)/2)+1),1)</f>
        <v>97.810495382837487</v>
      </c>
      <c r="W561" s="57" cm="1">
        <f t="array" ref="W561">VLOOKUP(B561,'Player Data'!$A1:$AE673,11,FALSE)*$Q561*IFERROR((VLOOKUP(P561,Settings!$E$28:$F$33,2,FALSE)+1),1)</f>
        <v>3.5264189579457449E-2</v>
      </c>
      <c r="X561" s="57" cm="1">
        <f t="array" ref="X561">VLOOKUP(B561,'Player Data'!$A1:$AE673,12,FALSE)*$Q561*IFERROR((VLOOKUP(P561,Settings!$E$28:$F$33,2,FALSE)+1),1)</f>
        <v>0.1099180969276668</v>
      </c>
      <c r="Y561" s="57" cm="1">
        <f t="array" ref="Y561">VLOOKUP(B561,'Player Data'!$A1:$AE673,13,FALSE)*$Q561</f>
        <v>1.435517511513964</v>
      </c>
      <c r="Z561" s="57" cm="1">
        <f t="array" ref="Z561">VLOOKUP(B561,'Player Data'!$A1:$AE673,14,FALSE)*$Q561</f>
        <v>2.0407388268804794</v>
      </c>
      <c r="AA561" s="57" cm="1">
        <f t="array" ref="AA561">VLOOKUP(B561,'Player Data'!$A1:$AE673,15,FALSE)*$Q561</f>
        <v>43.764954479752092</v>
      </c>
      <c r="AB561" s="57" cm="1">
        <f t="array" ref="AB561">VLOOKUP(B561,'Player Data'!$A1:$AE673,16,FALSE)*$Q561</f>
        <v>145.56434943949336</v>
      </c>
      <c r="AC561" s="57" cm="1">
        <f t="array" ref="AC561">VLOOKUP(B561,'Player Data'!$A1:$AE673,17,FALSE)*$Q561*IFERROR((VLOOKUP(P561,Settings!$E$28:$F$33,2,FALSE)+1),1)</f>
        <v>0.78978668610268032</v>
      </c>
      <c r="AD561" s="57" cm="1">
        <f t="array" ref="AD561">VLOOKUP(B561,'Player Data'!$A1:$AE673,18,FALSE)*$Q561</f>
        <v>62.864058451459066</v>
      </c>
      <c r="AE561" s="57" cm="1">
        <f t="array" ref="AE561">VLOOKUP(B561,'Player Data'!$A1:$AE673,19,FALSE)*$Q561*IFERROR((VLOOKUP(P561,Settings!$E$28:$F$33,2,FALSE)+1),1)</f>
        <v>2.0151401605501902</v>
      </c>
      <c r="AF561" s="57" cm="1">
        <f t="array" ref="AF561">VLOOKUP(B561,'Player Data'!$A1:$AE673,20,FALSE)*$Q561</f>
        <v>21.571932112449389</v>
      </c>
      <c r="AG561" s="57" cm="1">
        <f t="array" ref="AG561">VLOOKUP(B561,'Player Data'!$A1:$AE673,21,FALSE)*$Q561</f>
        <v>14.211004175343627</v>
      </c>
      <c r="AH561" s="59" cm="1">
        <f t="array" ref="AH561">VLOOKUP(B561,'Player Data'!$A1:$AE673,22,FALSE)</f>
        <v>0.60285528104658204</v>
      </c>
      <c r="AI561" s="55"/>
      <c r="AJ561" s="57"/>
      <c r="AK561" s="57"/>
      <c r="AL561" s="57"/>
      <c r="AM561" s="57"/>
      <c r="AN561" s="57"/>
      <c r="AO561" s="57"/>
      <c r="AP561" s="57"/>
      <c r="AQ561" s="60"/>
      <c r="AR561" s="61"/>
      <c r="AS561" s="55"/>
    </row>
    <row r="562" spans="1:45" ht="21.25" customHeight="1" x14ac:dyDescent="0.15">
      <c r="A562" s="62">
        <f t="shared" si="8"/>
        <v>561</v>
      </c>
      <c r="B562" s="10" t="s">
        <v>690</v>
      </c>
      <c r="C562" s="47" t="s">
        <v>147</v>
      </c>
      <c r="D562" s="48" t="str" cm="1">
        <f t="array" ref="D562">VLOOKUP(B562,'Player Data'!A1:D673,4,FALSE)</f>
        <v>C,RW</v>
      </c>
      <c r="E562" s="74" cm="1">
        <f t="array" ref="E562">VLOOKUP(B562,RW!A1:F210,3,FALSE)</f>
        <v>161</v>
      </c>
      <c r="F562" s="56" t="str" cm="1">
        <f t="array" ref="F562">VLOOKUP(B562,'Player Data'!A1:B673,2,FALSE)</f>
        <v>PHI</v>
      </c>
      <c r="G562" s="66" cm="1">
        <f t="array" ref="G562">VLOOKUP(B562,'Player Data'!A1:D673,3,FALSE)</f>
        <v>34</v>
      </c>
      <c r="H562" s="51" cm="1">
        <f t="array" ref="H562">IFERROR(VLOOKUP(B562,ADP!A1:F671,6,FALSE)/1000000,VLOOKUP(B562,ADP!A1:F671,6,FALSE))</f>
        <v>2.8</v>
      </c>
      <c r="I562" s="52">
        <f>IF(Settings!$E$15="POINTS",((R562*Q562)*Settings!$B$12)+(S562*Settings!$B$2)+(T562*Settings!$B$3)+(U562*Settings!$B$4)+(V562*Settings!$B$5)+(X562*Settings!$B$9)+(AA562*Settings!$B$6)+(W562*Settings!$B$8)+(AB562*Settings!$B$7)+(AC562*Settings!$B$14)+(AD562*Settings!$B$15)+(AE562*Settings!$B$16)+(AF562*Settings!$B$17)+(AG562*Settings!$B$18)+(Y562*Settings!$B$10)+(Z562*Settings!$B$11),VLOOKUP(B562,'Standard Deviations'!A$1:C$672,3,FALSE))</f>
        <v>138.14554770153657</v>
      </c>
      <c r="J562" s="53" cm="1">
        <f t="array" ref="J562">IF(D562="G",I562/AJ562,I562/Q562)</f>
        <v>1.7653255089328039</v>
      </c>
      <c r="K562" s="52" cm="1">
        <f t="array" ref="K562">IF(Settings!$E$18="C/LW/RW",VLOOKUP(B562,RW!A1:F210,6,FALSE),VLOOKUP(B562,F!A1:F407,6,FALSE))</f>
        <v>-256.79791699202087</v>
      </c>
      <c r="L562" s="54" cm="1">
        <f t="array" ref="L562">IFERROR(K562/H562,"N/A")</f>
        <v>-91.71354178286461</v>
      </c>
      <c r="M562" s="85" t="s">
        <v>832</v>
      </c>
      <c r="N562" s="85" t="str" cm="1">
        <f t="array" ref="N562">IFERROR(M562-A562,"N/A")</f>
        <v>N/A</v>
      </c>
      <c r="O562" s="55"/>
      <c r="P562" s="56" t="str" cm="1">
        <f t="array" ref="P562">_xlfn.XLOOKUP($B562,ADP!A2:A671,ADP!G2:G671)</f>
        <v xml:space="preserve"> </v>
      </c>
      <c r="Q562" s="57" cm="1">
        <f t="array" ref="Q562">IF(Settings!$E$12="YES",VLOOKUP(B562,'Player Data'!A1:E673,5,FALSE),84)</f>
        <v>78.254999999999995</v>
      </c>
      <c r="R562" s="55" cm="1">
        <f t="array" ref="R562">VLOOKUP(B562,'Player Data'!$A1:$AE673,6,FALSE)</f>
        <v>13.546702444568799</v>
      </c>
      <c r="S562" s="57" cm="1">
        <f t="array" ref="S562">VLOOKUP(B562,'Player Data'!$A1:$AE673,7,FALSE)*$Q562*IFERROR((VLOOKUP(P562,Settings!$E$28:$F$33,2,FALSE)+1),1)</f>
        <v>8.3664109998553755</v>
      </c>
      <c r="T562" s="57" cm="1">
        <f t="array" ref="T562">VLOOKUP(B562,'Player Data'!$A1:$AE673,8,FALSE)*$Q562*IFERROR((VLOOKUP(P562,Settings!$E$28:$F$33,2,FALSE)+1),1)</f>
        <v>9.1483444214981606</v>
      </c>
      <c r="U562" s="57" cm="1">
        <f t="array" ref="U562">SUM(S562:T562)</f>
        <v>17.514755421353534</v>
      </c>
      <c r="V562" s="57" cm="1">
        <f t="array" ref="V562">VLOOKUP(B562,'Player Data'!$A1:$AE673,10,FALSE)*$Q562*IFERROR(((VLOOKUP(P562,Settings!$E$28:$F$33,2,FALSE)/2)+1),1)</f>
        <v>92.838731575468884</v>
      </c>
      <c r="W562" s="57" cm="1">
        <f t="array" ref="W562">VLOOKUP(B562,'Player Data'!$A1:$AE673,11,FALSE)*$Q562*IFERROR((VLOOKUP(P562,Settings!$E$28:$F$33,2,FALSE)+1),1)</f>
        <v>3.2676171187983646E-2</v>
      </c>
      <c r="X562" s="57" cm="1">
        <f t="array" ref="X562">VLOOKUP(B562,'Player Data'!$A1:$AE673,12,FALSE)*$Q562*IFERROR((VLOOKUP(P562,Settings!$E$28:$F$33,2,FALSE)+1),1)</f>
        <v>7.2007328724643077E-2</v>
      </c>
      <c r="Y562" s="57" cm="1">
        <f t="array" ref="Y562">VLOOKUP(B562,'Player Data'!$A1:$AE673,13,FALSE)*$Q562</f>
        <v>9.2548650386533801E-2</v>
      </c>
      <c r="Z562" s="57" cm="1">
        <f t="array" ref="Z562">VLOOKUP(B562,'Player Data'!$A1:$AE673,14,FALSE)*$Q562</f>
        <v>0.42643286031185867</v>
      </c>
      <c r="AA562" s="57" cm="1">
        <f t="array" ref="AA562">VLOOKUP(B562,'Player Data'!$A1:$AE673,15,FALSE)*$Q562</f>
        <v>77.366950921410023</v>
      </c>
      <c r="AB562" s="57" cm="1">
        <f t="array" ref="AB562">VLOOKUP(B562,'Player Data'!$A1:$AE673,16,FALSE)*$Q562</f>
        <v>114.59126111128306</v>
      </c>
      <c r="AC562" s="57" cm="1">
        <f t="array" ref="AC562">VLOOKUP(B562,'Player Data'!$A1:$AE673,17,FALSE)*$Q562*IFERROR((VLOOKUP(P562,Settings!$E$28:$F$33,2,FALSE)+1),1)</f>
        <v>-0.2443965868515823</v>
      </c>
      <c r="AD562" s="57" cm="1">
        <f t="array" ref="AD562">VLOOKUP(B562,'Player Data'!$A1:$AE673,18,FALSE)*$Q562</f>
        <v>18.603280088004073</v>
      </c>
      <c r="AE562" s="57" cm="1">
        <f t="array" ref="AE562">VLOOKUP(B562,'Player Data'!$A1:$AE673,19,FALSE)*$Q562*IFERROR((VLOOKUP(P562,Settings!$E$28:$F$33,2,FALSE)+1),1)</f>
        <v>1.3221854207489616</v>
      </c>
      <c r="AF562" s="57" cm="1">
        <f t="array" ref="AF562">VLOOKUP(B562,'Player Data'!$A1:$AE673,20,FALSE)*$Q562</f>
        <v>364.69556127854435</v>
      </c>
      <c r="AG562" s="57" cm="1">
        <f t="array" ref="AG562">VLOOKUP(B562,'Player Data'!$A1:$AE673,21,FALSE)*$Q562</f>
        <v>322.23202448848519</v>
      </c>
      <c r="AH562" s="59" cm="1">
        <f t="array" ref="AH562">VLOOKUP(B562,'Player Data'!$A1:$AE673,22,FALSE)</f>
        <v>0.53090830654489096</v>
      </c>
      <c r="AI562" s="55"/>
      <c r="AJ562" s="57"/>
      <c r="AK562" s="57"/>
      <c r="AL562" s="57"/>
      <c r="AM562" s="57"/>
      <c r="AN562" s="57"/>
      <c r="AO562" s="57"/>
      <c r="AP562" s="57"/>
      <c r="AQ562" s="60"/>
      <c r="AR562" s="61"/>
      <c r="AS562" s="55"/>
    </row>
    <row r="563" spans="1:45" ht="21.25" customHeight="1" x14ac:dyDescent="0.15">
      <c r="A563" s="62">
        <f t="shared" si="8"/>
        <v>562</v>
      </c>
      <c r="B563" s="10" t="s">
        <v>691</v>
      </c>
      <c r="C563" s="47" t="s">
        <v>147</v>
      </c>
      <c r="D563" s="48" t="str" cm="1">
        <f t="array" ref="D563">VLOOKUP(B563,'Player Data'!A1:D673,4,FALSE)</f>
        <v>C</v>
      </c>
      <c r="E563" s="49" cm="1">
        <f t="array" ref="E563">VLOOKUP(B563,'C'!A1:C210,3,FALSE)</f>
        <v>166</v>
      </c>
      <c r="F563" s="63" t="str" cm="1">
        <f t="array" ref="F563">VLOOKUP(B563,'Player Data'!A1:B673,2,FALSE)</f>
        <v>EDM</v>
      </c>
      <c r="G563" s="66" cm="1">
        <f t="array" ref="G563">VLOOKUP(B563,'Player Data'!A1:D673,3,FALSE)</f>
        <v>31</v>
      </c>
      <c r="H563" s="51" cm="1">
        <f t="array" ref="H563">IFERROR(VLOOKUP(B563,ADP!A1:F671,6,FALSE)/1000000,VLOOKUP(B563,ADP!A1:F671,6,FALSE))</f>
        <v>4</v>
      </c>
      <c r="I563" s="52">
        <f>IF(Settings!$E$15="POINTS",((R563*Q563)*Settings!$B$12)+(S563*Settings!$B$2)+(T563*Settings!$B$3)+(U563*Settings!$B$4)+(V563*Settings!$B$5)+(X563*Settings!$B$9)+(AA563*Settings!$B$6)+(W563*Settings!$B$8)+(AB563*Settings!$B$7)+(AC563*Settings!$B$14)+(AD563*Settings!$B$15)+(AE563*Settings!$B$16)+(AF563*Settings!$B$17)+(AG563*Settings!$B$18)+(Y563*Settings!$B$10)+(Z563*Settings!$B$11),VLOOKUP(B563,'Standard Deviations'!A$1:C$672,3,FALSE))</f>
        <v>128.52772509296017</v>
      </c>
      <c r="J563" s="53" cm="1">
        <f t="array" ref="J563">IF(D563="G",I563/AJ563,I563/Q563)</f>
        <v>1.654739130232195</v>
      </c>
      <c r="K563" s="52" cm="1">
        <f t="array" ref="K563">IF(Settings!$E$18="C/LW/RW",VLOOKUP(B563,'C'!A1:F210,6,FALSE),VLOOKUP(B563,F!A1:F407,6,FALSE))</f>
        <v>-258.00748130012283</v>
      </c>
      <c r="L563" s="54" cm="1">
        <f t="array" ref="L563">IFERROR(K563/H563,"N/A")</f>
        <v>-64.501870325030708</v>
      </c>
      <c r="M563" s="85" t="s">
        <v>832</v>
      </c>
      <c r="N563" s="85" t="str" cm="1">
        <f t="array" ref="N563">IFERROR(M563-A563,"N/A")</f>
        <v>N/A</v>
      </c>
      <c r="O563" s="55"/>
      <c r="P563" s="56" t="str" cm="1">
        <f t="array" ref="P563">_xlfn.XLOOKUP($B563,ADP!A2:A671,ADP!G2:G671)</f>
        <v xml:space="preserve"> </v>
      </c>
      <c r="Q563" s="57" cm="1">
        <f t="array" ref="Q563">IF(Settings!$E$12="YES",VLOOKUP(B563,'Player Data'!A1:E673,5,FALSE),84)</f>
        <v>77.672499999999999</v>
      </c>
      <c r="R563" s="84" cm="1">
        <f t="array" ref="R563">VLOOKUP(B563,'Player Data'!$A1:$AE673,6,FALSE)</f>
        <v>13.5813807354898</v>
      </c>
      <c r="S563" s="57" cm="1">
        <f t="array" ref="S563">VLOOKUP(B563,'Player Data'!$A1:$AE673,7,FALSE)*$Q563*IFERROR((VLOOKUP(P563,Settings!$E$28:$F$33,2,FALSE)+1),1)</f>
        <v>9.6308115692046101</v>
      </c>
      <c r="T563" s="57" cm="1">
        <f t="array" ref="T563">VLOOKUP(B563,'Player Data'!$A1:$AE673,8,FALSE)*$Q563*IFERROR((VLOOKUP(P563,Settings!$E$28:$F$33,2,FALSE)+1),1)</f>
        <v>10.602487180502628</v>
      </c>
      <c r="U563" s="57" cm="1">
        <f t="array" ref="U563">SUM(S563:T563)</f>
        <v>20.233298749707238</v>
      </c>
      <c r="V563" s="57" cm="1">
        <f t="array" ref="V563">VLOOKUP(B563,'Player Data'!$A1:$AE673,10,FALSE)*$Q563*IFERROR(((VLOOKUP(P563,Settings!$E$28:$F$33,2,FALSE)/2)+1),1)</f>
        <v>78.741959394758069</v>
      </c>
      <c r="W563" s="57" cm="1">
        <f t="array" ref="W563">VLOOKUP(B563,'Player Data'!$A1:$AE673,11,FALSE)*$Q563*IFERROR((VLOOKUP(P563,Settings!$E$28:$F$33,2,FALSE)+1),1)</f>
        <v>0.10378832757840736</v>
      </c>
      <c r="X563" s="57" cm="1">
        <f t="array" ref="X563">VLOOKUP(B563,'Player Data'!$A1:$AE673,12,FALSE)*$Q563*IFERROR((VLOOKUP(P563,Settings!$E$28:$F$33,2,FALSE)+1),1)</f>
        <v>0.16630772096796106</v>
      </c>
      <c r="Y563" s="57" cm="1">
        <f t="array" ref="Y563">VLOOKUP(B563,'Player Data'!$A1:$AE673,13,FALSE)*$Q563</f>
        <v>0.61594512709620797</v>
      </c>
      <c r="Z563" s="57" cm="1">
        <f t="array" ref="Z563">VLOOKUP(B563,'Player Data'!$A1:$AE673,14,FALSE)*$Q563</f>
        <v>1.2034769820730133</v>
      </c>
      <c r="AA563" s="57" cm="1">
        <f t="array" ref="AA563">VLOOKUP(B563,'Player Data'!$A1:$AE673,15,FALSE)*$Q563</f>
        <v>54.17412888683689</v>
      </c>
      <c r="AB563" s="57" cm="1">
        <f t="array" ref="AB563">VLOOKUP(B563,'Player Data'!$A1:$AE673,16,FALSE)*$Q563</f>
        <v>101.41092469756451</v>
      </c>
      <c r="AC563" s="57" cm="1">
        <f t="array" ref="AC563">VLOOKUP(B563,'Player Data'!$A1:$AE673,17,FALSE)*$Q563*IFERROR((VLOOKUP(P563,Settings!$E$28:$F$33,2,FALSE)+1),1)</f>
        <v>4.4224700475578507</v>
      </c>
      <c r="AD563" s="57" cm="1">
        <f t="array" ref="AD563">VLOOKUP(B563,'Player Data'!$A1:$AE673,18,FALSE)*$Q563</f>
        <v>25.419753649203887</v>
      </c>
      <c r="AE563" s="57" cm="1">
        <f t="array" ref="AE563">VLOOKUP(B563,'Player Data'!$A1:$AE673,19,FALSE)*$Q563*IFERROR((VLOOKUP(P563,Settings!$E$28:$F$33,2,FALSE)+1),1)</f>
        <v>1.6906076322238124</v>
      </c>
      <c r="AF563" s="57" cm="1">
        <f t="array" ref="AF563">VLOOKUP(B563,'Player Data'!$A1:$AE673,20,FALSE)*$Q563</f>
        <v>475.60600755020687</v>
      </c>
      <c r="AG563" s="57" cm="1">
        <f t="array" ref="AG563">VLOOKUP(B563,'Player Data'!$A1:$AE673,21,FALSE)*$Q563</f>
        <v>483.88624365276996</v>
      </c>
      <c r="AH563" s="59" cm="1">
        <f t="array" ref="AH563">VLOOKUP(B563,'Player Data'!$A1:$AE673,22,FALSE)</f>
        <v>0.49568509485502299</v>
      </c>
      <c r="AI563" s="55"/>
      <c r="AJ563" s="57"/>
      <c r="AK563" s="57"/>
      <c r="AL563" s="57"/>
      <c r="AM563" s="57"/>
      <c r="AN563" s="57"/>
      <c r="AO563" s="57"/>
      <c r="AP563" s="57"/>
      <c r="AQ563" s="60"/>
      <c r="AR563" s="61"/>
      <c r="AS563" s="55"/>
    </row>
    <row r="564" spans="1:45" ht="21.25" customHeight="1" x14ac:dyDescent="0.15">
      <c r="A564" s="62">
        <f t="shared" si="8"/>
        <v>563</v>
      </c>
      <c r="B564" s="10" t="s">
        <v>692</v>
      </c>
      <c r="C564" s="47" t="s">
        <v>147</v>
      </c>
      <c r="D564" s="48" t="str" cm="1">
        <f t="array" ref="D564">VLOOKUP(B564,'Player Data'!A1:D673,4,FALSE)</f>
        <v>LW</v>
      </c>
      <c r="E564" s="75" cm="1">
        <f t="array" ref="E564">VLOOKUP(B564,LW!A1:C210,3,FALSE)</f>
        <v>156</v>
      </c>
      <c r="F564" s="56" t="str" cm="1">
        <f t="array" ref="F564">VLOOKUP(B564,'Player Data'!A1:B673,2,FALSE)</f>
        <v>UTA</v>
      </c>
      <c r="G564" s="11" cm="1">
        <f t="array" ref="G564">VLOOKUP(B564,'Player Data'!A1:D673,3,FALSE)</f>
        <v>30</v>
      </c>
      <c r="H564" s="51" cm="1">
        <f t="array" ref="H564">IFERROR(VLOOKUP(B564,ADP!A1:F671,6,FALSE)/1000000,VLOOKUP(B564,ADP!A1:F671,6,FALSE))</f>
        <v>1.75</v>
      </c>
      <c r="I564" s="52">
        <f>IF(Settings!$E$15="POINTS",((R564*Q564)*Settings!$B$12)+(S564*Settings!$B$2)+(T564*Settings!$B$3)+(U564*Settings!$B$4)+(V564*Settings!$B$5)+(X564*Settings!$B$9)+(AA564*Settings!$B$6)+(W564*Settings!$B$8)+(AB564*Settings!$B$7)+(AC564*Settings!$B$14)+(AD564*Settings!$B$15)+(AE564*Settings!$B$16)+(AF564*Settings!$B$17)+(AG564*Settings!$B$18)+(Y564*Settings!$B$10)+(Z564*Settings!$B$11),VLOOKUP(B564,'Standard Deviations'!A$1:C$672,3,FALSE))</f>
        <v>140.99538810386863</v>
      </c>
      <c r="J564" s="53" cm="1">
        <f t="array" ref="J564">IF(D564="G",I564/AJ564,I564/Q564)</f>
        <v>1.7913275073544486</v>
      </c>
      <c r="K564" s="52" cm="1">
        <f t="array" ref="K564">IF(Settings!$E$18="C/LW/RW",VLOOKUP(B564,LW!A1:F210,6,FALSE),VLOOKUP(B564,F!A1:F407,6,FALSE))</f>
        <v>-258.31760520985142</v>
      </c>
      <c r="L564" s="54" cm="1">
        <f t="array" ref="L564">IFERROR(K564/H564,"N/A")</f>
        <v>-147.61006011991509</v>
      </c>
      <c r="M564" s="85" t="s">
        <v>832</v>
      </c>
      <c r="N564" s="85" t="str" cm="1">
        <f t="array" ref="N564">IFERROR(M564-A564,"N/A")</f>
        <v>N/A</v>
      </c>
      <c r="O564" s="55"/>
      <c r="P564" s="56" t="str" cm="1">
        <f t="array" ref="P564">_xlfn.XLOOKUP($B564,ADP!A2:A671,ADP!G2:G671)</f>
        <v xml:space="preserve"> </v>
      </c>
      <c r="Q564" s="57" cm="1">
        <f t="array" ref="Q564">IF(Settings!$E$12="YES",VLOOKUP(B564,'Player Data'!A1:E673,5,FALSE),84)</f>
        <v>78.709999999999994</v>
      </c>
      <c r="R564" s="84" cm="1">
        <f t="array" ref="R564">VLOOKUP(B564,'Player Data'!$A1:$AE673,6,FALSE)</f>
        <v>11.1021789273544</v>
      </c>
      <c r="S564" s="57" cm="1">
        <f t="array" ref="S564">VLOOKUP(B564,'Player Data'!$A1:$AE673,7,FALSE)*$Q564*IFERROR((VLOOKUP(P564,Settings!$E$28:$F$33,2,FALSE)+1),1)</f>
        <v>12.145373767085799</v>
      </c>
      <c r="T564" s="57" cm="1">
        <f t="array" ref="T564">VLOOKUP(B564,'Player Data'!$A1:$AE673,8,FALSE)*$Q564*IFERROR((VLOOKUP(P564,Settings!$E$28:$F$33,2,FALSE)+1),1)</f>
        <v>12.048285126697085</v>
      </c>
      <c r="U564" s="57" cm="1">
        <f t="array" ref="U564">SUM(S564:T564)</f>
        <v>24.193658893782882</v>
      </c>
      <c r="V564" s="57" cm="1">
        <f t="array" ref="V564">VLOOKUP(B564,'Player Data'!$A1:$AE673,10,FALSE)*$Q564*IFERROR(((VLOOKUP(P564,Settings!$E$28:$F$33,2,FALSE)/2)+1),1)</f>
        <v>116.04365597931394</v>
      </c>
      <c r="W564" s="57" cm="1">
        <f t="array" ref="W564">VLOOKUP(B564,'Player Data'!$A1:$AE673,11,FALSE)*$Q564*IFERROR((VLOOKUP(P564,Settings!$E$28:$F$33,2,FALSE)+1),1)</f>
        <v>0.60864865789934164</v>
      </c>
      <c r="X564" s="57" cm="1">
        <f t="array" ref="X564">VLOOKUP(B564,'Player Data'!$A1:$AE673,12,FALSE)*$Q564*IFERROR((VLOOKUP(P564,Settings!$E$28:$F$33,2,FALSE)+1),1)</f>
        <v>1.1368563188389327</v>
      </c>
      <c r="Y564" s="57" cm="1">
        <f t="array" ref="Y564">VLOOKUP(B564,'Player Data'!$A1:$AE673,13,FALSE)*$Q564</f>
        <v>3.802363815582673E-3</v>
      </c>
      <c r="Z564" s="57" cm="1">
        <f t="array" ref="Z564">VLOOKUP(B564,'Player Data'!$A1:$AE673,14,FALSE)*$Q564</f>
        <v>4.7625559331466328E-3</v>
      </c>
      <c r="AA564" s="57" cm="1">
        <f t="array" ref="AA564">VLOOKUP(B564,'Player Data'!$A1:$AE673,15,FALSE)*$Q564</f>
        <v>18.501929116181824</v>
      </c>
      <c r="AB564" s="57" cm="1">
        <f t="array" ref="AB564">VLOOKUP(B564,'Player Data'!$A1:$AE673,16,FALSE)*$Q564</f>
        <v>118.1338404723947</v>
      </c>
      <c r="AC564" s="57" cm="1">
        <f t="array" ref="AC564">VLOOKUP(B564,'Player Data'!$A1:$AE673,17,FALSE)*$Q564*IFERROR((VLOOKUP(P564,Settings!$E$28:$F$33,2,FALSE)+1),1)</f>
        <v>1.524813676741565</v>
      </c>
      <c r="AD564" s="57" cm="1">
        <f t="array" ref="AD564">VLOOKUP(B564,'Player Data'!$A1:$AE673,18,FALSE)*$Q564</f>
        <v>22.78833511109783</v>
      </c>
      <c r="AE564" s="57" cm="1">
        <f t="array" ref="AE564">VLOOKUP(B564,'Player Data'!$A1:$AE673,19,FALSE)*$Q564*IFERROR((VLOOKUP(P564,Settings!$E$28:$F$33,2,FALSE)+1),1)</f>
        <v>1.9632341659510784</v>
      </c>
      <c r="AF564" s="57" cm="1">
        <f t="array" ref="AF564">VLOOKUP(B564,'Player Data'!$A1:$AE673,20,FALSE)*$Q564</f>
        <v>10.277715027225252</v>
      </c>
      <c r="AG564" s="57" cm="1">
        <f t="array" ref="AG564">VLOOKUP(B564,'Player Data'!$A1:$AE673,21,FALSE)*$Q564</f>
        <v>13.710394994661476</v>
      </c>
      <c r="AH564" s="59" cm="1">
        <f t="array" ref="AH564">VLOOKUP(B564,'Player Data'!$A1:$AE673,22,FALSE)</f>
        <v>0.428450387206323</v>
      </c>
      <c r="AI564" s="55"/>
      <c r="AJ564" s="57"/>
      <c r="AK564" s="57"/>
      <c r="AL564" s="57"/>
      <c r="AM564" s="57"/>
      <c r="AN564" s="57"/>
      <c r="AO564" s="57"/>
      <c r="AP564" s="57"/>
      <c r="AQ564" s="60"/>
      <c r="AR564" s="61"/>
      <c r="AS564" s="55"/>
    </row>
    <row r="565" spans="1:45" ht="21.25" customHeight="1" x14ac:dyDescent="0.15">
      <c r="A565" s="62">
        <f t="shared" si="8"/>
        <v>564</v>
      </c>
      <c r="B565" s="10" t="s">
        <v>693</v>
      </c>
      <c r="C565" s="47" t="s">
        <v>147</v>
      </c>
      <c r="D565" s="48" t="str" cm="1">
        <f t="array" ref="D565">VLOOKUP(B565,'Player Data'!A1:D673,4,FALSE)</f>
        <v>C,RW</v>
      </c>
      <c r="E565" s="74" cm="1">
        <f t="array" ref="E565">VLOOKUP(B565,RW!A1:F210,3,FALSE)</f>
        <v>162</v>
      </c>
      <c r="F565" s="72" t="str" cm="1">
        <f t="array" ref="F565">VLOOKUP(B565,'Player Data'!A1:B673,2,FALSE)</f>
        <v>BOS</v>
      </c>
      <c r="G565" s="11" cm="1">
        <f t="array" ref="G565">VLOOKUP(B565,'Player Data'!A1:D673,3,FALSE)</f>
        <v>27</v>
      </c>
      <c r="H565" s="51" cm="1">
        <f t="array" ref="H565">IFERROR(VLOOKUP(B565,ADP!A1:F671,6,FALSE)/1000000,VLOOKUP(B565,ADP!A1:F671,6,FALSE))</f>
        <v>1.5660000000000001</v>
      </c>
      <c r="I565" s="52">
        <f>IF(Settings!$E$15="POINTS",((R565*Q565)*Settings!$B$12)+(S565*Settings!$B$2)+(T565*Settings!$B$3)+(U565*Settings!$B$4)+(V565*Settings!$B$5)+(X565*Settings!$B$9)+(AA565*Settings!$B$6)+(W565*Settings!$B$8)+(AB565*Settings!$B$7)+(AC565*Settings!$B$14)+(AD565*Settings!$B$15)+(AE565*Settings!$B$16)+(AF565*Settings!$B$17)+(AG565*Settings!$B$18)+(Y565*Settings!$B$10)+(Z565*Settings!$B$11),VLOOKUP(B565,'Standard Deviations'!A$1:C$672,3,FALSE))</f>
        <v>136.62365834937853</v>
      </c>
      <c r="J565" s="53" cm="1">
        <f t="array" ref="J565">IF(D565="G",I565/AJ565,I565/Q565)</f>
        <v>1.7241210000868035</v>
      </c>
      <c r="K565" s="52" cm="1">
        <f t="array" ref="K565">IF(Settings!$E$18="C/LW/RW",VLOOKUP(B565,RW!A1:F210,6,FALSE),VLOOKUP(B565,F!A1:F407,6,FALSE))</f>
        <v>-258.31980634417891</v>
      </c>
      <c r="L565" s="54" cm="1">
        <f t="array" ref="L565">IFERROR(K565/H565,"N/A")</f>
        <v>-164.95517646499292</v>
      </c>
      <c r="M565" s="85" t="s">
        <v>832</v>
      </c>
      <c r="N565" s="85" t="str" cm="1">
        <f t="array" ref="N565">IFERROR(M565-A565,"N/A")</f>
        <v>N/A</v>
      </c>
      <c r="O565" s="55"/>
      <c r="P565" s="56" t="str" cm="1">
        <f t="array" ref="P565">_xlfn.XLOOKUP($B565,ADP!A2:A671,ADP!G2:G671)</f>
        <v xml:space="preserve"> </v>
      </c>
      <c r="Q565" s="57" cm="1">
        <f t="array" ref="Q565">IF(Settings!$E$12="YES",VLOOKUP(B565,'Player Data'!A1:E673,5,FALSE),84)</f>
        <v>79.242500000000007</v>
      </c>
      <c r="R565" s="55" cm="1">
        <f t="array" ref="R565">VLOOKUP(B565,'Player Data'!$A1:$AE673,6,FALSE)</f>
        <v>12.312843927210301</v>
      </c>
      <c r="S565" s="57" cm="1">
        <f t="array" ref="S565">VLOOKUP(B565,'Player Data'!$A1:$AE673,7,FALSE)*$Q565*IFERROR((VLOOKUP(P565,Settings!$E$28:$F$33,2,FALSE)+1),1)</f>
        <v>9.5869369894479419</v>
      </c>
      <c r="T565" s="57" cm="1">
        <f t="array" ref="T565">VLOOKUP(B565,'Player Data'!$A1:$AE673,8,FALSE)*$Q565*IFERROR((VLOOKUP(P565,Settings!$E$28:$F$33,2,FALSE)+1),1)</f>
        <v>9.9756825793648876</v>
      </c>
      <c r="U565" s="57" cm="1">
        <f t="array" ref="U565">SUM(S565:T565)</f>
        <v>19.562619568812828</v>
      </c>
      <c r="V565" s="57" cm="1">
        <f t="array" ref="V565">VLOOKUP(B565,'Player Data'!$A1:$AE673,10,FALSE)*$Q565*IFERROR(((VLOOKUP(P565,Settings!$E$28:$F$33,2,FALSE)/2)+1),1)</f>
        <v>96.535550356758264</v>
      </c>
      <c r="W565" s="57" cm="1">
        <f t="array" ref="W565">VLOOKUP(B565,'Player Data'!$A1:$AE673,11,FALSE)*$Q565*IFERROR((VLOOKUP(P565,Settings!$E$28:$F$33,2,FALSE)+1),1)</f>
        <v>3.7268201427244921E-2</v>
      </c>
      <c r="X565" s="57" cm="1">
        <f t="array" ref="X565">VLOOKUP(B565,'Player Data'!$A1:$AE673,12,FALSE)*$Q565*IFERROR((VLOOKUP(P565,Settings!$E$28:$F$33,2,FALSE)+1),1)</f>
        <v>0.13388750204303845</v>
      </c>
      <c r="Y565" s="57" cm="1">
        <f t="array" ref="Y565">VLOOKUP(B565,'Player Data'!$A1:$AE673,13,FALSE)*$Q565</f>
        <v>0.77578797778916142</v>
      </c>
      <c r="Z565" s="57" cm="1">
        <f t="array" ref="Z565">VLOOKUP(B565,'Player Data'!$A1:$AE673,14,FALSE)*$Q565</f>
        <v>0.89281732560842331</v>
      </c>
      <c r="AA565" s="57" cm="1">
        <f t="array" ref="AA565">VLOOKUP(B565,'Player Data'!$A1:$AE673,15,FALSE)*$Q565</f>
        <v>57.282639273818909</v>
      </c>
      <c r="AB565" s="57" cm="1">
        <f t="array" ref="AB565">VLOOKUP(B565,'Player Data'!$A1:$AE673,16,FALSE)*$Q565</f>
        <v>208.50915749285943</v>
      </c>
      <c r="AC565" s="57" cm="1">
        <f t="array" ref="AC565">VLOOKUP(B565,'Player Data'!$A1:$AE673,17,FALSE)*$Q565*IFERROR((VLOOKUP(P565,Settings!$E$28:$F$33,2,FALSE)+1),1)</f>
        <v>-2.2281908731458695</v>
      </c>
      <c r="AD565" s="57" cm="1">
        <f t="array" ref="AD565">VLOOKUP(B565,'Player Data'!$A1:$AE673,18,FALSE)*$Q565</f>
        <v>82.34372671674619</v>
      </c>
      <c r="AE565" s="57" cm="1">
        <f t="array" ref="AE565">VLOOKUP(B565,'Player Data'!$A1:$AE673,19,FALSE)*$Q565*IFERROR((VLOOKUP(P565,Settings!$E$28:$F$33,2,FALSE)+1),1)</f>
        <v>1.2906095684983978</v>
      </c>
      <c r="AF565" s="57" cm="1">
        <f t="array" ref="AF565">VLOOKUP(B565,'Player Data'!$A1:$AE673,20,FALSE)*$Q565</f>
        <v>316.16964386383074</v>
      </c>
      <c r="AG565" s="57" cm="1">
        <f t="array" ref="AG565">VLOOKUP(B565,'Player Data'!$A1:$AE673,21,FALSE)*$Q565</f>
        <v>230.26038742986913</v>
      </c>
      <c r="AH565" s="59" cm="1">
        <f t="array" ref="AH565">VLOOKUP(B565,'Player Data'!$A1:$AE673,22,FALSE)</f>
        <v>0.57860956711197498</v>
      </c>
      <c r="AI565" s="55"/>
      <c r="AJ565" s="57"/>
      <c r="AK565" s="57"/>
      <c r="AL565" s="57"/>
      <c r="AM565" s="57"/>
      <c r="AN565" s="57"/>
      <c r="AO565" s="57"/>
      <c r="AP565" s="57"/>
      <c r="AQ565" s="60"/>
      <c r="AR565" s="61"/>
      <c r="AS565" s="55"/>
    </row>
    <row r="566" spans="1:45" ht="21.25" customHeight="1" x14ac:dyDescent="0.15">
      <c r="A566" s="62">
        <f t="shared" si="8"/>
        <v>565</v>
      </c>
      <c r="B566" s="10" t="s">
        <v>694</v>
      </c>
      <c r="C566" s="47" t="s">
        <v>147</v>
      </c>
      <c r="D566" s="48" t="str" cm="1">
        <f t="array" ref="D566">VLOOKUP(B566,'Player Data'!A1:D673,4,FALSE)</f>
        <v>LW</v>
      </c>
      <c r="E566" s="75" cm="1">
        <f t="array" ref="E566">VLOOKUP(B566,LW!A1:C210,3,FALSE)</f>
        <v>157</v>
      </c>
      <c r="F566" s="56" t="str" cm="1">
        <f t="array" ref="F566">VLOOKUP(B566,'Player Data'!A1:B673,2,FALSE)</f>
        <v>PHI</v>
      </c>
      <c r="G566" s="71" cm="1">
        <f t="array" ref="G566">VLOOKUP(B566,'Player Data'!A1:D673,3,FALSE)</f>
        <v>22</v>
      </c>
      <c r="H566" s="51" cm="1">
        <f t="array" ref="H566">IFERROR(VLOOKUP(B566,ADP!A1:F671,6,FALSE)/1000000,VLOOKUP(B566,ADP!A1:F671,6,FALSE))</f>
        <v>0.95</v>
      </c>
      <c r="I566" s="52">
        <f>IF(Settings!$E$15="POINTS",((R566*Q566)*Settings!$B$12)+(S566*Settings!$B$2)+(T566*Settings!$B$3)+(U566*Settings!$B$4)+(V566*Settings!$B$5)+(X566*Settings!$B$9)+(AA566*Settings!$B$6)+(W566*Settings!$B$8)+(AB566*Settings!$B$7)+(AC566*Settings!$B$14)+(AD566*Settings!$B$15)+(AE566*Settings!$B$16)+(AF566*Settings!$B$17)+(AG566*Settings!$B$18)+(Y566*Settings!$B$10)+(Z566*Settings!$B$11),VLOOKUP(B566,'Standard Deviations'!A$1:C$672,3,FALSE))</f>
        <v>140.8189790372231</v>
      </c>
      <c r="J566" s="53" cm="1">
        <f t="array" ref="J566">IF(D566="G",I566/AJ566,I566/Q566)</f>
        <v>2.1017758065257177</v>
      </c>
      <c r="K566" s="52" cm="1">
        <f t="array" ref="K566">IF(Settings!$E$18="C/LW/RW",VLOOKUP(B566,LW!A1:F210,6,FALSE),VLOOKUP(B566,F!A1:F407,6,FALSE))</f>
        <v>-258.49401427649696</v>
      </c>
      <c r="L566" s="54" cm="1">
        <f t="array" ref="L566">IFERROR(K566/H566,"N/A")</f>
        <v>-272.09896239631257</v>
      </c>
      <c r="M566" s="85" t="s">
        <v>832</v>
      </c>
      <c r="N566" s="85" t="str" cm="1">
        <f t="array" ref="N566">IFERROR(M566-A566,"N/A")</f>
        <v>N/A</v>
      </c>
      <c r="O566" s="55"/>
      <c r="P566" s="56" t="str" cm="1">
        <f t="array" ref="P566">_xlfn.XLOOKUP($B566,ADP!A2:A671,ADP!G2:G671)</f>
        <v xml:space="preserve"> </v>
      </c>
      <c r="Q566" s="57" cm="1">
        <f t="array" ref="Q566">IF(Settings!$E$12="YES",VLOOKUP(B566,'Player Data'!A1:E673,5,FALSE),84)</f>
        <v>67</v>
      </c>
      <c r="R566" s="55" cm="1">
        <f t="array" ref="R566">VLOOKUP(B566,'Player Data'!$A1:$AE673,6,FALSE)</f>
        <v>12.1732900580456</v>
      </c>
      <c r="S566" s="57" cm="1">
        <f t="array" ref="S566">VLOOKUP(B566,'Player Data'!$A1:$AE673,7,FALSE)*$Q566*IFERROR((VLOOKUP(P566,Settings!$E$28:$F$33,2,FALSE)+1),1)</f>
        <v>13.659237223205752</v>
      </c>
      <c r="T566" s="57" cm="1">
        <f t="array" ref="T566">VLOOKUP(B566,'Player Data'!$A1:$AE673,8,FALSE)*$Q566*IFERROR((VLOOKUP(P566,Settings!$E$28:$F$33,2,FALSE)+1),1)</f>
        <v>14.346728778044641</v>
      </c>
      <c r="U566" s="57" cm="1">
        <f t="array" ref="U566">SUM(S566:T566)</f>
        <v>28.005966001250393</v>
      </c>
      <c r="V566" s="57" cm="1">
        <f t="array" ref="V566">VLOOKUP(B566,'Player Data'!$A1:$AE673,10,FALSE)*$Q566*IFERROR(((VLOOKUP(P566,Settings!$E$28:$F$33,2,FALSE)/2)+1),1)</f>
        <v>84.27332633645554</v>
      </c>
      <c r="W566" s="57" cm="1">
        <f t="array" ref="W566">VLOOKUP(B566,'Player Data'!$A1:$AE673,11,FALSE)*$Q566*IFERROR((VLOOKUP(P566,Settings!$E$28:$F$33,2,FALSE)+1),1)</f>
        <v>0.39767144941704419</v>
      </c>
      <c r="X566" s="57" cm="1">
        <f t="array" ref="X566">VLOOKUP(B566,'Player Data'!$A1:$AE673,12,FALSE)*$Q566*IFERROR((VLOOKUP(P566,Settings!$E$28:$F$33,2,FALSE)+1),1)</f>
        <v>0.92706984604936371</v>
      </c>
      <c r="Y566" s="57" cm="1">
        <f t="array" ref="Y566">VLOOKUP(B566,'Player Data'!$A1:$AE673,13,FALSE)*$Q566</f>
        <v>1.1290051039946137E-2</v>
      </c>
      <c r="Z566" s="57" cm="1">
        <f t="array" ref="Z566">VLOOKUP(B566,'Player Data'!$A1:$AE673,14,FALSE)*$Q566</f>
        <v>1.8569476578167307E-2</v>
      </c>
      <c r="AA566" s="57" cm="1">
        <f t="array" ref="AA566">VLOOKUP(B566,'Player Data'!$A1:$AE673,15,FALSE)*$Q566</f>
        <v>27.437557085233248</v>
      </c>
      <c r="AB566" s="57" cm="1">
        <f t="array" ref="AB566">VLOOKUP(B566,'Player Data'!$A1:$AE673,16,FALSE)*$Q566</f>
        <v>64.314228565326061</v>
      </c>
      <c r="AC566" s="57" cm="1">
        <f t="array" ref="AC566">VLOOKUP(B566,'Player Data'!$A1:$AE673,17,FALSE)*$Q566*IFERROR((VLOOKUP(P566,Settings!$E$28:$F$33,2,FALSE)+1),1)</f>
        <v>0.76450753697601781</v>
      </c>
      <c r="AD566" s="57" cm="1">
        <f t="array" ref="AD566">VLOOKUP(B566,'Player Data'!$A1:$AE673,18,FALSE)*$Q566</f>
        <v>16.789921809516208</v>
      </c>
      <c r="AE566" s="57" cm="1">
        <f t="array" ref="AE566">VLOOKUP(B566,'Player Data'!$A1:$AE673,19,FALSE)*$Q566*IFERROR((VLOOKUP(P566,Settings!$E$28:$F$33,2,FALSE)+1),1)</f>
        <v>2.1586369968420644</v>
      </c>
      <c r="AF566" s="57" cm="1">
        <f t="array" ref="AF566">VLOOKUP(B566,'Player Data'!$A1:$AE673,20,FALSE)*$Q566</f>
        <v>0</v>
      </c>
      <c r="AG566" s="57" cm="1">
        <f t="array" ref="AG566">VLOOKUP(B566,'Player Data'!$A1:$AE673,21,FALSE)*$Q566</f>
        <v>7.5906043172550248</v>
      </c>
      <c r="AH566" s="59" cm="1">
        <f t="array" ref="AH566">VLOOKUP(B566,'Player Data'!$A1:$AE673,22,FALSE)</f>
        <v>0</v>
      </c>
      <c r="AI566" s="55"/>
      <c r="AJ566" s="57"/>
      <c r="AK566" s="57"/>
      <c r="AL566" s="57"/>
      <c r="AM566" s="57"/>
      <c r="AN566" s="57"/>
      <c r="AO566" s="57"/>
      <c r="AP566" s="57"/>
      <c r="AQ566" s="60"/>
      <c r="AR566" s="61"/>
      <c r="AS566" s="55"/>
    </row>
    <row r="567" spans="1:45" ht="21.25" customHeight="1" x14ac:dyDescent="0.15">
      <c r="A567" s="62">
        <f t="shared" si="8"/>
        <v>566</v>
      </c>
      <c r="B567" s="10" t="s">
        <v>695</v>
      </c>
      <c r="C567" s="47" t="s">
        <v>147</v>
      </c>
      <c r="D567" s="48" t="str" cm="1">
        <f t="array" ref="D567">VLOOKUP(B567,'Player Data'!A1:D673,4,FALSE)</f>
        <v>RW</v>
      </c>
      <c r="E567" s="64" cm="1">
        <f t="array" ref="E567">VLOOKUP(B567,RW!A1:F210,3,FALSE)</f>
        <v>163</v>
      </c>
      <c r="F567" s="70" t="str" cm="1">
        <f t="array" ref="F567">VLOOKUP(B567,'Player Data'!A1:B673,2,FALSE)</f>
        <v>MIN</v>
      </c>
      <c r="G567" s="11" cm="1">
        <f t="array" ref="G567">VLOOKUP(B567,'Player Data'!A1:D673,3,FALSE)</f>
        <v>25</v>
      </c>
      <c r="H567" s="67" cm="1">
        <f t="array" ref="H567">IFERROR(VLOOKUP(B567,ADP!A1:F671,6,FALSE)/1000000,VLOOKUP(B567,ADP!A1:F671,6,FALSE))</f>
        <v>1.6</v>
      </c>
      <c r="I567" s="52">
        <f>IF(Settings!$E$15="POINTS",((R567*Q567)*Settings!$B$12)+(S567*Settings!$B$2)+(T567*Settings!$B$3)+(U567*Settings!$B$4)+(V567*Settings!$B$5)+(X567*Settings!$B$9)+(AA567*Settings!$B$6)+(W567*Settings!$B$8)+(AB567*Settings!$B$7)+(AC567*Settings!$B$14)+(AD567*Settings!$B$15)+(AE567*Settings!$B$16)+(AF567*Settings!$B$17)+(AG567*Settings!$B$18)+(Y567*Settings!$B$10)+(Z567*Settings!$B$11),VLOOKUP(B567,'Standard Deviations'!A$1:C$672,3,FALSE))</f>
        <v>136.1576421950532</v>
      </c>
      <c r="J567" s="53" cm="1">
        <f t="array" ref="J567">IF(D567="G",I567/AJ567,I567/Q567)</f>
        <v>1.9946915059339758</v>
      </c>
      <c r="K567" s="52" cm="1">
        <f t="array" ref="K567">IF(Settings!$E$18="C/LW/RW",VLOOKUP(B567,RW!A1:F210,6,FALSE),VLOOKUP(B567,F!A1:F407,6,FALSE))</f>
        <v>-258.78582249850427</v>
      </c>
      <c r="L567" s="54" cm="1">
        <f t="array" ref="L567">IFERROR(K567/H567,"N/A")</f>
        <v>-161.74113906156515</v>
      </c>
      <c r="M567" s="85" t="s">
        <v>832</v>
      </c>
      <c r="N567" s="85" t="str" cm="1">
        <f t="array" ref="N567">IFERROR(M567-A567,"N/A")</f>
        <v>N/A</v>
      </c>
      <c r="O567" s="55"/>
      <c r="P567" s="56" t="str" cm="1">
        <f t="array" ref="P567">_xlfn.XLOOKUP($B567,ADP!A2:A671,ADP!G2:G671)</f>
        <v xml:space="preserve"> </v>
      </c>
      <c r="Q567" s="57" cm="1">
        <f t="array" ref="Q567">IF(Settings!$E$12="YES",VLOOKUP(B567,'Player Data'!A1:E673,5,FALSE),84)</f>
        <v>68.260000000000005</v>
      </c>
      <c r="R567" s="55" cm="1">
        <f t="array" ref="R567">VLOOKUP(B567,'Player Data'!$A1:$AE673,6,FALSE)</f>
        <v>13.052506987943399</v>
      </c>
      <c r="S567" s="57" cm="1">
        <f t="array" ref="S567">VLOOKUP(B567,'Player Data'!$A1:$AE673,7,FALSE)*$Q567*IFERROR((VLOOKUP(P567,Settings!$E$28:$F$33,2,FALSE)+1),1)</f>
        <v>9.1744780786511857</v>
      </c>
      <c r="T567" s="57" cm="1">
        <f t="array" ref="T567">VLOOKUP(B567,'Player Data'!$A1:$AE673,8,FALSE)*$Q567*IFERROR((VLOOKUP(P567,Settings!$E$28:$F$33,2,FALSE)+1),1)</f>
        <v>16.184821475281296</v>
      </c>
      <c r="U567" s="57" cm="1">
        <f t="array" ref="U567">SUM(S567:T567)</f>
        <v>25.35929955393248</v>
      </c>
      <c r="V567" s="57" cm="1">
        <f t="array" ref="V567">VLOOKUP(B567,'Player Data'!$A1:$AE673,10,FALSE)*$Q567*IFERROR(((VLOOKUP(P567,Settings!$E$28:$F$33,2,FALSE)/2)+1),1)</f>
        <v>86.200937961173437</v>
      </c>
      <c r="W567" s="57" cm="1">
        <f t="array" ref="W567">VLOOKUP(B567,'Player Data'!$A1:$AE673,11,FALSE)*$Q567*IFERROR((VLOOKUP(P567,Settings!$E$28:$F$33,2,FALSE)+1),1)</f>
        <v>0.57486192237554345</v>
      </c>
      <c r="X567" s="57" cm="1">
        <f t="array" ref="X567">VLOOKUP(B567,'Player Data'!$A1:$AE673,12,FALSE)*$Q567*IFERROR((VLOOKUP(P567,Settings!$E$28:$F$33,2,FALSE)+1),1)</f>
        <v>3.99579137372681</v>
      </c>
      <c r="Y567" s="57" cm="1">
        <f t="array" ref="Y567">VLOOKUP(B567,'Player Data'!$A1:$AE673,13,FALSE)*$Q567</f>
        <v>0</v>
      </c>
      <c r="Z567" s="57" cm="1">
        <f t="array" ref="Z567">VLOOKUP(B567,'Player Data'!$A1:$AE673,14,FALSE)*$Q567</f>
        <v>0</v>
      </c>
      <c r="AA567" s="57" cm="1">
        <f t="array" ref="AA567">VLOOKUP(B567,'Player Data'!$A1:$AE673,15,FALSE)*$Q567</f>
        <v>25.966966357884495</v>
      </c>
      <c r="AB567" s="57" cm="1">
        <f t="array" ref="AB567">VLOOKUP(B567,'Player Data'!$A1:$AE673,16,FALSE)*$Q567</f>
        <v>50.045183995121178</v>
      </c>
      <c r="AC567" s="57" cm="1">
        <f t="array" ref="AC567">VLOOKUP(B567,'Player Data'!$A1:$AE673,17,FALSE)*$Q567*IFERROR((VLOOKUP(P567,Settings!$E$28:$F$33,2,FALSE)+1),1)</f>
        <v>1.0873010431361436</v>
      </c>
      <c r="AD567" s="57" cm="1">
        <f t="array" ref="AD567">VLOOKUP(B567,'Player Data'!$A1:$AE673,18,FALSE)*$Q567</f>
        <v>14.414525252144278</v>
      </c>
      <c r="AE567" s="57" cm="1">
        <f t="array" ref="AE567">VLOOKUP(B567,'Player Data'!$A1:$AE673,19,FALSE)*$Q567*IFERROR((VLOOKUP(P567,Settings!$E$28:$F$33,2,FALSE)+1),1)</f>
        <v>1.4943802279343799</v>
      </c>
      <c r="AF567" s="57" cm="1">
        <f t="array" ref="AF567">VLOOKUP(B567,'Player Data'!$A1:$AE673,20,FALSE)*$Q567</f>
        <v>0</v>
      </c>
      <c r="AG567" s="57" cm="1">
        <f t="array" ref="AG567">VLOOKUP(B567,'Player Data'!$A1:$AE673,21,FALSE)*$Q567</f>
        <v>2.9597678830562804</v>
      </c>
      <c r="AH567" s="59" cm="1">
        <f t="array" ref="AH567">VLOOKUP(B567,'Player Data'!$A1:$AE673,22,FALSE)</f>
        <v>0</v>
      </c>
      <c r="AI567" s="55"/>
      <c r="AJ567" s="57"/>
      <c r="AK567" s="57"/>
      <c r="AL567" s="57"/>
      <c r="AM567" s="57"/>
      <c r="AN567" s="57"/>
      <c r="AO567" s="57"/>
      <c r="AP567" s="57"/>
      <c r="AQ567" s="60"/>
      <c r="AR567" s="61"/>
      <c r="AS567" s="55"/>
    </row>
    <row r="568" spans="1:45" ht="21.25" customHeight="1" x14ac:dyDescent="0.15">
      <c r="A568" s="62">
        <f t="shared" si="8"/>
        <v>567</v>
      </c>
      <c r="B568" s="10" t="s">
        <v>696</v>
      </c>
      <c r="C568" s="47" t="s">
        <v>147</v>
      </c>
      <c r="D568" s="48" t="str" cm="1">
        <f t="array" ref="D568">VLOOKUP(B568,'Player Data'!A1:D673,4,FALSE)</f>
        <v>C,LW,RW</v>
      </c>
      <c r="E568" s="74" cm="1">
        <f t="array" ref="E568">VLOOKUP(B568,RW!A1:F210,3,FALSE)</f>
        <v>164</v>
      </c>
      <c r="F568" s="65" t="str" cm="1">
        <f t="array" ref="F568">VLOOKUP(B568,'Player Data'!A1:B673,2,FALSE)</f>
        <v>NSH</v>
      </c>
      <c r="G568" s="66" cm="1">
        <f t="array" ref="G568">VLOOKUP(B568,'Player Data'!A1:D673,3,FALSE)</f>
        <v>32</v>
      </c>
      <c r="H568" s="51" cm="1">
        <f t="array" ref="H568">IFERROR(VLOOKUP(B568,ADP!A1:F671,6,FALSE)/1000000,VLOOKUP(B568,ADP!A1:F671,6,FALSE))</f>
        <v>3.5</v>
      </c>
      <c r="I568" s="52">
        <f>IF(Settings!$E$15="POINTS",((R568*Q568)*Settings!$B$12)+(S568*Settings!$B$2)+(T568*Settings!$B$3)+(U568*Settings!$B$4)+(V568*Settings!$B$5)+(X568*Settings!$B$9)+(AA568*Settings!$B$6)+(W568*Settings!$B$8)+(AB568*Settings!$B$7)+(AC568*Settings!$B$14)+(AD568*Settings!$B$15)+(AE568*Settings!$B$16)+(AF568*Settings!$B$17)+(AG568*Settings!$B$18)+(Y568*Settings!$B$10)+(Z568*Settings!$B$11),VLOOKUP(B568,'Standard Deviations'!A$1:C$672,3,FALSE))</f>
        <v>135.71447661757338</v>
      </c>
      <c r="J568" s="53" cm="1">
        <f t="array" ref="J568">IF(D568="G",I568/AJ568,I568/Q568)</f>
        <v>1.8005834570642261</v>
      </c>
      <c r="K568" s="52" cm="1">
        <f t="array" ref="K568">IF(Settings!$E$18="C/LW/RW",VLOOKUP(B568,RW!A1:F210,6,FALSE),VLOOKUP(B568,F!A1:F407,6,FALSE))</f>
        <v>-259.22898807598409</v>
      </c>
      <c r="L568" s="54" cm="1">
        <f t="array" ref="L568">IFERROR(K568/H568,"N/A")</f>
        <v>-74.065425164566889</v>
      </c>
      <c r="M568" s="85" t="s">
        <v>832</v>
      </c>
      <c r="N568" s="85" t="str" cm="1">
        <f t="array" ref="N568">IFERROR(M568-A568,"N/A")</f>
        <v>N/A</v>
      </c>
      <c r="O568" s="55"/>
      <c r="P568" s="56" t="str" cm="1">
        <f t="array" ref="P568">_xlfn.XLOOKUP($B568,ADP!A2:A671,ADP!G2:G671)</f>
        <v xml:space="preserve"> </v>
      </c>
      <c r="Q568" s="57" cm="1">
        <f t="array" ref="Q568">IF(Settings!$E$12="YES",VLOOKUP(B568,'Player Data'!A1:E673,5,FALSE),84)</f>
        <v>75.372500000000002</v>
      </c>
      <c r="R568" s="55" cm="1">
        <f t="array" ref="R568">VLOOKUP(B568,'Player Data'!$A1:$AE673,6,FALSE)</f>
        <v>13.2154249911541</v>
      </c>
      <c r="S568" s="57" cm="1">
        <f t="array" ref="S568">VLOOKUP(B568,'Player Data'!$A1:$AE673,7,FALSE)*$Q568*IFERROR((VLOOKUP(P568,Settings!$E$28:$F$33,2,FALSE)+1),1)</f>
        <v>9.592044271569149</v>
      </c>
      <c r="T568" s="57" cm="1">
        <f t="array" ref="T568">VLOOKUP(B568,'Player Data'!$A1:$AE673,8,FALSE)*$Q568*IFERROR((VLOOKUP(P568,Settings!$E$28:$F$33,2,FALSE)+1),1)</f>
        <v>13.568677942024392</v>
      </c>
      <c r="U568" s="57" cm="1">
        <f t="array" ref="U568">SUM(S568:T568)</f>
        <v>23.160722213593541</v>
      </c>
      <c r="V568" s="57" cm="1">
        <f t="array" ref="V568">VLOOKUP(B568,'Player Data'!$A1:$AE673,10,FALSE)*$Q568*IFERROR(((VLOOKUP(P568,Settings!$E$28:$F$33,2,FALSE)/2)+1),1)</f>
        <v>72.231534663302327</v>
      </c>
      <c r="W568" s="57" cm="1">
        <f t="array" ref="W568">VLOOKUP(B568,'Player Data'!$A1:$AE673,11,FALSE)*$Q568*IFERROR((VLOOKUP(P568,Settings!$E$28:$F$33,2,FALSE)+1),1)</f>
        <v>0.30864095515671958</v>
      </c>
      <c r="X568" s="57" cm="1">
        <f t="array" ref="X568">VLOOKUP(B568,'Player Data'!$A1:$AE673,12,FALSE)*$Q568*IFERROR((VLOOKUP(P568,Settings!$E$28:$F$33,2,FALSE)+1),1)</f>
        <v>1.3645194959641838</v>
      </c>
      <c r="Y568" s="57" cm="1">
        <f t="array" ref="Y568">VLOOKUP(B568,'Player Data'!$A1:$AE673,13,FALSE)*$Q568</f>
        <v>0.70022192176494091</v>
      </c>
      <c r="Z568" s="57" cm="1">
        <f t="array" ref="Z568">VLOOKUP(B568,'Player Data'!$A1:$AE673,14,FALSE)*$Q568</f>
        <v>1.4691683402370534</v>
      </c>
      <c r="AA568" s="57" cm="1">
        <f t="array" ref="AA568">VLOOKUP(B568,'Player Data'!$A1:$AE673,15,FALSE)*$Q568</f>
        <v>54.565709617880763</v>
      </c>
      <c r="AB568" s="57" cm="1">
        <f t="array" ref="AB568">VLOOKUP(B568,'Player Data'!$A1:$AE673,16,FALSE)*$Q568</f>
        <v>69.993847050295841</v>
      </c>
      <c r="AC568" s="57" cm="1">
        <f t="array" ref="AC568">VLOOKUP(B568,'Player Data'!$A1:$AE673,17,FALSE)*$Q568*IFERROR((VLOOKUP(P568,Settings!$E$28:$F$33,2,FALSE)+1),1)</f>
        <v>-3.20346684654029</v>
      </c>
      <c r="AD568" s="57" cm="1">
        <f t="array" ref="AD568">VLOOKUP(B568,'Player Data'!$A1:$AE673,18,FALSE)*$Q568</f>
        <v>22.606991211063036</v>
      </c>
      <c r="AE568" s="57" cm="1">
        <f t="array" ref="AE568">VLOOKUP(B568,'Player Data'!$A1:$AE673,19,FALSE)*$Q568*IFERROR((VLOOKUP(P568,Settings!$E$28:$F$33,2,FALSE)+1),1)</f>
        <v>1.3287380916402278</v>
      </c>
      <c r="AF568" s="57" cm="1">
        <f t="array" ref="AF568">VLOOKUP(B568,'Player Data'!$A1:$AE673,20,FALSE)*$Q568</f>
        <v>257.93774747395753</v>
      </c>
      <c r="AG568" s="57" cm="1">
        <f t="array" ref="AG568">VLOOKUP(B568,'Player Data'!$A1:$AE673,21,FALSE)*$Q568</f>
        <v>252.4891765961022</v>
      </c>
      <c r="AH568" s="59" cm="1">
        <f t="array" ref="AH568">VLOOKUP(B568,'Player Data'!$A1:$AE673,22,FALSE)</f>
        <v>0.50533726829534098</v>
      </c>
      <c r="AI568" s="55"/>
      <c r="AJ568" s="57"/>
      <c r="AK568" s="57"/>
      <c r="AL568" s="57"/>
      <c r="AM568" s="57"/>
      <c r="AN568" s="57"/>
      <c r="AO568" s="57"/>
      <c r="AP568" s="57"/>
      <c r="AQ568" s="60"/>
      <c r="AR568" s="61"/>
      <c r="AS568" s="55"/>
    </row>
    <row r="569" spans="1:45" ht="21.25" customHeight="1" x14ac:dyDescent="0.15">
      <c r="A569" s="62">
        <f t="shared" si="8"/>
        <v>568</v>
      </c>
      <c r="B569" s="10" t="s">
        <v>697</v>
      </c>
      <c r="C569" s="47" t="s">
        <v>147</v>
      </c>
      <c r="D569" s="48" t="str" cm="1">
        <f t="array" ref="D569">VLOOKUP(B569,'Player Data'!A1:D673,4,FALSE)</f>
        <v>C</v>
      </c>
      <c r="E569" s="49" cm="1">
        <f t="array" ref="E569">VLOOKUP(B569,'C'!A1:C210,3,FALSE)</f>
        <v>168</v>
      </c>
      <c r="F569" s="72" t="str" cm="1">
        <f t="array" ref="F569">VLOOKUP(B569,'Player Data'!A1:B673,2,FALSE)</f>
        <v>PIT</v>
      </c>
      <c r="G569" s="11" cm="1">
        <f t="array" ref="G569">VLOOKUP(B569,'Player Data'!A1:D673,3,FALSE)</f>
        <v>28</v>
      </c>
      <c r="H569" s="51" cm="1">
        <f t="array" ref="H569">IFERROR(VLOOKUP(B569,ADP!A1:F671,6,FALSE)/1000000,VLOOKUP(B569,ADP!A1:F671,6,FALSE))</f>
        <v>2.25</v>
      </c>
      <c r="I569" s="52">
        <f>IF(Settings!$E$15="POINTS",((R569*Q569)*Settings!$B$12)+(S569*Settings!$B$2)+(T569*Settings!$B$3)+(U569*Settings!$B$4)+(V569*Settings!$B$5)+(X569*Settings!$B$9)+(AA569*Settings!$B$6)+(W569*Settings!$B$8)+(AB569*Settings!$B$7)+(AC569*Settings!$B$14)+(AD569*Settings!$B$15)+(AE569*Settings!$B$16)+(AF569*Settings!$B$17)+(AG569*Settings!$B$18)+(Y569*Settings!$B$10)+(Z569*Settings!$B$11),VLOOKUP(B569,'Standard Deviations'!A$1:C$672,3,FALSE))</f>
        <v>127.08004679398897</v>
      </c>
      <c r="J569" s="53" cm="1">
        <f t="array" ref="J569">IF(D569="G",I569/AJ569,I569/Q569)</f>
        <v>1.7155591872290106</v>
      </c>
      <c r="K569" s="52" cm="1">
        <f t="array" ref="K569">IF(Settings!$E$18="C/LW/RW",VLOOKUP(B569,'C'!A1:F210,6,FALSE),VLOOKUP(B569,F!A1:F407,6,FALSE))</f>
        <v>-259.45515959909403</v>
      </c>
      <c r="L569" s="54" cm="1">
        <f t="array" ref="L569">IFERROR(K569/H569,"N/A")</f>
        <v>-115.31340426626402</v>
      </c>
      <c r="M569" s="85" t="s">
        <v>832</v>
      </c>
      <c r="N569" s="85" t="str" cm="1">
        <f t="array" ref="N569">IFERROR(M569-A569,"N/A")</f>
        <v>N/A</v>
      </c>
      <c r="O569" s="55"/>
      <c r="P569" s="56" t="str" cm="1">
        <f t="array" ref="P569">_xlfn.XLOOKUP($B569,ADP!A2:A671,ADP!G2:G671)</f>
        <v xml:space="preserve"> </v>
      </c>
      <c r="Q569" s="57" cm="1">
        <f t="array" ref="Q569">IF(Settings!$E$12="YES",VLOOKUP(B569,'Player Data'!A1:E673,5,FALSE),84)</f>
        <v>74.075000000000003</v>
      </c>
      <c r="R569" s="55" cm="1">
        <f t="array" ref="R569">VLOOKUP(B569,'Player Data'!$A1:$AE673,6,FALSE)</f>
        <v>13.515683031794801</v>
      </c>
      <c r="S569" s="57" cm="1">
        <f t="array" ref="S569">VLOOKUP(B569,'Player Data'!$A1:$AE673,7,FALSE)*$Q569*IFERROR((VLOOKUP(P569,Settings!$E$28:$F$33,2,FALSE)+1),1)</f>
        <v>9.8176869582829838</v>
      </c>
      <c r="T569" s="57" cm="1">
        <f t="array" ref="T569">VLOOKUP(B569,'Player Data'!$A1:$AE673,8,FALSE)*$Q569*IFERROR((VLOOKUP(P569,Settings!$E$28:$F$33,2,FALSE)+1),1)</f>
        <v>12.575148071060491</v>
      </c>
      <c r="U569" s="57" cm="1">
        <f t="array" ref="U569">SUM(S569:T569)</f>
        <v>22.392835029343473</v>
      </c>
      <c r="V569" s="57" cm="1">
        <f t="array" ref="V569">VLOOKUP(B569,'Player Data'!$A1:$AE673,10,FALSE)*$Q569*IFERROR(((VLOOKUP(P569,Settings!$E$28:$F$33,2,FALSE)/2)+1),1)</f>
        <v>72.132540124576394</v>
      </c>
      <c r="W569" s="57" cm="1">
        <f t="array" ref="W569">VLOOKUP(B569,'Player Data'!$A1:$AE673,11,FALSE)*$Q569*IFERROR((VLOOKUP(P569,Settings!$E$28:$F$33,2,FALSE)+1),1)</f>
        <v>6.5948837654593501E-2</v>
      </c>
      <c r="X569" s="57" cm="1">
        <f t="array" ref="X569">VLOOKUP(B569,'Player Data'!$A1:$AE673,12,FALSE)*$Q569*IFERROR((VLOOKUP(P569,Settings!$E$28:$F$33,2,FALSE)+1),1)</f>
        <v>0.10940699253126386</v>
      </c>
      <c r="Y569" s="57" cm="1">
        <f t="array" ref="Y569">VLOOKUP(B569,'Player Data'!$A1:$AE673,13,FALSE)*$Q569</f>
        <v>0.43496345593987784</v>
      </c>
      <c r="Z569" s="57" cm="1">
        <f t="array" ref="Z569">VLOOKUP(B569,'Player Data'!$A1:$AE673,14,FALSE)*$Q569</f>
        <v>0.56575026160880015</v>
      </c>
      <c r="AA569" s="57" cm="1">
        <f t="array" ref="AA569">VLOOKUP(B569,'Player Data'!$A1:$AE673,15,FALSE)*$Q569</f>
        <v>46.320228779060592</v>
      </c>
      <c r="AB569" s="57" cm="1">
        <f t="array" ref="AB569">VLOOKUP(B569,'Player Data'!$A1:$AE673,16,FALSE)*$Q569</f>
        <v>78.131643576747905</v>
      </c>
      <c r="AC569" s="57" cm="1">
        <f t="array" ref="AC569">VLOOKUP(B569,'Player Data'!$A1:$AE673,17,FALSE)*$Q569*IFERROR((VLOOKUP(P569,Settings!$E$28:$F$33,2,FALSE)+1),1)</f>
        <v>-0.69508527065573311</v>
      </c>
      <c r="AD569" s="57" cm="1">
        <f t="array" ref="AD569">VLOOKUP(B569,'Player Data'!$A1:$AE673,18,FALSE)*$Q569</f>
        <v>29.438168680338109</v>
      </c>
      <c r="AE569" s="57" cm="1">
        <f t="array" ref="AE569">VLOOKUP(B569,'Player Data'!$A1:$AE673,19,FALSE)*$Q569*IFERROR((VLOOKUP(P569,Settings!$E$28:$F$33,2,FALSE)+1),1)</f>
        <v>1.4234398412048943</v>
      </c>
      <c r="AF569" s="57" cm="1">
        <f t="array" ref="AF569">VLOOKUP(B569,'Player Data'!$A1:$AE673,20,FALSE)*$Q569</f>
        <v>289.52630166496994</v>
      </c>
      <c r="AG569" s="57" cm="1">
        <f t="array" ref="AG569">VLOOKUP(B569,'Player Data'!$A1:$AE673,21,FALSE)*$Q569</f>
        <v>293.62542012111834</v>
      </c>
      <c r="AH569" s="59" cm="1">
        <f t="array" ref="AH569">VLOOKUP(B569,'Player Data'!$A1:$AE673,22,FALSE)</f>
        <v>0.49648537567239498</v>
      </c>
      <c r="AI569" s="55"/>
      <c r="AJ569" s="57"/>
      <c r="AK569" s="57"/>
      <c r="AL569" s="57"/>
      <c r="AM569" s="57"/>
      <c r="AN569" s="57"/>
      <c r="AO569" s="57"/>
      <c r="AP569" s="57"/>
      <c r="AQ569" s="60"/>
      <c r="AR569" s="61"/>
      <c r="AS569" s="55"/>
    </row>
    <row r="570" spans="1:45" ht="21.25" customHeight="1" x14ac:dyDescent="0.15">
      <c r="A570" s="62">
        <f t="shared" si="8"/>
        <v>569</v>
      </c>
      <c r="B570" s="10" t="s">
        <v>698</v>
      </c>
      <c r="C570" s="47" t="s">
        <v>147</v>
      </c>
      <c r="D570" s="48" t="str" cm="1">
        <f t="array" ref="D570">VLOOKUP(B570,'Player Data'!A1:D673,4,FALSE)</f>
        <v>C,LW</v>
      </c>
      <c r="E570" s="74" cm="1">
        <f t="array" ref="E570">VLOOKUP(B570,LW!A1:C210,3,FALSE)</f>
        <v>158</v>
      </c>
      <c r="F570" s="63" t="str" cm="1">
        <f t="array" ref="F570">VLOOKUP(B570,'Player Data'!A1:B673,2,FALSE)</f>
        <v>WPG</v>
      </c>
      <c r="G570" s="66" cm="1">
        <f t="array" ref="G570">VLOOKUP(B570,'Player Data'!A1:D673,3,FALSE)</f>
        <v>33</v>
      </c>
      <c r="H570" s="67" cm="1">
        <f t="array" ref="H570">IFERROR(VLOOKUP(B570,ADP!A1:F671,6,FALSE)/1000000,VLOOKUP(B570,ADP!A1:F671,6,FALSE))</f>
        <v>3</v>
      </c>
      <c r="I570" s="52">
        <f>IF(Settings!$E$15="POINTS",((R570*Q570)*Settings!$B$12)+(S570*Settings!$B$2)+(T570*Settings!$B$3)+(U570*Settings!$B$4)+(V570*Settings!$B$5)+(X570*Settings!$B$9)+(AA570*Settings!$B$6)+(W570*Settings!$B$8)+(AB570*Settings!$B$7)+(AC570*Settings!$B$14)+(AD570*Settings!$B$15)+(AE570*Settings!$B$16)+(AF570*Settings!$B$17)+(AG570*Settings!$B$18)+(Y570*Settings!$B$10)+(Z570*Settings!$B$11),VLOOKUP(B570,'Standard Deviations'!A$1:C$672,3,FALSE))</f>
        <v>139.37956686193914</v>
      </c>
      <c r="J570" s="53" cm="1">
        <f t="array" ref="J570">IF(D570="G",I570/AJ570,I570/Q570)</f>
        <v>1.7603986973405639</v>
      </c>
      <c r="K570" s="52" cm="1">
        <f t="array" ref="K570">IF(Settings!$E$18="C/LW/RW",VLOOKUP(B570,LW!A1:F210,6,FALSE),VLOOKUP(B570,F!A1:F407,6,FALSE))</f>
        <v>-259.93342645178097</v>
      </c>
      <c r="L570" s="54" cm="1">
        <f t="array" ref="L570">IFERROR(K570/H570,"N/A")</f>
        <v>-86.644475483926996</v>
      </c>
      <c r="M570" s="85" t="s">
        <v>832</v>
      </c>
      <c r="N570" s="85" t="str" cm="1">
        <f t="array" ref="N570">IFERROR(M570-A570,"N/A")</f>
        <v>N/A</v>
      </c>
      <c r="O570" s="55"/>
      <c r="P570" s="56" t="str" cm="1">
        <f t="array" ref="P570">_xlfn.XLOOKUP($B570,ADP!A2:A671,ADP!G2:G671)</f>
        <v xml:space="preserve"> </v>
      </c>
      <c r="Q570" s="57" cm="1">
        <f t="array" ref="Q570">IF(Settings!$E$12="YES",VLOOKUP(B570,'Player Data'!A1:E673,5,FALSE),84)</f>
        <v>79.174999999999997</v>
      </c>
      <c r="R570" s="84" cm="1">
        <f t="array" ref="R570">VLOOKUP(B570,'Player Data'!$A1:$AE673,6,FALSE)</f>
        <v>12.278906416253101</v>
      </c>
      <c r="S570" s="57" cm="1">
        <f t="array" ref="S570">VLOOKUP(B570,'Player Data'!$A1:$AE673,7,FALSE)*$Q570*IFERROR((VLOOKUP(P570,Settings!$E$28:$F$33,2,FALSE)+1),1)</f>
        <v>9.2342826024716889</v>
      </c>
      <c r="T570" s="57" cm="1">
        <f t="array" ref="T570">VLOOKUP(B570,'Player Data'!$A1:$AE673,8,FALSE)*$Q570*IFERROR((VLOOKUP(P570,Settings!$E$28:$F$33,2,FALSE)+1),1)</f>
        <v>14.377228323897398</v>
      </c>
      <c r="U570" s="57" cm="1">
        <f t="array" ref="U570">SUM(S570:T570)</f>
        <v>23.611510926369085</v>
      </c>
      <c r="V570" s="57" cm="1">
        <f t="array" ref="V570">VLOOKUP(B570,'Player Data'!$A1:$AE673,10,FALSE)*$Q570*IFERROR(((VLOOKUP(P570,Settings!$E$28:$F$33,2,FALSE)/2)+1),1)</f>
        <v>86.411186818167835</v>
      </c>
      <c r="W570" s="57" cm="1">
        <f t="array" ref="W570">VLOOKUP(B570,'Player Data'!$A1:$AE673,11,FALSE)*$Q570*IFERROR((VLOOKUP(P570,Settings!$E$28:$F$33,2,FALSE)+1),1)</f>
        <v>1.993228709359125</v>
      </c>
      <c r="X570" s="57" cm="1">
        <f t="array" ref="X570">VLOOKUP(B570,'Player Data'!$A1:$AE673,12,FALSE)*$Q570*IFERROR((VLOOKUP(P570,Settings!$E$28:$F$33,2,FALSE)+1),1)</f>
        <v>4.7889448151146556</v>
      </c>
      <c r="Y570" s="57" cm="1">
        <f t="array" ref="Y570">VLOOKUP(B570,'Player Data'!$A1:$AE673,13,FALSE)*$Q570</f>
        <v>0.141351632188915</v>
      </c>
      <c r="Z570" s="57" cm="1">
        <f t="array" ref="Z570">VLOOKUP(B570,'Player Data'!$A1:$AE673,14,FALSE)*$Q570</f>
        <v>0.17486102413646545</v>
      </c>
      <c r="AA570" s="57" cm="1">
        <f t="array" ref="AA570">VLOOKUP(B570,'Player Data'!$A1:$AE673,15,FALSE)*$Q570</f>
        <v>40.751269668993658</v>
      </c>
      <c r="AB570" s="57" cm="1">
        <f t="array" ref="AB570">VLOOKUP(B570,'Player Data'!$A1:$AE673,16,FALSE)*$Q570</f>
        <v>89.672313136654935</v>
      </c>
      <c r="AC570" s="57" cm="1">
        <f t="array" ref="AC570">VLOOKUP(B570,'Player Data'!$A1:$AE673,17,FALSE)*$Q570*IFERROR((VLOOKUP(P570,Settings!$E$28:$F$33,2,FALSE)+1),1)</f>
        <v>0.9357707728640724</v>
      </c>
      <c r="AD570" s="57" cm="1">
        <f t="array" ref="AD570">VLOOKUP(B570,'Player Data'!$A1:$AE673,18,FALSE)*$Q570</f>
        <v>22.870316102081084</v>
      </c>
      <c r="AE570" s="57" cm="1">
        <f t="array" ref="AE570">VLOOKUP(B570,'Player Data'!$A1:$AE673,19,FALSE)*$Q570*IFERROR((VLOOKUP(P570,Settings!$E$28:$F$33,2,FALSE)+1),1)</f>
        <v>1.6046390214765391</v>
      </c>
      <c r="AF570" s="57" cm="1">
        <f t="array" ref="AF570">VLOOKUP(B570,'Player Data'!$A1:$AE673,20,FALSE)*$Q570</f>
        <v>152.00477617077001</v>
      </c>
      <c r="AG570" s="57" cm="1">
        <f t="array" ref="AG570">VLOOKUP(B570,'Player Data'!$A1:$AE673,21,FALSE)*$Q570</f>
        <v>210.99313125086078</v>
      </c>
      <c r="AH570" s="59" cm="1">
        <f t="array" ref="AH570">VLOOKUP(B570,'Player Data'!$A1:$AE673,22,FALSE)</f>
        <v>0.41874835381409697</v>
      </c>
      <c r="AI570" s="55"/>
      <c r="AJ570" s="57"/>
      <c r="AK570" s="57"/>
      <c r="AL570" s="57"/>
      <c r="AM570" s="57"/>
      <c r="AN570" s="57"/>
      <c r="AO570" s="57"/>
      <c r="AP570" s="57"/>
      <c r="AQ570" s="60"/>
      <c r="AR570" s="61"/>
      <c r="AS570" s="55"/>
    </row>
    <row r="571" spans="1:45" ht="21.25" customHeight="1" x14ac:dyDescent="0.15">
      <c r="A571" s="62">
        <f t="shared" si="8"/>
        <v>570</v>
      </c>
      <c r="B571" s="10" t="s">
        <v>699</v>
      </c>
      <c r="C571" s="47" t="s">
        <v>147</v>
      </c>
      <c r="D571" s="48" t="str" cm="1">
        <f t="array" ref="D571">VLOOKUP(B571,'Player Data'!A1:D673,4,FALSE)</f>
        <v>RW</v>
      </c>
      <c r="E571" s="64" cm="1">
        <f t="array" ref="E571">VLOOKUP(B571,RW!A1:F210,3,FALSE)</f>
        <v>165</v>
      </c>
      <c r="F571" s="65" t="str" cm="1">
        <f t="array" ref="F571">VLOOKUP(B571,'Player Data'!A1:B673,2,FALSE)</f>
        <v>T.B</v>
      </c>
      <c r="G571" s="11" cm="1">
        <f t="array" ref="G571">VLOOKUP(B571,'Player Data'!A1:D673,3,FALSE)</f>
        <v>27</v>
      </c>
      <c r="H571" s="67" cm="1">
        <f t="array" ref="H571">IFERROR(VLOOKUP(B571,ADP!A1:F671,6,FALSE)/1000000,VLOOKUP(B571,ADP!A1:F671,6,FALSE))</f>
        <v>1.55</v>
      </c>
      <c r="I571" s="52">
        <f>IF(Settings!$E$15="POINTS",((R571*Q571)*Settings!$B$12)+(S571*Settings!$B$2)+(T571*Settings!$B$3)+(U571*Settings!$B$4)+(V571*Settings!$B$5)+(X571*Settings!$B$9)+(AA571*Settings!$B$6)+(W571*Settings!$B$8)+(AB571*Settings!$B$7)+(AC571*Settings!$B$14)+(AD571*Settings!$B$15)+(AE571*Settings!$B$16)+(AF571*Settings!$B$17)+(AG571*Settings!$B$18)+(Y571*Settings!$B$10)+(Z571*Settings!$B$11),VLOOKUP(B571,'Standard Deviations'!A$1:C$672,3,FALSE))</f>
        <v>133.61650700505794</v>
      </c>
      <c r="J571" s="53" cm="1">
        <f t="array" ref="J571">IF(D571="G",I571/AJ571,I571/Q571)</f>
        <v>1.7313444380312011</v>
      </c>
      <c r="K571" s="52" cm="1">
        <f t="array" ref="K571">IF(Settings!$E$18="C/LW/RW",VLOOKUP(B571,RW!A1:F210,6,FALSE),VLOOKUP(B571,F!A1:F407,6,FALSE))</f>
        <v>-261.32695768849953</v>
      </c>
      <c r="L571" s="54" cm="1">
        <f t="array" ref="L571">IFERROR(K571/H571,"N/A")</f>
        <v>-168.59803721838679</v>
      </c>
      <c r="M571" s="85" t="s">
        <v>832</v>
      </c>
      <c r="N571" s="85" t="str" cm="1">
        <f t="array" ref="N571">IFERROR(M571-A571,"N/A")</f>
        <v>N/A</v>
      </c>
      <c r="O571" s="55"/>
      <c r="P571" s="56" t="str" cm="1">
        <f t="array" ref="P571">_xlfn.XLOOKUP($B571,ADP!A2:A671,ADP!G2:G671)</f>
        <v xml:space="preserve"> </v>
      </c>
      <c r="Q571" s="57" cm="1">
        <f t="array" ref="Q571">IF(Settings!$E$12="YES",VLOOKUP(B571,'Player Data'!A1:E673,5,FALSE),84)</f>
        <v>77.174999999999997</v>
      </c>
      <c r="R571" s="84" cm="1">
        <f t="array" ref="R571">VLOOKUP(B571,'Player Data'!$A1:$AE673,6,FALSE)</f>
        <v>12.2475352370564</v>
      </c>
      <c r="S571" s="57" cm="1">
        <f t="array" ref="S571">VLOOKUP(B571,'Player Data'!$A1:$AE673,7,FALSE)*$Q571*IFERROR((VLOOKUP(P571,Settings!$E$28:$F$33,2,FALSE)+1),1)</f>
        <v>10.229518104738851</v>
      </c>
      <c r="T571" s="57" cm="1">
        <f t="array" ref="T571">VLOOKUP(B571,'Player Data'!$A1:$AE673,8,FALSE)*$Q571*IFERROR((VLOOKUP(P571,Settings!$E$28:$F$33,2,FALSE)+1),1)</f>
        <v>13.039134135111908</v>
      </c>
      <c r="U571" s="57" cm="1">
        <f t="array" ref="U571">SUM(S571:T571)</f>
        <v>23.268652239850759</v>
      </c>
      <c r="V571" s="57" cm="1">
        <f t="array" ref="V571">VLOOKUP(B571,'Player Data'!$A1:$AE673,10,FALSE)*$Q571*IFERROR(((VLOOKUP(P571,Settings!$E$28:$F$33,2,FALSE)/2)+1),1)</f>
        <v>88.344905767527678</v>
      </c>
      <c r="W571" s="57" cm="1">
        <f t="array" ref="W571">VLOOKUP(B571,'Player Data'!$A1:$AE673,11,FALSE)*$Q571*IFERROR((VLOOKUP(P571,Settings!$E$28:$F$33,2,FALSE)+1),1)</f>
        <v>7.2985068554840146E-2</v>
      </c>
      <c r="X571" s="57" cm="1">
        <f t="array" ref="X571">VLOOKUP(B571,'Player Data'!$A1:$AE673,12,FALSE)*$Q571*IFERROR((VLOOKUP(P571,Settings!$E$28:$F$33,2,FALSE)+1),1)</f>
        <v>0.21674493483915624</v>
      </c>
      <c r="Y571" s="57" cm="1">
        <f t="array" ref="Y571">VLOOKUP(B571,'Player Data'!$A1:$AE673,13,FALSE)*$Q571</f>
        <v>6.4020581441574922E-2</v>
      </c>
      <c r="Z571" s="57" cm="1">
        <f t="array" ref="Z571">VLOOKUP(B571,'Player Data'!$A1:$AE673,14,FALSE)*$Q571</f>
        <v>7.5587741005950809E-2</v>
      </c>
      <c r="AA571" s="57" cm="1">
        <f t="array" ref="AA571">VLOOKUP(B571,'Player Data'!$A1:$AE673,15,FALSE)*$Q571</f>
        <v>38.691529451793372</v>
      </c>
      <c r="AB571" s="57" cm="1">
        <f t="array" ref="AB571">VLOOKUP(B571,'Player Data'!$A1:$AE673,16,FALSE)*$Q571</f>
        <v>66.64789590919932</v>
      </c>
      <c r="AC571" s="57" cm="1">
        <f t="array" ref="AC571">VLOOKUP(B571,'Player Data'!$A1:$AE673,17,FALSE)*$Q571*IFERROR((VLOOKUP(P571,Settings!$E$28:$F$33,2,FALSE)+1),1)</f>
        <v>6.9598121182246109</v>
      </c>
      <c r="AD571" s="57" cm="1">
        <f t="array" ref="AD571">VLOOKUP(B571,'Player Data'!$A1:$AE673,18,FALSE)*$Q571</f>
        <v>27.802744862150472</v>
      </c>
      <c r="AE571" s="57" cm="1">
        <f t="array" ref="AE571">VLOOKUP(B571,'Player Data'!$A1:$AE673,19,FALSE)*$Q571*IFERROR((VLOOKUP(P571,Settings!$E$28:$F$33,2,FALSE)+1),1)</f>
        <v>1.8158360142779983</v>
      </c>
      <c r="AF571" s="57" cm="1">
        <f t="array" ref="AF571">VLOOKUP(B571,'Player Data'!$A1:$AE673,20,FALSE)*$Q571</f>
        <v>49.563998208764836</v>
      </c>
      <c r="AG571" s="57" cm="1">
        <f t="array" ref="AG571">VLOOKUP(B571,'Player Data'!$A1:$AE673,21,FALSE)*$Q571</f>
        <v>66.640759660617249</v>
      </c>
      <c r="AH571" s="59" cm="1">
        <f t="array" ref="AH571">VLOOKUP(B571,'Player Data'!$A1:$AE673,22,FALSE)</f>
        <v>0.42652296788464</v>
      </c>
      <c r="AI571" s="55"/>
      <c r="AJ571" s="57"/>
      <c r="AK571" s="57"/>
      <c r="AL571" s="57"/>
      <c r="AM571" s="57"/>
      <c r="AN571" s="57"/>
      <c r="AO571" s="57"/>
      <c r="AP571" s="57"/>
      <c r="AQ571" s="60"/>
      <c r="AR571" s="61"/>
      <c r="AS571" s="55"/>
    </row>
    <row r="572" spans="1:45" ht="21.25" customHeight="1" x14ac:dyDescent="0.15">
      <c r="A572" s="62">
        <f t="shared" si="8"/>
        <v>571</v>
      </c>
      <c r="B572" s="10" t="s">
        <v>700</v>
      </c>
      <c r="C572" s="47" t="s">
        <v>147</v>
      </c>
      <c r="D572" s="48" t="str" cm="1">
        <f t="array" ref="D572">VLOOKUP(B572,'Player Data'!A1:D673,4,FALSE)</f>
        <v>C,LW</v>
      </c>
      <c r="E572" s="74" cm="1">
        <f t="array" ref="E572">VLOOKUP(B572,LW!A1:C210,3,FALSE)</f>
        <v>159</v>
      </c>
      <c r="F572" s="72" t="str" cm="1">
        <f t="array" ref="F572">VLOOKUP(B572,'Player Data'!A1:B673,2,FALSE)</f>
        <v>DET</v>
      </c>
      <c r="G572" s="11" cm="1">
        <f t="array" ref="G572">VLOOKUP(B572,'Player Data'!A1:D673,3,FALSE)</f>
        <v>27</v>
      </c>
      <c r="H572" s="51" cm="1">
        <f t="array" ref="H572">IFERROR(VLOOKUP(B572,ADP!A1:F671,6,FALSE)/1000000,VLOOKUP(B572,ADP!A1:F671,6,FALSE))</f>
        <v>3.2</v>
      </c>
      <c r="I572" s="52">
        <f>IF(Settings!$E$15="POINTS",((R572*Q572)*Settings!$B$12)+(S572*Settings!$B$2)+(T572*Settings!$B$3)+(U572*Settings!$B$4)+(V572*Settings!$B$5)+(X572*Settings!$B$9)+(AA572*Settings!$B$6)+(W572*Settings!$B$8)+(AB572*Settings!$B$7)+(AC572*Settings!$B$14)+(AD572*Settings!$B$15)+(AE572*Settings!$B$16)+(AF572*Settings!$B$17)+(AG572*Settings!$B$18)+(Y572*Settings!$B$10)+(Z572*Settings!$B$11),VLOOKUP(B572,'Standard Deviations'!A$1:C$672,3,FALSE))</f>
        <v>137.96278553022793</v>
      </c>
      <c r="J572" s="53" cm="1">
        <f t="array" ref="J572">IF(D572="G",I572/AJ572,I572/Q572)</f>
        <v>1.7365277136502462</v>
      </c>
      <c r="K572" s="52" cm="1">
        <f t="array" ref="K572">IF(Settings!$E$18="C/LW/RW",VLOOKUP(B572,LW!A1:F210,6,FALSE),VLOOKUP(B572,F!A1:F407,6,FALSE))</f>
        <v>-261.35020778349212</v>
      </c>
      <c r="L572" s="54" cm="1">
        <f t="array" ref="L572">IFERROR(K572/H572,"N/A")</f>
        <v>-81.671939932341289</v>
      </c>
      <c r="M572" s="85" t="s">
        <v>832</v>
      </c>
      <c r="N572" s="85" t="str" cm="1">
        <f t="array" ref="N572">IFERROR(M572-A572,"N/A")</f>
        <v>N/A</v>
      </c>
      <c r="O572" s="55"/>
      <c r="P572" s="56" t="str" cm="1">
        <f t="array" ref="P572">_xlfn.XLOOKUP($B572,ADP!A2:A671,ADP!G2:G671)</f>
        <v xml:space="preserve"> </v>
      </c>
      <c r="Q572" s="57" cm="1">
        <f t="array" ref="Q572">IF(Settings!$E$12="YES",VLOOKUP(B572,'Player Data'!A1:E673,5,FALSE),84)</f>
        <v>79.447500000000005</v>
      </c>
      <c r="R572" s="55" cm="1">
        <f t="array" ref="R572">VLOOKUP(B572,'Player Data'!$A1:$AE673,6,FALSE)</f>
        <v>12.634399914253001</v>
      </c>
      <c r="S572" s="57" cm="1">
        <f t="array" ref="S572">VLOOKUP(B572,'Player Data'!$A1:$AE673,7,FALSE)*$Q572*IFERROR((VLOOKUP(P572,Settings!$E$28:$F$33,2,FALSE)+1),1)</f>
        <v>8.9219188325032786</v>
      </c>
      <c r="T572" s="57" cm="1">
        <f t="array" ref="T572">VLOOKUP(B572,'Player Data'!$A1:$AE673,8,FALSE)*$Q572*IFERROR((VLOOKUP(P572,Settings!$E$28:$F$33,2,FALSE)+1),1)</f>
        <v>10.966094738209286</v>
      </c>
      <c r="U572" s="57" cm="1">
        <f t="array" ref="U572">SUM(S572:T572)</f>
        <v>19.888013570712566</v>
      </c>
      <c r="V572" s="57" cm="1">
        <f t="array" ref="V572">VLOOKUP(B572,'Player Data'!$A1:$AE673,10,FALSE)*$Q572*IFERROR(((VLOOKUP(P572,Settings!$E$28:$F$33,2,FALSE)/2)+1),1)</f>
        <v>85.557438704440017</v>
      </c>
      <c r="W572" s="57" cm="1">
        <f t="array" ref="W572">VLOOKUP(B572,'Player Data'!$A1:$AE673,11,FALSE)*$Q572*IFERROR((VLOOKUP(P572,Settings!$E$28:$F$33,2,FALSE)+1),1)</f>
        <v>0.29197080399374581</v>
      </c>
      <c r="X572" s="57" cm="1">
        <f t="array" ref="X572">VLOOKUP(B572,'Player Data'!$A1:$AE673,12,FALSE)*$Q572*IFERROR((VLOOKUP(P572,Settings!$E$28:$F$33,2,FALSE)+1),1)</f>
        <v>0.62381179568896117</v>
      </c>
      <c r="Y572" s="57" cm="1">
        <f t="array" ref="Y572">VLOOKUP(B572,'Player Data'!$A1:$AE673,13,FALSE)*$Q572</f>
        <v>0.62710430663924288</v>
      </c>
      <c r="Z572" s="57" cm="1">
        <f t="array" ref="Z572">VLOOKUP(B572,'Player Data'!$A1:$AE673,14,FALSE)*$Q572</f>
        <v>1.0742905500943336</v>
      </c>
      <c r="AA572" s="57" cm="1">
        <f t="array" ref="AA572">VLOOKUP(B572,'Player Data'!$A1:$AE673,15,FALSE)*$Q572</f>
        <v>67.643846240173886</v>
      </c>
      <c r="AB572" s="57" cm="1">
        <f t="array" ref="AB572">VLOOKUP(B572,'Player Data'!$A1:$AE673,16,FALSE)*$Q572</f>
        <v>105.18484896255137</v>
      </c>
      <c r="AC572" s="57" cm="1">
        <f t="array" ref="AC572">VLOOKUP(B572,'Player Data'!$A1:$AE673,17,FALSE)*$Q572*IFERROR((VLOOKUP(P572,Settings!$E$28:$F$33,2,FALSE)+1),1)</f>
        <v>-2.3333062194184189</v>
      </c>
      <c r="AD572" s="57" cm="1">
        <f t="array" ref="AD572">VLOOKUP(B572,'Player Data'!$A1:$AE673,18,FALSE)*$Q572</f>
        <v>23.827451082816474</v>
      </c>
      <c r="AE572" s="57" cm="1">
        <f t="array" ref="AE572">VLOOKUP(B572,'Player Data'!$A1:$AE673,19,FALSE)*$Q572*IFERROR((VLOOKUP(P572,Settings!$E$28:$F$33,2,FALSE)+1),1)</f>
        <v>1.3981351829451123</v>
      </c>
      <c r="AF572" s="57" cm="1">
        <f t="array" ref="AF572">VLOOKUP(B572,'Player Data'!$A1:$AE673,20,FALSE)*$Q572</f>
        <v>131.44321761798179</v>
      </c>
      <c r="AG572" s="57" cm="1">
        <f t="array" ref="AG572">VLOOKUP(B572,'Player Data'!$A1:$AE673,21,FALSE)*$Q572</f>
        <v>148.94058269341318</v>
      </c>
      <c r="AH572" s="59" cm="1">
        <f t="array" ref="AH572">VLOOKUP(B572,'Player Data'!$A1:$AE673,22,FALSE)</f>
        <v>0.468797475003907</v>
      </c>
      <c r="AI572" s="55"/>
      <c r="AJ572" s="57"/>
      <c r="AK572" s="57"/>
      <c r="AL572" s="57"/>
      <c r="AM572" s="57"/>
      <c r="AN572" s="57"/>
      <c r="AO572" s="57"/>
      <c r="AP572" s="57"/>
      <c r="AQ572" s="60"/>
      <c r="AR572" s="61"/>
      <c r="AS572" s="55"/>
    </row>
    <row r="573" spans="1:45" ht="21.25" customHeight="1" x14ac:dyDescent="0.15">
      <c r="A573" s="62">
        <f t="shared" si="8"/>
        <v>572</v>
      </c>
      <c r="B573" s="10" t="s">
        <v>701</v>
      </c>
      <c r="C573" s="47" t="s">
        <v>147</v>
      </c>
      <c r="D573" s="48" t="str" cm="1">
        <f t="array" ref="D573">VLOOKUP(B573,'Player Data'!A1:D673,4,FALSE)</f>
        <v>LW</v>
      </c>
      <c r="E573" s="75" cm="1">
        <f t="array" ref="E573">VLOOKUP(B573,LW!A1:C210,3,FALSE)</f>
        <v>160</v>
      </c>
      <c r="F573" s="56" t="str" cm="1">
        <f t="array" ref="F573">VLOOKUP(B573,'Player Data'!A1:B673,2,FALSE)</f>
        <v>CHI</v>
      </c>
      <c r="G573" s="71" cm="1">
        <f t="array" ref="G573">VLOOKUP(B573,'Player Data'!A1:D673,3,FALSE)</f>
        <v>21</v>
      </c>
      <c r="H573" s="51" cm="1">
        <f t="array" ref="H573">IFERROR(VLOOKUP(B573,ADP!A1:F671,6,FALSE)/1000000,VLOOKUP(B573,ADP!A1:F671,6,FALSE))</f>
        <v>0.92500000000000004</v>
      </c>
      <c r="I573" s="52">
        <f>IF(Settings!$E$15="POINTS",((R573*Q573)*Settings!$B$12)+(S573*Settings!$B$2)+(T573*Settings!$B$3)+(U573*Settings!$B$4)+(V573*Settings!$B$5)+(X573*Settings!$B$9)+(AA573*Settings!$B$6)+(W573*Settings!$B$8)+(AB573*Settings!$B$7)+(AC573*Settings!$B$14)+(AD573*Settings!$B$15)+(AE573*Settings!$B$16)+(AF573*Settings!$B$17)+(AG573*Settings!$B$18)+(Y573*Settings!$B$10)+(Z573*Settings!$B$11),VLOOKUP(B573,'Standard Deviations'!A$1:C$672,3,FALSE))</f>
        <v>137.17876110305801</v>
      </c>
      <c r="J573" s="53" cm="1">
        <f t="array" ref="J573">IF(D573="G",I573/AJ573,I573/Q573)</f>
        <v>2.0469859151392673</v>
      </c>
      <c r="K573" s="52" cm="1">
        <f t="array" ref="K573">IF(Settings!$E$18="C/LW/RW",VLOOKUP(B573,LW!A1:F210,6,FALSE),VLOOKUP(B573,F!A1:F407,6,FALSE))</f>
        <v>-262.13423221066205</v>
      </c>
      <c r="L573" s="54" cm="1">
        <f t="array" ref="L573">IFERROR(K573/H573,"N/A")</f>
        <v>-283.38835914666168</v>
      </c>
      <c r="M573" s="85" t="s">
        <v>832</v>
      </c>
      <c r="N573" s="85" t="str" cm="1">
        <f t="array" ref="N573">IFERROR(M573-A573,"N/A")</f>
        <v>N/A</v>
      </c>
      <c r="O573" s="55"/>
      <c r="P573" s="56" t="str" cm="1">
        <f t="array" ref="P573">_xlfn.XLOOKUP($B573,ADP!A2:A671,ADP!G2:G671)</f>
        <v xml:space="preserve"> </v>
      </c>
      <c r="Q573" s="57" cm="1">
        <f t="array" ref="Q573">IF(Settings!$E$12="YES",VLOOKUP(B573,'Player Data'!A1:E673,5,FALSE),84)</f>
        <v>67.015000000000001</v>
      </c>
      <c r="R573" s="55" cm="1">
        <f t="array" ref="R573">VLOOKUP(B573,'Player Data'!$A1:$AE673,6,FALSE)</f>
        <v>12.657496496688401</v>
      </c>
      <c r="S573" s="57" cm="1">
        <f t="array" ref="S573">VLOOKUP(B573,'Player Data'!$A1:$AE673,7,FALSE)*$Q573*IFERROR((VLOOKUP(P573,Settings!$E$28:$F$33,2,FALSE)+1),1)</f>
        <v>14.047565632877467</v>
      </c>
      <c r="T573" s="57" cm="1">
        <f t="array" ref="T573">VLOOKUP(B573,'Player Data'!$A1:$AE673,8,FALSE)*$Q573*IFERROR((VLOOKUP(P573,Settings!$E$28:$F$33,2,FALSE)+1),1)</f>
        <v>11.432681496044273</v>
      </c>
      <c r="U573" s="57" cm="1">
        <f t="array" ref="U573">SUM(S573:T573)</f>
        <v>25.480247128921739</v>
      </c>
      <c r="V573" s="57" cm="1">
        <f t="array" ref="V573">VLOOKUP(B573,'Player Data'!$A1:$AE673,10,FALSE)*$Q573*IFERROR(((VLOOKUP(P573,Settings!$E$28:$F$33,2,FALSE)/2)+1),1)</f>
        <v>91.061910715421305</v>
      </c>
      <c r="W573" s="57" cm="1">
        <f t="array" ref="W573">VLOOKUP(B573,'Player Data'!$A1:$AE673,11,FALSE)*$Q573*IFERROR((VLOOKUP(P573,Settings!$E$28:$F$33,2,FALSE)+1),1)</f>
        <v>1.760738257611443</v>
      </c>
      <c r="X573" s="57" cm="1">
        <f t="array" ref="X573">VLOOKUP(B573,'Player Data'!$A1:$AE673,12,FALSE)*$Q573*IFERROR((VLOOKUP(P573,Settings!$E$28:$F$33,2,FALSE)+1),1)</f>
        <v>3.2844637292619927</v>
      </c>
      <c r="Y573" s="57" cm="1">
        <f t="array" ref="Y573">VLOOKUP(B573,'Player Data'!$A1:$AE673,13,FALSE)*$Q573</f>
        <v>1.4612051931735478E-3</v>
      </c>
      <c r="Z573" s="57" cm="1">
        <f t="array" ref="Z573">VLOOKUP(B573,'Player Data'!$A1:$AE673,14,FALSE)*$Q573</f>
        <v>2.4312004343906993E-3</v>
      </c>
      <c r="AA573" s="57" cm="1">
        <f t="array" ref="AA573">VLOOKUP(B573,'Player Data'!$A1:$AE673,15,FALSE)*$Q573</f>
        <v>23.840338857771528</v>
      </c>
      <c r="AB573" s="57" cm="1">
        <f t="array" ref="AB573">VLOOKUP(B573,'Player Data'!$A1:$AE673,16,FALSE)*$Q573</f>
        <v>86.415892459067308</v>
      </c>
      <c r="AC573" s="57" cm="1">
        <f t="array" ref="AC573">VLOOKUP(B573,'Player Data'!$A1:$AE673,17,FALSE)*$Q573*IFERROR((VLOOKUP(P573,Settings!$E$28:$F$33,2,FALSE)+1),1)</f>
        <v>-7.7316103467152066</v>
      </c>
      <c r="AD573" s="57" cm="1">
        <f t="array" ref="AD573">VLOOKUP(B573,'Player Data'!$A1:$AE673,18,FALSE)*$Q573</f>
        <v>18.575632708336798</v>
      </c>
      <c r="AE573" s="57" cm="1">
        <f t="array" ref="AE573">VLOOKUP(B573,'Player Data'!$A1:$AE673,19,FALSE)*$Q573*IFERROR((VLOOKUP(P573,Settings!$E$28:$F$33,2,FALSE)+1),1)</f>
        <v>1.7336950443808006</v>
      </c>
      <c r="AF573" s="57" cm="1">
        <f t="array" ref="AF573">VLOOKUP(B573,'Player Data'!$A1:$AE673,20,FALSE)*$Q573</f>
        <v>1.6303883132326944</v>
      </c>
      <c r="AG573" s="57" cm="1">
        <f t="array" ref="AG573">VLOOKUP(B573,'Player Data'!$A1:$AE673,21,FALSE)*$Q573</f>
        <v>1.6303883132326944</v>
      </c>
      <c r="AH573" s="59" cm="1">
        <f t="array" ref="AH573">VLOOKUP(B573,'Player Data'!$A1:$AE673,22,FALSE)</f>
        <v>0.5</v>
      </c>
      <c r="AI573" s="55"/>
      <c r="AJ573" s="57"/>
      <c r="AK573" s="57"/>
      <c r="AL573" s="57"/>
      <c r="AM573" s="57"/>
      <c r="AN573" s="57"/>
      <c r="AO573" s="57"/>
      <c r="AP573" s="57"/>
      <c r="AQ573" s="60"/>
      <c r="AR573" s="61"/>
      <c r="AS573" s="55"/>
    </row>
    <row r="574" spans="1:45" ht="21.25" customHeight="1" x14ac:dyDescent="0.15">
      <c r="A574" s="62">
        <f t="shared" si="8"/>
        <v>573</v>
      </c>
      <c r="B574" s="10" t="s">
        <v>702</v>
      </c>
      <c r="C574" s="47" t="s">
        <v>147</v>
      </c>
      <c r="D574" s="48" t="str" cm="1">
        <f t="array" ref="D574">VLOOKUP(B574,'Player Data'!A1:D673,4,FALSE)</f>
        <v>C</v>
      </c>
      <c r="E574" s="49" cm="1">
        <f t="array" ref="E574">VLOOKUP(B574,'C'!A1:C210,3,FALSE)</f>
        <v>171</v>
      </c>
      <c r="F574" s="65" t="str" cm="1">
        <f t="array" ref="F574">VLOOKUP(B574,'Player Data'!A1:B673,2,FALSE)</f>
        <v>T.B</v>
      </c>
      <c r="G574" s="71" cm="1">
        <f t="array" ref="G574">VLOOKUP(B574,'Player Data'!A1:D673,3,FALSE)</f>
        <v>24</v>
      </c>
      <c r="H574" s="51" cm="1">
        <f t="array" ref="H574">IFERROR(VLOOKUP(B574,ADP!A1:F671,6,FALSE)/1000000,VLOOKUP(B574,ADP!A1:F671,6,FALSE))</f>
        <v>0.91</v>
      </c>
      <c r="I574" s="52">
        <f>IF(Settings!$E$15="POINTS",((R574*Q574)*Settings!$B$12)+(S574*Settings!$B$2)+(T574*Settings!$B$3)+(U574*Settings!$B$4)+(V574*Settings!$B$5)+(X574*Settings!$B$9)+(AA574*Settings!$B$6)+(W574*Settings!$B$8)+(AB574*Settings!$B$7)+(AC574*Settings!$B$14)+(AD574*Settings!$B$15)+(AE574*Settings!$B$16)+(AF574*Settings!$B$17)+(AG574*Settings!$B$18)+(Y574*Settings!$B$10)+(Z574*Settings!$B$11),VLOOKUP(B574,'Standard Deviations'!A$1:C$672,3,FALSE))</f>
        <v>124.26496142388649</v>
      </c>
      <c r="J574" s="53" cm="1">
        <f t="array" ref="J574">IF(D574="G",I574/AJ574,I574/Q574)</f>
        <v>1.8316008758771685</v>
      </c>
      <c r="K574" s="52" cm="1">
        <f t="array" ref="K574">IF(Settings!$E$18="C/LW/RW",VLOOKUP(B574,'C'!A1:F210,6,FALSE),VLOOKUP(B574,F!A1:F407,6,FALSE))</f>
        <v>-262.27024496919648</v>
      </c>
      <c r="L574" s="54" cm="1">
        <f t="array" ref="L574">IFERROR(K574/H574,"N/A")</f>
        <v>-288.20906040571043</v>
      </c>
      <c r="M574" s="85" t="s">
        <v>832</v>
      </c>
      <c r="N574" s="85" t="str" cm="1">
        <f t="array" ref="N574">IFERROR(M574-A574,"N/A")</f>
        <v>N/A</v>
      </c>
      <c r="O574" s="55"/>
      <c r="P574" s="56" t="str" cm="1">
        <f t="array" ref="P574">_xlfn.XLOOKUP($B574,ADP!A2:A671,ADP!G2:G671)</f>
        <v xml:space="preserve"> </v>
      </c>
      <c r="Q574" s="57" cm="1">
        <f t="array" ref="Q574">IF(Settings!$E$12="YES",VLOOKUP(B574,'Player Data'!A1:E673,5,FALSE),84)</f>
        <v>67.844999999999999</v>
      </c>
      <c r="R574" s="55" cm="1">
        <f t="array" ref="R574">VLOOKUP(B574,'Player Data'!$A1:$AE673,6,FALSE)</f>
        <v>11.7726747877061</v>
      </c>
      <c r="S574" s="57" cm="1">
        <f t="array" ref="S574">VLOOKUP(B574,'Player Data'!$A1:$AE673,7,FALSE)*$Q574*IFERROR((VLOOKUP(P574,Settings!$E$28:$F$33,2,FALSE)+1),1)</f>
        <v>10.320767703731379</v>
      </c>
      <c r="T574" s="57" cm="1">
        <f t="array" ref="T574">VLOOKUP(B574,'Player Data'!$A1:$AE673,8,FALSE)*$Q574*IFERROR((VLOOKUP(P574,Settings!$E$28:$F$33,2,FALSE)+1),1)</f>
        <v>12.599684676684564</v>
      </c>
      <c r="U574" s="57" cm="1">
        <f t="array" ref="U574">SUM(S574:T574)</f>
        <v>22.920452380415945</v>
      </c>
      <c r="V574" s="57" cm="1">
        <f t="array" ref="V574">VLOOKUP(B574,'Player Data'!$A1:$AE673,10,FALSE)*$Q574*IFERROR(((VLOOKUP(P574,Settings!$E$28:$F$33,2,FALSE)/2)+1),1)</f>
        <v>84.83742811066378</v>
      </c>
      <c r="W574" s="57" cm="1">
        <f t="array" ref="W574">VLOOKUP(B574,'Player Data'!$A1:$AE673,11,FALSE)*$Q574*IFERROR((VLOOKUP(P574,Settings!$E$28:$F$33,2,FALSE)+1),1)</f>
        <v>0.57238337482635826</v>
      </c>
      <c r="X574" s="57" cm="1">
        <f t="array" ref="X574">VLOOKUP(B574,'Player Data'!$A1:$AE673,12,FALSE)*$Q574*IFERROR((VLOOKUP(P574,Settings!$E$28:$F$33,2,FALSE)+1),1)</f>
        <v>1.3677477587006897</v>
      </c>
      <c r="Y574" s="57" cm="1">
        <f t="array" ref="Y574">VLOOKUP(B574,'Player Data'!$A1:$AE673,13,FALSE)*$Q574</f>
        <v>2.2685884631596202E-2</v>
      </c>
      <c r="Z574" s="57" cm="1">
        <f t="array" ref="Z574">VLOOKUP(B574,'Player Data'!$A1:$AE673,14,FALSE)*$Q574</f>
        <v>3.7262380614046013E-2</v>
      </c>
      <c r="AA574" s="57" cm="1">
        <f t="array" ref="AA574">VLOOKUP(B574,'Player Data'!$A1:$AE673,15,FALSE)*$Q574</f>
        <v>23.359760175984068</v>
      </c>
      <c r="AB574" s="57" cm="1">
        <f t="array" ref="AB574">VLOOKUP(B574,'Player Data'!$A1:$AE673,16,FALSE)*$Q574</f>
        <v>94.72933803313208</v>
      </c>
      <c r="AC574" s="57" cm="1">
        <f t="array" ref="AC574">VLOOKUP(B574,'Player Data'!$A1:$AE673,17,FALSE)*$Q574*IFERROR((VLOOKUP(P574,Settings!$E$28:$F$33,2,FALSE)+1),1)</f>
        <v>5.7061984556609495</v>
      </c>
      <c r="AD574" s="57" cm="1">
        <f t="array" ref="AD574">VLOOKUP(B574,'Player Data'!$A1:$AE673,18,FALSE)*$Q574</f>
        <v>16.612264363368336</v>
      </c>
      <c r="AE574" s="57" cm="1">
        <f t="array" ref="AE574">VLOOKUP(B574,'Player Data'!$A1:$AE673,19,FALSE)*$Q574*IFERROR((VLOOKUP(P574,Settings!$E$28:$F$33,2,FALSE)+1),1)</f>
        <v>1.8320336793529823</v>
      </c>
      <c r="AF574" s="57" cm="1">
        <f t="array" ref="AF574">VLOOKUP(B574,'Player Data'!$A1:$AE673,20,FALSE)*$Q574</f>
        <v>210.99562852084233</v>
      </c>
      <c r="AG574" s="57" cm="1">
        <f t="array" ref="AG574">VLOOKUP(B574,'Player Data'!$A1:$AE673,21,FALSE)*$Q574</f>
        <v>207.95972019680221</v>
      </c>
      <c r="AH574" s="59" cm="1">
        <f t="array" ref="AH574">VLOOKUP(B574,'Player Data'!$A1:$AE673,22,FALSE)</f>
        <v>0.50362318840579701</v>
      </c>
      <c r="AI574" s="55"/>
      <c r="AJ574" s="57"/>
      <c r="AK574" s="57"/>
      <c r="AL574" s="57"/>
      <c r="AM574" s="57"/>
      <c r="AN574" s="57"/>
      <c r="AO574" s="57"/>
      <c r="AP574" s="57"/>
      <c r="AQ574" s="60"/>
      <c r="AR574" s="61"/>
      <c r="AS574" s="55"/>
    </row>
    <row r="575" spans="1:45" ht="21.25" customHeight="1" x14ac:dyDescent="0.15">
      <c r="A575" s="62">
        <f t="shared" si="8"/>
        <v>574</v>
      </c>
      <c r="B575" s="10" t="s">
        <v>703</v>
      </c>
      <c r="C575" s="47" t="s">
        <v>147</v>
      </c>
      <c r="D575" s="48" t="str" cm="1">
        <f t="array" ref="D575">VLOOKUP(B575,'Player Data'!A1:D673,4,FALSE)</f>
        <v>LW</v>
      </c>
      <c r="E575" s="75" cm="1">
        <f t="array" ref="E575">VLOOKUP(B575,LW!A1:C210,3,FALSE)</f>
        <v>161</v>
      </c>
      <c r="F575" s="56" t="str" cm="1">
        <f t="array" ref="F575">VLOOKUP(B575,'Player Data'!A1:B673,2,FALSE)</f>
        <v>WSH</v>
      </c>
      <c r="G575" s="11" cm="1">
        <f t="array" ref="G575">VLOOKUP(B575,'Player Data'!A1:D673,3,FALSE)</f>
        <v>29</v>
      </c>
      <c r="H575" s="67" cm="1">
        <f t="array" ref="H575">IFERROR(VLOOKUP(B575,ADP!A1:F671,6,FALSE)/1000000,VLOOKUP(B575,ADP!A1:F671,6,FALSE))</f>
        <v>2.75</v>
      </c>
      <c r="I575" s="52">
        <f>IF(Settings!$E$15="POINTS",((R575*Q575)*Settings!$B$12)+(S575*Settings!$B$2)+(T575*Settings!$B$3)+(U575*Settings!$B$4)+(V575*Settings!$B$5)+(X575*Settings!$B$9)+(AA575*Settings!$B$6)+(W575*Settings!$B$8)+(AB575*Settings!$B$7)+(AC575*Settings!$B$14)+(AD575*Settings!$B$15)+(AE575*Settings!$B$16)+(AF575*Settings!$B$17)+(AG575*Settings!$B$18)+(Y575*Settings!$B$10)+(Z575*Settings!$B$11),VLOOKUP(B575,'Standard Deviations'!A$1:C$672,3,FALSE))</f>
        <v>136.73209980636167</v>
      </c>
      <c r="J575" s="53" cm="1">
        <f t="array" ref="J575">IF(D575="G",I575/AJ575,I575/Q575)</f>
        <v>1.6737411611391704</v>
      </c>
      <c r="K575" s="52" cm="1">
        <f t="array" ref="K575">IF(Settings!$E$18="C/LW/RW",VLOOKUP(B575,LW!A1:F210,6,FALSE),VLOOKUP(B575,F!A1:F407,6,FALSE))</f>
        <v>-262.58089350735838</v>
      </c>
      <c r="L575" s="54" cm="1">
        <f t="array" ref="L575">IFERROR(K575/H575,"N/A")</f>
        <v>-95.483961275403047</v>
      </c>
      <c r="M575" s="85" t="s">
        <v>832</v>
      </c>
      <c r="N575" s="85" t="str" cm="1">
        <f t="array" ref="N575">IFERROR(M575-A575,"N/A")</f>
        <v>N/A</v>
      </c>
      <c r="O575" s="55"/>
      <c r="P575" s="56" t="str" cm="1">
        <f t="array" ref="P575">_xlfn.XLOOKUP($B575,ADP!A2:A671,ADP!G2:G671)</f>
        <v xml:space="preserve"> </v>
      </c>
      <c r="Q575" s="57" cm="1">
        <f t="array" ref="Q575">IF(Settings!$E$12="YES",VLOOKUP(B575,'Player Data'!A1:E673,5,FALSE),84)</f>
        <v>81.692499999999995</v>
      </c>
      <c r="R575" s="84" cm="1">
        <f t="array" ref="R575">VLOOKUP(B575,'Player Data'!$A1:$AE673,6,FALSE)</f>
        <v>12.0572194403055</v>
      </c>
      <c r="S575" s="57" cm="1">
        <f t="array" ref="S575">VLOOKUP(B575,'Player Data'!$A1:$AE673,7,FALSE)*$Q575*IFERROR((VLOOKUP(P575,Settings!$E$28:$F$33,2,FALSE)+1),1)</f>
        <v>9.9855740337287653</v>
      </c>
      <c r="T575" s="57" cm="1">
        <f t="array" ref="T575">VLOOKUP(B575,'Player Data'!$A1:$AE673,8,FALSE)*$Q575*IFERROR((VLOOKUP(P575,Settings!$E$28:$F$33,2,FALSE)+1),1)</f>
        <v>10.020752202648948</v>
      </c>
      <c r="U575" s="57" cm="1">
        <f t="array" ref="U575">SUM(S575:T575)</f>
        <v>20.006326236377713</v>
      </c>
      <c r="V575" s="57" cm="1">
        <f t="array" ref="V575">VLOOKUP(B575,'Player Data'!$A1:$AE673,10,FALSE)*$Q575*IFERROR(((VLOOKUP(P575,Settings!$E$28:$F$33,2,FALSE)/2)+1),1)</f>
        <v>112.09847575550336</v>
      </c>
      <c r="W575" s="57" cm="1">
        <f t="array" ref="W575">VLOOKUP(B575,'Player Data'!$A1:$AE673,11,FALSE)*$Q575*IFERROR((VLOOKUP(P575,Settings!$E$28:$F$33,2,FALSE)+1),1)</f>
        <v>6.7022140918282999E-2</v>
      </c>
      <c r="X575" s="57" cm="1">
        <f t="array" ref="X575">VLOOKUP(B575,'Player Data'!$A1:$AE673,12,FALSE)*$Q575*IFERROR((VLOOKUP(P575,Settings!$E$28:$F$33,2,FALSE)+1),1)</f>
        <v>0.12727631143862761</v>
      </c>
      <c r="Y575" s="57" cm="1">
        <f t="array" ref="Y575">VLOOKUP(B575,'Player Data'!$A1:$AE673,13,FALSE)*$Q575</f>
        <v>0.54041800361017067</v>
      </c>
      <c r="Z575" s="57" cm="1">
        <f t="array" ref="Z575">VLOOKUP(B575,'Player Data'!$A1:$AE673,14,FALSE)*$Q575</f>
        <v>1.339984150060705</v>
      </c>
      <c r="AA575" s="57" cm="1">
        <f t="array" ref="AA575">VLOOKUP(B575,'Player Data'!$A1:$AE673,15,FALSE)*$Q575</f>
        <v>38.39324551595508</v>
      </c>
      <c r="AB575" s="57" cm="1">
        <f t="array" ref="AB575">VLOOKUP(B575,'Player Data'!$A1:$AE673,16,FALSE)*$Q575</f>
        <v>88.730035916303947</v>
      </c>
      <c r="AC575" s="57" cm="1">
        <f t="array" ref="AC575">VLOOKUP(B575,'Player Data'!$A1:$AE673,17,FALSE)*$Q575*IFERROR((VLOOKUP(P575,Settings!$E$28:$F$33,2,FALSE)+1),1)</f>
        <v>3.3548101225419313</v>
      </c>
      <c r="AD575" s="57" cm="1">
        <f t="array" ref="AD575">VLOOKUP(B575,'Player Data'!$A1:$AE673,18,FALSE)*$Q575</f>
        <v>19.039493505458992</v>
      </c>
      <c r="AE575" s="57" cm="1">
        <f t="array" ref="AE575">VLOOKUP(B575,'Player Data'!$A1:$AE673,19,FALSE)*$Q575*IFERROR((VLOOKUP(P575,Settings!$E$28:$F$33,2,FALSE)+1),1)</f>
        <v>1.495532580163951</v>
      </c>
      <c r="AF575" s="57" cm="1">
        <f t="array" ref="AF575">VLOOKUP(B575,'Player Data'!$A1:$AE673,20,FALSE)*$Q575</f>
        <v>31.160637272128241</v>
      </c>
      <c r="AG575" s="57" cm="1">
        <f t="array" ref="AG575">VLOOKUP(B575,'Player Data'!$A1:$AE673,21,FALSE)*$Q575</f>
        <v>32.239031434796452</v>
      </c>
      <c r="AH575" s="59" cm="1">
        <f t="array" ref="AH575">VLOOKUP(B575,'Player Data'!$A1:$AE673,22,FALSE)</f>
        <v>0.491495269733559</v>
      </c>
      <c r="AI575" s="55"/>
      <c r="AJ575" s="57"/>
      <c r="AK575" s="57"/>
      <c r="AL575" s="57"/>
      <c r="AM575" s="57"/>
      <c r="AN575" s="57"/>
      <c r="AO575" s="57"/>
      <c r="AP575" s="57"/>
      <c r="AQ575" s="60"/>
      <c r="AR575" s="61"/>
      <c r="AS575" s="55"/>
    </row>
    <row r="576" spans="1:45" ht="21.25" customHeight="1" x14ac:dyDescent="0.15">
      <c r="A576" s="62">
        <f t="shared" si="8"/>
        <v>575</v>
      </c>
      <c r="B576" s="10" t="s">
        <v>704</v>
      </c>
      <c r="C576" s="76"/>
      <c r="D576" s="48" t="str" cm="1">
        <f t="array" ref="D576">VLOOKUP(B576,'Player Data'!A1:D673,4,FALSE)</f>
        <v>G</v>
      </c>
      <c r="E576" s="77" cm="1">
        <f t="array" ref="E576">VLOOKUP(B576,G!A1:D66,3,FALSE)</f>
        <v>63</v>
      </c>
      <c r="F576" s="65" t="str" cm="1">
        <f t="array" ref="F576">VLOOKUP(B576,'Player Data'!A1:B673,2,FALSE)</f>
        <v>NSH</v>
      </c>
      <c r="G576" s="11" cm="1">
        <f t="array" ref="G576">VLOOKUP(B576,'Player Data'!A1:D673,3,FALSE)</f>
        <v>26</v>
      </c>
      <c r="H576" s="51" cm="1">
        <f t="array" ref="H576">IFERROR(VLOOKUP(B576,ADP!A1:F671,6,FALSE)/1000000,VLOOKUP(B576,ADP!A1:F671,6,FALSE))</f>
        <v>1.25</v>
      </c>
      <c r="I576" s="52">
        <f>IF(Settings!$E$15="POINTS",(AJ576*Settings!$B$29)+(AK576*Settings!$B$21)+(AL576*Settings!$B$22)+(AN576*Settings!$B$24)+(AO576*Settings!$B$25)+(AP576*Settings!$B$27)+(AM576*Settings!$B$23),VLOOKUP(B576,'Standard Deviations'!A$1:C$672,3,FALSE))</f>
        <v>96.355659479106578</v>
      </c>
      <c r="J576" s="53" cm="1">
        <f t="array" ref="J576">IF(D576="G",I576/AJ576,I576/Q576)</f>
        <v>4.8177829739553291</v>
      </c>
      <c r="K576" s="52" cm="1">
        <f t="array" ref="K576">VLOOKUP(B576,G!A1:F66,6,FALSE)</f>
        <v>-262.80224845113145</v>
      </c>
      <c r="L576" s="54" cm="1">
        <f t="array" ref="L576">IFERROR(K576/H576,"N/A")</f>
        <v>-210.24179876090517</v>
      </c>
      <c r="M576" s="85" t="s">
        <v>832</v>
      </c>
      <c r="N576" s="85" t="str" cm="1">
        <f t="array" ref="N576">IFERROR(M576-A576,"N/A")</f>
        <v>N/A</v>
      </c>
      <c r="O576" s="55"/>
      <c r="P576" s="56" t="str" cm="1">
        <f t="array" ref="P576">_xlfn.XLOOKUP($B576,ADP!A2:A671,ADP!G2:G671)</f>
        <v xml:space="preserve"> </v>
      </c>
      <c r="Q576" s="57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9"/>
      <c r="AI576" s="55"/>
      <c r="AJ576" s="78" cm="1">
        <f t="array" ref="AJ576">VLOOKUP(B576,'Player Data'!$A1:$AE673,24,FALSE)</f>
        <v>20</v>
      </c>
      <c r="AK576" s="57" cm="1">
        <f t="array" ref="AK576">VLOOKUP(B576,'Player Data'!$A1:$AE673,25,FALSE)*$AJ576*IFERROR((VLOOKUP(P576,Settings!$E$28:$F$33,2,FALSE)+1),1)</f>
        <v>8.926647435500799</v>
      </c>
      <c r="AL576" s="57" cm="1">
        <f t="array" ref="AL576">AJ576-AK576-AM576</f>
        <v>8.3050144233744021</v>
      </c>
      <c r="AM576" s="57" cm="1">
        <f t="array" ref="AM576">VLOOKUP(B576,'Player Data'!$A1:$AE673,27,FALSE)*$AJ576</f>
        <v>2.7683381411247998</v>
      </c>
      <c r="AN576" s="57" cm="1">
        <f t="array" ref="AN576">VLOOKUP(B576,'Player Data'!$A1:$AE673,28,FALSE)*AJ576</f>
        <v>0.81517390308139204</v>
      </c>
      <c r="AO576" s="57" cm="1">
        <f t="array" ref="AO576">VLOOKUP(B576,'Player Data'!$A1:$AE673,29,FALSE)*$AJ576*IFERROR((VLOOKUP(P576,Settings!$E$28:$F$33,2,FALSE)/4)+1,1)</f>
        <v>498.84250776301997</v>
      </c>
      <c r="AP576" s="57" cm="1">
        <f t="array" ref="AP576">VLOOKUP(B576,'Player Data'!$A1:$AE673,31,FALSE)*$AJ576*(IFERROR(1-(VLOOKUP(P576,Settings!$E$28:$F$33,2,FALSE)/4),1))</f>
        <v>60.220236870662404</v>
      </c>
      <c r="AQ576" s="60" cm="1">
        <f t="array" ref="AQ576">1-(AP576/(AO576+AP576))</f>
        <v>0.89228358095991389</v>
      </c>
      <c r="AR576" s="61" cm="1">
        <f t="array" ref="AR576">AP576/AJ576</f>
        <v>3.0110118435331201</v>
      </c>
      <c r="AS576" s="55"/>
    </row>
    <row r="577" spans="1:45" ht="21.25" customHeight="1" x14ac:dyDescent="0.15">
      <c r="A577" s="62">
        <f t="shared" si="8"/>
        <v>576</v>
      </c>
      <c r="B577" s="10" t="s">
        <v>705</v>
      </c>
      <c r="C577" s="47" t="s">
        <v>147</v>
      </c>
      <c r="D577" s="48" t="str" cm="1">
        <f t="array" ref="D577">VLOOKUP(B577,'Player Data'!A1:D673,4,FALSE)</f>
        <v>LW</v>
      </c>
      <c r="E577" s="75" cm="1">
        <f t="array" ref="E577">VLOOKUP(B577,LW!A1:C210,3,FALSE)</f>
        <v>162</v>
      </c>
      <c r="F577" s="56" t="str" cm="1">
        <f t="array" ref="F577">VLOOKUP(B577,'Player Data'!A1:B673,2,FALSE)</f>
        <v>PHI</v>
      </c>
      <c r="G577" s="71" cm="1">
        <f t="array" ref="G577">VLOOKUP(B577,'Player Data'!A1:D673,3,FALSE)</f>
        <v>21</v>
      </c>
      <c r="H577" s="51" cm="1">
        <f t="array" ref="H577">IFERROR(VLOOKUP(B577,ADP!A1:F671,6,FALSE)/1000000,VLOOKUP(B577,ADP!A1:F671,6,FALSE))</f>
        <v>0.91666700000000001</v>
      </c>
      <c r="I577" s="52">
        <f>IF(Settings!$E$15="POINTS",((R577*Q577)*Settings!$B$12)+(S577*Settings!$B$2)+(T577*Settings!$B$3)+(U577*Settings!$B$4)+(V577*Settings!$B$5)+(X577*Settings!$B$9)+(AA577*Settings!$B$6)+(W577*Settings!$B$8)+(AB577*Settings!$B$7)+(AC577*Settings!$B$14)+(AD577*Settings!$B$15)+(AE577*Settings!$B$16)+(AF577*Settings!$B$17)+(AG577*Settings!$B$18)+(Y577*Settings!$B$10)+(Z577*Settings!$B$11),VLOOKUP(B577,'Standard Deviations'!A$1:C$672,3,FALSE))</f>
        <v>135.91203839227461</v>
      </c>
      <c r="J577" s="53" cm="1">
        <f t="array" ref="J577">IF(D577="G",I577/AJ577,I577/Q577)</f>
        <v>1.9416005484610659</v>
      </c>
      <c r="K577" s="52" cm="1">
        <f t="array" ref="K577">IF(Settings!$E$18="C/LW/RW",VLOOKUP(B577,LW!A1:F210,6,FALSE),VLOOKUP(B577,F!A1:F407,6,FALSE))</f>
        <v>-263.40095492144548</v>
      </c>
      <c r="L577" s="54" cm="1">
        <f t="array" ref="L577">IFERROR(K577/H577,"N/A")</f>
        <v>-287.34639178834351</v>
      </c>
      <c r="M577" s="85" t="s">
        <v>832</v>
      </c>
      <c r="N577" s="85" t="str" cm="1">
        <f t="array" ref="N577">IFERROR(M577-A577,"N/A")</f>
        <v>N/A</v>
      </c>
      <c r="O577" s="55"/>
      <c r="P577" s="56" t="str" cm="1">
        <f t="array" ref="P577">_xlfn.XLOOKUP($B577,ADP!A2:A671,ADP!G2:G671)</f>
        <v xml:space="preserve"> </v>
      </c>
      <c r="Q577" s="57" cm="1">
        <f t="array" ref="Q577">IF(Settings!$E$12="YES",VLOOKUP(B577,'Player Data'!A1:E673,5,FALSE),84)</f>
        <v>70</v>
      </c>
      <c r="R577" s="55" cm="1">
        <f t="array" ref="R577">VLOOKUP(B577,'Player Data'!$A1:$AE673,6,FALSE)</f>
        <v>12.7519204708851</v>
      </c>
      <c r="S577" s="57" cm="1">
        <f t="array" ref="S577">VLOOKUP(B577,'Player Data'!$A1:$AE673,7,FALSE)*$Q577*IFERROR((VLOOKUP(P577,Settings!$E$28:$F$33,2,FALSE)+1),1)</f>
        <v>9.6748752042336097</v>
      </c>
      <c r="T577" s="57" cm="1">
        <f t="array" ref="T577">VLOOKUP(B577,'Player Data'!$A1:$AE673,8,FALSE)*$Q577*IFERROR((VLOOKUP(P577,Settings!$E$28:$F$33,2,FALSE)+1),1)</f>
        <v>17.234844887714161</v>
      </c>
      <c r="U577" s="57" cm="1">
        <f t="array" ref="U577">SUM(S577:T577)</f>
        <v>26.909720091947769</v>
      </c>
      <c r="V577" s="57" cm="1">
        <f t="array" ref="V577">VLOOKUP(B577,'Player Data'!$A1:$AE673,10,FALSE)*$Q577*IFERROR(((VLOOKUP(P577,Settings!$E$28:$F$33,2,FALSE)/2)+1),1)</f>
        <v>73.149113665840105</v>
      </c>
      <c r="W577" s="57" cm="1">
        <f t="array" ref="W577">VLOOKUP(B577,'Player Data'!$A1:$AE673,11,FALSE)*$Q577*IFERROR((VLOOKUP(P577,Settings!$E$28:$F$33,2,FALSE)+1),1)</f>
        <v>1.1922094961324519</v>
      </c>
      <c r="X577" s="57" cm="1">
        <f t="array" ref="X577">VLOOKUP(B577,'Player Data'!$A1:$AE673,12,FALSE)*$Q577*IFERROR((VLOOKUP(P577,Settings!$E$28:$F$33,2,FALSE)+1),1)</f>
        <v>3.7272090133227178</v>
      </c>
      <c r="Y577" s="57" cm="1">
        <f t="array" ref="Y577">VLOOKUP(B577,'Player Data'!$A1:$AE673,13,FALSE)*$Q577</f>
        <v>2.3926596695463139E-3</v>
      </c>
      <c r="Z577" s="57" cm="1">
        <f t="array" ref="Z577">VLOOKUP(B577,'Player Data'!$A1:$AE673,14,FALSE)*$Q577</f>
        <v>3.8467364409252168E-3</v>
      </c>
      <c r="AA577" s="57" cm="1">
        <f t="array" ref="AA577">VLOOKUP(B577,'Player Data'!$A1:$AE673,15,FALSE)*$Q577</f>
        <v>29.754531067495222</v>
      </c>
      <c r="AB577" s="57" cm="1">
        <f t="array" ref="AB577">VLOOKUP(B577,'Player Data'!$A1:$AE673,16,FALSE)*$Q577</f>
        <v>69.334318649884679</v>
      </c>
      <c r="AC577" s="57" cm="1">
        <f t="array" ref="AC577">VLOOKUP(B577,'Player Data'!$A1:$AE673,17,FALSE)*$Q577*IFERROR((VLOOKUP(P577,Settings!$E$28:$F$33,2,FALSE)+1),1)</f>
        <v>0.72065408164019895</v>
      </c>
      <c r="AD577" s="57" cm="1">
        <f t="array" ref="AD577">VLOOKUP(B577,'Player Data'!$A1:$AE673,18,FALSE)*$Q577</f>
        <v>22.67461154542157</v>
      </c>
      <c r="AE577" s="57" cm="1">
        <f t="array" ref="AE577">VLOOKUP(B577,'Player Data'!$A1:$AE673,19,FALSE)*$Q577*IFERROR((VLOOKUP(P577,Settings!$E$28:$F$33,2,FALSE)+1),1)</f>
        <v>1.528968507861312</v>
      </c>
      <c r="AF577" s="57" cm="1">
        <f t="array" ref="AF577">VLOOKUP(B577,'Player Data'!$A1:$AE673,20,FALSE)*$Q577</f>
        <v>10.8382034113885</v>
      </c>
      <c r="AG577" s="57" cm="1">
        <f t="array" ref="AG577">VLOOKUP(B577,'Player Data'!$A1:$AE673,21,FALSE)*$Q577</f>
        <v>17.03146250361052</v>
      </c>
      <c r="AH577" s="59" cm="1">
        <f t="array" ref="AH577">VLOOKUP(B577,'Player Data'!$A1:$AE673,22,FALSE)</f>
        <v>0.38888888888888901</v>
      </c>
      <c r="AI577" s="55"/>
      <c r="AJ577" s="57"/>
      <c r="AK577" s="57"/>
      <c r="AL577" s="57"/>
      <c r="AM577" s="57"/>
      <c r="AN577" s="57"/>
      <c r="AO577" s="57"/>
      <c r="AP577" s="57"/>
      <c r="AQ577" s="60"/>
      <c r="AR577" s="61"/>
      <c r="AS577" s="55"/>
    </row>
    <row r="578" spans="1:45" ht="21.25" customHeight="1" x14ac:dyDescent="0.15">
      <c r="A578" s="62">
        <f t="shared" ref="A578:A641" si="9">RANK(K578,K$2:K$671)</f>
        <v>577</v>
      </c>
      <c r="B578" s="10" t="s">
        <v>706</v>
      </c>
      <c r="C578" s="47" t="s">
        <v>147</v>
      </c>
      <c r="D578" s="48" t="str" cm="1">
        <f t="array" ref="D578">VLOOKUP(B578,'Player Data'!A1:D673,4,FALSE)</f>
        <v>C,RW</v>
      </c>
      <c r="E578" s="74" cm="1">
        <f t="array" ref="E578">VLOOKUP(B578,RW!A1:F210,3,FALSE)</f>
        <v>166</v>
      </c>
      <c r="F578" s="56" t="str" cm="1">
        <f t="array" ref="F578">VLOOKUP(B578,'Player Data'!A1:B673,2,FALSE)</f>
        <v>CHI</v>
      </c>
      <c r="G578" s="71" cm="1">
        <f t="array" ref="G578">VLOOKUP(B578,'Player Data'!A1:D673,3,FALSE)</f>
        <v>21</v>
      </c>
      <c r="H578" s="51" cm="1">
        <f t="array" ref="H578">IFERROR(VLOOKUP(B578,ADP!A1:F671,6,FALSE)/1000000,VLOOKUP(B578,ADP!A1:F671,6,FALSE))</f>
        <v>0.94166700000000003</v>
      </c>
      <c r="I578" s="52">
        <f>IF(Settings!$E$15="POINTS",((R578*Q578)*Settings!$B$12)+(S578*Settings!$B$2)+(T578*Settings!$B$3)+(U578*Settings!$B$4)+(V578*Settings!$B$5)+(X578*Settings!$B$9)+(AA578*Settings!$B$6)+(W578*Settings!$B$8)+(AB578*Settings!$B$7)+(AC578*Settings!$B$14)+(AD578*Settings!$B$15)+(AE578*Settings!$B$16)+(AF578*Settings!$B$17)+(AG578*Settings!$B$18)+(Y578*Settings!$B$10)+(Z578*Settings!$B$11),VLOOKUP(B578,'Standard Deviations'!A$1:C$672,3,FALSE))</f>
        <v>129.91200386225688</v>
      </c>
      <c r="J578" s="53" cm="1">
        <f t="array" ref="J578">IF(D578="G",I578/AJ578,I578/Q578)</f>
        <v>1.8255041644383738</v>
      </c>
      <c r="K578" s="52" cm="1">
        <f t="array" ref="K578">IF(Settings!$E$18="C/LW/RW",VLOOKUP(B578,RW!A1:F210,6,FALSE),VLOOKUP(B578,F!A1:F407,6,FALSE))</f>
        <v>-265.03146083130059</v>
      </c>
      <c r="L578" s="54" cm="1">
        <f t="array" ref="L578">IFERROR(K578/H578,"N/A")</f>
        <v>-281.44923930784512</v>
      </c>
      <c r="M578" s="85" t="s">
        <v>832</v>
      </c>
      <c r="N578" s="85" t="str" cm="1">
        <f t="array" ref="N578">IFERROR(M578-A578,"N/A")</f>
        <v>N/A</v>
      </c>
      <c r="O578" s="55"/>
      <c r="P578" s="56" t="str" cm="1">
        <f t="array" ref="P578">_xlfn.XLOOKUP($B578,ADP!A2:A671,ADP!G2:G671)</f>
        <v xml:space="preserve"> </v>
      </c>
      <c r="Q578" s="57" cm="1">
        <f t="array" ref="Q578">IF(Settings!$E$12="YES",VLOOKUP(B578,'Player Data'!A1:E673,5,FALSE),84)</f>
        <v>71.165000000000006</v>
      </c>
      <c r="R578" s="55" cm="1">
        <f t="array" ref="R578">VLOOKUP(B578,'Player Data'!$A1:$AE673,6,FALSE)</f>
        <v>12.675920695652501</v>
      </c>
      <c r="S578" s="57" cm="1">
        <f t="array" ref="S578">VLOOKUP(B578,'Player Data'!$A1:$AE673,7,FALSE)*$Q578*IFERROR((VLOOKUP(P578,Settings!$E$28:$F$33,2,FALSE)+1),1)</f>
        <v>7.1429359192457849</v>
      </c>
      <c r="T578" s="57" cm="1">
        <f t="array" ref="T578">VLOOKUP(B578,'Player Data'!$A1:$AE673,8,FALSE)*$Q578*IFERROR((VLOOKUP(P578,Settings!$E$28:$F$33,2,FALSE)+1),1)</f>
        <v>17.772168684000764</v>
      </c>
      <c r="U578" s="57" cm="1">
        <f t="array" ref="U578">SUM(S578:T578)</f>
        <v>24.915104603246547</v>
      </c>
      <c r="V578" s="57" cm="1">
        <f t="array" ref="V578">VLOOKUP(B578,'Player Data'!$A1:$AE673,10,FALSE)*$Q578*IFERROR(((VLOOKUP(P578,Settings!$E$28:$F$33,2,FALSE)/2)+1),1)</f>
        <v>79.979335088494437</v>
      </c>
      <c r="W578" s="57" cm="1">
        <f t="array" ref="W578">VLOOKUP(B578,'Player Data'!$A1:$AE673,11,FALSE)*$Q578*IFERROR((VLOOKUP(P578,Settings!$E$28:$F$33,2,FALSE)+1),1)</f>
        <v>1.3288281073750359</v>
      </c>
      <c r="X578" s="57" cm="1">
        <f t="array" ref="X578">VLOOKUP(B578,'Player Data'!$A1:$AE673,12,FALSE)*$Q578*IFERROR((VLOOKUP(P578,Settings!$E$28:$F$33,2,FALSE)+1),1)</f>
        <v>3.2954353365088824</v>
      </c>
      <c r="Y578" s="57" cm="1">
        <f t="array" ref="Y578">VLOOKUP(B578,'Player Data'!$A1:$AE673,13,FALSE)*$Q578</f>
        <v>0.16406637299366864</v>
      </c>
      <c r="Z578" s="57" cm="1">
        <f t="array" ref="Z578">VLOOKUP(B578,'Player Data'!$A1:$AE673,14,FALSE)*$Q578</f>
        <v>0.26988596735440373</v>
      </c>
      <c r="AA578" s="57" cm="1">
        <f t="array" ref="AA578">VLOOKUP(B578,'Player Data'!$A1:$AE673,15,FALSE)*$Q578</f>
        <v>23.223402408813371</v>
      </c>
      <c r="AB578" s="57" cm="1">
        <f t="array" ref="AB578">VLOOKUP(B578,'Player Data'!$A1:$AE673,16,FALSE)*$Q578</f>
        <v>58.07095705603205</v>
      </c>
      <c r="AC578" s="57" cm="1">
        <f t="array" ref="AC578">VLOOKUP(B578,'Player Data'!$A1:$AE673,17,FALSE)*$Q578*IFERROR((VLOOKUP(P578,Settings!$E$28:$F$33,2,FALSE)+1),1)</f>
        <v>-6.6384045012492896</v>
      </c>
      <c r="AD578" s="57" cm="1">
        <f t="array" ref="AD578">VLOOKUP(B578,'Player Data'!$A1:$AE673,18,FALSE)*$Q578</f>
        <v>24.52614302800076</v>
      </c>
      <c r="AE578" s="57" cm="1">
        <f t="array" ref="AE578">VLOOKUP(B578,'Player Data'!$A1:$AE673,19,FALSE)*$Q578*IFERROR((VLOOKUP(P578,Settings!$E$28:$F$33,2,FALSE)+1),1)</f>
        <v>0.8815529273301842</v>
      </c>
      <c r="AF578" s="57" cm="1">
        <f t="array" ref="AF578">VLOOKUP(B578,'Player Data'!$A1:$AE673,20,FALSE)*$Q578</f>
        <v>132.04150484049754</v>
      </c>
      <c r="AG578" s="57" cm="1">
        <f t="array" ref="AG578">VLOOKUP(B578,'Player Data'!$A1:$AE673,21,FALSE)*$Q578</f>
        <v>147.23039950600491</v>
      </c>
      <c r="AH578" s="59" cm="1">
        <f t="array" ref="AH578">VLOOKUP(B578,'Player Data'!$A1:$AE673,22,FALSE)</f>
        <v>0.47280626079975702</v>
      </c>
      <c r="AI578" s="55"/>
      <c r="AJ578" s="57"/>
      <c r="AK578" s="57"/>
      <c r="AL578" s="57"/>
      <c r="AM578" s="57"/>
      <c r="AN578" s="57"/>
      <c r="AO578" s="57"/>
      <c r="AP578" s="57"/>
      <c r="AQ578" s="60"/>
      <c r="AR578" s="61"/>
      <c r="AS578" s="55"/>
    </row>
    <row r="579" spans="1:45" ht="21.25" customHeight="1" x14ac:dyDescent="0.15">
      <c r="A579" s="62">
        <f t="shared" si="9"/>
        <v>578</v>
      </c>
      <c r="B579" s="10" t="s">
        <v>707</v>
      </c>
      <c r="C579" s="47" t="s">
        <v>147</v>
      </c>
      <c r="D579" s="48" t="str" cm="1">
        <f t="array" ref="D579">VLOOKUP(B579,'Player Data'!A1:D673,4,FALSE)</f>
        <v>C</v>
      </c>
      <c r="E579" s="49" cm="1">
        <f t="array" ref="E579">VLOOKUP(B579,'C'!A1:C210,3,FALSE)</f>
        <v>173</v>
      </c>
      <c r="F579" s="63" t="str" cm="1">
        <f t="array" ref="F579">VLOOKUP(B579,'Player Data'!A1:B673,2,FALSE)</f>
        <v>WPG</v>
      </c>
      <c r="G579" s="71" cm="1">
        <f t="array" ref="G579">VLOOKUP(B579,'Player Data'!A1:D673,3,FALSE)</f>
        <v>22</v>
      </c>
      <c r="H579" s="51" cm="1">
        <f t="array" ref="H579">IFERROR(VLOOKUP(B579,ADP!A1:F671,6,FALSE)/1000000,VLOOKUP(B579,ADP!A1:F671,6,FALSE))</f>
        <v>0.88666699999999998</v>
      </c>
      <c r="I579" s="52">
        <f>IF(Settings!$E$15="POINTS",((R579*Q579)*Settings!$B$12)+(S579*Settings!$B$2)+(T579*Settings!$B$3)+(U579*Settings!$B$4)+(V579*Settings!$B$5)+(X579*Settings!$B$9)+(AA579*Settings!$B$6)+(W579*Settings!$B$8)+(AB579*Settings!$B$7)+(AC579*Settings!$B$14)+(AD579*Settings!$B$15)+(AE579*Settings!$B$16)+(AF579*Settings!$B$17)+(AG579*Settings!$B$18)+(Y579*Settings!$B$10)+(Z579*Settings!$B$11),VLOOKUP(B579,'Standard Deviations'!A$1:C$672,3,FALSE))</f>
        <v>121.27710689922661</v>
      </c>
      <c r="J579" s="53" cm="1">
        <f t="array" ref="J579">IF(D579="G",I579/AJ579,I579/Q579)</f>
        <v>2.1960544481525868</v>
      </c>
      <c r="K579" s="52" cm="1">
        <f t="array" ref="K579">IF(Settings!$E$18="C/LW/RW",VLOOKUP(B579,'C'!A1:F210,6,FALSE),VLOOKUP(B579,F!A1:F407,6,FALSE))</f>
        <v>-265.25809949385638</v>
      </c>
      <c r="L579" s="54" cm="1">
        <f t="array" ref="L579">IFERROR(K579/H579,"N/A")</f>
        <v>-299.16315763850059</v>
      </c>
      <c r="M579" s="85" t="s">
        <v>832</v>
      </c>
      <c r="N579" s="85" t="str" cm="1">
        <f t="array" ref="N579">IFERROR(M579-A579,"N/A")</f>
        <v>N/A</v>
      </c>
      <c r="O579" s="55"/>
      <c r="P579" s="56" t="str" cm="1">
        <f t="array" ref="P579">_xlfn.XLOOKUP($B579,ADP!A2:A671,ADP!G2:G671)</f>
        <v xml:space="preserve"> </v>
      </c>
      <c r="Q579" s="57" cm="1">
        <f t="array" ref="Q579">IF(Settings!$E$12="YES",VLOOKUP(B579,'Player Data'!A1:E673,5,FALSE),84)</f>
        <v>55.225000000000001</v>
      </c>
      <c r="R579" s="82" cm="1">
        <f t="array" ref="R579">VLOOKUP(B579,'Player Data'!$A1:$AE673,6,FALSE)</f>
        <v>13.856038707641099</v>
      </c>
      <c r="S579" s="57" cm="1">
        <f t="array" ref="S579">VLOOKUP(B579,'Player Data'!$A1:$AE673,7,FALSE)*$Q579*IFERROR((VLOOKUP(P579,Settings!$E$28:$F$33,2,FALSE)+1),1)</f>
        <v>9.5867145092163888</v>
      </c>
      <c r="T579" s="57" cm="1">
        <f t="array" ref="T579">VLOOKUP(B579,'Player Data'!$A1:$AE673,8,FALSE)*$Q579*IFERROR((VLOOKUP(P579,Settings!$E$28:$F$33,2,FALSE)+1),1)</f>
        <v>12.732771487777208</v>
      </c>
      <c r="U579" s="57" cm="1">
        <f t="array" ref="U579">SUM(S579:T579)</f>
        <v>22.319485996993599</v>
      </c>
      <c r="V579" s="57" cm="1">
        <f t="array" ref="V579">VLOOKUP(B579,'Player Data'!$A1:$AE673,10,FALSE)*$Q579*IFERROR(((VLOOKUP(P579,Settings!$E$28:$F$33,2,FALSE)/2)+1),1)</f>
        <v>78.599893299682847</v>
      </c>
      <c r="W579" s="57" cm="1">
        <f t="array" ref="W579">VLOOKUP(B579,'Player Data'!$A1:$AE673,11,FALSE)*$Q579*IFERROR((VLOOKUP(P579,Settings!$E$28:$F$33,2,FALSE)+1),1)</f>
        <v>1.2500319416051477</v>
      </c>
      <c r="X579" s="57" cm="1">
        <f t="array" ref="X579">VLOOKUP(B579,'Player Data'!$A1:$AE673,12,FALSE)*$Q579*IFERROR((VLOOKUP(P579,Settings!$E$28:$F$33,2,FALSE)+1),1)</f>
        <v>4.0668168202185111</v>
      </c>
      <c r="Y579" s="57" cm="1">
        <f t="array" ref="Y579">VLOOKUP(B579,'Player Data'!$A1:$AE673,13,FALSE)*$Q579</f>
        <v>0</v>
      </c>
      <c r="Z579" s="57" cm="1">
        <f t="array" ref="Z579">VLOOKUP(B579,'Player Data'!$A1:$AE673,14,FALSE)*$Q579</f>
        <v>0</v>
      </c>
      <c r="AA579" s="57" cm="1">
        <f t="array" ref="AA579">VLOOKUP(B579,'Player Data'!$A1:$AE673,15,FALSE)*$Q579</f>
        <v>21.903770876371762</v>
      </c>
      <c r="AB579" s="57" cm="1">
        <f t="array" ref="AB579">VLOOKUP(B579,'Player Data'!$A1:$AE673,16,FALSE)*$Q579</f>
        <v>60.596452156219136</v>
      </c>
      <c r="AC579" s="57" cm="1">
        <f t="array" ref="AC579">VLOOKUP(B579,'Player Data'!$A1:$AE673,17,FALSE)*$Q579*IFERROR((VLOOKUP(P579,Settings!$E$28:$F$33,2,FALSE)+1),1)</f>
        <v>-8.226357263216684E-2</v>
      </c>
      <c r="AD579" s="57" cm="1">
        <f t="array" ref="AD579">VLOOKUP(B579,'Player Data'!$A1:$AE673,18,FALSE)*$Q579</f>
        <v>18.022536606737702</v>
      </c>
      <c r="AE579" s="57" cm="1">
        <f t="array" ref="AE579">VLOOKUP(B579,'Player Data'!$A1:$AE673,19,FALSE)*$Q579*IFERROR((VLOOKUP(P579,Settings!$E$28:$F$33,2,FALSE)+1),1)</f>
        <v>1.6658810274147784</v>
      </c>
      <c r="AF579" s="57" cm="1">
        <f t="array" ref="AF579">VLOOKUP(B579,'Player Data'!$A1:$AE673,20,FALSE)*$Q579</f>
        <v>14.743975942781276</v>
      </c>
      <c r="AG579" s="57" cm="1">
        <f t="array" ref="AG579">VLOOKUP(B579,'Player Data'!$A1:$AE673,21,FALSE)*$Q579</f>
        <v>35.01611723528768</v>
      </c>
      <c r="AH579" s="59" cm="1">
        <f t="array" ref="AH579">VLOOKUP(B579,'Player Data'!$A1:$AE673,22,FALSE)</f>
        <v>0.29630121250012997</v>
      </c>
      <c r="AI579" s="55"/>
      <c r="AJ579" s="57"/>
      <c r="AK579" s="57"/>
      <c r="AL579" s="57"/>
      <c r="AM579" s="57"/>
      <c r="AN579" s="57"/>
      <c r="AO579" s="57"/>
      <c r="AP579" s="57"/>
      <c r="AQ579" s="60"/>
      <c r="AR579" s="61"/>
      <c r="AS579" s="55"/>
    </row>
    <row r="580" spans="1:45" ht="21.25" customHeight="1" x14ac:dyDescent="0.15">
      <c r="A580" s="62">
        <f t="shared" si="9"/>
        <v>579</v>
      </c>
      <c r="B580" s="10" t="s">
        <v>708</v>
      </c>
      <c r="C580" s="76"/>
      <c r="D580" s="48" t="str" cm="1">
        <f t="array" ref="D580">VLOOKUP(B580,'Player Data'!A1:D673,4,FALSE)</f>
        <v>G</v>
      </c>
      <c r="E580" s="77" cm="1">
        <f t="array" ref="E580">VLOOKUP(B580,G!A1:D66,3,FALSE)</f>
        <v>64</v>
      </c>
      <c r="F580" s="18" t="str" cm="1">
        <f t="array" ref="F580">VLOOKUP(B580,'Player Data'!A1:B673,2,FALSE)</f>
        <v>WPG</v>
      </c>
      <c r="G580" s="11" cm="1">
        <f t="array" ref="G580">VLOOKUP(B580,'Player Data'!A1:D673,3,FALSE)</f>
        <v>27</v>
      </c>
      <c r="H580" s="51" cm="1">
        <f t="array" ref="H580">IFERROR(VLOOKUP(B580,ADP!A1:F671,6,FALSE)/1000000,VLOOKUP(B580,ADP!A1:F671,6,FALSE))</f>
        <v>3.75</v>
      </c>
      <c r="I580" s="52">
        <f>IF(Settings!$E$15="POINTS",(AJ580*Settings!$B$29)+(AK580*Settings!$B$21)+(AL580*Settings!$B$22)+(AN580*Settings!$B$24)+(AO580*Settings!$B$25)+(AP580*Settings!$B$27)+(AM580*Settings!$B$23),VLOOKUP(B580,'Standard Deviations'!A$1:C$672,3,FALSE))</f>
        <v>93.402829422582045</v>
      </c>
      <c r="J580" s="53" cm="1">
        <f t="array" ref="J580">IF(D580="G",I580/AJ580,I580/Q580)</f>
        <v>4.6701414711291021</v>
      </c>
      <c r="K580" s="52" cm="1">
        <f t="array" ref="K580">VLOOKUP(B580,G!A1:F66,6,FALSE)</f>
        <v>-265.75507850765598</v>
      </c>
      <c r="L580" s="54" cm="1">
        <f t="array" ref="L580">IFERROR(K580/H580,"N/A")</f>
        <v>-70.868020935374929</v>
      </c>
      <c r="M580" s="85" t="s">
        <v>832</v>
      </c>
      <c r="N580" s="85" t="str" cm="1">
        <f t="array" ref="N580">IFERROR(M580-A580,"N/A")</f>
        <v>N/A</v>
      </c>
      <c r="O580" s="55"/>
      <c r="P580" s="56" t="str" cm="1">
        <f t="array" ref="P580">_xlfn.XLOOKUP($B580,ADP!A2:A671,ADP!G2:G671)</f>
        <v xml:space="preserve"> </v>
      </c>
      <c r="Q580" s="57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9"/>
      <c r="AI580" s="55"/>
      <c r="AJ580" s="78" cm="1">
        <f t="array" ref="AJ580">VLOOKUP(B580,'Player Data'!$A1:$AE673,24,FALSE)</f>
        <v>20</v>
      </c>
      <c r="AK580" s="57" cm="1">
        <f t="array" ref="AK580">VLOOKUP(B580,'Player Data'!$A1:$AE673,25,FALSE)*$AJ580*IFERROR((VLOOKUP(P580,Settings!$E$28:$F$33,2,FALSE)+1),1)</f>
        <v>9.6954711461693392</v>
      </c>
      <c r="AL580" s="57" cm="1">
        <f t="array" ref="AL580">AJ580-AK580-AM580</f>
        <v>7.7283966403729814</v>
      </c>
      <c r="AM580" s="57" cm="1">
        <f t="array" ref="AM580">VLOOKUP(B580,'Player Data'!$A1:$AE673,27,FALSE)*$AJ580</f>
        <v>2.5761322134576798</v>
      </c>
      <c r="AN580" s="57" cm="1">
        <f t="array" ref="AN580">VLOOKUP(B580,'Player Data'!$A1:$AE673,28,FALSE)*AJ580</f>
        <v>1.1490787507978619</v>
      </c>
      <c r="AO580" s="57" cm="1">
        <f t="array" ref="AO580">VLOOKUP(B580,'Player Data'!$A1:$AE673,29,FALSE)*$AJ580*IFERROR((VLOOKUP(P580,Settings!$E$28:$F$33,2,FALSE)/4)+1,1)</f>
        <v>461.43320189080396</v>
      </c>
      <c r="AP580" s="57" cm="1">
        <f t="array" ref="AP580">VLOOKUP(B580,'Player Data'!$A1:$AE673,31,FALSE)*$AJ580*(IFERROR(1-(VLOOKUP(P580,Settings!$E$28:$F$33,2,FALSE)/4),1))</f>
        <v>55.849754570708605</v>
      </c>
      <c r="AQ580" s="60" cm="1">
        <f t="array" ref="AQ580">1-(AP580/(AO580+AP580))</f>
        <v>0.89203248652777911</v>
      </c>
      <c r="AR580" s="61" cm="1">
        <f t="array" ref="AR580">AP580/AJ580</f>
        <v>2.7924877285354301</v>
      </c>
      <c r="AS580" s="55"/>
    </row>
    <row r="581" spans="1:45" ht="21.25" customHeight="1" x14ac:dyDescent="0.15">
      <c r="A581" s="62">
        <f t="shared" si="9"/>
        <v>580</v>
      </c>
      <c r="B581" s="10" t="s">
        <v>709</v>
      </c>
      <c r="C581" s="47" t="s">
        <v>147</v>
      </c>
      <c r="D581" s="48" t="str" cm="1">
        <f t="array" ref="D581">VLOOKUP(B581,'Player Data'!A1:D673,4,FALSE)</f>
        <v>LW</v>
      </c>
      <c r="E581" s="75" cm="1">
        <f t="array" ref="E581">VLOOKUP(B581,LW!A1:C210,3,FALSE)</f>
        <v>164</v>
      </c>
      <c r="F581" s="65" t="str" cm="1">
        <f t="array" ref="F581">VLOOKUP(B581,'Player Data'!A1:B673,2,FALSE)</f>
        <v>NSH</v>
      </c>
      <c r="G581" s="11" cm="1">
        <f t="array" ref="G581">VLOOKUP(B581,'Player Data'!A1:D673,3,FALSE)</f>
        <v>25</v>
      </c>
      <c r="H581" s="51" cm="1">
        <f t="array" ref="H581">IFERROR(VLOOKUP(B581,ADP!A1:F671,6,FALSE)/1000000,VLOOKUP(B581,ADP!A1:F671,6,FALSE))</f>
        <v>3</v>
      </c>
      <c r="I581" s="52">
        <f>IF(Settings!$E$15="POINTS",((R581*Q581)*Settings!$B$12)+(S581*Settings!$B$2)+(T581*Settings!$B$3)+(U581*Settings!$B$4)+(V581*Settings!$B$5)+(X581*Settings!$B$9)+(AA581*Settings!$B$6)+(W581*Settings!$B$8)+(AB581*Settings!$B$7)+(AC581*Settings!$B$14)+(AD581*Settings!$B$15)+(AE581*Settings!$B$16)+(AF581*Settings!$B$17)+(AG581*Settings!$B$18)+(Y581*Settings!$B$10)+(Z581*Settings!$B$11),VLOOKUP(B581,'Standard Deviations'!A$1:C$672,3,FALSE))</f>
        <v>133.07158174580604</v>
      </c>
      <c r="J581" s="53" cm="1">
        <f t="array" ref="J581">IF(D581="G",I581/AJ581,I581/Q581)</f>
        <v>1.7827259929775074</v>
      </c>
      <c r="K581" s="52" cm="1">
        <f t="array" ref="K581">IF(Settings!$E$18="C/LW/RW",VLOOKUP(B581,LW!A1:F210,6,FALSE),VLOOKUP(B581,F!A1:F407,6,FALSE))</f>
        <v>-266.24141156791404</v>
      </c>
      <c r="L581" s="54" cm="1">
        <f t="array" ref="L581">IFERROR(K581/H581,"N/A")</f>
        <v>-88.747137189304681</v>
      </c>
      <c r="M581" s="85" t="s">
        <v>832</v>
      </c>
      <c r="N581" s="85" t="str" cm="1">
        <f t="array" ref="N581">IFERROR(M581-A581,"N/A")</f>
        <v>N/A</v>
      </c>
      <c r="O581" s="55"/>
      <c r="P581" s="56" t="str" cm="1">
        <f t="array" ref="P581">_xlfn.XLOOKUP($B581,ADP!A2:A671,ADP!G2:G671)</f>
        <v xml:space="preserve"> </v>
      </c>
      <c r="Q581" s="57" cm="1">
        <f t="array" ref="Q581">IF(Settings!$E$12="YES",VLOOKUP(B581,'Player Data'!A1:E673,5,FALSE),84)</f>
        <v>74.644999999999996</v>
      </c>
      <c r="R581" s="82" cm="1">
        <f t="array" ref="R581">VLOOKUP(B581,'Player Data'!$A1:$AE673,6,FALSE)</f>
        <v>12.644038955574</v>
      </c>
      <c r="S581" s="57" cm="1">
        <f t="array" ref="S581">VLOOKUP(B581,'Player Data'!$A1:$AE673,7,FALSE)*$Q581*IFERROR((VLOOKUP(P581,Settings!$E$28:$F$33,2,FALSE)+1),1)</f>
        <v>11.63395610422085</v>
      </c>
      <c r="T581" s="57" cm="1">
        <f t="array" ref="T581">VLOOKUP(B581,'Player Data'!$A1:$AE673,8,FALSE)*$Q581*IFERROR((VLOOKUP(P581,Settings!$E$28:$F$33,2,FALSE)+1),1)</f>
        <v>13.357086373620719</v>
      </c>
      <c r="U581" s="57" cm="1">
        <f t="array" ref="U581">SUM(S581:T581)</f>
        <v>24.991042477841567</v>
      </c>
      <c r="V581" s="57" cm="1">
        <f t="array" ref="V581">VLOOKUP(B581,'Player Data'!$A1:$AE673,10,FALSE)*$Q581*IFERROR(((VLOOKUP(P581,Settings!$E$28:$F$33,2,FALSE)/2)+1),1)</f>
        <v>91.980948458220027</v>
      </c>
      <c r="W581" s="57" cm="1">
        <f t="array" ref="W581">VLOOKUP(B581,'Player Data'!$A1:$AE673,11,FALSE)*$Q581*IFERROR((VLOOKUP(P581,Settings!$E$28:$F$33,2,FALSE)+1),1)</f>
        <v>0.22426364563056733</v>
      </c>
      <c r="X581" s="57" cm="1">
        <f t="array" ref="X581">VLOOKUP(B581,'Player Data'!$A1:$AE673,12,FALSE)*$Q581*IFERROR((VLOOKUP(P581,Settings!$E$28:$F$33,2,FALSE)+1),1)</f>
        <v>0.66688960487135407</v>
      </c>
      <c r="Y581" s="57" cm="1">
        <f t="array" ref="Y581">VLOOKUP(B581,'Player Data'!$A1:$AE673,13,FALSE)*$Q581</f>
        <v>7.7956724251248503E-4</v>
      </c>
      <c r="Z581" s="57" cm="1">
        <f t="array" ref="Z581">VLOOKUP(B581,'Player Data'!$A1:$AE673,14,FALSE)*$Q581</f>
        <v>1.2842826661093078E-3</v>
      </c>
      <c r="AA581" s="57" cm="1">
        <f t="array" ref="AA581">VLOOKUP(B581,'Player Data'!$A1:$AE673,15,FALSE)*$Q581</f>
        <v>22.879612391267703</v>
      </c>
      <c r="AB581" s="57" cm="1">
        <f t="array" ref="AB581">VLOOKUP(B581,'Player Data'!$A1:$AE673,16,FALSE)*$Q581</f>
        <v>93.222181683736721</v>
      </c>
      <c r="AC581" s="57" cm="1">
        <f t="array" ref="AC581">VLOOKUP(B581,'Player Data'!$A1:$AE673,17,FALSE)*$Q581*IFERROR((VLOOKUP(P581,Settings!$E$28:$F$33,2,FALSE)+1),1)</f>
        <v>-1.1077650123562388</v>
      </c>
      <c r="AD581" s="57" cm="1">
        <f t="array" ref="AD581">VLOOKUP(B581,'Player Data'!$A1:$AE673,18,FALSE)*$Q581</f>
        <v>28.163853663180134</v>
      </c>
      <c r="AE581" s="57" cm="1">
        <f t="array" ref="AE581">VLOOKUP(B581,'Player Data'!$A1:$AE673,19,FALSE)*$Q581*IFERROR((VLOOKUP(P581,Settings!$E$28:$F$33,2,FALSE)+1),1)</f>
        <v>1.611593962088723</v>
      </c>
      <c r="AF581" s="57" cm="1">
        <f t="array" ref="AF581">VLOOKUP(B581,'Player Data'!$A1:$AE673,20,FALSE)*$Q581</f>
        <v>0.35216822147022148</v>
      </c>
      <c r="AG581" s="57" cm="1">
        <f t="array" ref="AG581">VLOOKUP(B581,'Player Data'!$A1:$AE673,21,FALSE)*$Q581</f>
        <v>1.0408928301215006</v>
      </c>
      <c r="AH581" s="59" cm="1">
        <f t="array" ref="AH581">VLOOKUP(B581,'Player Data'!$A1:$AE673,22,FALSE)</f>
        <v>0.25280171394342799</v>
      </c>
      <c r="AI581" s="55"/>
      <c r="AJ581" s="57"/>
      <c r="AK581" s="57"/>
      <c r="AL581" s="57"/>
      <c r="AM581" s="57"/>
      <c r="AN581" s="57"/>
      <c r="AO581" s="57"/>
      <c r="AP581" s="57"/>
      <c r="AQ581" s="60"/>
      <c r="AR581" s="61"/>
      <c r="AS581" s="55"/>
    </row>
    <row r="582" spans="1:45" ht="21.25" customHeight="1" x14ac:dyDescent="0.15">
      <c r="A582" s="62">
        <f t="shared" si="9"/>
        <v>581</v>
      </c>
      <c r="B582" s="10" t="s">
        <v>710</v>
      </c>
      <c r="C582" s="47" t="s">
        <v>147</v>
      </c>
      <c r="D582" s="48" t="str" cm="1">
        <f t="array" ref="D582">VLOOKUP(B582,'Player Data'!A1:D673,4,FALSE)</f>
        <v>RW</v>
      </c>
      <c r="E582" s="64" cm="1">
        <f t="array" ref="E582">VLOOKUP(B582,RW!A1:F210,3,FALSE)</f>
        <v>167</v>
      </c>
      <c r="F582" s="70" t="str" cm="1">
        <f t="array" ref="F582">VLOOKUP(B582,'Player Data'!A1:B673,2,FALSE)</f>
        <v>L.A</v>
      </c>
      <c r="G582" s="66" cm="1">
        <f t="array" ref="G582">VLOOKUP(B582,'Player Data'!A1:D673,3,FALSE)</f>
        <v>41</v>
      </c>
      <c r="H582" s="67" cm="1">
        <f t="array" ref="H582">IFERROR(VLOOKUP(B582,ADP!A1:F671,6,FALSE)/1000000,VLOOKUP(B582,ADP!A1:F671,6,FALSE))</f>
        <v>1</v>
      </c>
      <c r="I582" s="52">
        <f>IF(Settings!$E$15="POINTS",((R582*Q582)*Settings!$B$12)+(S582*Settings!$B$2)+(T582*Settings!$B$3)+(U582*Settings!$B$4)+(V582*Settings!$B$5)+(X582*Settings!$B$9)+(AA582*Settings!$B$6)+(W582*Settings!$B$8)+(AB582*Settings!$B$7)+(AC582*Settings!$B$14)+(AD582*Settings!$B$15)+(AE582*Settings!$B$16)+(AF582*Settings!$B$17)+(AG582*Settings!$B$18)+(Y582*Settings!$B$10)+(Z582*Settings!$B$11),VLOOKUP(B582,'Standard Deviations'!A$1:C$672,3,FALSE))</f>
        <v>128.14429639506983</v>
      </c>
      <c r="J582" s="53" cm="1">
        <f t="array" ref="J582">IF(D582="G",I582/AJ582,I582/Q582)</f>
        <v>1.6155866787918156</v>
      </c>
      <c r="K582" s="52" cm="1">
        <f t="array" ref="K582">IF(Settings!$E$18="C/LW/RW",VLOOKUP(B582,RW!A1:F210,6,FALSE),VLOOKUP(B582,F!A1:F407,6,FALSE))</f>
        <v>-266.79916829848764</v>
      </c>
      <c r="L582" s="54" cm="1">
        <f t="array" ref="L582">IFERROR(K582/H582,"N/A")</f>
        <v>-266.79916829848764</v>
      </c>
      <c r="M582" s="85" t="s">
        <v>832</v>
      </c>
      <c r="N582" s="85" t="str" cm="1">
        <f t="array" ref="N582">IFERROR(M582-A582,"N/A")</f>
        <v>N/A</v>
      </c>
      <c r="O582" s="81"/>
      <c r="P582" s="56" t="str" cm="1">
        <f t="array" ref="P582">_xlfn.XLOOKUP($B582,ADP!A2:A671,ADP!G2:G671)</f>
        <v xml:space="preserve"> </v>
      </c>
      <c r="Q582" s="57" cm="1">
        <f t="array" ref="Q582">IF(Settings!$E$12="YES",VLOOKUP(B582,'Player Data'!A1:E673,5,FALSE),84)</f>
        <v>79.317499999999995</v>
      </c>
      <c r="R582" s="84" cm="1">
        <f t="array" ref="R582">VLOOKUP(B582,'Player Data'!$A1:$AE673,6,FALSE)</f>
        <v>11.17809657335</v>
      </c>
      <c r="S582" s="57" cm="1">
        <f t="array" ref="S582">VLOOKUP(B582,'Player Data'!$A1:$AE673,7,FALSE)*$Q582*IFERROR((VLOOKUP(P582,Settings!$E$28:$F$33,2,FALSE)+1),1)</f>
        <v>11.96945930966257</v>
      </c>
      <c r="T582" s="57" cm="1">
        <f t="array" ref="T582">VLOOKUP(B582,'Player Data'!$A1:$AE673,8,FALSE)*$Q582*IFERROR((VLOOKUP(P582,Settings!$E$28:$F$33,2,FALSE)+1),1)</f>
        <v>10.637734603285246</v>
      </c>
      <c r="U582" s="57" cm="1">
        <f t="array" ref="U582">SUM(S582:T582)</f>
        <v>22.607193912947814</v>
      </c>
      <c r="V582" s="57" cm="1">
        <f t="array" ref="V582">VLOOKUP(B582,'Player Data'!$A1:$AE673,10,FALSE)*$Q582*IFERROR(((VLOOKUP(P582,Settings!$E$28:$F$33,2,FALSE)/2)+1),1)</f>
        <v>90.543787747502407</v>
      </c>
      <c r="W582" s="57" cm="1">
        <f t="array" ref="W582">VLOOKUP(B582,'Player Data'!$A1:$AE673,11,FALSE)*$Q582*IFERROR((VLOOKUP(P582,Settings!$E$28:$F$33,2,FALSE)+1),1)</f>
        <v>1.5338078454583846</v>
      </c>
      <c r="X582" s="57" cm="1">
        <f t="array" ref="X582">VLOOKUP(B582,'Player Data'!$A1:$AE673,12,FALSE)*$Q582*IFERROR((VLOOKUP(P582,Settings!$E$28:$F$33,2,FALSE)+1),1)</f>
        <v>3.2525130256958925</v>
      </c>
      <c r="Y582" s="57" cm="1">
        <f t="array" ref="Y582">VLOOKUP(B582,'Player Data'!$A1:$AE673,13,FALSE)*$Q582</f>
        <v>0</v>
      </c>
      <c r="Z582" s="57" cm="1">
        <f t="array" ref="Z582">VLOOKUP(B582,'Player Data'!$A1:$AE673,14,FALSE)*$Q582</f>
        <v>0</v>
      </c>
      <c r="AA582" s="57" cm="1">
        <f t="array" ref="AA582">VLOOKUP(B582,'Player Data'!$A1:$AE673,15,FALSE)*$Q582</f>
        <v>23.596615513558554</v>
      </c>
      <c r="AB582" s="57" cm="1">
        <f t="array" ref="AB582">VLOOKUP(B582,'Player Data'!$A1:$AE673,16,FALSE)*$Q582</f>
        <v>46.341840915506509</v>
      </c>
      <c r="AC582" s="57" cm="1">
        <f t="array" ref="AC582">VLOOKUP(B582,'Player Data'!$A1:$AE673,17,FALSE)*$Q582*IFERROR((VLOOKUP(P582,Settings!$E$28:$F$33,2,FALSE)+1),1)</f>
        <v>8.3092689572013753E-2</v>
      </c>
      <c r="AD582" s="57" cm="1">
        <f t="array" ref="AD582">VLOOKUP(B582,'Player Data'!$A1:$AE673,18,FALSE)*$Q582</f>
        <v>43.956162141996174</v>
      </c>
      <c r="AE582" s="57" cm="1">
        <f t="array" ref="AE582">VLOOKUP(B582,'Player Data'!$A1:$AE673,19,FALSE)*$Q582*IFERROR((VLOOKUP(P582,Settings!$E$28:$F$33,2,FALSE)+1),1)</f>
        <v>1.8907456114927201</v>
      </c>
      <c r="AF582" s="57" cm="1">
        <f t="array" ref="AF582">VLOOKUP(B582,'Player Data'!$A1:$AE673,20,FALSE)*$Q582</f>
        <v>7.1553833374073621</v>
      </c>
      <c r="AG582" s="57" cm="1">
        <f t="array" ref="AG582">VLOOKUP(B582,'Player Data'!$A1:$AE673,21,FALSE)*$Q582</f>
        <v>17.461077302572129</v>
      </c>
      <c r="AH582" s="59" cm="1">
        <f t="array" ref="AH582">VLOOKUP(B582,'Player Data'!$A1:$AE673,22,FALSE)</f>
        <v>0.290674741672096</v>
      </c>
      <c r="AI582" s="55"/>
      <c r="AJ582" s="57"/>
      <c r="AK582" s="57"/>
      <c r="AL582" s="57"/>
      <c r="AM582" s="57"/>
      <c r="AN582" s="57"/>
      <c r="AO582" s="57"/>
      <c r="AP582" s="57"/>
      <c r="AQ582" s="60"/>
      <c r="AR582" s="61"/>
      <c r="AS582" s="55"/>
    </row>
    <row r="583" spans="1:45" ht="21.25" customHeight="1" x14ac:dyDescent="0.15">
      <c r="A583" s="62">
        <f t="shared" si="9"/>
        <v>582</v>
      </c>
      <c r="B583" s="10" t="s">
        <v>711</v>
      </c>
      <c r="C583" s="47" t="s">
        <v>147</v>
      </c>
      <c r="D583" s="48" t="str" cm="1">
        <f t="array" ref="D583">VLOOKUP(B583,'Player Data'!A1:D673,4,FALSE)</f>
        <v>C,RW</v>
      </c>
      <c r="E583" s="74" cm="1">
        <f t="array" ref="E583">VLOOKUP(B583,RW!A1:F210,3,FALSE)</f>
        <v>168</v>
      </c>
      <c r="F583" s="63" t="str" cm="1">
        <f t="array" ref="F583">VLOOKUP(B583,'Player Data'!A1:B673,2,FALSE)</f>
        <v>DAL</v>
      </c>
      <c r="G583" s="11" cm="1">
        <f t="array" ref="G583">VLOOKUP(B583,'Player Data'!A1:D673,3,FALSE)</f>
        <v>25</v>
      </c>
      <c r="H583" s="51" cm="1">
        <f t="array" ref="H583">IFERROR(VLOOKUP(B583,ADP!A1:F671,6,FALSE)/1000000,VLOOKUP(B583,ADP!A1:F671,6,FALSE))</f>
        <v>0.875</v>
      </c>
      <c r="I583" s="52">
        <f>IF(Settings!$E$15="POINTS",((R583*Q583)*Settings!$B$12)+(S583*Settings!$B$2)+(T583*Settings!$B$3)+(U583*Settings!$B$4)+(V583*Settings!$B$5)+(X583*Settings!$B$9)+(AA583*Settings!$B$6)+(W583*Settings!$B$8)+(AB583*Settings!$B$7)+(AC583*Settings!$B$14)+(AD583*Settings!$B$15)+(AE583*Settings!$B$16)+(AF583*Settings!$B$17)+(AG583*Settings!$B$18)+(Y583*Settings!$B$10)+(Z583*Settings!$B$11),VLOOKUP(B583,'Standard Deviations'!A$1:C$672,3,FALSE))</f>
        <v>127.53005914238597</v>
      </c>
      <c r="J583" s="53" cm="1">
        <f t="array" ref="J583">IF(D583="G",I583/AJ583,I583/Q583)</f>
        <v>1.9034337185430741</v>
      </c>
      <c r="K583" s="52" cm="1">
        <f t="array" ref="K583">IF(Settings!$E$18="C/LW/RW",VLOOKUP(B583,RW!A1:F210,6,FALSE),VLOOKUP(B583,F!A1:F407,6,FALSE))</f>
        <v>-267.41340555117154</v>
      </c>
      <c r="L583" s="54" cm="1">
        <f t="array" ref="L583">IFERROR(K583/H583,"N/A")</f>
        <v>-305.61532062991034</v>
      </c>
      <c r="M583" s="85" t="s">
        <v>832</v>
      </c>
      <c r="N583" s="85" t="str" cm="1">
        <f t="array" ref="N583">IFERROR(M583-A583,"N/A")</f>
        <v>N/A</v>
      </c>
      <c r="O583" s="83"/>
      <c r="P583" s="56" t="str" cm="1">
        <f t="array" ref="P583">_xlfn.XLOOKUP($B583,ADP!A2:A671,ADP!G2:G671)</f>
        <v xml:space="preserve"> </v>
      </c>
      <c r="Q583" s="57" cm="1">
        <f t="array" ref="Q583">IF(Settings!$E$12="YES",VLOOKUP(B583,'Player Data'!A1:E673,5,FALSE),84)</f>
        <v>67</v>
      </c>
      <c r="R583" s="82" cm="1">
        <f t="array" ref="R583">VLOOKUP(B583,'Player Data'!$A1:$AE673,6,FALSE)</f>
        <v>13.3781263483614</v>
      </c>
      <c r="S583" s="57" cm="1">
        <f t="array" ref="S583">VLOOKUP(B583,'Player Data'!$A1:$AE673,7,FALSE)*$Q583*IFERROR((VLOOKUP(P583,Settings!$E$28:$F$33,2,FALSE)+1),1)</f>
        <v>10.128684784706044</v>
      </c>
      <c r="T583" s="57" cm="1">
        <f t="array" ref="T583">VLOOKUP(B583,'Player Data'!$A1:$AE673,8,FALSE)*$Q583*IFERROR((VLOOKUP(P583,Settings!$E$28:$F$33,2,FALSE)+1),1)</f>
        <v>11.303447696179413</v>
      </c>
      <c r="U583" s="57" cm="1">
        <f t="array" ref="U583">SUM(S583:T583)</f>
        <v>21.432132480885457</v>
      </c>
      <c r="V583" s="57" cm="1">
        <f t="array" ref="V583">VLOOKUP(B583,'Player Data'!$A1:$AE673,10,FALSE)*$Q583*IFERROR(((VLOOKUP(P583,Settings!$E$28:$F$33,2,FALSE)/2)+1),1)</f>
        <v>92.70455932277396</v>
      </c>
      <c r="W583" s="57" cm="1">
        <f t="array" ref="W583">VLOOKUP(B583,'Player Data'!$A1:$AE673,11,FALSE)*$Q583*IFERROR((VLOOKUP(P583,Settings!$E$28:$F$33,2,FALSE)+1),1)</f>
        <v>3.3812765952819047E-2</v>
      </c>
      <c r="X583" s="57" cm="1">
        <f t="array" ref="X583">VLOOKUP(B583,'Player Data'!$A1:$AE673,12,FALSE)*$Q583*IFERROR((VLOOKUP(P583,Settings!$E$28:$F$33,2,FALSE)+1),1)</f>
        <v>7.397038712355794E-2</v>
      </c>
      <c r="Y583" s="57" cm="1">
        <f t="array" ref="Y583">VLOOKUP(B583,'Player Data'!$A1:$AE673,13,FALSE)*$Q583</f>
        <v>1.9669298440248792</v>
      </c>
      <c r="Z583" s="57" cm="1">
        <f t="array" ref="Z583">VLOOKUP(B583,'Player Data'!$A1:$AE673,14,FALSE)*$Q583</f>
        <v>2.256995220285559</v>
      </c>
      <c r="AA583" s="57" cm="1">
        <f t="array" ref="AA583">VLOOKUP(B583,'Player Data'!$A1:$AE673,15,FALSE)*$Q583</f>
        <v>29.10083286186703</v>
      </c>
      <c r="AB583" s="57" cm="1">
        <f t="array" ref="AB583">VLOOKUP(B583,'Player Data'!$A1:$AE673,16,FALSE)*$Q583</f>
        <v>92.08375572542343</v>
      </c>
      <c r="AC583" s="57" cm="1">
        <f t="array" ref="AC583">VLOOKUP(B583,'Player Data'!$A1:$AE673,17,FALSE)*$Q583*IFERROR((VLOOKUP(P583,Settings!$E$28:$F$33,2,FALSE)+1),1)</f>
        <v>3.4900403028346303</v>
      </c>
      <c r="AD583" s="57" cm="1">
        <f t="array" ref="AD583">VLOOKUP(B583,'Player Data'!$A1:$AE673,18,FALSE)*$Q583</f>
        <v>17.515550951725078</v>
      </c>
      <c r="AE583" s="57" cm="1">
        <f t="array" ref="AE583">VLOOKUP(B583,'Player Data'!$A1:$AE673,19,FALSE)*$Q583*IFERROR((VLOOKUP(P583,Settings!$E$28:$F$33,2,FALSE)+1),1)</f>
        <v>1.7129914608347054</v>
      </c>
      <c r="AF583" s="57" cm="1">
        <f t="array" ref="AF583">VLOOKUP(B583,'Player Data'!$A1:$AE673,20,FALSE)*$Q583</f>
        <v>461.52350247447453</v>
      </c>
      <c r="AG583" s="57" cm="1">
        <f t="array" ref="AG583">VLOOKUP(B583,'Player Data'!$A1:$AE673,21,FALSE)*$Q583</f>
        <v>315.56105580249158</v>
      </c>
      <c r="AH583" s="59" cm="1">
        <f t="array" ref="AH583">VLOOKUP(B583,'Player Data'!$A1:$AE673,22,FALSE)</f>
        <v>0.59391670772330496</v>
      </c>
      <c r="AI583" s="55"/>
      <c r="AJ583" s="57"/>
      <c r="AK583" s="57"/>
      <c r="AL583" s="57"/>
      <c r="AM583" s="57"/>
      <c r="AN583" s="57"/>
      <c r="AO583" s="57"/>
      <c r="AP583" s="57"/>
      <c r="AQ583" s="60"/>
      <c r="AR583" s="61"/>
      <c r="AS583" s="55"/>
    </row>
    <row r="584" spans="1:45" ht="21.25" customHeight="1" x14ac:dyDescent="0.15">
      <c r="A584" s="62">
        <f t="shared" si="9"/>
        <v>583</v>
      </c>
      <c r="B584" s="10" t="s">
        <v>712</v>
      </c>
      <c r="C584" s="47" t="s">
        <v>147</v>
      </c>
      <c r="D584" s="48" t="str" cm="1">
        <f t="array" ref="D584">VLOOKUP(B584,'Player Data'!A1:D673,4,FALSE)</f>
        <v>C,LW,RW</v>
      </c>
      <c r="E584" s="74" cm="1">
        <f t="array" ref="E584">VLOOKUP(B584,RW!A1:F210,3,FALSE)</f>
        <v>169</v>
      </c>
      <c r="F584" s="70" t="str" cm="1">
        <f t="array" ref="F584">VLOOKUP(B584,'Player Data'!A1:B673,2,FALSE)</f>
        <v>MIN</v>
      </c>
      <c r="G584" s="11" cm="1">
        <f t="array" ref="G584">VLOOKUP(B584,'Player Data'!A1:D673,3,FALSE)</f>
        <v>29</v>
      </c>
      <c r="H584" s="51" cm="1">
        <f t="array" ref="H584">IFERROR(VLOOKUP(B584,ADP!A1:F671,6,FALSE)/1000000,VLOOKUP(B584,ADP!A1:F671,6,FALSE))</f>
        <v>3.5</v>
      </c>
      <c r="I584" s="52">
        <f>IF(Settings!$E$15="POINTS",((R584*Q584)*Settings!$B$12)+(S584*Settings!$B$2)+(T584*Settings!$B$3)+(U584*Settings!$B$4)+(V584*Settings!$B$5)+(X584*Settings!$B$9)+(AA584*Settings!$B$6)+(W584*Settings!$B$8)+(AB584*Settings!$B$7)+(AC584*Settings!$B$14)+(AD584*Settings!$B$15)+(AE584*Settings!$B$16)+(AF584*Settings!$B$17)+(AG584*Settings!$B$18)+(Y584*Settings!$B$10)+(Z584*Settings!$B$11),VLOOKUP(B584,'Standard Deviations'!A$1:C$672,3,FALSE))</f>
        <v>126.8320607710076</v>
      </c>
      <c r="J584" s="53" cm="1">
        <f t="array" ref="J584">IF(D584="G",I584/AJ584,I584/Q584)</f>
        <v>1.535404161624691</v>
      </c>
      <c r="K584" s="52" cm="1">
        <f t="array" ref="K584">IF(Settings!$E$18="C/LW/RW",VLOOKUP(B584,RW!A1:F210,6,FALSE),VLOOKUP(B584,F!A1:F407,6,FALSE))</f>
        <v>-268.11140392254987</v>
      </c>
      <c r="L584" s="54" cm="1">
        <f t="array" ref="L584">IFERROR(K584/H584,"N/A")</f>
        <v>-76.603258263585673</v>
      </c>
      <c r="M584" s="85" t="s">
        <v>832</v>
      </c>
      <c r="N584" s="85" t="str" cm="1">
        <f t="array" ref="N584">IFERROR(M584-A584,"N/A")</f>
        <v>N/A</v>
      </c>
      <c r="O584" s="55"/>
      <c r="P584" s="56" t="str" cm="1">
        <f t="array" ref="P584">_xlfn.XLOOKUP($B584,ADP!A2:A671,ADP!G2:G671)</f>
        <v xml:space="preserve"> </v>
      </c>
      <c r="Q584" s="57" cm="1">
        <f t="array" ref="Q584">IF(Settings!$E$12="YES",VLOOKUP(B584,'Player Data'!A1:E673,5,FALSE),84)</f>
        <v>82.605000000000004</v>
      </c>
      <c r="R584" s="55" cm="1">
        <f t="array" ref="R584">VLOOKUP(B584,'Player Data'!$A1:$AE673,6,FALSE)</f>
        <v>12.538755879683601</v>
      </c>
      <c r="S584" s="57" cm="1">
        <f t="array" ref="S584">VLOOKUP(B584,'Player Data'!$A1:$AE673,7,FALSE)*$Q584*IFERROR((VLOOKUP(P584,Settings!$E$28:$F$33,2,FALSE)+1),1)</f>
        <v>7.8626793643617461</v>
      </c>
      <c r="T584" s="57" cm="1">
        <f t="array" ref="T584">VLOOKUP(B584,'Player Data'!$A1:$AE673,8,FALSE)*$Q584*IFERROR((VLOOKUP(P584,Settings!$E$28:$F$33,2,FALSE)+1),1)</f>
        <v>12.090244150824915</v>
      </c>
      <c r="U584" s="57" cm="1">
        <f t="array" ref="U584">SUM(S584:T584)</f>
        <v>19.952923515186662</v>
      </c>
      <c r="V584" s="57" cm="1">
        <f t="array" ref="V584">VLOOKUP(B584,'Player Data'!$A1:$AE673,10,FALSE)*$Q584*IFERROR(((VLOOKUP(P584,Settings!$E$28:$F$33,2,FALSE)/2)+1),1)</f>
        <v>95.508618555208542</v>
      </c>
      <c r="W584" s="57" cm="1">
        <f t="array" ref="W584">VLOOKUP(B584,'Player Data'!$A1:$AE673,11,FALSE)*$Q584*IFERROR((VLOOKUP(P584,Settings!$E$28:$F$33,2,FALSE)+1),1)</f>
        <v>3.9625322079299516E-2</v>
      </c>
      <c r="X584" s="57" cm="1">
        <f t="array" ref="X584">VLOOKUP(B584,'Player Data'!$A1:$AE673,12,FALSE)*$Q584*IFERROR((VLOOKUP(P584,Settings!$E$28:$F$33,2,FALSE)+1),1)</f>
        <v>8.6141504638876112E-2</v>
      </c>
      <c r="Y584" s="57" cm="1">
        <f t="array" ref="Y584">VLOOKUP(B584,'Player Data'!$A1:$AE673,13,FALSE)*$Q584</f>
        <v>0.29504880091647806</v>
      </c>
      <c r="Z584" s="57" cm="1">
        <f t="array" ref="Z584">VLOOKUP(B584,'Player Data'!$A1:$AE673,14,FALSE)*$Q584</f>
        <v>0.47825501838553097</v>
      </c>
      <c r="AA584" s="57" cm="1">
        <f t="array" ref="AA584">VLOOKUP(B584,'Player Data'!$A1:$AE673,15,FALSE)*$Q584</f>
        <v>37.309168849637899</v>
      </c>
      <c r="AB584" s="57" cm="1">
        <f t="array" ref="AB584">VLOOKUP(B584,'Player Data'!$A1:$AE673,16,FALSE)*$Q584</f>
        <v>315.72087500424442</v>
      </c>
      <c r="AC584" s="57" cm="1">
        <f t="array" ref="AC584">VLOOKUP(B584,'Player Data'!$A1:$AE673,17,FALSE)*$Q584*IFERROR((VLOOKUP(P584,Settings!$E$28:$F$33,2,FALSE)+1),1)</f>
        <v>3.0404762031173584</v>
      </c>
      <c r="AD584" s="57" cm="1">
        <f t="array" ref="AD584">VLOOKUP(B584,'Player Data'!$A1:$AE673,18,FALSE)*$Q584</f>
        <v>34.184210596203727</v>
      </c>
      <c r="AE584" s="57" cm="1">
        <f t="array" ref="AE584">VLOOKUP(B584,'Player Data'!$A1:$AE673,19,FALSE)*$Q584*IFERROR((VLOOKUP(P584,Settings!$E$28:$F$33,2,FALSE)+1),1)</f>
        <v>1.2807085569294046</v>
      </c>
      <c r="AF584" s="57" cm="1">
        <f t="array" ref="AF584">VLOOKUP(B584,'Player Data'!$A1:$AE673,20,FALSE)*$Q584</f>
        <v>50.037047730824803</v>
      </c>
      <c r="AG584" s="57" cm="1">
        <f t="array" ref="AG584">VLOOKUP(B584,'Player Data'!$A1:$AE673,21,FALSE)*$Q584</f>
        <v>69.843347319084117</v>
      </c>
      <c r="AH584" s="59" cm="1">
        <f t="array" ref="AH584">VLOOKUP(B584,'Player Data'!$A1:$AE673,22,FALSE)</f>
        <v>0.41739141508495398</v>
      </c>
      <c r="AI584" s="55"/>
      <c r="AJ584" s="57"/>
      <c r="AK584" s="57"/>
      <c r="AL584" s="57"/>
      <c r="AM584" s="57"/>
      <c r="AN584" s="57"/>
      <c r="AO584" s="57"/>
      <c r="AP584" s="57"/>
      <c r="AQ584" s="60"/>
      <c r="AR584" s="61"/>
      <c r="AS584" s="55"/>
    </row>
    <row r="585" spans="1:45" ht="21.25" customHeight="1" x14ac:dyDescent="0.15">
      <c r="A585" s="62">
        <f t="shared" si="9"/>
        <v>584</v>
      </c>
      <c r="B585" s="10" t="s">
        <v>713</v>
      </c>
      <c r="C585" s="47" t="s">
        <v>147</v>
      </c>
      <c r="D585" s="48" t="str" cm="1">
        <f t="array" ref="D585">VLOOKUP(B585,'Player Data'!A1:D673,4,FALSE)</f>
        <v>C,RW</v>
      </c>
      <c r="E585" s="74" cm="1">
        <f t="array" ref="E585">VLOOKUP(B585,RW!A1:F210,3,FALSE)</f>
        <v>170</v>
      </c>
      <c r="F585" s="72" t="str" cm="1">
        <f t="array" ref="F585">VLOOKUP(B585,'Player Data'!A1:B673,2,FALSE)</f>
        <v>BOS</v>
      </c>
      <c r="G585" s="66" cm="1">
        <f t="array" ref="G585">VLOOKUP(B585,'Player Data'!A1:D673,3,FALSE)</f>
        <v>33</v>
      </c>
      <c r="H585" s="67" cm="1">
        <f t="array" ref="H585">IFERROR(VLOOKUP(B585,ADP!A1:F671,6,FALSE)/1000000,VLOOKUP(B585,ADP!A1:F671,6,FALSE))</f>
        <v>1.85</v>
      </c>
      <c r="I585" s="52">
        <f>IF(Settings!$E$15="POINTS",((R585*Q585)*Settings!$B$12)+(S585*Settings!$B$2)+(T585*Settings!$B$3)+(U585*Settings!$B$4)+(V585*Settings!$B$5)+(X585*Settings!$B$9)+(AA585*Settings!$B$6)+(W585*Settings!$B$8)+(AB585*Settings!$B$7)+(AC585*Settings!$B$14)+(AD585*Settings!$B$15)+(AE585*Settings!$B$16)+(AF585*Settings!$B$17)+(AG585*Settings!$B$18)+(Y585*Settings!$B$10)+(Z585*Settings!$B$11),VLOOKUP(B585,'Standard Deviations'!A$1:C$672,3,FALSE))</f>
        <v>126.26256305905103</v>
      </c>
      <c r="J585" s="53" cm="1">
        <f t="array" ref="J585">IF(D585="G",I585/AJ585,I585/Q585)</f>
        <v>1.5392242235651716</v>
      </c>
      <c r="K585" s="52" cm="1">
        <f t="array" ref="K585">IF(Settings!$E$18="C/LW/RW",VLOOKUP(B585,RW!A1:F210,6,FALSE),VLOOKUP(B585,F!A1:F407,6,FALSE))</f>
        <v>-268.68090163450643</v>
      </c>
      <c r="L585" s="54" cm="1">
        <f t="array" ref="L585">IFERROR(K585/H585,"N/A")</f>
        <v>-145.2329198024359</v>
      </c>
      <c r="M585" s="85" t="s">
        <v>832</v>
      </c>
      <c r="N585" s="85" t="str" cm="1">
        <f t="array" ref="N585">IFERROR(M585-A585,"N/A")</f>
        <v>N/A</v>
      </c>
      <c r="O585" s="55"/>
      <c r="P585" s="56" t="str" cm="1">
        <f t="array" ref="P585">_xlfn.XLOOKUP($B585,ADP!A2:A671,ADP!G2:G671)</f>
        <v xml:space="preserve"> </v>
      </c>
      <c r="Q585" s="57" cm="1">
        <f t="array" ref="Q585">IF(Settings!$E$12="YES",VLOOKUP(B585,'Player Data'!A1:E673,5,FALSE),84)</f>
        <v>82.03</v>
      </c>
      <c r="R585" s="55" cm="1">
        <f t="array" ref="R585">VLOOKUP(B585,'Player Data'!$A1:$AE673,6,FALSE)</f>
        <v>12.883864468083001</v>
      </c>
      <c r="S585" s="57" cm="1">
        <f t="array" ref="S585">VLOOKUP(B585,'Player Data'!$A1:$AE673,7,FALSE)*$Q585*IFERROR((VLOOKUP(P585,Settings!$E$28:$F$33,2,FALSE)+1),1)</f>
        <v>5.3951722582527175</v>
      </c>
      <c r="T585" s="57" cm="1">
        <f t="array" ref="T585">VLOOKUP(B585,'Player Data'!$A1:$AE673,8,FALSE)*$Q585*IFERROR((VLOOKUP(P585,Settings!$E$28:$F$33,2,FALSE)+1),1)</f>
        <v>12.039802800793462</v>
      </c>
      <c r="U585" s="57" cm="1">
        <f t="array" ref="U585">SUM(S585:T585)</f>
        <v>17.434975059046181</v>
      </c>
      <c r="V585" s="57" cm="1">
        <f t="array" ref="V585">VLOOKUP(B585,'Player Data'!$A1:$AE673,10,FALSE)*$Q585*IFERROR(((VLOOKUP(P585,Settings!$E$28:$F$33,2,FALSE)/2)+1),1)</f>
        <v>100.30305752274045</v>
      </c>
      <c r="W585" s="57" cm="1">
        <f t="array" ref="W585">VLOOKUP(B585,'Player Data'!$A1:$AE673,11,FALSE)*$Q585*IFERROR((VLOOKUP(P585,Settings!$E$28:$F$33,2,FALSE)+1),1)</f>
        <v>3.0072387395207487E-2</v>
      </c>
      <c r="X585" s="57" cm="1">
        <f t="array" ref="X585">VLOOKUP(B585,'Player Data'!$A1:$AE673,12,FALSE)*$Q585*IFERROR((VLOOKUP(P585,Settings!$E$28:$F$33,2,FALSE)+1),1)</f>
        <v>7.1998339447245652E-2</v>
      </c>
      <c r="Y585" s="57" cm="1">
        <f t="array" ref="Y585">VLOOKUP(B585,'Player Data'!$A1:$AE673,13,FALSE)*$Q585</f>
        <v>8.9920313443109676E-2</v>
      </c>
      <c r="Z585" s="57" cm="1">
        <f t="array" ref="Z585">VLOOKUP(B585,'Player Data'!$A1:$AE673,14,FALSE)*$Q585</f>
        <v>0.34310273543180975</v>
      </c>
      <c r="AA585" s="57" cm="1">
        <f t="array" ref="AA585">VLOOKUP(B585,'Player Data'!$A1:$AE673,15,FALSE)*$Q585</f>
        <v>46.782016091326419</v>
      </c>
      <c r="AB585" s="57" cm="1">
        <f t="array" ref="AB585">VLOOKUP(B585,'Player Data'!$A1:$AE673,16,FALSE)*$Q585</f>
        <v>114.84415939383453</v>
      </c>
      <c r="AC585" s="57" cm="1">
        <f t="array" ref="AC585">VLOOKUP(B585,'Player Data'!$A1:$AE673,17,FALSE)*$Q585*IFERROR((VLOOKUP(P585,Settings!$E$28:$F$33,2,FALSE)+1),1)</f>
        <v>-2.1844883772788455</v>
      </c>
      <c r="AD585" s="57" cm="1">
        <f t="array" ref="AD585">VLOOKUP(B585,'Player Data'!$A1:$AE673,18,FALSE)*$Q585</f>
        <v>31.590787922241688</v>
      </c>
      <c r="AE585" s="57" cm="1">
        <f t="array" ref="AE585">VLOOKUP(B585,'Player Data'!$A1:$AE673,19,FALSE)*$Q585*IFERROR((VLOOKUP(P585,Settings!$E$28:$F$33,2,FALSE)+1),1)</f>
        <v>0.72630715606685481</v>
      </c>
      <c r="AF585" s="57" cm="1">
        <f t="array" ref="AF585">VLOOKUP(B585,'Player Data'!$A1:$AE673,20,FALSE)*$Q585</f>
        <v>333.56886024094518</v>
      </c>
      <c r="AG585" s="57" cm="1">
        <f t="array" ref="AG585">VLOOKUP(B585,'Player Data'!$A1:$AE673,21,FALSE)*$Q585</f>
        <v>313.37447648323246</v>
      </c>
      <c r="AH585" s="59" cm="1">
        <f t="array" ref="AH585">VLOOKUP(B585,'Player Data'!$A1:$AE673,22,FALSE)</f>
        <v>0.515607536712541</v>
      </c>
      <c r="AI585" s="55"/>
      <c r="AJ585" s="57"/>
      <c r="AK585" s="57"/>
      <c r="AL585" s="57"/>
      <c r="AM585" s="57"/>
      <c r="AN585" s="57"/>
      <c r="AO585" s="57"/>
      <c r="AP585" s="57"/>
      <c r="AQ585" s="60"/>
      <c r="AR585" s="61"/>
      <c r="AS585" s="55"/>
    </row>
    <row r="586" spans="1:45" ht="21.25" customHeight="1" x14ac:dyDescent="0.15">
      <c r="A586" s="62">
        <f t="shared" si="9"/>
        <v>585</v>
      </c>
      <c r="B586" s="10" t="s">
        <v>714</v>
      </c>
      <c r="C586" s="47" t="s">
        <v>147</v>
      </c>
      <c r="D586" s="48" t="str" cm="1">
        <f t="array" ref="D586">VLOOKUP(B586,'Player Data'!A1:D673,4,FALSE)</f>
        <v>RW</v>
      </c>
      <c r="E586" s="64" cm="1">
        <f t="array" ref="E586">VLOOKUP(B586,RW!A1:F210,3,FALSE)</f>
        <v>171</v>
      </c>
      <c r="F586" s="70" t="str" cm="1">
        <f t="array" ref="F586">VLOOKUP(B586,'Player Data'!A1:B673,2,FALSE)</f>
        <v>L.A</v>
      </c>
      <c r="G586" s="66" cm="1">
        <f t="array" ref="G586">VLOOKUP(B586,'Player Data'!A1:D673,3,FALSE)</f>
        <v>33</v>
      </c>
      <c r="H586" s="67" cm="1">
        <f t="array" ref="H586">IFERROR(VLOOKUP(B586,ADP!A1:F671,6,FALSE)/1000000,VLOOKUP(B586,ADP!A1:F671,6,FALSE))</f>
        <v>2.5</v>
      </c>
      <c r="I586" s="52">
        <f>IF(Settings!$E$15="POINTS",((R586*Q586)*Settings!$B$12)+(S586*Settings!$B$2)+(T586*Settings!$B$3)+(U586*Settings!$B$4)+(V586*Settings!$B$5)+(X586*Settings!$B$9)+(AA586*Settings!$B$6)+(W586*Settings!$B$8)+(AB586*Settings!$B$7)+(AC586*Settings!$B$14)+(AD586*Settings!$B$15)+(AE586*Settings!$B$16)+(AF586*Settings!$B$17)+(AG586*Settings!$B$18)+(Y586*Settings!$B$10)+(Z586*Settings!$B$11),VLOOKUP(B586,'Standard Deviations'!A$1:C$672,3,FALSE))</f>
        <v>125.548379842252</v>
      </c>
      <c r="J586" s="53" cm="1">
        <f t="array" ref="J586">IF(D586="G",I586/AJ586,I586/Q586)</f>
        <v>1.5766467391969359</v>
      </c>
      <c r="K586" s="52" cm="1">
        <f t="array" ref="K586">IF(Settings!$E$18="C/LW/RW",VLOOKUP(B586,RW!A1:F210,6,FALSE),VLOOKUP(B586,F!A1:F407,6,FALSE))</f>
        <v>-269.39508485130546</v>
      </c>
      <c r="L586" s="54" cm="1">
        <f t="array" ref="L586">IFERROR(K586/H586,"N/A")</f>
        <v>-107.75803394052218</v>
      </c>
      <c r="M586" s="85" t="s">
        <v>832</v>
      </c>
      <c r="N586" s="85" t="str" cm="1">
        <f t="array" ref="N586">IFERROR(M586-A586,"N/A")</f>
        <v>N/A</v>
      </c>
      <c r="O586" s="55"/>
      <c r="P586" s="56" t="str" cm="1">
        <f t="array" ref="P586">_xlfn.XLOOKUP($B586,ADP!A2:A671,ADP!G2:G671)</f>
        <v xml:space="preserve"> </v>
      </c>
      <c r="Q586" s="57" cm="1">
        <f t="array" ref="Q586">IF(Settings!$E$12="YES",VLOOKUP(B586,'Player Data'!A1:E673,5,FALSE),84)</f>
        <v>79.63</v>
      </c>
      <c r="R586" s="84" cm="1">
        <f t="array" ref="R586">VLOOKUP(B586,'Player Data'!$A1:$AE673,6,FALSE)</f>
        <v>11.5205479683659</v>
      </c>
      <c r="S586" s="57" cm="1">
        <f t="array" ref="S586">VLOOKUP(B586,'Player Data'!$A1:$AE673,7,FALSE)*$Q586*IFERROR((VLOOKUP(P586,Settings!$E$28:$F$33,2,FALSE)+1),1)</f>
        <v>9.2547993102401129</v>
      </c>
      <c r="T586" s="57" cm="1">
        <f t="array" ref="T586">VLOOKUP(B586,'Player Data'!$A1:$AE673,8,FALSE)*$Q586*IFERROR((VLOOKUP(P586,Settings!$E$28:$F$33,2,FALSE)+1),1)</f>
        <v>11.109119897342435</v>
      </c>
      <c r="U586" s="57" cm="1">
        <f t="array" ref="U586">SUM(S586:T586)</f>
        <v>20.363919207582548</v>
      </c>
      <c r="V586" s="57" cm="1">
        <f t="array" ref="V586">VLOOKUP(B586,'Player Data'!$A1:$AE673,10,FALSE)*$Q586*IFERROR(((VLOOKUP(P586,Settings!$E$28:$F$33,2,FALSE)/2)+1),1)</f>
        <v>88.509259519729198</v>
      </c>
      <c r="W586" s="57" cm="1">
        <f t="array" ref="W586">VLOOKUP(B586,'Player Data'!$A1:$AE673,11,FALSE)*$Q586*IFERROR((VLOOKUP(P586,Settings!$E$28:$F$33,2,FALSE)+1),1)</f>
        <v>3.8099054986558162E-2</v>
      </c>
      <c r="X586" s="57" cm="1">
        <f t="array" ref="X586">VLOOKUP(B586,'Player Data'!$A1:$AE673,12,FALSE)*$Q586*IFERROR((VLOOKUP(P586,Settings!$E$28:$F$33,2,FALSE)+1),1)</f>
        <v>9.6655327461984006E-2</v>
      </c>
      <c r="Y586" s="57" cm="1">
        <f t="array" ref="Y586">VLOOKUP(B586,'Player Data'!$A1:$AE673,13,FALSE)*$Q586</f>
        <v>1.1930625531596757</v>
      </c>
      <c r="Z586" s="57" cm="1">
        <f t="array" ref="Z586">VLOOKUP(B586,'Player Data'!$A1:$AE673,14,FALSE)*$Q586</f>
        <v>1.4657081888962231</v>
      </c>
      <c r="AA586" s="57" cm="1">
        <f t="array" ref="AA586">VLOOKUP(B586,'Player Data'!$A1:$AE673,15,FALSE)*$Q586</f>
        <v>37.279257886563101</v>
      </c>
      <c r="AB586" s="57" cm="1">
        <f t="array" ref="AB586">VLOOKUP(B586,'Player Data'!$A1:$AE673,16,FALSE)*$Q586</f>
        <v>81.299457306838292</v>
      </c>
      <c r="AC586" s="57" cm="1">
        <f t="array" ref="AC586">VLOOKUP(B586,'Player Data'!$A1:$AE673,17,FALSE)*$Q586*IFERROR((VLOOKUP(P586,Settings!$E$28:$F$33,2,FALSE)+1),1)</f>
        <v>-1.7200244910643938</v>
      </c>
      <c r="AD586" s="57" cm="1">
        <f t="array" ref="AD586">VLOOKUP(B586,'Player Data'!$A1:$AE673,18,FALSE)*$Q586</f>
        <v>23.194675113421177</v>
      </c>
      <c r="AE586" s="57" cm="1">
        <f t="array" ref="AE586">VLOOKUP(B586,'Player Data'!$A1:$AE673,19,FALSE)*$Q586*IFERROR((VLOOKUP(P586,Settings!$E$28:$F$33,2,FALSE)+1),1)</f>
        <v>1.4619266191043709</v>
      </c>
      <c r="AF586" s="57" cm="1">
        <f t="array" ref="AF586">VLOOKUP(B586,'Player Data'!$A1:$AE673,20,FALSE)*$Q586</f>
        <v>19.067058278121451</v>
      </c>
      <c r="AG586" s="57" cm="1">
        <f t="array" ref="AG586">VLOOKUP(B586,'Player Data'!$A1:$AE673,21,FALSE)*$Q586</f>
        <v>44.95019189560913</v>
      </c>
      <c r="AH586" s="59" cm="1">
        <f t="array" ref="AH586">VLOOKUP(B586,'Player Data'!$A1:$AE673,22,FALSE)</f>
        <v>0.29784250692394798</v>
      </c>
      <c r="AI586" s="55"/>
      <c r="AJ586" s="57"/>
      <c r="AK586" s="57"/>
      <c r="AL586" s="57"/>
      <c r="AM586" s="57"/>
      <c r="AN586" s="57"/>
      <c r="AO586" s="57"/>
      <c r="AP586" s="57"/>
      <c r="AQ586" s="60"/>
      <c r="AR586" s="61"/>
      <c r="AS586" s="55"/>
    </row>
    <row r="587" spans="1:45" ht="21.25" customHeight="1" x14ac:dyDescent="0.15">
      <c r="A587" s="62">
        <f t="shared" si="9"/>
        <v>586</v>
      </c>
      <c r="B587" s="10" t="s">
        <v>715</v>
      </c>
      <c r="C587" s="47" t="s">
        <v>147</v>
      </c>
      <c r="D587" s="48" t="str" cm="1">
        <f t="array" ref="D587">VLOOKUP(B587,'Player Data'!A1:D673,4,FALSE)</f>
        <v>LW,RW</v>
      </c>
      <c r="E587" s="74" cm="1">
        <f t="array" ref="E587">VLOOKUP(B587,RW!A1:F210,3,FALSE)</f>
        <v>172</v>
      </c>
      <c r="F587" s="65" t="str" cm="1">
        <f t="array" ref="F587">VLOOKUP(B587,'Player Data'!A1:B673,2,FALSE)</f>
        <v>STL</v>
      </c>
      <c r="G587" s="11" cm="1">
        <f t="array" ref="G587">VLOOKUP(B587,'Player Data'!A1:D673,3,FALSE)</f>
        <v>27</v>
      </c>
      <c r="H587" s="51" cm="1">
        <f t="array" ref="H587">IFERROR(VLOOKUP(B587,ADP!A1:F671,6,FALSE)/1000000,VLOOKUP(B587,ADP!A1:F671,6,FALSE))</f>
        <v>2.5</v>
      </c>
      <c r="I587" s="52">
        <f>IF(Settings!$E$15="POINTS",((R587*Q587)*Settings!$B$12)+(S587*Settings!$B$2)+(T587*Settings!$B$3)+(U587*Settings!$B$4)+(V587*Settings!$B$5)+(X587*Settings!$B$9)+(AA587*Settings!$B$6)+(W587*Settings!$B$8)+(AB587*Settings!$B$7)+(AC587*Settings!$B$14)+(AD587*Settings!$B$15)+(AE587*Settings!$B$16)+(AF587*Settings!$B$17)+(AG587*Settings!$B$18)+(Y587*Settings!$B$10)+(Z587*Settings!$B$11),VLOOKUP(B587,'Standard Deviations'!A$1:C$672,3,FALSE))</f>
        <v>125.29115204157866</v>
      </c>
      <c r="J587" s="53" cm="1">
        <f t="array" ref="J587">IF(D587="G",I587/AJ587,I587/Q587)</f>
        <v>1.5518334360313195</v>
      </c>
      <c r="K587" s="52" cm="1">
        <f t="array" ref="K587">IF(Settings!$E$18="C/LW/RW",VLOOKUP(B587,RW!A1:F210,6,FALSE),VLOOKUP(B587,F!A1:F407,6,FALSE))</f>
        <v>-269.65231265197883</v>
      </c>
      <c r="L587" s="54" cm="1">
        <f t="array" ref="L587">IFERROR(K587/H587,"N/A")</f>
        <v>-107.86092506079153</v>
      </c>
      <c r="M587" s="85" t="s">
        <v>832</v>
      </c>
      <c r="N587" s="85" t="str" cm="1">
        <f t="array" ref="N587">IFERROR(M587-A587,"N/A")</f>
        <v>N/A</v>
      </c>
      <c r="O587" s="55"/>
      <c r="P587" s="56" t="str" cm="1">
        <f t="array" ref="P587">_xlfn.XLOOKUP($B587,ADP!A2:A671,ADP!G2:G671)</f>
        <v xml:space="preserve"> </v>
      </c>
      <c r="Q587" s="57" cm="1">
        <f t="array" ref="Q587">IF(Settings!$E$12="YES",VLOOKUP(B587,'Player Data'!A1:E673,5,FALSE),84)</f>
        <v>80.737499999999997</v>
      </c>
      <c r="R587" s="55" cm="1">
        <f t="array" ref="R587">VLOOKUP(B587,'Player Data'!$A1:$AE673,6,FALSE)</f>
        <v>11.749238482885801</v>
      </c>
      <c r="S587" s="57" cm="1">
        <f t="array" ref="S587">VLOOKUP(B587,'Player Data'!$A1:$AE673,7,FALSE)*$Q587*IFERROR((VLOOKUP(P587,Settings!$E$28:$F$33,2,FALSE)+1),1)</f>
        <v>6.8344202374602006</v>
      </c>
      <c r="T587" s="57" cm="1">
        <f t="array" ref="T587">VLOOKUP(B587,'Player Data'!$A1:$AE673,8,FALSE)*$Q587*IFERROR((VLOOKUP(P587,Settings!$E$28:$F$33,2,FALSE)+1),1)</f>
        <v>9.9782129872981589</v>
      </c>
      <c r="U587" s="57" cm="1">
        <f t="array" ref="U587">SUM(S587:T587)</f>
        <v>16.812633224758358</v>
      </c>
      <c r="V587" s="57" cm="1">
        <f t="array" ref="V587">VLOOKUP(B587,'Player Data'!$A1:$AE673,10,FALSE)*$Q587*IFERROR(((VLOOKUP(P587,Settings!$E$28:$F$33,2,FALSE)/2)+1),1)</f>
        <v>87.918264686176173</v>
      </c>
      <c r="W587" s="57" cm="1">
        <f t="array" ref="W587">VLOOKUP(B587,'Player Data'!$A1:$AE673,11,FALSE)*$Q587*IFERROR((VLOOKUP(P587,Settings!$E$28:$F$33,2,FALSE)+1),1)</f>
        <v>2.8900051384646307E-2</v>
      </c>
      <c r="X587" s="57" cm="1">
        <f t="array" ref="X587">VLOOKUP(B587,'Player Data'!$A1:$AE673,12,FALSE)*$Q587*IFERROR((VLOOKUP(P587,Settings!$E$28:$F$33,2,FALSE)+1),1)</f>
        <v>6.3758274136748519E-2</v>
      </c>
      <c r="Y587" s="57" cm="1">
        <f t="array" ref="Y587">VLOOKUP(B587,'Player Data'!$A1:$AE673,13,FALSE)*$Q587</f>
        <v>1.0195078059531066</v>
      </c>
      <c r="Z587" s="57" cm="1">
        <f t="array" ref="Z587">VLOOKUP(B587,'Player Data'!$A1:$AE673,14,FALSE)*$Q587</f>
        <v>1.6625612304301514</v>
      </c>
      <c r="AA587" s="57" cm="1">
        <f t="array" ref="AA587">VLOOKUP(B587,'Player Data'!$A1:$AE673,15,FALSE)*$Q587</f>
        <v>58.335601039297195</v>
      </c>
      <c r="AB587" s="57" cm="1">
        <f t="array" ref="AB587">VLOOKUP(B587,'Player Data'!$A1:$AE673,16,FALSE)*$Q587</f>
        <v>169.47421568731173</v>
      </c>
      <c r="AC587" s="57" cm="1">
        <f t="array" ref="AC587">VLOOKUP(B587,'Player Data'!$A1:$AE673,17,FALSE)*$Q587*IFERROR((VLOOKUP(P587,Settings!$E$28:$F$33,2,FALSE)+1),1)</f>
        <v>-3.6115837457297877</v>
      </c>
      <c r="AD587" s="57" cm="1">
        <f t="array" ref="AD587">VLOOKUP(B587,'Player Data'!$A1:$AE673,18,FALSE)*$Q587</f>
        <v>23.717728837363438</v>
      </c>
      <c r="AE587" s="57" cm="1">
        <f t="array" ref="AE587">VLOOKUP(B587,'Player Data'!$A1:$AE673,19,FALSE)*$Q587*IFERROR((VLOOKUP(P587,Settings!$E$28:$F$33,2,FALSE)+1),1)</f>
        <v>0.98546219136399782</v>
      </c>
      <c r="AF587" s="57" cm="1">
        <f t="array" ref="AF587">VLOOKUP(B587,'Player Data'!$A1:$AE673,20,FALSE)*$Q587</f>
        <v>2.8361527522983709</v>
      </c>
      <c r="AG587" s="57" cm="1">
        <f t="array" ref="AG587">VLOOKUP(B587,'Player Data'!$A1:$AE673,21,FALSE)*$Q587</f>
        <v>4.0130343047100627</v>
      </c>
      <c r="AH587" s="59" cm="1">
        <f t="array" ref="AH587">VLOOKUP(B587,'Player Data'!$A1:$AE673,22,FALSE)</f>
        <v>0.41408604096982199</v>
      </c>
      <c r="AI587" s="55"/>
      <c r="AJ587" s="57"/>
      <c r="AK587" s="57"/>
      <c r="AL587" s="57"/>
      <c r="AM587" s="57"/>
      <c r="AN587" s="57"/>
      <c r="AO587" s="57"/>
      <c r="AP587" s="57"/>
      <c r="AQ587" s="60"/>
      <c r="AR587" s="61"/>
      <c r="AS587" s="55"/>
    </row>
    <row r="588" spans="1:45" ht="21.25" customHeight="1" x14ac:dyDescent="0.15">
      <c r="A588" s="62">
        <f t="shared" si="9"/>
        <v>587</v>
      </c>
      <c r="B588" s="10" t="s">
        <v>716</v>
      </c>
      <c r="C588" s="47" t="s">
        <v>147</v>
      </c>
      <c r="D588" s="48" t="str" cm="1">
        <f t="array" ref="D588">VLOOKUP(B588,'Player Data'!A1:D673,4,FALSE)</f>
        <v>RW</v>
      </c>
      <c r="E588" s="64" cm="1">
        <f t="array" ref="E588">VLOOKUP(B588,RW!A1:F210,3,FALSE)</f>
        <v>173</v>
      </c>
      <c r="F588" s="63" t="str" cm="1">
        <f t="array" ref="F588">VLOOKUP(B588,'Player Data'!A1:B673,2,FALSE)</f>
        <v>CGY</v>
      </c>
      <c r="G588" s="11" cm="1">
        <f t="array" ref="G588">VLOOKUP(B588,'Player Data'!A1:D673,3,FALSE)</f>
        <v>25</v>
      </c>
      <c r="H588" s="67" cm="1">
        <f t="array" ref="H588">IFERROR(VLOOKUP(B588,ADP!A1:F671,6,FALSE)/1000000,VLOOKUP(B588,ADP!A1:F671,6,FALSE))</f>
        <v>1.25</v>
      </c>
      <c r="I588" s="52">
        <f>IF(Settings!$E$15="POINTS",((R588*Q588)*Settings!$B$12)+(S588*Settings!$B$2)+(T588*Settings!$B$3)+(U588*Settings!$B$4)+(V588*Settings!$B$5)+(X588*Settings!$B$9)+(AA588*Settings!$B$6)+(W588*Settings!$B$8)+(AB588*Settings!$B$7)+(AC588*Settings!$B$14)+(AD588*Settings!$B$15)+(AE588*Settings!$B$16)+(AF588*Settings!$B$17)+(AG588*Settings!$B$18)+(Y588*Settings!$B$10)+(Z588*Settings!$B$11),VLOOKUP(B588,'Standard Deviations'!A$1:C$672,3,FALSE))</f>
        <v>125.07327435720499</v>
      </c>
      <c r="J588" s="53" cm="1">
        <f t="array" ref="J588">IF(D588="G",I588/AJ588,I588/Q588)</f>
        <v>1.8156822872498364</v>
      </c>
      <c r="K588" s="52" cm="1">
        <f t="array" ref="K588">IF(Settings!$E$18="C/LW/RW",VLOOKUP(B588,RW!A1:F210,6,FALSE),VLOOKUP(B588,F!A1:F407,6,FALSE))</f>
        <v>-269.87019033635249</v>
      </c>
      <c r="L588" s="54" cm="1">
        <f t="array" ref="L588">IFERROR(K588/H588,"N/A")</f>
        <v>-215.89615226908199</v>
      </c>
      <c r="M588" s="85" t="s">
        <v>832</v>
      </c>
      <c r="N588" s="85" t="str" cm="1">
        <f t="array" ref="N588">IFERROR(M588-A588,"N/A")</f>
        <v>N/A</v>
      </c>
      <c r="O588" s="55"/>
      <c r="P588" s="56" t="str" cm="1">
        <f t="array" ref="P588">_xlfn.XLOOKUP($B588,ADP!A2:A671,ADP!G2:G671)</f>
        <v xml:space="preserve"> </v>
      </c>
      <c r="Q588" s="57" cm="1">
        <f t="array" ref="Q588">IF(Settings!$E$12="YES",VLOOKUP(B588,'Player Data'!A1:E673,5,FALSE),84)</f>
        <v>68.885000000000005</v>
      </c>
      <c r="R588" s="82" cm="1">
        <f t="array" ref="R588">VLOOKUP(B588,'Player Data'!$A1:$AE673,6,FALSE)</f>
        <v>11.8783617199582</v>
      </c>
      <c r="S588" s="57" cm="1">
        <f t="array" ref="S588">VLOOKUP(B588,'Player Data'!$A1:$AE673,7,FALSE)*$Q588*IFERROR((VLOOKUP(P588,Settings!$E$28:$F$33,2,FALSE)+1),1)</f>
        <v>8.1185797638349797</v>
      </c>
      <c r="T588" s="57" cm="1">
        <f t="array" ref="T588">VLOOKUP(B588,'Player Data'!$A1:$AE673,8,FALSE)*$Q588*IFERROR((VLOOKUP(P588,Settings!$E$28:$F$33,2,FALSE)+1),1)</f>
        <v>11.644518008395224</v>
      </c>
      <c r="U588" s="57" cm="1">
        <f t="array" ref="U588">SUM(S588:T588)</f>
        <v>19.763097772230203</v>
      </c>
      <c r="V588" s="57" cm="1">
        <f t="array" ref="V588">VLOOKUP(B588,'Player Data'!$A1:$AE673,10,FALSE)*$Q588*IFERROR(((VLOOKUP(P588,Settings!$E$28:$F$33,2,FALSE)/2)+1),1)</f>
        <v>83.399938532801045</v>
      </c>
      <c r="W588" s="57" cm="1">
        <f t="array" ref="W588">VLOOKUP(B588,'Player Data'!$A1:$AE673,11,FALSE)*$Q588*IFERROR((VLOOKUP(P588,Settings!$E$28:$F$33,2,FALSE)+1),1)</f>
        <v>0.30126645936955088</v>
      </c>
      <c r="X588" s="57" cm="1">
        <f t="array" ref="X588">VLOOKUP(B588,'Player Data'!$A1:$AE673,12,FALSE)*$Q588*IFERROR((VLOOKUP(P588,Settings!$E$28:$F$33,2,FALSE)+1),1)</f>
        <v>0.64173237949895257</v>
      </c>
      <c r="Y588" s="57" cm="1">
        <f t="array" ref="Y588">VLOOKUP(B588,'Player Data'!$A1:$AE673,13,FALSE)*$Q588</f>
        <v>7.0710689543322929E-4</v>
      </c>
      <c r="Z588" s="57" cm="1">
        <f t="array" ref="Z588">VLOOKUP(B588,'Player Data'!$A1:$AE673,14,FALSE)*$Q588</f>
        <v>1.1656585835331541E-3</v>
      </c>
      <c r="AA588" s="57" cm="1">
        <f t="array" ref="AA588">VLOOKUP(B588,'Player Data'!$A1:$AE673,15,FALSE)*$Q588</f>
        <v>46.882227472062766</v>
      </c>
      <c r="AB588" s="57" cm="1">
        <f t="array" ref="AB588">VLOOKUP(B588,'Player Data'!$A1:$AE673,16,FALSE)*$Q588</f>
        <v>249.04640233761887</v>
      </c>
      <c r="AC588" s="57" cm="1">
        <f t="array" ref="AC588">VLOOKUP(B588,'Player Data'!$A1:$AE673,17,FALSE)*$Q588*IFERROR((VLOOKUP(P588,Settings!$E$28:$F$33,2,FALSE)+1),1)</f>
        <v>-6.9395200414581595</v>
      </c>
      <c r="AD588" s="57" cm="1">
        <f t="array" ref="AD588">VLOOKUP(B588,'Player Data'!$A1:$AE673,18,FALSE)*$Q588</f>
        <v>53.948390906749417</v>
      </c>
      <c r="AE588" s="57" cm="1">
        <f t="array" ref="AE588">VLOOKUP(B588,'Player Data'!$A1:$AE673,19,FALSE)*$Q588*IFERROR((VLOOKUP(P588,Settings!$E$28:$F$33,2,FALSE)+1),1)</f>
        <v>1.16724855262316</v>
      </c>
      <c r="AF588" s="57" cm="1">
        <f t="array" ref="AF588">VLOOKUP(B588,'Player Data'!$A1:$AE673,20,FALSE)*$Q588</f>
        <v>11.84019347539494</v>
      </c>
      <c r="AG588" s="57" cm="1">
        <f t="array" ref="AG588">VLOOKUP(B588,'Player Data'!$A1:$AE673,21,FALSE)*$Q588</f>
        <v>24.731680987831016</v>
      </c>
      <c r="AH588" s="59" cm="1">
        <f t="array" ref="AH588">VLOOKUP(B588,'Player Data'!$A1:$AE673,22,FALSE)</f>
        <v>0.32375134305190201</v>
      </c>
      <c r="AI588" s="55"/>
      <c r="AJ588" s="57"/>
      <c r="AK588" s="57"/>
      <c r="AL588" s="57"/>
      <c r="AM588" s="57"/>
      <c r="AN588" s="57"/>
      <c r="AO588" s="57"/>
      <c r="AP588" s="57"/>
      <c r="AQ588" s="60"/>
      <c r="AR588" s="61"/>
      <c r="AS588" s="55"/>
    </row>
    <row r="589" spans="1:45" ht="21.25" customHeight="1" x14ac:dyDescent="0.15">
      <c r="A589" s="62">
        <f t="shared" si="9"/>
        <v>588</v>
      </c>
      <c r="B589" s="10" t="s">
        <v>717</v>
      </c>
      <c r="C589" s="47" t="s">
        <v>147</v>
      </c>
      <c r="D589" s="48" t="str" cm="1">
        <f t="array" ref="D589">VLOOKUP(B589,'Player Data'!A1:D673,4,FALSE)</f>
        <v>LW</v>
      </c>
      <c r="E589" s="75" cm="1">
        <f t="array" ref="E589">VLOOKUP(B589,LW!A1:C210,3,FALSE)</f>
        <v>165</v>
      </c>
      <c r="F589" s="56" t="str" cm="1">
        <f t="array" ref="F589">VLOOKUP(B589,'Player Data'!A1:B673,2,FALSE)</f>
        <v>NYR</v>
      </c>
      <c r="G589" s="11" cm="1">
        <f t="array" ref="G589">VLOOKUP(B589,'Player Data'!A1:D673,3,FALSE)</f>
        <v>25</v>
      </c>
      <c r="H589" s="67" cm="1">
        <f t="array" ref="H589">IFERROR(VLOOKUP(B589,ADP!A1:F671,6,FALSE)/1000000,VLOOKUP(B589,ADP!A1:F671,6,FALSE))</f>
        <v>1.25</v>
      </c>
      <c r="I589" s="52">
        <f>IF(Settings!$E$15="POINTS",((R589*Q589)*Settings!$B$12)+(S589*Settings!$B$2)+(T589*Settings!$B$3)+(U589*Settings!$B$4)+(V589*Settings!$B$5)+(X589*Settings!$B$9)+(AA589*Settings!$B$6)+(W589*Settings!$B$8)+(AB589*Settings!$B$7)+(AC589*Settings!$B$14)+(AD589*Settings!$B$15)+(AE589*Settings!$B$16)+(AF589*Settings!$B$17)+(AG589*Settings!$B$18)+(Y589*Settings!$B$10)+(Z589*Settings!$B$11),VLOOKUP(B589,'Standard Deviations'!A$1:C$672,3,FALSE))</f>
        <v>128.40305394467018</v>
      </c>
      <c r="J589" s="53" cm="1">
        <f t="array" ref="J589">IF(D589="G",I589/AJ589,I589/Q589)</f>
        <v>1.6520705580066284</v>
      </c>
      <c r="K589" s="52" cm="1">
        <f t="array" ref="K589">IF(Settings!$E$18="C/LW/RW",VLOOKUP(B589,LW!A1:F210,6,FALSE),VLOOKUP(B589,F!A1:F407,6,FALSE))</f>
        <v>-270.90993936904988</v>
      </c>
      <c r="L589" s="54" cm="1">
        <f t="array" ref="L589">IFERROR(K589/H589,"N/A")</f>
        <v>-216.72795149523989</v>
      </c>
      <c r="M589" s="85" t="s">
        <v>832</v>
      </c>
      <c r="N589" s="85" t="str" cm="1">
        <f t="array" ref="N589">IFERROR(M589-A589,"N/A")</f>
        <v>N/A</v>
      </c>
      <c r="O589" s="55"/>
      <c r="P589" s="56" t="str" cm="1">
        <f t="array" ref="P589">_xlfn.XLOOKUP($B589,ADP!A2:A671,ADP!G2:G671)</f>
        <v xml:space="preserve"> </v>
      </c>
      <c r="Q589" s="57" cm="1">
        <f t="array" ref="Q589">IF(Settings!$E$12="YES",VLOOKUP(B589,'Player Data'!A1:E673,5,FALSE),84)</f>
        <v>77.722499999999997</v>
      </c>
      <c r="R589" s="55" cm="1">
        <f t="array" ref="R589">VLOOKUP(B589,'Player Data'!$A1:$AE673,6,FALSE)</f>
        <v>11.629529540339201</v>
      </c>
      <c r="S589" s="57" cm="1">
        <f t="array" ref="S589">VLOOKUP(B589,'Player Data'!$A1:$AE673,7,FALSE)*$Q589*IFERROR((VLOOKUP(P589,Settings!$E$28:$F$33,2,FALSE)+1),1)</f>
        <v>9.3441145160706078</v>
      </c>
      <c r="T589" s="57" cm="1">
        <f t="array" ref="T589">VLOOKUP(B589,'Player Data'!$A1:$AE673,8,FALSE)*$Q589*IFERROR((VLOOKUP(P589,Settings!$E$28:$F$33,2,FALSE)+1),1)</f>
        <v>13.1549779127444</v>
      </c>
      <c r="U589" s="57" cm="1">
        <f t="array" ref="U589">SUM(S589:T589)</f>
        <v>22.499092428815008</v>
      </c>
      <c r="V589" s="57" cm="1">
        <f t="array" ref="V589">VLOOKUP(B589,'Player Data'!$A1:$AE673,10,FALSE)*$Q589*IFERROR(((VLOOKUP(P589,Settings!$E$28:$F$33,2,FALSE)/2)+1),1)</f>
        <v>77.224371308962048</v>
      </c>
      <c r="W589" s="57" cm="1">
        <f t="array" ref="W589">VLOOKUP(B589,'Player Data'!$A1:$AE673,11,FALSE)*$Q589*IFERROR((VLOOKUP(P589,Settings!$E$28:$F$33,2,FALSE)+1),1)</f>
        <v>3.3825904976658668E-2</v>
      </c>
      <c r="X589" s="57" cm="1">
        <f t="array" ref="X589">VLOOKUP(B589,'Player Data'!$A1:$AE673,12,FALSE)*$Q589*IFERROR((VLOOKUP(P589,Settings!$E$28:$F$33,2,FALSE)+1),1)</f>
        <v>7.3982453229009384E-2</v>
      </c>
      <c r="Y589" s="57" cm="1">
        <f t="array" ref="Y589">VLOOKUP(B589,'Player Data'!$A1:$AE673,13,FALSE)*$Q589</f>
        <v>0.44152737980343049</v>
      </c>
      <c r="Z589" s="57" cm="1">
        <f t="array" ref="Z589">VLOOKUP(B589,'Player Data'!$A1:$AE673,14,FALSE)*$Q589</f>
        <v>0.52389383839602177</v>
      </c>
      <c r="AA589" s="57" cm="1">
        <f t="array" ref="AA589">VLOOKUP(B589,'Player Data'!$A1:$AE673,15,FALSE)*$Q589</f>
        <v>43.391429424238176</v>
      </c>
      <c r="AB589" s="57" cm="1">
        <f t="array" ref="AB589">VLOOKUP(B589,'Player Data'!$A1:$AE673,16,FALSE)*$Q589</f>
        <v>201.98861270315788</v>
      </c>
      <c r="AC589" s="57" cm="1">
        <f t="array" ref="AC589">VLOOKUP(B589,'Player Data'!$A1:$AE673,17,FALSE)*$Q589*IFERROR((VLOOKUP(P589,Settings!$E$28:$F$33,2,FALSE)+1),1)</f>
        <v>-1.8240811381119477</v>
      </c>
      <c r="AD589" s="57" cm="1">
        <f t="array" ref="AD589">VLOOKUP(B589,'Player Data'!$A1:$AE673,18,FALSE)*$Q589</f>
        <v>33.462228861643169</v>
      </c>
      <c r="AE589" s="57" cm="1">
        <f t="array" ref="AE589">VLOOKUP(B589,'Player Data'!$A1:$AE673,19,FALSE)*$Q589*IFERROR((VLOOKUP(P589,Settings!$E$28:$F$33,2,FALSE)+1),1)</f>
        <v>1.467995823739136</v>
      </c>
      <c r="AF589" s="57" cm="1">
        <f t="array" ref="AF589">VLOOKUP(B589,'Player Data'!$A1:$AE673,20,FALSE)*$Q589</f>
        <v>8.3394278719717345</v>
      </c>
      <c r="AG589" s="57" cm="1">
        <f t="array" ref="AG589">VLOOKUP(B589,'Player Data'!$A1:$AE673,21,FALSE)*$Q589</f>
        <v>19.308501992578798</v>
      </c>
      <c r="AH589" s="59" cm="1">
        <f t="array" ref="AH589">VLOOKUP(B589,'Player Data'!$A1:$AE673,22,FALSE)</f>
        <v>0.301629377419116</v>
      </c>
      <c r="AI589" s="55"/>
      <c r="AJ589" s="57"/>
      <c r="AK589" s="57"/>
      <c r="AL589" s="57"/>
      <c r="AM589" s="57"/>
      <c r="AN589" s="57"/>
      <c r="AO589" s="57"/>
      <c r="AP589" s="57"/>
      <c r="AQ589" s="60"/>
      <c r="AR589" s="61"/>
      <c r="AS589" s="55"/>
    </row>
    <row r="590" spans="1:45" ht="21.25" customHeight="1" x14ac:dyDescent="0.15">
      <c r="A590" s="62">
        <f t="shared" si="9"/>
        <v>589</v>
      </c>
      <c r="B590" s="10" t="s">
        <v>718</v>
      </c>
      <c r="C590" s="47" t="s">
        <v>147</v>
      </c>
      <c r="D590" s="48" t="str" cm="1">
        <f t="array" ref="D590">VLOOKUP(B590,'Player Data'!A1:D673,4,FALSE)</f>
        <v>RW</v>
      </c>
      <c r="E590" s="64" cm="1">
        <f t="array" ref="E590">VLOOKUP(B590,RW!A1:F210,3,FALSE)</f>
        <v>174</v>
      </c>
      <c r="F590" s="63" t="str" cm="1">
        <f t="array" ref="F590">VLOOKUP(B590,'Player Data'!A1:B673,2,FALSE)</f>
        <v>WPG</v>
      </c>
      <c r="G590" s="71" cm="1">
        <f t="array" ref="G590">VLOOKUP(B590,'Player Data'!A1:D673,3,FALSE)</f>
        <v>23</v>
      </c>
      <c r="H590" s="51" cm="1">
        <f t="array" ref="H590">IFERROR(VLOOKUP(B590,ADP!A1:F671,6,FALSE)/1000000,VLOOKUP(B590,ADP!A1:F671,6,FALSE))</f>
        <v>0.92500000000000004</v>
      </c>
      <c r="I590" s="52">
        <f>IF(Settings!$E$15="POINTS",((R590*Q590)*Settings!$B$12)+(S590*Settings!$B$2)+(T590*Settings!$B$3)+(U590*Settings!$B$4)+(V590*Settings!$B$5)+(X590*Settings!$B$9)+(AA590*Settings!$B$6)+(W590*Settings!$B$8)+(AB590*Settings!$B$7)+(AC590*Settings!$B$14)+(AD590*Settings!$B$15)+(AE590*Settings!$B$16)+(AF590*Settings!$B$17)+(AG590*Settings!$B$18)+(Y590*Settings!$B$10)+(Z590*Settings!$B$11),VLOOKUP(B590,'Standard Deviations'!A$1:C$672,3,FALSE))</f>
        <v>123.69952644257792</v>
      </c>
      <c r="J590" s="53" cm="1">
        <f t="array" ref="J590">IF(D590="G",I590/AJ590,I590/Q590)</f>
        <v>2.1193219932767025</v>
      </c>
      <c r="K590" s="52" cm="1">
        <f t="array" ref="K590">IF(Settings!$E$18="C/LW/RW",VLOOKUP(B590,RW!A1:F210,6,FALSE),VLOOKUP(B590,F!A1:F407,6,FALSE))</f>
        <v>-271.24393825097957</v>
      </c>
      <c r="L590" s="54" cm="1">
        <f t="array" ref="L590">IFERROR(K590/H590,"N/A")</f>
        <v>-293.236690001059</v>
      </c>
      <c r="M590" s="85" t="s">
        <v>832</v>
      </c>
      <c r="N590" s="85" t="str" cm="1">
        <f t="array" ref="N590">IFERROR(M590-A590,"N/A")</f>
        <v>N/A</v>
      </c>
      <c r="O590" s="55"/>
      <c r="P590" s="56" t="str" cm="1">
        <f t="array" ref="P590">_xlfn.XLOOKUP($B590,ADP!A2:A671,ADP!G2:G671)</f>
        <v xml:space="preserve"> </v>
      </c>
      <c r="Q590" s="57" cm="1">
        <f t="array" ref="Q590">IF(Settings!$E$12="YES",VLOOKUP(B590,'Player Data'!A1:E673,5,FALSE),84)</f>
        <v>58.3675</v>
      </c>
      <c r="R590" s="82" cm="1">
        <f t="array" ref="R590">VLOOKUP(B590,'Player Data'!$A1:$AE673,6,FALSE)</f>
        <v>13.887313185659799</v>
      </c>
      <c r="S590" s="57" cm="1">
        <f t="array" ref="S590">VLOOKUP(B590,'Player Data'!$A1:$AE673,7,FALSE)*$Q590*IFERROR((VLOOKUP(P590,Settings!$E$28:$F$33,2,FALSE)+1),1)</f>
        <v>10.352860030612426</v>
      </c>
      <c r="T590" s="57" cm="1">
        <f t="array" ref="T590">VLOOKUP(B590,'Player Data'!$A1:$AE673,8,FALSE)*$Q590*IFERROR((VLOOKUP(P590,Settings!$E$28:$F$33,2,FALSE)+1),1)</f>
        <v>11.165357697289503</v>
      </c>
      <c r="U590" s="57" cm="1">
        <f t="array" ref="U590">SUM(S590:T590)</f>
        <v>21.518217727901927</v>
      </c>
      <c r="V590" s="57" cm="1">
        <f t="array" ref="V590">VLOOKUP(B590,'Player Data'!$A1:$AE673,10,FALSE)*$Q590*IFERROR(((VLOOKUP(P590,Settings!$E$28:$F$33,2,FALSE)/2)+1),1)</f>
        <v>75.166296529099782</v>
      </c>
      <c r="W590" s="57" cm="1">
        <f t="array" ref="W590">VLOOKUP(B590,'Player Data'!$A1:$AE673,11,FALSE)*$Q590*IFERROR((VLOOKUP(P590,Settings!$E$28:$F$33,2,FALSE)+1),1)</f>
        <v>1.8240561250921772</v>
      </c>
      <c r="X590" s="57" cm="1">
        <f t="array" ref="X590">VLOOKUP(B590,'Player Data'!$A1:$AE673,12,FALSE)*$Q590*IFERROR((VLOOKUP(P590,Settings!$E$28:$F$33,2,FALSE)+1),1)</f>
        <v>5.0379019014381941</v>
      </c>
      <c r="Y590" s="57" cm="1">
        <f t="array" ref="Y590">VLOOKUP(B590,'Player Data'!$A1:$AE673,13,FALSE)*$Q590</f>
        <v>0</v>
      </c>
      <c r="Z590" s="57" cm="1">
        <f t="array" ref="Z590">VLOOKUP(B590,'Player Data'!$A1:$AE673,14,FALSE)*$Q590</f>
        <v>0</v>
      </c>
      <c r="AA590" s="57" cm="1">
        <f t="array" ref="AA590">VLOOKUP(B590,'Player Data'!$A1:$AE673,15,FALSE)*$Q590</f>
        <v>33.047646185768095</v>
      </c>
      <c r="AB590" s="57" cm="1">
        <f t="array" ref="AB590">VLOOKUP(B590,'Player Data'!$A1:$AE673,16,FALSE)*$Q590</f>
        <v>42.577520555267846</v>
      </c>
      <c r="AC590" s="57" cm="1">
        <f t="array" ref="AC590">VLOOKUP(B590,'Player Data'!$A1:$AE673,17,FALSE)*$Q590*IFERROR((VLOOKUP(P590,Settings!$E$28:$F$33,2,FALSE)+1),1)</f>
        <v>-0.20659448463769672</v>
      </c>
      <c r="AD590" s="57" cm="1">
        <f t="array" ref="AD590">VLOOKUP(B590,'Player Data'!$A1:$AE673,18,FALSE)*$Q590</f>
        <v>11.573206367788838</v>
      </c>
      <c r="AE590" s="57" cm="1">
        <f t="array" ref="AE590">VLOOKUP(B590,'Player Data'!$A1:$AE673,19,FALSE)*$Q590*IFERROR((VLOOKUP(P590,Settings!$E$28:$F$33,2,FALSE)+1),1)</f>
        <v>1.7990139466339143</v>
      </c>
      <c r="AF590" s="57" cm="1">
        <f t="array" ref="AF590">VLOOKUP(B590,'Player Data'!$A1:$AE673,20,FALSE)*$Q590</f>
        <v>2.1289266616080509</v>
      </c>
      <c r="AG590" s="57" cm="1">
        <f t="array" ref="AG590">VLOOKUP(B590,'Player Data'!$A1:$AE673,21,FALSE)*$Q590</f>
        <v>5.4339879583475073</v>
      </c>
      <c r="AH590" s="59" cm="1">
        <f t="array" ref="AH590">VLOOKUP(B590,'Player Data'!$A1:$AE673,22,FALSE)</f>
        <v>0.281495530306616</v>
      </c>
      <c r="AI590" s="55"/>
      <c r="AJ590" s="57"/>
      <c r="AK590" s="57"/>
      <c r="AL590" s="57"/>
      <c r="AM590" s="57"/>
      <c r="AN590" s="57"/>
      <c r="AO590" s="57"/>
      <c r="AP590" s="57"/>
      <c r="AQ590" s="60"/>
      <c r="AR590" s="61"/>
      <c r="AS590" s="55"/>
    </row>
    <row r="591" spans="1:45" ht="21.25" customHeight="1" x14ac:dyDescent="0.15">
      <c r="A591" s="62">
        <f t="shared" si="9"/>
        <v>590</v>
      </c>
      <c r="B591" s="10" t="s">
        <v>719</v>
      </c>
      <c r="C591" s="47" t="s">
        <v>147</v>
      </c>
      <c r="D591" s="48" t="str" cm="1">
        <f t="array" ref="D591">VLOOKUP(B591,'Player Data'!A1:D673,4,FALSE)</f>
        <v>C,RW</v>
      </c>
      <c r="E591" s="74" cm="1">
        <f t="array" ref="E591">VLOOKUP(B591,RW!A1:F210,3,FALSE)</f>
        <v>175</v>
      </c>
      <c r="F591" s="69" t="str" cm="1">
        <f t="array" ref="F591">VLOOKUP(B591,'Player Data'!A1:B673,2,FALSE)</f>
        <v>TOR</v>
      </c>
      <c r="G591" s="66" cm="1">
        <f t="array" ref="G591">VLOOKUP(B591,'Player Data'!A1:D673,3,FALSE)</f>
        <v>32</v>
      </c>
      <c r="H591" s="51" cm="1">
        <f t="array" ref="H591">IFERROR(VLOOKUP(B591,ADP!A1:F671,6,FALSE)/1000000,VLOOKUP(B591,ADP!A1:F671,6,FALSE))</f>
        <v>4.25</v>
      </c>
      <c r="I591" s="52">
        <f>IF(Settings!$E$15="POINTS",((R591*Q591)*Settings!$B$12)+(S591*Settings!$B$2)+(T591*Settings!$B$3)+(U591*Settings!$B$4)+(V591*Settings!$B$5)+(X591*Settings!$B$9)+(AA591*Settings!$B$6)+(W591*Settings!$B$8)+(AB591*Settings!$B$7)+(AC591*Settings!$B$14)+(AD591*Settings!$B$15)+(AE591*Settings!$B$16)+(AF591*Settings!$B$17)+(AG591*Settings!$B$18)+(Y591*Settings!$B$10)+(Z591*Settings!$B$11),VLOOKUP(B591,'Standard Deviations'!A$1:C$672,3,FALSE))</f>
        <v>123.01295045181961</v>
      </c>
      <c r="J591" s="53" cm="1">
        <f t="array" ref="J591">IF(D591="G",I591/AJ591,I591/Q591)</f>
        <v>1.5431593859602284</v>
      </c>
      <c r="K591" s="52" cm="1">
        <f t="array" ref="K591">IF(Settings!$E$18="C/LW/RW",VLOOKUP(B591,RW!A1:F210,6,FALSE),VLOOKUP(B591,F!A1:F407,6,FALSE))</f>
        <v>-271.93051424173785</v>
      </c>
      <c r="L591" s="54" cm="1">
        <f t="array" ref="L591">IFERROR(K591/H591,"N/A")</f>
        <v>-63.983650409820669</v>
      </c>
      <c r="M591" s="85" t="s">
        <v>832</v>
      </c>
      <c r="N591" s="85" t="str" cm="1">
        <f t="array" ref="N591">IFERROR(M591-A591,"N/A")</f>
        <v>N/A</v>
      </c>
      <c r="O591" s="55"/>
      <c r="P591" s="56" t="str" cm="1">
        <f t="array" ref="P591">_xlfn.XLOOKUP($B591,ADP!A2:A671,ADP!G2:G671)</f>
        <v xml:space="preserve"> </v>
      </c>
      <c r="Q591" s="57" cm="1">
        <f t="array" ref="Q591">IF(Settings!$E$12="YES",VLOOKUP(B591,'Player Data'!A1:E673,5,FALSE),84)</f>
        <v>79.715000000000003</v>
      </c>
      <c r="R591" s="55" cm="1">
        <f t="array" ref="R591">VLOOKUP(B591,'Player Data'!$A1:$AE673,6,FALSE)</f>
        <v>12.8813593702925</v>
      </c>
      <c r="S591" s="57" cm="1">
        <f t="array" ref="S591">VLOOKUP(B591,'Player Data'!$A1:$AE673,7,FALSE)*$Q591*IFERROR((VLOOKUP(P591,Settings!$E$28:$F$33,2,FALSE)+1),1)</f>
        <v>7.2181761643050537</v>
      </c>
      <c r="T591" s="57" cm="1">
        <f t="array" ref="T591">VLOOKUP(B591,'Player Data'!$A1:$AE673,8,FALSE)*$Q591*IFERROR((VLOOKUP(P591,Settings!$E$28:$F$33,2,FALSE)+1),1)</f>
        <v>9.1593615321484503</v>
      </c>
      <c r="U591" s="57" cm="1">
        <f t="array" ref="U591">SUM(S591:T591)</f>
        <v>16.377537696453505</v>
      </c>
      <c r="V591" s="57" cm="1">
        <f t="array" ref="V591">VLOOKUP(B591,'Player Data'!$A1:$AE673,10,FALSE)*$Q591*IFERROR(((VLOOKUP(P591,Settings!$E$28:$F$33,2,FALSE)/2)+1),1)</f>
        <v>87.50415218320795</v>
      </c>
      <c r="W591" s="57" cm="1">
        <f t="array" ref="W591">VLOOKUP(B591,'Player Data'!$A1:$AE673,11,FALSE)*$Q591*IFERROR((VLOOKUP(P591,Settings!$E$28:$F$33,2,FALSE)+1),1)</f>
        <v>0.17031629027964962</v>
      </c>
      <c r="X591" s="57" cm="1">
        <f t="array" ref="X591">VLOOKUP(B591,'Player Data'!$A1:$AE673,12,FALSE)*$Q591*IFERROR((VLOOKUP(P591,Settings!$E$28:$F$33,2,FALSE)+1),1)</f>
        <v>0.64926984102342444</v>
      </c>
      <c r="Y591" s="57" cm="1">
        <f t="array" ref="Y591">VLOOKUP(B591,'Player Data'!$A1:$AE673,13,FALSE)*$Q591</f>
        <v>0.47911825761144183</v>
      </c>
      <c r="Z591" s="57" cm="1">
        <f t="array" ref="Z591">VLOOKUP(B591,'Player Data'!$A1:$AE673,14,FALSE)*$Q591</f>
        <v>0.69932034359330419</v>
      </c>
      <c r="AA591" s="57" cm="1">
        <f t="array" ref="AA591">VLOOKUP(B591,'Player Data'!$A1:$AE673,15,FALSE)*$Q591</f>
        <v>57.559342172476775</v>
      </c>
      <c r="AB591" s="57" cm="1">
        <f t="array" ref="AB591">VLOOKUP(B591,'Player Data'!$A1:$AE673,16,FALSE)*$Q591</f>
        <v>114.97705946266134</v>
      </c>
      <c r="AC591" s="57" cm="1">
        <f t="array" ref="AC591">VLOOKUP(B591,'Player Data'!$A1:$AE673,17,FALSE)*$Q591*IFERROR((VLOOKUP(P591,Settings!$E$28:$F$33,2,FALSE)+1),1)</f>
        <v>-0.11913064792060045</v>
      </c>
      <c r="AD591" s="57" cm="1">
        <f t="array" ref="AD591">VLOOKUP(B591,'Player Data'!$A1:$AE673,18,FALSE)*$Q591</f>
        <v>27.682705832602778</v>
      </c>
      <c r="AE591" s="57" cm="1">
        <f t="array" ref="AE591">VLOOKUP(B591,'Player Data'!$A1:$AE673,19,FALSE)*$Q591*IFERROR((VLOOKUP(P591,Settings!$E$28:$F$33,2,FALSE)+1),1)</f>
        <v>0.98571933081538221</v>
      </c>
      <c r="AF591" s="57" cm="1">
        <f t="array" ref="AF591">VLOOKUP(B591,'Player Data'!$A1:$AE673,20,FALSE)*$Q591</f>
        <v>420.65757512019201</v>
      </c>
      <c r="AG591" s="57" cm="1">
        <f t="array" ref="AG591">VLOOKUP(B591,'Player Data'!$A1:$AE673,21,FALSE)*$Q591</f>
        <v>348.55368115922806</v>
      </c>
      <c r="AH591" s="59" cm="1">
        <f t="array" ref="AH591">VLOOKUP(B591,'Player Data'!$A1:$AE673,22,FALSE)</f>
        <v>0.546868719985795</v>
      </c>
      <c r="AI591" s="55"/>
      <c r="AJ591" s="57"/>
      <c r="AK591" s="57"/>
      <c r="AL591" s="57"/>
      <c r="AM591" s="57"/>
      <c r="AN591" s="57"/>
      <c r="AO591" s="57"/>
      <c r="AP591" s="57"/>
      <c r="AQ591" s="60"/>
      <c r="AR591" s="61"/>
      <c r="AS591" s="55"/>
    </row>
    <row r="592" spans="1:45" ht="21.25" customHeight="1" x14ac:dyDescent="0.15">
      <c r="A592" s="62">
        <f t="shared" si="9"/>
        <v>591</v>
      </c>
      <c r="B592" s="10" t="s">
        <v>720</v>
      </c>
      <c r="C592" s="47" t="s">
        <v>147</v>
      </c>
      <c r="D592" s="48" t="str" cm="1">
        <f t="array" ref="D592">VLOOKUP(B592,'Player Data'!A1:D673,4,FALSE)</f>
        <v>RW</v>
      </c>
      <c r="E592" s="64" cm="1">
        <f t="array" ref="E592">VLOOKUP(B592,RW!A1:F210,3,FALSE)</f>
        <v>176</v>
      </c>
      <c r="F592" s="72" t="str" cm="1">
        <f t="array" ref="F592">VLOOKUP(B592,'Player Data'!A1:B673,2,FALSE)</f>
        <v>DET</v>
      </c>
      <c r="G592" s="11" cm="1">
        <f t="array" ref="G592">VLOOKUP(B592,'Player Data'!A1:D673,3,FALSE)</f>
        <v>29</v>
      </c>
      <c r="H592" s="51" cm="1">
        <f t="array" ref="H592">IFERROR(VLOOKUP(B592,ADP!A1:F671,6,FALSE)/1000000,VLOOKUP(B592,ADP!A1:F671,6,FALSE))</f>
        <v>2.5</v>
      </c>
      <c r="I592" s="52">
        <f>IF(Settings!$E$15="POINTS",((R592*Q592)*Settings!$B$12)+(S592*Settings!$B$2)+(T592*Settings!$B$3)+(U592*Settings!$B$4)+(V592*Settings!$B$5)+(X592*Settings!$B$9)+(AA592*Settings!$B$6)+(W592*Settings!$B$8)+(AB592*Settings!$B$7)+(AC592*Settings!$B$14)+(AD592*Settings!$B$15)+(AE592*Settings!$B$16)+(AF592*Settings!$B$17)+(AG592*Settings!$B$18)+(Y592*Settings!$B$10)+(Z592*Settings!$B$11),VLOOKUP(B592,'Standard Deviations'!A$1:C$672,3,FALSE))</f>
        <v>121.67407296624309</v>
      </c>
      <c r="J592" s="53" cm="1">
        <f t="array" ref="J592">IF(D592="G",I592/AJ592,I592/Q592)</f>
        <v>1.4531717779319608</v>
      </c>
      <c r="K592" s="52" cm="1">
        <f t="array" ref="K592">IF(Settings!$E$18="C/LW/RW",VLOOKUP(B592,RW!A1:F210,6,FALSE),VLOOKUP(B592,F!A1:F407,6,FALSE))</f>
        <v>-273.26939172731437</v>
      </c>
      <c r="L592" s="54" cm="1">
        <f t="array" ref="L592">IFERROR(K592/H592,"N/A")</f>
        <v>-109.30775669092574</v>
      </c>
      <c r="M592" s="85" t="s">
        <v>832</v>
      </c>
      <c r="N592" s="85" t="str" cm="1">
        <f t="array" ref="N592">IFERROR(M592-A592,"N/A")</f>
        <v>N/A</v>
      </c>
      <c r="O592" s="55"/>
      <c r="P592" s="56" t="str" cm="1">
        <f t="array" ref="P592">_xlfn.XLOOKUP($B592,ADP!A2:A671,ADP!G2:G671)</f>
        <v xml:space="preserve"> </v>
      </c>
      <c r="Q592" s="57" cm="1">
        <f t="array" ref="Q592">IF(Settings!$E$12="YES",VLOOKUP(B592,'Player Data'!A1:E673,5,FALSE),84)</f>
        <v>83.73</v>
      </c>
      <c r="R592" s="55" cm="1">
        <f t="array" ref="R592">VLOOKUP(B592,'Player Data'!$A1:$AE673,6,FALSE)</f>
        <v>11.627903386471001</v>
      </c>
      <c r="S592" s="57" cm="1">
        <f t="array" ref="S592">VLOOKUP(B592,'Player Data'!$A1:$AE673,7,FALSE)*$Q592*IFERROR((VLOOKUP(P592,Settings!$E$28:$F$33,2,FALSE)+1),1)</f>
        <v>7.8652623607679084</v>
      </c>
      <c r="T592" s="57" cm="1">
        <f t="array" ref="T592">VLOOKUP(B592,'Player Data'!$A1:$AE673,8,FALSE)*$Q592*IFERROR((VLOOKUP(P592,Settings!$E$28:$F$33,2,FALSE)+1),1)</f>
        <v>12.599449651230724</v>
      </c>
      <c r="U592" s="57" cm="1">
        <f t="array" ref="U592">SUM(S592:T592)</f>
        <v>20.464712011998632</v>
      </c>
      <c r="V592" s="57" cm="1">
        <f t="array" ref="V592">VLOOKUP(B592,'Player Data'!$A1:$AE673,10,FALSE)*$Q592*IFERROR(((VLOOKUP(P592,Settings!$E$28:$F$33,2,FALSE)/2)+1),1)</f>
        <v>74.054724076528601</v>
      </c>
      <c r="W592" s="57" cm="1">
        <f t="array" ref="W592">VLOOKUP(B592,'Player Data'!$A1:$AE673,11,FALSE)*$Q592*IFERROR((VLOOKUP(P592,Settings!$E$28:$F$33,2,FALSE)+1),1)</f>
        <v>6.8206514093570647E-2</v>
      </c>
      <c r="X592" s="57" cm="1">
        <f t="array" ref="X592">VLOOKUP(B592,'Player Data'!$A1:$AE673,12,FALSE)*$Q592*IFERROR((VLOOKUP(P592,Settings!$E$28:$F$33,2,FALSE)+1),1)</f>
        <v>0.15326258151903027</v>
      </c>
      <c r="Y592" s="57" cm="1">
        <f t="array" ref="Y592">VLOOKUP(B592,'Player Data'!$A1:$AE673,13,FALSE)*$Q592</f>
        <v>0.26081528489232664</v>
      </c>
      <c r="Z592" s="57" cm="1">
        <f t="array" ref="Z592">VLOOKUP(B592,'Player Data'!$A1:$AE673,14,FALSE)*$Q592</f>
        <v>1.2545458946364449</v>
      </c>
      <c r="AA592" s="57" cm="1">
        <f t="array" ref="AA592">VLOOKUP(B592,'Player Data'!$A1:$AE673,15,FALSE)*$Q592</f>
        <v>43.689532831654809</v>
      </c>
      <c r="AB592" s="57" cm="1">
        <f t="array" ref="AB592">VLOOKUP(B592,'Player Data'!$A1:$AE673,16,FALSE)*$Q592</f>
        <v>239.99059160635838</v>
      </c>
      <c r="AC592" s="57" cm="1">
        <f t="array" ref="AC592">VLOOKUP(B592,'Player Data'!$A1:$AE673,17,FALSE)*$Q592*IFERROR((VLOOKUP(P592,Settings!$E$28:$F$33,2,FALSE)+1),1)</f>
        <v>-3.4374717899657976</v>
      </c>
      <c r="AD592" s="57" cm="1">
        <f t="array" ref="AD592">VLOOKUP(B592,'Player Data'!$A1:$AE673,18,FALSE)*$Q592</f>
        <v>42.153014565908244</v>
      </c>
      <c r="AE592" s="57" cm="1">
        <f t="array" ref="AE592">VLOOKUP(B592,'Player Data'!$A1:$AE673,19,FALSE)*$Q592*IFERROR((VLOOKUP(P592,Settings!$E$28:$F$33,2,FALSE)+1),1)</f>
        <v>1.232548764019431</v>
      </c>
      <c r="AF592" s="57" cm="1">
        <f t="array" ref="AF592">VLOOKUP(B592,'Player Data'!$A1:$AE673,20,FALSE)*$Q592</f>
        <v>10.007472571315191</v>
      </c>
      <c r="AG592" s="57" cm="1">
        <f t="array" ref="AG592">VLOOKUP(B592,'Player Data'!$A1:$AE673,21,FALSE)*$Q592</f>
        <v>17.489303368346636</v>
      </c>
      <c r="AH592" s="59" cm="1">
        <f t="array" ref="AH592">VLOOKUP(B592,'Player Data'!$A1:$AE673,22,FALSE)</f>
        <v>0.36395076256486603</v>
      </c>
      <c r="AI592" s="55"/>
      <c r="AJ592" s="57"/>
      <c r="AK592" s="57"/>
      <c r="AL592" s="57"/>
      <c r="AM592" s="57"/>
      <c r="AN592" s="57"/>
      <c r="AO592" s="57"/>
      <c r="AP592" s="57"/>
      <c r="AQ592" s="60"/>
      <c r="AR592" s="61"/>
      <c r="AS592" s="55"/>
    </row>
    <row r="593" spans="1:45" ht="21.25" customHeight="1" x14ac:dyDescent="0.15">
      <c r="A593" s="62">
        <f t="shared" si="9"/>
        <v>592</v>
      </c>
      <c r="B593" s="10" t="s">
        <v>721</v>
      </c>
      <c r="C593" s="47" t="s">
        <v>147</v>
      </c>
      <c r="D593" s="48" t="str" cm="1">
        <f t="array" ref="D593">VLOOKUP(B593,'Player Data'!A1:D673,4,FALSE)</f>
        <v>LW,RW</v>
      </c>
      <c r="E593" s="74" cm="1">
        <f t="array" ref="E593">VLOOKUP(B593,RW!A1:F210,3,FALSE)</f>
        <v>177</v>
      </c>
      <c r="F593" s="18" t="str" cm="1">
        <f t="array" ref="F593">VLOOKUP(B593,'Player Data'!A1:B673,2,FALSE)</f>
        <v>OTT</v>
      </c>
      <c r="G593" s="66" cm="1">
        <f t="array" ref="G593">VLOOKUP(B593,'Player Data'!A1:D673,3,FALSE)</f>
        <v>31</v>
      </c>
      <c r="H593" s="67" cm="1">
        <f t="array" ref="H593">IFERROR(VLOOKUP(B593,ADP!A1:F671,6,FALSE)/1000000,VLOOKUP(B593,ADP!A1:F671,6,FALSE))</f>
        <v>5.5</v>
      </c>
      <c r="I593" s="52">
        <f>IF(Settings!$E$15="POINTS",((R593*Q593)*Settings!$B$12)+(S593*Settings!$B$2)+(T593*Settings!$B$3)+(U593*Settings!$B$4)+(V593*Settings!$B$5)+(X593*Settings!$B$9)+(AA593*Settings!$B$6)+(W593*Settings!$B$8)+(AB593*Settings!$B$7)+(AC593*Settings!$B$14)+(AD593*Settings!$B$15)+(AE593*Settings!$B$16)+(AF593*Settings!$B$17)+(AG593*Settings!$B$18)+(Y593*Settings!$B$10)+(Z593*Settings!$B$11),VLOOKUP(B593,'Standard Deviations'!A$1:C$672,3,FALSE))</f>
        <v>121.53642236478285</v>
      </c>
      <c r="J593" s="53" cm="1">
        <f t="array" ref="J593">IF(D593="G",I593/AJ593,I593/Q593)</f>
        <v>1.5369765711638679</v>
      </c>
      <c r="K593" s="52" cm="1">
        <f t="array" ref="K593">IF(Settings!$E$18="C/LW/RW",VLOOKUP(B593,RW!A1:F210,6,FALSE),VLOOKUP(B593,F!A1:F407,6,FALSE))</f>
        <v>-273.40704232877465</v>
      </c>
      <c r="L593" s="54" cm="1">
        <f t="array" ref="L593">IFERROR(K593/H593,"N/A")</f>
        <v>-49.710371332504479</v>
      </c>
      <c r="M593" s="85" t="s">
        <v>832</v>
      </c>
      <c r="N593" s="85" t="str" cm="1">
        <f t="array" ref="N593">IFERROR(M593-A593,"N/A")</f>
        <v>N/A</v>
      </c>
      <c r="O593" s="55"/>
      <c r="P593" s="56" t="str" cm="1">
        <f t="array" ref="P593">_xlfn.XLOOKUP($B593,ADP!A2:A671,ADP!G2:G671)</f>
        <v xml:space="preserve"> </v>
      </c>
      <c r="Q593" s="57" cm="1">
        <f t="array" ref="Q593">IF(Settings!$E$12="YES",VLOOKUP(B593,'Player Data'!A1:E673,5,FALSE),84)</f>
        <v>79.075000000000003</v>
      </c>
      <c r="R593" s="84" cm="1">
        <f t="array" ref="R593">VLOOKUP(B593,'Player Data'!$A1:$AE673,6,FALSE)</f>
        <v>11.784238587733601</v>
      </c>
      <c r="S593" s="57" cm="1">
        <f t="array" ref="S593">VLOOKUP(B593,'Player Data'!$A1:$AE673,7,FALSE)*$Q593*IFERROR((VLOOKUP(P593,Settings!$E$28:$F$33,2,FALSE)+1),1)</f>
        <v>7.3317679324651523</v>
      </c>
      <c r="T593" s="57" cm="1">
        <f t="array" ref="T593">VLOOKUP(B593,'Player Data'!$A1:$AE673,8,FALSE)*$Q593*IFERROR((VLOOKUP(P593,Settings!$E$28:$F$33,2,FALSE)+1),1)</f>
        <v>15.049680870564067</v>
      </c>
      <c r="U593" s="57" cm="1">
        <f t="array" ref="U593">SUM(S593:T593)</f>
        <v>22.381448803029219</v>
      </c>
      <c r="V593" s="57" cm="1">
        <f t="array" ref="V593">VLOOKUP(B593,'Player Data'!$A1:$AE673,10,FALSE)*$Q593*IFERROR(((VLOOKUP(P593,Settings!$E$28:$F$33,2,FALSE)/2)+1),1)</f>
        <v>74.567403043212749</v>
      </c>
      <c r="W593" s="57" cm="1">
        <f t="array" ref="W593">VLOOKUP(B593,'Player Data'!$A1:$AE673,11,FALSE)*$Q593*IFERROR((VLOOKUP(P593,Settings!$E$28:$F$33,2,FALSE)+1),1)</f>
        <v>0.88436810435761815</v>
      </c>
      <c r="X593" s="57" cm="1">
        <f t="array" ref="X593">VLOOKUP(B593,'Player Data'!$A1:$AE673,12,FALSE)*$Q593*IFERROR((VLOOKUP(P593,Settings!$E$28:$F$33,2,FALSE)+1),1)</f>
        <v>3.1732937961814232</v>
      </c>
      <c r="Y593" s="57" cm="1">
        <f t="array" ref="Y593">VLOOKUP(B593,'Player Data'!$A1:$AE673,13,FALSE)*$Q593</f>
        <v>8.9959741088358764E-3</v>
      </c>
      <c r="Z593" s="57" cm="1">
        <f t="array" ref="Z593">VLOOKUP(B593,'Player Data'!$A1:$AE673,14,FALSE)*$Q593</f>
        <v>1.5481663045603038E-2</v>
      </c>
      <c r="AA593" s="57" cm="1">
        <f t="array" ref="AA593">VLOOKUP(B593,'Player Data'!$A1:$AE673,15,FALSE)*$Q593</f>
        <v>27.839197949723577</v>
      </c>
      <c r="AB593" s="57" cm="1">
        <f t="array" ref="AB593">VLOOKUP(B593,'Player Data'!$A1:$AE673,16,FALSE)*$Q593</f>
        <v>32.451949669174532</v>
      </c>
      <c r="AC593" s="57" cm="1">
        <f t="array" ref="AC593">VLOOKUP(B593,'Player Data'!$A1:$AE673,17,FALSE)*$Q593*IFERROR((VLOOKUP(P593,Settings!$E$28:$F$33,2,FALSE)+1),1)</f>
        <v>0.12983764319195598</v>
      </c>
      <c r="AD593" s="57" cm="1">
        <f t="array" ref="AD593">VLOOKUP(B593,'Player Data'!$A1:$AE673,18,FALSE)*$Q593</f>
        <v>14.713785424202911</v>
      </c>
      <c r="AE593" s="57" cm="1">
        <f t="array" ref="AE593">VLOOKUP(B593,'Player Data'!$A1:$AE673,19,FALSE)*$Q593*IFERROR((VLOOKUP(P593,Settings!$E$28:$F$33,2,FALSE)+1),1)</f>
        <v>1.3005469657050286</v>
      </c>
      <c r="AF593" s="57" cm="1">
        <f t="array" ref="AF593">VLOOKUP(B593,'Player Data'!$A1:$AE673,20,FALSE)*$Q593</f>
        <v>3.2593080973289013</v>
      </c>
      <c r="AG593" s="57" cm="1">
        <f t="array" ref="AG593">VLOOKUP(B593,'Player Data'!$A1:$AE673,21,FALSE)*$Q593</f>
        <v>3.9426610514546017</v>
      </c>
      <c r="AH593" s="59" cm="1">
        <f t="array" ref="AH593">VLOOKUP(B593,'Player Data'!$A1:$AE673,22,FALSE)</f>
        <v>0.45255790881573499</v>
      </c>
      <c r="AI593" s="55"/>
      <c r="AJ593" s="57"/>
      <c r="AK593" s="57"/>
      <c r="AL593" s="57"/>
      <c r="AM593" s="57"/>
      <c r="AN593" s="57"/>
      <c r="AO593" s="57"/>
      <c r="AP593" s="57"/>
      <c r="AQ593" s="60"/>
      <c r="AR593" s="61"/>
      <c r="AS593" s="55"/>
    </row>
    <row r="594" spans="1:45" ht="21.25" customHeight="1" x14ac:dyDescent="0.15">
      <c r="A594" s="62">
        <f t="shared" si="9"/>
        <v>593</v>
      </c>
      <c r="B594" s="10" t="s">
        <v>722</v>
      </c>
      <c r="C594" s="47" t="s">
        <v>147</v>
      </c>
      <c r="D594" s="48" t="str" cm="1">
        <f t="array" ref="D594">VLOOKUP(B594,'Player Data'!A1:D673,4,FALSE)</f>
        <v>C,RW</v>
      </c>
      <c r="E594" s="74" cm="1">
        <f t="array" ref="E594">VLOOKUP(B594,RW!A1:F210,3,FALSE)</f>
        <v>178</v>
      </c>
      <c r="F594" s="56" t="str" cm="1">
        <f t="array" ref="F594">VLOOKUP(B594,'Player Data'!A1:B673,2,FALSE)</f>
        <v>S.J</v>
      </c>
      <c r="G594" s="11" cm="1">
        <f t="array" ref="G594">VLOOKUP(B594,'Player Data'!A1:D673,3,FALSE)</f>
        <v>29</v>
      </c>
      <c r="H594" s="67" cm="1">
        <f t="array" ref="H594">IFERROR(VLOOKUP(B594,ADP!A1:F671,6,FALSE)/1000000,VLOOKUP(B594,ADP!A1:F671,6,FALSE))</f>
        <v>2</v>
      </c>
      <c r="I594" s="52">
        <f>IF(Settings!$E$15="POINTS",((R594*Q594)*Settings!$B$12)+(S594*Settings!$B$2)+(T594*Settings!$B$3)+(U594*Settings!$B$4)+(V594*Settings!$B$5)+(X594*Settings!$B$9)+(AA594*Settings!$B$6)+(W594*Settings!$B$8)+(AB594*Settings!$B$7)+(AC594*Settings!$B$14)+(AD594*Settings!$B$15)+(AE594*Settings!$B$16)+(AF594*Settings!$B$17)+(AG594*Settings!$B$18)+(Y594*Settings!$B$10)+(Z594*Settings!$B$11),VLOOKUP(B594,'Standard Deviations'!A$1:C$672,3,FALSE))</f>
        <v>120.93478281309424</v>
      </c>
      <c r="J594" s="53" cm="1">
        <f t="array" ref="J594">IF(D594="G",I594/AJ594,I594/Q594)</f>
        <v>1.6554502968836693</v>
      </c>
      <c r="K594" s="52" cm="1">
        <f t="array" ref="K594">IF(Settings!$E$18="C/LW/RW",VLOOKUP(B594,RW!A1:F210,6,FALSE),VLOOKUP(B594,F!A1:F407,6,FALSE))</f>
        <v>-274.0086818804632</v>
      </c>
      <c r="L594" s="54" cm="1">
        <f t="array" ref="L594">IFERROR(K594/H594,"N/A")</f>
        <v>-137.0043409402316</v>
      </c>
      <c r="M594" s="85" t="s">
        <v>832</v>
      </c>
      <c r="N594" s="85" t="str" cm="1">
        <f t="array" ref="N594">IFERROR(M594-A594,"N/A")</f>
        <v>N/A</v>
      </c>
      <c r="O594" s="55"/>
      <c r="P594" s="56" t="str" cm="1">
        <f t="array" ref="P594">_xlfn.XLOOKUP($B594,ADP!A2:A671,ADP!G2:G671)</f>
        <v xml:space="preserve"> </v>
      </c>
      <c r="Q594" s="57" cm="1">
        <f t="array" ref="Q594">IF(Settings!$E$12="YES",VLOOKUP(B594,'Player Data'!A1:E673,5,FALSE),84)</f>
        <v>73.052499999999995</v>
      </c>
      <c r="R594" s="55" cm="1">
        <f t="array" ref="R594">VLOOKUP(B594,'Player Data'!$A1:$AE673,6,FALSE)</f>
        <v>10.538537724281699</v>
      </c>
      <c r="S594" s="57" cm="1">
        <f t="array" ref="S594">VLOOKUP(B594,'Player Data'!$A1:$AE673,7,FALSE)*$Q594*IFERROR((VLOOKUP(P594,Settings!$E$28:$F$33,2,FALSE)+1),1)</f>
        <v>13.357722684332527</v>
      </c>
      <c r="T594" s="57" cm="1">
        <f t="array" ref="T594">VLOOKUP(B594,'Player Data'!$A1:$AE673,8,FALSE)*$Q594*IFERROR((VLOOKUP(P594,Settings!$E$28:$F$33,2,FALSE)+1),1)</f>
        <v>6.724391292422597</v>
      </c>
      <c r="U594" s="57" cm="1">
        <f t="array" ref="U594">SUM(S594:T594)</f>
        <v>20.082113976755124</v>
      </c>
      <c r="V594" s="57" cm="1">
        <f t="array" ref="V594">VLOOKUP(B594,'Player Data'!$A1:$AE673,10,FALSE)*$Q594*IFERROR(((VLOOKUP(P594,Settings!$E$28:$F$33,2,FALSE)/2)+1),1)</f>
        <v>87.33423733179869</v>
      </c>
      <c r="W594" s="57" cm="1">
        <f t="array" ref="W594">VLOOKUP(B594,'Player Data'!$A1:$AE673,11,FALSE)*$Q594*IFERROR((VLOOKUP(P594,Settings!$E$28:$F$33,2,FALSE)+1),1)</f>
        <v>9.821340987445866E-2</v>
      </c>
      <c r="X594" s="57" cm="1">
        <f t="array" ref="X594">VLOOKUP(B594,'Player Data'!$A1:$AE673,12,FALSE)*$Q594*IFERROR((VLOOKUP(P594,Settings!$E$28:$F$33,2,FALSE)+1),1)</f>
        <v>0.16707903171617233</v>
      </c>
      <c r="Y594" s="57" cm="1">
        <f t="array" ref="Y594">VLOOKUP(B594,'Player Data'!$A1:$AE673,13,FALSE)*$Q594</f>
        <v>4.3578356139948905E-3</v>
      </c>
      <c r="Z594" s="57" cm="1">
        <f t="array" ref="Z594">VLOOKUP(B594,'Player Data'!$A1:$AE673,14,FALSE)*$Q594</f>
        <v>7.0739209894953156E-3</v>
      </c>
      <c r="AA594" s="57" cm="1">
        <f t="array" ref="AA594">VLOOKUP(B594,'Player Data'!$A1:$AE673,15,FALSE)*$Q594</f>
        <v>33.694338528447695</v>
      </c>
      <c r="AB594" s="57" cm="1">
        <f t="array" ref="AB594">VLOOKUP(B594,'Player Data'!$A1:$AE673,16,FALSE)*$Q594</f>
        <v>71.122646252004415</v>
      </c>
      <c r="AC594" s="57" cm="1">
        <f t="array" ref="AC594">VLOOKUP(B594,'Player Data'!$A1:$AE673,17,FALSE)*$Q594*IFERROR((VLOOKUP(P594,Settings!$E$28:$F$33,2,FALSE)+1),1)</f>
        <v>-1.6004216457785876</v>
      </c>
      <c r="AD594" s="57" cm="1">
        <f t="array" ref="AD594">VLOOKUP(B594,'Player Data'!$A1:$AE673,18,FALSE)*$Q594</f>
        <v>17.94364828479738</v>
      </c>
      <c r="AE594" s="57" cm="1">
        <f t="array" ref="AE594">VLOOKUP(B594,'Player Data'!$A1:$AE673,19,FALSE)*$Q594*IFERROR((VLOOKUP(P594,Settings!$E$28:$F$33,2,FALSE)+1),1)</f>
        <v>1.8678041980817714</v>
      </c>
      <c r="AF594" s="57" cm="1">
        <f t="array" ref="AF594">VLOOKUP(B594,'Player Data'!$A1:$AE673,20,FALSE)*$Q594</f>
        <v>0.23420474522146056</v>
      </c>
      <c r="AG594" s="57" cm="1">
        <f t="array" ref="AG594">VLOOKUP(B594,'Player Data'!$A1:$AE673,21,FALSE)*$Q594</f>
        <v>0.2464363974107345</v>
      </c>
      <c r="AH594" s="59" cm="1">
        <f t="array" ref="AH594">VLOOKUP(B594,'Player Data'!$A1:$AE673,22,FALSE)</f>
        <v>0.48727569167062101</v>
      </c>
      <c r="AI594" s="55"/>
      <c r="AJ594" s="57"/>
      <c r="AK594" s="57"/>
      <c r="AL594" s="57"/>
      <c r="AM594" s="57"/>
      <c r="AN594" s="57"/>
      <c r="AO594" s="57"/>
      <c r="AP594" s="57"/>
      <c r="AQ594" s="60"/>
      <c r="AR594" s="61"/>
      <c r="AS594" s="55"/>
    </row>
    <row r="595" spans="1:45" ht="21.25" customHeight="1" x14ac:dyDescent="0.15">
      <c r="A595" s="62">
        <f t="shared" si="9"/>
        <v>594</v>
      </c>
      <c r="B595" s="10" t="s">
        <v>723</v>
      </c>
      <c r="C595" s="47" t="s">
        <v>147</v>
      </c>
      <c r="D595" s="48" t="str" cm="1">
        <f t="array" ref="D595">VLOOKUP(B595,'Player Data'!A1:D673,4,FALSE)</f>
        <v>C</v>
      </c>
      <c r="E595" s="49" cm="1">
        <f t="array" ref="E595">VLOOKUP(B595,'C'!A1:C210,3,FALSE)</f>
        <v>181</v>
      </c>
      <c r="F595" s="63" t="str" cm="1">
        <f t="array" ref="F595">VLOOKUP(B595,'Player Data'!A1:B673,2,FALSE)</f>
        <v>VGK</v>
      </c>
      <c r="G595" s="66" cm="1">
        <f t="array" ref="G595">VLOOKUP(B595,'Player Data'!A1:D673,3,FALSE)</f>
        <v>36</v>
      </c>
      <c r="H595" s="67" cm="1">
        <f t="array" ref="H595">IFERROR(VLOOKUP(B595,ADP!A1:F671,6,FALSE)/1000000,VLOOKUP(B595,ADP!A1:F671,6,FALSE))</f>
        <v>3</v>
      </c>
      <c r="I595" s="52">
        <f>IF(Settings!$E$15="POINTS",((R595*Q595)*Settings!$B$12)+(S595*Settings!$B$2)+(T595*Settings!$B$3)+(U595*Settings!$B$4)+(V595*Settings!$B$5)+(X595*Settings!$B$9)+(AA595*Settings!$B$6)+(W595*Settings!$B$8)+(AB595*Settings!$B$7)+(AC595*Settings!$B$14)+(AD595*Settings!$B$15)+(AE595*Settings!$B$16)+(AF595*Settings!$B$17)+(AG595*Settings!$B$18)+(Y595*Settings!$B$10)+(Z595*Settings!$B$11),VLOOKUP(B595,'Standard Deviations'!A$1:C$672,3,FALSE))</f>
        <v>112.44579991207853</v>
      </c>
      <c r="J595" s="53" cm="1">
        <f t="array" ref="J595">IF(D595="G",I595/AJ595,I595/Q595)</f>
        <v>1.3884340165096902</v>
      </c>
      <c r="K595" s="52" cm="1">
        <f t="array" ref="K595">IF(Settings!$E$18="C/LW/RW",VLOOKUP(B595,'C'!A1:F210,6,FALSE),VLOOKUP(B595,F!A1:F407,6,FALSE))</f>
        <v>-274.08940648100446</v>
      </c>
      <c r="L595" s="54" cm="1">
        <f t="array" ref="L595">IFERROR(K595/H595,"N/A")</f>
        <v>-91.363135493668153</v>
      </c>
      <c r="M595" s="85" t="s">
        <v>832</v>
      </c>
      <c r="N595" s="85" t="str" cm="1">
        <f t="array" ref="N595">IFERROR(M595-A595,"N/A")</f>
        <v>N/A</v>
      </c>
      <c r="O595" s="55"/>
      <c r="P595" s="56" t="str" cm="1">
        <f t="array" ref="P595">_xlfn.XLOOKUP($B595,ADP!A2:A671,ADP!G2:G671)</f>
        <v xml:space="preserve"> </v>
      </c>
      <c r="Q595" s="57" cm="1">
        <f t="array" ref="Q595">IF(Settings!$E$12="YES",VLOOKUP(B595,'Player Data'!A1:E673,5,FALSE),84)</f>
        <v>80.987499999999997</v>
      </c>
      <c r="R595" s="84" cm="1">
        <f t="array" ref="R595">VLOOKUP(B595,'Player Data'!$A1:$AE673,6,FALSE)</f>
        <v>12.6199362991965</v>
      </c>
      <c r="S595" s="57" cm="1">
        <f t="array" ref="S595">VLOOKUP(B595,'Player Data'!$A1:$AE673,7,FALSE)*$Q595*IFERROR((VLOOKUP(P595,Settings!$E$28:$F$33,2,FALSE)+1),1)</f>
        <v>6.5958564440168281</v>
      </c>
      <c r="T595" s="57" cm="1">
        <f t="array" ref="T595">VLOOKUP(B595,'Player Data'!$A1:$AE673,8,FALSE)*$Q595*IFERROR((VLOOKUP(P595,Settings!$E$28:$F$33,2,FALSE)+1),1)</f>
        <v>11.296150884681873</v>
      </c>
      <c r="U595" s="57" cm="1">
        <f t="array" ref="U595">SUM(S595:T595)</f>
        <v>17.892007328698703</v>
      </c>
      <c r="V595" s="57" cm="1">
        <f t="array" ref="V595">VLOOKUP(B595,'Player Data'!$A1:$AE673,10,FALSE)*$Q595*IFERROR(((VLOOKUP(P595,Settings!$E$28:$F$33,2,FALSE)/2)+1),1)</f>
        <v>62.99242799786294</v>
      </c>
      <c r="W595" s="57" cm="1">
        <f t="array" ref="W595">VLOOKUP(B595,'Player Data'!$A1:$AE673,11,FALSE)*$Q595*IFERROR((VLOOKUP(P595,Settings!$E$28:$F$33,2,FALSE)+1),1)</f>
        <v>3.1377139493282913E-2</v>
      </c>
      <c r="X595" s="57" cm="1">
        <f t="array" ref="X595">VLOOKUP(B595,'Player Data'!$A1:$AE673,12,FALSE)*$Q595*IFERROR((VLOOKUP(P595,Settings!$E$28:$F$33,2,FALSE)+1),1)</f>
        <v>7.2488313006986119E-2</v>
      </c>
      <c r="Y595" s="57" cm="1">
        <f t="array" ref="Y595">VLOOKUP(B595,'Player Data'!$A1:$AE673,13,FALSE)*$Q595</f>
        <v>0.721210385213512</v>
      </c>
      <c r="Z595" s="57" cm="1">
        <f t="array" ref="Z595">VLOOKUP(B595,'Player Data'!$A1:$AE673,14,FALSE)*$Q595</f>
        <v>0.82291893847864528</v>
      </c>
      <c r="AA595" s="57" cm="1">
        <f t="array" ref="AA595">VLOOKUP(B595,'Player Data'!$A1:$AE673,15,FALSE)*$Q595</f>
        <v>52.756313351130643</v>
      </c>
      <c r="AB595" s="57" cm="1">
        <f t="array" ref="AB595">VLOOKUP(B595,'Player Data'!$A1:$AE673,16,FALSE)*$Q595</f>
        <v>125.50844090795947</v>
      </c>
      <c r="AC595" s="57" cm="1">
        <f t="array" ref="AC595">VLOOKUP(B595,'Player Data'!$A1:$AE673,17,FALSE)*$Q595*IFERROR((VLOOKUP(P595,Settings!$E$28:$F$33,2,FALSE)+1),1)</f>
        <v>2.1024368172504952</v>
      </c>
      <c r="AD595" s="57" cm="1">
        <f t="array" ref="AD595">VLOOKUP(B595,'Player Data'!$A1:$AE673,18,FALSE)*$Q595</f>
        <v>41.290838799021692</v>
      </c>
      <c r="AE595" s="57" cm="1">
        <f t="array" ref="AE595">VLOOKUP(B595,'Player Data'!$A1:$AE673,19,FALSE)*$Q595*IFERROR((VLOOKUP(P595,Settings!$E$28:$F$33,2,FALSE)+1),1)</f>
        <v>1.2583405566114694</v>
      </c>
      <c r="AF595" s="57" cm="1">
        <f t="array" ref="AF595">VLOOKUP(B595,'Player Data'!$A1:$AE673,20,FALSE)*$Q595</f>
        <v>460.59761626383636</v>
      </c>
      <c r="AG595" s="57" cm="1">
        <f t="array" ref="AG595">VLOOKUP(B595,'Player Data'!$A1:$AE673,21,FALSE)*$Q595</f>
        <v>480.77938928704862</v>
      </c>
      <c r="AH595" s="59" cm="1">
        <f t="array" ref="AH595">VLOOKUP(B595,'Player Data'!$A1:$AE673,22,FALSE)</f>
        <v>0.48928071702186798</v>
      </c>
      <c r="AI595" s="55"/>
      <c r="AJ595" s="57"/>
      <c r="AK595" s="57"/>
      <c r="AL595" s="57"/>
      <c r="AM595" s="57"/>
      <c r="AN595" s="57"/>
      <c r="AO595" s="57"/>
      <c r="AP595" s="57"/>
      <c r="AQ595" s="60"/>
      <c r="AR595" s="61"/>
      <c r="AS595" s="55"/>
    </row>
    <row r="596" spans="1:45" ht="21.25" customHeight="1" x14ac:dyDescent="0.15">
      <c r="A596" s="62">
        <f t="shared" si="9"/>
        <v>595</v>
      </c>
      <c r="B596" s="10" t="s">
        <v>724</v>
      </c>
      <c r="C596" s="47" t="s">
        <v>147</v>
      </c>
      <c r="D596" s="48" t="str" cm="1">
        <f t="array" ref="D596">VLOOKUP(B596,'Player Data'!A1:D673,4,FALSE)</f>
        <v>C</v>
      </c>
      <c r="E596" s="49" cm="1">
        <f t="array" ref="E596">VLOOKUP(B596,'C'!A1:C210,3,FALSE)</f>
        <v>182</v>
      </c>
      <c r="F596" s="69" t="str" cm="1">
        <f t="array" ref="F596">VLOOKUP(B596,'Player Data'!A1:B673,2,FALSE)</f>
        <v>N.J</v>
      </c>
      <c r="G596" s="66" cm="1">
        <f t="array" ref="G596">VLOOKUP(B596,'Player Data'!A1:D673,3,FALSE)</f>
        <v>34</v>
      </c>
      <c r="H596" s="67" cm="1">
        <f t="array" ref="H596">IFERROR(VLOOKUP(B596,ADP!A1:F671,6,FALSE)/1000000,VLOOKUP(B596,ADP!A1:F671,6,FALSE))</f>
        <v>1.75</v>
      </c>
      <c r="I596" s="52">
        <f>IF(Settings!$E$15="POINTS",((R596*Q596)*Settings!$B$12)+(S596*Settings!$B$2)+(T596*Settings!$B$3)+(U596*Settings!$B$4)+(V596*Settings!$B$5)+(X596*Settings!$B$9)+(AA596*Settings!$B$6)+(W596*Settings!$B$8)+(AB596*Settings!$B$7)+(AC596*Settings!$B$14)+(AD596*Settings!$B$15)+(AE596*Settings!$B$16)+(AF596*Settings!$B$17)+(AG596*Settings!$B$18)+(Y596*Settings!$B$10)+(Z596*Settings!$B$11),VLOOKUP(B596,'Standard Deviations'!A$1:C$672,3,FALSE))</f>
        <v>112.39535773809229</v>
      </c>
      <c r="J596" s="53" cm="1">
        <f t="array" ref="J596">IF(D596="G",I596/AJ596,I596/Q596)</f>
        <v>1.4502158993334704</v>
      </c>
      <c r="K596" s="52" cm="1">
        <f t="array" ref="K596">IF(Settings!$E$18="C/LW/RW",VLOOKUP(B596,'C'!A1:F210,6,FALSE),VLOOKUP(B596,F!A1:F407,6,FALSE))</f>
        <v>-274.13984865499071</v>
      </c>
      <c r="L596" s="54" cm="1">
        <f t="array" ref="L596">IFERROR(K596/H596,"N/A")</f>
        <v>-156.65134208856611</v>
      </c>
      <c r="M596" s="85" t="s">
        <v>832</v>
      </c>
      <c r="N596" s="85" t="str" cm="1">
        <f t="array" ref="N596">IFERROR(M596-A596,"N/A")</f>
        <v>N/A</v>
      </c>
      <c r="O596" s="55"/>
      <c r="P596" s="56" t="str" cm="1">
        <f t="array" ref="P596">_xlfn.XLOOKUP($B596,ADP!A2:A671,ADP!G2:G671)</f>
        <v xml:space="preserve"> </v>
      </c>
      <c r="Q596" s="57" cm="1">
        <f t="array" ref="Q596">IF(Settings!$E$12="YES",VLOOKUP(B596,'Player Data'!A1:E673,5,FALSE),84)</f>
        <v>77.502499999999998</v>
      </c>
      <c r="R596" s="55" cm="1">
        <f t="array" ref="R596">VLOOKUP(B596,'Player Data'!$A1:$AE673,6,FALSE)</f>
        <v>10.8562791263807</v>
      </c>
      <c r="S596" s="57" cm="1">
        <f t="array" ref="S596">VLOOKUP(B596,'Player Data'!$A1:$AE673,7,FALSE)*$Q596*IFERROR((VLOOKUP(P596,Settings!$E$28:$F$33,2,FALSE)+1),1)</f>
        <v>7.2339636815245321</v>
      </c>
      <c r="T596" s="57" cm="1">
        <f t="array" ref="T596">VLOOKUP(B596,'Player Data'!$A1:$AE673,8,FALSE)*$Q596*IFERROR((VLOOKUP(P596,Settings!$E$28:$F$33,2,FALSE)+1),1)</f>
        <v>7.6243040615012667</v>
      </c>
      <c r="U596" s="57" cm="1">
        <f t="array" ref="U596">SUM(S596:T596)</f>
        <v>14.858267743025799</v>
      </c>
      <c r="V596" s="57" cm="1">
        <f t="array" ref="V596">VLOOKUP(B596,'Player Data'!$A1:$AE673,10,FALSE)*$Q596*IFERROR(((VLOOKUP(P596,Settings!$E$28:$F$33,2,FALSE)/2)+1),1)</f>
        <v>96.673696345357911</v>
      </c>
      <c r="W596" s="57" cm="1">
        <f t="array" ref="W596">VLOOKUP(B596,'Player Data'!$A1:$AE673,11,FALSE)*$Q596*IFERROR((VLOOKUP(P596,Settings!$E$28:$F$33,2,FALSE)+1),1)</f>
        <v>4.3775416192608212E-2</v>
      </c>
      <c r="X596" s="57" cm="1">
        <f t="array" ref="X596">VLOOKUP(B596,'Player Data'!$A1:$AE673,12,FALSE)*$Q596*IFERROR((VLOOKUP(P596,Settings!$E$28:$F$33,2,FALSE)+1),1)</f>
        <v>9.431523994909434E-2</v>
      </c>
      <c r="Y596" s="57" cm="1">
        <f t="array" ref="Y596">VLOOKUP(B596,'Player Data'!$A1:$AE673,13,FALSE)*$Q596</f>
        <v>0.52260351503030289</v>
      </c>
      <c r="Z596" s="57" cm="1">
        <f t="array" ref="Z596">VLOOKUP(B596,'Player Data'!$A1:$AE673,14,FALSE)*$Q596</f>
        <v>0.57683561715636544</v>
      </c>
      <c r="AA596" s="57" cm="1">
        <f t="array" ref="AA596">VLOOKUP(B596,'Player Data'!$A1:$AE673,15,FALSE)*$Q596</f>
        <v>37.62511095846093</v>
      </c>
      <c r="AB596" s="57" cm="1">
        <f t="array" ref="AB596">VLOOKUP(B596,'Player Data'!$A1:$AE673,16,FALSE)*$Q596</f>
        <v>121.59691578546864</v>
      </c>
      <c r="AC596" s="57" cm="1">
        <f t="array" ref="AC596">VLOOKUP(B596,'Player Data'!$A1:$AE673,17,FALSE)*$Q596*IFERROR((VLOOKUP(P596,Settings!$E$28:$F$33,2,FALSE)+1),1)</f>
        <v>-0.67518706100880799</v>
      </c>
      <c r="AD596" s="57" cm="1">
        <f t="array" ref="AD596">VLOOKUP(B596,'Player Data'!$A1:$AE673,18,FALSE)*$Q596</f>
        <v>27.869803104513618</v>
      </c>
      <c r="AE596" s="57" cm="1">
        <f t="array" ref="AE596">VLOOKUP(B596,'Player Data'!$A1:$AE673,19,FALSE)*$Q596*IFERROR((VLOOKUP(P596,Settings!$E$28:$F$33,2,FALSE)+1),1)</f>
        <v>1.0812302916936036</v>
      </c>
      <c r="AF596" s="57" cm="1">
        <f t="array" ref="AF596">VLOOKUP(B596,'Player Data'!$A1:$AE673,20,FALSE)*$Q596</f>
        <v>259.34973132212866</v>
      </c>
      <c r="AG596" s="57" cm="1">
        <f t="array" ref="AG596">VLOOKUP(B596,'Player Data'!$A1:$AE673,21,FALSE)*$Q596</f>
        <v>271.66915835787051</v>
      </c>
      <c r="AH596" s="59" cm="1">
        <f t="array" ref="AH596">VLOOKUP(B596,'Player Data'!$A1:$AE673,22,FALSE)</f>
        <v>0.488400198867534</v>
      </c>
      <c r="AI596" s="55"/>
      <c r="AJ596" s="57"/>
      <c r="AK596" s="57"/>
      <c r="AL596" s="57"/>
      <c r="AM596" s="57"/>
      <c r="AN596" s="57"/>
      <c r="AO596" s="57"/>
      <c r="AP596" s="57"/>
      <c r="AQ596" s="60"/>
      <c r="AR596" s="61"/>
      <c r="AS596" s="55"/>
    </row>
    <row r="597" spans="1:45" ht="21.25" customHeight="1" x14ac:dyDescent="0.15">
      <c r="A597" s="62">
        <f t="shared" si="9"/>
        <v>596</v>
      </c>
      <c r="B597" s="10" t="s">
        <v>725</v>
      </c>
      <c r="C597" s="47" t="s">
        <v>147</v>
      </c>
      <c r="D597" s="48" t="str" cm="1">
        <f t="array" ref="D597">VLOOKUP(B597,'Player Data'!A1:D673,4,FALSE)</f>
        <v>LW,RW</v>
      </c>
      <c r="E597" s="74" cm="1">
        <f t="array" ref="E597">VLOOKUP(B597,RW!A1:F210,3,FALSE)</f>
        <v>179</v>
      </c>
      <c r="F597" s="72" t="str" cm="1">
        <f t="array" ref="F597">VLOOKUP(B597,'Player Data'!A1:B673,2,FALSE)</f>
        <v>BOS</v>
      </c>
      <c r="G597" s="11" cm="1">
        <f t="array" ref="G597">VLOOKUP(B597,'Player Data'!A1:D673,3,FALSE)</f>
        <v>29</v>
      </c>
      <c r="H597" s="51" cm="1">
        <f t="array" ref="H597">IFERROR(VLOOKUP(B597,ADP!A1:F671,6,FALSE)/1000000,VLOOKUP(B597,ADP!A1:F671,6,FALSE))</f>
        <v>3.4</v>
      </c>
      <c r="I597" s="52">
        <f>IF(Settings!$E$15="POINTS",((R597*Q597)*Settings!$B$12)+(S597*Settings!$B$2)+(T597*Settings!$B$3)+(U597*Settings!$B$4)+(V597*Settings!$B$5)+(X597*Settings!$B$9)+(AA597*Settings!$B$6)+(W597*Settings!$B$8)+(AB597*Settings!$B$7)+(AC597*Settings!$B$14)+(AD597*Settings!$B$15)+(AE597*Settings!$B$16)+(AF597*Settings!$B$17)+(AG597*Settings!$B$18)+(Y597*Settings!$B$10)+(Z597*Settings!$B$11),VLOOKUP(B597,'Standard Deviations'!A$1:C$672,3,FALSE))</f>
        <v>119.50729062559837</v>
      </c>
      <c r="J597" s="53" cm="1">
        <f t="array" ref="J597">IF(D597="G",I597/AJ597,I597/Q597)</f>
        <v>1.524716644878775</v>
      </c>
      <c r="K597" s="52" cm="1">
        <f t="array" ref="K597">IF(Settings!$E$18="C/LW/RW",VLOOKUP(B597,RW!A1:F210,6,FALSE),VLOOKUP(B597,F!A1:F407,6,FALSE))</f>
        <v>-275.43617406795909</v>
      </c>
      <c r="L597" s="54" cm="1">
        <f t="array" ref="L597">IFERROR(K597/H597,"N/A")</f>
        <v>-81.010639431752679</v>
      </c>
      <c r="M597" s="85" t="s">
        <v>832</v>
      </c>
      <c r="N597" s="85" t="str" cm="1">
        <f t="array" ref="N597">IFERROR(M597-A597,"N/A")</f>
        <v>N/A</v>
      </c>
      <c r="O597" s="55"/>
      <c r="P597" s="56" t="str" cm="1">
        <f t="array" ref="P597">_xlfn.XLOOKUP($B597,ADP!A2:A671,ADP!G2:G671)</f>
        <v xml:space="preserve"> </v>
      </c>
      <c r="Q597" s="57" cm="1">
        <f t="array" ref="Q597">IF(Settings!$E$12="YES",VLOOKUP(B597,'Player Data'!A1:E673,5,FALSE),84)</f>
        <v>78.38</v>
      </c>
      <c r="R597" s="55" cm="1">
        <f t="array" ref="R597">VLOOKUP(B597,'Player Data'!$A1:$AE673,6,FALSE)</f>
        <v>11.989512120986801</v>
      </c>
      <c r="S597" s="57" cm="1">
        <f t="array" ref="S597">VLOOKUP(B597,'Player Data'!$A1:$AE673,7,FALSE)*$Q597*IFERROR((VLOOKUP(P597,Settings!$E$28:$F$33,2,FALSE)+1),1)</f>
        <v>7.1927759139966057</v>
      </c>
      <c r="T597" s="57" cm="1">
        <f t="array" ref="T597">VLOOKUP(B597,'Player Data'!$A1:$AE673,8,FALSE)*$Q597*IFERROR((VLOOKUP(P597,Settings!$E$28:$F$33,2,FALSE)+1),1)</f>
        <v>11.287210166877399</v>
      </c>
      <c r="U597" s="57" cm="1">
        <f t="array" ref="U597">SUM(S597:T597)</f>
        <v>18.479986080874006</v>
      </c>
      <c r="V597" s="57" cm="1">
        <f t="array" ref="V597">VLOOKUP(B597,'Player Data'!$A1:$AE673,10,FALSE)*$Q597*IFERROR(((VLOOKUP(P597,Settings!$E$28:$F$33,2,FALSE)/2)+1),1)</f>
        <v>75.496259469138451</v>
      </c>
      <c r="W597" s="57" cm="1">
        <f t="array" ref="W597">VLOOKUP(B597,'Player Data'!$A1:$AE673,11,FALSE)*$Q597*IFERROR((VLOOKUP(P597,Settings!$E$28:$F$33,2,FALSE)+1),1)</f>
        <v>4.5682275355204228E-2</v>
      </c>
      <c r="X597" s="57" cm="1">
        <f t="array" ref="X597">VLOOKUP(B597,'Player Data'!$A1:$AE673,12,FALSE)*$Q597*IFERROR((VLOOKUP(P597,Settings!$E$28:$F$33,2,FALSE)+1),1)</f>
        <v>0.13972660283292734</v>
      </c>
      <c r="Y597" s="57" cm="1">
        <f t="array" ref="Y597">VLOOKUP(B597,'Player Data'!$A1:$AE673,13,FALSE)*$Q597</f>
        <v>0.15401512066484371</v>
      </c>
      <c r="Z597" s="57" cm="1">
        <f t="array" ref="Z597">VLOOKUP(B597,'Player Data'!$A1:$AE673,14,FALSE)*$Q597</f>
        <v>0.25233562035668156</v>
      </c>
      <c r="AA597" s="57" cm="1">
        <f t="array" ref="AA597">VLOOKUP(B597,'Player Data'!$A1:$AE673,15,FALSE)*$Q597</f>
        <v>51.854280850435089</v>
      </c>
      <c r="AB597" s="57" cm="1">
        <f t="array" ref="AB597">VLOOKUP(B597,'Player Data'!$A1:$AE673,16,FALSE)*$Q597</f>
        <v>219.01625875998596</v>
      </c>
      <c r="AC597" s="57" cm="1">
        <f t="array" ref="AC597">VLOOKUP(B597,'Player Data'!$A1:$AE673,17,FALSE)*$Q597*IFERROR((VLOOKUP(P597,Settings!$E$28:$F$33,2,FALSE)+1),1)</f>
        <v>-2.6359699602558364</v>
      </c>
      <c r="AD597" s="57" cm="1">
        <f t="array" ref="AD597">VLOOKUP(B597,'Player Data'!$A1:$AE673,18,FALSE)*$Q597</f>
        <v>63.033119065536866</v>
      </c>
      <c r="AE597" s="57" cm="1">
        <f t="array" ref="AE597">VLOOKUP(B597,'Player Data'!$A1:$AE673,19,FALSE)*$Q597*IFERROR((VLOOKUP(P597,Settings!$E$28:$F$33,2,FALSE)+1),1)</f>
        <v>0.96830358110066417</v>
      </c>
      <c r="AF597" s="57" cm="1">
        <f t="array" ref="AF597">VLOOKUP(B597,'Player Data'!$A1:$AE673,20,FALSE)*$Q597</f>
        <v>11.113099797500473</v>
      </c>
      <c r="AG597" s="57" cm="1">
        <f t="array" ref="AG597">VLOOKUP(B597,'Player Data'!$A1:$AE673,21,FALSE)*$Q597</f>
        <v>14.870746713876047</v>
      </c>
      <c r="AH597" s="59" cm="1">
        <f t="array" ref="AH597">VLOOKUP(B597,'Player Data'!$A1:$AE673,22,FALSE)</f>
        <v>0.42769263560092302</v>
      </c>
      <c r="AI597" s="55"/>
      <c r="AJ597" s="57"/>
      <c r="AK597" s="57"/>
      <c r="AL597" s="57"/>
      <c r="AM597" s="57"/>
      <c r="AN597" s="57"/>
      <c r="AO597" s="57"/>
      <c r="AP597" s="57"/>
      <c r="AQ597" s="60"/>
      <c r="AR597" s="61"/>
      <c r="AS597" s="55"/>
    </row>
    <row r="598" spans="1:45" ht="21.25" customHeight="1" x14ac:dyDescent="0.15">
      <c r="A598" s="62">
        <f t="shared" si="9"/>
        <v>597</v>
      </c>
      <c r="B598" s="10" t="s">
        <v>726</v>
      </c>
      <c r="C598" s="47" t="s">
        <v>147</v>
      </c>
      <c r="D598" s="48" t="str" cm="1">
        <f t="array" ref="D598">VLOOKUP(B598,'Player Data'!A1:D673,4,FALSE)</f>
        <v>LW,RW</v>
      </c>
      <c r="E598" s="74" cm="1">
        <f t="array" ref="E598">VLOOKUP(B598,RW!A1:F210,3,FALSE)</f>
        <v>180</v>
      </c>
      <c r="F598" s="69" t="str" cm="1">
        <f t="array" ref="F598">VLOOKUP(B598,'Player Data'!A1:B673,2,FALSE)</f>
        <v>TOR</v>
      </c>
      <c r="G598" s="11" cm="1">
        <f t="array" ref="G598">VLOOKUP(B598,'Player Data'!A1:D673,3,FALSE)</f>
        <v>30</v>
      </c>
      <c r="H598" s="51" cm="1">
        <f t="array" ref="H598">IFERROR(VLOOKUP(B598,ADP!A1:F671,6,FALSE)/1000000,VLOOKUP(B598,ADP!A1:F671,6,FALSE))</f>
        <v>1.35</v>
      </c>
      <c r="I598" s="52">
        <f>IF(Settings!$E$15="POINTS",((R598*Q598)*Settings!$B$12)+(S598*Settings!$B$2)+(T598*Settings!$B$3)+(U598*Settings!$B$4)+(V598*Settings!$B$5)+(X598*Settings!$B$9)+(AA598*Settings!$B$6)+(W598*Settings!$B$8)+(AB598*Settings!$B$7)+(AC598*Settings!$B$14)+(AD598*Settings!$B$15)+(AE598*Settings!$B$16)+(AF598*Settings!$B$17)+(AG598*Settings!$B$18)+(Y598*Settings!$B$10)+(Z598*Settings!$B$11),VLOOKUP(B598,'Standard Deviations'!A$1:C$672,3,FALSE))</f>
        <v>119.29140753677862</v>
      </c>
      <c r="J598" s="53" cm="1">
        <f t="array" ref="J598">IF(D598="G",I598/AJ598,I598/Q598)</f>
        <v>1.5411828757052888</v>
      </c>
      <c r="K598" s="52" cm="1">
        <f t="array" ref="K598">IF(Settings!$E$18="C/LW/RW",VLOOKUP(B598,RW!A1:F210,6,FALSE),VLOOKUP(B598,F!A1:F407,6,FALSE))</f>
        <v>-275.65205715677882</v>
      </c>
      <c r="L598" s="54" cm="1">
        <f t="array" ref="L598">IFERROR(K598/H598,"N/A")</f>
        <v>-204.18670900502133</v>
      </c>
      <c r="M598" s="85" t="s">
        <v>832</v>
      </c>
      <c r="N598" s="85" t="str" cm="1">
        <f t="array" ref="N598">IFERROR(M598-A598,"N/A")</f>
        <v>N/A</v>
      </c>
      <c r="O598" s="55"/>
      <c r="P598" s="56" t="str" cm="1">
        <f t="array" ref="P598">_xlfn.XLOOKUP($B598,ADP!A2:A671,ADP!G2:G671)</f>
        <v xml:space="preserve"> </v>
      </c>
      <c r="Q598" s="57" cm="1">
        <f t="array" ref="Q598">IF(Settings!$E$12="YES",VLOOKUP(B598,'Player Data'!A1:E673,5,FALSE),84)</f>
        <v>77.402500000000003</v>
      </c>
      <c r="R598" s="55" cm="1">
        <f t="array" ref="R598">VLOOKUP(B598,'Player Data'!$A1:$AE673,6,FALSE)</f>
        <v>11.7724364293394</v>
      </c>
      <c r="S598" s="57" cm="1">
        <f t="array" ref="S598">VLOOKUP(B598,'Player Data'!$A1:$AE673,7,FALSE)*$Q598*IFERROR((VLOOKUP(P598,Settings!$E$28:$F$33,2,FALSE)+1),1)</f>
        <v>7.5645761072704865</v>
      </c>
      <c r="T598" s="57" cm="1">
        <f t="array" ref="T598">VLOOKUP(B598,'Player Data'!$A1:$AE673,8,FALSE)*$Q598*IFERROR((VLOOKUP(P598,Settings!$E$28:$F$33,2,FALSE)+1),1)</f>
        <v>10.175375953219122</v>
      </c>
      <c r="U598" s="57" cm="1">
        <f t="array" ref="U598">SUM(S598:T598)</f>
        <v>17.739952060489607</v>
      </c>
      <c r="V598" s="57" cm="1">
        <f t="array" ref="V598">VLOOKUP(B598,'Player Data'!$A1:$AE673,10,FALSE)*$Q598*IFERROR(((VLOOKUP(P598,Settings!$E$28:$F$33,2,FALSE)/2)+1),1)</f>
        <v>76.51680318913354</v>
      </c>
      <c r="W598" s="57" cm="1">
        <f t="array" ref="W598">VLOOKUP(B598,'Player Data'!$A1:$AE673,11,FALSE)*$Q598*IFERROR((VLOOKUP(P598,Settings!$E$28:$F$33,2,FALSE)+1),1)</f>
        <v>1.1106249766813146E-2</v>
      </c>
      <c r="X598" s="57" cm="1">
        <f t="array" ref="X598">VLOOKUP(B598,'Player Data'!$A1:$AE673,12,FALSE)*$Q598*IFERROR((VLOOKUP(P598,Settings!$E$28:$F$33,2,FALSE)+1),1)</f>
        <v>2.3876786414699848E-2</v>
      </c>
      <c r="Y598" s="57" cm="1">
        <f t="array" ref="Y598">VLOOKUP(B598,'Player Data'!$A1:$AE673,13,FALSE)*$Q598</f>
        <v>1.8156023527220988</v>
      </c>
      <c r="Z598" s="57" cm="1">
        <f t="array" ref="Z598">VLOOKUP(B598,'Player Data'!$A1:$AE673,14,FALSE)*$Q598</f>
        <v>1.9243374951824401</v>
      </c>
      <c r="AA598" s="57" cm="1">
        <f t="array" ref="AA598">VLOOKUP(B598,'Player Data'!$A1:$AE673,15,FALSE)*$Q598</f>
        <v>51.729870958291748</v>
      </c>
      <c r="AB598" s="57" cm="1">
        <f t="array" ref="AB598">VLOOKUP(B598,'Player Data'!$A1:$AE673,16,FALSE)*$Q598</f>
        <v>172.44559314502666</v>
      </c>
      <c r="AC598" s="57" cm="1">
        <f t="array" ref="AC598">VLOOKUP(B598,'Player Data'!$A1:$AE673,17,FALSE)*$Q598*IFERROR((VLOOKUP(P598,Settings!$E$28:$F$33,2,FALSE)+1),1)</f>
        <v>0.2375398490293551</v>
      </c>
      <c r="AD598" s="57" cm="1">
        <f t="array" ref="AD598">VLOOKUP(B598,'Player Data'!$A1:$AE673,18,FALSE)*$Q598</f>
        <v>13.964363261734354</v>
      </c>
      <c r="AE598" s="57" cm="1">
        <f t="array" ref="AE598">VLOOKUP(B598,'Player Data'!$A1:$AE673,19,FALSE)*$Q598*IFERROR((VLOOKUP(P598,Settings!$E$28:$F$33,2,FALSE)+1),1)</f>
        <v>1.0330239562778283</v>
      </c>
      <c r="AF598" s="57" cm="1">
        <f t="array" ref="AF598">VLOOKUP(B598,'Player Data'!$A1:$AE673,20,FALSE)*$Q598</f>
        <v>56.173802792644494</v>
      </c>
      <c r="AG598" s="57" cm="1">
        <f t="array" ref="AG598">VLOOKUP(B598,'Player Data'!$A1:$AE673,21,FALSE)*$Q598</f>
        <v>76.871788887984493</v>
      </c>
      <c r="AH598" s="59" cm="1">
        <f t="array" ref="AH598">VLOOKUP(B598,'Player Data'!$A1:$AE673,22,FALSE)</f>
        <v>0.42221468658268402</v>
      </c>
      <c r="AI598" s="55"/>
      <c r="AJ598" s="57"/>
      <c r="AK598" s="57"/>
      <c r="AL598" s="57"/>
      <c r="AM598" s="57"/>
      <c r="AN598" s="57"/>
      <c r="AO598" s="57"/>
      <c r="AP598" s="57"/>
      <c r="AQ598" s="60"/>
      <c r="AR598" s="61"/>
      <c r="AS598" s="55"/>
    </row>
    <row r="599" spans="1:45" ht="21.25" customHeight="1" x14ac:dyDescent="0.15">
      <c r="A599" s="62">
        <f t="shared" si="9"/>
        <v>598</v>
      </c>
      <c r="B599" s="10" t="s">
        <v>727</v>
      </c>
      <c r="C599" s="47" t="s">
        <v>147</v>
      </c>
      <c r="D599" s="48" t="str" cm="1">
        <f t="array" ref="D599">VLOOKUP(B599,'Player Data'!A1:D673,4,FALSE)</f>
        <v>C</v>
      </c>
      <c r="E599" s="49" cm="1">
        <f t="array" ref="E599">VLOOKUP(B599,'C'!A1:C210,3,FALSE)</f>
        <v>184</v>
      </c>
      <c r="F599" s="65" t="str" cm="1">
        <f t="array" ref="F599">VLOOKUP(B599,'Player Data'!A1:B673,2,FALSE)</f>
        <v>CAR</v>
      </c>
      <c r="G599" s="66" cm="1">
        <f t="array" ref="G599">VLOOKUP(B599,'Player Data'!A1:D673,3,FALSE)</f>
        <v>31</v>
      </c>
      <c r="H599" s="51" cm="1">
        <f t="array" ref="H599">IFERROR(VLOOKUP(B599,ADP!A1:F671,6,FALSE)/1000000,VLOOKUP(B599,ADP!A1:F671,6,FALSE))</f>
        <v>1.85</v>
      </c>
      <c r="I599" s="52">
        <f>IF(Settings!$E$15="POINTS",((R599*Q599)*Settings!$B$12)+(S599*Settings!$B$2)+(T599*Settings!$B$3)+(U599*Settings!$B$4)+(V599*Settings!$B$5)+(X599*Settings!$B$9)+(AA599*Settings!$B$6)+(W599*Settings!$B$8)+(AB599*Settings!$B$7)+(AC599*Settings!$B$14)+(AD599*Settings!$B$15)+(AE599*Settings!$B$16)+(AF599*Settings!$B$17)+(AG599*Settings!$B$18)+(Y599*Settings!$B$10)+(Z599*Settings!$B$11),VLOOKUP(B599,'Standard Deviations'!A$1:C$672,3,FALSE))</f>
        <v>109.90835744141182</v>
      </c>
      <c r="J599" s="53" cm="1">
        <f t="array" ref="J599">IF(D599="G",I599/AJ599,I599/Q599)</f>
        <v>1.494945014165014</v>
      </c>
      <c r="K599" s="52" cm="1">
        <f t="array" ref="K599">IF(Settings!$E$18="C/LW/RW",VLOOKUP(B599,'C'!A1:F210,6,FALSE),VLOOKUP(B599,F!A1:F407,6,FALSE))</f>
        <v>-276.62684895167115</v>
      </c>
      <c r="L599" s="54" cm="1">
        <f t="array" ref="L599">IFERROR(K599/H599,"N/A")</f>
        <v>-149.52802646036278</v>
      </c>
      <c r="M599" s="85" t="s">
        <v>832</v>
      </c>
      <c r="N599" s="85" t="str" cm="1">
        <f t="array" ref="N599">IFERROR(M599-A599,"N/A")</f>
        <v>N/A</v>
      </c>
      <c r="O599" s="55"/>
      <c r="P599" s="56" t="str" cm="1">
        <f t="array" ref="P599">_xlfn.XLOOKUP($B599,ADP!A2:A671,ADP!G2:G671)</f>
        <v xml:space="preserve"> </v>
      </c>
      <c r="Q599" s="57" cm="1">
        <f t="array" ref="Q599">IF(Settings!$E$12="YES",VLOOKUP(B599,'Player Data'!A1:E673,5,FALSE),84)</f>
        <v>73.52</v>
      </c>
      <c r="R599" s="55" cm="1">
        <f t="array" ref="R599">VLOOKUP(B599,'Player Data'!$A1:$AE673,6,FALSE)</f>
        <v>10.9206718003497</v>
      </c>
      <c r="S599" s="57" cm="1">
        <f t="array" ref="S599">VLOOKUP(B599,'Player Data'!$A1:$AE673,7,FALSE)*$Q599*IFERROR((VLOOKUP(P599,Settings!$E$28:$F$33,2,FALSE)+1),1)</f>
        <v>10.482195157191358</v>
      </c>
      <c r="T599" s="57" cm="1">
        <f t="array" ref="T599">VLOOKUP(B599,'Player Data'!$A1:$AE673,8,FALSE)*$Q599*IFERROR((VLOOKUP(P599,Settings!$E$28:$F$33,2,FALSE)+1),1)</f>
        <v>7.1301858531164983</v>
      </c>
      <c r="U599" s="57" cm="1">
        <f t="array" ref="U599">SUM(S599:T599)</f>
        <v>17.612381010307857</v>
      </c>
      <c r="V599" s="57" cm="1">
        <f t="array" ref="V599">VLOOKUP(B599,'Player Data'!$A1:$AE673,10,FALSE)*$Q599*IFERROR(((VLOOKUP(P599,Settings!$E$28:$F$33,2,FALSE)/2)+1),1)</f>
        <v>70.310085404324525</v>
      </c>
      <c r="W599" s="57" cm="1">
        <f t="array" ref="W599">VLOOKUP(B599,'Player Data'!$A1:$AE673,11,FALSE)*$Q599*IFERROR((VLOOKUP(P599,Settings!$E$28:$F$33,2,FALSE)+1),1)</f>
        <v>5.372356739127452E-2</v>
      </c>
      <c r="X599" s="57" cm="1">
        <f t="array" ref="X599">VLOOKUP(B599,'Player Data'!$A1:$AE673,12,FALSE)*$Q599*IFERROR((VLOOKUP(P599,Settings!$E$28:$F$33,2,FALSE)+1),1)</f>
        <v>0.28478192428718052</v>
      </c>
      <c r="Y599" s="57" cm="1">
        <f t="array" ref="Y599">VLOOKUP(B599,'Player Data'!$A1:$AE673,13,FALSE)*$Q599</f>
        <v>7.8613833506201228E-2</v>
      </c>
      <c r="Z599" s="57" cm="1">
        <f t="array" ref="Z599">VLOOKUP(B599,'Player Data'!$A1:$AE673,14,FALSE)*$Q599</f>
        <v>0.12754081881637683</v>
      </c>
      <c r="AA599" s="57" cm="1">
        <f t="array" ref="AA599">VLOOKUP(B599,'Player Data'!$A1:$AE673,15,FALSE)*$Q599</f>
        <v>43.007697930444884</v>
      </c>
      <c r="AB599" s="57" cm="1">
        <f t="array" ref="AB599">VLOOKUP(B599,'Player Data'!$A1:$AE673,16,FALSE)*$Q599</f>
        <v>61.221317935550324</v>
      </c>
      <c r="AC599" s="57" cm="1">
        <f t="array" ref="AC599">VLOOKUP(B599,'Player Data'!$A1:$AE673,17,FALSE)*$Q599*IFERROR((VLOOKUP(P599,Settings!$E$28:$F$33,2,FALSE)+1),1)</f>
        <v>6.5798914350002766</v>
      </c>
      <c r="AD599" s="57" cm="1">
        <f t="array" ref="AD599">VLOOKUP(B599,'Player Data'!$A1:$AE673,18,FALSE)*$Q599</f>
        <v>19.606502519646583</v>
      </c>
      <c r="AE599" s="57" cm="1">
        <f t="array" ref="AE599">VLOOKUP(B599,'Player Data'!$A1:$AE673,19,FALSE)*$Q599*IFERROR((VLOOKUP(P599,Settings!$E$28:$F$33,2,FALSE)+1),1)</f>
        <v>1.8000630759124874</v>
      </c>
      <c r="AF599" s="57" cm="1">
        <f t="array" ref="AF599">VLOOKUP(B599,'Player Data'!$A1:$AE673,20,FALSE)*$Q599</f>
        <v>338.84655547620355</v>
      </c>
      <c r="AG599" s="57" cm="1">
        <f t="array" ref="AG599">VLOOKUP(B599,'Player Data'!$A1:$AE673,21,FALSE)*$Q599</f>
        <v>326.00532711986915</v>
      </c>
      <c r="AH599" s="59" cm="1">
        <f t="array" ref="AH599">VLOOKUP(B599,'Player Data'!$A1:$AE673,22,FALSE)</f>
        <v>0.50965720989327201</v>
      </c>
      <c r="AI599" s="55"/>
      <c r="AJ599" s="57"/>
      <c r="AK599" s="57"/>
      <c r="AL599" s="57"/>
      <c r="AM599" s="57"/>
      <c r="AN599" s="57"/>
      <c r="AO599" s="57"/>
      <c r="AP599" s="57"/>
      <c r="AQ599" s="60"/>
      <c r="AR599" s="61"/>
      <c r="AS599" s="55"/>
    </row>
    <row r="600" spans="1:45" ht="21.25" customHeight="1" x14ac:dyDescent="0.15">
      <c r="A600" s="62">
        <f t="shared" si="9"/>
        <v>599</v>
      </c>
      <c r="B600" s="10" t="s">
        <v>728</v>
      </c>
      <c r="C600" s="47" t="s">
        <v>147</v>
      </c>
      <c r="D600" s="48" t="str" cm="1">
        <f t="array" ref="D600">VLOOKUP(B600,'Player Data'!A1:D673,4,FALSE)</f>
        <v>C</v>
      </c>
      <c r="E600" s="49" cm="1">
        <f t="array" ref="E600">VLOOKUP(B600,'C'!A1:C210,3,FALSE)</f>
        <v>186</v>
      </c>
      <c r="F600" s="73" t="str" cm="1">
        <f t="array" ref="F600">VLOOKUP(B600,'Player Data'!A1:B673,2,FALSE)</f>
        <v>BUF</v>
      </c>
      <c r="G600" s="66" cm="1">
        <f t="array" ref="G600">VLOOKUP(B600,'Player Data'!A1:D673,3,FALSE)</f>
        <v>34</v>
      </c>
      <c r="H600" s="67" cm="1">
        <f t="array" ref="H600">IFERROR(VLOOKUP(B600,ADP!A1:F671,6,FALSE)/1000000,VLOOKUP(B600,ADP!A1:F671,6,FALSE))</f>
        <v>1</v>
      </c>
      <c r="I600" s="52">
        <f>IF(Settings!$E$15="POINTS",((R600*Q600)*Settings!$B$12)+(S600*Settings!$B$2)+(T600*Settings!$B$3)+(U600*Settings!$B$4)+(V600*Settings!$B$5)+(X600*Settings!$B$9)+(AA600*Settings!$B$6)+(W600*Settings!$B$8)+(AB600*Settings!$B$7)+(AC600*Settings!$B$14)+(AD600*Settings!$B$15)+(AE600*Settings!$B$16)+(AF600*Settings!$B$17)+(AG600*Settings!$B$18)+(Y600*Settings!$B$10)+(Z600*Settings!$B$11),VLOOKUP(B600,'Standard Deviations'!A$1:C$672,3,FALSE))</f>
        <v>109.73565645698585</v>
      </c>
      <c r="J600" s="53" cm="1">
        <f t="array" ref="J600">IF(D600="G",I600/AJ600,I600/Q600)</f>
        <v>1.3438527564153429</v>
      </c>
      <c r="K600" s="52" cm="1">
        <f t="array" ref="K600">IF(Settings!$E$18="C/LW/RW",VLOOKUP(B600,'C'!A1:F210,6,FALSE),VLOOKUP(B600,F!A1:F407,6,FALSE))</f>
        <v>-276.79954993609715</v>
      </c>
      <c r="L600" s="54" cm="1">
        <f t="array" ref="L600">IFERROR(K600/H600,"N/A")</f>
        <v>-276.79954993609715</v>
      </c>
      <c r="M600" s="85" t="s">
        <v>832</v>
      </c>
      <c r="N600" s="85" t="str" cm="1">
        <f t="array" ref="N600">IFERROR(M600-A600,"N/A")</f>
        <v>N/A</v>
      </c>
      <c r="O600" s="55"/>
      <c r="P600" s="56" t="str" cm="1">
        <f t="array" ref="P600">_xlfn.XLOOKUP($B600,ADP!A2:A671,ADP!G2:G671)</f>
        <v xml:space="preserve"> </v>
      </c>
      <c r="Q600" s="57" cm="1">
        <f t="array" ref="Q600">IF(Settings!$E$12="YES",VLOOKUP(B600,'Player Data'!A1:E673,5,FALSE),84)</f>
        <v>81.657499999999999</v>
      </c>
      <c r="R600" s="55" cm="1">
        <f t="array" ref="R600">VLOOKUP(B600,'Player Data'!$A1:$AE673,6,FALSE)</f>
        <v>11.1224856959593</v>
      </c>
      <c r="S600" s="57" cm="1">
        <f t="array" ref="S600">VLOOKUP(B600,'Player Data'!$A1:$AE673,7,FALSE)*$Q600*IFERROR((VLOOKUP(P600,Settings!$E$28:$F$33,2,FALSE)+1),1)</f>
        <v>6.7779336739111526</v>
      </c>
      <c r="T600" s="57" cm="1">
        <f t="array" ref="T600">VLOOKUP(B600,'Player Data'!$A1:$AE673,8,FALSE)*$Q600*IFERROR((VLOOKUP(P600,Settings!$E$28:$F$33,2,FALSE)+1),1)</f>
        <v>8.5154597272194827</v>
      </c>
      <c r="U600" s="57" cm="1">
        <f t="array" ref="U600">SUM(S600:T600)</f>
        <v>15.293393401130636</v>
      </c>
      <c r="V600" s="57" cm="1">
        <f t="array" ref="V600">VLOOKUP(B600,'Player Data'!$A1:$AE673,10,FALSE)*$Q600*IFERROR(((VLOOKUP(P600,Settings!$E$28:$F$33,2,FALSE)/2)+1),1)</f>
        <v>82.366738567024882</v>
      </c>
      <c r="W600" s="57" cm="1">
        <f t="array" ref="W600">VLOOKUP(B600,'Player Data'!$A1:$AE673,11,FALSE)*$Q600*IFERROR((VLOOKUP(P600,Settings!$E$28:$F$33,2,FALSE)+1),1)</f>
        <v>1.4636460959322828E-2</v>
      </c>
      <c r="X600" s="57" cm="1">
        <f t="array" ref="X600">VLOOKUP(B600,'Player Data'!$A1:$AE673,12,FALSE)*$Q600*IFERROR((VLOOKUP(P600,Settings!$E$28:$F$33,2,FALSE)+1),1)</f>
        <v>2.6798043801795055E-2</v>
      </c>
      <c r="Y600" s="57" cm="1">
        <f t="array" ref="Y600">VLOOKUP(B600,'Player Data'!$A1:$AE673,13,FALSE)*$Q600</f>
        <v>0.74660922437024579</v>
      </c>
      <c r="Z600" s="57" cm="1">
        <f t="array" ref="Z600">VLOOKUP(B600,'Player Data'!$A1:$AE673,14,FALSE)*$Q600</f>
        <v>1.9905899173531534</v>
      </c>
      <c r="AA600" s="57" cm="1">
        <f t="array" ref="AA600">VLOOKUP(B600,'Player Data'!$A1:$AE673,15,FALSE)*$Q600</f>
        <v>41.309438017853118</v>
      </c>
      <c r="AB600" s="57" cm="1">
        <f t="array" ref="AB600">VLOOKUP(B600,'Player Data'!$A1:$AE673,16,FALSE)*$Q600</f>
        <v>128.99731240684326</v>
      </c>
      <c r="AC600" s="57" cm="1">
        <f t="array" ref="AC600">VLOOKUP(B600,'Player Data'!$A1:$AE673,17,FALSE)*$Q600*IFERROR((VLOOKUP(P600,Settings!$E$28:$F$33,2,FALSE)+1),1)</f>
        <v>0.65680570048104936</v>
      </c>
      <c r="AD600" s="57" cm="1">
        <f t="array" ref="AD600">VLOOKUP(B600,'Player Data'!$A1:$AE673,18,FALSE)*$Q600</f>
        <v>57.535595328247894</v>
      </c>
      <c r="AE600" s="57" cm="1">
        <f t="array" ref="AE600">VLOOKUP(B600,'Player Data'!$A1:$AE673,19,FALSE)*$Q600*IFERROR((VLOOKUP(P600,Settings!$E$28:$F$33,2,FALSE)+1),1)</f>
        <v>1.0219089253867673</v>
      </c>
      <c r="AF600" s="57" cm="1">
        <f t="array" ref="AF600">VLOOKUP(B600,'Player Data'!$A1:$AE673,20,FALSE)*$Q600</f>
        <v>360.09336942596195</v>
      </c>
      <c r="AG600" s="57" cm="1">
        <f t="array" ref="AG600">VLOOKUP(B600,'Player Data'!$A1:$AE673,21,FALSE)*$Q600</f>
        <v>304.05771857935918</v>
      </c>
      <c r="AH600" s="59" cm="1">
        <f t="array" ref="AH600">VLOOKUP(B600,'Player Data'!$A1:$AE673,22,FALSE)</f>
        <v>0.54218592113949304</v>
      </c>
      <c r="AI600" s="55"/>
      <c r="AJ600" s="57"/>
      <c r="AK600" s="57"/>
      <c r="AL600" s="57"/>
      <c r="AM600" s="57"/>
      <c r="AN600" s="57"/>
      <c r="AO600" s="57"/>
      <c r="AP600" s="57"/>
      <c r="AQ600" s="60"/>
      <c r="AR600" s="61"/>
      <c r="AS600" s="55"/>
    </row>
    <row r="601" spans="1:45" ht="21.25" customHeight="1" x14ac:dyDescent="0.15">
      <c r="A601" s="62">
        <f t="shared" si="9"/>
        <v>600</v>
      </c>
      <c r="B601" s="10" t="s">
        <v>729</v>
      </c>
      <c r="C601" s="47" t="s">
        <v>147</v>
      </c>
      <c r="D601" s="48" t="str" cm="1">
        <f t="array" ref="D601">VLOOKUP(B601,'Player Data'!A1:D673,4,FALSE)</f>
        <v>LW,RW</v>
      </c>
      <c r="E601" s="74" cm="1">
        <f t="array" ref="E601">VLOOKUP(B601,RW!A1:F210,3,FALSE)</f>
        <v>181</v>
      </c>
      <c r="F601" s="56" t="str" cm="1">
        <f t="array" ref="F601">VLOOKUP(B601,'Player Data'!A1:B673,2,FALSE)</f>
        <v>CHI</v>
      </c>
      <c r="G601" s="11" cm="1">
        <f t="array" ref="G601">VLOOKUP(B601,'Player Data'!A1:D673,3,FALSE)</f>
        <v>30</v>
      </c>
      <c r="H601" s="67" cm="1">
        <f t="array" ref="H601">IFERROR(VLOOKUP(B601,ADP!A1:F671,6,FALSE)/1000000,VLOOKUP(B601,ADP!A1:F671,6,FALSE))</f>
        <v>3.6</v>
      </c>
      <c r="I601" s="52">
        <f>IF(Settings!$E$15="POINTS",((R601*Q601)*Settings!$B$12)+(S601*Settings!$B$2)+(T601*Settings!$B$3)+(U601*Settings!$B$4)+(V601*Settings!$B$5)+(X601*Settings!$B$9)+(AA601*Settings!$B$6)+(W601*Settings!$B$8)+(AB601*Settings!$B$7)+(AC601*Settings!$B$14)+(AD601*Settings!$B$15)+(AE601*Settings!$B$16)+(AF601*Settings!$B$17)+(AG601*Settings!$B$18)+(Y601*Settings!$B$10)+(Z601*Settings!$B$11),VLOOKUP(B601,'Standard Deviations'!A$1:C$672,3,FALSE))</f>
        <v>118.1046793419105</v>
      </c>
      <c r="J601" s="53" cm="1">
        <f t="array" ref="J601">IF(D601="G",I601/AJ601,I601/Q601)</f>
        <v>1.482935359160128</v>
      </c>
      <c r="K601" s="52" cm="1">
        <f t="array" ref="K601">IF(Settings!$E$18="C/LW/RW",VLOOKUP(B601,RW!A1:F210,6,FALSE),VLOOKUP(B601,F!A1:F407,6,FALSE))</f>
        <v>-276.83878535164695</v>
      </c>
      <c r="L601" s="54" cm="1">
        <f t="array" ref="L601">IFERROR(K601/H601,"N/A")</f>
        <v>-76.899662597679708</v>
      </c>
      <c r="M601" s="85" t="s">
        <v>832</v>
      </c>
      <c r="N601" s="85" t="str" cm="1">
        <f t="array" ref="N601">IFERROR(M601-A601,"N/A")</f>
        <v>N/A</v>
      </c>
      <c r="O601" s="55"/>
      <c r="P601" s="56" t="str" cm="1">
        <f t="array" ref="P601">_xlfn.XLOOKUP($B601,ADP!A2:A671,ADP!G2:G671)</f>
        <v xml:space="preserve"> </v>
      </c>
      <c r="Q601" s="57" cm="1">
        <f t="array" ref="Q601">IF(Settings!$E$12="YES",VLOOKUP(B601,'Player Data'!A1:E673,5,FALSE),84)</f>
        <v>79.642499999999998</v>
      </c>
      <c r="R601" s="55" cm="1">
        <f t="array" ref="R601">VLOOKUP(B601,'Player Data'!$A1:$AE673,6,FALSE)</f>
        <v>11.5464797277633</v>
      </c>
      <c r="S601" s="57" cm="1">
        <f t="array" ref="S601">VLOOKUP(B601,'Player Data'!$A1:$AE673,7,FALSE)*$Q601*IFERROR((VLOOKUP(P601,Settings!$E$28:$F$33,2,FALSE)+1),1)</f>
        <v>9.9168475016539119</v>
      </c>
      <c r="T601" s="57" cm="1">
        <f t="array" ref="T601">VLOOKUP(B601,'Player Data'!$A1:$AE673,8,FALSE)*$Q601*IFERROR((VLOOKUP(P601,Settings!$E$28:$F$33,2,FALSE)+1),1)</f>
        <v>10.991512366402077</v>
      </c>
      <c r="U601" s="57" cm="1">
        <f t="array" ref="U601">SUM(S601:T601)</f>
        <v>20.908359868055989</v>
      </c>
      <c r="V601" s="57" cm="1">
        <f t="array" ref="V601">VLOOKUP(B601,'Player Data'!$A1:$AE673,10,FALSE)*$Q601*IFERROR(((VLOOKUP(P601,Settings!$E$28:$F$33,2,FALSE)/2)+1),1)</f>
        <v>74.290581508079583</v>
      </c>
      <c r="W601" s="57" cm="1">
        <f t="array" ref="W601">VLOOKUP(B601,'Player Data'!$A1:$AE673,11,FALSE)*$Q601*IFERROR((VLOOKUP(P601,Settings!$E$28:$F$33,2,FALSE)+1),1)</f>
        <v>3.1624406732601203E-2</v>
      </c>
      <c r="X601" s="57" cm="1">
        <f t="array" ref="X601">VLOOKUP(B601,'Player Data'!$A1:$AE673,12,FALSE)*$Q601*IFERROR((VLOOKUP(P601,Settings!$E$28:$F$33,2,FALSE)+1),1)</f>
        <v>0.11079758597995909</v>
      </c>
      <c r="Y601" s="57" cm="1">
        <f t="array" ref="Y601">VLOOKUP(B601,'Player Data'!$A1:$AE673,13,FALSE)*$Q601</f>
        <v>1.0701127131381436</v>
      </c>
      <c r="Z601" s="57" cm="1">
        <f t="array" ref="Z601">VLOOKUP(B601,'Player Data'!$A1:$AE673,14,FALSE)*$Q601</f>
        <v>1.2170107428951491</v>
      </c>
      <c r="AA601" s="57" cm="1">
        <f t="array" ref="AA601">VLOOKUP(B601,'Player Data'!$A1:$AE673,15,FALSE)*$Q601</f>
        <v>33.813001309655235</v>
      </c>
      <c r="AB601" s="57" cm="1">
        <f t="array" ref="AB601">VLOOKUP(B601,'Player Data'!$A1:$AE673,16,FALSE)*$Q601</f>
        <v>79.096976694136714</v>
      </c>
      <c r="AC601" s="57" cm="1">
        <f t="array" ref="AC601">VLOOKUP(B601,'Player Data'!$A1:$AE673,17,FALSE)*$Q601*IFERROR((VLOOKUP(P601,Settings!$E$28:$F$33,2,FALSE)+1),1)</f>
        <v>-7.3517735008013432</v>
      </c>
      <c r="AD601" s="57" cm="1">
        <f t="array" ref="AD601">VLOOKUP(B601,'Player Data'!$A1:$AE673,18,FALSE)*$Q601</f>
        <v>24.201574979901419</v>
      </c>
      <c r="AE601" s="57" cm="1">
        <f t="array" ref="AE601">VLOOKUP(B601,'Player Data'!$A1:$AE673,19,FALSE)*$Q601*IFERROR((VLOOKUP(P601,Settings!$E$28:$F$33,2,FALSE)+1),1)</f>
        <v>1.2238981342972941</v>
      </c>
      <c r="AF601" s="57" cm="1">
        <f t="array" ref="AF601">VLOOKUP(B601,'Player Data'!$A1:$AE673,20,FALSE)*$Q601</f>
        <v>3.9820720435081167</v>
      </c>
      <c r="AG601" s="57" cm="1">
        <f t="array" ref="AG601">VLOOKUP(B601,'Player Data'!$A1:$AE673,21,FALSE)*$Q601</f>
        <v>5.323061763770502</v>
      </c>
      <c r="AH601" s="59" cm="1">
        <f t="array" ref="AH601">VLOOKUP(B601,'Player Data'!$A1:$AE673,22,FALSE)</f>
        <v>0.427943555244018</v>
      </c>
      <c r="AI601" s="55"/>
      <c r="AJ601" s="57"/>
      <c r="AK601" s="57"/>
      <c r="AL601" s="57"/>
      <c r="AM601" s="57"/>
      <c r="AN601" s="57"/>
      <c r="AO601" s="57"/>
      <c r="AP601" s="57"/>
      <c r="AQ601" s="60"/>
      <c r="AR601" s="61"/>
      <c r="AS601" s="55"/>
    </row>
    <row r="602" spans="1:45" ht="21.25" customHeight="1" x14ac:dyDescent="0.15">
      <c r="A602" s="62">
        <f t="shared" si="9"/>
        <v>601</v>
      </c>
      <c r="B602" s="10" t="s">
        <v>730</v>
      </c>
      <c r="C602" s="47" t="s">
        <v>147</v>
      </c>
      <c r="D602" s="48" t="str" cm="1">
        <f t="array" ref="D602">VLOOKUP(B602,'Player Data'!A1:D673,4,FALSE)</f>
        <v>RW</v>
      </c>
      <c r="E602" s="64" cm="1">
        <f t="array" ref="E602">VLOOKUP(B602,RW!A1:F210,3,FALSE)</f>
        <v>182</v>
      </c>
      <c r="F602" s="63" t="str" cm="1">
        <f t="array" ref="F602">VLOOKUP(B602,'Player Data'!A1:B673,2,FALSE)</f>
        <v>EDM</v>
      </c>
      <c r="G602" s="11" cm="1">
        <f t="array" ref="G602">VLOOKUP(B602,'Player Data'!A1:D673,3,FALSE)</f>
        <v>30</v>
      </c>
      <c r="H602" s="67" cm="1">
        <f t="array" ref="H602">IFERROR(VLOOKUP(B602,ADP!A1:F671,6,FALSE)/1000000,VLOOKUP(B602,ADP!A1:F671,6,FALSE))</f>
        <v>2.6</v>
      </c>
      <c r="I602" s="52">
        <f>IF(Settings!$E$15="POINTS",((R602*Q602)*Settings!$B$12)+(S602*Settings!$B$2)+(T602*Settings!$B$3)+(U602*Settings!$B$4)+(V602*Settings!$B$5)+(X602*Settings!$B$9)+(AA602*Settings!$B$6)+(W602*Settings!$B$8)+(AB602*Settings!$B$7)+(AC602*Settings!$B$14)+(AD602*Settings!$B$15)+(AE602*Settings!$B$16)+(AF602*Settings!$B$17)+(AG602*Settings!$B$18)+(Y602*Settings!$B$10)+(Z602*Settings!$B$11),VLOOKUP(B602,'Standard Deviations'!A$1:C$672,3,FALSE))</f>
        <v>117.38007622424205</v>
      </c>
      <c r="J602" s="53" cm="1">
        <f t="array" ref="J602">IF(D602="G",I602/AJ602,I602/Q602)</f>
        <v>1.5907314842694409</v>
      </c>
      <c r="K602" s="52" cm="1">
        <f t="array" ref="K602">IF(Settings!$E$18="C/LW/RW",VLOOKUP(B602,RW!A1:F210,6,FALSE),VLOOKUP(B602,F!A1:F407,6,FALSE))</f>
        <v>-277.56338846931544</v>
      </c>
      <c r="L602" s="54" cm="1">
        <f t="array" ref="L602">IFERROR(K602/H602,"N/A")</f>
        <v>-106.75514941127517</v>
      </c>
      <c r="M602" s="85" t="s">
        <v>832</v>
      </c>
      <c r="N602" s="85" t="str" cm="1">
        <f t="array" ref="N602">IFERROR(M602-A602,"N/A")</f>
        <v>N/A</v>
      </c>
      <c r="O602" s="55"/>
      <c r="P602" s="56" t="str" cm="1">
        <f t="array" ref="P602">_xlfn.XLOOKUP($B602,ADP!A2:A671,ADP!G2:G671)</f>
        <v xml:space="preserve"> </v>
      </c>
      <c r="Q602" s="57" cm="1">
        <f t="array" ref="Q602">IF(Settings!$E$12="YES",VLOOKUP(B602,'Player Data'!A1:E673,5,FALSE),84)</f>
        <v>73.790000000000006</v>
      </c>
      <c r="R602" s="84" cm="1">
        <f t="array" ref="R602">VLOOKUP(B602,'Player Data'!$A1:$AE673,6,FALSE)</f>
        <v>12.0497511995496</v>
      </c>
      <c r="S602" s="57" cm="1">
        <f t="array" ref="S602">VLOOKUP(B602,'Player Data'!$A1:$AE673,7,FALSE)*$Q602*IFERROR((VLOOKUP(P602,Settings!$E$28:$F$33,2,FALSE)+1),1)</f>
        <v>8.383028618506529</v>
      </c>
      <c r="T602" s="57" cm="1">
        <f t="array" ref="T602">VLOOKUP(B602,'Player Data'!$A1:$AE673,8,FALSE)*$Q602*IFERROR((VLOOKUP(P602,Settings!$E$28:$F$33,2,FALSE)+1),1)</f>
        <v>11.67243545953955</v>
      </c>
      <c r="U602" s="57" cm="1">
        <f t="array" ref="U602">SUM(S602:T602)</f>
        <v>20.055464078046079</v>
      </c>
      <c r="V602" s="57" cm="1">
        <f t="array" ref="V602">VLOOKUP(B602,'Player Data'!$A1:$AE673,10,FALSE)*$Q602*IFERROR(((VLOOKUP(P602,Settings!$E$28:$F$33,2,FALSE)/2)+1),1)</f>
        <v>87.444968377563683</v>
      </c>
      <c r="W602" s="57" cm="1">
        <f t="array" ref="W602">VLOOKUP(B602,'Player Data'!$A1:$AE673,11,FALSE)*$Q602*IFERROR((VLOOKUP(P602,Settings!$E$28:$F$33,2,FALSE)+1),1)</f>
        <v>0.17018368375049434</v>
      </c>
      <c r="X602" s="57" cm="1">
        <f t="array" ref="X602">VLOOKUP(B602,'Player Data'!$A1:$AE673,12,FALSE)*$Q602*IFERROR((VLOOKUP(P602,Settings!$E$28:$F$33,2,FALSE)+1),1)</f>
        <v>0.38318914237661522</v>
      </c>
      <c r="Y602" s="57" cm="1">
        <f t="array" ref="Y602">VLOOKUP(B602,'Player Data'!$A1:$AE673,13,FALSE)*$Q602</f>
        <v>0.291197801119084</v>
      </c>
      <c r="Z602" s="57" cm="1">
        <f t="array" ref="Z602">VLOOKUP(B602,'Player Data'!$A1:$AE673,14,FALSE)*$Q602</f>
        <v>0.54219968702322618</v>
      </c>
      <c r="AA602" s="57" cm="1">
        <f t="array" ref="AA602">VLOOKUP(B602,'Player Data'!$A1:$AE673,15,FALSE)*$Q602</f>
        <v>25.131621943844223</v>
      </c>
      <c r="AB602" s="57" cm="1">
        <f t="array" ref="AB602">VLOOKUP(B602,'Player Data'!$A1:$AE673,16,FALSE)*$Q602</f>
        <v>104.91733141509985</v>
      </c>
      <c r="AC602" s="57" cm="1">
        <f t="array" ref="AC602">VLOOKUP(B602,'Player Data'!$A1:$AE673,17,FALSE)*$Q602*IFERROR((VLOOKUP(P602,Settings!$E$28:$F$33,2,FALSE)+1),1)</f>
        <v>3.1716859888381839</v>
      </c>
      <c r="AD602" s="57" cm="1">
        <f t="array" ref="AD602">VLOOKUP(B602,'Player Data'!$A1:$AE673,18,FALSE)*$Q602</f>
        <v>18.078885553884049</v>
      </c>
      <c r="AE602" s="57" cm="1">
        <f t="array" ref="AE602">VLOOKUP(B602,'Player Data'!$A1:$AE673,19,FALSE)*$Q602*IFERROR((VLOOKUP(P602,Settings!$E$28:$F$33,2,FALSE)+1),1)</f>
        <v>1.4715698736039382</v>
      </c>
      <c r="AF602" s="57" cm="1">
        <f t="array" ref="AF602">VLOOKUP(B602,'Player Data'!$A1:$AE673,20,FALSE)*$Q602</f>
        <v>7.0962873838579563</v>
      </c>
      <c r="AG602" s="57" cm="1">
        <f t="array" ref="AG602">VLOOKUP(B602,'Player Data'!$A1:$AE673,21,FALSE)*$Q602</f>
        <v>20.321181026031415</v>
      </c>
      <c r="AH602" s="59" cm="1">
        <f t="array" ref="AH602">VLOOKUP(B602,'Player Data'!$A1:$AE673,22,FALSE)</f>
        <v>0.25882358202328998</v>
      </c>
      <c r="AI602" s="55"/>
      <c r="AJ602" s="57"/>
      <c r="AK602" s="57"/>
      <c r="AL602" s="57"/>
      <c r="AM602" s="57"/>
      <c r="AN602" s="57"/>
      <c r="AO602" s="57"/>
      <c r="AP602" s="57"/>
      <c r="AQ602" s="60"/>
      <c r="AR602" s="61"/>
      <c r="AS602" s="55"/>
    </row>
    <row r="603" spans="1:45" ht="21.25" customHeight="1" x14ac:dyDescent="0.15">
      <c r="A603" s="62">
        <f t="shared" si="9"/>
        <v>602</v>
      </c>
      <c r="B603" s="10" t="s">
        <v>731</v>
      </c>
      <c r="C603" s="47" t="s">
        <v>147</v>
      </c>
      <c r="D603" s="48" t="str" cm="1">
        <f t="array" ref="D603">VLOOKUP(B603,'Player Data'!A1:D673,4,FALSE)</f>
        <v>LW</v>
      </c>
      <c r="E603" s="75" cm="1">
        <f t="array" ref="E603">VLOOKUP(B603,LW!A1:C210,3,FALSE)</f>
        <v>169</v>
      </c>
      <c r="F603" s="70" t="str" cm="1">
        <f t="array" ref="F603">VLOOKUP(B603,'Player Data'!A1:B673,2,FALSE)</f>
        <v>MIN</v>
      </c>
      <c r="G603" s="66" cm="1">
        <f t="array" ref="G603">VLOOKUP(B603,'Player Data'!A1:D673,3,FALSE)</f>
        <v>35</v>
      </c>
      <c r="H603" s="51" cm="1">
        <f t="array" ref="H603">IFERROR(VLOOKUP(B603,ADP!A1:F671,6,FALSE)/1000000,VLOOKUP(B603,ADP!A1:F671,6,FALSE))</f>
        <v>4</v>
      </c>
      <c r="I603" s="52">
        <f>IF(Settings!$E$15="POINTS",((R603*Q603)*Settings!$B$12)+(S603*Settings!$B$2)+(T603*Settings!$B$3)+(U603*Settings!$B$4)+(V603*Settings!$B$5)+(X603*Settings!$B$9)+(AA603*Settings!$B$6)+(W603*Settings!$B$8)+(AB603*Settings!$B$7)+(AC603*Settings!$B$14)+(AD603*Settings!$B$15)+(AE603*Settings!$B$16)+(AF603*Settings!$B$17)+(AG603*Settings!$B$18)+(Y603*Settings!$B$10)+(Z603*Settings!$B$11),VLOOKUP(B603,'Standard Deviations'!A$1:C$672,3,FALSE))</f>
        <v>121.51629715840524</v>
      </c>
      <c r="J603" s="53" cm="1">
        <f t="array" ref="J603">IF(D603="G",I603/AJ603,I603/Q603)</f>
        <v>1.5983203072362662</v>
      </c>
      <c r="K603" s="52" cm="1">
        <f t="array" ref="K603">IF(Settings!$E$18="C/LW/RW",VLOOKUP(B603,LW!A1:F210,6,FALSE),VLOOKUP(B603,F!A1:F407,6,FALSE))</f>
        <v>-277.79669615531486</v>
      </c>
      <c r="L603" s="54" cm="1">
        <f t="array" ref="L603">IFERROR(K603/H603,"N/A")</f>
        <v>-69.449174038828716</v>
      </c>
      <c r="M603" s="85" t="s">
        <v>832</v>
      </c>
      <c r="N603" s="85" t="str" cm="1">
        <f t="array" ref="N603">IFERROR(M603-A603,"N/A")</f>
        <v>N/A</v>
      </c>
      <c r="O603" s="55"/>
      <c r="P603" s="56" t="str" cm="1">
        <f t="array" ref="P603">_xlfn.XLOOKUP($B603,ADP!A2:A671,ADP!G2:G671)</f>
        <v xml:space="preserve"> </v>
      </c>
      <c r="Q603" s="57" cm="1">
        <f t="array" ref="Q603">IF(Settings!$E$12="YES",VLOOKUP(B603,'Player Data'!A1:E673,5,FALSE),84)</f>
        <v>76.027500000000003</v>
      </c>
      <c r="R603" s="55" cm="1">
        <f t="array" ref="R603">VLOOKUP(B603,'Player Data'!$A1:$AE673,6,FALSE)</f>
        <v>12.6878268861607</v>
      </c>
      <c r="S603" s="57" cm="1">
        <f t="array" ref="S603">VLOOKUP(B603,'Player Data'!$A1:$AE673,7,FALSE)*$Q603*IFERROR((VLOOKUP(P603,Settings!$E$28:$F$33,2,FALSE)+1),1)</f>
        <v>8.8999334131798875</v>
      </c>
      <c r="T603" s="57" cm="1">
        <f t="array" ref="T603">VLOOKUP(B603,'Player Data'!$A1:$AE673,8,FALSE)*$Q603*IFERROR((VLOOKUP(P603,Settings!$E$28:$F$33,2,FALSE)+1),1)</f>
        <v>9.6477796971534104</v>
      </c>
      <c r="U603" s="57" cm="1">
        <f t="array" ref="U603">SUM(S603:T603)</f>
        <v>18.547713110333298</v>
      </c>
      <c r="V603" s="57" cm="1">
        <f t="array" ref="V603">VLOOKUP(B603,'Player Data'!$A1:$AE673,10,FALSE)*$Q603*IFERROR(((VLOOKUP(P603,Settings!$E$28:$F$33,2,FALSE)/2)+1),1)</f>
        <v>77.740652561223769</v>
      </c>
      <c r="W603" s="57" cm="1">
        <f t="array" ref="W603">VLOOKUP(B603,'Player Data'!$A1:$AE673,11,FALSE)*$Q603*IFERROR((VLOOKUP(P603,Settings!$E$28:$F$33,2,FALSE)+1),1)</f>
        <v>9.193507830899561E-2</v>
      </c>
      <c r="X603" s="57" cm="1">
        <f t="array" ref="X603">VLOOKUP(B603,'Player Data'!$A1:$AE673,12,FALSE)*$Q603*IFERROR((VLOOKUP(P603,Settings!$E$28:$F$33,2,FALSE)+1),1)</f>
        <v>0.12241567627427895</v>
      </c>
      <c r="Y603" s="57" cm="1">
        <f t="array" ref="Y603">VLOOKUP(B603,'Player Data'!$A1:$AE673,13,FALSE)*$Q603</f>
        <v>8.8739420191207938E-2</v>
      </c>
      <c r="Z603" s="57" cm="1">
        <f t="array" ref="Z603">VLOOKUP(B603,'Player Data'!$A1:$AE673,14,FALSE)*$Q603</f>
        <v>0.29287661718184405</v>
      </c>
      <c r="AA603" s="57" cm="1">
        <f t="array" ref="AA603">VLOOKUP(B603,'Player Data'!$A1:$AE673,15,FALSE)*$Q603</f>
        <v>53.175078506674673</v>
      </c>
      <c r="AB603" s="57" cm="1">
        <f t="array" ref="AB603">VLOOKUP(B603,'Player Data'!$A1:$AE673,16,FALSE)*$Q603</f>
        <v>217.72558828965052</v>
      </c>
      <c r="AC603" s="57" cm="1">
        <f t="array" ref="AC603">VLOOKUP(B603,'Player Data'!$A1:$AE673,17,FALSE)*$Q603*IFERROR((VLOOKUP(P603,Settings!$E$28:$F$33,2,FALSE)+1),1)</f>
        <v>2.1741123467301606</v>
      </c>
      <c r="AD603" s="57" cm="1">
        <f t="array" ref="AD603">VLOOKUP(B603,'Player Data'!$A1:$AE673,18,FALSE)*$Q603</f>
        <v>57.084498131487877</v>
      </c>
      <c r="AE603" s="57" cm="1">
        <f t="array" ref="AE603">VLOOKUP(B603,'Player Data'!$A1:$AE673,19,FALSE)*$Q603*IFERROR((VLOOKUP(P603,Settings!$E$28:$F$33,2,FALSE)+1),1)</f>
        <v>1.4496611587679415</v>
      </c>
      <c r="AF603" s="57" cm="1">
        <f t="array" ref="AF603">VLOOKUP(B603,'Player Data'!$A1:$AE673,20,FALSE)*$Q603</f>
        <v>9.5925083112847407</v>
      </c>
      <c r="AG603" s="57" cm="1">
        <f t="array" ref="AG603">VLOOKUP(B603,'Player Data'!$A1:$AE673,21,FALSE)*$Q603</f>
        <v>14.344793867099959</v>
      </c>
      <c r="AH603" s="59" cm="1">
        <f t="array" ref="AH603">VLOOKUP(B603,'Player Data'!$A1:$AE673,22,FALSE)</f>
        <v>0.40073472941101701</v>
      </c>
      <c r="AI603" s="55"/>
      <c r="AJ603" s="57"/>
      <c r="AK603" s="57"/>
      <c r="AL603" s="57"/>
      <c r="AM603" s="57"/>
      <c r="AN603" s="57"/>
      <c r="AO603" s="57"/>
      <c r="AP603" s="57"/>
      <c r="AQ603" s="60"/>
      <c r="AR603" s="61"/>
      <c r="AS603" s="55"/>
    </row>
    <row r="604" spans="1:45" ht="21.25" customHeight="1" x14ac:dyDescent="0.15">
      <c r="A604" s="62">
        <f t="shared" si="9"/>
        <v>603</v>
      </c>
      <c r="B604" s="10" t="s">
        <v>732</v>
      </c>
      <c r="C604" s="47" t="s">
        <v>147</v>
      </c>
      <c r="D604" s="48" t="str" cm="1">
        <f t="array" ref="D604">VLOOKUP(B604,'Player Data'!A1:D673,4,FALSE)</f>
        <v>RW</v>
      </c>
      <c r="E604" s="64" cm="1">
        <f t="array" ref="E604">VLOOKUP(B604,RW!A1:F210,3,FALSE)</f>
        <v>183</v>
      </c>
      <c r="F604" s="56" t="str" cm="1">
        <f t="array" ref="F604">VLOOKUP(B604,'Player Data'!A1:B673,2,FALSE)</f>
        <v>NYR</v>
      </c>
      <c r="G604" s="11" cm="1">
        <f t="array" ref="G604">VLOOKUP(B604,'Player Data'!A1:D673,3,FALSE)</f>
        <v>28</v>
      </c>
      <c r="H604" s="67" cm="1">
        <f t="array" ref="H604">IFERROR(VLOOKUP(B604,ADP!A1:F671,6,FALSE)/1000000,VLOOKUP(B604,ADP!A1:F671,6,FALSE))</f>
        <v>1.5</v>
      </c>
      <c r="I604" s="52">
        <f>IF(Settings!$E$15="POINTS",((R604*Q604)*Settings!$B$12)+(S604*Settings!$B$2)+(T604*Settings!$B$3)+(U604*Settings!$B$4)+(V604*Settings!$B$5)+(X604*Settings!$B$9)+(AA604*Settings!$B$6)+(W604*Settings!$B$8)+(AB604*Settings!$B$7)+(AC604*Settings!$B$14)+(AD604*Settings!$B$15)+(AE604*Settings!$B$16)+(AF604*Settings!$B$17)+(AG604*Settings!$B$18)+(Y604*Settings!$B$10)+(Z604*Settings!$B$11),VLOOKUP(B604,'Standard Deviations'!A$1:C$672,3,FALSE))</f>
        <v>116.88770948095132</v>
      </c>
      <c r="J604" s="53" cm="1">
        <f t="array" ref="J604">IF(D604="G",I604/AJ604,I604/Q604)</f>
        <v>1.4543699076888306</v>
      </c>
      <c r="K604" s="52" cm="1">
        <f t="array" ref="K604">IF(Settings!$E$18="C/LW/RW",VLOOKUP(B604,RW!A1:F210,6,FALSE),VLOOKUP(B604,F!A1:F407,6,FALSE))</f>
        <v>-278.05575521260619</v>
      </c>
      <c r="L604" s="54" cm="1">
        <f t="array" ref="L604">IFERROR(K604/H604,"N/A")</f>
        <v>-185.37050347507079</v>
      </c>
      <c r="M604" s="85" t="s">
        <v>832</v>
      </c>
      <c r="N604" s="85" t="str" cm="1">
        <f t="array" ref="N604">IFERROR(M604-A604,"N/A")</f>
        <v>N/A</v>
      </c>
      <c r="O604" s="55"/>
      <c r="P604" s="56" t="str" cm="1">
        <f t="array" ref="P604">_xlfn.XLOOKUP($B604,ADP!A2:A671,ADP!G2:G671)</f>
        <v xml:space="preserve"> </v>
      </c>
      <c r="Q604" s="57" cm="1">
        <f t="array" ref="Q604">IF(Settings!$E$12="YES",VLOOKUP(B604,'Player Data'!A1:E673,5,FALSE),84)</f>
        <v>80.37</v>
      </c>
      <c r="R604" s="55" cm="1">
        <f t="array" ref="R604">VLOOKUP(B604,'Player Data'!$A1:$AE673,6,FALSE)</f>
        <v>11.391747945996199</v>
      </c>
      <c r="S604" s="57" cm="1">
        <f t="array" ref="S604">VLOOKUP(B604,'Player Data'!$A1:$AE673,7,FALSE)*$Q604*IFERROR((VLOOKUP(P604,Settings!$E$28:$F$33,2,FALSE)+1),1)</f>
        <v>7.8423269591953302</v>
      </c>
      <c r="T604" s="57" cm="1">
        <f t="array" ref="T604">VLOOKUP(B604,'Player Data'!$A1:$AE673,8,FALSE)*$Q604*IFERROR((VLOOKUP(P604,Settings!$E$28:$F$33,2,FALSE)+1),1)</f>
        <v>12.380464764442303</v>
      </c>
      <c r="U604" s="57" cm="1">
        <f t="array" ref="U604">SUM(S604:T604)</f>
        <v>20.222791723637634</v>
      </c>
      <c r="V604" s="57" cm="1">
        <f t="array" ref="V604">VLOOKUP(B604,'Player Data'!$A1:$AE673,10,FALSE)*$Q604*IFERROR(((VLOOKUP(P604,Settings!$E$28:$F$33,2,FALSE)/2)+1),1)</f>
        <v>72.870781462824226</v>
      </c>
      <c r="W604" s="57" cm="1">
        <f t="array" ref="W604">VLOOKUP(B604,'Player Data'!$A1:$AE673,11,FALSE)*$Q604*IFERROR((VLOOKUP(P604,Settings!$E$28:$F$33,2,FALSE)+1),1)</f>
        <v>0.13259530060351829</v>
      </c>
      <c r="X604" s="57" cm="1">
        <f t="array" ref="X604">VLOOKUP(B604,'Player Data'!$A1:$AE673,12,FALSE)*$Q604*IFERROR((VLOOKUP(P604,Settings!$E$28:$F$33,2,FALSE)+1),1)</f>
        <v>0.51130196853795185</v>
      </c>
      <c r="Y604" s="57" cm="1">
        <f t="array" ref="Y604">VLOOKUP(B604,'Player Data'!$A1:$AE673,13,FALSE)*$Q604</f>
        <v>0.3799524196254766</v>
      </c>
      <c r="Z604" s="57" cm="1">
        <f t="array" ref="Z604">VLOOKUP(B604,'Player Data'!$A1:$AE673,14,FALSE)*$Q604</f>
        <v>0.42501992393131643</v>
      </c>
      <c r="AA604" s="57" cm="1">
        <f t="array" ref="AA604">VLOOKUP(B604,'Player Data'!$A1:$AE673,15,FALSE)*$Q604</f>
        <v>37.69524337231406</v>
      </c>
      <c r="AB604" s="57" cm="1">
        <f t="array" ref="AB604">VLOOKUP(B604,'Player Data'!$A1:$AE673,16,FALSE)*$Q604</f>
        <v>68.677886187952339</v>
      </c>
      <c r="AC604" s="57" cm="1">
        <f t="array" ref="AC604">VLOOKUP(B604,'Player Data'!$A1:$AE673,17,FALSE)*$Q604*IFERROR((VLOOKUP(P604,Settings!$E$28:$F$33,2,FALSE)+1),1)</f>
        <v>-0.91783178818899591</v>
      </c>
      <c r="AD604" s="57" cm="1">
        <f t="array" ref="AD604">VLOOKUP(B604,'Player Data'!$A1:$AE673,18,FALSE)*$Q604</f>
        <v>17.942466644254239</v>
      </c>
      <c r="AE604" s="57" cm="1">
        <f t="array" ref="AE604">VLOOKUP(B604,'Player Data'!$A1:$AE673,19,FALSE)*$Q604*IFERROR((VLOOKUP(P604,Settings!$E$28:$F$33,2,FALSE)+1),1)</f>
        <v>1.2320593037141907</v>
      </c>
      <c r="AF604" s="57" cm="1">
        <f t="array" ref="AF604">VLOOKUP(B604,'Player Data'!$A1:$AE673,20,FALSE)*$Q604</f>
        <v>6.6872324601144308</v>
      </c>
      <c r="AG604" s="57" cm="1">
        <f t="array" ref="AG604">VLOOKUP(B604,'Player Data'!$A1:$AE673,21,FALSE)*$Q604</f>
        <v>17.313245033932503</v>
      </c>
      <c r="AH604" s="59" cm="1">
        <f t="array" ref="AH604">VLOOKUP(B604,'Player Data'!$A1:$AE673,22,FALSE)</f>
        <v>0.27862914234823599</v>
      </c>
      <c r="AI604" s="55"/>
      <c r="AJ604" s="57"/>
      <c r="AK604" s="57"/>
      <c r="AL604" s="57"/>
      <c r="AM604" s="57"/>
      <c r="AN604" s="57"/>
      <c r="AO604" s="57"/>
      <c r="AP604" s="57"/>
      <c r="AQ604" s="60"/>
      <c r="AR604" s="61"/>
      <c r="AS604" s="55"/>
    </row>
    <row r="605" spans="1:45" ht="21.25" customHeight="1" x14ac:dyDescent="0.15">
      <c r="A605" s="62">
        <f t="shared" si="9"/>
        <v>604</v>
      </c>
      <c r="B605" s="10" t="s">
        <v>733</v>
      </c>
      <c r="C605" s="47" t="s">
        <v>147</v>
      </c>
      <c r="D605" s="48" t="str" cm="1">
        <f t="array" ref="D605">VLOOKUP(B605,'Player Data'!A1:D673,4,FALSE)</f>
        <v>LW,RW</v>
      </c>
      <c r="E605" s="74" cm="1">
        <f t="array" ref="E605">VLOOKUP(B605,RW!A1:F210,3,FALSE)</f>
        <v>184</v>
      </c>
      <c r="F605" s="56" t="str" cm="1">
        <f t="array" ref="F605">VLOOKUP(B605,'Player Data'!A1:B673,2,FALSE)</f>
        <v>UTA</v>
      </c>
      <c r="G605" s="71" cm="1">
        <f t="array" ref="G605">VLOOKUP(B605,'Player Data'!A1:D673,3,FALSE)</f>
        <v>21</v>
      </c>
      <c r="H605" s="51" cm="1">
        <f t="array" ref="H605">IFERROR(VLOOKUP(B605,ADP!A1:F671,6,FALSE)/1000000,VLOOKUP(B605,ADP!A1:F671,6,FALSE))</f>
        <v>0.95</v>
      </c>
      <c r="I605" s="52">
        <f>IF(Settings!$E$15="POINTS",((R605*Q605)*Settings!$B$12)+(S605*Settings!$B$2)+(T605*Settings!$B$3)+(U605*Settings!$B$4)+(V605*Settings!$B$5)+(X605*Settings!$B$9)+(AA605*Settings!$B$6)+(W605*Settings!$B$8)+(AB605*Settings!$B$7)+(AC605*Settings!$B$14)+(AD605*Settings!$B$15)+(AE605*Settings!$B$16)+(AF605*Settings!$B$17)+(AG605*Settings!$B$18)+(Y605*Settings!$B$10)+(Z605*Settings!$B$11),VLOOKUP(B605,'Standard Deviations'!A$1:C$672,3,FALSE))</f>
        <v>116.60927490018494</v>
      </c>
      <c r="J605" s="53" cm="1">
        <f t="array" ref="J605">IF(D605="G",I605/AJ605,I605/Q605)</f>
        <v>1.879733616509792</v>
      </c>
      <c r="K605" s="52" cm="1">
        <f t="array" ref="K605">IF(Settings!$E$18="C/LW/RW",VLOOKUP(B605,RW!A1:F210,6,FALSE),VLOOKUP(B605,F!A1:F407,6,FALSE))</f>
        <v>-278.3341897933725</v>
      </c>
      <c r="L605" s="54" cm="1">
        <f t="array" ref="L605">IFERROR(K605/H605,"N/A")</f>
        <v>-292.98335767723421</v>
      </c>
      <c r="M605" s="85" t="s">
        <v>832</v>
      </c>
      <c r="N605" s="85" t="str" cm="1">
        <f t="array" ref="N605">IFERROR(M605-A605,"N/A")</f>
        <v>N/A</v>
      </c>
      <c r="O605" s="55"/>
      <c r="P605" s="56" t="str" cm="1">
        <f t="array" ref="P605">_xlfn.XLOOKUP($B605,ADP!A2:A671,ADP!G2:G671)</f>
        <v xml:space="preserve"> </v>
      </c>
      <c r="Q605" s="57" cm="1">
        <f t="array" ref="Q605">IF(Settings!$E$12="YES",VLOOKUP(B605,'Player Data'!A1:E673,5,FALSE),84)</f>
        <v>62.034999999999997</v>
      </c>
      <c r="R605" s="55" cm="1">
        <f t="array" ref="R605">VLOOKUP(B605,'Player Data'!$A1:$AE673,6,FALSE)</f>
        <v>12.527925927775501</v>
      </c>
      <c r="S605" s="57" cm="1">
        <f t="array" ref="S605">VLOOKUP(B605,'Player Data'!$A1:$AE673,7,FALSE)*$Q605*IFERROR((VLOOKUP(P605,Settings!$E$28:$F$33,2,FALSE)+1),1)</f>
        <v>8.0237933131411818</v>
      </c>
      <c r="T605" s="57" cm="1">
        <f t="array" ref="T605">VLOOKUP(B605,'Player Data'!$A1:$AE673,8,FALSE)*$Q605*IFERROR((VLOOKUP(P605,Settings!$E$28:$F$33,2,FALSE)+1),1)</f>
        <v>9.2012037605597996</v>
      </c>
      <c r="U605" s="57" cm="1">
        <f t="array" ref="U605">SUM(S605:T605)</f>
        <v>17.224997073700983</v>
      </c>
      <c r="V605" s="57" cm="1">
        <f t="array" ref="V605">VLOOKUP(B605,'Player Data'!$A1:$AE673,10,FALSE)*$Q605*IFERROR(((VLOOKUP(P605,Settings!$E$28:$F$33,2,FALSE)/2)+1),1)</f>
        <v>85.444178646102017</v>
      </c>
      <c r="W605" s="57" cm="1">
        <f t="array" ref="W605">VLOOKUP(B605,'Player Data'!$A1:$AE673,11,FALSE)*$Q605*IFERROR((VLOOKUP(P605,Settings!$E$28:$F$33,2,FALSE)+1),1)</f>
        <v>1.3571727652826475</v>
      </c>
      <c r="X605" s="57" cm="1">
        <f t="array" ref="X605">VLOOKUP(B605,'Player Data'!$A1:$AE673,12,FALSE)*$Q605*IFERROR((VLOOKUP(P605,Settings!$E$28:$F$33,2,FALSE)+1),1)</f>
        <v>3.7006304400142565</v>
      </c>
      <c r="Y605" s="57" cm="1">
        <f t="array" ref="Y605">VLOOKUP(B605,'Player Data'!$A1:$AE673,13,FALSE)*$Q605</f>
        <v>0.23724131964017828</v>
      </c>
      <c r="Z605" s="57" cm="1">
        <f t="array" ref="Z605">VLOOKUP(B605,'Player Data'!$A1:$AE673,14,FALSE)*$Q605</f>
        <v>0.39136329863858527</v>
      </c>
      <c r="AA605" s="57" cm="1">
        <f t="array" ref="AA605">VLOOKUP(B605,'Player Data'!$A1:$AE673,15,FALSE)*$Q605</f>
        <v>36.240401234756327</v>
      </c>
      <c r="AB605" s="57" cm="1">
        <f t="array" ref="AB605">VLOOKUP(B605,'Player Data'!$A1:$AE673,16,FALSE)*$Q605</f>
        <v>61.929855928228818</v>
      </c>
      <c r="AC605" s="57" cm="1">
        <f t="array" ref="AC605">VLOOKUP(B605,'Player Data'!$A1:$AE673,17,FALSE)*$Q605*IFERROR((VLOOKUP(P605,Settings!$E$28:$F$33,2,FALSE)+1),1)</f>
        <v>1.6179130131891117</v>
      </c>
      <c r="AD605" s="57" cm="1">
        <f t="array" ref="AD605">VLOOKUP(B605,'Player Data'!$A1:$AE673,18,FALSE)*$Q605</f>
        <v>18.614466688966601</v>
      </c>
      <c r="AE605" s="57" cm="1">
        <f t="array" ref="AE605">VLOOKUP(B605,'Player Data'!$A1:$AE673,19,FALSE)*$Q605*IFERROR((VLOOKUP(P605,Settings!$E$28:$F$33,2,FALSE)+1),1)</f>
        <v>1.2970029144412474</v>
      </c>
      <c r="AF605" s="57" cm="1">
        <f t="array" ref="AF605">VLOOKUP(B605,'Player Data'!$A1:$AE673,20,FALSE)*$Q605</f>
        <v>15.043938926239903</v>
      </c>
      <c r="AG605" s="57" cm="1">
        <f t="array" ref="AG605">VLOOKUP(B605,'Player Data'!$A1:$AE673,21,FALSE)*$Q605</f>
        <v>30.087877852479807</v>
      </c>
      <c r="AH605" s="59" cm="1">
        <f t="array" ref="AH605">VLOOKUP(B605,'Player Data'!$A1:$AE673,22,FALSE)</f>
        <v>0.33333333333333298</v>
      </c>
      <c r="AI605" s="55"/>
      <c r="AJ605" s="57"/>
      <c r="AK605" s="57"/>
      <c r="AL605" s="57"/>
      <c r="AM605" s="57"/>
      <c r="AN605" s="57"/>
      <c r="AO605" s="57"/>
      <c r="AP605" s="57"/>
      <c r="AQ605" s="60"/>
      <c r="AR605" s="61"/>
      <c r="AS605" s="55"/>
    </row>
    <row r="606" spans="1:45" ht="21.25" customHeight="1" x14ac:dyDescent="0.15">
      <c r="A606" s="62">
        <f t="shared" si="9"/>
        <v>605</v>
      </c>
      <c r="B606" s="10" t="s">
        <v>734</v>
      </c>
      <c r="C606" s="47" t="s">
        <v>147</v>
      </c>
      <c r="D606" s="48" t="str" cm="1">
        <f t="array" ref="D606">VLOOKUP(B606,'Player Data'!A1:D673,4,FALSE)</f>
        <v>LW,RW</v>
      </c>
      <c r="E606" s="74" cm="1">
        <f t="array" ref="E606">VLOOKUP(B606,RW!A1:F210,3,FALSE)</f>
        <v>185</v>
      </c>
      <c r="F606" s="65" t="str" cm="1">
        <f t="array" ref="F606">VLOOKUP(B606,'Player Data'!A1:B673,2,FALSE)</f>
        <v>CAR</v>
      </c>
      <c r="G606" s="66" cm="1">
        <f t="array" ref="G606">VLOOKUP(B606,'Player Data'!A1:D673,3,FALSE)</f>
        <v>31</v>
      </c>
      <c r="H606" s="51" cm="1">
        <f t="array" ref="H606">IFERROR(VLOOKUP(B606,ADP!A1:F671,6,FALSE)/1000000,VLOOKUP(B606,ADP!A1:F671,6,FALSE))</f>
        <v>1.7</v>
      </c>
      <c r="I606" s="52">
        <f>IF(Settings!$E$15="POINTS",((R606*Q606)*Settings!$B$12)+(S606*Settings!$B$2)+(T606*Settings!$B$3)+(U606*Settings!$B$4)+(V606*Settings!$B$5)+(X606*Settings!$B$9)+(AA606*Settings!$B$6)+(W606*Settings!$B$8)+(AB606*Settings!$B$7)+(AC606*Settings!$B$14)+(AD606*Settings!$B$15)+(AE606*Settings!$B$16)+(AF606*Settings!$B$17)+(AG606*Settings!$B$18)+(Y606*Settings!$B$10)+(Z606*Settings!$B$11),VLOOKUP(B606,'Standard Deviations'!A$1:C$672,3,FALSE))</f>
        <v>116.59276381996756</v>
      </c>
      <c r="J606" s="53" cm="1">
        <f t="array" ref="J606">IF(D606="G",I606/AJ606,I606/Q606)</f>
        <v>1.4973225520270659</v>
      </c>
      <c r="K606" s="52" cm="1">
        <f t="array" ref="K606">IF(Settings!$E$18="C/LW/RW",VLOOKUP(B606,RW!A1:F210,6,FALSE),VLOOKUP(B606,F!A1:F407,6,FALSE))</f>
        <v>-278.35070087358991</v>
      </c>
      <c r="L606" s="54" cm="1">
        <f t="array" ref="L606">IFERROR(K606/H606,"N/A")</f>
        <v>-163.73570639622938</v>
      </c>
      <c r="M606" s="85" t="s">
        <v>832</v>
      </c>
      <c r="N606" s="85" t="str" cm="1">
        <f t="array" ref="N606">IFERROR(M606-A606,"N/A")</f>
        <v>N/A</v>
      </c>
      <c r="O606" s="55"/>
      <c r="P606" s="56" t="str" cm="1">
        <f t="array" ref="P606">_xlfn.XLOOKUP($B606,ADP!A2:A671,ADP!G2:G671)</f>
        <v xml:space="preserve"> </v>
      </c>
      <c r="Q606" s="57" cm="1">
        <f t="array" ref="Q606">IF(Settings!$E$12="YES",VLOOKUP(B606,'Player Data'!A1:E673,5,FALSE),84)</f>
        <v>77.867500000000007</v>
      </c>
      <c r="R606" s="55" cm="1">
        <f t="array" ref="R606">VLOOKUP(B606,'Player Data'!$A1:$AE673,6,FALSE)</f>
        <v>11.318439723473601</v>
      </c>
      <c r="S606" s="57" cm="1">
        <f t="array" ref="S606">VLOOKUP(B606,'Player Data'!$A1:$AE673,7,FALSE)*$Q606*IFERROR((VLOOKUP(P606,Settings!$E$28:$F$33,2,FALSE)+1),1)</f>
        <v>10.307224556492415</v>
      </c>
      <c r="T606" s="57" cm="1">
        <f t="array" ref="T606">VLOOKUP(B606,'Player Data'!$A1:$AE673,8,FALSE)*$Q606*IFERROR((VLOOKUP(P606,Settings!$E$28:$F$33,2,FALSE)+1),1)</f>
        <v>9.6588209012494328</v>
      </c>
      <c r="U606" s="57" cm="1">
        <f t="array" ref="U606">SUM(S606:T606)</f>
        <v>19.966045457741849</v>
      </c>
      <c r="V606" s="57" cm="1">
        <f t="array" ref="V606">VLOOKUP(B606,'Player Data'!$A1:$AE673,10,FALSE)*$Q606*IFERROR(((VLOOKUP(P606,Settings!$E$28:$F$33,2,FALSE)/2)+1),1)</f>
        <v>93.343255118507656</v>
      </c>
      <c r="W606" s="57" cm="1">
        <f t="array" ref="W606">VLOOKUP(B606,'Player Data'!$A1:$AE673,11,FALSE)*$Q606*IFERROR((VLOOKUP(P606,Settings!$E$28:$F$33,2,FALSE)+1),1)</f>
        <v>3.7142754650286026E-2</v>
      </c>
      <c r="X606" s="57" cm="1">
        <f t="array" ref="X606">VLOOKUP(B606,'Player Data'!$A1:$AE673,12,FALSE)*$Q606*IFERROR((VLOOKUP(P606,Settings!$E$28:$F$33,2,FALSE)+1),1)</f>
        <v>8.1051006379739443E-2</v>
      </c>
      <c r="Y606" s="57" cm="1">
        <f t="array" ref="Y606">VLOOKUP(B606,'Player Data'!$A1:$AE673,13,FALSE)*$Q606</f>
        <v>9.9714428345382536E-2</v>
      </c>
      <c r="Z606" s="57" cm="1">
        <f t="array" ref="Z606">VLOOKUP(B606,'Player Data'!$A1:$AE673,14,FALSE)*$Q606</f>
        <v>0.6338185529577226</v>
      </c>
      <c r="AA606" s="57" cm="1">
        <f t="array" ref="AA606">VLOOKUP(B606,'Player Data'!$A1:$AE673,15,FALSE)*$Q606</f>
        <v>18.616260656301478</v>
      </c>
      <c r="AB606" s="57" cm="1">
        <f t="array" ref="AB606">VLOOKUP(B606,'Player Data'!$A1:$AE673,16,FALSE)*$Q606</f>
        <v>108.81522324340476</v>
      </c>
      <c r="AC606" s="57" cm="1">
        <f t="array" ref="AC606">VLOOKUP(B606,'Player Data'!$A1:$AE673,17,FALSE)*$Q606*IFERROR((VLOOKUP(P606,Settings!$E$28:$F$33,2,FALSE)+1),1)</f>
        <v>6.1964615489880606</v>
      </c>
      <c r="AD606" s="57" cm="1">
        <f t="array" ref="AD606">VLOOKUP(B606,'Player Data'!$A1:$AE673,18,FALSE)*$Q606</f>
        <v>13.302514300530763</v>
      </c>
      <c r="AE606" s="57" cm="1">
        <f t="array" ref="AE606">VLOOKUP(B606,'Player Data'!$A1:$AE673,19,FALSE)*$Q606*IFERROR((VLOOKUP(P606,Settings!$E$28:$F$33,2,FALSE)+1),1)</f>
        <v>1.7700161140914881</v>
      </c>
      <c r="AF606" s="57" cm="1">
        <f t="array" ref="AF606">VLOOKUP(B606,'Player Data'!$A1:$AE673,20,FALSE)*$Q606</f>
        <v>3.5134181115883223</v>
      </c>
      <c r="AG606" s="57" cm="1">
        <f t="array" ref="AG606">VLOOKUP(B606,'Player Data'!$A1:$AE673,21,FALSE)*$Q606</f>
        <v>13.611764514826669</v>
      </c>
      <c r="AH606" s="59" cm="1">
        <f t="array" ref="AH606">VLOOKUP(B606,'Player Data'!$A1:$AE673,22,FALSE)</f>
        <v>0.20516091350576299</v>
      </c>
      <c r="AI606" s="55"/>
      <c r="AJ606" s="57"/>
      <c r="AK606" s="57"/>
      <c r="AL606" s="57"/>
      <c r="AM606" s="57"/>
      <c r="AN606" s="57"/>
      <c r="AO606" s="57"/>
      <c r="AP606" s="57"/>
      <c r="AQ606" s="60"/>
      <c r="AR606" s="61"/>
      <c r="AS606" s="55"/>
    </row>
    <row r="607" spans="1:45" ht="21.25" customHeight="1" x14ac:dyDescent="0.15">
      <c r="A607" s="62">
        <f t="shared" si="9"/>
        <v>606</v>
      </c>
      <c r="B607" s="10" t="s">
        <v>735</v>
      </c>
      <c r="C607" s="47" t="s">
        <v>147</v>
      </c>
      <c r="D607" s="48" t="str" cm="1">
        <f t="array" ref="D607">VLOOKUP(B607,'Player Data'!A1:D673,4,FALSE)</f>
        <v>C</v>
      </c>
      <c r="E607" s="49" cm="1">
        <f t="array" ref="E607">VLOOKUP(B607,'C'!A1:C210,3,FALSE)</f>
        <v>187</v>
      </c>
      <c r="F607" s="63" t="str" cm="1">
        <f t="array" ref="F607">VLOOKUP(B607,'Player Data'!A1:B673,2,FALSE)</f>
        <v>DAL</v>
      </c>
      <c r="G607" s="66" cm="1">
        <f t="array" ref="G607">VLOOKUP(B607,'Player Data'!A1:D673,3,FALSE)</f>
        <v>32</v>
      </c>
      <c r="H607" s="51" cm="1">
        <f t="array" ref="H607">IFERROR(VLOOKUP(B607,ADP!A1:F671,6,FALSE)/1000000,VLOOKUP(B607,ADP!A1:F671,6,FALSE))</f>
        <v>2</v>
      </c>
      <c r="I607" s="52">
        <f>IF(Settings!$E$15="POINTS",((R607*Q607)*Settings!$B$12)+(S607*Settings!$B$2)+(T607*Settings!$B$3)+(U607*Settings!$B$4)+(V607*Settings!$B$5)+(X607*Settings!$B$9)+(AA607*Settings!$B$6)+(W607*Settings!$B$8)+(AB607*Settings!$B$7)+(AC607*Settings!$B$14)+(AD607*Settings!$B$15)+(AE607*Settings!$B$16)+(AF607*Settings!$B$17)+(AG607*Settings!$B$18)+(Y607*Settings!$B$10)+(Z607*Settings!$B$11),VLOOKUP(B607,'Standard Deviations'!A$1:C$672,3,FALSE))</f>
        <v>107.04869008619052</v>
      </c>
      <c r="J607" s="53" cm="1">
        <f t="array" ref="J607">IF(D607="G",I607/AJ607,I607/Q607)</f>
        <v>1.3844890078400223</v>
      </c>
      <c r="K607" s="52" cm="1">
        <f t="array" ref="K607">IF(Settings!$E$18="C/LW/RW",VLOOKUP(B607,'C'!A1:F210,6,FALSE),VLOOKUP(B607,F!A1:F407,6,FALSE))</f>
        <v>-279.4865163068925</v>
      </c>
      <c r="L607" s="54" cm="1">
        <f t="array" ref="L607">IFERROR(K607/H607,"N/A")</f>
        <v>-139.74325815344625</v>
      </c>
      <c r="M607" s="85" t="s">
        <v>832</v>
      </c>
      <c r="N607" s="85" t="str" cm="1">
        <f t="array" ref="N607">IFERROR(M607-A607,"N/A")</f>
        <v>N/A</v>
      </c>
      <c r="O607" s="55"/>
      <c r="P607" s="56" t="str" cm="1">
        <f t="array" ref="P607">_xlfn.XLOOKUP($B607,ADP!A2:A671,ADP!G2:G671)</f>
        <v xml:space="preserve"> </v>
      </c>
      <c r="Q607" s="57" cm="1">
        <f t="array" ref="Q607">IF(Settings!$E$12="YES",VLOOKUP(B607,'Player Data'!A1:E673,5,FALSE),84)</f>
        <v>77.319999999999993</v>
      </c>
      <c r="R607" s="55" cm="1">
        <f t="array" ref="R607">VLOOKUP(B607,'Player Data'!$A1:$AE673,6,FALSE)</f>
        <v>11.5213575256104</v>
      </c>
      <c r="S607" s="57" cm="1">
        <f t="array" ref="S607">VLOOKUP(B607,'Player Data'!$A1:$AE673,7,FALSE)*$Q607*IFERROR((VLOOKUP(P607,Settings!$E$28:$F$33,2,FALSE)+1),1)</f>
        <v>3.6458003802819072</v>
      </c>
      <c r="T607" s="57" cm="1">
        <f t="array" ref="T607">VLOOKUP(B607,'Player Data'!$A1:$AE673,8,FALSE)*$Q607*IFERROR((VLOOKUP(P607,Settings!$E$28:$F$33,2,FALSE)+1),1)</f>
        <v>12.934996875434653</v>
      </c>
      <c r="U607" s="57" cm="1">
        <f t="array" ref="U607">SUM(S607:T607)</f>
        <v>16.580797255716561</v>
      </c>
      <c r="V607" s="57" cm="1">
        <f t="array" ref="V607">VLOOKUP(B607,'Player Data'!$A1:$AE673,10,FALSE)*$Q607*IFERROR(((VLOOKUP(P607,Settings!$E$28:$F$33,2,FALSE)/2)+1),1)</f>
        <v>55.494835331376251</v>
      </c>
      <c r="W607" s="57" cm="1">
        <f t="array" ref="W607">VLOOKUP(B607,'Player Data'!$A1:$AE673,11,FALSE)*$Q607*IFERROR((VLOOKUP(P607,Settings!$E$28:$F$33,2,FALSE)+1),1)</f>
        <v>1.1649505207320368E-2</v>
      </c>
      <c r="X607" s="57" cm="1">
        <f t="array" ref="X607">VLOOKUP(B607,'Player Data'!$A1:$AE673,12,FALSE)*$Q607*IFERROR((VLOOKUP(P607,Settings!$E$28:$F$33,2,FALSE)+1),1)</f>
        <v>2.9371747256684223E-2</v>
      </c>
      <c r="Y607" s="57" cm="1">
        <f t="array" ref="Y607">VLOOKUP(B607,'Player Data'!$A1:$AE673,13,FALSE)*$Q607</f>
        <v>0.89463380715045027</v>
      </c>
      <c r="Z607" s="57" cm="1">
        <f t="array" ref="Z607">VLOOKUP(B607,'Player Data'!$A1:$AE673,14,FALSE)*$Q607</f>
        <v>2.6381021524034938</v>
      </c>
      <c r="AA607" s="57" cm="1">
        <f t="array" ref="AA607">VLOOKUP(B607,'Player Data'!$A1:$AE673,15,FALSE)*$Q607</f>
        <v>53.782813507385079</v>
      </c>
      <c r="AB607" s="57" cm="1">
        <f t="array" ref="AB607">VLOOKUP(B607,'Player Data'!$A1:$AE673,16,FALSE)*$Q607</f>
        <v>111.28380378093853</v>
      </c>
      <c r="AC607" s="57" cm="1">
        <f t="array" ref="AC607">VLOOKUP(B607,'Player Data'!$A1:$AE673,17,FALSE)*$Q607*IFERROR((VLOOKUP(P607,Settings!$E$28:$F$33,2,FALSE)+1),1)</f>
        <v>3.9214426311103963</v>
      </c>
      <c r="AD607" s="57" cm="1">
        <f t="array" ref="AD607">VLOOKUP(B607,'Player Data'!$A1:$AE673,18,FALSE)*$Q607</f>
        <v>23.726371575228285</v>
      </c>
      <c r="AE607" s="57" cm="1">
        <f t="array" ref="AE607">VLOOKUP(B607,'Player Data'!$A1:$AE673,19,FALSE)*$Q607*IFERROR((VLOOKUP(P607,Settings!$E$28:$F$33,2,FALSE)+1),1)</f>
        <v>0.61658794326000765</v>
      </c>
      <c r="AF607" s="57" cm="1">
        <f t="array" ref="AF607">VLOOKUP(B607,'Player Data'!$A1:$AE673,20,FALSE)*$Q607</f>
        <v>326.11476945981389</v>
      </c>
      <c r="AG607" s="57" cm="1">
        <f t="array" ref="AG607">VLOOKUP(B607,'Player Data'!$A1:$AE673,21,FALSE)*$Q607</f>
        <v>262.00329817996646</v>
      </c>
      <c r="AH607" s="59" cm="1">
        <f t="array" ref="AH607">VLOOKUP(B607,'Player Data'!$A1:$AE673,22,FALSE)</f>
        <v>0.55450561273957999</v>
      </c>
      <c r="AI607" s="55"/>
      <c r="AJ607" s="57"/>
      <c r="AK607" s="57"/>
      <c r="AL607" s="57"/>
      <c r="AM607" s="57"/>
      <c r="AN607" s="57"/>
      <c r="AO607" s="57"/>
      <c r="AP607" s="57"/>
      <c r="AQ607" s="60"/>
      <c r="AR607" s="61"/>
      <c r="AS607" s="55"/>
    </row>
    <row r="608" spans="1:45" ht="21.25" customHeight="1" x14ac:dyDescent="0.15">
      <c r="A608" s="62">
        <f t="shared" si="9"/>
        <v>607</v>
      </c>
      <c r="B608" s="10" t="s">
        <v>736</v>
      </c>
      <c r="C608" s="47" t="s">
        <v>147</v>
      </c>
      <c r="D608" s="48" t="str" cm="1">
        <f t="array" ref="D608">VLOOKUP(B608,'Player Data'!A1:D673,4,FALSE)</f>
        <v>RW</v>
      </c>
      <c r="E608" s="64" cm="1">
        <f t="array" ref="E608">VLOOKUP(B608,RW!A1:F210,3,FALSE)</f>
        <v>186</v>
      </c>
      <c r="F608" s="72" t="str" cm="1">
        <f t="array" ref="F608">VLOOKUP(B608,'Player Data'!A1:B673,2,FALSE)</f>
        <v>DET</v>
      </c>
      <c r="G608" s="11" cm="1">
        <f t="array" ref="G608">VLOOKUP(B608,'Player Data'!A1:D673,3,FALSE)</f>
        <v>30</v>
      </c>
      <c r="H608" s="67" cm="1">
        <f t="array" ref="H608">IFERROR(VLOOKUP(B608,ADP!A1:F671,6,FALSE)/1000000,VLOOKUP(B608,ADP!A1:F671,6,FALSE))</f>
        <v>2.9</v>
      </c>
      <c r="I608" s="52">
        <f>IF(Settings!$E$15="POINTS",((R608*Q608)*Settings!$B$12)+(S608*Settings!$B$2)+(T608*Settings!$B$3)+(U608*Settings!$B$4)+(V608*Settings!$B$5)+(X608*Settings!$B$9)+(AA608*Settings!$B$6)+(W608*Settings!$B$8)+(AB608*Settings!$B$7)+(AC608*Settings!$B$14)+(AD608*Settings!$B$15)+(AE608*Settings!$B$16)+(AF608*Settings!$B$17)+(AG608*Settings!$B$18)+(Y608*Settings!$B$10)+(Z608*Settings!$B$11),VLOOKUP(B608,'Standard Deviations'!A$1:C$672,3,FALSE))</f>
        <v>115.43635360438415</v>
      </c>
      <c r="J608" s="53" cm="1">
        <f t="array" ref="J608">IF(D608="G",I608/AJ608,I608/Q608)</f>
        <v>1.4520296050865931</v>
      </c>
      <c r="K608" s="52" cm="1">
        <f t="array" ref="K608">IF(Settings!$E$18="C/LW/RW",VLOOKUP(B608,RW!A1:F210,6,FALSE),VLOOKUP(B608,F!A1:F407,6,FALSE))</f>
        <v>-279.50711108917335</v>
      </c>
      <c r="L608" s="54" cm="1">
        <f t="array" ref="L608">IFERROR(K608/H608,"N/A")</f>
        <v>-96.381762444542531</v>
      </c>
      <c r="M608" s="85" t="s">
        <v>832</v>
      </c>
      <c r="N608" s="85" t="str" cm="1">
        <f t="array" ref="N608">IFERROR(M608-A608,"N/A")</f>
        <v>N/A</v>
      </c>
      <c r="O608" s="55"/>
      <c r="P608" s="56" t="str" cm="1">
        <f t="array" ref="P608">_xlfn.XLOOKUP($B608,ADP!A2:A671,ADP!G2:G671)</f>
        <v xml:space="preserve"> </v>
      </c>
      <c r="Q608" s="57" cm="1">
        <f t="array" ref="Q608">IF(Settings!$E$12="YES",VLOOKUP(B608,'Player Data'!A1:E673,5,FALSE),84)</f>
        <v>79.5</v>
      </c>
      <c r="R608" s="55" cm="1">
        <f t="array" ref="R608">VLOOKUP(B608,'Player Data'!$A1:$AE673,6,FALSE)</f>
        <v>12.637205545596901</v>
      </c>
      <c r="S608" s="57" cm="1">
        <f t="array" ref="S608">VLOOKUP(B608,'Player Data'!$A1:$AE673,7,FALSE)*$Q608*IFERROR((VLOOKUP(P608,Settings!$E$28:$F$33,2,FALSE)+1),1)</f>
        <v>7.6529044053461961</v>
      </c>
      <c r="T608" s="57" cm="1">
        <f t="array" ref="T608">VLOOKUP(B608,'Player Data'!$A1:$AE673,8,FALSE)*$Q608*IFERROR((VLOOKUP(P608,Settings!$E$28:$F$33,2,FALSE)+1),1)</f>
        <v>11.079172230432791</v>
      </c>
      <c r="U608" s="57" cm="1">
        <f t="array" ref="U608">SUM(S608:T608)</f>
        <v>18.732076635778988</v>
      </c>
      <c r="V608" s="57" cm="1">
        <f t="array" ref="V608">VLOOKUP(B608,'Player Data'!$A1:$AE673,10,FALSE)*$Q608*IFERROR(((VLOOKUP(P608,Settings!$E$28:$F$33,2,FALSE)/2)+1),1)</f>
        <v>81.717124506877056</v>
      </c>
      <c r="W608" s="57" cm="1">
        <f t="array" ref="W608">VLOOKUP(B608,'Player Data'!$A1:$AE673,11,FALSE)*$Q608*IFERROR((VLOOKUP(P608,Settings!$E$28:$F$33,2,FALSE)+1),1)</f>
        <v>6.3432458366877428E-2</v>
      </c>
      <c r="X608" s="57" cm="1">
        <f t="array" ref="X608">VLOOKUP(B608,'Player Data'!$A1:$AE673,12,FALSE)*$Q608*IFERROR((VLOOKUP(P608,Settings!$E$28:$F$33,2,FALSE)+1),1)</f>
        <v>0.13120562057902838</v>
      </c>
      <c r="Y608" s="57" cm="1">
        <f t="array" ref="Y608">VLOOKUP(B608,'Player Data'!$A1:$AE673,13,FALSE)*$Q608</f>
        <v>0.2873208165740076</v>
      </c>
      <c r="Z608" s="57" cm="1">
        <f t="array" ref="Z608">VLOOKUP(B608,'Player Data'!$A1:$AE673,14,FALSE)*$Q608</f>
        <v>0.89920632810663748</v>
      </c>
      <c r="AA608" s="57" cm="1">
        <f t="array" ref="AA608">VLOOKUP(B608,'Player Data'!$A1:$AE673,15,FALSE)*$Q608</f>
        <v>34.702298989845993</v>
      </c>
      <c r="AB608" s="57" cm="1">
        <f t="array" ref="AB608">VLOOKUP(B608,'Player Data'!$A1:$AE673,16,FALSE)*$Q608</f>
        <v>96.504369272882627</v>
      </c>
      <c r="AC608" s="57" cm="1">
        <f t="array" ref="AC608">VLOOKUP(B608,'Player Data'!$A1:$AE673,17,FALSE)*$Q608*IFERROR((VLOOKUP(P608,Settings!$E$28:$F$33,2,FALSE)+1),1)</f>
        <v>-2.4346481662489619</v>
      </c>
      <c r="AD608" s="57" cm="1">
        <f t="array" ref="AD608">VLOOKUP(B608,'Player Data'!$A1:$AE673,18,FALSE)*$Q608</f>
        <v>23.176107331123696</v>
      </c>
      <c r="AE608" s="57" cm="1">
        <f t="array" ref="AE608">VLOOKUP(B608,'Player Data'!$A1:$AE673,19,FALSE)*$Q608*IFERROR((VLOOKUP(P608,Settings!$E$28:$F$33,2,FALSE)+1),1)</f>
        <v>1.1992705943311162</v>
      </c>
      <c r="AF608" s="57" cm="1">
        <f t="array" ref="AF608">VLOOKUP(B608,'Player Data'!$A1:$AE673,20,FALSE)*$Q608</f>
        <v>9.1430704009727393</v>
      </c>
      <c r="AG608" s="57" cm="1">
        <f t="array" ref="AG608">VLOOKUP(B608,'Player Data'!$A1:$AE673,21,FALSE)*$Q608</f>
        <v>12.929781415577891</v>
      </c>
      <c r="AH608" s="59" cm="1">
        <f t="array" ref="AH608">VLOOKUP(B608,'Player Data'!$A1:$AE673,22,FALSE)</f>
        <v>0.41422243382783502</v>
      </c>
      <c r="AI608" s="55"/>
      <c r="AJ608" s="57"/>
      <c r="AK608" s="57"/>
      <c r="AL608" s="57"/>
      <c r="AM608" s="57"/>
      <c r="AN608" s="57"/>
      <c r="AO608" s="57"/>
      <c r="AP608" s="57"/>
      <c r="AQ608" s="60"/>
      <c r="AR608" s="61"/>
      <c r="AS608" s="55"/>
    </row>
    <row r="609" spans="1:45" ht="21.25" customHeight="1" x14ac:dyDescent="0.15">
      <c r="A609" s="62">
        <f t="shared" si="9"/>
        <v>608</v>
      </c>
      <c r="B609" s="10" t="s">
        <v>737</v>
      </c>
      <c r="C609" s="47" t="s">
        <v>147</v>
      </c>
      <c r="D609" s="48" t="str" cm="1">
        <f t="array" ref="D609">VLOOKUP(B609,'Player Data'!A1:D673,4,FALSE)</f>
        <v>LW</v>
      </c>
      <c r="E609" s="75" cm="1">
        <f t="array" ref="E609">VLOOKUP(B609,LW!A1:C210,3,FALSE)</f>
        <v>171</v>
      </c>
      <c r="F609" s="65" t="str" cm="1">
        <f t="array" ref="F609">VLOOKUP(B609,'Player Data'!A1:B673,2,FALSE)</f>
        <v>T.B</v>
      </c>
      <c r="G609" s="66" cm="1">
        <f t="array" ref="G609">VLOOKUP(B609,'Player Data'!A1:D673,3,FALSE)</f>
        <v>32</v>
      </c>
      <c r="H609" s="67" cm="1">
        <f t="array" ref="H609">IFERROR(VLOOKUP(B609,ADP!A1:F671,6,FALSE)/1000000,VLOOKUP(B609,ADP!A1:F671,6,FALSE))</f>
        <v>0.875</v>
      </c>
      <c r="I609" s="52">
        <f>IF(Settings!$E$15="POINTS",((R609*Q609)*Settings!$B$12)+(S609*Settings!$B$2)+(T609*Settings!$B$3)+(U609*Settings!$B$4)+(V609*Settings!$B$5)+(X609*Settings!$B$9)+(AA609*Settings!$B$6)+(W609*Settings!$B$8)+(AB609*Settings!$B$7)+(AC609*Settings!$B$14)+(AD609*Settings!$B$15)+(AE609*Settings!$B$16)+(AF609*Settings!$B$17)+(AG609*Settings!$B$18)+(Y609*Settings!$B$10)+(Z609*Settings!$B$11),VLOOKUP(B609,'Standard Deviations'!A$1:C$672,3,FALSE))</f>
        <v>119.42508174564182</v>
      </c>
      <c r="J609" s="53" cm="1">
        <f t="array" ref="J609">IF(D609="G",I609/AJ609,I609/Q609)</f>
        <v>1.4796813498406867</v>
      </c>
      <c r="K609" s="52" cm="1">
        <f t="array" ref="K609">IF(Settings!$E$18="C/LW/RW",VLOOKUP(B609,LW!A1:F210,6,FALSE),VLOOKUP(B609,F!A1:F407,6,FALSE))</f>
        <v>-279.88791156807827</v>
      </c>
      <c r="L609" s="54" cm="1">
        <f t="array" ref="L609">IFERROR(K609/H609,"N/A")</f>
        <v>-319.87189893494661</v>
      </c>
      <c r="M609" s="85" t="s">
        <v>832</v>
      </c>
      <c r="N609" s="85" t="str" cm="1">
        <f t="array" ref="N609">IFERROR(M609-A609,"N/A")</f>
        <v>N/A</v>
      </c>
      <c r="O609" s="55"/>
      <c r="P609" s="56" t="str" cm="1">
        <f t="array" ref="P609">_xlfn.XLOOKUP($B609,ADP!A2:A671,ADP!G2:G671)</f>
        <v xml:space="preserve"> </v>
      </c>
      <c r="Q609" s="57" cm="1">
        <f t="array" ref="Q609">IF(Settings!$E$12="YES",VLOOKUP(B609,'Player Data'!A1:E673,5,FALSE),84)</f>
        <v>80.709999999999994</v>
      </c>
      <c r="R609" s="84" cm="1">
        <f t="array" ref="R609">VLOOKUP(B609,'Player Data'!$A1:$AE673,6,FALSE)</f>
        <v>13.320604583392001</v>
      </c>
      <c r="S609" s="57" cm="1">
        <f t="array" ref="S609">VLOOKUP(B609,'Player Data'!$A1:$AE673,7,FALSE)*$Q609*IFERROR((VLOOKUP(P609,Settings!$E$28:$F$33,2,FALSE)+1),1)</f>
        <v>7.3876469250732937</v>
      </c>
      <c r="T609" s="57" cm="1">
        <f t="array" ref="T609">VLOOKUP(B609,'Player Data'!$A1:$AE673,8,FALSE)*$Q609*IFERROR((VLOOKUP(P609,Settings!$E$28:$F$33,2,FALSE)+1),1)</f>
        <v>9.0674325036163292</v>
      </c>
      <c r="U609" s="57" cm="1">
        <f t="array" ref="U609">SUM(S609:T609)</f>
        <v>16.455079428689622</v>
      </c>
      <c r="V609" s="57" cm="1">
        <f t="array" ref="V609">VLOOKUP(B609,'Player Data'!$A1:$AE673,10,FALSE)*$Q609*IFERROR(((VLOOKUP(P609,Settings!$E$28:$F$33,2,FALSE)/2)+1),1)</f>
        <v>93.848535930334862</v>
      </c>
      <c r="W609" s="57" cm="1">
        <f t="array" ref="W609">VLOOKUP(B609,'Player Data'!$A1:$AE673,11,FALSE)*$Q609*IFERROR((VLOOKUP(P609,Settings!$E$28:$F$33,2,FALSE)+1),1)</f>
        <v>3.1320200799889765E-2</v>
      </c>
      <c r="X609" s="57" cm="1">
        <f t="array" ref="X609">VLOOKUP(B609,'Player Data'!$A1:$AE673,12,FALSE)*$Q609*IFERROR((VLOOKUP(P609,Settings!$E$28:$F$33,2,FALSE)+1),1)</f>
        <v>6.6983390430718506E-2</v>
      </c>
      <c r="Y609" s="57" cm="1">
        <f t="array" ref="Y609">VLOOKUP(B609,'Player Data'!$A1:$AE673,13,FALSE)*$Q609</f>
        <v>9.1442818489693822E-2</v>
      </c>
      <c r="Z609" s="57" cm="1">
        <f t="array" ref="Z609">VLOOKUP(B609,'Player Data'!$A1:$AE673,14,FALSE)*$Q609</f>
        <v>0.14761366337876974</v>
      </c>
      <c r="AA609" s="57" cm="1">
        <f t="array" ref="AA609">VLOOKUP(B609,'Player Data'!$A1:$AE673,15,FALSE)*$Q609</f>
        <v>45.841956881192068</v>
      </c>
      <c r="AB609" s="57" cm="1">
        <f t="array" ref="AB609">VLOOKUP(B609,'Player Data'!$A1:$AE673,16,FALSE)*$Q609</f>
        <v>180.02026291311194</v>
      </c>
      <c r="AC609" s="57" cm="1">
        <f t="array" ref="AC609">VLOOKUP(B609,'Player Data'!$A1:$AE673,17,FALSE)*$Q609*IFERROR((VLOOKUP(P609,Settings!$E$28:$F$33,2,FALSE)+1),1)</f>
        <v>4.9267435792441683</v>
      </c>
      <c r="AD609" s="57" cm="1">
        <f t="array" ref="AD609">VLOOKUP(B609,'Player Data'!$A1:$AE673,18,FALSE)*$Q609</f>
        <v>31.693917431001989</v>
      </c>
      <c r="AE609" s="57" cm="1">
        <f t="array" ref="AE609">VLOOKUP(B609,'Player Data'!$A1:$AE673,19,FALSE)*$Q609*IFERROR((VLOOKUP(P609,Settings!$E$28:$F$33,2,FALSE)+1),1)</f>
        <v>1.3113770570584156</v>
      </c>
      <c r="AF609" s="57" cm="1">
        <f t="array" ref="AF609">VLOOKUP(B609,'Player Data'!$A1:$AE673,20,FALSE)*$Q609</f>
        <v>100.58909095798775</v>
      </c>
      <c r="AG609" s="57" cm="1">
        <f t="array" ref="AG609">VLOOKUP(B609,'Player Data'!$A1:$AE673,21,FALSE)*$Q609</f>
        <v>116.24564817583195</v>
      </c>
      <c r="AH609" s="59" cm="1">
        <f t="array" ref="AH609">VLOOKUP(B609,'Player Data'!$A1:$AE673,22,FALSE)</f>
        <v>0.46389748875021902</v>
      </c>
      <c r="AI609" s="55"/>
      <c r="AJ609" s="57"/>
      <c r="AK609" s="57"/>
      <c r="AL609" s="57"/>
      <c r="AM609" s="57"/>
      <c r="AN609" s="57"/>
      <c r="AO609" s="57"/>
      <c r="AP609" s="57"/>
      <c r="AQ609" s="60"/>
      <c r="AR609" s="61"/>
      <c r="AS609" s="55"/>
    </row>
    <row r="610" spans="1:45" ht="21.25" customHeight="1" x14ac:dyDescent="0.15">
      <c r="A610" s="62">
        <f t="shared" si="9"/>
        <v>609</v>
      </c>
      <c r="B610" s="10" t="s">
        <v>738</v>
      </c>
      <c r="C610" s="47" t="s">
        <v>147</v>
      </c>
      <c r="D610" s="48" t="str" cm="1">
        <f t="array" ref="D610">VLOOKUP(B610,'Player Data'!A1:D673,4,FALSE)</f>
        <v>LW</v>
      </c>
      <c r="E610" s="75" cm="1">
        <f t="array" ref="E610">VLOOKUP(B610,LW!A1:C210,3,FALSE)</f>
        <v>173</v>
      </c>
      <c r="F610" s="72" t="str" cm="1">
        <f t="array" ref="F610">VLOOKUP(B610,'Player Data'!A1:B673,2,FALSE)</f>
        <v>NYI</v>
      </c>
      <c r="G610" s="66" cm="1">
        <f t="array" ref="G610">VLOOKUP(B610,'Player Data'!A1:D673,3,FALSE)</f>
        <v>35</v>
      </c>
      <c r="H610" s="67" cm="1">
        <f t="array" ref="H610">IFERROR(VLOOKUP(B610,ADP!A1:F671,6,FALSE)/1000000,VLOOKUP(B610,ADP!A1:F671,6,FALSE))</f>
        <v>6</v>
      </c>
      <c r="I610" s="52">
        <f>IF(Settings!$E$15="POINTS",((R610*Q610)*Settings!$B$12)+(S610*Settings!$B$2)+(T610*Settings!$B$3)+(U610*Settings!$B$4)+(V610*Settings!$B$5)+(X610*Settings!$B$9)+(AA610*Settings!$B$6)+(W610*Settings!$B$8)+(AB610*Settings!$B$7)+(AC610*Settings!$B$14)+(AD610*Settings!$B$15)+(AE610*Settings!$B$16)+(AF610*Settings!$B$17)+(AG610*Settings!$B$18)+(Y610*Settings!$B$10)+(Z610*Settings!$B$11),VLOOKUP(B610,'Standard Deviations'!A$1:C$672,3,FALSE))</f>
        <v>119.18461765445055</v>
      </c>
      <c r="J610" s="53" cm="1">
        <f t="array" ref="J610">IF(D610="G",I610/AJ610,I610/Q610)</f>
        <v>1.4554677777982055</v>
      </c>
      <c r="K610" s="52" cm="1">
        <f t="array" ref="K610">IF(Settings!$E$18="C/LW/RW",VLOOKUP(B610,LW!A1:F210,6,FALSE),VLOOKUP(B610,F!A1:F407,6,FALSE))</f>
        <v>-280.12837565926952</v>
      </c>
      <c r="L610" s="54" cm="1">
        <f t="array" ref="L610">IFERROR(K610/H610,"N/A")</f>
        <v>-46.688062609878251</v>
      </c>
      <c r="M610" s="85" t="s">
        <v>832</v>
      </c>
      <c r="N610" s="85" t="str" cm="1">
        <f t="array" ref="N610">IFERROR(M610-A610,"N/A")</f>
        <v>N/A</v>
      </c>
      <c r="O610" s="55"/>
      <c r="P610" s="56" t="str" cm="1">
        <f t="array" ref="P610">_xlfn.XLOOKUP($B610,ADP!A2:A671,ADP!G2:G671)</f>
        <v xml:space="preserve"> </v>
      </c>
      <c r="Q610" s="57" cm="1">
        <f t="array" ref="Q610">IF(Settings!$E$12="YES",VLOOKUP(B610,'Player Data'!A1:E673,5,FALSE),84)</f>
        <v>81.887500000000003</v>
      </c>
      <c r="R610" s="84" cm="1">
        <f t="array" ref="R610">VLOOKUP(B610,'Player Data'!$A1:$AE673,6,FALSE)</f>
        <v>11.1386354317511</v>
      </c>
      <c r="S610" s="57" cm="1">
        <f t="array" ref="S610">VLOOKUP(B610,'Player Data'!$A1:$AE673,7,FALSE)*$Q610*IFERROR((VLOOKUP(P610,Settings!$E$28:$F$33,2,FALSE)+1),1)</f>
        <v>7.2201863630179686</v>
      </c>
      <c r="T610" s="57" cm="1">
        <f t="array" ref="T610">VLOOKUP(B610,'Player Data'!$A1:$AE673,8,FALSE)*$Q610*IFERROR((VLOOKUP(P610,Settings!$E$28:$F$33,2,FALSE)+1),1)</f>
        <v>10.209489137171234</v>
      </c>
      <c r="U610" s="57" cm="1">
        <f t="array" ref="U610">SUM(S610:T610)</f>
        <v>17.429675500189202</v>
      </c>
      <c r="V610" s="57" cm="1">
        <f t="array" ref="V610">VLOOKUP(B610,'Player Data'!$A1:$AE673,10,FALSE)*$Q610*IFERROR(((VLOOKUP(P610,Settings!$E$28:$F$33,2,FALSE)/2)+1),1)</f>
        <v>77.409134176600674</v>
      </c>
      <c r="W610" s="57" cm="1">
        <f t="array" ref="W610">VLOOKUP(B610,'Player Data'!$A1:$AE673,11,FALSE)*$Q610*IFERROR((VLOOKUP(P610,Settings!$E$28:$F$33,2,FALSE)+1),1)</f>
        <v>0.31882293107433407</v>
      </c>
      <c r="X610" s="57" cm="1">
        <f t="array" ref="X610">VLOOKUP(B610,'Player Data'!$A1:$AE673,12,FALSE)*$Q610*IFERROR((VLOOKUP(P610,Settings!$E$28:$F$33,2,FALSE)+1),1)</f>
        <v>0.59986648642150353</v>
      </c>
      <c r="Y610" s="57" cm="1">
        <f t="array" ref="Y610">VLOOKUP(B610,'Player Data'!$A1:$AE673,13,FALSE)*$Q610</f>
        <v>3.5308356662618327E-2</v>
      </c>
      <c r="Z610" s="57" cm="1">
        <f t="array" ref="Z610">VLOOKUP(B610,'Player Data'!$A1:$AE673,14,FALSE)*$Q610</f>
        <v>4.1023559348953083E-2</v>
      </c>
      <c r="AA610" s="57" cm="1">
        <f t="array" ref="AA610">VLOOKUP(B610,'Player Data'!$A1:$AE673,15,FALSE)*$Q610</f>
        <v>55.100268039624261</v>
      </c>
      <c r="AB610" s="57" cm="1">
        <f t="array" ref="AB610">VLOOKUP(B610,'Player Data'!$A1:$AE673,16,FALSE)*$Q610</f>
        <v>117.02977519848301</v>
      </c>
      <c r="AC610" s="57" cm="1">
        <f t="array" ref="AC610">VLOOKUP(B610,'Player Data'!$A1:$AE673,17,FALSE)*$Q610*IFERROR((VLOOKUP(P610,Settings!$E$28:$F$33,2,FALSE)+1),1)</f>
        <v>-4.2438632436517612</v>
      </c>
      <c r="AD610" s="57" cm="1">
        <f t="array" ref="AD610">VLOOKUP(B610,'Player Data'!$A1:$AE673,18,FALSE)*$Q610</f>
        <v>16.271927609864317</v>
      </c>
      <c r="AE610" s="57" cm="1">
        <f t="array" ref="AE610">VLOOKUP(B610,'Player Data'!$A1:$AE673,19,FALSE)*$Q610*IFERROR((VLOOKUP(P610,Settings!$E$28:$F$33,2,FALSE)+1),1)</f>
        <v>1.0544466549251463</v>
      </c>
      <c r="AF610" s="57" cm="1">
        <f t="array" ref="AF610">VLOOKUP(B610,'Player Data'!$A1:$AE673,20,FALSE)*$Q610</f>
        <v>4.4516693858547454</v>
      </c>
      <c r="AG610" s="57" cm="1">
        <f t="array" ref="AG610">VLOOKUP(B610,'Player Data'!$A1:$AE673,21,FALSE)*$Q610</f>
        <v>10.179858166033425</v>
      </c>
      <c r="AH610" s="59" cm="1">
        <f t="array" ref="AH610">VLOOKUP(B610,'Player Data'!$A1:$AE673,22,FALSE)</f>
        <v>0.30425185409163102</v>
      </c>
      <c r="AI610" s="55"/>
      <c r="AJ610" s="57"/>
      <c r="AK610" s="57"/>
      <c r="AL610" s="57"/>
      <c r="AM610" s="57"/>
      <c r="AN610" s="57"/>
      <c r="AO610" s="57"/>
      <c r="AP610" s="57"/>
      <c r="AQ610" s="60"/>
      <c r="AR610" s="61"/>
      <c r="AS610" s="55"/>
    </row>
    <row r="611" spans="1:45" ht="21.25" customHeight="1" x14ac:dyDescent="0.15">
      <c r="A611" s="62">
        <f t="shared" si="9"/>
        <v>610</v>
      </c>
      <c r="B611" s="10" t="s">
        <v>739</v>
      </c>
      <c r="C611" s="47" t="s">
        <v>147</v>
      </c>
      <c r="D611" s="48" t="str" cm="1">
        <f t="array" ref="D611">VLOOKUP(B611,'Player Data'!A1:D673,4,FALSE)</f>
        <v>C,RW</v>
      </c>
      <c r="E611" s="74" cm="1">
        <f t="array" ref="E611">VLOOKUP(B611,RW!A1:F210,3,FALSE)</f>
        <v>187</v>
      </c>
      <c r="F611" s="63" t="str" cm="1">
        <f t="array" ref="F611">VLOOKUP(B611,'Player Data'!A1:B673,2,FALSE)</f>
        <v>CGY</v>
      </c>
      <c r="G611" s="11" cm="1">
        <f t="array" ref="G611">VLOOKUP(B611,'Player Data'!A1:D673,3,FALSE)</f>
        <v>26</v>
      </c>
      <c r="H611" s="51" cm="1">
        <f t="array" ref="H611">IFERROR(VLOOKUP(B611,ADP!A1:F671,6,FALSE)/1000000,VLOOKUP(B611,ADP!A1:F671,6,FALSE))</f>
        <v>2.5</v>
      </c>
      <c r="I611" s="52">
        <f>IF(Settings!$E$15="POINTS",((R611*Q611)*Settings!$B$12)+(S611*Settings!$B$2)+(T611*Settings!$B$3)+(U611*Settings!$B$4)+(V611*Settings!$B$5)+(X611*Settings!$B$9)+(AA611*Settings!$B$6)+(W611*Settings!$B$8)+(AB611*Settings!$B$7)+(AC611*Settings!$B$14)+(AD611*Settings!$B$15)+(AE611*Settings!$B$16)+(AF611*Settings!$B$17)+(AG611*Settings!$B$18)+(Y611*Settings!$B$10)+(Z611*Settings!$B$11),VLOOKUP(B611,'Standard Deviations'!A$1:C$672,3,FALSE))</f>
        <v>114.32798669813094</v>
      </c>
      <c r="J611" s="53" cm="1">
        <f t="array" ref="J611">IF(D611="G",I611/AJ611,I611/Q611)</f>
        <v>1.6025228538126775</v>
      </c>
      <c r="K611" s="52" cm="1">
        <f t="array" ref="K611">IF(Settings!$E$18="C/LW/RW",VLOOKUP(B611,RW!A1:F210,6,FALSE),VLOOKUP(B611,F!A1:F407,6,FALSE))</f>
        <v>-280.61547799542655</v>
      </c>
      <c r="L611" s="54" cm="1">
        <f t="array" ref="L611">IFERROR(K611/H611,"N/A")</f>
        <v>-112.24619119817062</v>
      </c>
      <c r="M611" s="85" t="s">
        <v>832</v>
      </c>
      <c r="N611" s="85" t="str" cm="1">
        <f t="array" ref="N611">IFERROR(M611-A611,"N/A")</f>
        <v>N/A</v>
      </c>
      <c r="O611" s="55"/>
      <c r="P611" s="56" t="str" cm="1">
        <f t="array" ref="P611">_xlfn.XLOOKUP($B611,ADP!A2:A671,ADP!G2:G671)</f>
        <v xml:space="preserve"> </v>
      </c>
      <c r="Q611" s="57" cm="1">
        <f t="array" ref="Q611">IF(Settings!$E$12="YES",VLOOKUP(B611,'Player Data'!A1:E673,5,FALSE),84)</f>
        <v>71.342500000000001</v>
      </c>
      <c r="R611" s="82" cm="1">
        <f t="array" ref="R611">VLOOKUP(B611,'Player Data'!$A1:$AE673,6,FALSE)</f>
        <v>11.9411100611082</v>
      </c>
      <c r="S611" s="57" cm="1">
        <f t="array" ref="S611">VLOOKUP(B611,'Player Data'!$A1:$AE673,7,FALSE)*$Q611*IFERROR((VLOOKUP(P611,Settings!$E$28:$F$33,2,FALSE)+1),1)</f>
        <v>5.4083397886105429</v>
      </c>
      <c r="T611" s="57" cm="1">
        <f t="array" ref="T611">VLOOKUP(B611,'Player Data'!$A1:$AE673,8,FALSE)*$Q611*IFERROR((VLOOKUP(P611,Settings!$E$28:$F$33,2,FALSE)+1),1)</f>
        <v>13.397970035025777</v>
      </c>
      <c r="U611" s="57" cm="1">
        <f t="array" ref="U611">SUM(S611:T611)</f>
        <v>18.806309823636319</v>
      </c>
      <c r="V611" s="57" cm="1">
        <f t="array" ref="V611">VLOOKUP(B611,'Player Data'!$A1:$AE673,10,FALSE)*$Q611*IFERROR(((VLOOKUP(P611,Settings!$E$28:$F$33,2,FALSE)/2)+1),1)</f>
        <v>89.061135036799371</v>
      </c>
      <c r="W611" s="57" cm="1">
        <f t="array" ref="W611">VLOOKUP(B611,'Player Data'!$A1:$AE673,11,FALSE)*$Q611*IFERROR((VLOOKUP(P611,Settings!$E$28:$F$33,2,FALSE)+1),1)</f>
        <v>5.2179794686406593E-2</v>
      </c>
      <c r="X611" s="57" cm="1">
        <f t="array" ref="X611">VLOOKUP(B611,'Player Data'!$A1:$AE673,12,FALSE)*$Q611*IFERROR((VLOOKUP(P611,Settings!$E$28:$F$33,2,FALSE)+1),1)</f>
        <v>0.15839625585431127</v>
      </c>
      <c r="Y611" s="57" cm="1">
        <f t="array" ref="Y611">VLOOKUP(B611,'Player Data'!$A1:$AE673,13,FALSE)*$Q611</f>
        <v>0.19942689739993186</v>
      </c>
      <c r="Z611" s="57" cm="1">
        <f t="array" ref="Z611">VLOOKUP(B611,'Player Data'!$A1:$AE673,14,FALSE)*$Q611</f>
        <v>0.33193748800131112</v>
      </c>
      <c r="AA611" s="57" cm="1">
        <f t="array" ref="AA611">VLOOKUP(B611,'Player Data'!$A1:$AE673,15,FALSE)*$Q611</f>
        <v>25.776311929933346</v>
      </c>
      <c r="AB611" s="57" cm="1">
        <f t="array" ref="AB611">VLOOKUP(B611,'Player Data'!$A1:$AE673,16,FALSE)*$Q611</f>
        <v>226.24431732987475</v>
      </c>
      <c r="AC611" s="57" cm="1">
        <f t="array" ref="AC611">VLOOKUP(B611,'Player Data'!$A1:$AE673,17,FALSE)*$Q611*IFERROR((VLOOKUP(P611,Settings!$E$28:$F$33,2,FALSE)+1),1)</f>
        <v>-6.428083642121142</v>
      </c>
      <c r="AD611" s="57" cm="1">
        <f t="array" ref="AD611">VLOOKUP(B611,'Player Data'!$A1:$AE673,18,FALSE)*$Q611</f>
        <v>48.352033640835643</v>
      </c>
      <c r="AE611" s="57" cm="1">
        <f t="array" ref="AE611">VLOOKUP(B611,'Player Data'!$A1:$AE673,19,FALSE)*$Q611*IFERROR((VLOOKUP(P611,Settings!$E$28:$F$33,2,FALSE)+1),1)</f>
        <v>0.7775838846187364</v>
      </c>
      <c r="AF611" s="57" cm="1">
        <f t="array" ref="AF611">VLOOKUP(B611,'Player Data'!$A1:$AE673,20,FALSE)*$Q611</f>
        <v>47.447864118309752</v>
      </c>
      <c r="AG611" s="57" cm="1">
        <f t="array" ref="AG611">VLOOKUP(B611,'Player Data'!$A1:$AE673,21,FALSE)*$Q611</f>
        <v>63.464652160266667</v>
      </c>
      <c r="AH611" s="59" cm="1">
        <f t="array" ref="AH611">VLOOKUP(B611,'Player Data'!$A1:$AE673,22,FALSE)</f>
        <v>0.42779539866479999</v>
      </c>
      <c r="AI611" s="55"/>
      <c r="AJ611" s="57"/>
      <c r="AK611" s="57"/>
      <c r="AL611" s="57"/>
      <c r="AM611" s="57"/>
      <c r="AN611" s="57"/>
      <c r="AO611" s="57"/>
      <c r="AP611" s="57"/>
      <c r="AQ611" s="60"/>
      <c r="AR611" s="61"/>
      <c r="AS611" s="55"/>
    </row>
    <row r="612" spans="1:45" ht="21.25" customHeight="1" x14ac:dyDescent="0.15">
      <c r="A612" s="62">
        <f t="shared" si="9"/>
        <v>611</v>
      </c>
      <c r="B612" s="10" t="s">
        <v>740</v>
      </c>
      <c r="C612" s="47" t="s">
        <v>147</v>
      </c>
      <c r="D612" s="48" t="str" cm="1">
        <f t="array" ref="D612">VLOOKUP(B612,'Player Data'!A1:D673,4,FALSE)</f>
        <v>C</v>
      </c>
      <c r="E612" s="49" cm="1">
        <f t="array" ref="E612">VLOOKUP(B612,'C'!A1:C210,3,FALSE)</f>
        <v>189</v>
      </c>
      <c r="F612" s="50" t="str" cm="1">
        <f t="array" ref="F612">VLOOKUP(B612,'Player Data'!A1:B673,2,FALSE)</f>
        <v>COL</v>
      </c>
      <c r="G612" s="71" cm="1">
        <f t="array" ref="G612">VLOOKUP(B612,'Player Data'!A1:D673,3,FALSE)</f>
        <v>23</v>
      </c>
      <c r="H612" s="51" cm="1">
        <f t="array" ref="H612">IFERROR(VLOOKUP(B612,ADP!A1:F671,6,FALSE)/1000000,VLOOKUP(B612,ADP!A1:F671,6,FALSE))</f>
        <v>1.25</v>
      </c>
      <c r="I612" s="52">
        <f>IF(Settings!$E$15="POINTS",((R612*Q612)*Settings!$B$12)+(S612*Settings!$B$2)+(T612*Settings!$B$3)+(U612*Settings!$B$4)+(V612*Settings!$B$5)+(X612*Settings!$B$9)+(AA612*Settings!$B$6)+(W612*Settings!$B$8)+(AB612*Settings!$B$7)+(AC612*Settings!$B$14)+(AD612*Settings!$B$15)+(AE612*Settings!$B$16)+(AF612*Settings!$B$17)+(AG612*Settings!$B$18)+(Y612*Settings!$B$10)+(Z612*Settings!$B$11),VLOOKUP(B612,'Standard Deviations'!A$1:C$672,3,FALSE))</f>
        <v>104.74563796346695</v>
      </c>
      <c r="J612" s="53" cm="1">
        <f t="array" ref="J612">IF(D612="G",I612/AJ612,I612/Q612)</f>
        <v>1.4045677232781353</v>
      </c>
      <c r="K612" s="52" cm="1">
        <f t="array" ref="K612">IF(Settings!$E$18="C/LW/RW",VLOOKUP(B612,'C'!A1:F210,6,FALSE),VLOOKUP(B612,F!A1:F407,6,FALSE))</f>
        <v>-281.78956842961605</v>
      </c>
      <c r="L612" s="54" cm="1">
        <f t="array" ref="L612">IFERROR(K612/H612,"N/A")</f>
        <v>-225.43165474369283</v>
      </c>
      <c r="M612" s="85" t="s">
        <v>832</v>
      </c>
      <c r="N612" s="85" t="str" cm="1">
        <f t="array" ref="N612">IFERROR(M612-A612,"N/A")</f>
        <v>N/A</v>
      </c>
      <c r="O612" s="55"/>
      <c r="P612" s="56" t="str" cm="1">
        <f t="array" ref="P612">_xlfn.XLOOKUP($B612,ADP!A2:A671,ADP!G2:G671)</f>
        <v xml:space="preserve"> </v>
      </c>
      <c r="Q612" s="57" cm="1">
        <f t="array" ref="Q612">IF(Settings!$E$12="YES",VLOOKUP(B612,'Player Data'!A1:E673,5,FALSE),84)</f>
        <v>74.575000000000003</v>
      </c>
      <c r="R612" s="84" cm="1">
        <f t="array" ref="R612">VLOOKUP(B612,'Player Data'!$A1:$AE673,6,FALSE)</f>
        <v>10.9608914618033</v>
      </c>
      <c r="S612" s="57" cm="1">
        <f t="array" ref="S612">VLOOKUP(B612,'Player Data'!$A1:$AE673,7,FALSE)*$Q612*IFERROR((VLOOKUP(P612,Settings!$E$28:$F$33,2,FALSE)+1),1)</f>
        <v>6.0907195419584257</v>
      </c>
      <c r="T612" s="57" cm="1">
        <f t="array" ref="T612">VLOOKUP(B612,'Player Data'!$A1:$AE673,8,FALSE)*$Q612*IFERROR((VLOOKUP(P612,Settings!$E$28:$F$33,2,FALSE)+1),1)</f>
        <v>11.729144865121958</v>
      </c>
      <c r="U612" s="57" cm="1">
        <f t="array" ref="U612">SUM(S612:T612)</f>
        <v>17.819864407080384</v>
      </c>
      <c r="V612" s="57" cm="1">
        <f t="array" ref="V612">VLOOKUP(B612,'Player Data'!$A1:$AE673,10,FALSE)*$Q612*IFERROR(((VLOOKUP(P612,Settings!$E$28:$F$33,2,FALSE)/2)+1),1)</f>
        <v>70.627559011420246</v>
      </c>
      <c r="W612" s="57" cm="1">
        <f t="array" ref="W612">VLOOKUP(B612,'Player Data'!$A1:$AE673,11,FALSE)*$Q612*IFERROR((VLOOKUP(P612,Settings!$E$28:$F$33,2,FALSE)+1),1)</f>
        <v>0.34421402053519901</v>
      </c>
      <c r="X612" s="57" cm="1">
        <f t="array" ref="X612">VLOOKUP(B612,'Player Data'!$A1:$AE673,12,FALSE)*$Q612*IFERROR((VLOOKUP(P612,Settings!$E$28:$F$33,2,FALSE)+1),1)</f>
        <v>0.83631874446180299</v>
      </c>
      <c r="Y612" s="57" cm="1">
        <f t="array" ref="Y612">VLOOKUP(B612,'Player Data'!$A1:$AE673,13,FALSE)*$Q612</f>
        <v>0.29955069261446049</v>
      </c>
      <c r="Z612" s="57" cm="1">
        <f t="array" ref="Z612">VLOOKUP(B612,'Player Data'!$A1:$AE673,14,FALSE)*$Q612</f>
        <v>0.33800275659397055</v>
      </c>
      <c r="AA612" s="57" cm="1">
        <f t="array" ref="AA612">VLOOKUP(B612,'Player Data'!$A1:$AE673,15,FALSE)*$Q612</f>
        <v>29.595887470919831</v>
      </c>
      <c r="AB612" s="57" cm="1">
        <f t="array" ref="AB612">VLOOKUP(B612,'Player Data'!$A1:$AE673,16,FALSE)*$Q612</f>
        <v>65.145960808251132</v>
      </c>
      <c r="AC612" s="57" cm="1">
        <f t="array" ref="AC612">VLOOKUP(B612,'Player Data'!$A1:$AE673,17,FALSE)*$Q612*IFERROR((VLOOKUP(P612,Settings!$E$28:$F$33,2,FALSE)+1),1)</f>
        <v>4.4718309190581751</v>
      </c>
      <c r="AD612" s="57" cm="1">
        <f t="array" ref="AD612">VLOOKUP(B612,'Player Data'!$A1:$AE673,18,FALSE)*$Q612</f>
        <v>19.949702956218413</v>
      </c>
      <c r="AE612" s="57" cm="1">
        <f t="array" ref="AE612">VLOOKUP(B612,'Player Data'!$A1:$AE673,19,FALSE)*$Q612*IFERROR((VLOOKUP(P612,Settings!$E$28:$F$33,2,FALSE)+1),1)</f>
        <v>1.0992969852332748</v>
      </c>
      <c r="AF612" s="57" cm="1">
        <f t="array" ref="AF612">VLOOKUP(B612,'Player Data'!$A1:$AE673,20,FALSE)*$Q612</f>
        <v>206.91002610205314</v>
      </c>
      <c r="AG612" s="57" cm="1">
        <f t="array" ref="AG612">VLOOKUP(B612,'Player Data'!$A1:$AE673,21,FALSE)*$Q612</f>
        <v>306.76612192607251</v>
      </c>
      <c r="AH612" s="59" cm="1">
        <f t="array" ref="AH612">VLOOKUP(B612,'Player Data'!$A1:$AE673,22,FALSE)</f>
        <v>0.40280247953176102</v>
      </c>
      <c r="AI612" s="55"/>
      <c r="AJ612" s="57"/>
      <c r="AK612" s="57"/>
      <c r="AL612" s="57"/>
      <c r="AM612" s="57"/>
      <c r="AN612" s="57"/>
      <c r="AO612" s="57"/>
      <c r="AP612" s="57"/>
      <c r="AQ612" s="60"/>
      <c r="AR612" s="61"/>
      <c r="AS612" s="55"/>
    </row>
    <row r="613" spans="1:45" ht="21.25" customHeight="1" x14ac:dyDescent="0.15">
      <c r="A613" s="62">
        <f t="shared" si="9"/>
        <v>612</v>
      </c>
      <c r="B613" s="10" t="s">
        <v>741</v>
      </c>
      <c r="C613" s="47" t="s">
        <v>147</v>
      </c>
      <c r="D613" s="48" t="str" cm="1">
        <f t="array" ref="D613">VLOOKUP(B613,'Player Data'!A1:D673,4,FALSE)</f>
        <v>C,LW</v>
      </c>
      <c r="E613" s="74" cm="1">
        <f t="array" ref="E613">VLOOKUP(B613,LW!A1:C210,3,FALSE)</f>
        <v>175</v>
      </c>
      <c r="F613" s="18" t="str" cm="1">
        <f t="array" ref="F613">VLOOKUP(B613,'Player Data'!A1:B673,2,FALSE)</f>
        <v>VAN</v>
      </c>
      <c r="G613" s="11" cm="1">
        <f t="array" ref="G613">VLOOKUP(B613,'Player Data'!A1:D673,3,FALSE)</f>
        <v>25</v>
      </c>
      <c r="H613" s="51" cm="1">
        <f t="array" ref="H613">IFERROR(VLOOKUP(B613,ADP!A1:F671,6,FALSE)/1000000,VLOOKUP(B613,ADP!A1:F671,6,FALSE))</f>
        <v>1</v>
      </c>
      <c r="I613" s="52">
        <f>IF(Settings!$E$15="POINTS",((R613*Q613)*Settings!$B$12)+(S613*Settings!$B$2)+(T613*Settings!$B$3)+(U613*Settings!$B$4)+(V613*Settings!$B$5)+(X613*Settings!$B$9)+(AA613*Settings!$B$6)+(W613*Settings!$B$8)+(AB613*Settings!$B$7)+(AC613*Settings!$B$14)+(AD613*Settings!$B$15)+(AE613*Settings!$B$16)+(AF613*Settings!$B$17)+(AG613*Settings!$B$18)+(Y613*Settings!$B$10)+(Z613*Settings!$B$11),VLOOKUP(B613,'Standard Deviations'!A$1:C$672,3,FALSE))</f>
        <v>116.6523170720025</v>
      </c>
      <c r="J613" s="53" cm="1">
        <f t="array" ref="J613">IF(D613="G",I613/AJ613,I613/Q613)</f>
        <v>1.6545841221517323</v>
      </c>
      <c r="K613" s="52" cm="1">
        <f t="array" ref="K613">IF(Settings!$E$18="C/LW/RW",VLOOKUP(B613,LW!A1:F210,6,FALSE),VLOOKUP(B613,F!A1:F407,6,FALSE))</f>
        <v>-282.66067624171757</v>
      </c>
      <c r="L613" s="54" cm="1">
        <f t="array" ref="L613">IFERROR(K613/H613,"N/A")</f>
        <v>-282.66067624171757</v>
      </c>
      <c r="M613" s="85" t="s">
        <v>832</v>
      </c>
      <c r="N613" s="85" t="str" cm="1">
        <f t="array" ref="N613">IFERROR(M613-A613,"N/A")</f>
        <v>N/A</v>
      </c>
      <c r="O613" s="55"/>
      <c r="P613" s="56" t="str" cm="1">
        <f t="array" ref="P613">_xlfn.XLOOKUP($B613,ADP!A2:A671,ADP!G2:G671)</f>
        <v xml:space="preserve"> </v>
      </c>
      <c r="Q613" s="57" cm="1">
        <f t="array" ref="Q613">IF(Settings!$E$12="YES",VLOOKUP(B613,'Player Data'!A1:E673,5,FALSE),84)</f>
        <v>70.502499999999998</v>
      </c>
      <c r="R613" s="55" cm="1">
        <f t="array" ref="R613">VLOOKUP(B613,'Player Data'!$A1:$AE673,6,FALSE)</f>
        <v>12.0686426312477</v>
      </c>
      <c r="S613" s="57" cm="1">
        <f t="array" ref="S613">VLOOKUP(B613,'Player Data'!$A1:$AE673,7,FALSE)*$Q613*IFERROR((VLOOKUP(P613,Settings!$E$28:$F$33,2,FALSE)+1),1)</f>
        <v>11.865429781362581</v>
      </c>
      <c r="T613" s="57" cm="1">
        <f t="array" ref="T613">VLOOKUP(B613,'Player Data'!$A1:$AE673,8,FALSE)*$Q613*IFERROR((VLOOKUP(P613,Settings!$E$28:$F$33,2,FALSE)+1),1)</f>
        <v>8.5047016630496426</v>
      </c>
      <c r="U613" s="57" cm="1">
        <f t="array" ref="U613">SUM(S613:T613)</f>
        <v>20.370131444412223</v>
      </c>
      <c r="V613" s="57" cm="1">
        <f t="array" ref="V613">VLOOKUP(B613,'Player Data'!$A1:$AE673,10,FALSE)*$Q613*IFERROR(((VLOOKUP(P613,Settings!$E$28:$F$33,2,FALSE)/2)+1),1)</f>
        <v>70.443688984168247</v>
      </c>
      <c r="W613" s="57" cm="1">
        <f t="array" ref="W613">VLOOKUP(B613,'Player Data'!$A1:$AE673,11,FALSE)*$Q613*IFERROR((VLOOKUP(P613,Settings!$E$28:$F$33,2,FALSE)+1),1)</f>
        <v>0.15148406984741705</v>
      </c>
      <c r="X613" s="57" cm="1">
        <f t="array" ref="X613">VLOOKUP(B613,'Player Data'!$A1:$AE673,12,FALSE)*$Q613*IFERROR((VLOOKUP(P613,Settings!$E$28:$F$33,2,FALSE)+1),1)</f>
        <v>0.53381499666586774</v>
      </c>
      <c r="Y613" s="57" cm="1">
        <f t="array" ref="Y613">VLOOKUP(B613,'Player Data'!$A1:$AE673,13,FALSE)*$Q613</f>
        <v>0.26005472772744215</v>
      </c>
      <c r="Z613" s="57" cm="1">
        <f t="array" ref="Z613">VLOOKUP(B613,'Player Data'!$A1:$AE673,14,FALSE)*$Q613</f>
        <v>0.42948316689828397</v>
      </c>
      <c r="AA613" s="57" cm="1">
        <f t="array" ref="AA613">VLOOKUP(B613,'Player Data'!$A1:$AE673,15,FALSE)*$Q613</f>
        <v>38.713560166235141</v>
      </c>
      <c r="AB613" s="57" cm="1">
        <f t="array" ref="AB613">VLOOKUP(B613,'Player Data'!$A1:$AE673,16,FALSE)*$Q613</f>
        <v>51.272892086489385</v>
      </c>
      <c r="AC613" s="57" cm="1">
        <f t="array" ref="AC613">VLOOKUP(B613,'Player Data'!$A1:$AE673,17,FALSE)*$Q613*IFERROR((VLOOKUP(P613,Settings!$E$28:$F$33,2,FALSE)+1),1)</f>
        <v>-8.8251932747856525</v>
      </c>
      <c r="AD613" s="57" cm="1">
        <f t="array" ref="AD613">VLOOKUP(B613,'Player Data'!$A1:$AE673,18,FALSE)*$Q613</f>
        <v>21.374528029008768</v>
      </c>
      <c r="AE613" s="57" cm="1">
        <f t="array" ref="AE613">VLOOKUP(B613,'Player Data'!$A1:$AE673,19,FALSE)*$Q613*IFERROR((VLOOKUP(P613,Settings!$E$28:$F$33,2,FALSE)+1),1)</f>
        <v>1.470334677556923</v>
      </c>
      <c r="AF613" s="57" cm="1">
        <f t="array" ref="AF613">VLOOKUP(B613,'Player Data'!$A1:$AE673,20,FALSE)*$Q613</f>
        <v>134.51573014055461</v>
      </c>
      <c r="AG613" s="57" cm="1">
        <f t="array" ref="AG613">VLOOKUP(B613,'Player Data'!$A1:$AE673,21,FALSE)*$Q613</f>
        <v>184.02271159859944</v>
      </c>
      <c r="AH613" s="59" cm="1">
        <f t="array" ref="AH613">VLOOKUP(B613,'Player Data'!$A1:$AE673,22,FALSE)</f>
        <v>0.42229041306953802</v>
      </c>
      <c r="AI613" s="55"/>
      <c r="AJ613" s="57"/>
      <c r="AK613" s="57"/>
      <c r="AL613" s="57"/>
      <c r="AM613" s="57"/>
      <c r="AN613" s="57"/>
      <c r="AO613" s="57"/>
      <c r="AP613" s="57"/>
      <c r="AQ613" s="60"/>
      <c r="AR613" s="61"/>
      <c r="AS613" s="55"/>
    </row>
    <row r="614" spans="1:45" ht="21.25" customHeight="1" x14ac:dyDescent="0.15">
      <c r="A614" s="62">
        <f t="shared" si="9"/>
        <v>613</v>
      </c>
      <c r="B614" s="10" t="s">
        <v>742</v>
      </c>
      <c r="C614" s="47" t="s">
        <v>147</v>
      </c>
      <c r="D614" s="48" t="str" cm="1">
        <f t="array" ref="D614">VLOOKUP(B614,'Player Data'!A1:D673,4,FALSE)</f>
        <v>C</v>
      </c>
      <c r="E614" s="49" cm="1">
        <f t="array" ref="E614">VLOOKUP(B614,'C'!A1:C210,3,FALSE)</f>
        <v>190</v>
      </c>
      <c r="F614" s="72" t="str" cm="1">
        <f t="array" ref="F614">VLOOKUP(B614,'Player Data'!A1:B673,2,FALSE)</f>
        <v>PIT</v>
      </c>
      <c r="G614" s="71" cm="1">
        <f t="array" ref="G614">VLOOKUP(B614,'Player Data'!A1:D673,3,FALSE)</f>
        <v>24</v>
      </c>
      <c r="H614" s="51" cm="1">
        <f t="array" ref="H614">IFERROR(VLOOKUP(B614,ADP!A1:F671,6,FALSE)/1000000,VLOOKUP(B614,ADP!A1:F671,6,FALSE))</f>
        <v>1.3</v>
      </c>
      <c r="I614" s="52">
        <f>IF(Settings!$E$15="POINTS",((R614*Q614)*Settings!$B$12)+(S614*Settings!$B$2)+(T614*Settings!$B$3)+(U614*Settings!$B$4)+(V614*Settings!$B$5)+(X614*Settings!$B$9)+(AA614*Settings!$B$6)+(W614*Settings!$B$8)+(AB614*Settings!$B$7)+(AC614*Settings!$B$14)+(AD614*Settings!$B$15)+(AE614*Settings!$B$16)+(AF614*Settings!$B$17)+(AG614*Settings!$B$18)+(Y614*Settings!$B$10)+(Z614*Settings!$B$11),VLOOKUP(B614,'Standard Deviations'!A$1:C$672,3,FALSE))</f>
        <v>103.86057017994337</v>
      </c>
      <c r="J614" s="53" cm="1">
        <f t="array" ref="J614">IF(D614="G",I614/AJ614,I614/Q614)</f>
        <v>1.4435605153750075</v>
      </c>
      <c r="K614" s="52" cm="1">
        <f t="array" ref="K614">IF(Settings!$E$18="C/LW/RW",VLOOKUP(B614,'C'!A1:F210,6,FALSE),VLOOKUP(B614,F!A1:F407,6,FALSE))</f>
        <v>-282.67463621313965</v>
      </c>
      <c r="L614" s="54" cm="1">
        <f t="array" ref="L614">IFERROR(K614/H614,"N/A")</f>
        <v>-217.44202785626126</v>
      </c>
      <c r="M614" s="85" t="s">
        <v>832</v>
      </c>
      <c r="N614" s="85" t="str" cm="1">
        <f t="array" ref="N614">IFERROR(M614-A614,"N/A")</f>
        <v>N/A</v>
      </c>
      <c r="O614" s="55"/>
      <c r="P614" s="56" t="str" cm="1">
        <f t="array" ref="P614">_xlfn.XLOOKUP($B614,ADP!A2:A671,ADP!G2:G671)</f>
        <v xml:space="preserve"> </v>
      </c>
      <c r="Q614" s="57" cm="1">
        <f t="array" ref="Q614">IF(Settings!$E$12="YES",VLOOKUP(B614,'Player Data'!A1:E673,5,FALSE),84)</f>
        <v>71.947500000000005</v>
      </c>
      <c r="R614" s="82" cm="1">
        <f t="array" ref="R614">VLOOKUP(B614,'Player Data'!$A1:$AE673,6,FALSE)</f>
        <v>10.163106274282001</v>
      </c>
      <c r="S614" s="57" cm="1">
        <f t="array" ref="S614">VLOOKUP(B614,'Player Data'!$A1:$AE673,7,FALSE)*$Q614*IFERROR((VLOOKUP(P614,Settings!$E$28:$F$33,2,FALSE)+1),1)</f>
        <v>5.2797628144223978</v>
      </c>
      <c r="T614" s="57" cm="1">
        <f t="array" ref="T614">VLOOKUP(B614,'Player Data'!$A1:$AE673,8,FALSE)*$Q614*IFERROR((VLOOKUP(P614,Settings!$E$28:$F$33,2,FALSE)+1),1)</f>
        <v>14.300004974758846</v>
      </c>
      <c r="U614" s="57" cm="1">
        <f t="array" ref="U614">SUM(S614:T614)</f>
        <v>19.579767789181243</v>
      </c>
      <c r="V614" s="57" cm="1">
        <f t="array" ref="V614">VLOOKUP(B614,'Player Data'!$A1:$AE673,10,FALSE)*$Q614*IFERROR(((VLOOKUP(P614,Settings!$E$28:$F$33,2,FALSE)/2)+1),1)</f>
        <v>61.633830343787075</v>
      </c>
      <c r="W614" s="57" cm="1">
        <f t="array" ref="W614">VLOOKUP(B614,'Player Data'!$A1:$AE673,11,FALSE)*$Q614*IFERROR((VLOOKUP(P614,Settings!$E$28:$F$33,2,FALSE)+1),1)</f>
        <v>2.53101383799199E-2</v>
      </c>
      <c r="X614" s="57" cm="1">
        <f t="array" ref="X614">VLOOKUP(B614,'Player Data'!$A1:$AE673,12,FALSE)*$Q614*IFERROR((VLOOKUP(P614,Settings!$E$28:$F$33,2,FALSE)+1),1)</f>
        <v>7.9536131551635303E-2</v>
      </c>
      <c r="Y614" s="57" cm="1">
        <f t="array" ref="Y614">VLOOKUP(B614,'Player Data'!$A1:$AE673,13,FALSE)*$Q614</f>
        <v>2.6928565749921706E-3</v>
      </c>
      <c r="Z614" s="57" cm="1">
        <f t="array" ref="Z614">VLOOKUP(B614,'Player Data'!$A1:$AE673,14,FALSE)*$Q614</f>
        <v>4.4230729928846748E-3</v>
      </c>
      <c r="AA614" s="57" cm="1">
        <f t="array" ref="AA614">VLOOKUP(B614,'Player Data'!$A1:$AE673,15,FALSE)*$Q614</f>
        <v>28.440784871923157</v>
      </c>
      <c r="AB614" s="57" cm="1">
        <f t="array" ref="AB614">VLOOKUP(B614,'Player Data'!$A1:$AE673,16,FALSE)*$Q614</f>
        <v>63.768701296372484</v>
      </c>
      <c r="AC614" s="57" cm="1">
        <f t="array" ref="AC614">VLOOKUP(B614,'Player Data'!$A1:$AE673,17,FALSE)*$Q614*IFERROR((VLOOKUP(P614,Settings!$E$28:$F$33,2,FALSE)+1),1)</f>
        <v>-0.4057379079753729</v>
      </c>
      <c r="AD614" s="57" cm="1">
        <f t="array" ref="AD614">VLOOKUP(B614,'Player Data'!$A1:$AE673,18,FALSE)*$Q614</f>
        <v>16.93664174917436</v>
      </c>
      <c r="AE614" s="57" cm="1">
        <f t="array" ref="AE614">VLOOKUP(B614,'Player Data'!$A1:$AE673,19,FALSE)*$Q614*IFERROR((VLOOKUP(P614,Settings!$E$28:$F$33,2,FALSE)+1),1)</f>
        <v>0.7654985104022195</v>
      </c>
      <c r="AF614" s="57" cm="1">
        <f t="array" ref="AF614">VLOOKUP(B614,'Player Data'!$A1:$AE673,20,FALSE)*$Q614</f>
        <v>131.10127333452004</v>
      </c>
      <c r="AG614" s="57" cm="1">
        <f t="array" ref="AG614">VLOOKUP(B614,'Player Data'!$A1:$AE673,21,FALSE)*$Q614</f>
        <v>203.75058395205414</v>
      </c>
      <c r="AH614" s="59" cm="1">
        <f t="array" ref="AH614">VLOOKUP(B614,'Player Data'!$A1:$AE673,22,FALSE)</f>
        <v>0.391520221499982</v>
      </c>
      <c r="AI614" s="55"/>
      <c r="AJ614" s="57"/>
      <c r="AK614" s="57"/>
      <c r="AL614" s="57"/>
      <c r="AM614" s="57"/>
      <c r="AN614" s="57"/>
      <c r="AO614" s="57"/>
      <c r="AP614" s="57"/>
      <c r="AQ614" s="60"/>
      <c r="AR614" s="61"/>
      <c r="AS614" s="55"/>
    </row>
    <row r="615" spans="1:45" ht="21.25" customHeight="1" x14ac:dyDescent="0.15">
      <c r="A615" s="62">
        <f t="shared" si="9"/>
        <v>614</v>
      </c>
      <c r="B615" s="10" t="s">
        <v>743</v>
      </c>
      <c r="C615" s="47" t="s">
        <v>147</v>
      </c>
      <c r="D615" s="48" t="str" cm="1">
        <f t="array" ref="D615">VLOOKUP(B615,'Player Data'!A1:D673,4,FALSE)</f>
        <v>LW</v>
      </c>
      <c r="E615" s="75" cm="1">
        <f t="array" ref="E615">VLOOKUP(B615,LW!A1:C210,3,FALSE)</f>
        <v>178</v>
      </c>
      <c r="F615" s="50" t="str" cm="1">
        <f t="array" ref="F615">VLOOKUP(B615,'Player Data'!A1:B673,2,FALSE)</f>
        <v>COL</v>
      </c>
      <c r="G615" s="71" cm="1">
        <f t="array" ref="G615">VLOOKUP(B615,'Player Data'!A1:D673,3,FALSE)</f>
        <v>23</v>
      </c>
      <c r="H615" s="51" cm="1">
        <f t="array" ref="H615">IFERROR(VLOOKUP(B615,ADP!A1:F671,6,FALSE)/1000000,VLOOKUP(B615,ADP!A1:F671,6,FALSE))</f>
        <v>0.875</v>
      </c>
      <c r="I615" s="52">
        <f>IF(Settings!$E$15="POINTS",((R615*Q615)*Settings!$B$12)+(S615*Settings!$B$2)+(T615*Settings!$B$3)+(U615*Settings!$B$4)+(V615*Settings!$B$5)+(X615*Settings!$B$9)+(AA615*Settings!$B$6)+(W615*Settings!$B$8)+(AB615*Settings!$B$7)+(AC615*Settings!$B$14)+(AD615*Settings!$B$15)+(AE615*Settings!$B$16)+(AF615*Settings!$B$17)+(AG615*Settings!$B$18)+(Y615*Settings!$B$10)+(Z615*Settings!$B$11),VLOOKUP(B615,'Standard Deviations'!A$1:C$672,3,FALSE))</f>
        <v>116.34167210551391</v>
      </c>
      <c r="J615" s="53" cm="1">
        <f t="array" ref="J615">IF(D615="G",I615/AJ615,I615/Q615)</f>
        <v>1.682149605718618</v>
      </c>
      <c r="K615" s="52" cm="1">
        <f t="array" ref="K615">IF(Settings!$E$18="C/LW/RW",VLOOKUP(B615,LW!A1:F210,6,FALSE),VLOOKUP(B615,F!A1:F407,6,FALSE))</f>
        <v>-282.97132120820618</v>
      </c>
      <c r="L615" s="54" cm="1">
        <f t="array" ref="L615">IFERROR(K615/H615,"N/A")</f>
        <v>-323.39579566652134</v>
      </c>
      <c r="M615" s="85" t="s">
        <v>832</v>
      </c>
      <c r="N615" s="85" t="str" cm="1">
        <f t="array" ref="N615">IFERROR(M615-A615,"N/A")</f>
        <v>N/A</v>
      </c>
      <c r="O615" s="55"/>
      <c r="P615" s="56" t="str" cm="1">
        <f t="array" ref="P615">_xlfn.XLOOKUP($B615,ADP!A2:A671,ADP!G2:G671)</f>
        <v xml:space="preserve"> </v>
      </c>
      <c r="Q615" s="57" cm="1">
        <f t="array" ref="Q615">IF(Settings!$E$12="YES",VLOOKUP(B615,'Player Data'!A1:E673,5,FALSE),84)</f>
        <v>69.162499999999994</v>
      </c>
      <c r="R615" s="55" cm="1">
        <f t="array" ref="R615">VLOOKUP(B615,'Player Data'!$A1:$AE673,6,FALSE)</f>
        <v>13.0469880525915</v>
      </c>
      <c r="S615" s="57" cm="1">
        <f t="array" ref="S615">VLOOKUP(B615,'Player Data'!$A1:$AE673,7,FALSE)*$Q615*IFERROR((VLOOKUP(P615,Settings!$E$28:$F$33,2,FALSE)+1),1)</f>
        <v>8.4509040991927709</v>
      </c>
      <c r="T615" s="57" cm="1">
        <f t="array" ref="T615">VLOOKUP(B615,'Player Data'!$A1:$AE673,8,FALSE)*$Q615*IFERROR((VLOOKUP(P615,Settings!$E$28:$F$33,2,FALSE)+1),1)</f>
        <v>9.5778328259153156</v>
      </c>
      <c r="U615" s="57" cm="1">
        <f t="array" ref="U615">SUM(S615:T615)</f>
        <v>18.028736925108085</v>
      </c>
      <c r="V615" s="57" cm="1">
        <f t="array" ref="V615">VLOOKUP(B615,'Player Data'!$A1:$AE673,10,FALSE)*$Q615*IFERROR(((VLOOKUP(P615,Settings!$E$28:$F$33,2,FALSE)/2)+1),1)</f>
        <v>84.202711862092798</v>
      </c>
      <c r="W615" s="57" cm="1">
        <f t="array" ref="W615">VLOOKUP(B615,'Player Data'!$A1:$AE673,11,FALSE)*$Q615*IFERROR((VLOOKUP(P615,Settings!$E$28:$F$33,2,FALSE)+1),1)</f>
        <v>0.38299369678123774</v>
      </c>
      <c r="X615" s="57" cm="1">
        <f t="array" ref="X615">VLOOKUP(B615,'Player Data'!$A1:$AE673,12,FALSE)*$Q615*IFERROR((VLOOKUP(P615,Settings!$E$28:$F$33,2,FALSE)+1),1)</f>
        <v>1.5771715614895474</v>
      </c>
      <c r="Y615" s="57" cm="1">
        <f t="array" ref="Y615">VLOOKUP(B615,'Player Data'!$A1:$AE673,13,FALSE)*$Q615</f>
        <v>0.22239878928895679</v>
      </c>
      <c r="Z615" s="57" cm="1">
        <f t="array" ref="Z615">VLOOKUP(B615,'Player Data'!$A1:$AE673,14,FALSE)*$Q615</f>
        <v>0.37062868573968838</v>
      </c>
      <c r="AA615" s="57" cm="1">
        <f t="array" ref="AA615">VLOOKUP(B615,'Player Data'!$A1:$AE673,15,FALSE)*$Q615</f>
        <v>36.412610303828018</v>
      </c>
      <c r="AB615" s="57" cm="1">
        <f t="array" ref="AB615">VLOOKUP(B615,'Player Data'!$A1:$AE673,16,FALSE)*$Q615</f>
        <v>175.65418515367446</v>
      </c>
      <c r="AC615" s="57" cm="1">
        <f t="array" ref="AC615">VLOOKUP(B615,'Player Data'!$A1:$AE673,17,FALSE)*$Q615*IFERROR((VLOOKUP(P615,Settings!$E$28:$F$33,2,FALSE)+1),1)</f>
        <v>5.7765028011521542</v>
      </c>
      <c r="AD615" s="57" cm="1">
        <f t="array" ref="AD615">VLOOKUP(B615,'Player Data'!$A1:$AE673,18,FALSE)*$Q615</f>
        <v>36.915111030583311</v>
      </c>
      <c r="AE615" s="57" cm="1">
        <f t="array" ref="AE615">VLOOKUP(B615,'Player Data'!$A1:$AE673,19,FALSE)*$Q615*IFERROR((VLOOKUP(P615,Settings!$E$28:$F$33,2,FALSE)+1),1)</f>
        <v>1.5252801142360621</v>
      </c>
      <c r="AF615" s="57" cm="1">
        <f t="array" ref="AF615">VLOOKUP(B615,'Player Data'!$A1:$AE673,20,FALSE)*$Q615</f>
        <v>2.1733195332721711</v>
      </c>
      <c r="AG615" s="57" cm="1">
        <f t="array" ref="AG615">VLOOKUP(B615,'Player Data'!$A1:$AE673,21,FALSE)*$Q615</f>
        <v>12.278276866069493</v>
      </c>
      <c r="AH615" s="59" cm="1">
        <f t="array" ref="AH615">VLOOKUP(B615,'Player Data'!$A1:$AE673,22,FALSE)</f>
        <v>0.15038612158938899</v>
      </c>
      <c r="AI615" s="55"/>
      <c r="AJ615" s="57"/>
      <c r="AK615" s="57"/>
      <c r="AL615" s="57"/>
      <c r="AM615" s="57"/>
      <c r="AN615" s="57"/>
      <c r="AO615" s="57"/>
      <c r="AP615" s="57"/>
      <c r="AQ615" s="60"/>
      <c r="AR615" s="61"/>
      <c r="AS615" s="55"/>
    </row>
    <row r="616" spans="1:45" ht="21.25" customHeight="1" x14ac:dyDescent="0.15">
      <c r="A616" s="62">
        <f t="shared" si="9"/>
        <v>615</v>
      </c>
      <c r="B616" s="10" t="s">
        <v>744</v>
      </c>
      <c r="C616" s="47" t="s">
        <v>147</v>
      </c>
      <c r="D616" s="48" t="str" cm="1">
        <f t="array" ref="D616">VLOOKUP(B616,'Player Data'!A1:D673,4,FALSE)</f>
        <v>LW</v>
      </c>
      <c r="E616" s="75" cm="1">
        <f t="array" ref="E616">VLOOKUP(B616,LW!A1:C210,3,FALSE)</f>
        <v>179</v>
      </c>
      <c r="F616" s="72" t="str" cm="1">
        <f t="array" ref="F616">VLOOKUP(B616,'Player Data'!A1:B673,2,FALSE)</f>
        <v>NYI</v>
      </c>
      <c r="G616" s="66" cm="1">
        <f t="array" ref="G616">VLOOKUP(B616,'Player Data'!A1:D673,3,FALSE)</f>
        <v>31</v>
      </c>
      <c r="H616" s="51" cm="1">
        <f t="array" ref="H616">IFERROR(VLOOKUP(B616,ADP!A1:F671,6,FALSE)/1000000,VLOOKUP(B616,ADP!A1:F671,6,FALSE))</f>
        <v>3.5</v>
      </c>
      <c r="I616" s="52">
        <f>IF(Settings!$E$15="POINTS",((R616*Q616)*Settings!$B$12)+(S616*Settings!$B$2)+(T616*Settings!$B$3)+(U616*Settings!$B$4)+(V616*Settings!$B$5)+(X616*Settings!$B$9)+(AA616*Settings!$B$6)+(W616*Settings!$B$8)+(AB616*Settings!$B$7)+(AC616*Settings!$B$14)+(AD616*Settings!$B$15)+(AE616*Settings!$B$16)+(AF616*Settings!$B$17)+(AG616*Settings!$B$18)+(Y616*Settings!$B$10)+(Z616*Settings!$B$11),VLOOKUP(B616,'Standard Deviations'!A$1:C$672,3,FALSE))</f>
        <v>116.22132235796012</v>
      </c>
      <c r="J616" s="53" cm="1">
        <f t="array" ref="J616">IF(D616="G",I616/AJ616,I616/Q616)</f>
        <v>1.5630599469835265</v>
      </c>
      <c r="K616" s="52" cm="1">
        <f t="array" ref="K616">IF(Settings!$E$18="C/LW/RW",VLOOKUP(B616,LW!A1:F210,6,FALSE),VLOOKUP(B616,F!A1:F407,6,FALSE))</f>
        <v>-283.09167095575998</v>
      </c>
      <c r="L616" s="54" cm="1">
        <f t="array" ref="L616">IFERROR(K616/H616,"N/A")</f>
        <v>-80.883334558788562</v>
      </c>
      <c r="M616" s="85" t="s">
        <v>832</v>
      </c>
      <c r="N616" s="85" t="str" cm="1">
        <f t="array" ref="N616">IFERROR(M616-A616,"N/A")</f>
        <v>N/A</v>
      </c>
      <c r="O616" s="55"/>
      <c r="P616" s="56" t="str" cm="1">
        <f t="array" ref="P616">_xlfn.XLOOKUP($B616,ADP!A2:A671,ADP!G2:G671)</f>
        <v xml:space="preserve"> </v>
      </c>
      <c r="Q616" s="57" cm="1">
        <f t="array" ref="Q616">IF(Settings!$E$12="YES",VLOOKUP(B616,'Player Data'!A1:E673,5,FALSE),84)</f>
        <v>74.355000000000004</v>
      </c>
      <c r="R616" s="84" cm="1">
        <f t="array" ref="R616">VLOOKUP(B616,'Player Data'!$A1:$AE673,6,FALSE)</f>
        <v>10.964187616276201</v>
      </c>
      <c r="S616" s="57" cm="1">
        <f t="array" ref="S616">VLOOKUP(B616,'Player Data'!$A1:$AE673,7,FALSE)*$Q616*IFERROR((VLOOKUP(P616,Settings!$E$28:$F$33,2,FALSE)+1),1)</f>
        <v>9.3945401484781481</v>
      </c>
      <c r="T616" s="57" cm="1">
        <f t="array" ref="T616">VLOOKUP(B616,'Player Data'!$A1:$AE673,8,FALSE)*$Q616*IFERROR((VLOOKUP(P616,Settings!$E$28:$F$33,2,FALSE)+1),1)</f>
        <v>10.42538725681071</v>
      </c>
      <c r="U616" s="57" cm="1">
        <f t="array" ref="U616">SUM(S616:T616)</f>
        <v>19.819927405288858</v>
      </c>
      <c r="V616" s="57" cm="1">
        <f t="array" ref="V616">VLOOKUP(B616,'Player Data'!$A1:$AE673,10,FALSE)*$Q616*IFERROR(((VLOOKUP(P616,Settings!$E$28:$F$33,2,FALSE)/2)+1),1)</f>
        <v>71.932678272608683</v>
      </c>
      <c r="W616" s="57" cm="1">
        <f t="array" ref="W616">VLOOKUP(B616,'Player Data'!$A1:$AE673,11,FALSE)*$Q616*IFERROR((VLOOKUP(P616,Settings!$E$28:$F$33,2,FALSE)+1),1)</f>
        <v>1.2221281510665647</v>
      </c>
      <c r="X616" s="57" cm="1">
        <f t="array" ref="X616">VLOOKUP(B616,'Player Data'!$A1:$AE673,12,FALSE)*$Q616*IFERROR((VLOOKUP(P616,Settings!$E$28:$F$33,2,FALSE)+1),1)</f>
        <v>2.075744068825097</v>
      </c>
      <c r="Y616" s="57" cm="1">
        <f t="array" ref="Y616">VLOOKUP(B616,'Player Data'!$A1:$AE673,13,FALSE)*$Q616</f>
        <v>1.2436849540357479E-3</v>
      </c>
      <c r="Z616" s="57" cm="1">
        <f t="array" ref="Z616">VLOOKUP(B616,'Player Data'!$A1:$AE673,14,FALSE)*$Q616</f>
        <v>2.0573601094128076E-3</v>
      </c>
      <c r="AA616" s="57" cm="1">
        <f t="array" ref="AA616">VLOOKUP(B616,'Player Data'!$A1:$AE673,15,FALSE)*$Q616</f>
        <v>37.434799153709335</v>
      </c>
      <c r="AB616" s="57" cm="1">
        <f t="array" ref="AB616">VLOOKUP(B616,'Player Data'!$A1:$AE673,16,FALSE)*$Q616</f>
        <v>34.14894591370971</v>
      </c>
      <c r="AC616" s="57" cm="1">
        <f t="array" ref="AC616">VLOOKUP(B616,'Player Data'!$A1:$AE673,17,FALSE)*$Q616*IFERROR((VLOOKUP(P616,Settings!$E$28:$F$33,2,FALSE)+1),1)</f>
        <v>-3.8725144159321956</v>
      </c>
      <c r="AD616" s="57" cm="1">
        <f t="array" ref="AD616">VLOOKUP(B616,'Player Data'!$A1:$AE673,18,FALSE)*$Q616</f>
        <v>15.340598296525011</v>
      </c>
      <c r="AE616" s="57" cm="1">
        <f t="array" ref="AE616">VLOOKUP(B616,'Player Data'!$A1:$AE673,19,FALSE)*$Q616*IFERROR((VLOOKUP(P616,Settings!$E$28:$F$33,2,FALSE)+1),1)</f>
        <v>1.3719924855211287</v>
      </c>
      <c r="AF616" s="57" cm="1">
        <f t="array" ref="AF616">VLOOKUP(B616,'Player Data'!$A1:$AE673,20,FALSE)*$Q616</f>
        <v>3.8030393163888805</v>
      </c>
      <c r="AG616" s="57" cm="1">
        <f t="array" ref="AG616">VLOOKUP(B616,'Player Data'!$A1:$AE673,21,FALSE)*$Q616</f>
        <v>9.654320383564496</v>
      </c>
      <c r="AH616" s="59" cm="1">
        <f t="array" ref="AH616">VLOOKUP(B616,'Player Data'!$A1:$AE673,22,FALSE)</f>
        <v>0.282599217170517</v>
      </c>
      <c r="AI616" s="55"/>
      <c r="AJ616" s="57"/>
      <c r="AK616" s="57"/>
      <c r="AL616" s="57"/>
      <c r="AM616" s="57"/>
      <c r="AN616" s="57"/>
      <c r="AO616" s="57"/>
      <c r="AP616" s="57"/>
      <c r="AQ616" s="60"/>
      <c r="AR616" s="61"/>
      <c r="AS616" s="55"/>
    </row>
    <row r="617" spans="1:45" ht="21.25" customHeight="1" x14ac:dyDescent="0.15">
      <c r="A617" s="62">
        <f t="shared" si="9"/>
        <v>616</v>
      </c>
      <c r="B617" s="10" t="s">
        <v>745</v>
      </c>
      <c r="C617" s="47" t="s">
        <v>147</v>
      </c>
      <c r="D617" s="48" t="str" cm="1">
        <f t="array" ref="D617">VLOOKUP(B617,'Player Data'!A1:D673,4,FALSE)</f>
        <v>C</v>
      </c>
      <c r="E617" s="49" cm="1">
        <f t="array" ref="E617">VLOOKUP(B617,'C'!A1:C210,3,FALSE)</f>
        <v>191</v>
      </c>
      <c r="F617" s="65" t="str" cm="1">
        <f t="array" ref="F617">VLOOKUP(B617,'Player Data'!A1:B673,2,FALSE)</f>
        <v>STL</v>
      </c>
      <c r="G617" s="71" cm="1">
        <f t="array" ref="G617">VLOOKUP(B617,'Player Data'!A1:D673,3,FALSE)</f>
        <v>21</v>
      </c>
      <c r="H617" s="51" cm="1">
        <f t="array" ref="H617">IFERROR(VLOOKUP(B617,ADP!A1:F671,6,FALSE)/1000000,VLOOKUP(B617,ADP!A1:F671,6,FALSE))</f>
        <v>0.94083300000000003</v>
      </c>
      <c r="I617" s="52">
        <f>IF(Settings!$E$15="POINTS",((R617*Q617)*Settings!$B$12)+(S617*Settings!$B$2)+(T617*Settings!$B$3)+(U617*Settings!$B$4)+(V617*Settings!$B$5)+(X617*Settings!$B$9)+(AA617*Settings!$B$6)+(W617*Settings!$B$8)+(AB617*Settings!$B$7)+(AC617*Settings!$B$14)+(AD617*Settings!$B$15)+(AE617*Settings!$B$16)+(AF617*Settings!$B$17)+(AG617*Settings!$B$18)+(Y617*Settings!$B$10)+(Z617*Settings!$B$11),VLOOKUP(B617,'Standard Deviations'!A$1:C$672,3,FALSE))</f>
        <v>103.3148133214992</v>
      </c>
      <c r="J617" s="53" cm="1">
        <f t="array" ref="J617">IF(D617="G",I617/AJ617,I617/Q617)</f>
        <v>1.6326613988858913</v>
      </c>
      <c r="K617" s="52" cm="1">
        <f t="array" ref="K617">IF(Settings!$E$18="C/LW/RW",VLOOKUP(B617,'C'!A1:F210,6,FALSE),VLOOKUP(B617,F!A1:F407,6,FALSE))</f>
        <v>-283.22039307158377</v>
      </c>
      <c r="L617" s="54" cm="1">
        <f t="array" ref="L617">IFERROR(K617/H617,"N/A")</f>
        <v>-301.03152533083318</v>
      </c>
      <c r="M617" s="85" t="s">
        <v>832</v>
      </c>
      <c r="N617" s="85" t="str" cm="1">
        <f t="array" ref="N617">IFERROR(M617-A617,"N/A")</f>
        <v>N/A</v>
      </c>
      <c r="O617" s="55"/>
      <c r="P617" s="56" t="str" cm="1">
        <f t="array" ref="P617">_xlfn.XLOOKUP($B617,ADP!A2:A671,ADP!G2:G671)</f>
        <v xml:space="preserve"> </v>
      </c>
      <c r="Q617" s="57" cm="1">
        <f t="array" ref="Q617">IF(Settings!$E$12="YES",VLOOKUP(B617,'Player Data'!A1:E673,5,FALSE),84)</f>
        <v>63.28</v>
      </c>
      <c r="R617" s="84" cm="1">
        <f t="array" ref="R617">VLOOKUP(B617,'Player Data'!$A1:$AE673,6,FALSE)</f>
        <v>11.9244889186071</v>
      </c>
      <c r="S617" s="57" cm="1">
        <f t="array" ref="S617">VLOOKUP(B617,'Player Data'!$A1:$AE673,7,FALSE)*$Q617*IFERROR((VLOOKUP(P617,Settings!$E$28:$F$33,2,FALSE)+1),1)</f>
        <v>7.1221036317395949</v>
      </c>
      <c r="T617" s="57" cm="1">
        <f t="array" ref="T617">VLOOKUP(B617,'Player Data'!$A1:$AE673,8,FALSE)*$Q617*IFERROR((VLOOKUP(P617,Settings!$E$28:$F$33,2,FALSE)+1),1)</f>
        <v>11.963499437218914</v>
      </c>
      <c r="U617" s="57" cm="1">
        <f t="array" ref="U617">SUM(S617:T617)</f>
        <v>19.085603068958509</v>
      </c>
      <c r="V617" s="57" cm="1">
        <f t="array" ref="V617">VLOOKUP(B617,'Player Data'!$A1:$AE673,10,FALSE)*$Q617*IFERROR(((VLOOKUP(P617,Settings!$E$28:$F$33,2,FALSE)/2)+1),1)</f>
        <v>60.435826860470065</v>
      </c>
      <c r="W617" s="57" cm="1">
        <f t="array" ref="W617">VLOOKUP(B617,'Player Data'!$A1:$AE673,11,FALSE)*$Q617*IFERROR((VLOOKUP(P617,Settings!$E$28:$F$33,2,FALSE)+1),1)</f>
        <v>0.19003447356441622</v>
      </c>
      <c r="X617" s="57" cm="1">
        <f t="array" ref="X617">VLOOKUP(B617,'Player Data'!$A1:$AE673,12,FALSE)*$Q617*IFERROR((VLOOKUP(P617,Settings!$E$28:$F$33,2,FALSE)+1),1)</f>
        <v>0.41945921508156581</v>
      </c>
      <c r="Y617" s="57" cm="1">
        <f t="array" ref="Y617">VLOOKUP(B617,'Player Data'!$A1:$AE673,13,FALSE)*$Q617</f>
        <v>0.21599505106673192</v>
      </c>
      <c r="Z617" s="57" cm="1">
        <f t="array" ref="Z617">VLOOKUP(B617,'Player Data'!$A1:$AE673,14,FALSE)*$Q617</f>
        <v>1.3443666117933051</v>
      </c>
      <c r="AA617" s="57" cm="1">
        <f t="array" ref="AA617">VLOOKUP(B617,'Player Data'!$A1:$AE673,15,FALSE)*$Q617</f>
        <v>28.152529715027558</v>
      </c>
      <c r="AB617" s="57" cm="1">
        <f t="array" ref="AB617">VLOOKUP(B617,'Player Data'!$A1:$AE673,16,FALSE)*$Q617</f>
        <v>90.948839206525648</v>
      </c>
      <c r="AC617" s="57" cm="1">
        <f t="array" ref="AC617">VLOOKUP(B617,'Player Data'!$A1:$AE673,17,FALSE)*$Q617*IFERROR((VLOOKUP(P617,Settings!$E$28:$F$33,2,FALSE)+1),1)</f>
        <v>-1.5827943061308982</v>
      </c>
      <c r="AD617" s="57" cm="1">
        <f t="array" ref="AD617">VLOOKUP(B617,'Player Data'!$A1:$AE673,18,FALSE)*$Q617</f>
        <v>14.576905477272419</v>
      </c>
      <c r="AE617" s="57" cm="1">
        <f t="array" ref="AE617">VLOOKUP(B617,'Player Data'!$A1:$AE673,19,FALSE)*$Q617*IFERROR((VLOOKUP(P617,Settings!$E$28:$F$33,2,FALSE)+1),1)</f>
        <v>1.0269435604187895</v>
      </c>
      <c r="AF617" s="57" cm="1">
        <f t="array" ref="AF617">VLOOKUP(B617,'Player Data'!$A1:$AE673,20,FALSE)*$Q617</f>
        <v>6.925944550431022</v>
      </c>
      <c r="AG617" s="57" cm="1">
        <f t="array" ref="AG617">VLOOKUP(B617,'Player Data'!$A1:$AE673,21,FALSE)*$Q617</f>
        <v>17.314861376077491</v>
      </c>
      <c r="AH617" s="59" cm="1">
        <f t="array" ref="AH617">VLOOKUP(B617,'Player Data'!$A1:$AE673,22,FALSE)</f>
        <v>0.28571428571428598</v>
      </c>
      <c r="AI617" s="55"/>
      <c r="AJ617" s="57"/>
      <c r="AK617" s="57"/>
      <c r="AL617" s="57"/>
      <c r="AM617" s="57"/>
      <c r="AN617" s="57"/>
      <c r="AO617" s="57"/>
      <c r="AP617" s="57"/>
      <c r="AQ617" s="60"/>
      <c r="AR617" s="61"/>
      <c r="AS617" s="55"/>
    </row>
    <row r="618" spans="1:45" ht="21.25" customHeight="1" x14ac:dyDescent="0.15">
      <c r="A618" s="62">
        <f t="shared" si="9"/>
        <v>617</v>
      </c>
      <c r="B618" s="10" t="s">
        <v>746</v>
      </c>
      <c r="C618" s="47" t="s">
        <v>147</v>
      </c>
      <c r="D618" s="48" t="str" cm="1">
        <f t="array" ref="D618">VLOOKUP(B618,'Player Data'!A1:D673,4,FALSE)</f>
        <v>LW</v>
      </c>
      <c r="E618" s="75" cm="1">
        <f t="array" ref="E618">VLOOKUP(B618,LW!A1:C210,3,FALSE)</f>
        <v>180</v>
      </c>
      <c r="F618" s="63" t="str" cm="1">
        <f t="array" ref="F618">VLOOKUP(B618,'Player Data'!A1:B673,2,FALSE)</f>
        <v>WPG</v>
      </c>
      <c r="G618" s="11" cm="1">
        <f t="array" ref="G618">VLOOKUP(B618,'Player Data'!A1:D673,3,FALSE)</f>
        <v>28</v>
      </c>
      <c r="H618" s="51" cm="1">
        <f t="array" ref="H618">IFERROR(VLOOKUP(B618,ADP!A1:F671,6,FALSE)/1000000,VLOOKUP(B618,ADP!A1:F671,6,FALSE))</f>
        <v>1.45</v>
      </c>
      <c r="I618" s="52">
        <f>IF(Settings!$E$15="POINTS",((R618*Q618)*Settings!$B$12)+(S618*Settings!$B$2)+(T618*Settings!$B$3)+(U618*Settings!$B$4)+(V618*Settings!$B$5)+(X618*Settings!$B$9)+(AA618*Settings!$B$6)+(W618*Settings!$B$8)+(AB618*Settings!$B$7)+(AC618*Settings!$B$14)+(AD618*Settings!$B$15)+(AE618*Settings!$B$16)+(AF618*Settings!$B$17)+(AG618*Settings!$B$18)+(Y618*Settings!$B$10)+(Z618*Settings!$B$11),VLOOKUP(B618,'Standard Deviations'!A$1:C$672,3,FALSE))</f>
        <v>115.98037704017878</v>
      </c>
      <c r="J618" s="53" cm="1">
        <f t="array" ref="J618">IF(D618="G",I618/AJ618,I618/Q618)</f>
        <v>1.5963714537032969</v>
      </c>
      <c r="K618" s="52" cm="1">
        <f t="array" ref="K618">IF(Settings!$E$18="C/LW/RW",VLOOKUP(B618,LW!A1:F210,6,FALSE),VLOOKUP(B618,F!A1:F407,6,FALSE))</f>
        <v>-283.3326162735413</v>
      </c>
      <c r="L618" s="54" cm="1">
        <f t="array" ref="L618">IFERROR(K618/H618,"N/A")</f>
        <v>-195.40180432658022</v>
      </c>
      <c r="M618" s="85" t="s">
        <v>832</v>
      </c>
      <c r="N618" s="85" t="str" cm="1">
        <f t="array" ref="N618">IFERROR(M618-A618,"N/A")</f>
        <v>N/A</v>
      </c>
      <c r="O618" s="55"/>
      <c r="P618" s="56" t="str" cm="1">
        <f t="array" ref="P618">_xlfn.XLOOKUP($B618,ADP!A2:A671,ADP!G2:G671)</f>
        <v xml:space="preserve"> </v>
      </c>
      <c r="Q618" s="57" cm="1">
        <f t="array" ref="Q618">IF(Settings!$E$12="YES",VLOOKUP(B618,'Player Data'!A1:E673,5,FALSE),84)</f>
        <v>72.652500000000003</v>
      </c>
      <c r="R618" s="82" cm="1">
        <f t="array" ref="R618">VLOOKUP(B618,'Player Data'!$A1:$AE673,6,FALSE)</f>
        <v>11.502154608114299</v>
      </c>
      <c r="S618" s="57" cm="1">
        <f t="array" ref="S618">VLOOKUP(B618,'Player Data'!$A1:$AE673,7,FALSE)*$Q618*IFERROR((VLOOKUP(P618,Settings!$E$28:$F$33,2,FALSE)+1),1)</f>
        <v>8.8084500444504545</v>
      </c>
      <c r="T618" s="57" cm="1">
        <f t="array" ref="T618">VLOOKUP(B618,'Player Data'!$A1:$AE673,8,FALSE)*$Q618*IFERROR((VLOOKUP(P618,Settings!$E$28:$F$33,2,FALSE)+1),1)</f>
        <v>9.3591664865090038</v>
      </c>
      <c r="U618" s="57" cm="1">
        <f t="array" ref="U618">SUM(S618:T618)</f>
        <v>18.167616530959457</v>
      </c>
      <c r="V618" s="57" cm="1">
        <f t="array" ref="V618">VLOOKUP(B618,'Player Data'!$A1:$AE673,10,FALSE)*$Q618*IFERROR(((VLOOKUP(P618,Settings!$E$28:$F$33,2,FALSE)/2)+1),1)</f>
        <v>95.142560903170065</v>
      </c>
      <c r="W618" s="57" cm="1">
        <f t="array" ref="W618">VLOOKUP(B618,'Player Data'!$A1:$AE673,11,FALSE)*$Q618*IFERROR((VLOOKUP(P618,Settings!$E$28:$F$33,2,FALSE)+1),1)</f>
        <v>9.3306903997732692E-3</v>
      </c>
      <c r="X618" s="57" cm="1">
        <f t="array" ref="X618">VLOOKUP(B618,'Player Data'!$A1:$AE673,12,FALSE)*$Q618*IFERROR((VLOOKUP(P618,Settings!$E$28:$F$33,2,FALSE)+1),1)</f>
        <v>2.0334692759087291E-2</v>
      </c>
      <c r="Y618" s="57" cm="1">
        <f t="array" ref="Y618">VLOOKUP(B618,'Player Data'!$A1:$AE673,13,FALSE)*$Q618</f>
        <v>0.6628857307398649</v>
      </c>
      <c r="Z618" s="57" cm="1">
        <f t="array" ref="Z618">VLOOKUP(B618,'Player Data'!$A1:$AE673,14,FALSE)*$Q618</f>
        <v>0.74744628182443129</v>
      </c>
      <c r="AA618" s="57" cm="1">
        <f t="array" ref="AA618">VLOOKUP(B618,'Player Data'!$A1:$AE673,15,FALSE)*$Q618</f>
        <v>26.276932042263681</v>
      </c>
      <c r="AB618" s="57" cm="1">
        <f t="array" ref="AB618">VLOOKUP(B618,'Player Data'!$A1:$AE673,16,FALSE)*$Q618</f>
        <v>193.27899510136172</v>
      </c>
      <c r="AC618" s="57" cm="1">
        <f t="array" ref="AC618">VLOOKUP(B618,'Player Data'!$A1:$AE673,17,FALSE)*$Q618*IFERROR((VLOOKUP(P618,Settings!$E$28:$F$33,2,FALSE)+1),1)</f>
        <v>0.52059318315891023</v>
      </c>
      <c r="AD618" s="57" cm="1">
        <f t="array" ref="AD618">VLOOKUP(B618,'Player Data'!$A1:$AE673,18,FALSE)*$Q618</f>
        <v>14.844813108035725</v>
      </c>
      <c r="AE618" s="57" cm="1">
        <f t="array" ref="AE618">VLOOKUP(B618,'Player Data'!$A1:$AE673,19,FALSE)*$Q618*IFERROR((VLOOKUP(P618,Settings!$E$28:$F$33,2,FALSE)+1),1)</f>
        <v>1.5306422023805863</v>
      </c>
      <c r="AF618" s="57" cm="1">
        <f t="array" ref="AF618">VLOOKUP(B618,'Player Data'!$A1:$AE673,20,FALSE)*$Q618</f>
        <v>0</v>
      </c>
      <c r="AG618" s="57" cm="1">
        <f t="array" ref="AG618">VLOOKUP(B618,'Player Data'!$A1:$AE673,21,FALSE)*$Q618</f>
        <v>2.3120586864212984</v>
      </c>
      <c r="AH618" s="59" cm="1">
        <f t="array" ref="AH618">VLOOKUP(B618,'Player Data'!$A1:$AE673,22,FALSE)</f>
        <v>0</v>
      </c>
      <c r="AI618" s="55"/>
      <c r="AJ618" s="57"/>
      <c r="AK618" s="57"/>
      <c r="AL618" s="57"/>
      <c r="AM618" s="57"/>
      <c r="AN618" s="57"/>
      <c r="AO618" s="57"/>
      <c r="AP618" s="57"/>
      <c r="AQ618" s="60"/>
      <c r="AR618" s="61"/>
      <c r="AS618" s="55"/>
    </row>
    <row r="619" spans="1:45" ht="21.25" customHeight="1" x14ac:dyDescent="0.15">
      <c r="A619" s="62">
        <f t="shared" si="9"/>
        <v>618</v>
      </c>
      <c r="B619" s="10" t="s">
        <v>747</v>
      </c>
      <c r="C619" s="47" t="s">
        <v>147</v>
      </c>
      <c r="D619" s="48" t="str" cm="1">
        <f t="array" ref="D619">VLOOKUP(B619,'Player Data'!A1:D673,4,FALSE)</f>
        <v>C,LW</v>
      </c>
      <c r="E619" s="74" cm="1">
        <f t="array" ref="E619">VLOOKUP(B619,LW!A1:C210,3,FALSE)</f>
        <v>181</v>
      </c>
      <c r="F619" s="70" t="str" cm="1">
        <f t="array" ref="F619">VLOOKUP(B619,'Player Data'!A1:B673,2,FALSE)</f>
        <v>L.A</v>
      </c>
      <c r="G619" s="11" cm="1">
        <f t="array" ref="G619">VLOOKUP(B619,'Player Data'!A1:D673,3,FALSE)</f>
        <v>25</v>
      </c>
      <c r="H619" s="67" cm="1">
        <f t="array" ref="H619">IFERROR(VLOOKUP(B619,ADP!A1:F671,6,FALSE)/1000000,VLOOKUP(B619,ADP!A1:F671,6,FALSE))</f>
        <v>0.8</v>
      </c>
      <c r="I619" s="52">
        <f>IF(Settings!$E$15="POINTS",((R619*Q619)*Settings!$B$12)+(S619*Settings!$B$2)+(T619*Settings!$B$3)+(U619*Settings!$B$4)+(V619*Settings!$B$5)+(X619*Settings!$B$9)+(AA619*Settings!$B$6)+(W619*Settings!$B$8)+(AB619*Settings!$B$7)+(AC619*Settings!$B$14)+(AD619*Settings!$B$15)+(AE619*Settings!$B$16)+(AF619*Settings!$B$17)+(AG619*Settings!$B$18)+(Y619*Settings!$B$10)+(Z619*Settings!$B$11),VLOOKUP(B619,'Standard Deviations'!A$1:C$672,3,FALSE))</f>
        <v>115.76814560486808</v>
      </c>
      <c r="J619" s="53" cm="1">
        <f t="array" ref="J619">IF(D619="G",I619/AJ619,I619/Q619)</f>
        <v>1.6000020123677434</v>
      </c>
      <c r="K619" s="52" cm="1">
        <f t="array" ref="K619">IF(Settings!$E$18="C/LW/RW",VLOOKUP(B619,LW!A1:F210,6,FALSE),VLOOKUP(B619,F!A1:F407,6,FALSE))</f>
        <v>-283.54484770885199</v>
      </c>
      <c r="L619" s="54" cm="1">
        <f t="array" ref="L619">IFERROR(K619/H619,"N/A")</f>
        <v>-354.43105963606496</v>
      </c>
      <c r="M619" s="85" t="s">
        <v>832</v>
      </c>
      <c r="N619" s="85" t="str" cm="1">
        <f t="array" ref="N619">IFERROR(M619-A619,"N/A")</f>
        <v>N/A</v>
      </c>
      <c r="O619" s="55"/>
      <c r="P619" s="56" t="str" cm="1">
        <f t="array" ref="P619">_xlfn.XLOOKUP($B619,ADP!A2:A671,ADP!G2:G671)</f>
        <v xml:space="preserve"> </v>
      </c>
      <c r="Q619" s="57" cm="1">
        <f t="array" ref="Q619">IF(Settings!$E$12="YES",VLOOKUP(B619,'Player Data'!A1:E673,5,FALSE),84)</f>
        <v>72.355000000000004</v>
      </c>
      <c r="R619" s="55" cm="1">
        <f t="array" ref="R619">VLOOKUP(B619,'Player Data'!$A1:$AE673,6,FALSE)</f>
        <v>10.7610905293458</v>
      </c>
      <c r="S619" s="57" cm="1">
        <f t="array" ref="S619">VLOOKUP(B619,'Player Data'!$A1:$AE673,7,FALSE)*$Q619*IFERROR((VLOOKUP(P619,Settings!$E$28:$F$33,2,FALSE)+1),1)</f>
        <v>6.219396877649543</v>
      </c>
      <c r="T619" s="57" cm="1">
        <f t="array" ref="T619">VLOOKUP(B619,'Player Data'!$A1:$AE673,8,FALSE)*$Q619*IFERROR((VLOOKUP(P619,Settings!$E$28:$F$33,2,FALSE)+1),1)</f>
        <v>13.632407067482314</v>
      </c>
      <c r="U619" s="57" cm="1">
        <f t="array" ref="U619">SUM(S619:T619)</f>
        <v>19.851803945131856</v>
      </c>
      <c r="V619" s="57" cm="1">
        <f t="array" ref="V619">VLOOKUP(B619,'Player Data'!$A1:$AE673,10,FALSE)*$Q619*IFERROR(((VLOOKUP(P619,Settings!$E$28:$F$33,2,FALSE)/2)+1),1)</f>
        <v>75.697575177014045</v>
      </c>
      <c r="W619" s="57" cm="1">
        <f t="array" ref="W619">VLOOKUP(B619,'Player Data'!$A1:$AE673,11,FALSE)*$Q619*IFERROR((VLOOKUP(P619,Settings!$E$28:$F$33,2,FALSE)+1),1)</f>
        <v>0.21021345758602067</v>
      </c>
      <c r="X619" s="57" cm="1">
        <f t="array" ref="X619">VLOOKUP(B619,'Player Data'!$A1:$AE673,12,FALSE)*$Q619*IFERROR((VLOOKUP(P619,Settings!$E$28:$F$33,2,FALSE)+1),1)</f>
        <v>0.36370000006463743</v>
      </c>
      <c r="Y619" s="57" cm="1">
        <f t="array" ref="Y619">VLOOKUP(B619,'Player Data'!$A1:$AE673,13,FALSE)*$Q619</f>
        <v>5.0483054606992065E-3</v>
      </c>
      <c r="Z619" s="57" cm="1">
        <f t="array" ref="Z619">VLOOKUP(B619,'Player Data'!$A1:$AE673,14,FALSE)*$Q619</f>
        <v>8.2644034639845002E-3</v>
      </c>
      <c r="AA619" s="57" cm="1">
        <f t="array" ref="AA619">VLOOKUP(B619,'Player Data'!$A1:$AE673,15,FALSE)*$Q619</f>
        <v>35.983963554873725</v>
      </c>
      <c r="AB619" s="57" cm="1">
        <f t="array" ref="AB619">VLOOKUP(B619,'Player Data'!$A1:$AE673,16,FALSE)*$Q619</f>
        <v>65.153689434746425</v>
      </c>
      <c r="AC619" s="57" cm="1">
        <f t="array" ref="AC619">VLOOKUP(B619,'Player Data'!$A1:$AE673,17,FALSE)*$Q619*IFERROR((VLOOKUP(P619,Settings!$E$28:$F$33,2,FALSE)+1),1)</f>
        <v>9.4301780539562154E-3</v>
      </c>
      <c r="AD619" s="57" cm="1">
        <f t="array" ref="AD619">VLOOKUP(B619,'Player Data'!$A1:$AE673,18,FALSE)*$Q619</f>
        <v>21.318280801387658</v>
      </c>
      <c r="AE619" s="57" cm="1">
        <f t="array" ref="AE619">VLOOKUP(B619,'Player Data'!$A1:$AE673,19,FALSE)*$Q619*IFERROR((VLOOKUP(P619,Settings!$E$28:$F$33,2,FALSE)+1),1)</f>
        <v>0.98244181698788302</v>
      </c>
      <c r="AF619" s="57" cm="1">
        <f t="array" ref="AF619">VLOOKUP(B619,'Player Data'!$A1:$AE673,20,FALSE)*$Q619</f>
        <v>224.45848915144455</v>
      </c>
      <c r="AG619" s="57" cm="1">
        <f t="array" ref="AG619">VLOOKUP(B619,'Player Data'!$A1:$AE673,21,FALSE)*$Q619</f>
        <v>228.57457977793908</v>
      </c>
      <c r="AH619" s="59" cm="1">
        <f t="array" ref="AH619">VLOOKUP(B619,'Player Data'!$A1:$AE673,22,FALSE)</f>
        <v>0.49545718523790999</v>
      </c>
      <c r="AI619" s="55"/>
      <c r="AJ619" s="57"/>
      <c r="AK619" s="57"/>
      <c r="AL619" s="57"/>
      <c r="AM619" s="57"/>
      <c r="AN619" s="57"/>
      <c r="AO619" s="57"/>
      <c r="AP619" s="57"/>
      <c r="AQ619" s="60"/>
      <c r="AR619" s="61"/>
      <c r="AS619" s="55"/>
    </row>
    <row r="620" spans="1:45" ht="21.25" customHeight="1" x14ac:dyDescent="0.15">
      <c r="A620" s="62">
        <f t="shared" si="9"/>
        <v>619</v>
      </c>
      <c r="B620" s="10" t="s">
        <v>748</v>
      </c>
      <c r="C620" s="47" t="s">
        <v>147</v>
      </c>
      <c r="D620" s="48" t="str" cm="1">
        <f t="array" ref="D620">VLOOKUP(B620,'Player Data'!A1:D673,4,FALSE)</f>
        <v>RW</v>
      </c>
      <c r="E620" s="64" cm="1">
        <f t="array" ref="E620">VLOOKUP(B620,RW!A1:F210,3,FALSE)</f>
        <v>188</v>
      </c>
      <c r="F620" s="69" t="str" cm="1">
        <f t="array" ref="F620">VLOOKUP(B620,'Player Data'!A1:B673,2,FALSE)</f>
        <v>N.J</v>
      </c>
      <c r="G620" s="66" cm="1">
        <f t="array" ref="G620">VLOOKUP(B620,'Player Data'!A1:D673,3,FALSE)</f>
        <v>33</v>
      </c>
      <c r="H620" s="67" cm="1">
        <f t="array" ref="H620">IFERROR(VLOOKUP(B620,ADP!A1:F671,6,FALSE)/1000000,VLOOKUP(B620,ADP!A1:F671,6,FALSE))</f>
        <v>2.75</v>
      </c>
      <c r="I620" s="52">
        <f>IF(Settings!$E$15="POINTS",((R620*Q620)*Settings!$B$12)+(S620*Settings!$B$2)+(T620*Settings!$B$3)+(U620*Settings!$B$4)+(V620*Settings!$B$5)+(X620*Settings!$B$9)+(AA620*Settings!$B$6)+(W620*Settings!$B$8)+(AB620*Settings!$B$7)+(AC620*Settings!$B$14)+(AD620*Settings!$B$15)+(AE620*Settings!$B$16)+(AF620*Settings!$B$17)+(AG620*Settings!$B$18)+(Y620*Settings!$B$10)+(Z620*Settings!$B$11),VLOOKUP(B620,'Standard Deviations'!A$1:C$672,3,FALSE))</f>
        <v>111.18442735976301</v>
      </c>
      <c r="J620" s="53" cm="1">
        <f t="array" ref="J620">IF(D620="G",I620/AJ620,I620/Q620)</f>
        <v>1.4712773238026071</v>
      </c>
      <c r="K620" s="52" cm="1">
        <f t="array" ref="K620">IF(Settings!$E$18="C/LW/RW",VLOOKUP(B620,RW!A1:F210,6,FALSE),VLOOKUP(B620,F!A1:F407,6,FALSE))</f>
        <v>-283.75903733379448</v>
      </c>
      <c r="L620" s="54" cm="1">
        <f t="array" ref="L620">IFERROR(K620/H620,"N/A")</f>
        <v>-103.18510448501617</v>
      </c>
      <c r="M620" s="85" t="s">
        <v>832</v>
      </c>
      <c r="N620" s="85" t="str" cm="1">
        <f t="array" ref="N620">IFERROR(M620-A620,"N/A")</f>
        <v>N/A</v>
      </c>
      <c r="O620" s="55"/>
      <c r="P620" s="56" t="str" cm="1">
        <f t="array" ref="P620">_xlfn.XLOOKUP($B620,ADP!A2:A671,ADP!G2:G671)</f>
        <v xml:space="preserve"> </v>
      </c>
      <c r="Q620" s="57" cm="1">
        <f t="array" ref="Q620">IF(Settings!$E$12="YES",VLOOKUP(B620,'Player Data'!A1:E673,5,FALSE),84)</f>
        <v>75.569999999999993</v>
      </c>
      <c r="R620" s="84" cm="1">
        <f t="array" ref="R620">VLOOKUP(B620,'Player Data'!$A1:$AE673,6,FALSE)</f>
        <v>10.5933889466002</v>
      </c>
      <c r="S620" s="57" cm="1">
        <f t="array" ref="S620">VLOOKUP(B620,'Player Data'!$A1:$AE673,7,FALSE)*$Q620*IFERROR((VLOOKUP(P620,Settings!$E$28:$F$33,2,FALSE)+1),1)</f>
        <v>8.2223260660980113</v>
      </c>
      <c r="T620" s="57" cm="1">
        <f t="array" ref="T620">VLOOKUP(B620,'Player Data'!$A1:$AE673,8,FALSE)*$Q620*IFERROR((VLOOKUP(P620,Settings!$E$28:$F$33,2,FALSE)+1),1)</f>
        <v>9.7237364107234665</v>
      </c>
      <c r="U620" s="57" cm="1">
        <f t="array" ref="U620">SUM(S620:T620)</f>
        <v>17.946062476821478</v>
      </c>
      <c r="V620" s="57" cm="1">
        <f t="array" ref="V620">VLOOKUP(B620,'Player Data'!$A1:$AE673,10,FALSE)*$Q620*IFERROR(((VLOOKUP(P620,Settings!$E$28:$F$33,2,FALSE)/2)+1),1)</f>
        <v>86.072340654345751</v>
      </c>
      <c r="W620" s="57" cm="1">
        <f t="array" ref="W620">VLOOKUP(B620,'Player Data'!$A1:$AE673,11,FALSE)*$Q620*IFERROR((VLOOKUP(P620,Settings!$E$28:$F$33,2,FALSE)+1),1)</f>
        <v>1.0583745141135588</v>
      </c>
      <c r="X620" s="57" cm="1">
        <f t="array" ref="X620">VLOOKUP(B620,'Player Data'!$A1:$AE673,12,FALSE)*$Q620*IFERROR((VLOOKUP(P620,Settings!$E$28:$F$33,2,FALSE)+1),1)</f>
        <v>2.0463993637984745</v>
      </c>
      <c r="Y620" s="57" cm="1">
        <f t="array" ref="Y620">VLOOKUP(B620,'Player Data'!$A1:$AE673,13,FALSE)*$Q620</f>
        <v>1.7628435673813093E-2</v>
      </c>
      <c r="Z620" s="57" cm="1">
        <f t="array" ref="Z620">VLOOKUP(B620,'Player Data'!$A1:$AE673,14,FALSE)*$Q620</f>
        <v>2.8456607705326188E-2</v>
      </c>
      <c r="AA620" s="57" cm="1">
        <f t="array" ref="AA620">VLOOKUP(B620,'Player Data'!$A1:$AE673,15,FALSE)*$Q620</f>
        <v>24.470427261243799</v>
      </c>
      <c r="AB620" s="57" cm="1">
        <f t="array" ref="AB620">VLOOKUP(B620,'Player Data'!$A1:$AE673,16,FALSE)*$Q620</f>
        <v>92.185245070056013</v>
      </c>
      <c r="AC620" s="57" cm="1">
        <f t="array" ref="AC620">VLOOKUP(B620,'Player Data'!$A1:$AE673,17,FALSE)*$Q620*IFERROR((VLOOKUP(P620,Settings!$E$28:$F$33,2,FALSE)+1),1)</f>
        <v>-0.11574806867825173</v>
      </c>
      <c r="AD620" s="57" cm="1">
        <f t="array" ref="AD620">VLOOKUP(B620,'Player Data'!$A1:$AE673,18,FALSE)*$Q620</f>
        <v>31.064602367587437</v>
      </c>
      <c r="AE620" s="57" cm="1">
        <f t="array" ref="AE620">VLOOKUP(B620,'Player Data'!$A1:$AE673,19,FALSE)*$Q620*IFERROR((VLOOKUP(P620,Settings!$E$28:$F$33,2,FALSE)+1),1)</f>
        <v>1.2289566829803995</v>
      </c>
      <c r="AF620" s="57" cm="1">
        <f t="array" ref="AF620">VLOOKUP(B620,'Player Data'!$A1:$AE673,20,FALSE)*$Q620</f>
        <v>30.653780591575959</v>
      </c>
      <c r="AG620" s="57" cm="1">
        <f t="array" ref="AG620">VLOOKUP(B620,'Player Data'!$A1:$AE673,21,FALSE)*$Q620</f>
        <v>34.177950658733941</v>
      </c>
      <c r="AH620" s="59" cm="1">
        <f t="array" ref="AH620">VLOOKUP(B620,'Player Data'!$A1:$AE673,22,FALSE)</f>
        <v>0.47282063891251502</v>
      </c>
      <c r="AI620" s="55"/>
      <c r="AJ620" s="57"/>
      <c r="AK620" s="57"/>
      <c r="AL620" s="57"/>
      <c r="AM620" s="57"/>
      <c r="AN620" s="57"/>
      <c r="AO620" s="57"/>
      <c r="AP620" s="57"/>
      <c r="AQ620" s="60"/>
      <c r="AR620" s="61"/>
      <c r="AS620" s="55"/>
    </row>
    <row r="621" spans="1:45" ht="21.25" customHeight="1" x14ac:dyDescent="0.15">
      <c r="A621" s="62">
        <f t="shared" si="9"/>
        <v>620</v>
      </c>
      <c r="B621" s="10" t="s">
        <v>749</v>
      </c>
      <c r="C621" s="47" t="s">
        <v>147</v>
      </c>
      <c r="D621" s="48" t="str" cm="1">
        <f t="array" ref="D621">VLOOKUP(B621,'Player Data'!A1:D673,4,FALSE)</f>
        <v>RW</v>
      </c>
      <c r="E621" s="64" cm="1">
        <f t="array" ref="E621">VLOOKUP(B621,RW!A1:F210,3,FALSE)</f>
        <v>189</v>
      </c>
      <c r="F621" s="18" t="str" cm="1">
        <f t="array" ref="F621">VLOOKUP(B621,'Player Data'!A1:B673,2,FALSE)</f>
        <v>VAN</v>
      </c>
      <c r="G621" s="71" cm="1">
        <f t="array" ref="G621">VLOOKUP(B621,'Player Data'!A1:D673,3,FALSE)</f>
        <v>22</v>
      </c>
      <c r="H621" s="51" cm="1">
        <f t="array" ref="H621">IFERROR(VLOOKUP(B621,ADP!A1:F671,6,FALSE)/1000000,VLOOKUP(B621,ADP!A1:F671,6,FALSE))</f>
        <v>0.91833299999999995</v>
      </c>
      <c r="I621" s="52">
        <f>IF(Settings!$E$15="POINTS",((R621*Q621)*Settings!$B$12)+(S621*Settings!$B$2)+(T621*Settings!$B$3)+(U621*Settings!$B$4)+(V621*Settings!$B$5)+(X621*Settings!$B$9)+(AA621*Settings!$B$6)+(W621*Settings!$B$8)+(AB621*Settings!$B$7)+(AC621*Settings!$B$14)+(AD621*Settings!$B$15)+(AE621*Settings!$B$16)+(AF621*Settings!$B$17)+(AG621*Settings!$B$18)+(Y621*Settings!$B$10)+(Z621*Settings!$B$11),VLOOKUP(B621,'Standard Deviations'!A$1:C$672,3,FALSE))</f>
        <v>110.99075743511548</v>
      </c>
      <c r="J621" s="53" cm="1">
        <f t="array" ref="J621">IF(D621="G",I621/AJ621,I621/Q621)</f>
        <v>1.8714455580679592</v>
      </c>
      <c r="K621" s="52" cm="1">
        <f t="array" ref="K621">IF(Settings!$E$18="C/LW/RW",VLOOKUP(B621,RW!A1:F210,6,FALSE),VLOOKUP(B621,F!A1:F407,6,FALSE))</f>
        <v>-283.95270725844199</v>
      </c>
      <c r="L621" s="54" cm="1">
        <f t="array" ref="L621">IFERROR(K621/H621,"N/A")</f>
        <v>-309.20451215239137</v>
      </c>
      <c r="M621" s="85" t="s">
        <v>832</v>
      </c>
      <c r="N621" s="85" t="str" cm="1">
        <f t="array" ref="N621">IFERROR(M621-A621,"N/A")</f>
        <v>N/A</v>
      </c>
      <c r="O621" s="55"/>
      <c r="P621" s="56" t="str" cm="1">
        <f t="array" ref="P621">_xlfn.XLOOKUP($B621,ADP!A2:A671,ADP!G2:G671)</f>
        <v xml:space="preserve"> </v>
      </c>
      <c r="Q621" s="57" cm="1">
        <f t="array" ref="Q621">IF(Settings!$E$12="YES",VLOOKUP(B621,'Player Data'!A1:E673,5,FALSE),84)</f>
        <v>59.307499999999997</v>
      </c>
      <c r="R621" s="82" cm="1">
        <f t="array" ref="R621">VLOOKUP(B621,'Player Data'!$A1:$AE673,6,FALSE)</f>
        <v>12.8317751476638</v>
      </c>
      <c r="S621" s="57" cm="1">
        <f t="array" ref="S621">VLOOKUP(B621,'Player Data'!$A1:$AE673,7,FALSE)*$Q621*IFERROR((VLOOKUP(P621,Settings!$E$28:$F$33,2,FALSE)+1),1)</f>
        <v>9.2854691284740003</v>
      </c>
      <c r="T621" s="57" cm="1">
        <f t="array" ref="T621">VLOOKUP(B621,'Player Data'!$A1:$AE673,8,FALSE)*$Q621*IFERROR((VLOOKUP(P621,Settings!$E$28:$F$33,2,FALSE)+1),1)</f>
        <v>10.333894419513232</v>
      </c>
      <c r="U621" s="57" cm="1">
        <f t="array" ref="U621">SUM(S621:T621)</f>
        <v>19.619363547987234</v>
      </c>
      <c r="V621" s="57" cm="1">
        <f t="array" ref="V621">VLOOKUP(B621,'Player Data'!$A1:$AE673,10,FALSE)*$Q621*IFERROR(((VLOOKUP(P621,Settings!$E$28:$F$33,2,FALSE)/2)+1),1)</f>
        <v>69.965860747094112</v>
      </c>
      <c r="W621" s="57" cm="1">
        <f t="array" ref="W621">VLOOKUP(B621,'Player Data'!$A1:$AE673,11,FALSE)*$Q621*IFERROR((VLOOKUP(P621,Settings!$E$28:$F$33,2,FALSE)+1),1)</f>
        <v>1.5503664472412846</v>
      </c>
      <c r="X621" s="57" cm="1">
        <f t="array" ref="X621">VLOOKUP(B621,'Player Data'!$A1:$AE673,12,FALSE)*$Q621*IFERROR((VLOOKUP(P621,Settings!$E$28:$F$33,2,FALSE)+1),1)</f>
        <v>5.2295847830506998</v>
      </c>
      <c r="Y621" s="57" cm="1">
        <f t="array" ref="Y621">VLOOKUP(B621,'Player Data'!$A1:$AE673,13,FALSE)*$Q621</f>
        <v>0</v>
      </c>
      <c r="Z621" s="57" cm="1">
        <f t="array" ref="Z621">VLOOKUP(B621,'Player Data'!$A1:$AE673,14,FALSE)*$Q621</f>
        <v>0</v>
      </c>
      <c r="AA621" s="57" cm="1">
        <f t="array" ref="AA621">VLOOKUP(B621,'Player Data'!$A1:$AE673,15,FALSE)*$Q621</f>
        <v>23.840303269112077</v>
      </c>
      <c r="AB621" s="57" cm="1">
        <f t="array" ref="AB621">VLOOKUP(B621,'Player Data'!$A1:$AE673,16,FALSE)*$Q621</f>
        <v>70.517542493770989</v>
      </c>
      <c r="AC621" s="57" cm="1">
        <f t="array" ref="AC621">VLOOKUP(B621,'Player Data'!$A1:$AE673,17,FALSE)*$Q621*IFERROR((VLOOKUP(P621,Settings!$E$28:$F$33,2,FALSE)+1),1)</f>
        <v>-7.1814776501443554</v>
      </c>
      <c r="AD621" s="57" cm="1">
        <f t="array" ref="AD621">VLOOKUP(B621,'Player Data'!$A1:$AE673,18,FALSE)*$Q621</f>
        <v>13.545033585049769</v>
      </c>
      <c r="AE621" s="57" cm="1">
        <f t="array" ref="AE621">VLOOKUP(B621,'Player Data'!$A1:$AE673,19,FALSE)*$Q621*IFERROR((VLOOKUP(P621,Settings!$E$28:$F$33,2,FALSE)+1),1)</f>
        <v>1.1506323419000273</v>
      </c>
      <c r="AF621" s="57" cm="1">
        <f t="array" ref="AF621">VLOOKUP(B621,'Player Data'!$A1:$AE673,20,FALSE)*$Q621</f>
        <v>0</v>
      </c>
      <c r="AG621" s="57" cm="1">
        <f t="array" ref="AG621">VLOOKUP(B621,'Player Data'!$A1:$AE673,21,FALSE)*$Q621</f>
        <v>0.73359615263933386</v>
      </c>
      <c r="AH621" s="59" cm="1">
        <f t="array" ref="AH621">VLOOKUP(B621,'Player Data'!$A1:$AE673,22,FALSE)</f>
        <v>0</v>
      </c>
      <c r="AI621" s="55"/>
      <c r="AJ621" s="57"/>
      <c r="AK621" s="57"/>
      <c r="AL621" s="57"/>
      <c r="AM621" s="57"/>
      <c r="AN621" s="57"/>
      <c r="AO621" s="57"/>
      <c r="AP621" s="57"/>
      <c r="AQ621" s="60"/>
      <c r="AR621" s="61"/>
      <c r="AS621" s="55"/>
    </row>
    <row r="622" spans="1:45" ht="21.25" customHeight="1" x14ac:dyDescent="0.15">
      <c r="A622" s="62">
        <f t="shared" si="9"/>
        <v>621</v>
      </c>
      <c r="B622" s="10" t="s">
        <v>750</v>
      </c>
      <c r="C622" s="47" t="s">
        <v>147</v>
      </c>
      <c r="D622" s="48" t="str" cm="1">
        <f t="array" ref="D622">VLOOKUP(B622,'Player Data'!A1:D673,4,FALSE)</f>
        <v>C</v>
      </c>
      <c r="E622" s="49" cm="1">
        <f t="array" ref="E622">VLOOKUP(B622,'C'!A1:C210,3,FALSE)</f>
        <v>192</v>
      </c>
      <c r="F622" s="18" t="str" cm="1">
        <f t="array" ref="F622">VLOOKUP(B622,'Player Data'!A1:B673,2,FALSE)</f>
        <v>VAN</v>
      </c>
      <c r="G622" s="71" cm="1">
        <f t="array" ref="G622">VLOOKUP(B622,'Player Data'!A1:D673,3,FALSE)</f>
        <v>23</v>
      </c>
      <c r="H622" s="67" cm="1">
        <f t="array" ref="H622">IFERROR(VLOOKUP(B622,ADP!A1:F671,6,FALSE)/1000000,VLOOKUP(B622,ADP!A1:F671,6,FALSE))</f>
        <v>0.8125</v>
      </c>
      <c r="I622" s="52">
        <f>IF(Settings!$E$15="POINTS",((R622*Q622)*Settings!$B$12)+(S622*Settings!$B$2)+(T622*Settings!$B$3)+(U622*Settings!$B$4)+(V622*Settings!$B$5)+(X622*Settings!$B$9)+(AA622*Settings!$B$6)+(W622*Settings!$B$8)+(AB622*Settings!$B$7)+(AC622*Settings!$B$14)+(AD622*Settings!$B$15)+(AE622*Settings!$B$16)+(AF622*Settings!$B$17)+(AG622*Settings!$B$18)+(Y622*Settings!$B$10)+(Z622*Settings!$B$11),VLOOKUP(B622,'Standard Deviations'!A$1:C$672,3,FALSE))</f>
        <v>102.36463119294751</v>
      </c>
      <c r="J622" s="53" cm="1">
        <f t="array" ref="J622">IF(D622="G",I622/AJ622,I622/Q622)</f>
        <v>1.4366461695091051</v>
      </c>
      <c r="K622" s="52" cm="1">
        <f t="array" ref="K622">IF(Settings!$E$18="C/LW/RW",VLOOKUP(B622,'C'!A1:F210,6,FALSE),VLOOKUP(B622,F!A1:F407,6,FALSE))</f>
        <v>-284.17057520013549</v>
      </c>
      <c r="L622" s="54" cm="1">
        <f t="array" ref="L622">IFERROR(K622/H622,"N/A")</f>
        <v>-349.74840024632061</v>
      </c>
      <c r="M622" s="85" t="s">
        <v>832</v>
      </c>
      <c r="N622" s="85" t="str" cm="1">
        <f t="array" ref="N622">IFERROR(M622-A622,"N/A")</f>
        <v>N/A</v>
      </c>
      <c r="O622" s="55"/>
      <c r="P622" s="56" t="str" cm="1">
        <f t="array" ref="P622">_xlfn.XLOOKUP($B622,ADP!A2:A671,ADP!G2:G671)</f>
        <v xml:space="preserve"> </v>
      </c>
      <c r="Q622" s="57" cm="1">
        <f t="array" ref="Q622">IF(Settings!$E$12="YES",VLOOKUP(B622,'Player Data'!A1:E673,5,FALSE),84)</f>
        <v>71.252499999999998</v>
      </c>
      <c r="R622" s="55" cm="1">
        <f t="array" ref="R622">VLOOKUP(B622,'Player Data'!$A1:$AE673,6,FALSE)</f>
        <v>12.3662514066845</v>
      </c>
      <c r="S622" s="57" cm="1">
        <f t="array" ref="S622">VLOOKUP(B622,'Player Data'!$A1:$AE673,7,FALSE)*$Q622*IFERROR((VLOOKUP(P622,Settings!$E$28:$F$33,2,FALSE)+1),1)</f>
        <v>7.832008252403611</v>
      </c>
      <c r="T622" s="57" cm="1">
        <f t="array" ref="T622">VLOOKUP(B622,'Player Data'!$A1:$AE673,8,FALSE)*$Q622*IFERROR((VLOOKUP(P622,Settings!$E$28:$F$33,2,FALSE)+1),1)</f>
        <v>10.379848607705517</v>
      </c>
      <c r="U622" s="57" cm="1">
        <f t="array" ref="U622">SUM(S622:T622)</f>
        <v>18.21185686010913</v>
      </c>
      <c r="V622" s="57" cm="1">
        <f t="array" ref="V622">VLOOKUP(B622,'Player Data'!$A1:$AE673,10,FALSE)*$Q622*IFERROR(((VLOOKUP(P622,Settings!$E$28:$F$33,2,FALSE)/2)+1),1)</f>
        <v>71.515390025099066</v>
      </c>
      <c r="W622" s="57" cm="1">
        <f t="array" ref="W622">VLOOKUP(B622,'Player Data'!$A1:$AE673,11,FALSE)*$Q622*IFERROR((VLOOKUP(P622,Settings!$E$28:$F$33,2,FALSE)+1),1)</f>
        <v>3.6217902414291618E-2</v>
      </c>
      <c r="X622" s="57" cm="1">
        <f t="array" ref="X622">VLOOKUP(B622,'Player Data'!$A1:$AE673,12,FALSE)*$Q622*IFERROR((VLOOKUP(P622,Settings!$E$28:$F$33,2,FALSE)+1),1)</f>
        <v>0.10769448071646386</v>
      </c>
      <c r="Y622" s="57" cm="1">
        <f t="array" ref="Y622">VLOOKUP(B622,'Player Data'!$A1:$AE673,13,FALSE)*$Q622</f>
        <v>0.28946718567130086</v>
      </c>
      <c r="Z622" s="57" cm="1">
        <f t="array" ref="Z622">VLOOKUP(B622,'Player Data'!$A1:$AE673,14,FALSE)*$Q622</f>
        <v>0.53636917346027713</v>
      </c>
      <c r="AA622" s="57" cm="1">
        <f t="array" ref="AA622">VLOOKUP(B622,'Player Data'!$A1:$AE673,15,FALSE)*$Q622</f>
        <v>22.65460389178774</v>
      </c>
      <c r="AB622" s="57" cm="1">
        <f t="array" ref="AB622">VLOOKUP(B622,'Player Data'!$A1:$AE673,16,FALSE)*$Q622</f>
        <v>158.88576972568933</v>
      </c>
      <c r="AC622" s="57" cm="1">
        <f t="array" ref="AC622">VLOOKUP(B622,'Player Data'!$A1:$AE673,17,FALSE)*$Q622*IFERROR((VLOOKUP(P622,Settings!$E$28:$F$33,2,FALSE)+1),1)</f>
        <v>-8.4749106132341474</v>
      </c>
      <c r="AD622" s="57" cm="1">
        <f t="array" ref="AD622">VLOOKUP(B622,'Player Data'!$A1:$AE673,18,FALSE)*$Q622</f>
        <v>24.37825103175847</v>
      </c>
      <c r="AE622" s="57" cm="1">
        <f t="array" ref="AE622">VLOOKUP(B622,'Player Data'!$A1:$AE673,19,FALSE)*$Q622*IFERROR((VLOOKUP(P622,Settings!$E$28:$F$33,2,FALSE)+1),1)</f>
        <v>0.97052306916931297</v>
      </c>
      <c r="AF622" s="57" cm="1">
        <f t="array" ref="AF622">VLOOKUP(B622,'Player Data'!$A1:$AE673,20,FALSE)*$Q622</f>
        <v>512.35122864515176</v>
      </c>
      <c r="AG622" s="57" cm="1">
        <f t="array" ref="AG622">VLOOKUP(B622,'Player Data'!$A1:$AE673,21,FALSE)*$Q622</f>
        <v>348.16892162702618</v>
      </c>
      <c r="AH622" s="59" cm="1">
        <f t="array" ref="AH622">VLOOKUP(B622,'Player Data'!$A1:$AE673,22,FALSE)</f>
        <v>0.595397131006285</v>
      </c>
      <c r="AI622" s="55"/>
      <c r="AJ622" s="57"/>
      <c r="AK622" s="57"/>
      <c r="AL622" s="57"/>
      <c r="AM622" s="57"/>
      <c r="AN622" s="57"/>
      <c r="AO622" s="57"/>
      <c r="AP622" s="57"/>
      <c r="AQ622" s="60"/>
      <c r="AR622" s="61"/>
      <c r="AS622" s="55"/>
    </row>
    <row r="623" spans="1:45" ht="21.25" customHeight="1" x14ac:dyDescent="0.15">
      <c r="A623" s="62">
        <f t="shared" si="9"/>
        <v>622</v>
      </c>
      <c r="B623" s="10" t="s">
        <v>751</v>
      </c>
      <c r="C623" s="47" t="s">
        <v>147</v>
      </c>
      <c r="D623" s="48" t="str" cm="1">
        <f t="array" ref="D623">VLOOKUP(B623,'Player Data'!A1:D673,4,FALSE)</f>
        <v>LW</v>
      </c>
      <c r="E623" s="75" cm="1">
        <f t="array" ref="E623">VLOOKUP(B623,LW!A1:C210,3,FALSE)</f>
        <v>182</v>
      </c>
      <c r="F623" s="69" t="str" cm="1">
        <f t="array" ref="F623">VLOOKUP(B623,'Player Data'!A1:B673,2,FALSE)</f>
        <v>CBJ</v>
      </c>
      <c r="G623" s="11" cm="1">
        <f t="array" ref="G623">VLOOKUP(B623,'Player Data'!A1:D673,3,FALSE)</f>
        <v>30</v>
      </c>
      <c r="H623" s="51" cm="1">
        <f t="array" ref="H623">IFERROR(VLOOKUP(B623,ADP!A1:F671,6,FALSE)/1000000,VLOOKUP(B623,ADP!A1:F671,6,FALSE))</f>
        <v>2.5</v>
      </c>
      <c r="I623" s="52">
        <f>IF(Settings!$E$15="POINTS",((R623*Q623)*Settings!$B$12)+(S623*Settings!$B$2)+(T623*Settings!$B$3)+(U623*Settings!$B$4)+(V623*Settings!$B$5)+(X623*Settings!$B$9)+(AA623*Settings!$B$6)+(W623*Settings!$B$8)+(AB623*Settings!$B$7)+(AC623*Settings!$B$14)+(AD623*Settings!$B$15)+(AE623*Settings!$B$16)+(AF623*Settings!$B$17)+(AG623*Settings!$B$18)+(Y623*Settings!$B$10)+(Z623*Settings!$B$11),VLOOKUP(B623,'Standard Deviations'!A$1:C$672,3,FALSE))</f>
        <v>114.95617787229452</v>
      </c>
      <c r="J623" s="53" cm="1">
        <f t="array" ref="J623">IF(D623="G",I623/AJ623,I623/Q623)</f>
        <v>1.5950074976210693</v>
      </c>
      <c r="K623" s="52" cm="1">
        <f t="array" ref="K623">IF(Settings!$E$18="C/LW/RW",VLOOKUP(B623,LW!A1:F210,6,FALSE),VLOOKUP(B623,F!A1:F407,6,FALSE))</f>
        <v>-284.35681544142557</v>
      </c>
      <c r="L623" s="54" cm="1">
        <f t="array" ref="L623">IFERROR(K623/H623,"N/A")</f>
        <v>-113.74272617657023</v>
      </c>
      <c r="M623" s="85" t="s">
        <v>832</v>
      </c>
      <c r="N623" s="85" t="str" cm="1">
        <f t="array" ref="N623">IFERROR(M623-A623,"N/A")</f>
        <v>N/A</v>
      </c>
      <c r="O623" s="55"/>
      <c r="P623" s="56" t="str" cm="1">
        <f t="array" ref="P623">_xlfn.XLOOKUP($B623,ADP!A2:A671,ADP!G2:G671)</f>
        <v xml:space="preserve"> </v>
      </c>
      <c r="Q623" s="57" cm="1">
        <f t="array" ref="Q623">IF(Settings!$E$12="YES",VLOOKUP(B623,'Player Data'!A1:E673,5,FALSE),84)</f>
        <v>72.072500000000005</v>
      </c>
      <c r="R623" s="55" cm="1">
        <f t="array" ref="R623">VLOOKUP(B623,'Player Data'!$A1:$AE673,6,FALSE)</f>
        <v>11.5199583362315</v>
      </c>
      <c r="S623" s="57" cm="1">
        <f t="array" ref="S623">VLOOKUP(B623,'Player Data'!$A1:$AE673,7,FALSE)*$Q623*IFERROR((VLOOKUP(P623,Settings!$E$28:$F$33,2,FALSE)+1),1)</f>
        <v>7.7143997749562345</v>
      </c>
      <c r="T623" s="57" cm="1">
        <f t="array" ref="T623">VLOOKUP(B623,'Player Data'!$A1:$AE673,8,FALSE)*$Q623*IFERROR((VLOOKUP(P623,Settings!$E$28:$F$33,2,FALSE)+1),1)</f>
        <v>9.1909635998003782</v>
      </c>
      <c r="U623" s="57" cm="1">
        <f t="array" ref="U623">SUM(S623:T623)</f>
        <v>16.905363374756611</v>
      </c>
      <c r="V623" s="57" cm="1">
        <f t="array" ref="V623">VLOOKUP(B623,'Player Data'!$A1:$AE673,10,FALSE)*$Q623*IFERROR(((VLOOKUP(P623,Settings!$E$28:$F$33,2,FALSE)/2)+1),1)</f>
        <v>99.228964867446479</v>
      </c>
      <c r="W623" s="57" cm="1">
        <f t="array" ref="W623">VLOOKUP(B623,'Player Data'!$A1:$AE673,11,FALSE)*$Q623*IFERROR((VLOOKUP(P623,Settings!$E$28:$F$33,2,FALSE)+1),1)</f>
        <v>4.0427263829941926E-2</v>
      </c>
      <c r="X623" s="57" cm="1">
        <f t="array" ref="X623">VLOOKUP(B623,'Player Data'!$A1:$AE673,12,FALSE)*$Q623*IFERROR((VLOOKUP(P623,Settings!$E$28:$F$33,2,FALSE)+1),1)</f>
        <v>7.371620008245923E-2</v>
      </c>
      <c r="Y623" s="57" cm="1">
        <f t="array" ref="Y623">VLOOKUP(B623,'Player Data'!$A1:$AE673,13,FALSE)*$Q623</f>
        <v>0.2974966165361651</v>
      </c>
      <c r="Z623" s="57" cm="1">
        <f t="array" ref="Z623">VLOOKUP(B623,'Player Data'!$A1:$AE673,14,FALSE)*$Q623</f>
        <v>0.91901253486091639</v>
      </c>
      <c r="AA623" s="57" cm="1">
        <f t="array" ref="AA623">VLOOKUP(B623,'Player Data'!$A1:$AE673,15,FALSE)*$Q623</f>
        <v>27.26575315871613</v>
      </c>
      <c r="AB623" s="57" cm="1">
        <f t="array" ref="AB623">VLOOKUP(B623,'Player Data'!$A1:$AE673,16,FALSE)*$Q623</f>
        <v>89.620371739934697</v>
      </c>
      <c r="AC623" s="57" cm="1">
        <f t="array" ref="AC623">VLOOKUP(B623,'Player Data'!$A1:$AE673,17,FALSE)*$Q623*IFERROR((VLOOKUP(P623,Settings!$E$28:$F$33,2,FALSE)+1),1)</f>
        <v>-0.24225746871995774</v>
      </c>
      <c r="AD623" s="57" cm="1">
        <f t="array" ref="AD623">VLOOKUP(B623,'Player Data'!$A1:$AE673,18,FALSE)*$Q623</f>
        <v>38.062533157597279</v>
      </c>
      <c r="AE623" s="57" cm="1">
        <f t="array" ref="AE623">VLOOKUP(B623,'Player Data'!$A1:$AE673,19,FALSE)*$Q623*IFERROR((VLOOKUP(P623,Settings!$E$28:$F$33,2,FALSE)+1),1)</f>
        <v>1.2431079196062702</v>
      </c>
      <c r="AF623" s="57" cm="1">
        <f t="array" ref="AF623">VLOOKUP(B623,'Player Data'!$A1:$AE673,20,FALSE)*$Q623</f>
        <v>6.5483001461043147</v>
      </c>
      <c r="AG623" s="57" cm="1">
        <f t="array" ref="AG623">VLOOKUP(B623,'Player Data'!$A1:$AE673,21,FALSE)*$Q623</f>
        <v>16.272018958500432</v>
      </c>
      <c r="AH623" s="59" cm="1">
        <f t="array" ref="AH623">VLOOKUP(B623,'Player Data'!$A1:$AE673,22,FALSE)</f>
        <v>0.28695041975916002</v>
      </c>
      <c r="AI623" s="55"/>
      <c r="AJ623" s="57"/>
      <c r="AK623" s="57"/>
      <c r="AL623" s="57"/>
      <c r="AM623" s="57"/>
      <c r="AN623" s="57"/>
      <c r="AO623" s="57"/>
      <c r="AP623" s="57"/>
      <c r="AQ623" s="60"/>
      <c r="AR623" s="61"/>
      <c r="AS623" s="55"/>
    </row>
    <row r="624" spans="1:45" ht="21.25" customHeight="1" x14ac:dyDescent="0.15">
      <c r="A624" s="62">
        <f t="shared" si="9"/>
        <v>623</v>
      </c>
      <c r="B624" s="10" t="s">
        <v>752</v>
      </c>
      <c r="C624" s="47" t="s">
        <v>147</v>
      </c>
      <c r="D624" s="48" t="str" cm="1">
        <f t="array" ref="D624">VLOOKUP(B624,'Player Data'!A1:D673,4,FALSE)</f>
        <v>C,LW</v>
      </c>
      <c r="E624" s="74" cm="1">
        <f t="array" ref="E624">VLOOKUP(B624,LW!A1:C210,3,FALSE)</f>
        <v>183</v>
      </c>
      <c r="F624" s="69" t="str" cm="1">
        <f t="array" ref="F624">VLOOKUP(B624,'Player Data'!A1:B673,2,FALSE)</f>
        <v>TOR</v>
      </c>
      <c r="G624" s="11" cm="1">
        <f t="array" ref="G624">VLOOKUP(B624,'Player Data'!A1:D673,3,FALSE)</f>
        <v>30</v>
      </c>
      <c r="H624" s="51" cm="1">
        <f t="array" ref="H624">IFERROR(VLOOKUP(B624,ADP!A1:F671,6,FALSE)/1000000,VLOOKUP(B624,ADP!A1:F671,6,FALSE))</f>
        <v>3.25</v>
      </c>
      <c r="I624" s="52">
        <f>IF(Settings!$E$15="POINTS",((R624*Q624)*Settings!$B$12)+(S624*Settings!$B$2)+(T624*Settings!$B$3)+(U624*Settings!$B$4)+(V624*Settings!$B$5)+(X624*Settings!$B$9)+(AA624*Settings!$B$6)+(W624*Settings!$B$8)+(AB624*Settings!$B$7)+(AC624*Settings!$B$14)+(AD624*Settings!$B$15)+(AE624*Settings!$B$16)+(AF624*Settings!$B$17)+(AG624*Settings!$B$18)+(Y624*Settings!$B$10)+(Z624*Settings!$B$11),VLOOKUP(B624,'Standard Deviations'!A$1:C$672,3,FALSE))</f>
        <v>114.8947307588229</v>
      </c>
      <c r="J624" s="53" cm="1">
        <f t="array" ref="J624">IF(D624="G",I624/AJ624,I624/Q624)</f>
        <v>1.55473248658759</v>
      </c>
      <c r="K624" s="52" cm="1">
        <f t="array" ref="K624">IF(Settings!$E$18="C/LW/RW",VLOOKUP(B624,LW!A1:F210,6,FALSE),VLOOKUP(B624,F!A1:F407,6,FALSE))</f>
        <v>-284.41826255489718</v>
      </c>
      <c r="L624" s="54" cm="1">
        <f t="array" ref="L624">IFERROR(K624/H624,"N/A")</f>
        <v>-87.513311555352985</v>
      </c>
      <c r="M624" s="85" t="s">
        <v>832</v>
      </c>
      <c r="N624" s="85" t="str" cm="1">
        <f t="array" ref="N624">IFERROR(M624-A624,"N/A")</f>
        <v>N/A</v>
      </c>
      <c r="O624" s="55"/>
      <c r="P624" s="56" t="str" cm="1">
        <f t="array" ref="P624">_xlfn.XLOOKUP($B624,ADP!A2:A671,ADP!G2:G671)</f>
        <v xml:space="preserve"> </v>
      </c>
      <c r="Q624" s="57" cm="1">
        <f t="array" ref="Q624">IF(Settings!$E$12="YES",VLOOKUP(B624,'Player Data'!A1:E673,5,FALSE),84)</f>
        <v>73.900000000000006</v>
      </c>
      <c r="R624" s="55" cm="1">
        <f t="array" ref="R624">VLOOKUP(B624,'Player Data'!$A1:$AE673,6,FALSE)</f>
        <v>11.6363576207689</v>
      </c>
      <c r="S624" s="57" cm="1">
        <f t="array" ref="S624">VLOOKUP(B624,'Player Data'!$A1:$AE673,7,FALSE)*$Q624*IFERROR((VLOOKUP(P624,Settings!$E$28:$F$33,2,FALSE)+1),1)</f>
        <v>10.599263484527501</v>
      </c>
      <c r="T624" s="57" cm="1">
        <f t="array" ref="T624">VLOOKUP(B624,'Player Data'!$A1:$AE673,8,FALSE)*$Q624*IFERROR((VLOOKUP(P624,Settings!$E$28:$F$33,2,FALSE)+1),1)</f>
        <v>9.9048557492154394</v>
      </c>
      <c r="U624" s="57" cm="1">
        <f t="array" ref="U624">SUM(S624:T624)</f>
        <v>20.504119233742941</v>
      </c>
      <c r="V624" s="57" cm="1">
        <f t="array" ref="V624">VLOOKUP(B624,'Player Data'!$A1:$AE673,10,FALSE)*$Q624*IFERROR(((VLOOKUP(P624,Settings!$E$28:$F$33,2,FALSE)/2)+1),1)</f>
        <v>66.668225738503352</v>
      </c>
      <c r="W624" s="57" cm="1">
        <f t="array" ref="W624">VLOOKUP(B624,'Player Data'!$A1:$AE673,11,FALSE)*$Q624*IFERROR((VLOOKUP(P624,Settings!$E$28:$F$33,2,FALSE)+1),1)</f>
        <v>5.0266300467899629E-2</v>
      </c>
      <c r="X624" s="57" cm="1">
        <f t="array" ref="X624">VLOOKUP(B624,'Player Data'!$A1:$AE673,12,FALSE)*$Q624*IFERROR((VLOOKUP(P624,Settings!$E$28:$F$33,2,FALSE)+1),1)</f>
        <v>9.4413572584263084E-2</v>
      </c>
      <c r="Y624" s="57" cm="1">
        <f t="array" ref="Y624">VLOOKUP(B624,'Player Data'!$A1:$AE673,13,FALSE)*$Q624</f>
        <v>0.32537131939168634</v>
      </c>
      <c r="Z624" s="57" cm="1">
        <f t="array" ref="Z624">VLOOKUP(B624,'Player Data'!$A1:$AE673,14,FALSE)*$Q624</f>
        <v>0.38482286693412404</v>
      </c>
      <c r="AA624" s="57" cm="1">
        <f t="array" ref="AA624">VLOOKUP(B624,'Player Data'!$A1:$AE673,15,FALSE)*$Q624</f>
        <v>39.138047497648017</v>
      </c>
      <c r="AB624" s="57" cm="1">
        <f t="array" ref="AB624">VLOOKUP(B624,'Player Data'!$A1:$AE673,16,FALSE)*$Q624</f>
        <v>220.42766994133018</v>
      </c>
      <c r="AC624" s="57" cm="1">
        <f t="array" ref="AC624">VLOOKUP(B624,'Player Data'!$A1:$AE673,17,FALSE)*$Q624*IFERROR((VLOOKUP(P624,Settings!$E$28:$F$33,2,FALSE)+1),1)</f>
        <v>0.75192829996660193</v>
      </c>
      <c r="AD624" s="57" cm="1">
        <f t="array" ref="AD624">VLOOKUP(B624,'Player Data'!$A1:$AE673,18,FALSE)*$Q624</f>
        <v>37.203690411464017</v>
      </c>
      <c r="AE624" s="57" cm="1">
        <f t="array" ref="AE624">VLOOKUP(B624,'Player Data'!$A1:$AE673,19,FALSE)*$Q624*IFERROR((VLOOKUP(P624,Settings!$E$28:$F$33,2,FALSE)+1),1)</f>
        <v>1.4474430481166134</v>
      </c>
      <c r="AF624" s="57" cm="1">
        <f t="array" ref="AF624">VLOOKUP(B624,'Player Data'!$A1:$AE673,20,FALSE)*$Q624</f>
        <v>16.962992018167149</v>
      </c>
      <c r="AG624" s="57" cm="1">
        <f t="array" ref="AG624">VLOOKUP(B624,'Player Data'!$A1:$AE673,21,FALSE)*$Q624</f>
        <v>24.239024233416728</v>
      </c>
      <c r="AH624" s="59" cm="1">
        <f t="array" ref="AH624">VLOOKUP(B624,'Player Data'!$A1:$AE673,22,FALSE)</f>
        <v>0.411702959257851</v>
      </c>
      <c r="AI624" s="55"/>
      <c r="AJ624" s="57"/>
      <c r="AK624" s="57"/>
      <c r="AL624" s="57"/>
      <c r="AM624" s="57"/>
      <c r="AN624" s="57"/>
      <c r="AO624" s="57"/>
      <c r="AP624" s="57"/>
      <c r="AQ624" s="60"/>
      <c r="AR624" s="61"/>
      <c r="AS624" s="55"/>
    </row>
    <row r="625" spans="1:45" ht="21.25" customHeight="1" x14ac:dyDescent="0.15">
      <c r="A625" s="62">
        <f t="shared" si="9"/>
        <v>624</v>
      </c>
      <c r="B625" s="10" t="s">
        <v>753</v>
      </c>
      <c r="C625" s="47" t="s">
        <v>147</v>
      </c>
      <c r="D625" s="48" t="str" cm="1">
        <f t="array" ref="D625">VLOOKUP(B625,'Player Data'!A1:D673,4,FALSE)</f>
        <v>C,LW</v>
      </c>
      <c r="E625" s="74" cm="1">
        <f t="array" ref="E625">VLOOKUP(B625,LW!A1:C210,3,FALSE)</f>
        <v>184</v>
      </c>
      <c r="F625" s="63" t="str" cm="1">
        <f t="array" ref="F625">VLOOKUP(B625,'Player Data'!A1:B673,2,FALSE)</f>
        <v>EDM</v>
      </c>
      <c r="G625" s="71" cm="1">
        <f t="array" ref="G625">VLOOKUP(B625,'Player Data'!A1:D673,3,FALSE)</f>
        <v>23</v>
      </c>
      <c r="H625" s="51" cm="1">
        <f t="array" ref="H625">IFERROR(VLOOKUP(B625,ADP!A1:F671,6,FALSE)/1000000,VLOOKUP(B625,ADP!A1:F671,6,FALSE))</f>
        <v>1.2</v>
      </c>
      <c r="I625" s="52">
        <f>IF(Settings!$E$15="POINTS",((R625*Q625)*Settings!$B$12)+(S625*Settings!$B$2)+(T625*Settings!$B$3)+(U625*Settings!$B$4)+(V625*Settings!$B$5)+(X625*Settings!$B$9)+(AA625*Settings!$B$6)+(W625*Settings!$B$8)+(AB625*Settings!$B$7)+(AC625*Settings!$B$14)+(AD625*Settings!$B$15)+(AE625*Settings!$B$16)+(AF625*Settings!$B$17)+(AG625*Settings!$B$18)+(Y625*Settings!$B$10)+(Z625*Settings!$B$11),VLOOKUP(B625,'Standard Deviations'!A$1:C$672,3,FALSE))</f>
        <v>114.2364001810729</v>
      </c>
      <c r="J625" s="53" cm="1">
        <f t="array" ref="J625">IF(D625="G",I625/AJ625,I625/Q625)</f>
        <v>1.5167815200301786</v>
      </c>
      <c r="K625" s="52" cm="1">
        <f t="array" ref="K625">IF(Settings!$E$18="C/LW/RW",VLOOKUP(B625,LW!A1:F210,6,FALSE),VLOOKUP(B625,F!A1:F407,6,FALSE))</f>
        <v>-285.07659313264719</v>
      </c>
      <c r="L625" s="54" cm="1">
        <f t="array" ref="L625">IFERROR(K625/H625,"N/A")</f>
        <v>-237.56382761053933</v>
      </c>
      <c r="M625" s="85" t="s">
        <v>832</v>
      </c>
      <c r="N625" s="85" t="str" cm="1">
        <f t="array" ref="N625">IFERROR(M625-A625,"N/A")</f>
        <v>N/A</v>
      </c>
      <c r="O625" s="55"/>
      <c r="P625" s="56" t="str" cm="1">
        <f t="array" ref="P625">_xlfn.XLOOKUP($B625,ADP!A2:A671,ADP!G2:G671)</f>
        <v xml:space="preserve"> </v>
      </c>
      <c r="Q625" s="57" cm="1">
        <f t="array" ref="Q625">IF(Settings!$E$12="YES",VLOOKUP(B625,'Player Data'!A1:E673,5,FALSE),84)</f>
        <v>75.314999999999998</v>
      </c>
      <c r="R625" s="55" cm="1">
        <f t="array" ref="R625">VLOOKUP(B625,'Player Data'!$A1:$AE673,6,FALSE)</f>
        <v>11.477978508659101</v>
      </c>
      <c r="S625" s="57" cm="1">
        <f t="array" ref="S625">VLOOKUP(B625,'Player Data'!$A1:$AE673,7,FALSE)*$Q625*IFERROR((VLOOKUP(P625,Settings!$E$28:$F$33,2,FALSE)+1),1)</f>
        <v>7.2534338881909965</v>
      </c>
      <c r="T625" s="57" cm="1">
        <f t="array" ref="T625">VLOOKUP(B625,'Player Data'!$A1:$AE673,8,FALSE)*$Q625*IFERROR((VLOOKUP(P625,Settings!$E$28:$F$33,2,FALSE)+1),1)</f>
        <v>11.720038034654177</v>
      </c>
      <c r="U625" s="57" cm="1">
        <f t="array" ref="U625">SUM(S625:T625)</f>
        <v>18.973471922845174</v>
      </c>
      <c r="V625" s="57" cm="1">
        <f t="array" ref="V625">VLOOKUP(B625,'Player Data'!$A1:$AE673,10,FALSE)*$Q625*IFERROR(((VLOOKUP(P625,Settings!$E$28:$F$33,2,FALSE)/2)+1),1)</f>
        <v>75.069695303878447</v>
      </c>
      <c r="W625" s="57" cm="1">
        <f t="array" ref="W625">VLOOKUP(B625,'Player Data'!$A1:$AE673,11,FALSE)*$Q625*IFERROR((VLOOKUP(P625,Settings!$E$28:$F$33,2,FALSE)+1),1)</f>
        <v>0.73787033364416954</v>
      </c>
      <c r="X625" s="57" cm="1">
        <f t="array" ref="X625">VLOOKUP(B625,'Player Data'!$A1:$AE673,12,FALSE)*$Q625*IFERROR((VLOOKUP(P625,Settings!$E$28:$F$33,2,FALSE)+1),1)</f>
        <v>1.5918629441248289</v>
      </c>
      <c r="Y625" s="57" cm="1">
        <f t="array" ref="Y625">VLOOKUP(B625,'Player Data'!$A1:$AE673,13,FALSE)*$Q625</f>
        <v>0.12302628604343994</v>
      </c>
      <c r="Z625" s="57" cm="1">
        <f t="array" ref="Z625">VLOOKUP(B625,'Player Data'!$A1:$AE673,14,FALSE)*$Q625</f>
        <v>0.20039594060538721</v>
      </c>
      <c r="AA625" s="57" cm="1">
        <f t="array" ref="AA625">VLOOKUP(B625,'Player Data'!$A1:$AE673,15,FALSE)*$Q625</f>
        <v>35.977755751735863</v>
      </c>
      <c r="AB625" s="57" cm="1">
        <f t="array" ref="AB625">VLOOKUP(B625,'Player Data'!$A1:$AE673,16,FALSE)*$Q625</f>
        <v>233.04092818913969</v>
      </c>
      <c r="AC625" s="57" cm="1">
        <f t="array" ref="AC625">VLOOKUP(B625,'Player Data'!$A1:$AE673,17,FALSE)*$Q625*IFERROR((VLOOKUP(P625,Settings!$E$28:$F$33,2,FALSE)+1),1)</f>
        <v>3.7836015229049309</v>
      </c>
      <c r="AD625" s="57" cm="1">
        <f t="array" ref="AD625">VLOOKUP(B625,'Player Data'!$A1:$AE673,18,FALSE)*$Q625</f>
        <v>36.964493640590973</v>
      </c>
      <c r="AE625" s="57" cm="1">
        <f t="array" ref="AE625">VLOOKUP(B625,'Player Data'!$A1:$AE673,19,FALSE)*$Q625*IFERROR((VLOOKUP(P625,Settings!$E$28:$F$33,2,FALSE)+1),1)</f>
        <v>1.2732790588923641</v>
      </c>
      <c r="AF625" s="57" cm="1">
        <f t="array" ref="AF625">VLOOKUP(B625,'Player Data'!$A1:$AE673,20,FALSE)*$Q625</f>
        <v>35.278389719972061</v>
      </c>
      <c r="AG625" s="57" cm="1">
        <f t="array" ref="AG625">VLOOKUP(B625,'Player Data'!$A1:$AE673,21,FALSE)*$Q625</f>
        <v>48.008029419323755</v>
      </c>
      <c r="AH625" s="59" cm="1">
        <f t="array" ref="AH625">VLOOKUP(B625,'Player Data'!$A1:$AE673,22,FALSE)</f>
        <v>0.423579139126744</v>
      </c>
      <c r="AI625" s="55"/>
      <c r="AJ625" s="57"/>
      <c r="AK625" s="57"/>
      <c r="AL625" s="57"/>
      <c r="AM625" s="57"/>
      <c r="AN625" s="57"/>
      <c r="AO625" s="57"/>
      <c r="AP625" s="57"/>
      <c r="AQ625" s="60"/>
      <c r="AR625" s="61"/>
      <c r="AS625" s="55"/>
    </row>
    <row r="626" spans="1:45" ht="21.25" customHeight="1" x14ac:dyDescent="0.15">
      <c r="A626" s="62">
        <f t="shared" si="9"/>
        <v>625</v>
      </c>
      <c r="B626" s="10" t="s">
        <v>754</v>
      </c>
      <c r="C626" s="47" t="s">
        <v>147</v>
      </c>
      <c r="D626" s="48" t="str" cm="1">
        <f t="array" ref="D626">VLOOKUP(B626,'Player Data'!A1:D673,4,FALSE)</f>
        <v>LW</v>
      </c>
      <c r="E626" s="75" cm="1">
        <f t="array" ref="E626">VLOOKUP(B626,LW!A1:C210,3,FALSE)</f>
        <v>185</v>
      </c>
      <c r="F626" s="18" t="str" cm="1">
        <f t="array" ref="F626">VLOOKUP(B626,'Player Data'!A1:B673,2,FALSE)</f>
        <v>OTT</v>
      </c>
      <c r="G626" s="66" cm="1">
        <f t="array" ref="G626">VLOOKUP(B626,'Player Data'!A1:D673,3,FALSE)</f>
        <v>33</v>
      </c>
      <c r="H626" s="51" cm="1">
        <f t="array" ref="H626">IFERROR(VLOOKUP(B626,ADP!A1:F671,6,FALSE)/1000000,VLOOKUP(B626,ADP!A1:F671,6,FALSE))</f>
        <v>1.5874999999999999</v>
      </c>
      <c r="I626" s="52">
        <f>IF(Settings!$E$15="POINTS",((R626*Q626)*Settings!$B$12)+(S626*Settings!$B$2)+(T626*Settings!$B$3)+(U626*Settings!$B$4)+(V626*Settings!$B$5)+(X626*Settings!$B$9)+(AA626*Settings!$B$6)+(W626*Settings!$B$8)+(AB626*Settings!$B$7)+(AC626*Settings!$B$14)+(AD626*Settings!$B$15)+(AE626*Settings!$B$16)+(AF626*Settings!$B$17)+(AG626*Settings!$B$18)+(Y626*Settings!$B$10)+(Z626*Settings!$B$11),VLOOKUP(B626,'Standard Deviations'!A$1:C$672,3,FALSE))</f>
        <v>114.18629543789687</v>
      </c>
      <c r="J626" s="53" cm="1">
        <f t="array" ref="J626">IF(D626="G",I626/AJ626,I626/Q626)</f>
        <v>1.4610702848648076</v>
      </c>
      <c r="K626" s="52" cm="1">
        <f t="array" ref="K626">IF(Settings!$E$18="C/LW/RW",VLOOKUP(B626,LW!A1:F210,6,FALSE),VLOOKUP(B626,F!A1:F407,6,FALSE))</f>
        <v>-285.1266978758232</v>
      </c>
      <c r="L626" s="54" cm="1">
        <f t="array" ref="L626">IFERROR(K626/H626,"N/A")</f>
        <v>-179.60736874067604</v>
      </c>
      <c r="M626" s="85" t="s">
        <v>832</v>
      </c>
      <c r="N626" s="85" t="str" cm="1">
        <f t="array" ref="N626">IFERROR(M626-A626,"N/A")</f>
        <v>N/A</v>
      </c>
      <c r="O626" s="55"/>
      <c r="P626" s="56" t="str" cm="1">
        <f t="array" ref="P626">_xlfn.XLOOKUP($B626,ADP!A2:A671,ADP!G2:G671)</f>
        <v xml:space="preserve"> </v>
      </c>
      <c r="Q626" s="57" cm="1">
        <f t="array" ref="Q626">IF(Settings!$E$12="YES",VLOOKUP(B626,'Player Data'!A1:E673,5,FALSE),84)</f>
        <v>78.152500000000003</v>
      </c>
      <c r="R626" s="55" cm="1">
        <f t="array" ref="R626">VLOOKUP(B626,'Player Data'!$A1:$AE673,6,FALSE)</f>
        <v>10.9009445911824</v>
      </c>
      <c r="S626" s="57" cm="1">
        <f t="array" ref="S626">VLOOKUP(B626,'Player Data'!$A1:$AE673,7,FALSE)*$Q626*IFERROR((VLOOKUP(P626,Settings!$E$28:$F$33,2,FALSE)+1),1)</f>
        <v>7.1792309359023188</v>
      </c>
      <c r="T626" s="57" cm="1">
        <f t="array" ref="T626">VLOOKUP(B626,'Player Data'!$A1:$AE673,8,FALSE)*$Q626*IFERROR((VLOOKUP(P626,Settings!$E$28:$F$33,2,FALSE)+1),1)</f>
        <v>11.203771943645243</v>
      </c>
      <c r="U626" s="57" cm="1">
        <f t="array" ref="U626">SUM(S626:T626)</f>
        <v>18.383002879547561</v>
      </c>
      <c r="V626" s="57" cm="1">
        <f t="array" ref="V626">VLOOKUP(B626,'Player Data'!$A1:$AE673,10,FALSE)*$Q626*IFERROR(((VLOOKUP(P626,Settings!$E$28:$F$33,2,FALSE)/2)+1),1)</f>
        <v>80.841904471349139</v>
      </c>
      <c r="W626" s="57" cm="1">
        <f t="array" ref="W626">VLOOKUP(B626,'Player Data'!$A1:$AE673,11,FALSE)*$Q626*IFERROR((VLOOKUP(P626,Settings!$E$28:$F$33,2,FALSE)+1),1)</f>
        <v>3.3790975143456289E-2</v>
      </c>
      <c r="X626" s="57" cm="1">
        <f t="array" ref="X626">VLOOKUP(B626,'Player Data'!$A1:$AE673,12,FALSE)*$Q626*IFERROR((VLOOKUP(P626,Settings!$E$28:$F$33,2,FALSE)+1),1)</f>
        <v>7.6317976682927349E-2</v>
      </c>
      <c r="Y626" s="57" cm="1">
        <f t="array" ref="Y626">VLOOKUP(B626,'Player Data'!$A1:$AE673,13,FALSE)*$Q626</f>
        <v>2.212693634198265E-3</v>
      </c>
      <c r="Z626" s="57" cm="1">
        <f t="array" ref="Z626">VLOOKUP(B626,'Player Data'!$A1:$AE673,14,FALSE)*$Q626</f>
        <v>3.7607841919781032E-3</v>
      </c>
      <c r="AA626" s="57" cm="1">
        <f t="array" ref="AA626">VLOOKUP(B626,'Player Data'!$A1:$AE673,15,FALSE)*$Q626</f>
        <v>37.072511605409417</v>
      </c>
      <c r="AB626" s="57" cm="1">
        <f t="array" ref="AB626">VLOOKUP(B626,'Player Data'!$A1:$AE673,16,FALSE)*$Q626</f>
        <v>144.31466566849841</v>
      </c>
      <c r="AC626" s="57" cm="1">
        <f t="array" ref="AC626">VLOOKUP(B626,'Player Data'!$A1:$AE673,17,FALSE)*$Q626*IFERROR((VLOOKUP(P626,Settings!$E$28:$F$33,2,FALSE)+1),1)</f>
        <v>2.459937692947876</v>
      </c>
      <c r="AD626" s="57" cm="1">
        <f t="array" ref="AD626">VLOOKUP(B626,'Player Data'!$A1:$AE673,18,FALSE)*$Q626</f>
        <v>44.852688027274219</v>
      </c>
      <c r="AE626" s="57" cm="1">
        <f t="array" ref="AE626">VLOOKUP(B626,'Player Data'!$A1:$AE673,19,FALSE)*$Q626*IFERROR((VLOOKUP(P626,Settings!$E$28:$F$33,2,FALSE)+1),1)</f>
        <v>1.2734891632943512</v>
      </c>
      <c r="AF626" s="57" cm="1">
        <f t="array" ref="AF626">VLOOKUP(B626,'Player Data'!$A1:$AE673,20,FALSE)*$Q626</f>
        <v>10.024025819386846</v>
      </c>
      <c r="AG626" s="57" cm="1">
        <f t="array" ref="AG626">VLOOKUP(B626,'Player Data'!$A1:$AE673,21,FALSE)*$Q626</f>
        <v>15.119348915289951</v>
      </c>
      <c r="AH626" s="59" cm="1">
        <f t="array" ref="AH626">VLOOKUP(B626,'Player Data'!$A1:$AE673,22,FALSE)</f>
        <v>0.39867463795789099</v>
      </c>
      <c r="AI626" s="55"/>
      <c r="AJ626" s="57"/>
      <c r="AK626" s="57"/>
      <c r="AL626" s="57"/>
      <c r="AM626" s="57"/>
      <c r="AN626" s="57"/>
      <c r="AO626" s="57"/>
      <c r="AP626" s="57"/>
      <c r="AQ626" s="60"/>
      <c r="AR626" s="61"/>
      <c r="AS626" s="55"/>
    </row>
    <row r="627" spans="1:45" ht="21.25" customHeight="1" x14ac:dyDescent="0.15">
      <c r="A627" s="62">
        <f t="shared" si="9"/>
        <v>626</v>
      </c>
      <c r="B627" s="10" t="s">
        <v>755</v>
      </c>
      <c r="C627" s="47" t="s">
        <v>147</v>
      </c>
      <c r="D627" s="48" t="str" cm="1">
        <f t="array" ref="D627">VLOOKUP(B627,'Player Data'!A1:D673,4,FALSE)</f>
        <v>C,LW,RW</v>
      </c>
      <c r="E627" s="74" cm="1">
        <f t="array" ref="E627">VLOOKUP(B627,RW!A1:F210,3,FALSE)</f>
        <v>190</v>
      </c>
      <c r="F627" s="63" t="str" cm="1">
        <f t="array" ref="F627">VLOOKUP(B627,'Player Data'!A1:B673,2,FALSE)</f>
        <v>EDM</v>
      </c>
      <c r="G627" s="11" cm="1">
        <f t="array" ref="G627">VLOOKUP(B627,'Player Data'!A1:D673,3,FALSE)</f>
        <v>28</v>
      </c>
      <c r="H627" s="51" cm="1">
        <f t="array" ref="H627">IFERROR(VLOOKUP(B627,ADP!A1:F671,6,FALSE)/1000000,VLOOKUP(B627,ADP!A1:F671,6,FALSE))</f>
        <v>3.85</v>
      </c>
      <c r="I627" s="52">
        <f>IF(Settings!$E$15="POINTS",((R627*Q627)*Settings!$B$12)+(S627*Settings!$B$2)+(T627*Settings!$B$3)+(U627*Settings!$B$4)+(V627*Settings!$B$5)+(X627*Settings!$B$9)+(AA627*Settings!$B$6)+(W627*Settings!$B$8)+(AB627*Settings!$B$7)+(AC627*Settings!$B$14)+(AD627*Settings!$B$15)+(AE627*Settings!$B$16)+(AF627*Settings!$B$17)+(AG627*Settings!$B$18)+(Y627*Settings!$B$10)+(Z627*Settings!$B$11),VLOOKUP(B627,'Standard Deviations'!A$1:C$672,3,FALSE))</f>
        <v>109.76021036564762</v>
      </c>
      <c r="J627" s="53" cm="1">
        <f t="array" ref="J627">IF(D627="G",I627/AJ627,I627/Q627)</f>
        <v>1.3839391043455758</v>
      </c>
      <c r="K627" s="52" cm="1">
        <f t="array" ref="K627">IF(Settings!$E$18="C/LW/RW",VLOOKUP(B627,RW!A1:F210,6,FALSE),VLOOKUP(B627,F!A1:F407,6,FALSE))</f>
        <v>-285.18325432790982</v>
      </c>
      <c r="L627" s="54" cm="1">
        <f t="array" ref="L627">IFERROR(K627/H627,"N/A")</f>
        <v>-74.073572552703851</v>
      </c>
      <c r="M627" s="85" t="s">
        <v>832</v>
      </c>
      <c r="N627" s="85" t="str" cm="1">
        <f t="array" ref="N627">IFERROR(M627-A627,"N/A")</f>
        <v>N/A</v>
      </c>
      <c r="O627" s="55"/>
      <c r="P627" s="56" t="str" cm="1">
        <f t="array" ref="P627">_xlfn.XLOOKUP($B627,ADP!A2:A671,ADP!G2:G671)</f>
        <v xml:space="preserve"> </v>
      </c>
      <c r="Q627" s="57" cm="1">
        <f t="array" ref="Q627">IF(Settings!$E$12="YES",VLOOKUP(B627,'Player Data'!A1:E673,5,FALSE),84)</f>
        <v>79.31</v>
      </c>
      <c r="R627" s="55" cm="1">
        <f t="array" ref="R627">VLOOKUP(B627,'Player Data'!$A1:$AE673,6,FALSE)</f>
        <v>11.4988189116662</v>
      </c>
      <c r="S627" s="57" cm="1">
        <f t="array" ref="S627">VLOOKUP(B627,'Player Data'!$A1:$AE673,7,FALSE)*$Q627*IFERROR((VLOOKUP(P627,Settings!$E$28:$F$33,2,FALSE)+1),1)</f>
        <v>8.0398945726875848</v>
      </c>
      <c r="T627" s="57" cm="1">
        <f t="array" ref="T627">VLOOKUP(B627,'Player Data'!$A1:$AE673,8,FALSE)*$Q627*IFERROR((VLOOKUP(P627,Settings!$E$28:$F$33,2,FALSE)+1),1)</f>
        <v>8.5614050342670573</v>
      </c>
      <c r="U627" s="57" cm="1">
        <f t="array" ref="U627">SUM(S627:T627)</f>
        <v>16.60129960695464</v>
      </c>
      <c r="V627" s="57" cm="1">
        <f t="array" ref="V627">VLOOKUP(B627,'Player Data'!$A1:$AE673,10,FALSE)*$Q627*IFERROR(((VLOOKUP(P627,Settings!$E$28:$F$33,2,FALSE)/2)+1),1)</f>
        <v>87.830538696856507</v>
      </c>
      <c r="W627" s="57" cm="1">
        <f t="array" ref="W627">VLOOKUP(B627,'Player Data'!$A1:$AE673,11,FALSE)*$Q627*IFERROR((VLOOKUP(P627,Settings!$E$28:$F$33,2,FALSE)+1),1)</f>
        <v>0.1943035648495153</v>
      </c>
      <c r="X627" s="57" cm="1">
        <f t="array" ref="X627">VLOOKUP(B627,'Player Data'!$A1:$AE673,12,FALSE)*$Q627*IFERROR((VLOOKUP(P627,Settings!$E$28:$F$33,2,FALSE)+1),1)</f>
        <v>0.39345320828716329</v>
      </c>
      <c r="Y627" s="57" cm="1">
        <f t="array" ref="Y627">VLOOKUP(B627,'Player Data'!$A1:$AE673,13,FALSE)*$Q627</f>
        <v>0.12504428636468581</v>
      </c>
      <c r="Z627" s="57" cm="1">
        <f t="array" ref="Z627">VLOOKUP(B627,'Player Data'!$A1:$AE673,14,FALSE)*$Q627</f>
        <v>0.20482118752604489</v>
      </c>
      <c r="AA627" s="57" cm="1">
        <f t="array" ref="AA627">VLOOKUP(B627,'Player Data'!$A1:$AE673,15,FALSE)*$Q627</f>
        <v>30.885535601084449</v>
      </c>
      <c r="AB627" s="57" cm="1">
        <f t="array" ref="AB627">VLOOKUP(B627,'Player Data'!$A1:$AE673,16,FALSE)*$Q627</f>
        <v>186.02506960838085</v>
      </c>
      <c r="AC627" s="57" cm="1">
        <f t="array" ref="AC627">VLOOKUP(B627,'Player Data'!$A1:$AE673,17,FALSE)*$Q627*IFERROR((VLOOKUP(P627,Settings!$E$28:$F$33,2,FALSE)+1),1)</f>
        <v>4.1036359924515686</v>
      </c>
      <c r="AD627" s="57" cm="1">
        <f t="array" ref="AD627">VLOOKUP(B627,'Player Data'!$A1:$AE673,18,FALSE)*$Q627</f>
        <v>41.384349689873524</v>
      </c>
      <c r="AE627" s="57" cm="1">
        <f t="array" ref="AE627">VLOOKUP(B627,'Player Data'!$A1:$AE673,19,FALSE)*$Q627*IFERROR((VLOOKUP(P627,Settings!$E$28:$F$33,2,FALSE)+1),1)</f>
        <v>1.4113355898606772</v>
      </c>
      <c r="AF627" s="57" cm="1">
        <f t="array" ref="AF627">VLOOKUP(B627,'Player Data'!$A1:$AE673,20,FALSE)*$Q627</f>
        <v>96.289128192287123</v>
      </c>
      <c r="AG627" s="57" cm="1">
        <f t="array" ref="AG627">VLOOKUP(B627,'Player Data'!$A1:$AE673,21,FALSE)*$Q627</f>
        <v>99.025834208103007</v>
      </c>
      <c r="AH627" s="59" cm="1">
        <f t="array" ref="AH627">VLOOKUP(B627,'Player Data'!$A1:$AE673,22,FALSE)</f>
        <v>0.49299412092606198</v>
      </c>
      <c r="AI627" s="55"/>
      <c r="AJ627" s="57"/>
      <c r="AK627" s="57"/>
      <c r="AL627" s="57"/>
      <c r="AM627" s="57"/>
      <c r="AN627" s="57"/>
      <c r="AO627" s="57"/>
      <c r="AP627" s="57"/>
      <c r="AQ627" s="60"/>
      <c r="AR627" s="61"/>
      <c r="AS627" s="55"/>
    </row>
    <row r="628" spans="1:45" ht="21.25" customHeight="1" x14ac:dyDescent="0.15">
      <c r="A628" s="62">
        <f t="shared" si="9"/>
        <v>627</v>
      </c>
      <c r="B628" s="10" t="s">
        <v>756</v>
      </c>
      <c r="C628" s="47" t="s">
        <v>147</v>
      </c>
      <c r="D628" s="48" t="str" cm="1">
        <f t="array" ref="D628">VLOOKUP(B628,'Player Data'!A1:D673,4,FALSE)</f>
        <v>RW</v>
      </c>
      <c r="E628" s="64" cm="1">
        <f t="array" ref="E628">VLOOKUP(B628,RW!A1:F210,3,FALSE)</f>
        <v>191</v>
      </c>
      <c r="F628" s="65" t="str" cm="1">
        <f t="array" ref="F628">VLOOKUP(B628,'Player Data'!A1:B673,2,FALSE)</f>
        <v>STL</v>
      </c>
      <c r="G628" s="11" cm="1">
        <f t="array" ref="G628">VLOOKUP(B628,'Player Data'!A1:D673,3,FALSE)</f>
        <v>26</v>
      </c>
      <c r="H628" s="67" cm="1">
        <f t="array" ref="H628">IFERROR(VLOOKUP(B628,ADP!A1:F671,6,FALSE)/1000000,VLOOKUP(B628,ADP!A1:F671,6,FALSE))</f>
        <v>2</v>
      </c>
      <c r="I628" s="52">
        <f>IF(Settings!$E$15="POINTS",((R628*Q628)*Settings!$B$12)+(S628*Settings!$B$2)+(T628*Settings!$B$3)+(U628*Settings!$B$4)+(V628*Settings!$B$5)+(X628*Settings!$B$9)+(AA628*Settings!$B$6)+(W628*Settings!$B$8)+(AB628*Settings!$B$7)+(AC628*Settings!$B$14)+(AD628*Settings!$B$15)+(AE628*Settings!$B$16)+(AF628*Settings!$B$17)+(AG628*Settings!$B$18)+(Y628*Settings!$B$10)+(Z628*Settings!$B$11),VLOOKUP(B628,'Standard Deviations'!A$1:C$672,3,FALSE))</f>
        <v>109.68725300149046</v>
      </c>
      <c r="J628" s="53" cm="1">
        <f t="array" ref="J628">IF(D628="G",I628/AJ628,I628/Q628)</f>
        <v>1.5544144122651522</v>
      </c>
      <c r="K628" s="52" cm="1">
        <f t="array" ref="K628">IF(Settings!$E$18="C/LW/RW",VLOOKUP(B628,RW!A1:F210,6,FALSE),VLOOKUP(B628,F!A1:F407,6,FALSE))</f>
        <v>-285.25621169206704</v>
      </c>
      <c r="L628" s="54" cm="1">
        <f t="array" ref="L628">IFERROR(K628/H628,"N/A")</f>
        <v>-142.62810584603352</v>
      </c>
      <c r="M628" s="85" t="s">
        <v>832</v>
      </c>
      <c r="N628" s="85" t="str" cm="1">
        <f t="array" ref="N628">IFERROR(M628-A628,"N/A")</f>
        <v>N/A</v>
      </c>
      <c r="O628" s="55"/>
      <c r="P628" s="56" t="str" cm="1">
        <f t="array" ref="P628">_xlfn.XLOOKUP($B628,ADP!A2:A671,ADP!G2:G671)</f>
        <v xml:space="preserve"> </v>
      </c>
      <c r="Q628" s="57" cm="1">
        <f t="array" ref="Q628">IF(Settings!$E$12="YES",VLOOKUP(B628,'Player Data'!A1:E673,5,FALSE),84)</f>
        <v>70.564999999999998</v>
      </c>
      <c r="R628" s="84" cm="1">
        <f t="array" ref="R628">VLOOKUP(B628,'Player Data'!$A1:$AE673,6,FALSE)</f>
        <v>11.4551794407286</v>
      </c>
      <c r="S628" s="57" cm="1">
        <f t="array" ref="S628">VLOOKUP(B628,'Player Data'!$A1:$AE673,7,FALSE)*$Q628*IFERROR((VLOOKUP(P628,Settings!$E$28:$F$33,2,FALSE)+1),1)</f>
        <v>8.0308072790199905</v>
      </c>
      <c r="T628" s="57" cm="1">
        <f t="array" ref="T628">VLOOKUP(B628,'Player Data'!$A1:$AE673,8,FALSE)*$Q628*IFERROR((VLOOKUP(P628,Settings!$E$28:$F$33,2,FALSE)+1),1)</f>
        <v>13.482940613211554</v>
      </c>
      <c r="U628" s="57" cm="1">
        <f t="array" ref="U628">SUM(S628:T628)</f>
        <v>21.513747892231542</v>
      </c>
      <c r="V628" s="57" cm="1">
        <f t="array" ref="V628">VLOOKUP(B628,'Player Data'!$A1:$AE673,10,FALSE)*$Q628*IFERROR(((VLOOKUP(P628,Settings!$E$28:$F$33,2,FALSE)/2)+1),1)</f>
        <v>69.397077953398806</v>
      </c>
      <c r="W628" s="57" cm="1">
        <f t="array" ref="W628">VLOOKUP(B628,'Player Data'!$A1:$AE673,11,FALSE)*$Q628*IFERROR((VLOOKUP(P628,Settings!$E$28:$F$33,2,FALSE)+1),1)</f>
        <v>0.57228612208113938</v>
      </c>
      <c r="X628" s="57" cm="1">
        <f t="array" ref="X628">VLOOKUP(B628,'Player Data'!$A1:$AE673,12,FALSE)*$Q628*IFERROR((VLOOKUP(P628,Settings!$E$28:$F$33,2,FALSE)+1),1)</f>
        <v>0.80266489116809692</v>
      </c>
      <c r="Y628" s="57" cm="1">
        <f t="array" ref="Y628">VLOOKUP(B628,'Player Data'!$A1:$AE673,13,FALSE)*$Q628</f>
        <v>3.9305997510116755E-3</v>
      </c>
      <c r="Z628" s="57" cm="1">
        <f t="array" ref="Z628">VLOOKUP(B628,'Player Data'!$A1:$AE673,14,FALSE)*$Q628</f>
        <v>6.4738666039924828E-3</v>
      </c>
      <c r="AA628" s="57" cm="1">
        <f t="array" ref="AA628">VLOOKUP(B628,'Player Data'!$A1:$AE673,15,FALSE)*$Q628</f>
        <v>19.276663180648672</v>
      </c>
      <c r="AB628" s="57" cm="1">
        <f t="array" ref="AB628">VLOOKUP(B628,'Player Data'!$A1:$AE673,16,FALSE)*$Q628</f>
        <v>57.313132209798084</v>
      </c>
      <c r="AC628" s="57" cm="1">
        <f t="array" ref="AC628">VLOOKUP(B628,'Player Data'!$A1:$AE673,17,FALSE)*$Q628*IFERROR((VLOOKUP(P628,Settings!$E$28:$F$33,2,FALSE)+1),1)</f>
        <v>-2.0752909430221935</v>
      </c>
      <c r="AD628" s="57" cm="1">
        <f t="array" ref="AD628">VLOOKUP(B628,'Player Data'!$A1:$AE673,18,FALSE)*$Q628</f>
        <v>14.905981863835621</v>
      </c>
      <c r="AE628" s="57" cm="1">
        <f t="array" ref="AE628">VLOOKUP(B628,'Player Data'!$A1:$AE673,19,FALSE)*$Q628*IFERROR((VLOOKUP(P628,Settings!$E$28:$F$33,2,FALSE)+1),1)</f>
        <v>1.157970488297924</v>
      </c>
      <c r="AF628" s="57" cm="1">
        <f t="array" ref="AF628">VLOOKUP(B628,'Player Data'!$A1:$AE673,20,FALSE)*$Q628</f>
        <v>3.0611941944792123</v>
      </c>
      <c r="AG628" s="57" cm="1">
        <f t="array" ref="AG628">VLOOKUP(B628,'Player Data'!$A1:$AE673,21,FALSE)*$Q628</f>
        <v>4.3027661751341233</v>
      </c>
      <c r="AH628" s="59" cm="1">
        <f t="array" ref="AH628">VLOOKUP(B628,'Player Data'!$A1:$AE673,22,FALSE)</f>
        <v>0.41569943900172701</v>
      </c>
      <c r="AI628" s="55"/>
      <c r="AJ628" s="57"/>
      <c r="AK628" s="57"/>
      <c r="AL628" s="57"/>
      <c r="AM628" s="57"/>
      <c r="AN628" s="57"/>
      <c r="AO628" s="57"/>
      <c r="AP628" s="57"/>
      <c r="AQ628" s="60"/>
      <c r="AR628" s="61"/>
      <c r="AS628" s="55"/>
    </row>
    <row r="629" spans="1:45" ht="21.25" customHeight="1" x14ac:dyDescent="0.15">
      <c r="A629" s="62">
        <f t="shared" si="9"/>
        <v>628</v>
      </c>
      <c r="B629" s="10" t="s">
        <v>757</v>
      </c>
      <c r="C629" s="47" t="s">
        <v>147</v>
      </c>
      <c r="D629" s="48" t="str" cm="1">
        <f t="array" ref="D629">VLOOKUP(B629,'Player Data'!A1:D673,4,FALSE)</f>
        <v>C</v>
      </c>
      <c r="E629" s="49" cm="1">
        <f t="array" ref="E629">VLOOKUP(B629,'C'!A1:C210,3,FALSE)</f>
        <v>193</v>
      </c>
      <c r="F629" s="65" t="str" cm="1">
        <f t="array" ref="F629">VLOOKUP(B629,'Player Data'!A1:B673,2,FALSE)</f>
        <v>T.B</v>
      </c>
      <c r="G629" s="71" cm="1">
        <f t="array" ref="G629">VLOOKUP(B629,'Player Data'!A1:D673,3,FALSE)</f>
        <v>22</v>
      </c>
      <c r="H629" s="51" cm="1">
        <f t="array" ref="H629">IFERROR(VLOOKUP(B629,ADP!A1:F671,6,FALSE)/1000000,VLOOKUP(B629,ADP!A1:F671,6,FALSE))</f>
        <v>0.88666699999999998</v>
      </c>
      <c r="I629" s="52">
        <f>IF(Settings!$E$15="POINTS",((R629*Q629)*Settings!$B$12)+(S629*Settings!$B$2)+(T629*Settings!$B$3)+(U629*Settings!$B$4)+(V629*Settings!$B$5)+(X629*Settings!$B$9)+(AA629*Settings!$B$6)+(W629*Settings!$B$8)+(AB629*Settings!$B$7)+(AC629*Settings!$B$14)+(AD629*Settings!$B$15)+(AE629*Settings!$B$16)+(AF629*Settings!$B$17)+(AG629*Settings!$B$18)+(Y629*Settings!$B$10)+(Z629*Settings!$B$11),VLOOKUP(B629,'Standard Deviations'!A$1:C$672,3,FALSE))</f>
        <v>101.14871676596439</v>
      </c>
      <c r="J629" s="53" cm="1">
        <f t="array" ref="J629">IF(D629="G",I629/AJ629,I629/Q629)</f>
        <v>1.6071934021762833</v>
      </c>
      <c r="K629" s="52" cm="1">
        <f t="array" ref="K629">IF(Settings!$E$18="C/LW/RW",VLOOKUP(B629,'C'!A1:F210,6,FALSE),VLOOKUP(B629,F!A1:F407,6,FALSE))</f>
        <v>-285.38648962711864</v>
      </c>
      <c r="L629" s="54" cm="1">
        <f t="array" ref="L629">IFERROR(K629/H629,"N/A")</f>
        <v>-321.86434098384018</v>
      </c>
      <c r="M629" s="85" t="s">
        <v>832</v>
      </c>
      <c r="N629" s="85" t="str" cm="1">
        <f t="array" ref="N629">IFERROR(M629-A629,"N/A")</f>
        <v>N/A</v>
      </c>
      <c r="O629" s="55"/>
      <c r="P629" s="56" t="str" cm="1">
        <f t="array" ref="P629">_xlfn.XLOOKUP($B629,ADP!A2:A671,ADP!G2:G671)</f>
        <v xml:space="preserve"> </v>
      </c>
      <c r="Q629" s="57" cm="1">
        <f t="array" ref="Q629">IF(Settings!$E$12="YES",VLOOKUP(B629,'Player Data'!A1:E673,5,FALSE),84)</f>
        <v>62.935000000000002</v>
      </c>
      <c r="R629" s="82" cm="1">
        <f t="array" ref="R629">VLOOKUP(B629,'Player Data'!$A1:$AE673,6,FALSE)</f>
        <v>11.488731723591499</v>
      </c>
      <c r="S629" s="57" cm="1">
        <f t="array" ref="S629">VLOOKUP(B629,'Player Data'!$A1:$AE673,7,FALSE)*$Q629*IFERROR((VLOOKUP(P629,Settings!$E$28:$F$33,2,FALSE)+1),1)</f>
        <v>8.4075789914536436</v>
      </c>
      <c r="T629" s="57" cm="1">
        <f t="array" ref="T629">VLOOKUP(B629,'Player Data'!$A1:$AE673,8,FALSE)*$Q629*IFERROR((VLOOKUP(P629,Settings!$E$28:$F$33,2,FALSE)+1),1)</f>
        <v>9.2233719812755002</v>
      </c>
      <c r="U629" s="57" cm="1">
        <f t="array" ref="U629">SUM(S629:T629)</f>
        <v>17.630950972729146</v>
      </c>
      <c r="V629" s="57" cm="1">
        <f t="array" ref="V629">VLOOKUP(B629,'Player Data'!$A1:$AE673,10,FALSE)*$Q629*IFERROR(((VLOOKUP(P629,Settings!$E$28:$F$33,2,FALSE)/2)+1),1)</f>
        <v>64.82935187557797</v>
      </c>
      <c r="W629" s="57" cm="1">
        <f t="array" ref="W629">VLOOKUP(B629,'Player Data'!$A1:$AE673,11,FALSE)*$Q629*IFERROR((VLOOKUP(P629,Settings!$E$28:$F$33,2,FALSE)+1),1)</f>
        <v>0.55987608089896368</v>
      </c>
      <c r="X629" s="57" cm="1">
        <f t="array" ref="X629">VLOOKUP(B629,'Player Data'!$A1:$AE673,12,FALSE)*$Q629*IFERROR((VLOOKUP(P629,Settings!$E$28:$F$33,2,FALSE)+1),1)</f>
        <v>1.2424885245057626</v>
      </c>
      <c r="Y629" s="57" cm="1">
        <f t="array" ref="Y629">VLOOKUP(B629,'Player Data'!$A1:$AE673,13,FALSE)*$Q629</f>
        <v>0</v>
      </c>
      <c r="Z629" s="57" cm="1">
        <f t="array" ref="Z629">VLOOKUP(B629,'Player Data'!$A1:$AE673,14,FALSE)*$Q629</f>
        <v>0</v>
      </c>
      <c r="AA629" s="57" cm="1">
        <f t="array" ref="AA629">VLOOKUP(B629,'Player Data'!$A1:$AE673,15,FALSE)*$Q629</f>
        <v>29.19739877096444</v>
      </c>
      <c r="AB629" s="57" cm="1">
        <f t="array" ref="AB629">VLOOKUP(B629,'Player Data'!$A1:$AE673,16,FALSE)*$Q629</f>
        <v>124.44636819925351</v>
      </c>
      <c r="AC629" s="57" cm="1">
        <f t="array" ref="AC629">VLOOKUP(B629,'Player Data'!$A1:$AE673,17,FALSE)*$Q629*IFERROR((VLOOKUP(P629,Settings!$E$28:$F$33,2,FALSE)+1),1)</f>
        <v>4.0176310544117602</v>
      </c>
      <c r="AD629" s="57" cm="1">
        <f t="array" ref="AD629">VLOOKUP(B629,'Player Data'!$A1:$AE673,18,FALSE)*$Q629</f>
        <v>20.489291248330453</v>
      </c>
      <c r="AE629" s="57" cm="1">
        <f t="array" ref="AE629">VLOOKUP(B629,'Player Data'!$A1:$AE673,19,FALSE)*$Q629*IFERROR((VLOOKUP(P629,Settings!$E$28:$F$33,2,FALSE)+1),1)</f>
        <v>1.4924246254079381</v>
      </c>
      <c r="AF629" s="57" cm="1">
        <f t="array" ref="AF629">VLOOKUP(B629,'Player Data'!$A1:$AE673,20,FALSE)*$Q629</f>
        <v>119.90194113769984</v>
      </c>
      <c r="AG629" s="57" cm="1">
        <f t="array" ref="AG629">VLOOKUP(B629,'Player Data'!$A1:$AE673,21,FALSE)*$Q629</f>
        <v>159.22793415221741</v>
      </c>
      <c r="AH629" s="59" cm="1">
        <f t="array" ref="AH629">VLOOKUP(B629,'Player Data'!$A1:$AE673,22,FALSE)</f>
        <v>0.42955610184386001</v>
      </c>
      <c r="AI629" s="55"/>
      <c r="AJ629" s="57"/>
      <c r="AK629" s="57"/>
      <c r="AL629" s="57"/>
      <c r="AM629" s="57"/>
      <c r="AN629" s="57"/>
      <c r="AO629" s="57"/>
      <c r="AP629" s="57"/>
      <c r="AQ629" s="60"/>
      <c r="AR629" s="61"/>
      <c r="AS629" s="55"/>
    </row>
    <row r="630" spans="1:45" ht="21.25" customHeight="1" x14ac:dyDescent="0.15">
      <c r="A630" s="62">
        <f t="shared" si="9"/>
        <v>629</v>
      </c>
      <c r="B630" s="10" t="s">
        <v>758</v>
      </c>
      <c r="C630" s="47" t="s">
        <v>147</v>
      </c>
      <c r="D630" s="48" t="str" cm="1">
        <f t="array" ref="D630">VLOOKUP(B630,'Player Data'!A1:D673,4,FALSE)</f>
        <v>C,LW</v>
      </c>
      <c r="E630" s="74" cm="1">
        <f t="array" ref="E630">VLOOKUP(B630,LW!A1:C210,3,FALSE)</f>
        <v>186</v>
      </c>
      <c r="F630" s="72" t="str" cm="1">
        <f t="array" ref="F630">VLOOKUP(B630,'Player Data'!A1:B673,2,FALSE)</f>
        <v>NYI</v>
      </c>
      <c r="G630" s="66" cm="1">
        <f t="array" ref="G630">VLOOKUP(B630,'Player Data'!A1:D673,3,FALSE)</f>
        <v>35</v>
      </c>
      <c r="H630" s="67" cm="1">
        <f t="array" ref="H630">IFERROR(VLOOKUP(B630,ADP!A1:F671,6,FALSE)/1000000,VLOOKUP(B630,ADP!A1:F671,6,FALSE))</f>
        <v>2.5</v>
      </c>
      <c r="I630" s="52">
        <f>IF(Settings!$E$15="POINTS",((R630*Q630)*Settings!$B$12)+(S630*Settings!$B$2)+(T630*Settings!$B$3)+(U630*Settings!$B$4)+(V630*Settings!$B$5)+(X630*Settings!$B$9)+(AA630*Settings!$B$6)+(W630*Settings!$B$8)+(AB630*Settings!$B$7)+(AC630*Settings!$B$14)+(AD630*Settings!$B$15)+(AE630*Settings!$B$16)+(AF630*Settings!$B$17)+(AG630*Settings!$B$18)+(Y630*Settings!$B$10)+(Z630*Settings!$B$11),VLOOKUP(B630,'Standard Deviations'!A$1:C$672,3,FALSE))</f>
        <v>113.78633567236672</v>
      </c>
      <c r="J630" s="53" cm="1">
        <f t="array" ref="J630">IF(D630="G",I630/AJ630,I630/Q630)</f>
        <v>1.3766835325291638</v>
      </c>
      <c r="K630" s="52" cm="1">
        <f t="array" ref="K630">IF(Settings!$E$18="C/LW/RW",VLOOKUP(B630,LW!A1:F210,6,FALSE),VLOOKUP(B630,F!A1:F407,6,FALSE))</f>
        <v>-285.52665764135338</v>
      </c>
      <c r="L630" s="54" cm="1">
        <f t="array" ref="L630">IFERROR(K630/H630,"N/A")</f>
        <v>-114.21066305654135</v>
      </c>
      <c r="M630" s="85" t="s">
        <v>832</v>
      </c>
      <c r="N630" s="85" t="str" cm="1">
        <f t="array" ref="N630">IFERROR(M630-A630,"N/A")</f>
        <v>N/A</v>
      </c>
      <c r="O630" s="55"/>
      <c r="P630" s="56" t="str" cm="1">
        <f t="array" ref="P630">_xlfn.XLOOKUP($B630,ADP!A2:A671,ADP!G2:G671)</f>
        <v xml:space="preserve"> </v>
      </c>
      <c r="Q630" s="57" cm="1">
        <f t="array" ref="Q630">IF(Settings!$E$12="YES",VLOOKUP(B630,'Player Data'!A1:E673,5,FALSE),84)</f>
        <v>82.652500000000003</v>
      </c>
      <c r="R630" s="55" cm="1">
        <f t="array" ref="R630">VLOOKUP(B630,'Player Data'!$A1:$AE673,6,FALSE)</f>
        <v>11.698905357398001</v>
      </c>
      <c r="S630" s="57" cm="1">
        <f t="array" ref="S630">VLOOKUP(B630,'Player Data'!$A1:$AE673,7,FALSE)*$Q630*IFERROR((VLOOKUP(P630,Settings!$E$28:$F$33,2,FALSE)+1),1)</f>
        <v>7.0885396301807972</v>
      </c>
      <c r="T630" s="57" cm="1">
        <f t="array" ref="T630">VLOOKUP(B630,'Player Data'!$A1:$AE673,8,FALSE)*$Q630*IFERROR((VLOOKUP(P630,Settings!$E$28:$F$33,2,FALSE)+1),1)</f>
        <v>7.5187143019786893</v>
      </c>
      <c r="U630" s="57" cm="1">
        <f t="array" ref="U630">SUM(S630:T630)</f>
        <v>14.607253932159487</v>
      </c>
      <c r="V630" s="57" cm="1">
        <f t="array" ref="V630">VLOOKUP(B630,'Player Data'!$A1:$AE673,10,FALSE)*$Q630*IFERROR(((VLOOKUP(P630,Settings!$E$28:$F$33,2,FALSE)/2)+1),1)</f>
        <v>79.71471783642869</v>
      </c>
      <c r="W630" s="57" cm="1">
        <f t="array" ref="W630">VLOOKUP(B630,'Player Data'!$A1:$AE673,11,FALSE)*$Q630*IFERROR((VLOOKUP(P630,Settings!$E$28:$F$33,2,FALSE)+1),1)</f>
        <v>2.8404382081030043E-2</v>
      </c>
      <c r="X630" s="57" cm="1">
        <f t="array" ref="X630">VLOOKUP(B630,'Player Data'!$A1:$AE673,12,FALSE)*$Q630*IFERROR((VLOOKUP(P630,Settings!$E$28:$F$33,2,FALSE)+1),1)</f>
        <v>9.8929449486613752E-2</v>
      </c>
      <c r="Y630" s="57" cm="1">
        <f t="array" ref="Y630">VLOOKUP(B630,'Player Data'!$A1:$AE673,13,FALSE)*$Q630</f>
        <v>0.85100217093428376</v>
      </c>
      <c r="Z630" s="57" cm="1">
        <f t="array" ref="Z630">VLOOKUP(B630,'Player Data'!$A1:$AE673,14,FALSE)*$Q630</f>
        <v>1.3254120773908147</v>
      </c>
      <c r="AA630" s="57" cm="1">
        <f t="array" ref="AA630">VLOOKUP(B630,'Player Data'!$A1:$AE673,15,FALSE)*$Q630</f>
        <v>57.365746861592989</v>
      </c>
      <c r="AB630" s="57" cm="1">
        <f t="array" ref="AB630">VLOOKUP(B630,'Player Data'!$A1:$AE673,16,FALSE)*$Q630</f>
        <v>155.06308529048425</v>
      </c>
      <c r="AC630" s="57" cm="1">
        <f t="array" ref="AC630">VLOOKUP(B630,'Player Data'!$A1:$AE673,17,FALSE)*$Q630*IFERROR((VLOOKUP(P630,Settings!$E$28:$F$33,2,FALSE)+1),1)</f>
        <v>-4.3573081250996148</v>
      </c>
      <c r="AD630" s="57" cm="1">
        <f t="array" ref="AD630">VLOOKUP(B630,'Player Data'!$A1:$AE673,18,FALSE)*$Q630</f>
        <v>25.443560870811428</v>
      </c>
      <c r="AE630" s="57" cm="1">
        <f t="array" ref="AE630">VLOOKUP(B630,'Player Data'!$A1:$AE673,19,FALSE)*$Q630*IFERROR((VLOOKUP(P630,Settings!$E$28:$F$33,2,FALSE)+1),1)</f>
        <v>1.035220772088802</v>
      </c>
      <c r="AF630" s="57" cm="1">
        <f t="array" ref="AF630">VLOOKUP(B630,'Player Data'!$A1:$AE673,20,FALSE)*$Q630</f>
        <v>345.75658769664307</v>
      </c>
      <c r="AG630" s="57" cm="1">
        <f t="array" ref="AG630">VLOOKUP(B630,'Player Data'!$A1:$AE673,21,FALSE)*$Q630</f>
        <v>288.09213063976927</v>
      </c>
      <c r="AH630" s="59" cm="1">
        <f t="array" ref="AH630">VLOOKUP(B630,'Player Data'!$A1:$AE673,22,FALSE)</f>
        <v>0.54548755514424596</v>
      </c>
      <c r="AI630" s="55"/>
      <c r="AJ630" s="57"/>
      <c r="AK630" s="57"/>
      <c r="AL630" s="57"/>
      <c r="AM630" s="57"/>
      <c r="AN630" s="57"/>
      <c r="AO630" s="57"/>
      <c r="AP630" s="57"/>
      <c r="AQ630" s="60"/>
      <c r="AR630" s="61"/>
      <c r="AS630" s="55"/>
    </row>
    <row r="631" spans="1:45" ht="21.25" customHeight="1" x14ac:dyDescent="0.15">
      <c r="A631" s="62">
        <f t="shared" si="9"/>
        <v>630</v>
      </c>
      <c r="B631" s="10" t="s">
        <v>759</v>
      </c>
      <c r="C631" s="47" t="s">
        <v>147</v>
      </c>
      <c r="D631" s="48" t="str" cm="1">
        <f t="array" ref="D631">VLOOKUP(B631,'Player Data'!A1:D673,4,FALSE)</f>
        <v>RW</v>
      </c>
      <c r="E631" s="64" cm="1">
        <f t="array" ref="E631">VLOOKUP(B631,RW!A1:F210,3,FALSE)</f>
        <v>192</v>
      </c>
      <c r="F631" s="69" t="str" cm="1">
        <f t="array" ref="F631">VLOOKUP(B631,'Player Data'!A1:B673,2,FALSE)</f>
        <v>N.J</v>
      </c>
      <c r="G631" s="71" cm="1">
        <f t="array" ref="G631">VLOOKUP(B631,'Player Data'!A1:D673,3,FALSE)</f>
        <v>21</v>
      </c>
      <c r="H631" s="51" cm="1">
        <f t="array" ref="H631">IFERROR(VLOOKUP(B631,ADP!A1:F671,6,FALSE)/1000000,VLOOKUP(B631,ADP!A1:F671,6,FALSE))</f>
        <v>0.95</v>
      </c>
      <c r="I631" s="52">
        <f>IF(Settings!$E$15="POINTS",((R631*Q631)*Settings!$B$12)+(S631*Settings!$B$2)+(T631*Settings!$B$3)+(U631*Settings!$B$4)+(V631*Settings!$B$5)+(X631*Settings!$B$9)+(AA631*Settings!$B$6)+(W631*Settings!$B$8)+(AB631*Settings!$B$7)+(AC631*Settings!$B$14)+(AD631*Settings!$B$15)+(AE631*Settings!$B$16)+(AF631*Settings!$B$17)+(AG631*Settings!$B$18)+(Y631*Settings!$B$10)+(Z631*Settings!$B$11),VLOOKUP(B631,'Standard Deviations'!A$1:C$672,3,FALSE))</f>
        <v>108.83383264040141</v>
      </c>
      <c r="J631" s="53" cm="1">
        <f t="array" ref="J631">IF(D631="G",I631/AJ631,I631/Q631)</f>
        <v>1.7086715227317908</v>
      </c>
      <c r="K631" s="52" cm="1">
        <f t="array" ref="K631">IF(Settings!$E$18="C/LW/RW",VLOOKUP(B631,RW!A1:F210,6,FALSE),VLOOKUP(B631,F!A1:F407,6,FALSE))</f>
        <v>-286.10963205315608</v>
      </c>
      <c r="L631" s="54" cm="1">
        <f t="array" ref="L631">IFERROR(K631/H631,"N/A")</f>
        <v>-301.16803374016433</v>
      </c>
      <c r="M631" s="85" t="s">
        <v>832</v>
      </c>
      <c r="N631" s="85" t="str" cm="1">
        <f t="array" ref="N631">IFERROR(M631-A631,"N/A")</f>
        <v>N/A</v>
      </c>
      <c r="O631" s="55"/>
      <c r="P631" s="56" t="str" cm="1">
        <f t="array" ref="P631">_xlfn.XLOOKUP($B631,ADP!A2:A671,ADP!G2:G671)</f>
        <v xml:space="preserve"> </v>
      </c>
      <c r="Q631" s="57" cm="1">
        <f t="array" ref="Q631">IF(Settings!$E$12="YES",VLOOKUP(B631,'Player Data'!A1:E673,5,FALSE),84)</f>
        <v>63.695</v>
      </c>
      <c r="R631" s="55" cm="1">
        <f t="array" ref="R631">VLOOKUP(B631,'Player Data'!$A1:$AE673,6,FALSE)</f>
        <v>11.2923988657562</v>
      </c>
      <c r="S631" s="57" cm="1">
        <f t="array" ref="S631">VLOOKUP(B631,'Player Data'!$A1:$AE673,7,FALSE)*$Q631*IFERROR((VLOOKUP(P631,Settings!$E$28:$F$33,2,FALSE)+1),1)</f>
        <v>6.275923844582989</v>
      </c>
      <c r="T631" s="57" cm="1">
        <f t="array" ref="T631">VLOOKUP(B631,'Player Data'!$A1:$AE673,8,FALSE)*$Q631*IFERROR((VLOOKUP(P631,Settings!$E$28:$F$33,2,FALSE)+1),1)</f>
        <v>11.476845717672544</v>
      </c>
      <c r="U631" s="57" cm="1">
        <f t="array" ref="U631">SUM(S631:T631)</f>
        <v>17.752769562255533</v>
      </c>
      <c r="V631" s="57" cm="1">
        <f t="array" ref="V631">VLOOKUP(B631,'Player Data'!$A1:$AE673,10,FALSE)*$Q631*IFERROR(((VLOOKUP(P631,Settings!$E$28:$F$33,2,FALSE)/2)+1),1)</f>
        <v>81.448737612784953</v>
      </c>
      <c r="W631" s="57" cm="1">
        <f t="array" ref="W631">VLOOKUP(B631,'Player Data'!$A1:$AE673,11,FALSE)*$Q631*IFERROR((VLOOKUP(P631,Settings!$E$28:$F$33,2,FALSE)+1),1)</f>
        <v>3.0547201943184055E-2</v>
      </c>
      <c r="X631" s="57" cm="1">
        <f t="array" ref="X631">VLOOKUP(B631,'Player Data'!$A1:$AE673,12,FALSE)*$Q631*IFERROR((VLOOKUP(P631,Settings!$E$28:$F$33,2,FALSE)+1),1)</f>
        <v>6.4981552884752991E-2</v>
      </c>
      <c r="Y631" s="57" cm="1">
        <f t="array" ref="Y631">VLOOKUP(B631,'Player Data'!$A1:$AE673,13,FALSE)*$Q631</f>
        <v>0</v>
      </c>
      <c r="Z631" s="57" cm="1">
        <f t="array" ref="Z631">VLOOKUP(B631,'Player Data'!$A1:$AE673,14,FALSE)*$Q631</f>
        <v>0</v>
      </c>
      <c r="AA631" s="57" cm="1">
        <f t="array" ref="AA631">VLOOKUP(B631,'Player Data'!$A1:$AE673,15,FALSE)*$Q631</f>
        <v>29.572347188715149</v>
      </c>
      <c r="AB631" s="57" cm="1">
        <f t="array" ref="AB631">VLOOKUP(B631,'Player Data'!$A1:$AE673,16,FALSE)*$Q631</f>
        <v>60.590208633908873</v>
      </c>
      <c r="AC631" s="57" cm="1">
        <f t="array" ref="AC631">VLOOKUP(B631,'Player Data'!$A1:$AE673,17,FALSE)*$Q631*IFERROR((VLOOKUP(P631,Settings!$E$28:$F$33,2,FALSE)+1),1)</f>
        <v>-0.10715060329473937</v>
      </c>
      <c r="AD631" s="57" cm="1">
        <f t="array" ref="AD631">VLOOKUP(B631,'Player Data'!$A1:$AE673,18,FALSE)*$Q631</f>
        <v>19.745914240016976</v>
      </c>
      <c r="AE631" s="57" cm="1">
        <f t="array" ref="AE631">VLOOKUP(B631,'Player Data'!$A1:$AE673,19,FALSE)*$Q631*IFERROR((VLOOKUP(P631,Settings!$E$28:$F$33,2,FALSE)+1),1)</f>
        <v>0.93803608476165978</v>
      </c>
      <c r="AF631" s="57" cm="1">
        <f t="array" ref="AF631">VLOOKUP(B631,'Player Data'!$A1:$AE673,20,FALSE)*$Q631</f>
        <v>0</v>
      </c>
      <c r="AG631" s="57" cm="1">
        <f t="array" ref="AG631">VLOOKUP(B631,'Player Data'!$A1:$AE673,21,FALSE)*$Q631</f>
        <v>8.9465812447676409</v>
      </c>
      <c r="AH631" s="59" cm="1">
        <f t="array" ref="AH631">VLOOKUP(B631,'Player Data'!$A1:$AE673,22,FALSE)</f>
        <v>0</v>
      </c>
      <c r="AI631" s="55"/>
      <c r="AJ631" s="57"/>
      <c r="AK631" s="57"/>
      <c r="AL631" s="57"/>
      <c r="AM631" s="57"/>
      <c r="AN631" s="57"/>
      <c r="AO631" s="57"/>
      <c r="AP631" s="57"/>
      <c r="AQ631" s="60"/>
      <c r="AR631" s="61"/>
      <c r="AS631" s="55"/>
    </row>
    <row r="632" spans="1:45" ht="21.25" customHeight="1" x14ac:dyDescent="0.15">
      <c r="A632" s="62">
        <f t="shared" si="9"/>
        <v>631</v>
      </c>
      <c r="B632" s="10" t="s">
        <v>760</v>
      </c>
      <c r="C632" s="47" t="s">
        <v>147</v>
      </c>
      <c r="D632" s="48" t="str" cm="1">
        <f t="array" ref="D632">VLOOKUP(B632,'Player Data'!A1:D673,4,FALSE)</f>
        <v>C</v>
      </c>
      <c r="E632" s="49" cm="1">
        <f t="array" ref="E632">VLOOKUP(B632,'C'!A1:C210,3,FALSE)</f>
        <v>194</v>
      </c>
      <c r="F632" s="69" t="str" cm="1">
        <f t="array" ref="F632">VLOOKUP(B632,'Player Data'!A1:B673,2,FALSE)</f>
        <v>CBJ</v>
      </c>
      <c r="G632" s="11" cm="1">
        <f t="array" ref="G632">VLOOKUP(B632,'Player Data'!A1:D673,3,FALSE)</f>
        <v>26</v>
      </c>
      <c r="H632" s="67" cm="1">
        <f t="array" ref="H632">IFERROR(VLOOKUP(B632,ADP!A1:F671,6,FALSE)/1000000,VLOOKUP(B632,ADP!A1:F671,6,FALSE))</f>
        <v>1.3</v>
      </c>
      <c r="I632" s="52">
        <f>IF(Settings!$E$15="POINTS",((R632*Q632)*Settings!$B$12)+(S632*Settings!$B$2)+(T632*Settings!$B$3)+(U632*Settings!$B$4)+(V632*Settings!$B$5)+(X632*Settings!$B$9)+(AA632*Settings!$B$6)+(W632*Settings!$B$8)+(AB632*Settings!$B$7)+(AC632*Settings!$B$14)+(AD632*Settings!$B$15)+(AE632*Settings!$B$16)+(AF632*Settings!$B$17)+(AG632*Settings!$B$18)+(Y632*Settings!$B$10)+(Z632*Settings!$B$11),VLOOKUP(B632,'Standard Deviations'!A$1:C$672,3,FALSE))</f>
        <v>99.305912980814497</v>
      </c>
      <c r="J632" s="53" cm="1">
        <f t="array" ref="J632">IF(D632="G",I632/AJ632,I632/Q632)</f>
        <v>1.2808294970601297</v>
      </c>
      <c r="K632" s="52" cm="1">
        <f t="array" ref="K632">IF(Settings!$E$18="C/LW/RW",VLOOKUP(B632,'C'!A1:F210,6,FALSE),VLOOKUP(B632,F!A1:F407,6,FALSE))</f>
        <v>-287.22929341226848</v>
      </c>
      <c r="L632" s="54" cm="1">
        <f t="array" ref="L632">IFERROR(K632/H632,"N/A")</f>
        <v>-220.94561031712959</v>
      </c>
      <c r="M632" s="85" t="s">
        <v>832</v>
      </c>
      <c r="N632" s="85" t="str" cm="1">
        <f t="array" ref="N632">IFERROR(M632-A632,"N/A")</f>
        <v>N/A</v>
      </c>
      <c r="O632" s="55"/>
      <c r="P632" s="56" t="str" cm="1">
        <f t="array" ref="P632">_xlfn.XLOOKUP($B632,ADP!A2:A671,ADP!G2:G671)</f>
        <v xml:space="preserve"> </v>
      </c>
      <c r="Q632" s="57" cm="1">
        <f t="array" ref="Q632">IF(Settings!$E$12="YES",VLOOKUP(B632,'Player Data'!A1:E673,5,FALSE),84)</f>
        <v>77.532499999999999</v>
      </c>
      <c r="R632" s="55" cm="1">
        <f t="array" ref="R632">VLOOKUP(B632,'Player Data'!$A1:$AE673,6,FALSE)</f>
        <v>12.3616851271229</v>
      </c>
      <c r="S632" s="57" cm="1">
        <f t="array" ref="S632">VLOOKUP(B632,'Player Data'!$A1:$AE673,7,FALSE)*$Q632*IFERROR((VLOOKUP(P632,Settings!$E$28:$F$33,2,FALSE)+1),1)</f>
        <v>5.5223333149141212</v>
      </c>
      <c r="T632" s="57" cm="1">
        <f t="array" ref="T632">VLOOKUP(B632,'Player Data'!$A1:$AE673,8,FALSE)*$Q632*IFERROR((VLOOKUP(P632,Settings!$E$28:$F$33,2,FALSE)+1),1)</f>
        <v>9.7791396592069315</v>
      </c>
      <c r="U632" s="57" cm="1">
        <f t="array" ref="U632">SUM(S632:T632)</f>
        <v>15.301472974121053</v>
      </c>
      <c r="V632" s="57" cm="1">
        <f t="array" ref="V632">VLOOKUP(B632,'Player Data'!$A1:$AE673,10,FALSE)*$Q632*IFERROR(((VLOOKUP(P632,Settings!$E$28:$F$33,2,FALSE)/2)+1),1)</f>
        <v>60.705537050638938</v>
      </c>
      <c r="W632" s="57" cm="1">
        <f t="array" ref="W632">VLOOKUP(B632,'Player Data'!$A1:$AE673,11,FALSE)*$Q632*IFERROR((VLOOKUP(P632,Settings!$E$28:$F$33,2,FALSE)+1),1)</f>
        <v>3.870012116012217E-2</v>
      </c>
      <c r="X632" s="57" cm="1">
        <f t="array" ref="X632">VLOOKUP(B632,'Player Data'!$A1:$AE673,12,FALSE)*$Q632*IFERROR((VLOOKUP(P632,Settings!$E$28:$F$33,2,FALSE)+1),1)</f>
        <v>0.11699097444057473</v>
      </c>
      <c r="Y632" s="57" cm="1">
        <f t="array" ref="Y632">VLOOKUP(B632,'Player Data'!$A1:$AE673,13,FALSE)*$Q632</f>
        <v>0.21540302427273283</v>
      </c>
      <c r="Z632" s="57" cm="1">
        <f t="array" ref="Z632">VLOOKUP(B632,'Player Data'!$A1:$AE673,14,FALSE)*$Q632</f>
        <v>0.27392499116128366</v>
      </c>
      <c r="AA632" s="57" cm="1">
        <f t="array" ref="AA632">VLOOKUP(B632,'Player Data'!$A1:$AE673,15,FALSE)*$Q632</f>
        <v>45.315619135060054</v>
      </c>
      <c r="AB632" s="57" cm="1">
        <f t="array" ref="AB632">VLOOKUP(B632,'Player Data'!$A1:$AE673,16,FALSE)*$Q632</f>
        <v>56.565168857727556</v>
      </c>
      <c r="AC632" s="57" cm="1">
        <f t="array" ref="AC632">VLOOKUP(B632,'Player Data'!$A1:$AE673,17,FALSE)*$Q632*IFERROR((VLOOKUP(P632,Settings!$E$28:$F$33,2,FALSE)+1),1)</f>
        <v>-0.32381863637261105</v>
      </c>
      <c r="AD632" s="57" cm="1">
        <f t="array" ref="AD632">VLOOKUP(B632,'Player Data'!$A1:$AE673,18,FALSE)*$Q632</f>
        <v>10.692966852671645</v>
      </c>
      <c r="AE632" s="57" cm="1">
        <f t="array" ref="AE632">VLOOKUP(B632,'Player Data'!$A1:$AE673,19,FALSE)*$Q632*IFERROR((VLOOKUP(P632,Settings!$E$28:$F$33,2,FALSE)+1),1)</f>
        <v>0.88987561945663207</v>
      </c>
      <c r="AF632" s="57" cm="1">
        <f t="array" ref="AF632">VLOOKUP(B632,'Player Data'!$A1:$AE673,20,FALSE)*$Q632</f>
        <v>204.64960265210303</v>
      </c>
      <c r="AG632" s="57" cm="1">
        <f t="array" ref="AG632">VLOOKUP(B632,'Player Data'!$A1:$AE673,21,FALSE)*$Q632</f>
        <v>218.61150352125873</v>
      </c>
      <c r="AH632" s="59" cm="1">
        <f t="array" ref="AH632">VLOOKUP(B632,'Player Data'!$A1:$AE673,22,FALSE)</f>
        <v>0.48350675190146503</v>
      </c>
      <c r="AI632" s="55"/>
      <c r="AJ632" s="57"/>
      <c r="AK632" s="57"/>
      <c r="AL632" s="57"/>
      <c r="AM632" s="57"/>
      <c r="AN632" s="57"/>
      <c r="AO632" s="57"/>
      <c r="AP632" s="57"/>
      <c r="AQ632" s="60"/>
      <c r="AR632" s="61"/>
      <c r="AS632" s="55"/>
    </row>
    <row r="633" spans="1:45" ht="21.25" customHeight="1" x14ac:dyDescent="0.15">
      <c r="A633" s="62">
        <f t="shared" si="9"/>
        <v>632</v>
      </c>
      <c r="B633" s="10" t="s">
        <v>761</v>
      </c>
      <c r="C633" s="47" t="s">
        <v>147</v>
      </c>
      <c r="D633" s="48" t="str" cm="1">
        <f t="array" ref="D633">VLOOKUP(B633,'Player Data'!A1:D673,4,FALSE)</f>
        <v>C,LW</v>
      </c>
      <c r="E633" s="74" cm="1">
        <f t="array" ref="E633">VLOOKUP(B633,LW!A1:C210,3,FALSE)</f>
        <v>187</v>
      </c>
      <c r="F633" s="70" t="str" cm="1">
        <f t="array" ref="F633">VLOOKUP(B633,'Player Data'!A1:B673,2,FALSE)</f>
        <v>MIN</v>
      </c>
      <c r="G633" s="66" cm="1">
        <f t="array" ref="G633">VLOOKUP(B633,'Player Data'!A1:D673,3,FALSE)</f>
        <v>38</v>
      </c>
      <c r="H633" s="67" cm="1">
        <f t="array" ref="H633">IFERROR(VLOOKUP(B633,ADP!A1:F671,6,FALSE)/1000000,VLOOKUP(B633,ADP!A1:F671,6,FALSE))</f>
        <v>0.9</v>
      </c>
      <c r="I633" s="52">
        <f>IF(Settings!$E$15="POINTS",((R633*Q633)*Settings!$B$12)+(S633*Settings!$B$2)+(T633*Settings!$B$3)+(U633*Settings!$B$4)+(V633*Settings!$B$5)+(X633*Settings!$B$9)+(AA633*Settings!$B$6)+(W633*Settings!$B$8)+(AB633*Settings!$B$7)+(AC633*Settings!$B$14)+(AD633*Settings!$B$15)+(AE633*Settings!$B$16)+(AF633*Settings!$B$17)+(AG633*Settings!$B$18)+(Y633*Settings!$B$10)+(Z633*Settings!$B$11),VLOOKUP(B633,'Standard Deviations'!A$1:C$672,3,FALSE))</f>
        <v>111.82424172119796</v>
      </c>
      <c r="J633" s="53" cm="1">
        <f t="array" ref="J633">IF(D633="G",I633/AJ633,I633/Q633)</f>
        <v>1.4389942313884696</v>
      </c>
      <c r="K633" s="52" cm="1">
        <f t="array" ref="K633">IF(Settings!$E$18="C/LW/RW",VLOOKUP(B633,LW!A1:F210,6,FALSE),VLOOKUP(B633,F!A1:F407,6,FALSE))</f>
        <v>-287.48875159252214</v>
      </c>
      <c r="L633" s="54" cm="1">
        <f t="array" ref="L633">IFERROR(K633/H633,"N/A")</f>
        <v>-319.43194621391348</v>
      </c>
      <c r="M633" s="85" t="s">
        <v>832</v>
      </c>
      <c r="N633" s="85" t="str" cm="1">
        <f t="array" ref="N633">IFERROR(M633-A633,"N/A")</f>
        <v>N/A</v>
      </c>
      <c r="O633" s="55"/>
      <c r="P633" s="56" t="str" cm="1">
        <f t="array" ref="P633">_xlfn.XLOOKUP($B633,ADP!A2:A671,ADP!G2:G671)</f>
        <v xml:space="preserve"> </v>
      </c>
      <c r="Q633" s="57" cm="1">
        <f t="array" ref="Q633">IF(Settings!$E$12="YES",VLOOKUP(B633,'Player Data'!A1:E673,5,FALSE),84)</f>
        <v>77.709999999999994</v>
      </c>
      <c r="R633" s="84" cm="1">
        <f t="array" ref="R633">VLOOKUP(B633,'Player Data'!$A1:$AE673,6,FALSE)</f>
        <v>11.085299866263</v>
      </c>
      <c r="S633" s="57" cm="1">
        <f t="array" ref="S633">VLOOKUP(B633,'Player Data'!$A1:$AE673,7,FALSE)*$Q633*IFERROR((VLOOKUP(P633,Settings!$E$28:$F$33,2,FALSE)+1),1)</f>
        <v>7.5563945894160778</v>
      </c>
      <c r="T633" s="57" cm="1">
        <f t="array" ref="T633">VLOOKUP(B633,'Player Data'!$A1:$AE673,8,FALSE)*$Q633*IFERROR((VLOOKUP(P633,Settings!$E$28:$F$33,2,FALSE)+1),1)</f>
        <v>11.400055924194415</v>
      </c>
      <c r="U633" s="57" cm="1">
        <f t="array" ref="U633">SUM(S633:T633)</f>
        <v>18.956450513610491</v>
      </c>
      <c r="V633" s="57" cm="1">
        <f t="array" ref="V633">VLOOKUP(B633,'Player Data'!$A1:$AE673,10,FALSE)*$Q633*IFERROR(((VLOOKUP(P633,Settings!$E$28:$F$33,2,FALSE)/2)+1),1)</f>
        <v>71.905061645639876</v>
      </c>
      <c r="W633" s="57" cm="1">
        <f t="array" ref="W633">VLOOKUP(B633,'Player Data'!$A1:$AE673,11,FALSE)*$Q633*IFERROR((VLOOKUP(P633,Settings!$E$28:$F$33,2,FALSE)+1),1)</f>
        <v>0.40771222817397168</v>
      </c>
      <c r="X633" s="57" cm="1">
        <f t="array" ref="X633">VLOOKUP(B633,'Player Data'!$A1:$AE673,12,FALSE)*$Q633*IFERROR((VLOOKUP(P633,Settings!$E$28:$F$33,2,FALSE)+1),1)</f>
        <v>1.0005970560503734</v>
      </c>
      <c r="Y633" s="57" cm="1">
        <f t="array" ref="Y633">VLOOKUP(B633,'Player Data'!$A1:$AE673,13,FALSE)*$Q633</f>
        <v>0.16018514615498011</v>
      </c>
      <c r="Z633" s="57" cm="1">
        <f t="array" ref="Z633">VLOOKUP(B633,'Player Data'!$A1:$AE673,14,FALSE)*$Q633</f>
        <v>0.31942575817445606</v>
      </c>
      <c r="AA633" s="57" cm="1">
        <f t="array" ref="AA633">VLOOKUP(B633,'Player Data'!$A1:$AE673,15,FALSE)*$Q633</f>
        <v>35.364673086643464</v>
      </c>
      <c r="AB633" s="57" cm="1">
        <f t="array" ref="AB633">VLOOKUP(B633,'Player Data'!$A1:$AE673,16,FALSE)*$Q633</f>
        <v>159.42455463766004</v>
      </c>
      <c r="AC633" s="57" cm="1">
        <f t="array" ref="AC633">VLOOKUP(B633,'Player Data'!$A1:$AE673,17,FALSE)*$Q633*IFERROR((VLOOKUP(P633,Settings!$E$28:$F$33,2,FALSE)+1),1)</f>
        <v>2.1280371542610408</v>
      </c>
      <c r="AD633" s="57" cm="1">
        <f t="array" ref="AD633">VLOOKUP(B633,'Player Data'!$A1:$AE673,18,FALSE)*$Q633</f>
        <v>35.895197093032479</v>
      </c>
      <c r="AE633" s="57" cm="1">
        <f t="array" ref="AE633">VLOOKUP(B633,'Player Data'!$A1:$AE673,19,FALSE)*$Q633*IFERROR((VLOOKUP(P633,Settings!$E$28:$F$33,2,FALSE)+1),1)</f>
        <v>1.2308195160627418</v>
      </c>
      <c r="AF633" s="57" cm="1">
        <f t="array" ref="AF633">VLOOKUP(B633,'Player Data'!$A1:$AE673,20,FALSE)*$Q633</f>
        <v>229.99152364226708</v>
      </c>
      <c r="AG633" s="57" cm="1">
        <f t="array" ref="AG633">VLOOKUP(B633,'Player Data'!$A1:$AE673,21,FALSE)*$Q633</f>
        <v>231.18638740168464</v>
      </c>
      <c r="AH633" s="59" cm="1">
        <f t="array" ref="AH633">VLOOKUP(B633,'Player Data'!$A1:$AE673,22,FALSE)</f>
        <v>0.49870455226626897</v>
      </c>
      <c r="AI633" s="55"/>
      <c r="AJ633" s="57"/>
      <c r="AK633" s="57"/>
      <c r="AL633" s="57"/>
      <c r="AM633" s="57"/>
      <c r="AN633" s="57"/>
      <c r="AO633" s="57"/>
      <c r="AP633" s="57"/>
      <c r="AQ633" s="60"/>
      <c r="AR633" s="61"/>
      <c r="AS633" s="55"/>
    </row>
    <row r="634" spans="1:45" ht="21.25" customHeight="1" x14ac:dyDescent="0.15">
      <c r="A634" s="62">
        <f t="shared" si="9"/>
        <v>633</v>
      </c>
      <c r="B634" s="10" t="s">
        <v>762</v>
      </c>
      <c r="C634" s="47" t="s">
        <v>147</v>
      </c>
      <c r="D634" s="48" t="str" cm="1">
        <f t="array" ref="D634">VLOOKUP(B634,'Player Data'!A1:D673,4,FALSE)</f>
        <v>LW,RW</v>
      </c>
      <c r="E634" s="74" cm="1">
        <f t="array" ref="E634">VLOOKUP(B634,RW!A1:F210,3,FALSE)</f>
        <v>193</v>
      </c>
      <c r="F634" s="72" t="str" cm="1">
        <f t="array" ref="F634">VLOOKUP(B634,'Player Data'!A1:B673,2,FALSE)</f>
        <v>PIT</v>
      </c>
      <c r="G634" s="11" cm="1">
        <f t="array" ref="G634">VLOOKUP(B634,'Player Data'!A1:D673,3,FALSE)</f>
        <v>25</v>
      </c>
      <c r="H634" s="67" cm="1">
        <f t="array" ref="H634">IFERROR(VLOOKUP(B634,ADP!A1:F671,6,FALSE)/1000000,VLOOKUP(B634,ADP!A1:F671,6,FALSE))</f>
        <v>1.125</v>
      </c>
      <c r="I634" s="52">
        <f>IF(Settings!$E$15="POINTS",((R634*Q634)*Settings!$B$12)+(S634*Settings!$B$2)+(T634*Settings!$B$3)+(U634*Settings!$B$4)+(V634*Settings!$B$5)+(X634*Settings!$B$9)+(AA634*Settings!$B$6)+(W634*Settings!$B$8)+(AB634*Settings!$B$7)+(AC634*Settings!$B$14)+(AD634*Settings!$B$15)+(AE634*Settings!$B$16)+(AF634*Settings!$B$17)+(AG634*Settings!$B$18)+(Y634*Settings!$B$10)+(Z634*Settings!$B$11),VLOOKUP(B634,'Standard Deviations'!A$1:C$672,3,FALSE))</f>
        <v>107.00244650214873</v>
      </c>
      <c r="J634" s="53" cm="1">
        <f t="array" ref="J634">IF(D634="G",I634/AJ634,I634/Q634)</f>
        <v>1.5655648926756462</v>
      </c>
      <c r="K634" s="52" cm="1">
        <f t="array" ref="K634">IF(Settings!$E$18="C/LW/RW",VLOOKUP(B634,RW!A1:F210,6,FALSE),VLOOKUP(B634,F!A1:F407,6,FALSE))</f>
        <v>-287.94101819140872</v>
      </c>
      <c r="L634" s="54" cm="1">
        <f t="array" ref="L634">IFERROR(K634/H634,"N/A")</f>
        <v>-255.94757172569663</v>
      </c>
      <c r="M634" s="85" t="s">
        <v>832</v>
      </c>
      <c r="N634" s="85" t="str" cm="1">
        <f t="array" ref="N634">IFERROR(M634-A634,"N/A")</f>
        <v>N/A</v>
      </c>
      <c r="O634" s="55"/>
      <c r="P634" s="56" t="str" cm="1">
        <f t="array" ref="P634">_xlfn.XLOOKUP($B634,ADP!A2:A671,ADP!G2:G671)</f>
        <v xml:space="preserve"> </v>
      </c>
      <c r="Q634" s="57" cm="1">
        <f t="array" ref="Q634">IF(Settings!$E$12="YES",VLOOKUP(B634,'Player Data'!A1:E673,5,FALSE),84)</f>
        <v>68.347499999999997</v>
      </c>
      <c r="R634" s="55" cm="1">
        <f t="array" ref="R634">VLOOKUP(B634,'Player Data'!$A1:$AE673,6,FALSE)</f>
        <v>11.045674958583099</v>
      </c>
      <c r="S634" s="57" cm="1">
        <f t="array" ref="S634">VLOOKUP(B634,'Player Data'!$A1:$AE673,7,FALSE)*$Q634*IFERROR((VLOOKUP(P634,Settings!$E$28:$F$33,2,FALSE)+1),1)</f>
        <v>8.3630240267687643</v>
      </c>
      <c r="T634" s="57" cm="1">
        <f t="array" ref="T634">VLOOKUP(B634,'Player Data'!$A1:$AE673,8,FALSE)*$Q634*IFERROR((VLOOKUP(P634,Settings!$E$28:$F$33,2,FALSE)+1),1)</f>
        <v>9.9427151649259731</v>
      </c>
      <c r="U634" s="57" cm="1">
        <f t="array" ref="U634">SUM(S634:T634)</f>
        <v>18.305739191694737</v>
      </c>
      <c r="V634" s="57" cm="1">
        <f t="array" ref="V634">VLOOKUP(B634,'Player Data'!$A1:$AE673,10,FALSE)*$Q634*IFERROR(((VLOOKUP(P634,Settings!$E$28:$F$33,2,FALSE)/2)+1),1)</f>
        <v>79.691197678455367</v>
      </c>
      <c r="W634" s="57" cm="1">
        <f t="array" ref="W634">VLOOKUP(B634,'Player Data'!$A1:$AE673,11,FALSE)*$Q634*IFERROR((VLOOKUP(P634,Settings!$E$28:$F$33,2,FALSE)+1),1)</f>
        <v>6.5294957363386447E-2</v>
      </c>
      <c r="X634" s="57" cm="1">
        <f t="array" ref="X634">VLOOKUP(B634,'Player Data'!$A1:$AE673,12,FALSE)*$Q634*IFERROR((VLOOKUP(P634,Settings!$E$28:$F$33,2,FALSE)+1),1)</f>
        <v>0.14414322125930132</v>
      </c>
      <c r="Y634" s="57" cm="1">
        <f t="array" ref="Y634">VLOOKUP(B634,'Player Data'!$A1:$AE673,13,FALSE)*$Q634</f>
        <v>3.7643837139980582E-2</v>
      </c>
      <c r="Z634" s="57" cm="1">
        <f t="array" ref="Z634">VLOOKUP(B634,'Player Data'!$A1:$AE673,14,FALSE)*$Q634</f>
        <v>6.2030923703527023E-2</v>
      </c>
      <c r="AA634" s="57" cm="1">
        <f t="array" ref="AA634">VLOOKUP(B634,'Player Data'!$A1:$AE673,15,FALSE)*$Q634</f>
        <v>24.066911885747988</v>
      </c>
      <c r="AB634" s="57" cm="1">
        <f t="array" ref="AB634">VLOOKUP(B634,'Player Data'!$A1:$AE673,16,FALSE)*$Q634</f>
        <v>110.62131477669702</v>
      </c>
      <c r="AC634" s="57" cm="1">
        <f t="array" ref="AC634">VLOOKUP(B634,'Player Data'!$A1:$AE673,17,FALSE)*$Q634*IFERROR((VLOOKUP(P634,Settings!$E$28:$F$33,2,FALSE)+1),1)</f>
        <v>0.14790312048795151</v>
      </c>
      <c r="AD634" s="57" cm="1">
        <f t="array" ref="AD634">VLOOKUP(B634,'Player Data'!$A1:$AE673,18,FALSE)*$Q634</f>
        <v>20.493764476899898</v>
      </c>
      <c r="AE634" s="57" cm="1">
        <f t="array" ref="AE634">VLOOKUP(B634,'Player Data'!$A1:$AE673,19,FALSE)*$Q634*IFERROR((VLOOKUP(P634,Settings!$E$28:$F$33,2,FALSE)+1),1)</f>
        <v>1.212532202670515</v>
      </c>
      <c r="AF634" s="57" cm="1">
        <f t="array" ref="AF634">VLOOKUP(B634,'Player Data'!$A1:$AE673,20,FALSE)*$Q634</f>
        <v>3.9366615968533263</v>
      </c>
      <c r="AG634" s="57" cm="1">
        <f t="array" ref="AG634">VLOOKUP(B634,'Player Data'!$A1:$AE673,21,FALSE)*$Q634</f>
        <v>7.5772662646999445</v>
      </c>
      <c r="AH634" s="59" cm="1">
        <f t="array" ref="AH634">VLOOKUP(B634,'Player Data'!$A1:$AE673,22,FALSE)</f>
        <v>0.34190431312310299</v>
      </c>
      <c r="AI634" s="55"/>
      <c r="AJ634" s="57"/>
      <c r="AK634" s="57"/>
      <c r="AL634" s="57"/>
      <c r="AM634" s="57"/>
      <c r="AN634" s="57"/>
      <c r="AO634" s="57"/>
      <c r="AP634" s="57"/>
      <c r="AQ634" s="60"/>
      <c r="AR634" s="61"/>
      <c r="AS634" s="55"/>
    </row>
    <row r="635" spans="1:45" ht="21.25" customHeight="1" x14ac:dyDescent="0.15">
      <c r="A635" s="62">
        <f t="shared" si="9"/>
        <v>634</v>
      </c>
      <c r="B635" s="10" t="s">
        <v>763</v>
      </c>
      <c r="C635" s="47" t="s">
        <v>147</v>
      </c>
      <c r="D635" s="48" t="str" cm="1">
        <f t="array" ref="D635">VLOOKUP(B635,'Player Data'!A1:D673,4,FALSE)</f>
        <v>C</v>
      </c>
      <c r="E635" s="49" cm="1">
        <f t="array" ref="E635">VLOOKUP(B635,'C'!A1:C210,3,FALSE)</f>
        <v>196</v>
      </c>
      <c r="F635" s="72" t="str" cm="1">
        <f t="array" ref="F635">VLOOKUP(B635,'Player Data'!A1:B673,2,FALSE)</f>
        <v>FLA</v>
      </c>
      <c r="G635" s="66" cm="1">
        <f t="array" ref="G635">VLOOKUP(B635,'Player Data'!A1:D673,3,FALSE)</f>
        <v>37</v>
      </c>
      <c r="H635" s="67" cm="1">
        <f t="array" ref="H635">IFERROR(VLOOKUP(B635,ADP!A1:F671,6,FALSE)/1000000,VLOOKUP(B635,ADP!A1:F671,6,FALSE))</f>
        <v>0.85</v>
      </c>
      <c r="I635" s="52">
        <f>IF(Settings!$E$15="POINTS",((R635*Q635)*Settings!$B$12)+(S635*Settings!$B$2)+(T635*Settings!$B$3)+(U635*Settings!$B$4)+(V635*Settings!$B$5)+(X635*Settings!$B$9)+(AA635*Settings!$B$6)+(W635*Settings!$B$8)+(AB635*Settings!$B$7)+(AC635*Settings!$B$14)+(AD635*Settings!$B$15)+(AE635*Settings!$B$16)+(AF635*Settings!$B$17)+(AG635*Settings!$B$18)+(Y635*Settings!$B$10)+(Z635*Settings!$B$11),VLOOKUP(B635,'Standard Deviations'!A$1:C$672,3,FALSE))</f>
        <v>98.493412254179262</v>
      </c>
      <c r="J635" s="53" cm="1">
        <f t="array" ref="J635">IF(D635="G",I635/AJ635,I635/Q635)</f>
        <v>1.211928291548902</v>
      </c>
      <c r="K635" s="52" cm="1">
        <f t="array" ref="K635">IF(Settings!$E$18="C/LW/RW",VLOOKUP(B635,'C'!A1:F210,6,FALSE),VLOOKUP(B635,F!A1:F407,6,FALSE))</f>
        <v>-288.04179413890375</v>
      </c>
      <c r="L635" s="54" cm="1">
        <f t="array" ref="L635">IFERROR(K635/H635,"N/A")</f>
        <v>-338.87269898694558</v>
      </c>
      <c r="M635" s="85" t="s">
        <v>832</v>
      </c>
      <c r="N635" s="85" t="str" cm="1">
        <f t="array" ref="N635">IFERROR(M635-A635,"N/A")</f>
        <v>N/A</v>
      </c>
      <c r="O635" s="55"/>
      <c r="P635" s="56" t="str" cm="1">
        <f t="array" ref="P635">_xlfn.XLOOKUP($B635,ADP!A2:A671,ADP!G2:G671)</f>
        <v xml:space="preserve"> </v>
      </c>
      <c r="Q635" s="57" cm="1">
        <f t="array" ref="Q635">IF(Settings!$E$12="YES",VLOOKUP(B635,'Player Data'!A1:E673,5,FALSE),84)</f>
        <v>81.27</v>
      </c>
      <c r="R635" s="84" cm="1">
        <f t="array" ref="R635">VLOOKUP(B635,'Player Data'!$A1:$AE673,6,FALSE)</f>
        <v>10.3722077704364</v>
      </c>
      <c r="S635" s="57" cm="1">
        <f t="array" ref="S635">VLOOKUP(B635,'Player Data'!$A1:$AE673,7,FALSE)*$Q635*IFERROR((VLOOKUP(P635,Settings!$E$28:$F$33,2,FALSE)+1),1)</f>
        <v>5.4940841056369365</v>
      </c>
      <c r="T635" s="57" cm="1">
        <f t="array" ref="T635">VLOOKUP(B635,'Player Data'!$A1:$AE673,8,FALSE)*$Q635*IFERROR((VLOOKUP(P635,Settings!$E$28:$F$33,2,FALSE)+1),1)</f>
        <v>8.6464510683373792</v>
      </c>
      <c r="U635" s="57" cm="1">
        <f t="array" ref="U635">SUM(S635:T635)</f>
        <v>14.140535173974316</v>
      </c>
      <c r="V635" s="57" cm="1">
        <f t="array" ref="V635">VLOOKUP(B635,'Player Data'!$A1:$AE673,10,FALSE)*$Q635*IFERROR(((VLOOKUP(P635,Settings!$E$28:$F$33,2,FALSE)/2)+1),1)</f>
        <v>75.848839255695523</v>
      </c>
      <c r="W635" s="57" cm="1">
        <f t="array" ref="W635">VLOOKUP(B635,'Player Data'!$A1:$AE673,11,FALSE)*$Q635*IFERROR((VLOOKUP(P635,Settings!$E$28:$F$33,2,FALSE)+1),1)</f>
        <v>4.5305766880211963E-2</v>
      </c>
      <c r="X635" s="57" cm="1">
        <f t="array" ref="X635">VLOOKUP(B635,'Player Data'!$A1:$AE673,12,FALSE)*$Q635*IFERROR((VLOOKUP(P635,Settings!$E$28:$F$33,2,FALSE)+1),1)</f>
        <v>8.7878128763642094E-2</v>
      </c>
      <c r="Y635" s="57" cm="1">
        <f t="array" ref="Y635">VLOOKUP(B635,'Player Data'!$A1:$AE673,13,FALSE)*$Q635</f>
        <v>0.37225061965735001</v>
      </c>
      <c r="Z635" s="57" cm="1">
        <f t="array" ref="Z635">VLOOKUP(B635,'Player Data'!$A1:$AE673,14,FALSE)*$Q635</f>
        <v>0.51498797629728787</v>
      </c>
      <c r="AA635" s="57" cm="1">
        <f t="array" ref="AA635">VLOOKUP(B635,'Player Data'!$A1:$AE673,15,FALSE)*$Q635</f>
        <v>35.089041998695222</v>
      </c>
      <c r="AB635" s="57" cm="1">
        <f t="array" ref="AB635">VLOOKUP(B635,'Player Data'!$A1:$AE673,16,FALSE)*$Q635</f>
        <v>67.230888136253569</v>
      </c>
      <c r="AC635" s="57" cm="1">
        <f t="array" ref="AC635">VLOOKUP(B635,'Player Data'!$A1:$AE673,17,FALSE)*$Q635*IFERROR((VLOOKUP(P635,Settings!$E$28:$F$33,2,FALSE)+1),1)</f>
        <v>1.9762199471641646</v>
      </c>
      <c r="AD635" s="57" cm="1">
        <f t="array" ref="AD635">VLOOKUP(B635,'Player Data'!$A1:$AE673,18,FALSE)*$Q635</f>
        <v>20.745245706359814</v>
      </c>
      <c r="AE635" s="57" cm="1">
        <f t="array" ref="AE635">VLOOKUP(B635,'Player Data'!$A1:$AE673,19,FALSE)*$Q635*IFERROR((VLOOKUP(P635,Settings!$E$28:$F$33,2,FALSE)+1),1)</f>
        <v>0.91474175250318979</v>
      </c>
      <c r="AF635" s="57" cm="1">
        <f t="array" ref="AF635">VLOOKUP(B635,'Player Data'!$A1:$AE673,20,FALSE)*$Q635</f>
        <v>338.04427312941255</v>
      </c>
      <c r="AG635" s="57" cm="1">
        <f t="array" ref="AG635">VLOOKUP(B635,'Player Data'!$A1:$AE673,21,FALSE)*$Q635</f>
        <v>301.71657479777951</v>
      </c>
      <c r="AH635" s="59" cm="1">
        <f t="array" ref="AH635">VLOOKUP(B635,'Player Data'!$A1:$AE673,22,FALSE)</f>
        <v>0.528391623564753</v>
      </c>
      <c r="AI635" s="55"/>
      <c r="AJ635" s="57"/>
      <c r="AK635" s="57"/>
      <c r="AL635" s="57"/>
      <c r="AM635" s="57"/>
      <c r="AN635" s="57"/>
      <c r="AO635" s="57"/>
      <c r="AP635" s="57"/>
      <c r="AQ635" s="60"/>
      <c r="AR635" s="61"/>
      <c r="AS635" s="55"/>
    </row>
    <row r="636" spans="1:45" ht="21.25" customHeight="1" x14ac:dyDescent="0.15">
      <c r="A636" s="62">
        <f t="shared" si="9"/>
        <v>635</v>
      </c>
      <c r="B636" s="10" t="s">
        <v>764</v>
      </c>
      <c r="C636" s="47" t="s">
        <v>147</v>
      </c>
      <c r="D636" s="48" t="str" cm="1">
        <f t="array" ref="D636">VLOOKUP(B636,'Player Data'!A1:D673,4,FALSE)</f>
        <v>RW</v>
      </c>
      <c r="E636" s="64" cm="1">
        <f t="array" ref="E636">VLOOKUP(B636,RW!A1:F210,3,FALSE)</f>
        <v>194</v>
      </c>
      <c r="F636" s="63" t="str" cm="1">
        <f t="array" ref="F636">VLOOKUP(B636,'Player Data'!A1:B673,2,FALSE)</f>
        <v>VGK</v>
      </c>
      <c r="G636" s="71" cm="1">
        <f t="array" ref="G636">VLOOKUP(B636,'Player Data'!A1:D673,3,FALSE)</f>
        <v>24</v>
      </c>
      <c r="H636" s="67" cm="1">
        <f t="array" ref="H636">IFERROR(VLOOKUP(B636,ADP!A1:F671,6,FALSE)/1000000,VLOOKUP(B636,ADP!A1:F671,6,FALSE))</f>
        <v>0.83750000000000002</v>
      </c>
      <c r="I636" s="52">
        <f>IF(Settings!$E$15="POINTS",((R636*Q636)*Settings!$B$12)+(S636*Settings!$B$2)+(T636*Settings!$B$3)+(U636*Settings!$B$4)+(V636*Settings!$B$5)+(X636*Settings!$B$9)+(AA636*Settings!$B$6)+(W636*Settings!$B$8)+(AB636*Settings!$B$7)+(AC636*Settings!$B$14)+(AD636*Settings!$B$15)+(AE636*Settings!$B$16)+(AF636*Settings!$B$17)+(AG636*Settings!$B$18)+(Y636*Settings!$B$10)+(Z636*Settings!$B$11),VLOOKUP(B636,'Standard Deviations'!A$1:C$672,3,FALSE))</f>
        <v>106.3754364317663</v>
      </c>
      <c r="J636" s="53" cm="1">
        <f t="array" ref="J636">IF(D636="G",I636/AJ636,I636/Q636)</f>
        <v>1.5097815907712637</v>
      </c>
      <c r="K636" s="52" cm="1">
        <f t="array" ref="K636">IF(Settings!$E$18="C/LW/RW",VLOOKUP(B636,RW!A1:F210,6,FALSE),VLOOKUP(B636,F!A1:F407,6,FALSE))</f>
        <v>-288.56802826179114</v>
      </c>
      <c r="L636" s="54" cm="1">
        <f t="array" ref="L636">IFERROR(K636/H636,"N/A")</f>
        <v>-344.55883971557148</v>
      </c>
      <c r="M636" s="85" t="s">
        <v>832</v>
      </c>
      <c r="N636" s="85" t="str" cm="1">
        <f t="array" ref="N636">IFERROR(M636-A636,"N/A")</f>
        <v>N/A</v>
      </c>
      <c r="O636" s="55"/>
      <c r="P636" s="56" t="str" cm="1">
        <f t="array" ref="P636">_xlfn.XLOOKUP($B636,ADP!A2:A671,ADP!G2:G671)</f>
        <v xml:space="preserve"> </v>
      </c>
      <c r="Q636" s="57" cm="1">
        <f t="array" ref="Q636">IF(Settings!$E$12="YES",VLOOKUP(B636,'Player Data'!A1:E673,5,FALSE),84)</f>
        <v>70.457499999999996</v>
      </c>
      <c r="R636" s="55" cm="1">
        <f t="array" ref="R636">VLOOKUP(B636,'Player Data'!$A1:$AE673,6,FALSE)</f>
        <v>10.563652780709599</v>
      </c>
      <c r="S636" s="57" cm="1">
        <f t="array" ref="S636">VLOOKUP(B636,'Player Data'!$A1:$AE673,7,FALSE)*$Q636*IFERROR((VLOOKUP(P636,Settings!$E$28:$F$33,2,FALSE)+1),1)</f>
        <v>7.383821635998352</v>
      </c>
      <c r="T636" s="57" cm="1">
        <f t="array" ref="T636">VLOOKUP(B636,'Player Data'!$A1:$AE673,8,FALSE)*$Q636*IFERROR((VLOOKUP(P636,Settings!$E$28:$F$33,2,FALSE)+1),1)</f>
        <v>10.881650416896985</v>
      </c>
      <c r="U636" s="57" cm="1">
        <f t="array" ref="U636">SUM(S636:T636)</f>
        <v>18.265472052895337</v>
      </c>
      <c r="V636" s="57" cm="1">
        <f t="array" ref="V636">VLOOKUP(B636,'Player Data'!$A1:$AE673,10,FALSE)*$Q636*IFERROR(((VLOOKUP(P636,Settings!$E$28:$F$33,2,FALSE)/2)+1),1)</f>
        <v>78.476421805340635</v>
      </c>
      <c r="W636" s="57" cm="1">
        <f t="array" ref="W636">VLOOKUP(B636,'Player Data'!$A1:$AE673,11,FALSE)*$Q636*IFERROR((VLOOKUP(P636,Settings!$E$28:$F$33,2,FALSE)+1),1)</f>
        <v>4.4317508007844245E-2</v>
      </c>
      <c r="X636" s="57" cm="1">
        <f t="array" ref="X636">VLOOKUP(B636,'Player Data'!$A1:$AE673,12,FALSE)*$Q636*IFERROR((VLOOKUP(P636,Settings!$E$28:$F$33,2,FALSE)+1),1)</f>
        <v>9.2429370702888966E-2</v>
      </c>
      <c r="Y636" s="57" cm="1">
        <f t="array" ref="Y636">VLOOKUP(B636,'Player Data'!$A1:$AE673,13,FALSE)*$Q636</f>
        <v>2.7251987887997469E-2</v>
      </c>
      <c r="Z636" s="57" cm="1">
        <f t="array" ref="Z636">VLOOKUP(B636,'Player Data'!$A1:$AE673,14,FALSE)*$Q636</f>
        <v>4.4686100184365314E-2</v>
      </c>
      <c r="AA636" s="57" cm="1">
        <f t="array" ref="AA636">VLOOKUP(B636,'Player Data'!$A1:$AE673,15,FALSE)*$Q636</f>
        <v>24.407387799045427</v>
      </c>
      <c r="AB636" s="57" cm="1">
        <f t="array" ref="AB636">VLOOKUP(B636,'Player Data'!$A1:$AE673,16,FALSE)*$Q636</f>
        <v>70.395031376762518</v>
      </c>
      <c r="AC636" s="57" cm="1">
        <f t="array" ref="AC636">VLOOKUP(B636,'Player Data'!$A1:$AE673,17,FALSE)*$Q636*IFERROR((VLOOKUP(P636,Settings!$E$28:$F$33,2,FALSE)+1),1)</f>
        <v>2.6182416057605469</v>
      </c>
      <c r="AD636" s="57" cm="1">
        <f t="array" ref="AD636">VLOOKUP(B636,'Player Data'!$A1:$AE673,18,FALSE)*$Q636</f>
        <v>15.537459842146205</v>
      </c>
      <c r="AE636" s="57" cm="1">
        <f t="array" ref="AE636">VLOOKUP(B636,'Player Data'!$A1:$AE673,19,FALSE)*$Q636*IFERROR((VLOOKUP(P636,Settings!$E$28:$F$33,2,FALSE)+1),1)</f>
        <v>1.4086665327275643</v>
      </c>
      <c r="AF636" s="57" cm="1">
        <f t="array" ref="AF636">VLOOKUP(B636,'Player Data'!$A1:$AE673,20,FALSE)*$Q636</f>
        <v>6.5082127917909851</v>
      </c>
      <c r="AG636" s="57" cm="1">
        <f t="array" ref="AG636">VLOOKUP(B636,'Player Data'!$A1:$AE673,21,FALSE)*$Q636</f>
        <v>19.17730763309001</v>
      </c>
      <c r="AH636" s="59" cm="1">
        <f t="array" ref="AH636">VLOOKUP(B636,'Player Data'!$A1:$AE673,22,FALSE)</f>
        <v>0.25338060837913301</v>
      </c>
      <c r="AI636" s="55"/>
      <c r="AJ636" s="57"/>
      <c r="AK636" s="57"/>
      <c r="AL636" s="57"/>
      <c r="AM636" s="57"/>
      <c r="AN636" s="57"/>
      <c r="AO636" s="57"/>
      <c r="AP636" s="57"/>
      <c r="AQ636" s="60"/>
      <c r="AR636" s="61"/>
      <c r="AS636" s="55"/>
    </row>
    <row r="637" spans="1:45" ht="21.25" customHeight="1" x14ac:dyDescent="0.15">
      <c r="A637" s="62">
        <f t="shared" si="9"/>
        <v>636</v>
      </c>
      <c r="B637" s="10" t="s">
        <v>765</v>
      </c>
      <c r="C637" s="47" t="s">
        <v>147</v>
      </c>
      <c r="D637" s="48" t="str" cm="1">
        <f t="array" ref="D637">VLOOKUP(B637,'Player Data'!A1:D673,4,FALSE)</f>
        <v>LW,RW</v>
      </c>
      <c r="E637" s="74" cm="1">
        <f t="array" ref="E637">VLOOKUP(B637,RW!A1:F210,3,FALSE)</f>
        <v>195</v>
      </c>
      <c r="F637" s="69" t="str" cm="1">
        <f t="array" ref="F637">VLOOKUP(B637,'Player Data'!A1:B673,2,FALSE)</f>
        <v>TOR</v>
      </c>
      <c r="G637" s="11" cm="1">
        <f t="array" ref="G637">VLOOKUP(B637,'Player Data'!A1:D673,3,FALSE)</f>
        <v>29</v>
      </c>
      <c r="H637" s="51" cm="1">
        <f t="array" ref="H637">IFERROR(VLOOKUP(B637,ADP!A1:F671,6,FALSE)/1000000,VLOOKUP(B637,ADP!A1:F671,6,FALSE))</f>
        <v>2.6</v>
      </c>
      <c r="I637" s="52">
        <f>IF(Settings!$E$15="POINTS",((R637*Q637)*Settings!$B$12)+(S637*Settings!$B$2)+(T637*Settings!$B$3)+(U637*Settings!$B$4)+(V637*Settings!$B$5)+(X637*Settings!$B$9)+(AA637*Settings!$B$6)+(W637*Settings!$B$8)+(AB637*Settings!$B$7)+(AC637*Settings!$B$14)+(AD637*Settings!$B$15)+(AE637*Settings!$B$16)+(AF637*Settings!$B$17)+(AG637*Settings!$B$18)+(Y637*Settings!$B$10)+(Z637*Settings!$B$11),VLOOKUP(B637,'Standard Deviations'!A$1:C$672,3,FALSE))</f>
        <v>105.64097629165865</v>
      </c>
      <c r="J637" s="53" cm="1">
        <f t="array" ref="J637">IF(D637="G",I637/AJ637,I637/Q637)</f>
        <v>1.2601810365222312</v>
      </c>
      <c r="K637" s="52" cm="1">
        <f t="array" ref="K637">IF(Settings!$E$18="C/LW/RW",VLOOKUP(B637,RW!A1:F210,6,FALSE),VLOOKUP(B637,F!A1:F407,6,FALSE))</f>
        <v>-289.30248840189881</v>
      </c>
      <c r="L637" s="54" cm="1">
        <f t="array" ref="L637">IFERROR(K637/H637,"N/A")</f>
        <v>-111.27018784688416</v>
      </c>
      <c r="M637" s="85" t="s">
        <v>832</v>
      </c>
      <c r="N637" s="85" t="str" cm="1">
        <f t="array" ref="N637">IFERROR(M637-A637,"N/A")</f>
        <v>N/A</v>
      </c>
      <c r="O637" s="55"/>
      <c r="P637" s="56" t="str" cm="1">
        <f t="array" ref="P637">_xlfn.XLOOKUP($B637,ADP!A2:A671,ADP!G2:G671)</f>
        <v xml:space="preserve"> </v>
      </c>
      <c r="Q637" s="57" cm="1">
        <f t="array" ref="Q637">IF(Settings!$E$12="YES",VLOOKUP(B637,'Player Data'!A1:E673,5,FALSE),84)</f>
        <v>83.83</v>
      </c>
      <c r="R637" s="55" cm="1">
        <f t="array" ref="R637">VLOOKUP(B637,'Player Data'!$A1:$AE673,6,FALSE)</f>
        <v>11.372157509375</v>
      </c>
      <c r="S637" s="57" cm="1">
        <f t="array" ref="S637">VLOOKUP(B637,'Player Data'!$A1:$AE673,7,FALSE)*$Q637*IFERROR((VLOOKUP(P637,Settings!$E$28:$F$33,2,FALSE)+1),1)</f>
        <v>5.6280137856119632</v>
      </c>
      <c r="T637" s="57" cm="1">
        <f t="array" ref="T637">VLOOKUP(B637,'Player Data'!$A1:$AE673,8,FALSE)*$Q637*IFERROR((VLOOKUP(P637,Settings!$E$28:$F$33,2,FALSE)+1),1)</f>
        <v>7.881968335397799</v>
      </c>
      <c r="U637" s="57" cm="1">
        <f t="array" ref="U637">SUM(S637:T637)</f>
        <v>13.509982121009763</v>
      </c>
      <c r="V637" s="57" cm="1">
        <f t="array" ref="V637">VLOOKUP(B637,'Player Data'!$A1:$AE673,10,FALSE)*$Q637*IFERROR(((VLOOKUP(P637,Settings!$E$28:$F$33,2,FALSE)/2)+1),1)</f>
        <v>71.834870250052148</v>
      </c>
      <c r="W637" s="57" cm="1">
        <f t="array" ref="W637">VLOOKUP(B637,'Player Data'!$A1:$AE673,11,FALSE)*$Q637*IFERROR((VLOOKUP(P637,Settings!$E$28:$F$33,2,FALSE)+1),1)</f>
        <v>4.2179037917759662E-2</v>
      </c>
      <c r="X637" s="57" cm="1">
        <f t="array" ref="X637">VLOOKUP(B637,'Player Data'!$A1:$AE673,12,FALSE)*$Q637*IFERROR((VLOOKUP(P637,Settings!$E$28:$F$33,2,FALSE)+1),1)</f>
        <v>9.4713366531641155E-2</v>
      </c>
      <c r="Y637" s="57" cm="1">
        <f t="array" ref="Y637">VLOOKUP(B637,'Player Data'!$A1:$AE673,13,FALSE)*$Q637</f>
        <v>0.60518482465442291</v>
      </c>
      <c r="Z637" s="57" cm="1">
        <f t="array" ref="Z637">VLOOKUP(B637,'Player Data'!$A1:$AE673,14,FALSE)*$Q637</f>
        <v>0.91188347173146245</v>
      </c>
      <c r="AA637" s="57" cm="1">
        <f t="array" ref="AA637">VLOOKUP(B637,'Player Data'!$A1:$AE673,15,FALSE)*$Q637</f>
        <v>56.37399593068038</v>
      </c>
      <c r="AB637" s="57" cm="1">
        <f t="array" ref="AB637">VLOOKUP(B637,'Player Data'!$A1:$AE673,16,FALSE)*$Q637</f>
        <v>163.25232945738384</v>
      </c>
      <c r="AC637" s="57" cm="1">
        <f t="array" ref="AC637">VLOOKUP(B637,'Player Data'!$A1:$AE673,17,FALSE)*$Q637*IFERROR((VLOOKUP(P637,Settings!$E$28:$F$33,2,FALSE)+1),1)</f>
        <v>-9.9368478743932259E-2</v>
      </c>
      <c r="AD637" s="57" cm="1">
        <f t="array" ref="AD637">VLOOKUP(B637,'Player Data'!$A1:$AE673,18,FALSE)*$Q637</f>
        <v>60.982013688095577</v>
      </c>
      <c r="AE637" s="57" cm="1">
        <f t="array" ref="AE637">VLOOKUP(B637,'Player Data'!$A1:$AE673,19,FALSE)*$Q637*IFERROR((VLOOKUP(P637,Settings!$E$28:$F$33,2,FALSE)+1),1)</f>
        <v>0.76856561218429209</v>
      </c>
      <c r="AF637" s="57" cm="1">
        <f t="array" ref="AF637">VLOOKUP(B637,'Player Data'!$A1:$AE673,20,FALSE)*$Q637</f>
        <v>14.818882058702942</v>
      </c>
      <c r="AG637" s="57" cm="1">
        <f t="array" ref="AG637">VLOOKUP(B637,'Player Data'!$A1:$AE673,21,FALSE)*$Q637</f>
        <v>24.361428336210903</v>
      </c>
      <c r="AH637" s="59" cm="1">
        <f t="array" ref="AH637">VLOOKUP(B637,'Player Data'!$A1:$AE673,22,FALSE)</f>
        <v>0.37822268147795601</v>
      </c>
      <c r="AI637" s="55"/>
      <c r="AJ637" s="57"/>
      <c r="AK637" s="57"/>
      <c r="AL637" s="57"/>
      <c r="AM637" s="57"/>
      <c r="AN637" s="57"/>
      <c r="AO637" s="57"/>
      <c r="AP637" s="57"/>
      <c r="AQ637" s="60"/>
      <c r="AR637" s="61"/>
      <c r="AS637" s="55"/>
    </row>
    <row r="638" spans="1:45" ht="21.25" customHeight="1" x14ac:dyDescent="0.15">
      <c r="A638" s="62">
        <f t="shared" si="9"/>
        <v>637</v>
      </c>
      <c r="B638" s="10" t="s">
        <v>766</v>
      </c>
      <c r="C638" s="47" t="s">
        <v>147</v>
      </c>
      <c r="D638" s="48" t="str" cm="1">
        <f t="array" ref="D638">VLOOKUP(B638,'Player Data'!A1:D673,4,FALSE)</f>
        <v>LW,RW</v>
      </c>
      <c r="E638" s="74" cm="1">
        <f t="array" ref="E638">VLOOKUP(B638,RW!A1:F210,3,FALSE)</f>
        <v>196</v>
      </c>
      <c r="F638" s="63" t="str" cm="1">
        <f t="array" ref="F638">VLOOKUP(B638,'Player Data'!A1:B673,2,FALSE)</f>
        <v>CGY</v>
      </c>
      <c r="G638" s="11" cm="1">
        <f t="array" ref="G638">VLOOKUP(B638,'Player Data'!A1:D673,3,FALSE)</f>
        <v>27</v>
      </c>
      <c r="H638" s="67" cm="1">
        <f t="array" ref="H638">IFERROR(VLOOKUP(B638,ADP!A1:F671,6,FALSE)/1000000,VLOOKUP(B638,ADP!A1:F671,6,FALSE))</f>
        <v>2.2000000000000002</v>
      </c>
      <c r="I638" s="52">
        <f>IF(Settings!$E$15="POINTS",((R638*Q638)*Settings!$B$12)+(S638*Settings!$B$2)+(T638*Settings!$B$3)+(U638*Settings!$B$4)+(V638*Settings!$B$5)+(X638*Settings!$B$9)+(AA638*Settings!$B$6)+(W638*Settings!$B$8)+(AB638*Settings!$B$7)+(AC638*Settings!$B$14)+(AD638*Settings!$B$15)+(AE638*Settings!$B$16)+(AF638*Settings!$B$17)+(AG638*Settings!$B$18)+(Y638*Settings!$B$10)+(Z638*Settings!$B$11),VLOOKUP(B638,'Standard Deviations'!A$1:C$672,3,FALSE))</f>
        <v>104.1107377112792</v>
      </c>
      <c r="J638" s="53" cm="1">
        <f t="array" ref="J638">IF(D638="G",I638/AJ638,I638/Q638)</f>
        <v>1.3773994537445156</v>
      </c>
      <c r="K638" s="52" cm="1">
        <f t="array" ref="K638">IF(Settings!$E$18="C/LW/RW",VLOOKUP(B638,RW!A1:F210,6,FALSE),VLOOKUP(B638,F!A1:F407,6,FALSE))</f>
        <v>-290.83272698227825</v>
      </c>
      <c r="L638" s="54" cm="1">
        <f t="array" ref="L638">IFERROR(K638/H638,"N/A")</f>
        <v>-132.19669408285372</v>
      </c>
      <c r="M638" s="85" t="s">
        <v>832</v>
      </c>
      <c r="N638" s="85" t="str" cm="1">
        <f t="array" ref="N638">IFERROR(M638-A638,"N/A")</f>
        <v>N/A</v>
      </c>
      <c r="O638" s="55"/>
      <c r="P638" s="56" t="str" cm="1">
        <f t="array" ref="P638">_xlfn.XLOOKUP($B638,ADP!A2:A671,ADP!G2:G671)</f>
        <v xml:space="preserve"> </v>
      </c>
      <c r="Q638" s="57" cm="1">
        <f t="array" ref="Q638">IF(Settings!$E$12="YES",VLOOKUP(B638,'Player Data'!A1:E673,5,FALSE),84)</f>
        <v>75.584999999999994</v>
      </c>
      <c r="R638" s="82" cm="1">
        <f t="array" ref="R638">VLOOKUP(B638,'Player Data'!$A1:$AE673,6,FALSE)</f>
        <v>10.5303445670875</v>
      </c>
      <c r="S638" s="57" cm="1">
        <f t="array" ref="S638">VLOOKUP(B638,'Player Data'!$A1:$AE673,7,FALSE)*$Q638*IFERROR((VLOOKUP(P638,Settings!$E$28:$F$33,2,FALSE)+1),1)</f>
        <v>6.084797313549033</v>
      </c>
      <c r="T638" s="57" cm="1">
        <f t="array" ref="T638">VLOOKUP(B638,'Player Data'!$A1:$AE673,8,FALSE)*$Q638*IFERROR((VLOOKUP(P638,Settings!$E$28:$F$33,2,FALSE)+1),1)</f>
        <v>11.550152265276534</v>
      </c>
      <c r="U638" s="57" cm="1">
        <f t="array" ref="U638">SUM(S638:T638)</f>
        <v>17.634949578825566</v>
      </c>
      <c r="V638" s="57" cm="1">
        <f t="array" ref="V638">VLOOKUP(B638,'Player Data'!$A1:$AE673,10,FALSE)*$Q638*IFERROR(((VLOOKUP(P638,Settings!$E$28:$F$33,2,FALSE)/2)+1),1)</f>
        <v>77.739660572625212</v>
      </c>
      <c r="W638" s="57" cm="1">
        <f t="array" ref="W638">VLOOKUP(B638,'Player Data'!$A1:$AE673,11,FALSE)*$Q638*IFERROR((VLOOKUP(P638,Settings!$E$28:$F$33,2,FALSE)+1),1)</f>
        <v>8.6717552831847539E-2</v>
      </c>
      <c r="X638" s="57" cm="1">
        <f t="array" ref="X638">VLOOKUP(B638,'Player Data'!$A1:$AE673,12,FALSE)*$Q638*IFERROR((VLOOKUP(P638,Settings!$E$28:$F$33,2,FALSE)+1),1)</f>
        <v>0.22216615985612473</v>
      </c>
      <c r="Y638" s="57" cm="1">
        <f t="array" ref="Y638">VLOOKUP(B638,'Player Data'!$A1:$AE673,13,FALSE)*$Q638</f>
        <v>2.5471272774194069E-4</v>
      </c>
      <c r="Z638" s="57" cm="1">
        <f t="array" ref="Z638">VLOOKUP(B638,'Player Data'!$A1:$AE673,14,FALSE)*$Q638</f>
        <v>4.1862828128047498E-4</v>
      </c>
      <c r="AA638" s="57" cm="1">
        <f t="array" ref="AA638">VLOOKUP(B638,'Player Data'!$A1:$AE673,15,FALSE)*$Q638</f>
        <v>24.226947800704984</v>
      </c>
      <c r="AB638" s="57" cm="1">
        <f t="array" ref="AB638">VLOOKUP(B638,'Player Data'!$A1:$AE673,16,FALSE)*$Q638</f>
        <v>124.37786540257964</v>
      </c>
      <c r="AC638" s="57" cm="1">
        <f t="array" ref="AC638">VLOOKUP(B638,'Player Data'!$A1:$AE673,17,FALSE)*$Q638*IFERROR((VLOOKUP(P638,Settings!$E$28:$F$33,2,FALSE)+1),1)</f>
        <v>-7.1692247726323775</v>
      </c>
      <c r="AD638" s="57" cm="1">
        <f t="array" ref="AD638">VLOOKUP(B638,'Player Data'!$A1:$AE673,18,FALSE)*$Q638</f>
        <v>20.340153623465707</v>
      </c>
      <c r="AE638" s="57" cm="1">
        <f t="array" ref="AE638">VLOOKUP(B638,'Player Data'!$A1:$AE673,19,FALSE)*$Q638*IFERROR((VLOOKUP(P638,Settings!$E$28:$F$33,2,FALSE)+1),1)</f>
        <v>0.87484154419274596</v>
      </c>
      <c r="AF638" s="57" cm="1">
        <f t="array" ref="AF638">VLOOKUP(B638,'Player Data'!$A1:$AE673,20,FALSE)*$Q638</f>
        <v>12.65016777327719</v>
      </c>
      <c r="AG638" s="57" cm="1">
        <f t="array" ref="AG638">VLOOKUP(B638,'Player Data'!$A1:$AE673,21,FALSE)*$Q638</f>
        <v>16.124372425345875</v>
      </c>
      <c r="AH638" s="59" cm="1">
        <f t="array" ref="AH638">VLOOKUP(B638,'Player Data'!$A1:$AE673,22,FALSE)</f>
        <v>0.43963057918411402</v>
      </c>
      <c r="AI638" s="55"/>
      <c r="AJ638" s="57"/>
      <c r="AK638" s="57"/>
      <c r="AL638" s="57"/>
      <c r="AM638" s="57"/>
      <c r="AN638" s="57"/>
      <c r="AO638" s="57"/>
      <c r="AP638" s="57"/>
      <c r="AQ638" s="60"/>
      <c r="AR638" s="61"/>
      <c r="AS638" s="55"/>
    </row>
    <row r="639" spans="1:45" ht="21.25" customHeight="1" x14ac:dyDescent="0.15">
      <c r="A639" s="62">
        <f t="shared" si="9"/>
        <v>638</v>
      </c>
      <c r="B639" s="10" t="s">
        <v>767</v>
      </c>
      <c r="C639" s="47" t="s">
        <v>147</v>
      </c>
      <c r="D639" s="48" t="str" cm="1">
        <f t="array" ref="D639">VLOOKUP(B639,'Player Data'!A1:D673,4,FALSE)</f>
        <v>C</v>
      </c>
      <c r="E639" s="49" cm="1">
        <f t="array" ref="E639">VLOOKUP(B639,'C'!A1:C210,3,FALSE)</f>
        <v>199</v>
      </c>
      <c r="F639" s="63" t="str" cm="1">
        <f t="array" ref="F639">VLOOKUP(B639,'Player Data'!A1:B673,2,FALSE)</f>
        <v>EDM</v>
      </c>
      <c r="G639" s="71" cm="1">
        <f t="array" ref="G639">VLOOKUP(B639,'Player Data'!A1:D673,3,FALSE)</f>
        <v>24</v>
      </c>
      <c r="H639" s="67" cm="1">
        <f t="array" ref="H639">IFERROR(VLOOKUP(B639,ADP!A1:F671,6,FALSE)/1000000,VLOOKUP(B639,ADP!A1:F671,6,FALSE))</f>
        <v>0.97499999999999998</v>
      </c>
      <c r="I639" s="52">
        <f>IF(Settings!$E$15="POINTS",((R639*Q639)*Settings!$B$12)+(S639*Settings!$B$2)+(T639*Settings!$B$3)+(U639*Settings!$B$4)+(V639*Settings!$B$5)+(X639*Settings!$B$9)+(AA639*Settings!$B$6)+(W639*Settings!$B$8)+(AB639*Settings!$B$7)+(AC639*Settings!$B$14)+(AD639*Settings!$B$15)+(AE639*Settings!$B$16)+(AF639*Settings!$B$17)+(AG639*Settings!$B$18)+(Y639*Settings!$B$10)+(Z639*Settings!$B$11),VLOOKUP(B639,'Standard Deviations'!A$1:C$672,3,FALSE))</f>
        <v>93.428579301062015</v>
      </c>
      <c r="J639" s="53" cm="1">
        <f t="array" ref="J639">IF(D639="G",I639/AJ639,I639/Q639)</f>
        <v>1.5581817762018348</v>
      </c>
      <c r="K639" s="52" cm="1">
        <f t="array" ref="K639">IF(Settings!$E$18="C/LW/RW",VLOOKUP(B639,'C'!A1:F210,6,FALSE),VLOOKUP(B639,F!A1:F407,6,FALSE))</f>
        <v>-293.10662709202097</v>
      </c>
      <c r="L639" s="54" cm="1">
        <f t="array" ref="L639">IFERROR(K639/H639,"N/A")</f>
        <v>-300.62218163284206</v>
      </c>
      <c r="M639" s="85" t="s">
        <v>832</v>
      </c>
      <c r="N639" s="85" t="str" cm="1">
        <f t="array" ref="N639">IFERROR(M639-A639,"N/A")</f>
        <v>N/A</v>
      </c>
      <c r="O639" s="55"/>
      <c r="P639" s="56" t="str" cm="1">
        <f t="array" ref="P639">_xlfn.XLOOKUP($B639,ADP!A2:A671,ADP!G2:G671)</f>
        <v xml:space="preserve"> </v>
      </c>
      <c r="Q639" s="57" cm="1">
        <f t="array" ref="Q639">IF(Settings!$E$12="YES",VLOOKUP(B639,'Player Data'!A1:E673,5,FALSE),84)</f>
        <v>59.96</v>
      </c>
      <c r="R639" s="82" cm="1">
        <f t="array" ref="R639">VLOOKUP(B639,'Player Data'!$A1:$AE673,6,FALSE)</f>
        <v>12.480752040155</v>
      </c>
      <c r="S639" s="57" cm="1">
        <f t="array" ref="S639">VLOOKUP(B639,'Player Data'!$A1:$AE673,7,FALSE)*$Q639*IFERROR((VLOOKUP(P639,Settings!$E$28:$F$33,2,FALSE)+1),1)</f>
        <v>7.6539615561843597</v>
      </c>
      <c r="T639" s="57" cm="1">
        <f t="array" ref="T639">VLOOKUP(B639,'Player Data'!$A1:$AE673,8,FALSE)*$Q639*IFERROR((VLOOKUP(P639,Settings!$E$28:$F$33,2,FALSE)+1),1)</f>
        <v>9.4165201653365607</v>
      </c>
      <c r="U639" s="57" cm="1">
        <f t="array" ref="U639">SUM(S639:T639)</f>
        <v>17.07048172152092</v>
      </c>
      <c r="V639" s="57" cm="1">
        <f t="array" ref="V639">VLOOKUP(B639,'Player Data'!$A1:$AE673,10,FALSE)*$Q639*IFERROR(((VLOOKUP(P639,Settings!$E$28:$F$33,2,FALSE)/2)+1),1)</f>
        <v>49.205943353037156</v>
      </c>
      <c r="W639" s="57" cm="1">
        <f t="array" ref="W639">VLOOKUP(B639,'Player Data'!$A1:$AE673,11,FALSE)*$Q639*IFERROR((VLOOKUP(P639,Settings!$E$28:$F$33,2,FALSE)+1),1)</f>
        <v>1.6490633475038048E-2</v>
      </c>
      <c r="X639" s="57" cm="1">
        <f t="array" ref="X639">VLOOKUP(B639,'Player Data'!$A1:$AE673,12,FALSE)*$Q639*IFERROR((VLOOKUP(P639,Settings!$E$28:$F$33,2,FALSE)+1),1)</f>
        <v>3.6092294836765994E-2</v>
      </c>
      <c r="Y639" s="57" cm="1">
        <f t="array" ref="Y639">VLOOKUP(B639,'Player Data'!$A1:$AE673,13,FALSE)*$Q639</f>
        <v>0.14500726945002343</v>
      </c>
      <c r="Z639" s="57" cm="1">
        <f t="array" ref="Z639">VLOOKUP(B639,'Player Data'!$A1:$AE673,14,FALSE)*$Q639</f>
        <v>0.24019559533754042</v>
      </c>
      <c r="AA639" s="57" cm="1">
        <f t="array" ref="AA639">VLOOKUP(B639,'Player Data'!$A1:$AE673,15,FALSE)*$Q639</f>
        <v>34.675749139612748</v>
      </c>
      <c r="AB639" s="57" cm="1">
        <f t="array" ref="AB639">VLOOKUP(B639,'Player Data'!$A1:$AE673,16,FALSE)*$Q639</f>
        <v>70.822620108095606</v>
      </c>
      <c r="AC639" s="57" cm="1">
        <f t="array" ref="AC639">VLOOKUP(B639,'Player Data'!$A1:$AE673,17,FALSE)*$Q639*IFERROR((VLOOKUP(P639,Settings!$E$28:$F$33,2,FALSE)+1),1)</f>
        <v>4.1107863902150878</v>
      </c>
      <c r="AD639" s="57" cm="1">
        <f t="array" ref="AD639">VLOOKUP(B639,'Player Data'!$A1:$AE673,18,FALSE)*$Q639</f>
        <v>18.378359284469326</v>
      </c>
      <c r="AE639" s="57" cm="1">
        <f t="array" ref="AE639">VLOOKUP(B639,'Player Data'!$A1:$AE673,19,FALSE)*$Q639*IFERROR((VLOOKUP(P639,Settings!$E$28:$F$33,2,FALSE)+1),1)</f>
        <v>1.3435883082801896</v>
      </c>
      <c r="AF639" s="57" cm="1">
        <f t="array" ref="AF639">VLOOKUP(B639,'Player Data'!$A1:$AE673,20,FALSE)*$Q639</f>
        <v>159.50534117108941</v>
      </c>
      <c r="AG639" s="57" cm="1">
        <f t="array" ref="AG639">VLOOKUP(B639,'Player Data'!$A1:$AE673,21,FALSE)*$Q639</f>
        <v>171.32055162820663</v>
      </c>
      <c r="AH639" s="59" cm="1">
        <f t="array" ref="AH639">VLOOKUP(B639,'Player Data'!$A1:$AE673,22,FALSE)</f>
        <v>0.48214285714285698</v>
      </c>
      <c r="AI639" s="55"/>
      <c r="AJ639" s="57"/>
      <c r="AK639" s="57"/>
      <c r="AL639" s="57"/>
      <c r="AM639" s="57"/>
      <c r="AN639" s="57"/>
      <c r="AO639" s="57"/>
      <c r="AP639" s="57"/>
      <c r="AQ639" s="60"/>
      <c r="AR639" s="61"/>
      <c r="AS639" s="55"/>
    </row>
    <row r="640" spans="1:45" ht="21.25" customHeight="1" x14ac:dyDescent="0.15">
      <c r="A640" s="62">
        <f t="shared" si="9"/>
        <v>639</v>
      </c>
      <c r="B640" s="10" t="s">
        <v>768</v>
      </c>
      <c r="C640" s="47" t="s">
        <v>147</v>
      </c>
      <c r="D640" s="48" t="str" cm="1">
        <f t="array" ref="D640">VLOOKUP(B640,'Player Data'!A1:D673,4,FALSE)</f>
        <v>LW</v>
      </c>
      <c r="E640" s="75" cm="1">
        <f t="array" ref="E640">VLOOKUP(B640,LW!A1:C210,3,FALSE)</f>
        <v>190</v>
      </c>
      <c r="F640" s="72" t="str" cm="1">
        <f t="array" ref="F640">VLOOKUP(B640,'Player Data'!A1:B673,2,FALSE)</f>
        <v>PIT</v>
      </c>
      <c r="G640" s="11" cm="1">
        <f t="array" ref="G640">VLOOKUP(B640,'Player Data'!A1:D673,3,FALSE)</f>
        <v>26</v>
      </c>
      <c r="H640" s="67" cm="1">
        <f t="array" ref="H640">IFERROR(VLOOKUP(B640,ADP!A1:F671,6,FALSE)/1000000,VLOOKUP(B640,ADP!A1:F671,6,FALSE))</f>
        <v>0.8125</v>
      </c>
      <c r="I640" s="52">
        <f>IF(Settings!$E$15="POINTS",((R640*Q640)*Settings!$B$12)+(S640*Settings!$B$2)+(T640*Settings!$B$3)+(U640*Settings!$B$4)+(V640*Settings!$B$5)+(X640*Settings!$B$9)+(AA640*Settings!$B$6)+(W640*Settings!$B$8)+(AB640*Settings!$B$7)+(AC640*Settings!$B$14)+(AD640*Settings!$B$15)+(AE640*Settings!$B$16)+(AF640*Settings!$B$17)+(AG640*Settings!$B$18)+(Y640*Settings!$B$10)+(Z640*Settings!$B$11),VLOOKUP(B640,'Standard Deviations'!A$1:C$672,3,FALSE))</f>
        <v>105.8489525261687</v>
      </c>
      <c r="J640" s="53" cm="1">
        <f t="array" ref="J640">IF(D640="G",I640/AJ640,I640/Q640)</f>
        <v>1.9108033672022511</v>
      </c>
      <c r="K640" s="52" cm="1">
        <f t="array" ref="K640">IF(Settings!$E$18="C/LW/RW",VLOOKUP(B640,LW!A1:F210,6,FALSE),VLOOKUP(B640,F!A1:F407,6,FALSE))</f>
        <v>-293.46404078755137</v>
      </c>
      <c r="L640" s="54" cm="1">
        <f t="array" ref="L640">IFERROR(K640/H640,"N/A")</f>
        <v>-361.18651173852476</v>
      </c>
      <c r="M640" s="85" t="s">
        <v>832</v>
      </c>
      <c r="N640" s="85" t="str" cm="1">
        <f t="array" ref="N640">IFERROR(M640-A640,"N/A")</f>
        <v>N/A</v>
      </c>
      <c r="O640" s="55"/>
      <c r="P640" s="56" t="str" cm="1">
        <f t="array" ref="P640">_xlfn.XLOOKUP($B640,ADP!A2:A671,ADP!G2:G671)</f>
        <v xml:space="preserve"> </v>
      </c>
      <c r="Q640" s="57" cm="1">
        <f t="array" ref="Q640">IF(Settings!$E$12="YES",VLOOKUP(B640,'Player Data'!A1:E673,5,FALSE),84)</f>
        <v>55.395000000000003</v>
      </c>
      <c r="R640" s="55" cm="1">
        <f t="array" ref="R640">VLOOKUP(B640,'Player Data'!$A1:$AE673,6,FALSE)</f>
        <v>12.7981791623994</v>
      </c>
      <c r="S640" s="57" cm="1">
        <f t="array" ref="S640">VLOOKUP(B640,'Player Data'!$A1:$AE673,7,FALSE)*$Q640*IFERROR((VLOOKUP(P640,Settings!$E$28:$F$33,2,FALSE)+1),1)</f>
        <v>6.8957631098107495</v>
      </c>
      <c r="T640" s="57" cm="1">
        <f t="array" ref="T640">VLOOKUP(B640,'Player Data'!$A1:$AE673,8,FALSE)*$Q640*IFERROR((VLOOKUP(P640,Settings!$E$28:$F$33,2,FALSE)+1),1)</f>
        <v>10.503374114946075</v>
      </c>
      <c r="U640" s="57" cm="1">
        <f t="array" ref="U640">SUM(S640:T640)</f>
        <v>17.399137224756824</v>
      </c>
      <c r="V640" s="57" cm="1">
        <f t="array" ref="V640">VLOOKUP(B640,'Player Data'!$A1:$AE673,10,FALSE)*$Q640*IFERROR(((VLOOKUP(P640,Settings!$E$28:$F$33,2,FALSE)/2)+1),1)</f>
        <v>76.169902291737515</v>
      </c>
      <c r="W640" s="57" cm="1">
        <f t="array" ref="W640">VLOOKUP(B640,'Player Data'!$A1:$AE673,11,FALSE)*$Q640*IFERROR((VLOOKUP(P640,Settings!$E$28:$F$33,2,FALSE)+1),1)</f>
        <v>0.1656615540918551</v>
      </c>
      <c r="X640" s="57" cm="1">
        <f t="array" ref="X640">VLOOKUP(B640,'Player Data'!$A1:$AE673,12,FALSE)*$Q640*IFERROR((VLOOKUP(P640,Settings!$E$28:$F$33,2,FALSE)+1),1)</f>
        <v>0.37488027674694463</v>
      </c>
      <c r="Y640" s="57" cm="1">
        <f t="array" ref="Y640">VLOOKUP(B640,'Player Data'!$A1:$AE673,13,FALSE)*$Q640</f>
        <v>1.8706186842203465</v>
      </c>
      <c r="Z640" s="57" cm="1">
        <f t="array" ref="Z640">VLOOKUP(B640,'Player Data'!$A1:$AE673,14,FALSE)*$Q640</f>
        <v>2.1043336464409976</v>
      </c>
      <c r="AA640" s="57" cm="1">
        <f t="array" ref="AA640">VLOOKUP(B640,'Player Data'!$A1:$AE673,15,FALSE)*$Q640</f>
        <v>26.174751565683074</v>
      </c>
      <c r="AB640" s="57" cm="1">
        <f t="array" ref="AB640">VLOOKUP(B640,'Player Data'!$A1:$AE673,16,FALSE)*$Q640</f>
        <v>60.488537431030622</v>
      </c>
      <c r="AC640" s="57" cm="1">
        <f t="array" ref="AC640">VLOOKUP(B640,'Player Data'!$A1:$AE673,17,FALSE)*$Q640*IFERROR((VLOOKUP(P640,Settings!$E$28:$F$33,2,FALSE)+1),1)</f>
        <v>-0.27623685327069447</v>
      </c>
      <c r="AD640" s="57" cm="1">
        <f t="array" ref="AD640">VLOOKUP(B640,'Player Data'!$A1:$AE673,18,FALSE)*$Q640</f>
        <v>15.26714708783833</v>
      </c>
      <c r="AE640" s="57" cm="1">
        <f t="array" ref="AE640">VLOOKUP(B640,'Player Data'!$A1:$AE673,19,FALSE)*$Q640*IFERROR((VLOOKUP(P640,Settings!$E$28:$F$33,2,FALSE)+1),1)</f>
        <v>0.99979801634785881</v>
      </c>
      <c r="AF640" s="57" cm="1">
        <f t="array" ref="AF640">VLOOKUP(B640,'Player Data'!$A1:$AE673,20,FALSE)*$Q640</f>
        <v>0</v>
      </c>
      <c r="AG640" s="57" cm="1">
        <f t="array" ref="AG640">VLOOKUP(B640,'Player Data'!$A1:$AE673,21,FALSE)*$Q640</f>
        <v>8.2991158632241504</v>
      </c>
      <c r="AH640" s="59" cm="1">
        <f t="array" ref="AH640">VLOOKUP(B640,'Player Data'!$A1:$AE673,22,FALSE)</f>
        <v>0</v>
      </c>
      <c r="AI640" s="55"/>
      <c r="AJ640" s="57"/>
      <c r="AK640" s="57"/>
      <c r="AL640" s="57"/>
      <c r="AM640" s="57"/>
      <c r="AN640" s="57"/>
      <c r="AO640" s="57"/>
      <c r="AP640" s="57"/>
      <c r="AQ640" s="60"/>
      <c r="AR640" s="61"/>
      <c r="AS640" s="55"/>
    </row>
    <row r="641" spans="1:45" ht="21.25" customHeight="1" x14ac:dyDescent="0.15">
      <c r="A641" s="62">
        <f t="shared" si="9"/>
        <v>640</v>
      </c>
      <c r="B641" s="10" t="s">
        <v>769</v>
      </c>
      <c r="C641" s="47" t="s">
        <v>147</v>
      </c>
      <c r="D641" s="48" t="str" cm="1">
        <f t="array" ref="D641">VLOOKUP(B641,'Player Data'!A1:D673,4,FALSE)</f>
        <v>C,LW</v>
      </c>
      <c r="E641" s="74" cm="1">
        <f t="array" ref="E641">VLOOKUP(B641,LW!A1:C210,3,FALSE)</f>
        <v>192</v>
      </c>
      <c r="F641" s="72" t="str" cm="1">
        <f t="array" ref="F641">VLOOKUP(B641,'Player Data'!A1:B673,2,FALSE)</f>
        <v>BOS</v>
      </c>
      <c r="G641" s="11" cm="1">
        <f t="array" ref="G641">VLOOKUP(B641,'Player Data'!A1:D673,3,FALSE)</f>
        <v>26</v>
      </c>
      <c r="H641" s="51" cm="1">
        <f t="array" ref="H641">IFERROR(VLOOKUP(B641,ADP!A1:F671,6,FALSE)/1000000,VLOOKUP(B641,ADP!A1:F671,6,FALSE))</f>
        <v>1.625</v>
      </c>
      <c r="I641" s="52">
        <f>IF(Settings!$E$15="POINTS",((R641*Q641)*Settings!$B$12)+(S641*Settings!$B$2)+(T641*Settings!$B$3)+(U641*Settings!$B$4)+(V641*Settings!$B$5)+(X641*Settings!$B$9)+(AA641*Settings!$B$6)+(W641*Settings!$B$8)+(AB641*Settings!$B$7)+(AC641*Settings!$B$14)+(AD641*Settings!$B$15)+(AE641*Settings!$B$16)+(AF641*Settings!$B$17)+(AG641*Settings!$B$18)+(Y641*Settings!$B$10)+(Z641*Settings!$B$11),VLOOKUP(B641,'Standard Deviations'!A$1:C$672,3,FALSE))</f>
        <v>105.10956956053404</v>
      </c>
      <c r="J641" s="53" cm="1">
        <f t="array" ref="J641">IF(D641="G",I641/AJ641,I641/Q641)</f>
        <v>1.7907755270556953</v>
      </c>
      <c r="K641" s="52" cm="1">
        <f t="array" ref="K641">IF(Settings!$E$18="C/LW/RW",VLOOKUP(B641,LW!A1:F210,6,FALSE),VLOOKUP(B641,F!A1:F407,6,FALSE))</f>
        <v>-294.20342375318603</v>
      </c>
      <c r="L641" s="54" cm="1">
        <f t="array" ref="L641">IFERROR(K641/H641,"N/A")</f>
        <v>-181.04826077119139</v>
      </c>
      <c r="M641" s="85" t="s">
        <v>832</v>
      </c>
      <c r="N641" s="85" t="str" cm="1">
        <f t="array" ref="N641">IFERROR(M641-A641,"N/A")</f>
        <v>N/A</v>
      </c>
      <c r="O641" s="55"/>
      <c r="P641" s="56" t="str" cm="1">
        <f t="array" ref="P641">_xlfn.XLOOKUP($B641,ADP!A2:A671,ADP!G2:G671)</f>
        <v xml:space="preserve"> </v>
      </c>
      <c r="Q641" s="57" cm="1">
        <f t="array" ref="Q641">IF(Settings!$E$12="YES",VLOOKUP(B641,'Player Data'!A1:E673,5,FALSE),84)</f>
        <v>58.695</v>
      </c>
      <c r="R641" s="55" cm="1">
        <f t="array" ref="R641">VLOOKUP(B641,'Player Data'!$A1:$AE673,6,FALSE)</f>
        <v>11.447457224846699</v>
      </c>
      <c r="S641" s="57" cm="1">
        <f t="array" ref="S641">VLOOKUP(B641,'Player Data'!$A1:$AE673,7,FALSE)*$Q641*IFERROR((VLOOKUP(P641,Settings!$E$28:$F$33,2,FALSE)+1),1)</f>
        <v>9.1373917877100457</v>
      </c>
      <c r="T641" s="57" cm="1">
        <f t="array" ref="T641">VLOOKUP(B641,'Player Data'!$A1:$AE673,8,FALSE)*$Q641*IFERROR((VLOOKUP(P641,Settings!$E$28:$F$33,2,FALSE)+1),1)</f>
        <v>8.4287614212331778</v>
      </c>
      <c r="U641" s="57" cm="1">
        <f t="array" ref="U641">SUM(S641:T641)</f>
        <v>17.566153208943224</v>
      </c>
      <c r="V641" s="57" cm="1">
        <f t="array" ref="V641">VLOOKUP(B641,'Player Data'!$A1:$AE673,10,FALSE)*$Q641*IFERROR(((VLOOKUP(P641,Settings!$E$28:$F$33,2,FALSE)/2)+1),1)</f>
        <v>69.3649636571337</v>
      </c>
      <c r="W641" s="57" cm="1">
        <f t="array" ref="W641">VLOOKUP(B641,'Player Data'!$A1:$AE673,11,FALSE)*$Q641*IFERROR((VLOOKUP(P641,Settings!$E$28:$F$33,2,FALSE)+1),1)</f>
        <v>0.52572800646117546</v>
      </c>
      <c r="X641" s="57" cm="1">
        <f t="array" ref="X641">VLOOKUP(B641,'Player Data'!$A1:$AE673,12,FALSE)*$Q641*IFERROR((VLOOKUP(P641,Settings!$E$28:$F$33,2,FALSE)+1),1)</f>
        <v>1.4172586382798882</v>
      </c>
      <c r="Y641" s="57" cm="1">
        <f t="array" ref="Y641">VLOOKUP(B641,'Player Data'!$A1:$AE673,13,FALSE)*$Q641</f>
        <v>0.60814299610384215</v>
      </c>
      <c r="Z641" s="57" cm="1">
        <f t="array" ref="Z641">VLOOKUP(B641,'Player Data'!$A1:$AE673,14,FALSE)*$Q641</f>
        <v>0.68196874390472972</v>
      </c>
      <c r="AA641" s="57" cm="1">
        <f t="array" ref="AA641">VLOOKUP(B641,'Player Data'!$A1:$AE673,15,FALSE)*$Q641</f>
        <v>31.258801445905799</v>
      </c>
      <c r="AB641" s="57" cm="1">
        <f t="array" ref="AB641">VLOOKUP(B641,'Player Data'!$A1:$AE673,16,FALSE)*$Q641</f>
        <v>160.72592375560279</v>
      </c>
      <c r="AC641" s="57" cm="1">
        <f t="array" ref="AC641">VLOOKUP(B641,'Player Data'!$A1:$AE673,17,FALSE)*$Q641*IFERROR((VLOOKUP(P641,Settings!$E$28:$F$33,2,FALSE)+1),1)</f>
        <v>-0.65487193757721918</v>
      </c>
      <c r="AD641" s="57" cm="1">
        <f t="array" ref="AD641">VLOOKUP(B641,'Player Data'!$A1:$AE673,18,FALSE)*$Q641</f>
        <v>21.135502558502747</v>
      </c>
      <c r="AE641" s="57" cm="1">
        <f t="array" ref="AE641">VLOOKUP(B641,'Player Data'!$A1:$AE673,19,FALSE)*$Q641*IFERROR((VLOOKUP(P641,Settings!$E$28:$F$33,2,FALSE)+1),1)</f>
        <v>1.2300910379735719</v>
      </c>
      <c r="AF641" s="57" cm="1">
        <f t="array" ref="AF641">VLOOKUP(B641,'Player Data'!$A1:$AE673,20,FALSE)*$Q641</f>
        <v>3.389328463661796</v>
      </c>
      <c r="AG641" s="57" cm="1">
        <f t="array" ref="AG641">VLOOKUP(B641,'Player Data'!$A1:$AE673,21,FALSE)*$Q641</f>
        <v>5.4972860603072675</v>
      </c>
      <c r="AH641" s="59" cm="1">
        <f t="array" ref="AH641">VLOOKUP(B641,'Player Data'!$A1:$AE673,22,FALSE)</f>
        <v>0.38139703871705799</v>
      </c>
      <c r="AI641" s="55"/>
      <c r="AJ641" s="57"/>
      <c r="AK641" s="57"/>
      <c r="AL641" s="57"/>
      <c r="AM641" s="57"/>
      <c r="AN641" s="57"/>
      <c r="AO641" s="57"/>
      <c r="AP641" s="57"/>
      <c r="AQ641" s="60"/>
      <c r="AR641" s="61"/>
      <c r="AS641" s="55"/>
    </row>
    <row r="642" spans="1:45" ht="21.25" customHeight="1" x14ac:dyDescent="0.15">
      <c r="A642" s="62">
        <f t="shared" ref="A642:A671" si="10">RANK(K642,K$2:K$671)</f>
        <v>641</v>
      </c>
      <c r="B642" s="10" t="s">
        <v>770</v>
      </c>
      <c r="C642" s="47" t="s">
        <v>147</v>
      </c>
      <c r="D642" s="48" t="str" cm="1">
        <f t="array" ref="D642">VLOOKUP(B642,'Player Data'!A1:D673,4,FALSE)</f>
        <v>LW</v>
      </c>
      <c r="E642" s="75" cm="1">
        <f t="array" ref="E642">VLOOKUP(B642,LW!A1:C210,3,FALSE)</f>
        <v>193</v>
      </c>
      <c r="F642" s="65" t="str" cm="1">
        <f t="array" ref="F642">VLOOKUP(B642,'Player Data'!A1:B673,2,FALSE)</f>
        <v>CAR</v>
      </c>
      <c r="G642" s="66" cm="1">
        <f t="array" ref="G642">VLOOKUP(B642,'Player Data'!A1:D673,3,FALSE)</f>
        <v>31</v>
      </c>
      <c r="H642" s="51" cm="1">
        <f t="array" ref="H642">IFERROR(VLOOKUP(B642,ADP!A1:F671,6,FALSE)/1000000,VLOOKUP(B642,ADP!A1:F671,6,FALSE))</f>
        <v>2.0499999999999998</v>
      </c>
      <c r="I642" s="52">
        <f>IF(Settings!$E$15="POINTS",((R642*Q642)*Settings!$B$12)+(S642*Settings!$B$2)+(T642*Settings!$B$3)+(U642*Settings!$B$4)+(V642*Settings!$B$5)+(X642*Settings!$B$9)+(AA642*Settings!$B$6)+(W642*Settings!$B$8)+(AB642*Settings!$B$7)+(AC642*Settings!$B$14)+(AD642*Settings!$B$15)+(AE642*Settings!$B$16)+(AF642*Settings!$B$17)+(AG642*Settings!$B$18)+(Y642*Settings!$B$10)+(Z642*Settings!$B$11),VLOOKUP(B642,'Standard Deviations'!A$1:C$672,3,FALSE))</f>
        <v>104.20239753154091</v>
      </c>
      <c r="J642" s="53" cm="1">
        <f t="array" ref="J642">IF(D642="G",I642/AJ642,I642/Q642)</f>
        <v>1.4424972837036292</v>
      </c>
      <c r="K642" s="52" cm="1">
        <f t="array" ref="K642">IF(Settings!$E$18="C/LW/RW",VLOOKUP(B642,LW!A1:F210,6,FALSE),VLOOKUP(B642,F!A1:F407,6,FALSE))</f>
        <v>-295.11059578217919</v>
      </c>
      <c r="L642" s="54" cm="1">
        <f t="array" ref="L642">IFERROR(K642/H642,"N/A")</f>
        <v>-143.95638818642888</v>
      </c>
      <c r="M642" s="85" t="s">
        <v>832</v>
      </c>
      <c r="N642" s="85" t="str" cm="1">
        <f t="array" ref="N642">IFERROR(M642-A642,"N/A")</f>
        <v>N/A</v>
      </c>
      <c r="O642" s="81"/>
      <c r="P642" s="56" t="str" cm="1">
        <f t="array" ref="P642">_xlfn.XLOOKUP($B642,ADP!A2:A671,ADP!G2:G671)</f>
        <v xml:space="preserve"> </v>
      </c>
      <c r="Q642" s="57" cm="1">
        <f t="array" ref="Q642">IF(Settings!$E$12="YES",VLOOKUP(B642,'Player Data'!A1:E673,5,FALSE),84)</f>
        <v>72.237499999999997</v>
      </c>
      <c r="R642" s="55" cm="1">
        <f t="array" ref="R642">VLOOKUP(B642,'Player Data'!$A1:$AE673,6,FALSE)</f>
        <v>10.755949655381601</v>
      </c>
      <c r="S642" s="57" cm="1">
        <f t="array" ref="S642">VLOOKUP(B642,'Player Data'!$A1:$AE673,7,FALSE)*$Q642*IFERROR((VLOOKUP(P642,Settings!$E$28:$F$33,2,FALSE)+1),1)</f>
        <v>7.1606132719910907</v>
      </c>
      <c r="T642" s="57" cm="1">
        <f t="array" ref="T642">VLOOKUP(B642,'Player Data'!$A1:$AE673,8,FALSE)*$Q642*IFERROR((VLOOKUP(P642,Settings!$E$28:$F$33,2,FALSE)+1),1)</f>
        <v>10.146845067820305</v>
      </c>
      <c r="U642" s="57" cm="1">
        <f t="array" ref="U642">SUM(S642:T642)</f>
        <v>17.307458339811397</v>
      </c>
      <c r="V642" s="57" cm="1">
        <f t="array" ref="V642">VLOOKUP(B642,'Player Data'!$A1:$AE673,10,FALSE)*$Q642*IFERROR(((VLOOKUP(P642,Settings!$E$28:$F$33,2,FALSE)/2)+1),1)</f>
        <v>83.333723684575205</v>
      </c>
      <c r="W642" s="57" cm="1">
        <f t="array" ref="W642">VLOOKUP(B642,'Player Data'!$A1:$AE673,11,FALSE)*$Q642*IFERROR((VLOOKUP(P642,Settings!$E$28:$F$33,2,FALSE)+1),1)</f>
        <v>2.2691512119108435E-2</v>
      </c>
      <c r="X642" s="57" cm="1">
        <f t="array" ref="X642">VLOOKUP(B642,'Player Data'!$A1:$AE673,12,FALSE)*$Q642*IFERROR((VLOOKUP(P642,Settings!$E$28:$F$33,2,FALSE)+1),1)</f>
        <v>4.8822047593243857E-2</v>
      </c>
      <c r="Y642" s="57" cm="1">
        <f t="array" ref="Y642">VLOOKUP(B642,'Player Data'!$A1:$AE673,13,FALSE)*$Q642</f>
        <v>1.8241338130187298E-2</v>
      </c>
      <c r="Z642" s="57" cm="1">
        <f t="array" ref="Z642">VLOOKUP(B642,'Player Data'!$A1:$AE673,14,FALSE)*$Q642</f>
        <v>2.9668012260429328E-2</v>
      </c>
      <c r="AA642" s="57" cm="1">
        <f t="array" ref="AA642">VLOOKUP(B642,'Player Data'!$A1:$AE673,15,FALSE)*$Q642</f>
        <v>21.069341219930902</v>
      </c>
      <c r="AB642" s="57" cm="1">
        <f t="array" ref="AB642">VLOOKUP(B642,'Player Data'!$A1:$AE673,16,FALSE)*$Q642</f>
        <v>174.98275117785786</v>
      </c>
      <c r="AC642" s="57" cm="1">
        <f t="array" ref="AC642">VLOOKUP(B642,'Player Data'!$A1:$AE673,17,FALSE)*$Q642*IFERROR((VLOOKUP(P642,Settings!$E$28:$F$33,2,FALSE)+1),1)</f>
        <v>5.8362818444109523</v>
      </c>
      <c r="AD642" s="57" cm="1">
        <f t="array" ref="AD642">VLOOKUP(B642,'Player Data'!$A1:$AE673,18,FALSE)*$Q642</f>
        <v>20.71034815241909</v>
      </c>
      <c r="AE642" s="57" cm="1">
        <f t="array" ref="AE642">VLOOKUP(B642,'Player Data'!$A1:$AE673,19,FALSE)*$Q642*IFERROR((VLOOKUP(P642,Settings!$E$28:$F$33,2,FALSE)+1),1)</f>
        <v>1.2296618559860695</v>
      </c>
      <c r="AF642" s="57" cm="1">
        <f t="array" ref="AF642">VLOOKUP(B642,'Player Data'!$A1:$AE673,20,FALSE)*$Q642</f>
        <v>8.4633565021234798</v>
      </c>
      <c r="AG642" s="57" cm="1">
        <f t="array" ref="AG642">VLOOKUP(B642,'Player Data'!$A1:$AE673,21,FALSE)*$Q642</f>
        <v>10.710267514318188</v>
      </c>
      <c r="AH642" s="59" cm="1">
        <f t="array" ref="AH642">VLOOKUP(B642,'Player Data'!$A1:$AE673,22,FALSE)</f>
        <v>0.4414061992071</v>
      </c>
      <c r="AI642" s="55"/>
      <c r="AJ642" s="57"/>
      <c r="AK642" s="57"/>
      <c r="AL642" s="57"/>
      <c r="AM642" s="57"/>
      <c r="AN642" s="57"/>
      <c r="AO642" s="57"/>
      <c r="AP642" s="57"/>
      <c r="AQ642" s="60"/>
      <c r="AR642" s="61"/>
      <c r="AS642" s="55"/>
    </row>
    <row r="643" spans="1:45" ht="21.25" customHeight="1" x14ac:dyDescent="0.15">
      <c r="A643" s="62">
        <f t="shared" si="10"/>
        <v>642</v>
      </c>
      <c r="B643" s="10" t="s">
        <v>771</v>
      </c>
      <c r="C643" s="47" t="s">
        <v>147</v>
      </c>
      <c r="D643" s="48" t="str" cm="1">
        <f t="array" ref="D643">VLOOKUP(B643,'Player Data'!A1:D673,4,FALSE)</f>
        <v>LW</v>
      </c>
      <c r="E643" s="75" cm="1">
        <f t="array" ref="E643">VLOOKUP(B643,LW!A1:C210,3,FALSE)</f>
        <v>195</v>
      </c>
      <c r="F643" s="63" t="str" cm="1">
        <f t="array" ref="F643">VLOOKUP(B643,'Player Data'!A1:B673,2,FALSE)</f>
        <v>EDM</v>
      </c>
      <c r="G643" s="71" cm="1">
        <f t="array" ref="G643">VLOOKUP(B643,'Player Data'!A1:D673,3,FALSE)</f>
        <v>22</v>
      </c>
      <c r="H643" s="51" cm="1">
        <f t="array" ref="H643">IFERROR(VLOOKUP(B643,ADP!A1:F671,6,FALSE)/1000000,VLOOKUP(B643,ADP!A1:F671,6,FALSE))</f>
        <v>0.95</v>
      </c>
      <c r="I643" s="52">
        <f>IF(Settings!$E$15="POINTS",((R643*Q643)*Settings!$B$12)+(S643*Settings!$B$2)+(T643*Settings!$B$3)+(U643*Settings!$B$4)+(V643*Settings!$B$5)+(X643*Settings!$B$9)+(AA643*Settings!$B$6)+(W643*Settings!$B$8)+(AB643*Settings!$B$7)+(AC643*Settings!$B$14)+(AD643*Settings!$B$15)+(AE643*Settings!$B$16)+(AF643*Settings!$B$17)+(AG643*Settings!$B$18)+(Y643*Settings!$B$10)+(Z643*Settings!$B$11),VLOOKUP(B643,'Standard Deviations'!A$1:C$672,3,FALSE))</f>
        <v>103.81038714423016</v>
      </c>
      <c r="J643" s="53" cm="1">
        <f t="array" ref="J643">IF(D643="G",I643/AJ643,I643/Q643)</f>
        <v>1.6734164124160582</v>
      </c>
      <c r="K643" s="52" cm="1">
        <f t="array" ref="K643">IF(Settings!$E$18="C/LW/RW",VLOOKUP(B643,LW!A1:F210,6,FALSE),VLOOKUP(B643,F!A1:F407,6,FALSE))</f>
        <v>-295.50260616948992</v>
      </c>
      <c r="L643" s="54" cm="1">
        <f t="array" ref="L643">IFERROR(K643/H643,"N/A")</f>
        <v>-311.05537491525257</v>
      </c>
      <c r="M643" s="85" t="s">
        <v>832</v>
      </c>
      <c r="N643" s="85" t="str" cm="1">
        <f t="array" ref="N643">IFERROR(M643-A643,"N/A")</f>
        <v>N/A</v>
      </c>
      <c r="O643" s="83"/>
      <c r="P643" s="56" t="str" cm="1">
        <f t="array" ref="P643">_xlfn.XLOOKUP($B643,ADP!A2:A671,ADP!G2:G671)</f>
        <v xml:space="preserve"> </v>
      </c>
      <c r="Q643" s="57" cm="1">
        <f t="array" ref="Q643">IF(Settings!$E$12="YES",VLOOKUP(B643,'Player Data'!A1:E673,5,FALSE),84)</f>
        <v>62.034999999999997</v>
      </c>
      <c r="R643" s="82" cm="1">
        <f t="array" ref="R643">VLOOKUP(B643,'Player Data'!$A1:$AE673,6,FALSE)</f>
        <v>11.9034813031169</v>
      </c>
      <c r="S643" s="57" cm="1">
        <f t="array" ref="S643">VLOOKUP(B643,'Player Data'!$A1:$AE673,7,FALSE)*$Q643*IFERROR((VLOOKUP(P643,Settings!$E$28:$F$33,2,FALSE)+1),1)</f>
        <v>6.9922699820766487</v>
      </c>
      <c r="T643" s="57" cm="1">
        <f t="array" ref="T643">VLOOKUP(B643,'Player Data'!$A1:$AE673,8,FALSE)*$Q643*IFERROR((VLOOKUP(P643,Settings!$E$28:$F$33,2,FALSE)+1),1)</f>
        <v>9.8593003821134939</v>
      </c>
      <c r="U643" s="57" cm="1">
        <f t="array" ref="U643">SUM(S643:T643)</f>
        <v>16.851570364190142</v>
      </c>
      <c r="V643" s="57" cm="1">
        <f t="array" ref="V643">VLOOKUP(B643,'Player Data'!$A1:$AE673,10,FALSE)*$Q643*IFERROR(((VLOOKUP(P643,Settings!$E$28:$F$33,2,FALSE)/2)+1),1)</f>
        <v>84.239501881867326</v>
      </c>
      <c r="W643" s="57" cm="1">
        <f t="array" ref="W643">VLOOKUP(B643,'Player Data'!$A1:$AE673,11,FALSE)*$Q643*IFERROR((VLOOKUP(P643,Settings!$E$28:$F$33,2,FALSE)+1),1)</f>
        <v>0.56818993579895505</v>
      </c>
      <c r="X643" s="57" cm="1">
        <f t="array" ref="X643">VLOOKUP(B643,'Player Data'!$A1:$AE673,12,FALSE)*$Q643*IFERROR((VLOOKUP(P643,Settings!$E$28:$F$33,2,FALSE)+1),1)</f>
        <v>1.3665162424584307</v>
      </c>
      <c r="Y643" s="57" cm="1">
        <f t="array" ref="Y643">VLOOKUP(B643,'Player Data'!$A1:$AE673,13,FALSE)*$Q643</f>
        <v>0</v>
      </c>
      <c r="Z643" s="57" cm="1">
        <f t="array" ref="Z643">VLOOKUP(B643,'Player Data'!$A1:$AE673,14,FALSE)*$Q643</f>
        <v>0</v>
      </c>
      <c r="AA643" s="57" cm="1">
        <f t="array" ref="AA643">VLOOKUP(B643,'Player Data'!$A1:$AE673,15,FALSE)*$Q643</f>
        <v>19.5388177365353</v>
      </c>
      <c r="AB643" s="57" cm="1">
        <f t="array" ref="AB643">VLOOKUP(B643,'Player Data'!$A1:$AE673,16,FALSE)*$Q643</f>
        <v>54.659355317392411</v>
      </c>
      <c r="AC643" s="57" cm="1">
        <f t="array" ref="AC643">VLOOKUP(B643,'Player Data'!$A1:$AE673,17,FALSE)*$Q643*IFERROR((VLOOKUP(P643,Settings!$E$28:$F$33,2,FALSE)+1),1)</f>
        <v>2.9043751967512126</v>
      </c>
      <c r="AD643" s="57" cm="1">
        <f t="array" ref="AD643">VLOOKUP(B643,'Player Data'!$A1:$AE673,18,FALSE)*$Q643</f>
        <v>20.835194232659724</v>
      </c>
      <c r="AE643" s="57" cm="1">
        <f t="array" ref="AE643">VLOOKUP(B643,'Player Data'!$A1:$AE673,19,FALSE)*$Q643*IFERROR((VLOOKUP(P643,Settings!$E$28:$F$33,2,FALSE)+1),1)</f>
        <v>1.2274339408806951</v>
      </c>
      <c r="AF643" s="57" cm="1">
        <f t="array" ref="AF643">VLOOKUP(B643,'Player Data'!$A1:$AE673,20,FALSE)*$Q643</f>
        <v>0</v>
      </c>
      <c r="AG643" s="57" cm="1">
        <f t="array" ref="AG643">VLOOKUP(B643,'Player Data'!$A1:$AE673,21,FALSE)*$Q643</f>
        <v>0</v>
      </c>
      <c r="AH643" s="59" cm="1">
        <f t="array" ref="AH643">VLOOKUP(B643,'Player Data'!$A1:$AE673,22,FALSE)</f>
        <v>0</v>
      </c>
      <c r="AI643" s="55"/>
      <c r="AJ643" s="57"/>
      <c r="AK643" s="57"/>
      <c r="AL643" s="57"/>
      <c r="AM643" s="57"/>
      <c r="AN643" s="57"/>
      <c r="AO643" s="57"/>
      <c r="AP643" s="57"/>
      <c r="AQ643" s="60"/>
      <c r="AR643" s="61"/>
      <c r="AS643" s="55"/>
    </row>
    <row r="644" spans="1:45" ht="21.25" customHeight="1" x14ac:dyDescent="0.15">
      <c r="A644" s="62">
        <f t="shared" si="10"/>
        <v>643</v>
      </c>
      <c r="B644" s="10" t="s">
        <v>772</v>
      </c>
      <c r="C644" s="47" t="s">
        <v>147</v>
      </c>
      <c r="D644" s="48" t="str" cm="1">
        <f t="array" ref="D644">VLOOKUP(B644,'Player Data'!A1:D673,4,FALSE)</f>
        <v>C,RW</v>
      </c>
      <c r="E644" s="74" cm="1">
        <f t="array" ref="E644">VLOOKUP(B644,RW!A1:F210,3,FALSE)</f>
        <v>197</v>
      </c>
      <c r="F644" s="63" t="str" cm="1">
        <f t="array" ref="F644">VLOOKUP(B644,'Player Data'!A1:B673,2,FALSE)</f>
        <v>DAL</v>
      </c>
      <c r="G644" s="66" cm="1">
        <f t="array" ref="G644">VLOOKUP(B644,'Player Data'!A1:D673,3,FALSE)</f>
        <v>33</v>
      </c>
      <c r="H644" s="67" cm="1">
        <f t="array" ref="H644">IFERROR(VLOOKUP(B644,ADP!A1:F671,6,FALSE)/1000000,VLOOKUP(B644,ADP!A1:F671,6,FALSE))</f>
        <v>0.81200000000000006</v>
      </c>
      <c r="I644" s="52">
        <f>IF(Settings!$E$15="POINTS",((R644*Q644)*Settings!$B$12)+(S644*Settings!$B$2)+(T644*Settings!$B$3)+(U644*Settings!$B$4)+(V644*Settings!$B$5)+(X644*Settings!$B$9)+(AA644*Settings!$B$6)+(W644*Settings!$B$8)+(AB644*Settings!$B$7)+(AC644*Settings!$B$14)+(AD644*Settings!$B$15)+(AE644*Settings!$B$16)+(AF644*Settings!$B$17)+(AG644*Settings!$B$18)+(Y644*Settings!$B$10)+(Z644*Settings!$B$11),VLOOKUP(B644,'Standard Deviations'!A$1:C$672,3,FALSE))</f>
        <v>98.867701509882167</v>
      </c>
      <c r="J644" s="53" cm="1">
        <f t="array" ref="J644">IF(D644="G",I644/AJ644,I644/Q644)</f>
        <v>1.3097228217901264</v>
      </c>
      <c r="K644" s="52" cm="1">
        <f t="array" ref="K644">IF(Settings!$E$18="C/LW/RW",VLOOKUP(B644,RW!A1:F210,6,FALSE),VLOOKUP(B644,F!A1:F407,6,FALSE))</f>
        <v>-296.07576318367529</v>
      </c>
      <c r="L644" s="54" cm="1">
        <f t="array" ref="L644">IFERROR(K644/H644,"N/A")</f>
        <v>-364.62532411782666</v>
      </c>
      <c r="M644" s="85" t="s">
        <v>832</v>
      </c>
      <c r="N644" s="85" t="str" cm="1">
        <f t="array" ref="N644">IFERROR(M644-A644,"N/A")</f>
        <v>N/A</v>
      </c>
      <c r="O644" s="81"/>
      <c r="P644" s="56" t="str" cm="1">
        <f t="array" ref="P644">_xlfn.XLOOKUP($B644,ADP!A2:A671,ADP!G2:G671)</f>
        <v xml:space="preserve"> </v>
      </c>
      <c r="Q644" s="57" cm="1">
        <f t="array" ref="Q644">IF(Settings!$E$12="YES",VLOOKUP(B644,'Player Data'!A1:E673,5,FALSE),84)</f>
        <v>75.487499999999997</v>
      </c>
      <c r="R644" s="55" cm="1">
        <f t="array" ref="R644">VLOOKUP(B644,'Player Data'!$A1:$AE673,6,FALSE)</f>
        <v>11.5382734031277</v>
      </c>
      <c r="S644" s="57" cm="1">
        <f t="array" ref="S644">VLOOKUP(B644,'Player Data'!$A1:$AE673,7,FALSE)*$Q644*IFERROR((VLOOKUP(P644,Settings!$E$28:$F$33,2,FALSE)+1),1)</f>
        <v>4.7556787721615379</v>
      </c>
      <c r="T644" s="57" cm="1">
        <f t="array" ref="T644">VLOOKUP(B644,'Player Data'!$A1:$AE673,8,FALSE)*$Q644*IFERROR((VLOOKUP(P644,Settings!$E$28:$F$33,2,FALSE)+1),1)</f>
        <v>10.002301637825552</v>
      </c>
      <c r="U644" s="57" cm="1">
        <f t="array" ref="U644">SUM(S644:T644)</f>
        <v>14.757980409987089</v>
      </c>
      <c r="V644" s="57" cm="1">
        <f t="array" ref="V644">VLOOKUP(B644,'Player Data'!$A1:$AE673,10,FALSE)*$Q644*IFERROR(((VLOOKUP(P644,Settings!$E$28:$F$33,2,FALSE)/2)+1),1)</f>
        <v>70.849465212737741</v>
      </c>
      <c r="W644" s="57" cm="1">
        <f t="array" ref="W644">VLOOKUP(B644,'Player Data'!$A1:$AE673,11,FALSE)*$Q644*IFERROR((VLOOKUP(P644,Settings!$E$28:$F$33,2,FALSE)+1),1)</f>
        <v>7.8838466432596191E-3</v>
      </c>
      <c r="X644" s="57" cm="1">
        <f t="array" ref="X644">VLOOKUP(B644,'Player Data'!$A1:$AE673,12,FALSE)*$Q644*IFERROR((VLOOKUP(P644,Settings!$E$28:$F$33,2,FALSE)+1),1)</f>
        <v>1.5273648709145266E-2</v>
      </c>
      <c r="Y644" s="57" cm="1">
        <f t="array" ref="Y644">VLOOKUP(B644,'Player Data'!$A1:$AE673,13,FALSE)*$Q644</f>
        <v>0.50504737762823082</v>
      </c>
      <c r="Z644" s="57" cm="1">
        <f t="array" ref="Z644">VLOOKUP(B644,'Player Data'!$A1:$AE673,14,FALSE)*$Q644</f>
        <v>0.85564521401229598</v>
      </c>
      <c r="AA644" s="57" cm="1">
        <f t="array" ref="AA644">VLOOKUP(B644,'Player Data'!$A1:$AE673,15,FALSE)*$Q644</f>
        <v>36.596217621661189</v>
      </c>
      <c r="AB644" s="57" cm="1">
        <f t="array" ref="AB644">VLOOKUP(B644,'Player Data'!$A1:$AE673,16,FALSE)*$Q644</f>
        <v>118.38513249264149</v>
      </c>
      <c r="AC644" s="57" cm="1">
        <f t="array" ref="AC644">VLOOKUP(B644,'Player Data'!$A1:$AE673,17,FALSE)*$Q644*IFERROR((VLOOKUP(P644,Settings!$E$28:$F$33,2,FALSE)+1),1)</f>
        <v>3.5003288533435417</v>
      </c>
      <c r="AD644" s="57" cm="1">
        <f t="array" ref="AD644">VLOOKUP(B644,'Player Data'!$A1:$AE673,18,FALSE)*$Q644</f>
        <v>23.204042648699279</v>
      </c>
      <c r="AE644" s="57" cm="1">
        <f t="array" ref="AE644">VLOOKUP(B644,'Player Data'!$A1:$AE673,19,FALSE)*$Q644*IFERROR((VLOOKUP(P644,Settings!$E$28:$F$33,2,FALSE)+1),1)</f>
        <v>0.80429367685392428</v>
      </c>
      <c r="AF644" s="57" cm="1">
        <f t="array" ref="AF644">VLOOKUP(B644,'Player Data'!$A1:$AE673,20,FALSE)*$Q644</f>
        <v>130.28777782872581</v>
      </c>
      <c r="AG644" s="57" cm="1">
        <f t="array" ref="AG644">VLOOKUP(B644,'Player Data'!$A1:$AE673,21,FALSE)*$Q644</f>
        <v>155.01818509691282</v>
      </c>
      <c r="AH644" s="59" cm="1">
        <f t="array" ref="AH644">VLOOKUP(B644,'Player Data'!$A1:$AE673,22,FALSE)</f>
        <v>0.45665984858046399</v>
      </c>
      <c r="AI644" s="55"/>
      <c r="AJ644" s="57"/>
      <c r="AK644" s="57"/>
      <c r="AL644" s="57"/>
      <c r="AM644" s="57"/>
      <c r="AN644" s="57"/>
      <c r="AO644" s="57"/>
      <c r="AP644" s="57"/>
      <c r="AQ644" s="60"/>
      <c r="AR644" s="61"/>
      <c r="AS644" s="55"/>
    </row>
    <row r="645" spans="1:45" ht="21.25" customHeight="1" x14ac:dyDescent="0.15">
      <c r="A645" s="62">
        <f t="shared" si="10"/>
        <v>644</v>
      </c>
      <c r="B645" s="10" t="s">
        <v>773</v>
      </c>
      <c r="C645" s="47" t="s">
        <v>147</v>
      </c>
      <c r="D645" s="48" t="str" cm="1">
        <f t="array" ref="D645">VLOOKUP(B645,'Player Data'!A1:D673,4,FALSE)</f>
        <v>LW</v>
      </c>
      <c r="E645" s="75" cm="1">
        <f t="array" ref="E645">VLOOKUP(B645,LW!A1:C210,3,FALSE)</f>
        <v>196</v>
      </c>
      <c r="F645" s="18" t="str" cm="1">
        <f t="array" ref="F645">VLOOKUP(B645,'Player Data'!A1:B673,2,FALSE)</f>
        <v>VAN</v>
      </c>
      <c r="G645" s="11" cm="1">
        <f t="array" ref="G645">VLOOKUP(B645,'Player Data'!A1:D673,3,FALSE)</f>
        <v>26</v>
      </c>
      <c r="H645" s="67" cm="1">
        <f t="array" ref="H645">IFERROR(VLOOKUP(B645,ADP!A1:F671,6,FALSE)/1000000,VLOOKUP(B645,ADP!A1:F671,6,FALSE))</f>
        <v>2.15</v>
      </c>
      <c r="I645" s="52">
        <f>IF(Settings!$E$15="POINTS",((R645*Q645)*Settings!$B$12)+(S645*Settings!$B$2)+(T645*Settings!$B$3)+(U645*Settings!$B$4)+(V645*Settings!$B$5)+(X645*Settings!$B$9)+(AA645*Settings!$B$6)+(W645*Settings!$B$8)+(AB645*Settings!$B$7)+(AC645*Settings!$B$14)+(AD645*Settings!$B$15)+(AE645*Settings!$B$16)+(AF645*Settings!$B$17)+(AG645*Settings!$B$18)+(Y645*Settings!$B$10)+(Z645*Settings!$B$11),VLOOKUP(B645,'Standard Deviations'!A$1:C$672,3,FALSE))</f>
        <v>102.84477384556551</v>
      </c>
      <c r="J645" s="53" cm="1">
        <f t="array" ref="J645">IF(D645="G",I645/AJ645,I645/Q645)</f>
        <v>1.2468300157066801</v>
      </c>
      <c r="K645" s="52" cm="1">
        <f t="array" ref="K645">IF(Settings!$E$18="C/LW/RW",VLOOKUP(B645,LW!A1:F210,6,FALSE),VLOOKUP(B645,F!A1:F407,6,FALSE))</f>
        <v>-296.46821946815459</v>
      </c>
      <c r="L645" s="54" cm="1">
        <f t="array" ref="L645">IFERROR(K645/H645,"N/A")</f>
        <v>-137.89219510146725</v>
      </c>
      <c r="M645" s="85" t="s">
        <v>832</v>
      </c>
      <c r="N645" s="85" t="str" cm="1">
        <f t="array" ref="N645">IFERROR(M645-A645,"N/A")</f>
        <v>N/A</v>
      </c>
      <c r="O645" s="83"/>
      <c r="P645" s="56" t="str" cm="1">
        <f t="array" ref="P645">_xlfn.XLOOKUP($B645,ADP!A2:A671,ADP!G2:G671)</f>
        <v xml:space="preserve"> </v>
      </c>
      <c r="Q645" s="57" cm="1">
        <f t="array" ref="Q645">IF(Settings!$E$12="YES",VLOOKUP(B645,'Player Data'!A1:E673,5,FALSE),84)</f>
        <v>82.484999999999999</v>
      </c>
      <c r="R645" s="55" cm="1">
        <f t="array" ref="R645">VLOOKUP(B645,'Player Data'!$A1:$AE673,6,FALSE)</f>
        <v>10.5542258032779</v>
      </c>
      <c r="S645" s="57" cm="1">
        <f t="array" ref="S645">VLOOKUP(B645,'Player Data'!$A1:$AE673,7,FALSE)*$Q645*IFERROR((VLOOKUP(P645,Settings!$E$28:$F$33,2,FALSE)+1),1)</f>
        <v>9.7287771884740604</v>
      </c>
      <c r="T645" s="57" cm="1">
        <f t="array" ref="T645">VLOOKUP(B645,'Player Data'!$A1:$AE673,8,FALSE)*$Q645*IFERROR((VLOOKUP(P645,Settings!$E$28:$F$33,2,FALSE)+1),1)</f>
        <v>8.1527344455682975</v>
      </c>
      <c r="U645" s="57" cm="1">
        <f t="array" ref="U645">SUM(S645:T645)</f>
        <v>17.881511634042358</v>
      </c>
      <c r="V645" s="57" cm="1">
        <f t="array" ref="V645">VLOOKUP(B645,'Player Data'!$A1:$AE673,10,FALSE)*$Q645*IFERROR(((VLOOKUP(P645,Settings!$E$28:$F$33,2,FALSE)/2)+1),1)</f>
        <v>71.895565816659342</v>
      </c>
      <c r="W645" s="57" cm="1">
        <f t="array" ref="W645">VLOOKUP(B645,'Player Data'!$A1:$AE673,11,FALSE)*$Q645*IFERROR((VLOOKUP(P645,Settings!$E$28:$F$33,2,FALSE)+1),1)</f>
        <v>4.9512980506484901E-2</v>
      </c>
      <c r="X645" s="57" cm="1">
        <f t="array" ref="X645">VLOOKUP(B645,'Player Data'!$A1:$AE673,12,FALSE)*$Q645*IFERROR((VLOOKUP(P645,Settings!$E$28:$F$33,2,FALSE)+1),1)</f>
        <v>0.13993061122165618</v>
      </c>
      <c r="Y645" s="57" cm="1">
        <f t="array" ref="Y645">VLOOKUP(B645,'Player Data'!$A1:$AE673,13,FALSE)*$Q645</f>
        <v>9.74245795977083E-3</v>
      </c>
      <c r="Z645" s="57" cm="1">
        <f t="array" ref="Z645">VLOOKUP(B645,'Player Data'!$A1:$AE673,14,FALSE)*$Q645</f>
        <v>1.6092824701682638E-2</v>
      </c>
      <c r="AA645" s="57" cm="1">
        <f t="array" ref="AA645">VLOOKUP(B645,'Player Data'!$A1:$AE673,15,FALSE)*$Q645</f>
        <v>26.192865198370853</v>
      </c>
      <c r="AB645" s="57" cm="1">
        <f t="array" ref="AB645">VLOOKUP(B645,'Player Data'!$A1:$AE673,16,FALSE)*$Q645</f>
        <v>191.82240984057367</v>
      </c>
      <c r="AC645" s="57" cm="1">
        <f t="array" ref="AC645">VLOOKUP(B645,'Player Data'!$A1:$AE673,17,FALSE)*$Q645*IFERROR((VLOOKUP(P645,Settings!$E$28:$F$33,2,FALSE)+1),1)</f>
        <v>-11.454182182360174</v>
      </c>
      <c r="AD645" s="57" cm="1">
        <f t="array" ref="AD645">VLOOKUP(B645,'Player Data'!$A1:$AE673,18,FALSE)*$Q645</f>
        <v>28.023951248643126</v>
      </c>
      <c r="AE645" s="57" cm="1">
        <f t="array" ref="AE645">VLOOKUP(B645,'Player Data'!$A1:$AE673,19,FALSE)*$Q645*IFERROR((VLOOKUP(P645,Settings!$E$28:$F$33,2,FALSE)+1),1)</f>
        <v>1.2055659789843252</v>
      </c>
      <c r="AF645" s="57" cm="1">
        <f t="array" ref="AF645">VLOOKUP(B645,'Player Data'!$A1:$AE673,20,FALSE)*$Q645</f>
        <v>56.545876836259637</v>
      </c>
      <c r="AG645" s="57" cm="1">
        <f t="array" ref="AG645">VLOOKUP(B645,'Player Data'!$A1:$AE673,21,FALSE)*$Q645</f>
        <v>53.690947022566569</v>
      </c>
      <c r="AH645" s="59" cm="1">
        <f t="array" ref="AH645">VLOOKUP(B645,'Player Data'!$A1:$AE673,22,FALSE)</f>
        <v>0.51294907506292597</v>
      </c>
      <c r="AI645" s="55"/>
      <c r="AJ645" s="57"/>
      <c r="AK645" s="57"/>
      <c r="AL645" s="57"/>
      <c r="AM645" s="57"/>
      <c r="AN645" s="57"/>
      <c r="AO645" s="57"/>
      <c r="AP645" s="57"/>
      <c r="AQ645" s="60"/>
      <c r="AR645" s="61"/>
      <c r="AS645" s="55"/>
    </row>
    <row r="646" spans="1:45" ht="21.25" customHeight="1" x14ac:dyDescent="0.15">
      <c r="A646" s="62">
        <f t="shared" si="10"/>
        <v>645</v>
      </c>
      <c r="B646" s="10" t="s">
        <v>774</v>
      </c>
      <c r="C646" s="47" t="s">
        <v>147</v>
      </c>
      <c r="D646" s="48" t="str" cm="1">
        <f t="array" ref="D646">VLOOKUP(B646,'Player Data'!A1:D673,4,FALSE)</f>
        <v>C</v>
      </c>
      <c r="E646" s="49" cm="1">
        <f t="array" ref="E646">VLOOKUP(B646,'C'!A1:C210,3,FALSE)</f>
        <v>201</v>
      </c>
      <c r="F646" s="70" t="str" cm="1">
        <f t="array" ref="F646">VLOOKUP(B646,'Player Data'!A1:B673,2,FALSE)</f>
        <v>MIN</v>
      </c>
      <c r="G646" s="66" cm="1">
        <f t="array" ref="G646">VLOOKUP(B646,'Player Data'!A1:D673,3,FALSE)</f>
        <v>31</v>
      </c>
      <c r="H646" s="67" cm="1">
        <f t="array" ref="H646">IFERROR(VLOOKUP(B646,ADP!A1:F671,6,FALSE)/1000000,VLOOKUP(B646,ADP!A1:F671,6,FALSE))</f>
        <v>2</v>
      </c>
      <c r="I646" s="52">
        <f>IF(Settings!$E$15="POINTS",((R646*Q646)*Settings!$B$12)+(S646*Settings!$B$2)+(T646*Settings!$B$3)+(U646*Settings!$B$4)+(V646*Settings!$B$5)+(X646*Settings!$B$9)+(AA646*Settings!$B$6)+(W646*Settings!$B$8)+(AB646*Settings!$B$7)+(AC646*Settings!$B$14)+(AD646*Settings!$B$15)+(AE646*Settings!$B$16)+(AF646*Settings!$B$17)+(AG646*Settings!$B$18)+(Y646*Settings!$B$10)+(Z646*Settings!$B$11),VLOOKUP(B646,'Standard Deviations'!A$1:C$672,3,FALSE))</f>
        <v>89.608784921117632</v>
      </c>
      <c r="J646" s="53" cm="1">
        <f t="array" ref="J646">IF(D646="G",I646/AJ646,I646/Q646)</f>
        <v>1.2187940415671072</v>
      </c>
      <c r="K646" s="52" cm="1">
        <f t="array" ref="K646">IF(Settings!$E$18="C/LW/RW",VLOOKUP(B646,'C'!A1:F210,6,FALSE),VLOOKUP(B646,F!A1:F407,6,FALSE))</f>
        <v>-296.92642147196534</v>
      </c>
      <c r="L646" s="54" cm="1">
        <f t="array" ref="L646">IFERROR(K646/H646,"N/A")</f>
        <v>-148.46321073598267</v>
      </c>
      <c r="M646" s="85" t="s">
        <v>832</v>
      </c>
      <c r="N646" s="85" t="str" cm="1">
        <f t="array" ref="N646">IFERROR(M646-A646,"N/A")</f>
        <v>N/A</v>
      </c>
      <c r="O646" s="55"/>
      <c r="P646" s="56" t="str" cm="1">
        <f t="array" ref="P646">_xlfn.XLOOKUP($B646,ADP!A2:A671,ADP!G2:G671)</f>
        <v xml:space="preserve"> </v>
      </c>
      <c r="Q646" s="57" cm="1">
        <f t="array" ref="Q646">IF(Settings!$E$12="YES",VLOOKUP(B646,'Player Data'!A1:E673,5,FALSE),84)</f>
        <v>73.522499999999994</v>
      </c>
      <c r="R646" s="55" cm="1">
        <f t="array" ref="R646">VLOOKUP(B646,'Player Data'!$A1:$AE673,6,FALSE)</f>
        <v>10.5484099266165</v>
      </c>
      <c r="S646" s="57" cm="1">
        <f t="array" ref="S646">VLOOKUP(B646,'Player Data'!$A1:$AE673,7,FALSE)*$Q646*IFERROR((VLOOKUP(P646,Settings!$E$28:$F$33,2,FALSE)+1),1)</f>
        <v>6.4633545513948931</v>
      </c>
      <c r="T646" s="57" cm="1">
        <f t="array" ref="T646">VLOOKUP(B646,'Player Data'!$A1:$AE673,8,FALSE)*$Q646*IFERROR((VLOOKUP(P646,Settings!$E$28:$F$33,2,FALSE)+1),1)</f>
        <v>7.6291080976230097</v>
      </c>
      <c r="U646" s="57" cm="1">
        <f t="array" ref="U646">SUM(S646:T646)</f>
        <v>14.092462649017904</v>
      </c>
      <c r="V646" s="57" cm="1">
        <f t="array" ref="V646">VLOOKUP(B646,'Player Data'!$A1:$AE673,10,FALSE)*$Q646*IFERROR(((VLOOKUP(P646,Settings!$E$28:$F$33,2,FALSE)/2)+1),1)</f>
        <v>59.37596616111226</v>
      </c>
      <c r="W646" s="57" cm="1">
        <f t="array" ref="W646">VLOOKUP(B646,'Player Data'!$A1:$AE673,11,FALSE)*$Q646*IFERROR((VLOOKUP(P646,Settings!$E$28:$F$33,2,FALSE)+1),1)</f>
        <v>1.165549870042552E-2</v>
      </c>
      <c r="X646" s="57" cm="1">
        <f t="array" ref="X646">VLOOKUP(B646,'Player Data'!$A1:$AE673,12,FALSE)*$Q646*IFERROR((VLOOKUP(P646,Settings!$E$28:$F$33,2,FALSE)+1),1)</f>
        <v>2.4939885906528913E-2</v>
      </c>
      <c r="Y646" s="57" cm="1">
        <f t="array" ref="Y646">VLOOKUP(B646,'Player Data'!$A1:$AE673,13,FALSE)*$Q646</f>
        <v>1.0141983946260762</v>
      </c>
      <c r="Z646" s="57" cm="1">
        <f t="array" ref="Z646">VLOOKUP(B646,'Player Data'!$A1:$AE673,14,FALSE)*$Q646</f>
        <v>1.0737813290827056</v>
      </c>
      <c r="AA646" s="57" cm="1">
        <f t="array" ref="AA646">VLOOKUP(B646,'Player Data'!$A1:$AE673,15,FALSE)*$Q646</f>
        <v>33.089385357037095</v>
      </c>
      <c r="AB646" s="57" cm="1">
        <f t="array" ref="AB646">VLOOKUP(B646,'Player Data'!$A1:$AE673,16,FALSE)*$Q646</f>
        <v>101.24589918433379</v>
      </c>
      <c r="AC646" s="57" cm="1">
        <f t="array" ref="AC646">VLOOKUP(B646,'Player Data'!$A1:$AE673,17,FALSE)*$Q646*IFERROR((VLOOKUP(P646,Settings!$E$28:$F$33,2,FALSE)+1),1)</f>
        <v>1.6961617128621351</v>
      </c>
      <c r="AD646" s="57" cm="1">
        <f t="array" ref="AD646">VLOOKUP(B646,'Player Data'!$A1:$AE673,18,FALSE)*$Q646</f>
        <v>18.983863557216225</v>
      </c>
      <c r="AE646" s="57" cm="1">
        <f t="array" ref="AE646">VLOOKUP(B646,'Player Data'!$A1:$AE673,19,FALSE)*$Q646*IFERROR((VLOOKUP(P646,Settings!$E$28:$F$33,2,FALSE)+1),1)</f>
        <v>1.0527802415496346</v>
      </c>
      <c r="AF646" s="57" cm="1">
        <f t="array" ref="AF646">VLOOKUP(B646,'Player Data'!$A1:$AE673,20,FALSE)*$Q646</f>
        <v>328.98004063392989</v>
      </c>
      <c r="AG646" s="57" cm="1">
        <f t="array" ref="AG646">VLOOKUP(B646,'Player Data'!$A1:$AE673,21,FALSE)*$Q646</f>
        <v>239.0805708127651</v>
      </c>
      <c r="AH646" s="59" cm="1">
        <f t="array" ref="AH646">VLOOKUP(B646,'Player Data'!$A1:$AE673,22,FALSE)</f>
        <v>0.57912841342072197</v>
      </c>
      <c r="AI646" s="55"/>
      <c r="AJ646" s="57"/>
      <c r="AK646" s="57"/>
      <c r="AL646" s="57"/>
      <c r="AM646" s="57"/>
      <c r="AN646" s="57"/>
      <c r="AO646" s="57"/>
      <c r="AP646" s="57"/>
      <c r="AQ646" s="60"/>
      <c r="AR646" s="61"/>
      <c r="AS646" s="55"/>
    </row>
    <row r="647" spans="1:45" ht="21.25" customHeight="1" x14ac:dyDescent="0.15">
      <c r="A647" s="62">
        <f t="shared" si="10"/>
        <v>646</v>
      </c>
      <c r="B647" s="10" t="s">
        <v>775</v>
      </c>
      <c r="C647" s="47" t="s">
        <v>147</v>
      </c>
      <c r="D647" s="48" t="str" cm="1">
        <f t="array" ref="D647">VLOOKUP(B647,'Player Data'!A1:D673,4,FALSE)</f>
        <v>RW</v>
      </c>
      <c r="E647" s="64" cm="1">
        <f t="array" ref="E647">VLOOKUP(B647,RW!A1:F210,3,FALSE)</f>
        <v>198</v>
      </c>
      <c r="F647" s="50" t="str" cm="1">
        <f t="array" ref="F647">VLOOKUP(B647,'Player Data'!A1:B673,2,FALSE)</f>
        <v>COL</v>
      </c>
      <c r="G647" s="11" cm="1">
        <f t="array" ref="G647">VLOOKUP(B647,'Player Data'!A1:D673,3,FALSE)</f>
        <v>30</v>
      </c>
      <c r="H647" s="51" cm="1">
        <f t="array" ref="H647">IFERROR(VLOOKUP(B647,ADP!A1:F671,6,FALSE)/1000000,VLOOKUP(B647,ADP!A1:F671,6,FALSE))</f>
        <v>2.5</v>
      </c>
      <c r="I647" s="52">
        <f>IF(Settings!$E$15="POINTS",((R647*Q647)*Settings!$B$12)+(S647*Settings!$B$2)+(T647*Settings!$B$3)+(U647*Settings!$B$4)+(V647*Settings!$B$5)+(X647*Settings!$B$9)+(AA647*Settings!$B$6)+(W647*Settings!$B$8)+(AB647*Settings!$B$7)+(AC647*Settings!$B$14)+(AD647*Settings!$B$15)+(AE647*Settings!$B$16)+(AF647*Settings!$B$17)+(AG647*Settings!$B$18)+(Y647*Settings!$B$10)+(Z647*Settings!$B$11),VLOOKUP(B647,'Standard Deviations'!A$1:C$672,3,FALSE))</f>
        <v>97.360152472533443</v>
      </c>
      <c r="J647" s="53" cm="1">
        <f t="array" ref="J647">IF(D647="G",I647/AJ647,I647/Q647)</f>
        <v>1.4108633477887687</v>
      </c>
      <c r="K647" s="52" cm="1">
        <f t="array" ref="K647">IF(Settings!$E$18="C/LW/RW",VLOOKUP(B647,RW!A1:F210,6,FALSE),VLOOKUP(B647,F!A1:F407,6,FALSE))</f>
        <v>-297.58331222102402</v>
      </c>
      <c r="L647" s="54" cm="1">
        <f t="array" ref="L647">IFERROR(K647/H647,"N/A")</f>
        <v>-119.03332488840961</v>
      </c>
      <c r="M647" s="85" t="s">
        <v>832</v>
      </c>
      <c r="N647" s="85" t="str" cm="1">
        <f t="array" ref="N647">IFERROR(M647-A647,"N/A")</f>
        <v>N/A</v>
      </c>
      <c r="O647" s="55"/>
      <c r="P647" s="56" t="str" cm="1">
        <f t="array" ref="P647">_xlfn.XLOOKUP($B647,ADP!A2:A671,ADP!G2:G671)</f>
        <v xml:space="preserve"> </v>
      </c>
      <c r="Q647" s="57" cm="1">
        <f t="array" ref="Q647">IF(Settings!$E$12="YES",VLOOKUP(B647,'Player Data'!A1:E673,5,FALSE),84)</f>
        <v>69.007499999999993</v>
      </c>
      <c r="R647" s="55" cm="1">
        <f t="array" ref="R647">VLOOKUP(B647,'Player Data'!$A1:$AE673,6,FALSE)</f>
        <v>11.4768348619679</v>
      </c>
      <c r="S647" s="57" cm="1">
        <f t="array" ref="S647">VLOOKUP(B647,'Player Data'!$A1:$AE673,7,FALSE)*$Q647*IFERROR((VLOOKUP(P647,Settings!$E$28:$F$33,2,FALSE)+1),1)</f>
        <v>6.7877524105339537</v>
      </c>
      <c r="T647" s="57" cm="1">
        <f t="array" ref="T647">VLOOKUP(B647,'Player Data'!$A1:$AE673,8,FALSE)*$Q647*IFERROR((VLOOKUP(P647,Settings!$E$28:$F$33,2,FALSE)+1),1)</f>
        <v>8.5639470258582797</v>
      </c>
      <c r="U647" s="57" cm="1">
        <f t="array" ref="U647">SUM(S647:T647)</f>
        <v>15.351699436392234</v>
      </c>
      <c r="V647" s="57" cm="1">
        <f t="array" ref="V647">VLOOKUP(B647,'Player Data'!$A1:$AE673,10,FALSE)*$Q647*IFERROR(((VLOOKUP(P647,Settings!$E$28:$F$33,2,FALSE)/2)+1),1)</f>
        <v>68.805573084564017</v>
      </c>
      <c r="W647" s="57" cm="1">
        <f t="array" ref="W647">VLOOKUP(B647,'Player Data'!$A1:$AE673,11,FALSE)*$Q647*IFERROR((VLOOKUP(P647,Settings!$E$28:$F$33,2,FALSE)+1),1)</f>
        <v>1.0515490208578642E-3</v>
      </c>
      <c r="X647" s="57" cm="1">
        <f t="array" ref="X647">VLOOKUP(B647,'Player Data'!$A1:$AE673,12,FALSE)*$Q647*IFERROR((VLOOKUP(P647,Settings!$E$28:$F$33,2,FALSE)+1),1)</f>
        <v>2.3092420653784787E-3</v>
      </c>
      <c r="Y647" s="57" cm="1">
        <f t="array" ref="Y647">VLOOKUP(B647,'Player Data'!$A1:$AE673,13,FALSE)*$Q647</f>
        <v>0.6223601425669697</v>
      </c>
      <c r="Z647" s="57" cm="1">
        <f t="array" ref="Z647">VLOOKUP(B647,'Player Data'!$A1:$AE673,14,FALSE)*$Q647</f>
        <v>0.99679125579974281</v>
      </c>
      <c r="AA647" s="57" cm="1">
        <f t="array" ref="AA647">VLOOKUP(B647,'Player Data'!$A1:$AE673,15,FALSE)*$Q647</f>
        <v>31.806334246419201</v>
      </c>
      <c r="AB647" s="57" cm="1">
        <f t="array" ref="AB647">VLOOKUP(B647,'Player Data'!$A1:$AE673,16,FALSE)*$Q647</f>
        <v>65.631545695076952</v>
      </c>
      <c r="AC647" s="57" cm="1">
        <f t="array" ref="AC647">VLOOKUP(B647,'Player Data'!$A1:$AE673,17,FALSE)*$Q647*IFERROR((VLOOKUP(P647,Settings!$E$28:$F$33,2,FALSE)+1),1)</f>
        <v>4.7594095376300203</v>
      </c>
      <c r="AD647" s="57" cm="1">
        <f t="array" ref="AD647">VLOOKUP(B647,'Player Data'!$A1:$AE673,18,FALSE)*$Q647</f>
        <v>21.961325356089958</v>
      </c>
      <c r="AE647" s="57" cm="1">
        <f t="array" ref="AE647">VLOOKUP(B647,'Player Data'!$A1:$AE673,19,FALSE)*$Q647*IFERROR((VLOOKUP(P647,Settings!$E$28:$F$33,2,FALSE)+1),1)</f>
        <v>1.2251025039006516</v>
      </c>
      <c r="AF647" s="57" cm="1">
        <f t="array" ref="AF647">VLOOKUP(B647,'Player Data'!$A1:$AE673,20,FALSE)*$Q647</f>
        <v>15.078049040609251</v>
      </c>
      <c r="AG647" s="57" cm="1">
        <f t="array" ref="AG647">VLOOKUP(B647,'Player Data'!$A1:$AE673,21,FALSE)*$Q647</f>
        <v>25.580185407462146</v>
      </c>
      <c r="AH647" s="59" cm="1">
        <f t="array" ref="AH647">VLOOKUP(B647,'Player Data'!$A1:$AE673,22,FALSE)</f>
        <v>0.37084859304126699</v>
      </c>
      <c r="AI647" s="55"/>
      <c r="AJ647" s="57"/>
      <c r="AK647" s="57"/>
      <c r="AL647" s="57"/>
      <c r="AM647" s="57"/>
      <c r="AN647" s="57"/>
      <c r="AO647" s="57"/>
      <c r="AP647" s="57"/>
      <c r="AQ647" s="60"/>
      <c r="AR647" s="61"/>
      <c r="AS647" s="55"/>
    </row>
    <row r="648" spans="1:45" ht="21.25" customHeight="1" x14ac:dyDescent="0.15">
      <c r="A648" s="62">
        <f t="shared" si="10"/>
        <v>647</v>
      </c>
      <c r="B648" s="10" t="s">
        <v>776</v>
      </c>
      <c r="C648" s="47" t="s">
        <v>147</v>
      </c>
      <c r="D648" s="48" t="str" cm="1">
        <f t="array" ref="D648">VLOOKUP(B648,'Player Data'!A1:D673,4,FALSE)</f>
        <v>C</v>
      </c>
      <c r="E648" s="49" cm="1">
        <f t="array" ref="E648">VLOOKUP(B648,'C'!A1:C210,3,FALSE)</f>
        <v>202</v>
      </c>
      <c r="F648" s="56" t="str" cm="1">
        <f t="array" ref="F648">VLOOKUP(B648,'Player Data'!A1:B673,2,FALSE)</f>
        <v>NYR</v>
      </c>
      <c r="G648" s="11" cm="1">
        <f t="array" ref="G648">VLOOKUP(B648,'Player Data'!A1:D673,3,FALSE)</f>
        <v>26</v>
      </c>
      <c r="H648" s="67" cm="1">
        <f t="array" ref="H648">IFERROR(VLOOKUP(B648,ADP!A1:F671,6,FALSE)/1000000,VLOOKUP(B648,ADP!A1:F671,6,FALSE))</f>
        <v>1.2</v>
      </c>
      <c r="I648" s="52">
        <f>IF(Settings!$E$15="POINTS",((R648*Q648)*Settings!$B$12)+(S648*Settings!$B$2)+(T648*Settings!$B$3)+(U648*Settings!$B$4)+(V648*Settings!$B$5)+(X648*Settings!$B$9)+(AA648*Settings!$B$6)+(W648*Settings!$B$8)+(AB648*Settings!$B$7)+(AC648*Settings!$B$14)+(AD648*Settings!$B$15)+(AE648*Settings!$B$16)+(AF648*Settings!$B$17)+(AG648*Settings!$B$18)+(Y648*Settings!$B$10)+(Z648*Settings!$B$11),VLOOKUP(B648,'Standard Deviations'!A$1:C$672,3,FALSE))</f>
        <v>87.566052256597004</v>
      </c>
      <c r="J648" s="53" cm="1">
        <f t="array" ref="J648">IF(D648="G",I648/AJ648,I648/Q648)</f>
        <v>1.1083959654010571</v>
      </c>
      <c r="K648" s="52" cm="1">
        <f t="array" ref="K648">IF(Settings!$E$18="C/LW/RW",VLOOKUP(B648,'C'!A1:F210,6,FALSE),VLOOKUP(B648,F!A1:F407,6,FALSE))</f>
        <v>-298.969154136486</v>
      </c>
      <c r="L648" s="54" cm="1">
        <f t="array" ref="L648">IFERROR(K648/H648,"N/A")</f>
        <v>-249.14096178040501</v>
      </c>
      <c r="M648" s="85" t="s">
        <v>832</v>
      </c>
      <c r="N648" s="85" t="str" cm="1">
        <f t="array" ref="N648">IFERROR(M648-A648,"N/A")</f>
        <v>N/A</v>
      </c>
      <c r="O648" s="81"/>
      <c r="P648" s="56" t="str" cm="1">
        <f t="array" ref="P648">_xlfn.XLOOKUP($B648,ADP!A2:A671,ADP!G2:G671)</f>
        <v xml:space="preserve"> </v>
      </c>
      <c r="Q648" s="57" cm="1">
        <f t="array" ref="Q648">IF(Settings!$E$12="YES",VLOOKUP(B648,'Player Data'!A1:E673,5,FALSE),84)</f>
        <v>79.002499999999998</v>
      </c>
      <c r="R648" s="84" cm="1">
        <f t="array" ref="R648">VLOOKUP(B648,'Player Data'!$A1:$AE673,6,FALSE)</f>
        <v>10.5710213939015</v>
      </c>
      <c r="S648" s="57" cm="1">
        <f t="array" ref="S648">VLOOKUP(B648,'Player Data'!$A1:$AE673,7,FALSE)*$Q648*IFERROR((VLOOKUP(P648,Settings!$E$28:$F$33,2,FALSE)+1),1)</f>
        <v>5.2447703274331623</v>
      </c>
      <c r="T648" s="57" cm="1">
        <f t="array" ref="T648">VLOOKUP(B648,'Player Data'!$A1:$AE673,8,FALSE)*$Q648*IFERROR((VLOOKUP(P648,Settings!$E$28:$F$33,2,FALSE)+1),1)</f>
        <v>7.2309898271280861</v>
      </c>
      <c r="U648" s="57" cm="1">
        <f t="array" ref="U648">SUM(S648:T648)</f>
        <v>12.475760154561248</v>
      </c>
      <c r="V648" s="57" cm="1">
        <f t="array" ref="V648">VLOOKUP(B648,'Player Data'!$A1:$AE673,10,FALSE)*$Q648*IFERROR(((VLOOKUP(P648,Settings!$E$28:$F$33,2,FALSE)/2)+1),1)</f>
        <v>62.086395342649034</v>
      </c>
      <c r="W648" s="57" cm="1">
        <f t="array" ref="W648">VLOOKUP(B648,'Player Data'!$A1:$AE673,11,FALSE)*$Q648*IFERROR((VLOOKUP(P648,Settings!$E$28:$F$33,2,FALSE)+1),1)</f>
        <v>6.7535488440650923E-2</v>
      </c>
      <c r="X648" s="57" cm="1">
        <f t="array" ref="X648">VLOOKUP(B648,'Player Data'!$A1:$AE673,12,FALSE)*$Q648*IFERROR((VLOOKUP(P648,Settings!$E$28:$F$33,2,FALSE)+1),1)</f>
        <v>0.12839117114597468</v>
      </c>
      <c r="Y648" s="57" cm="1">
        <f t="array" ref="Y648">VLOOKUP(B648,'Player Data'!$A1:$AE673,13,FALSE)*$Q648</f>
        <v>0.14291265743020118</v>
      </c>
      <c r="Z648" s="57" cm="1">
        <f t="array" ref="Z648">VLOOKUP(B648,'Player Data'!$A1:$AE673,14,FALSE)*$Q648</f>
        <v>0.23666966691432398</v>
      </c>
      <c r="AA648" s="57" cm="1">
        <f t="array" ref="AA648">VLOOKUP(B648,'Player Data'!$A1:$AE673,15,FALSE)*$Q648</f>
        <v>37.461026567056869</v>
      </c>
      <c r="AB648" s="57" cm="1">
        <f t="array" ref="AB648">VLOOKUP(B648,'Player Data'!$A1:$AE673,16,FALSE)*$Q648</f>
        <v>153.03761477581045</v>
      </c>
      <c r="AC648" s="57" cm="1">
        <f t="array" ref="AC648">VLOOKUP(B648,'Player Data'!$A1:$AE673,17,FALSE)*$Q648*IFERROR((VLOOKUP(P648,Settings!$E$28:$F$33,2,FALSE)+1),1)</f>
        <v>-2.0156235537746898</v>
      </c>
      <c r="AD648" s="57" cm="1">
        <f t="array" ref="AD648">VLOOKUP(B648,'Player Data'!$A1:$AE673,18,FALSE)*$Q648</f>
        <v>19.075464309130915</v>
      </c>
      <c r="AE648" s="57" cm="1">
        <f t="array" ref="AE648">VLOOKUP(B648,'Player Data'!$A1:$AE673,19,FALSE)*$Q648*IFERROR((VLOOKUP(P648,Settings!$E$28:$F$33,2,FALSE)+1),1)</f>
        <v>0.82397330682335845</v>
      </c>
      <c r="AF648" s="57" cm="1">
        <f t="array" ref="AF648">VLOOKUP(B648,'Player Data'!$A1:$AE673,20,FALSE)*$Q648</f>
        <v>189.70666210690564</v>
      </c>
      <c r="AG648" s="57" cm="1">
        <f t="array" ref="AG648">VLOOKUP(B648,'Player Data'!$A1:$AE673,21,FALSE)*$Q648</f>
        <v>196.22989078693587</v>
      </c>
      <c r="AH648" s="59" cm="1">
        <f t="array" ref="AH648">VLOOKUP(B648,'Player Data'!$A1:$AE673,22,FALSE)</f>
        <v>0.49154883279243899</v>
      </c>
      <c r="AI648" s="55"/>
      <c r="AJ648" s="57"/>
      <c r="AK648" s="57"/>
      <c r="AL648" s="57"/>
      <c r="AM648" s="57"/>
      <c r="AN648" s="57"/>
      <c r="AO648" s="57"/>
      <c r="AP648" s="57"/>
      <c r="AQ648" s="60"/>
      <c r="AR648" s="61"/>
      <c r="AS648" s="55"/>
    </row>
    <row r="649" spans="1:45" ht="21.25" customHeight="1" x14ac:dyDescent="0.15">
      <c r="A649" s="62">
        <f t="shared" si="10"/>
        <v>648</v>
      </c>
      <c r="B649" s="10" t="s">
        <v>777</v>
      </c>
      <c r="C649" s="47" t="s">
        <v>147</v>
      </c>
      <c r="D649" s="48" t="str" cm="1">
        <f t="array" ref="D649">VLOOKUP(B649,'Player Data'!A1:D673,4,FALSE)</f>
        <v>C,LW</v>
      </c>
      <c r="E649" s="74" cm="1">
        <f t="array" ref="E649">VLOOKUP(B649,LW!A1:C210,3,FALSE)</f>
        <v>197</v>
      </c>
      <c r="F649" s="65" t="str" cm="1">
        <f t="array" ref="F649">VLOOKUP(B649,'Player Data'!A1:B673,2,FALSE)</f>
        <v>NSH</v>
      </c>
      <c r="G649" s="11" cm="1">
        <f t="array" ref="G649">VLOOKUP(B649,'Player Data'!A1:D673,3,FALSE)</f>
        <v>25</v>
      </c>
      <c r="H649" s="67" cm="1">
        <f t="array" ref="H649">IFERROR(VLOOKUP(B649,ADP!A1:F671,6,FALSE)/1000000,VLOOKUP(B649,ADP!A1:F671,6,FALSE))</f>
        <v>0.97499999999999998</v>
      </c>
      <c r="I649" s="52">
        <f>IF(Settings!$E$15="POINTS",((R649*Q649)*Settings!$B$12)+(S649*Settings!$B$2)+(T649*Settings!$B$3)+(U649*Settings!$B$4)+(V649*Settings!$B$5)+(X649*Settings!$B$9)+(AA649*Settings!$B$6)+(W649*Settings!$B$8)+(AB649*Settings!$B$7)+(AC649*Settings!$B$14)+(AD649*Settings!$B$15)+(AE649*Settings!$B$16)+(AF649*Settings!$B$17)+(AG649*Settings!$B$18)+(Y649*Settings!$B$10)+(Z649*Settings!$B$11),VLOOKUP(B649,'Standard Deviations'!A$1:C$672,3,FALSE))</f>
        <v>97.53110407897789</v>
      </c>
      <c r="J649" s="53" cm="1">
        <f t="array" ref="J649">IF(D649="G",I649/AJ649,I649/Q649)</f>
        <v>1.5162239266067297</v>
      </c>
      <c r="K649" s="52" cm="1">
        <f t="array" ref="K649">IF(Settings!$E$18="C/LW/RW",VLOOKUP(B649,LW!A1:F210,6,FALSE),VLOOKUP(B649,F!A1:F407,6,FALSE))</f>
        <v>-301.78188923474221</v>
      </c>
      <c r="L649" s="54" cm="1">
        <f t="array" ref="L649">IFERROR(K649/H649,"N/A")</f>
        <v>-309.5198863946074</v>
      </c>
      <c r="M649" s="85" t="s">
        <v>832</v>
      </c>
      <c r="N649" s="85" t="str" cm="1">
        <f t="array" ref="N649">IFERROR(M649-A649,"N/A")</f>
        <v>N/A</v>
      </c>
      <c r="O649" s="83"/>
      <c r="P649" s="56" t="str" cm="1">
        <f t="array" ref="P649">_xlfn.XLOOKUP($B649,ADP!A2:A671,ADP!G2:G671)</f>
        <v xml:space="preserve"> </v>
      </c>
      <c r="Q649" s="57" cm="1">
        <f t="array" ref="Q649">IF(Settings!$E$12="YES",VLOOKUP(B649,'Player Data'!A1:E673,5,FALSE),84)</f>
        <v>64.325000000000003</v>
      </c>
      <c r="R649" s="82" cm="1">
        <f t="array" ref="R649">VLOOKUP(B649,'Player Data'!$A1:$AE673,6,FALSE)</f>
        <v>11.3021693856368</v>
      </c>
      <c r="S649" s="57" cm="1">
        <f t="array" ref="S649">VLOOKUP(B649,'Player Data'!$A1:$AE673,7,FALSE)*$Q649*IFERROR((VLOOKUP(P649,Settings!$E$28:$F$33,2,FALSE)+1),1)</f>
        <v>7.4681141985724322</v>
      </c>
      <c r="T649" s="57" cm="1">
        <f t="array" ref="T649">VLOOKUP(B649,'Player Data'!$A1:$AE673,8,FALSE)*$Q649*IFERROR((VLOOKUP(P649,Settings!$E$28:$F$33,2,FALSE)+1),1)</f>
        <v>6.7350401176221508</v>
      </c>
      <c r="U649" s="57" cm="1">
        <f t="array" ref="U649">SUM(S649:T649)</f>
        <v>14.203154316194583</v>
      </c>
      <c r="V649" s="57" cm="1">
        <f t="array" ref="V649">VLOOKUP(B649,'Player Data'!$A1:$AE673,10,FALSE)*$Q649*IFERROR(((VLOOKUP(P649,Settings!$E$28:$F$33,2,FALSE)/2)+1),1)</f>
        <v>65.642878843916037</v>
      </c>
      <c r="W649" s="57" cm="1">
        <f t="array" ref="W649">VLOOKUP(B649,'Player Data'!$A1:$AE673,11,FALSE)*$Q649*IFERROR((VLOOKUP(P649,Settings!$E$28:$F$33,2,FALSE)+1),1)</f>
        <v>1.022727164281916E-2</v>
      </c>
      <c r="X649" s="57" cm="1">
        <f t="array" ref="X649">VLOOKUP(B649,'Player Data'!$A1:$AE673,12,FALSE)*$Q649*IFERROR((VLOOKUP(P649,Settings!$E$28:$F$33,2,FALSE)+1),1)</f>
        <v>2.233862899552096E-2</v>
      </c>
      <c r="Y649" s="57" cm="1">
        <f t="array" ref="Y649">VLOOKUP(B649,'Player Data'!$A1:$AE673,13,FALSE)*$Q649</f>
        <v>0.21062391257498395</v>
      </c>
      <c r="Z649" s="57" cm="1">
        <f t="array" ref="Z649">VLOOKUP(B649,'Player Data'!$A1:$AE673,14,FALSE)*$Q649</f>
        <v>0.34883062696587464</v>
      </c>
      <c r="AA649" s="57" cm="1">
        <f t="array" ref="AA649">VLOOKUP(B649,'Player Data'!$A1:$AE673,15,FALSE)*$Q649</f>
        <v>43.45806490494946</v>
      </c>
      <c r="AB649" s="57" cm="1">
        <f t="array" ref="AB649">VLOOKUP(B649,'Player Data'!$A1:$AE673,16,FALSE)*$Q649</f>
        <v>126.58826343507334</v>
      </c>
      <c r="AC649" s="57" cm="1">
        <f t="array" ref="AC649">VLOOKUP(B649,'Player Data'!$A1:$AE673,17,FALSE)*$Q649*IFERROR((VLOOKUP(P649,Settings!$E$28:$F$33,2,FALSE)+1),1)</f>
        <v>-2.3836564525096033</v>
      </c>
      <c r="AD649" s="57" cm="1">
        <f t="array" ref="AD649">VLOOKUP(B649,'Player Data'!$A1:$AE673,18,FALSE)*$Q649</f>
        <v>16.365479039773049</v>
      </c>
      <c r="AE649" s="57" cm="1">
        <f t="array" ref="AE649">VLOOKUP(B649,'Player Data'!$A1:$AE673,19,FALSE)*$Q649*IFERROR((VLOOKUP(P649,Settings!$E$28:$F$33,2,FALSE)+1),1)</f>
        <v>1.0345206430890526</v>
      </c>
      <c r="AF649" s="57" cm="1">
        <f t="array" ref="AF649">VLOOKUP(B649,'Player Data'!$A1:$AE673,20,FALSE)*$Q649</f>
        <v>5.0303312964168514</v>
      </c>
      <c r="AG649" s="57" cm="1">
        <f t="array" ref="AG649">VLOOKUP(B649,'Player Data'!$A1:$AE673,21,FALSE)*$Q649</f>
        <v>30.418997196067696</v>
      </c>
      <c r="AH649" s="59" cm="1">
        <f t="array" ref="AH649">VLOOKUP(B649,'Player Data'!$A1:$AE673,22,FALSE)</f>
        <v>0.141902019314225</v>
      </c>
      <c r="AI649" s="55"/>
      <c r="AJ649" s="57"/>
      <c r="AK649" s="57"/>
      <c r="AL649" s="57"/>
      <c r="AM649" s="57"/>
      <c r="AN649" s="57"/>
      <c r="AO649" s="57"/>
      <c r="AP649" s="57"/>
      <c r="AQ649" s="60"/>
      <c r="AR649" s="61"/>
      <c r="AS649" s="55"/>
    </row>
    <row r="650" spans="1:45" ht="21.25" customHeight="1" x14ac:dyDescent="0.15">
      <c r="A650" s="62">
        <f t="shared" si="10"/>
        <v>649</v>
      </c>
      <c r="B650" s="10" t="s">
        <v>778</v>
      </c>
      <c r="C650" s="47" t="s">
        <v>147</v>
      </c>
      <c r="D650" s="48" t="str" cm="1">
        <f t="array" ref="D650">VLOOKUP(B650,'Player Data'!A1:D673,4,FALSE)</f>
        <v>C</v>
      </c>
      <c r="E650" s="49" cm="1">
        <f t="array" ref="E650">VLOOKUP(B650,'C'!A1:C210,3,FALSE)</f>
        <v>204</v>
      </c>
      <c r="F650" s="70" t="str" cm="1">
        <f t="array" ref="F650">VLOOKUP(B650,'Player Data'!A1:B673,2,FALSE)</f>
        <v>L.A</v>
      </c>
      <c r="G650" s="71" cm="1">
        <f t="array" ref="G650">VLOOKUP(B650,'Player Data'!A1:D673,3,FALSE)</f>
        <v>23</v>
      </c>
      <c r="H650" s="51" cm="1">
        <f t="array" ref="H650">IFERROR(VLOOKUP(B650,ADP!A1:F671,6,FALSE)/1000000,VLOOKUP(B650,ADP!A1:F671,6,FALSE))</f>
        <v>0.875</v>
      </c>
      <c r="I650" s="52">
        <f>IF(Settings!$E$15="POINTS",((R650*Q650)*Settings!$B$12)+(S650*Settings!$B$2)+(T650*Settings!$B$3)+(U650*Settings!$B$4)+(V650*Settings!$B$5)+(X650*Settings!$B$9)+(AA650*Settings!$B$6)+(W650*Settings!$B$8)+(AB650*Settings!$B$7)+(AC650*Settings!$B$14)+(AD650*Settings!$B$15)+(AE650*Settings!$B$16)+(AF650*Settings!$B$17)+(AG650*Settings!$B$18)+(Y650*Settings!$B$10)+(Z650*Settings!$B$11),VLOOKUP(B650,'Standard Deviations'!A$1:C$672,3,FALSE))</f>
        <v>83.744436832415374</v>
      </c>
      <c r="J650" s="53" cm="1">
        <f t="array" ref="J650">IF(D650="G",I650/AJ650,I650/Q650)</f>
        <v>1.1748246320263092</v>
      </c>
      <c r="K650" s="52" cm="1">
        <f t="array" ref="K650">IF(Settings!$E$18="C/LW/RW",VLOOKUP(B650,'C'!A1:F210,6,FALSE),VLOOKUP(B650,F!A1:F407,6,FALSE))</f>
        <v>-302.79076956066763</v>
      </c>
      <c r="L650" s="54" cm="1">
        <f t="array" ref="L650">IFERROR(K650/H650,"N/A")</f>
        <v>-346.04659378362015</v>
      </c>
      <c r="M650" s="85" t="s">
        <v>832</v>
      </c>
      <c r="N650" s="85" t="str" cm="1">
        <f t="array" ref="N650">IFERROR(M650-A650,"N/A")</f>
        <v>N/A</v>
      </c>
      <c r="O650" s="81"/>
      <c r="P650" s="56" t="str" cm="1">
        <f t="array" ref="P650">_xlfn.XLOOKUP($B650,ADP!A2:A671,ADP!G2:G671)</f>
        <v xml:space="preserve"> </v>
      </c>
      <c r="Q650" s="57" cm="1">
        <f t="array" ref="Q650">IF(Settings!$E$12="YES",VLOOKUP(B650,'Player Data'!A1:E673,5,FALSE),84)</f>
        <v>71.282499999999999</v>
      </c>
      <c r="R650" s="82" cm="1">
        <f t="array" ref="R650">VLOOKUP(B650,'Player Data'!$A1:$AE673,6,FALSE)</f>
        <v>9.3981357215075008</v>
      </c>
      <c r="S650" s="57" cm="1">
        <f t="array" ref="S650">VLOOKUP(B650,'Player Data'!$A1:$AE673,7,FALSE)*$Q650*IFERROR((VLOOKUP(P650,Settings!$E$28:$F$33,2,FALSE)+1),1)</f>
        <v>7.0010473449757544</v>
      </c>
      <c r="T650" s="57" cm="1">
        <f t="array" ref="T650">VLOOKUP(B650,'Player Data'!$A1:$AE673,8,FALSE)*$Q650*IFERROR((VLOOKUP(P650,Settings!$E$28:$F$33,2,FALSE)+1),1)</f>
        <v>6.6404040972172425</v>
      </c>
      <c r="U650" s="57" cm="1">
        <f t="array" ref="U650">SUM(S650:T650)</f>
        <v>13.641451442192997</v>
      </c>
      <c r="V650" s="57" cm="1">
        <f t="array" ref="V650">VLOOKUP(B650,'Player Data'!$A1:$AE673,10,FALSE)*$Q650*IFERROR(((VLOOKUP(P650,Settings!$E$28:$F$33,2,FALSE)/2)+1),1)</f>
        <v>57.868488104095313</v>
      </c>
      <c r="W650" s="57" cm="1">
        <f t="array" ref="W650">VLOOKUP(B650,'Player Data'!$A1:$AE673,11,FALSE)*$Q650*IFERROR((VLOOKUP(P650,Settings!$E$28:$F$33,2,FALSE)+1),1)</f>
        <v>1.9494815720032092E-2</v>
      </c>
      <c r="X650" s="57" cm="1">
        <f t="array" ref="X650">VLOOKUP(B650,'Player Data'!$A1:$AE673,12,FALSE)*$Q650*IFERROR((VLOOKUP(P650,Settings!$E$28:$F$33,2,FALSE)+1),1)</f>
        <v>4.2751856996478162E-2</v>
      </c>
      <c r="Y650" s="57" cm="1">
        <f t="array" ref="Y650">VLOOKUP(B650,'Player Data'!$A1:$AE673,13,FALSE)*$Q650</f>
        <v>6.1544053417313654E-3</v>
      </c>
      <c r="Z650" s="57" cm="1">
        <f t="array" ref="Z650">VLOOKUP(B650,'Player Data'!$A1:$AE673,14,FALSE)*$Q650</f>
        <v>1.0216000067058096E-2</v>
      </c>
      <c r="AA650" s="57" cm="1">
        <f t="array" ref="AA650">VLOOKUP(B650,'Player Data'!$A1:$AE673,15,FALSE)*$Q650</f>
        <v>27.665741193450359</v>
      </c>
      <c r="AB650" s="57" cm="1">
        <f t="array" ref="AB650">VLOOKUP(B650,'Player Data'!$A1:$AE673,16,FALSE)*$Q650</f>
        <v>201.42168454231532</v>
      </c>
      <c r="AC650" s="57" cm="1">
        <f t="array" ref="AC650">VLOOKUP(B650,'Player Data'!$A1:$AE673,17,FALSE)*$Q650*IFERROR((VLOOKUP(P650,Settings!$E$28:$F$33,2,FALSE)+1),1)</f>
        <v>-1.0794711907468788</v>
      </c>
      <c r="AD650" s="57" cm="1">
        <f t="array" ref="AD650">VLOOKUP(B650,'Player Data'!$A1:$AE673,18,FALSE)*$Q650</f>
        <v>34.913643868446975</v>
      </c>
      <c r="AE650" s="57" cm="1">
        <f t="array" ref="AE650">VLOOKUP(B650,'Player Data'!$A1:$AE673,19,FALSE)*$Q650*IFERROR((VLOOKUP(P650,Settings!$E$28:$F$33,2,FALSE)+1),1)</f>
        <v>1.1059145781697637</v>
      </c>
      <c r="AF650" s="57" cm="1">
        <f t="array" ref="AF650">VLOOKUP(B650,'Player Data'!$A1:$AE673,20,FALSE)*$Q650</f>
        <v>186.07800018143811</v>
      </c>
      <c r="AG650" s="57" cm="1">
        <f t="array" ref="AG650">VLOOKUP(B650,'Player Data'!$A1:$AE673,21,FALSE)*$Q650</f>
        <v>219.84052440101968</v>
      </c>
      <c r="AH650" s="59" cm="1">
        <f t="array" ref="AH650">VLOOKUP(B650,'Player Data'!$A1:$AE673,22,FALSE)</f>
        <v>0.45841219090171997</v>
      </c>
      <c r="AI650" s="55"/>
      <c r="AJ650" s="57"/>
      <c r="AK650" s="57"/>
      <c r="AL650" s="57"/>
      <c r="AM650" s="57"/>
      <c r="AN650" s="57"/>
      <c r="AO650" s="57"/>
      <c r="AP650" s="57"/>
      <c r="AQ650" s="60"/>
      <c r="AR650" s="61"/>
      <c r="AS650" s="55"/>
    </row>
    <row r="651" spans="1:45" ht="21.25" customHeight="1" x14ac:dyDescent="0.15">
      <c r="A651" s="62">
        <f t="shared" si="10"/>
        <v>650</v>
      </c>
      <c r="B651" s="10" t="s">
        <v>779</v>
      </c>
      <c r="C651" s="47" t="s">
        <v>147</v>
      </c>
      <c r="D651" s="48" t="str" cm="1">
        <f t="array" ref="D651">VLOOKUP(B651,'Player Data'!A1:D673,4,FALSE)</f>
        <v>C,LW</v>
      </c>
      <c r="E651" s="74" cm="1">
        <f t="array" ref="E651">VLOOKUP(B651,LW!A1:C210,3,FALSE)</f>
        <v>198</v>
      </c>
      <c r="F651" s="63" t="str" cm="1">
        <f t="array" ref="F651">VLOOKUP(B651,'Player Data'!A1:B673,2,FALSE)</f>
        <v>DAL</v>
      </c>
      <c r="G651" s="11" cm="1">
        <f t="array" ref="G651">VLOOKUP(B651,'Player Data'!A1:D673,3,FALSE)</f>
        <v>26</v>
      </c>
      <c r="H651" s="67" cm="1">
        <f t="array" ref="H651">IFERROR(VLOOKUP(B651,ADP!A1:F671,6,FALSE)/1000000,VLOOKUP(B651,ADP!A1:F671,6,FALSE))</f>
        <v>0.82499999999999996</v>
      </c>
      <c r="I651" s="52">
        <f>IF(Settings!$E$15="POINTS",((R651*Q651)*Settings!$B$12)+(S651*Settings!$B$2)+(T651*Settings!$B$3)+(U651*Settings!$B$4)+(V651*Settings!$B$5)+(X651*Settings!$B$9)+(AA651*Settings!$B$6)+(W651*Settings!$B$8)+(AB651*Settings!$B$7)+(AC651*Settings!$B$14)+(AD651*Settings!$B$15)+(AE651*Settings!$B$16)+(AF651*Settings!$B$17)+(AG651*Settings!$B$18)+(Y651*Settings!$B$10)+(Z651*Settings!$B$11),VLOOKUP(B651,'Standard Deviations'!A$1:C$672,3,FALSE))</f>
        <v>95.691686681289426</v>
      </c>
      <c r="J651" s="53" cm="1">
        <f t="array" ref="J651">IF(D651="G",I651/AJ651,I651/Q651)</f>
        <v>1.1958844837852898</v>
      </c>
      <c r="K651" s="52" cm="1">
        <f t="array" ref="K651">IF(Settings!$E$18="C/LW/RW",VLOOKUP(B651,LW!A1:F210,6,FALSE),VLOOKUP(B651,F!A1:F407,6,FALSE))</f>
        <v>-303.62130663243067</v>
      </c>
      <c r="L651" s="54" cm="1">
        <f t="array" ref="L651">IFERROR(K651/H651,"N/A")</f>
        <v>-368.02582622112811</v>
      </c>
      <c r="M651" s="85" t="s">
        <v>832</v>
      </c>
      <c r="N651" s="85" t="str" cm="1">
        <f t="array" ref="N651">IFERROR(M651-A651,"N/A")</f>
        <v>N/A</v>
      </c>
      <c r="O651" s="83"/>
      <c r="P651" s="56" t="str" cm="1">
        <f t="array" ref="P651">_xlfn.XLOOKUP($B651,ADP!A2:A671,ADP!G2:G671)</f>
        <v xml:space="preserve"> </v>
      </c>
      <c r="Q651" s="57" cm="1">
        <f t="array" ref="Q651">IF(Settings!$E$12="YES",VLOOKUP(B651,'Player Data'!A1:E673,5,FALSE),84)</f>
        <v>80.017499999999998</v>
      </c>
      <c r="R651" s="55" cm="1">
        <f t="array" ref="R651">VLOOKUP(B651,'Player Data'!$A1:$AE673,6,FALSE)</f>
        <v>12.024736143180499</v>
      </c>
      <c r="S651" s="57" cm="1">
        <f t="array" ref="S651">VLOOKUP(B651,'Player Data'!$A1:$AE673,7,FALSE)*$Q651*IFERROR((VLOOKUP(P651,Settings!$E$28:$F$33,2,FALSE)+1),1)</f>
        <v>5.864248841733982</v>
      </c>
      <c r="T651" s="57" cm="1">
        <f t="array" ref="T651">VLOOKUP(B651,'Player Data'!$A1:$AE673,8,FALSE)*$Q651*IFERROR((VLOOKUP(P651,Settings!$E$28:$F$33,2,FALSE)+1),1)</f>
        <v>10.137528035328142</v>
      </c>
      <c r="U651" s="57" cm="1">
        <f t="array" ref="U651">SUM(S651:T651)</f>
        <v>16.001776877062124</v>
      </c>
      <c r="V651" s="57" cm="1">
        <f t="array" ref="V651">VLOOKUP(B651,'Player Data'!$A1:$AE673,10,FALSE)*$Q651*IFERROR(((VLOOKUP(P651,Settings!$E$28:$F$33,2,FALSE)/2)+1),1)</f>
        <v>52.54564590861699</v>
      </c>
      <c r="W651" s="57" cm="1">
        <f t="array" ref="W651">VLOOKUP(B651,'Player Data'!$A1:$AE673,11,FALSE)*$Q651*IFERROR((VLOOKUP(P651,Settings!$E$28:$F$33,2,FALSE)+1),1)</f>
        <v>2.1377093284220564E-2</v>
      </c>
      <c r="X651" s="57" cm="1">
        <f t="array" ref="X651">VLOOKUP(B651,'Player Data'!$A1:$AE673,12,FALSE)*$Q651*IFERROR((VLOOKUP(P651,Settings!$E$28:$F$33,2,FALSE)+1),1)</f>
        <v>4.6711945839510688E-2</v>
      </c>
      <c r="Y651" s="57" cm="1">
        <f t="array" ref="Y651">VLOOKUP(B651,'Player Data'!$A1:$AE673,13,FALSE)*$Q651</f>
        <v>0.72870149863864953</v>
      </c>
      <c r="Z651" s="57" cm="1">
        <f t="array" ref="Z651">VLOOKUP(B651,'Player Data'!$A1:$AE673,14,FALSE)*$Q651</f>
        <v>1.1938231308511851</v>
      </c>
      <c r="AA651" s="57" cm="1">
        <f t="array" ref="AA651">VLOOKUP(B651,'Player Data'!$A1:$AE673,15,FALSE)*$Q651</f>
        <v>40.345996038207758</v>
      </c>
      <c r="AB651" s="57" cm="1">
        <f t="array" ref="AB651">VLOOKUP(B651,'Player Data'!$A1:$AE673,16,FALSE)*$Q651</f>
        <v>47.302561210787147</v>
      </c>
      <c r="AC651" s="57" cm="1">
        <f t="array" ref="AC651">VLOOKUP(B651,'Player Data'!$A1:$AE673,17,FALSE)*$Q651*IFERROR((VLOOKUP(P651,Settings!$E$28:$F$33,2,FALSE)+1),1)</f>
        <v>4.8725820061514638</v>
      </c>
      <c r="AD651" s="57" cm="1">
        <f t="array" ref="AD651">VLOOKUP(B651,'Player Data'!$A1:$AE673,18,FALSE)*$Q651</f>
        <v>15.193171324257595</v>
      </c>
      <c r="AE651" s="57" cm="1">
        <f t="array" ref="AE651">VLOOKUP(B651,'Player Data'!$A1:$AE673,19,FALSE)*$Q651*IFERROR((VLOOKUP(P651,Settings!$E$28:$F$33,2,FALSE)+1),1)</f>
        <v>0.99177814332501768</v>
      </c>
      <c r="AF651" s="57" cm="1">
        <f t="array" ref="AF651">VLOOKUP(B651,'Player Data'!$A1:$AE673,20,FALSE)*$Q651</f>
        <v>44.749294982804678</v>
      </c>
      <c r="AG651" s="57" cm="1">
        <f t="array" ref="AG651">VLOOKUP(B651,'Player Data'!$A1:$AE673,21,FALSE)*$Q651</f>
        <v>50.622279209630847</v>
      </c>
      <c r="AH651" s="59" cm="1">
        <f t="array" ref="AH651">VLOOKUP(B651,'Player Data'!$A1:$AE673,22,FALSE)</f>
        <v>0.46920998590745699</v>
      </c>
      <c r="AI651" s="55"/>
      <c r="AJ651" s="57"/>
      <c r="AK651" s="57"/>
      <c r="AL651" s="57"/>
      <c r="AM651" s="57"/>
      <c r="AN651" s="57"/>
      <c r="AO651" s="57"/>
      <c r="AP651" s="57"/>
      <c r="AQ651" s="60"/>
      <c r="AR651" s="61"/>
      <c r="AS651" s="55"/>
    </row>
    <row r="652" spans="1:45" ht="21.25" customHeight="1" x14ac:dyDescent="0.15">
      <c r="A652" s="62">
        <f t="shared" si="10"/>
        <v>651</v>
      </c>
      <c r="B652" s="10" t="s">
        <v>780</v>
      </c>
      <c r="C652" s="47" t="s">
        <v>147</v>
      </c>
      <c r="D652" s="48" t="str" cm="1">
        <f t="array" ref="D652">VLOOKUP(B652,'Player Data'!A1:D673,4,FALSE)</f>
        <v>LW,RW</v>
      </c>
      <c r="E652" s="74" cm="1">
        <f t="array" ref="E652">VLOOKUP(B652,RW!A1:F210,3,FALSE)</f>
        <v>199</v>
      </c>
      <c r="F652" s="56" t="str" cm="1">
        <f t="array" ref="F652">VLOOKUP(B652,'Player Data'!A1:B673,2,FALSE)</f>
        <v>PHI</v>
      </c>
      <c r="G652" s="71" cm="1">
        <f t="array" ref="G652">VLOOKUP(B652,'Player Data'!A1:D673,3,FALSE)</f>
        <v>23</v>
      </c>
      <c r="H652" s="51" cm="1">
        <f t="array" ref="H652">IFERROR(VLOOKUP(B652,ADP!A1:F671,6,FALSE)/1000000,VLOOKUP(B652,ADP!A1:F671,6,FALSE))</f>
        <v>1.1000000000000001</v>
      </c>
      <c r="I652" s="52">
        <f>IF(Settings!$E$15="POINTS",((R652*Q652)*Settings!$B$12)+(S652*Settings!$B$2)+(T652*Settings!$B$3)+(U652*Settings!$B$4)+(V652*Settings!$B$5)+(X652*Settings!$B$9)+(AA652*Settings!$B$6)+(W652*Settings!$B$8)+(AB652*Settings!$B$7)+(AC652*Settings!$B$14)+(AD652*Settings!$B$15)+(AE652*Settings!$B$16)+(AF652*Settings!$B$17)+(AG652*Settings!$B$18)+(Y652*Settings!$B$10)+(Z652*Settings!$B$11),VLOOKUP(B652,'Standard Deviations'!A$1:C$672,3,FALSE))</f>
        <v>89.848339896251844</v>
      </c>
      <c r="J652" s="53" cm="1">
        <f t="array" ref="J652">IF(D652="G",I652/AJ652,I652/Q652)</f>
        <v>1.2337568128561873</v>
      </c>
      <c r="K652" s="52" cm="1">
        <f t="array" ref="K652">IF(Settings!$E$18="C/LW/RW",VLOOKUP(B652,RW!A1:F210,6,FALSE),VLOOKUP(B652,F!A1:F407,6,FALSE))</f>
        <v>-305.09512479730563</v>
      </c>
      <c r="L652" s="54" cm="1">
        <f t="array" ref="L652">IFERROR(K652/H652,"N/A")</f>
        <v>-277.35920436118693</v>
      </c>
      <c r="M652" s="85" t="s">
        <v>832</v>
      </c>
      <c r="N652" s="85" t="str" cm="1">
        <f t="array" ref="N652">IFERROR(M652-A652,"N/A")</f>
        <v>N/A</v>
      </c>
      <c r="O652" s="55"/>
      <c r="P652" s="56" t="str" cm="1">
        <f t="array" ref="P652">_xlfn.XLOOKUP($B652,ADP!A2:A671,ADP!G2:G671)</f>
        <v xml:space="preserve"> </v>
      </c>
      <c r="Q652" s="57" cm="1">
        <f t="array" ref="Q652">IF(Settings!$E$12="YES",VLOOKUP(B652,'Player Data'!A1:E673,5,FALSE),84)</f>
        <v>72.825000000000003</v>
      </c>
      <c r="R652" s="55" cm="1">
        <f t="array" ref="R652">VLOOKUP(B652,'Player Data'!$A1:$AE673,6,FALSE)</f>
        <v>10.7514174799794</v>
      </c>
      <c r="S652" s="57" cm="1">
        <f t="array" ref="S652">VLOOKUP(B652,'Player Data'!$A1:$AE673,7,FALSE)*$Q652*IFERROR((VLOOKUP(P652,Settings!$E$28:$F$33,2,FALSE)+1),1)</f>
        <v>5.9751171960231355</v>
      </c>
      <c r="T652" s="57" cm="1">
        <f t="array" ref="T652">VLOOKUP(B652,'Player Data'!$A1:$AE673,8,FALSE)*$Q652*IFERROR((VLOOKUP(P652,Settings!$E$28:$F$33,2,FALSE)+1),1)</f>
        <v>11.685581507818052</v>
      </c>
      <c r="U652" s="57" cm="1">
        <f t="array" ref="U652">SUM(S652:T652)</f>
        <v>17.660698703841188</v>
      </c>
      <c r="V652" s="57" cm="1">
        <f t="array" ref="V652">VLOOKUP(B652,'Player Data'!$A1:$AE673,10,FALSE)*$Q652*IFERROR(((VLOOKUP(P652,Settings!$E$28:$F$33,2,FALSE)/2)+1),1)</f>
        <v>49.114086142168368</v>
      </c>
      <c r="W652" s="57" cm="1">
        <f t="array" ref="W652">VLOOKUP(B652,'Player Data'!$A1:$AE673,11,FALSE)*$Q652*IFERROR((VLOOKUP(P652,Settings!$E$28:$F$33,2,FALSE)+1),1)</f>
        <v>0.15384960201786166</v>
      </c>
      <c r="X652" s="57" cm="1">
        <f t="array" ref="X652">VLOOKUP(B652,'Player Data'!$A1:$AE673,12,FALSE)*$Q652*IFERROR((VLOOKUP(P652,Settings!$E$28:$F$33,2,FALSE)+1),1)</f>
        <v>0.34650908986799628</v>
      </c>
      <c r="Y652" s="57" cm="1">
        <f t="array" ref="Y652">VLOOKUP(B652,'Player Data'!$A1:$AE673,13,FALSE)*$Q652</f>
        <v>2.0498645175274595E-3</v>
      </c>
      <c r="Z652" s="57" cm="1">
        <f t="array" ref="Z652">VLOOKUP(B652,'Player Data'!$A1:$AE673,14,FALSE)*$Q652</f>
        <v>3.388938999354202E-3</v>
      </c>
      <c r="AA652" s="57" cm="1">
        <f t="array" ref="AA652">VLOOKUP(B652,'Player Data'!$A1:$AE673,15,FALSE)*$Q652</f>
        <v>23.918605369553507</v>
      </c>
      <c r="AB652" s="57" cm="1">
        <f t="array" ref="AB652">VLOOKUP(B652,'Player Data'!$A1:$AE673,16,FALSE)*$Q652</f>
        <v>111.21821556717195</v>
      </c>
      <c r="AC652" s="57" cm="1">
        <f t="array" ref="AC652">VLOOKUP(B652,'Player Data'!$A1:$AE673,17,FALSE)*$Q652*IFERROR((VLOOKUP(P652,Settings!$E$28:$F$33,2,FALSE)+1),1)</f>
        <v>-0.6350560340410154</v>
      </c>
      <c r="AD652" s="57" cm="1">
        <f t="array" ref="AD652">VLOOKUP(B652,'Player Data'!$A1:$AE673,18,FALSE)*$Q652</f>
        <v>24.856356518708907</v>
      </c>
      <c r="AE652" s="57" cm="1">
        <f t="array" ref="AE652">VLOOKUP(B652,'Player Data'!$A1:$AE673,19,FALSE)*$Q652*IFERROR((VLOOKUP(P652,Settings!$E$28:$F$33,2,FALSE)+1),1)</f>
        <v>0.94427740210046951</v>
      </c>
      <c r="AF652" s="57" cm="1">
        <f t="array" ref="AF652">VLOOKUP(B652,'Player Data'!$A1:$AE673,20,FALSE)*$Q652</f>
        <v>5.3078293462307471</v>
      </c>
      <c r="AG652" s="57" cm="1">
        <f t="array" ref="AG652">VLOOKUP(B652,'Player Data'!$A1:$AE673,21,FALSE)*$Q652</f>
        <v>2.3638292679538315</v>
      </c>
      <c r="AH652" s="59" cm="1">
        <f t="array" ref="AH652">VLOOKUP(B652,'Player Data'!$A1:$AE673,22,FALSE)</f>
        <v>0.69187507072027299</v>
      </c>
      <c r="AI652" s="55"/>
      <c r="AJ652" s="57"/>
      <c r="AK652" s="57"/>
      <c r="AL652" s="57"/>
      <c r="AM652" s="57"/>
      <c r="AN652" s="57"/>
      <c r="AO652" s="57"/>
      <c r="AP652" s="57"/>
      <c r="AQ652" s="60"/>
      <c r="AR652" s="61"/>
      <c r="AS652" s="55"/>
    </row>
    <row r="653" spans="1:45" ht="21.25" customHeight="1" x14ac:dyDescent="0.15">
      <c r="A653" s="62">
        <f t="shared" si="10"/>
        <v>652</v>
      </c>
      <c r="B653" s="10" t="s">
        <v>781</v>
      </c>
      <c r="C653" s="47" t="s">
        <v>147</v>
      </c>
      <c r="D653" s="48" t="str" cm="1">
        <f t="array" ref="D653">VLOOKUP(B653,'Player Data'!A1:D673,4,FALSE)</f>
        <v>C</v>
      </c>
      <c r="E653" s="49" cm="1">
        <f t="array" ref="E653">VLOOKUP(B653,'C'!A1:C210,3,FALSE)</f>
        <v>205</v>
      </c>
      <c r="F653" s="50" t="str" cm="1">
        <f t="array" ref="F653">VLOOKUP(B653,'Player Data'!A1:B673,2,FALSE)</f>
        <v>ANA</v>
      </c>
      <c r="G653" s="11" cm="1">
        <f t="array" ref="G653">VLOOKUP(B653,'Player Data'!A1:D673,3,FALSE)</f>
        <v>25</v>
      </c>
      <c r="H653" s="67" cm="1">
        <f t="array" ref="H653">IFERROR(VLOOKUP(B653,ADP!A1:F671,6,FALSE)/1000000,VLOOKUP(B653,ADP!A1:F671,6,FALSE))</f>
        <v>0.8125</v>
      </c>
      <c r="I653" s="52">
        <f>IF(Settings!$E$15="POINTS",((R653*Q653)*Settings!$B$12)+(S653*Settings!$B$2)+(T653*Settings!$B$3)+(U653*Settings!$B$4)+(V653*Settings!$B$5)+(X653*Settings!$B$9)+(AA653*Settings!$B$6)+(W653*Settings!$B$8)+(AB653*Settings!$B$7)+(AC653*Settings!$B$14)+(AD653*Settings!$B$15)+(AE653*Settings!$B$16)+(AF653*Settings!$B$17)+(AG653*Settings!$B$18)+(Y653*Settings!$B$10)+(Z653*Settings!$B$11),VLOOKUP(B653,'Standard Deviations'!A$1:C$672,3,FALSE))</f>
        <v>79.80592219586751</v>
      </c>
      <c r="J653" s="53" cm="1">
        <f t="array" ref="J653">IF(D653="G",I653/AJ653,I653/Q653)</f>
        <v>1.3062060181818818</v>
      </c>
      <c r="K653" s="52" cm="1">
        <f t="array" ref="K653">IF(Settings!$E$18="C/LW/RW",VLOOKUP(B653,'C'!A1:F210,6,FALSE),VLOOKUP(B653,F!A1:F407,6,FALSE))</f>
        <v>-306.72928419721552</v>
      </c>
      <c r="L653" s="54" cm="1">
        <f t="array" ref="L653">IFERROR(K653/H653,"N/A")</f>
        <v>-377.51296516580373</v>
      </c>
      <c r="M653" s="85" t="s">
        <v>832</v>
      </c>
      <c r="N653" s="85" t="str" cm="1">
        <f t="array" ref="N653">IFERROR(M653-A653,"N/A")</f>
        <v>N/A</v>
      </c>
      <c r="O653" s="55"/>
      <c r="P653" s="56" t="str" cm="1">
        <f t="array" ref="P653">_xlfn.XLOOKUP($B653,ADP!A2:A671,ADP!G2:G671)</f>
        <v xml:space="preserve"> </v>
      </c>
      <c r="Q653" s="57" cm="1">
        <f t="array" ref="Q653">IF(Settings!$E$12="YES",VLOOKUP(B653,'Player Data'!A1:E673,5,FALSE),84)</f>
        <v>61.097499999999997</v>
      </c>
      <c r="R653" s="55" cm="1">
        <f t="array" ref="R653">VLOOKUP(B653,'Player Data'!$A1:$AE673,6,FALSE)</f>
        <v>12.1540034464704</v>
      </c>
      <c r="S653" s="57" cm="1">
        <f t="array" ref="S653">VLOOKUP(B653,'Player Data'!$A1:$AE673,7,FALSE)*$Q653*IFERROR((VLOOKUP(P653,Settings!$E$28:$F$33,2,FALSE)+1),1)</f>
        <v>4.6222446678927822</v>
      </c>
      <c r="T653" s="57" cm="1">
        <f t="array" ref="T653">VLOOKUP(B653,'Player Data'!$A1:$AE673,8,FALSE)*$Q653*IFERROR((VLOOKUP(P653,Settings!$E$28:$F$33,2,FALSE)+1),1)</f>
        <v>6.4177744359354261</v>
      </c>
      <c r="U653" s="57" cm="1">
        <f t="array" ref="U653">SUM(S653:T653)</f>
        <v>11.040019103828207</v>
      </c>
      <c r="V653" s="57" cm="1">
        <f t="array" ref="V653">VLOOKUP(B653,'Player Data'!$A1:$AE673,10,FALSE)*$Q653*IFERROR(((VLOOKUP(P653,Settings!$E$28:$F$33,2,FALSE)/2)+1),1)</f>
        <v>55.167684204593264</v>
      </c>
      <c r="W653" s="57" cm="1">
        <f t="array" ref="W653">VLOOKUP(B653,'Player Data'!$A1:$AE673,11,FALSE)*$Q653*IFERROR((VLOOKUP(P653,Settings!$E$28:$F$33,2,FALSE)+1),1)</f>
        <v>1.453347710483187E-2</v>
      </c>
      <c r="X653" s="57" cm="1">
        <f t="array" ref="X653">VLOOKUP(B653,'Player Data'!$A1:$AE673,12,FALSE)*$Q653*IFERROR((VLOOKUP(P653,Settings!$E$28:$F$33,2,FALSE)+1),1)</f>
        <v>3.1983832057000623E-2</v>
      </c>
      <c r="Y653" s="57" cm="1">
        <f t="array" ref="Y653">VLOOKUP(B653,'Player Data'!$A1:$AE673,13,FALSE)*$Q653</f>
        <v>0.2228820855029367</v>
      </c>
      <c r="Z653" s="57" cm="1">
        <f t="array" ref="Z653">VLOOKUP(B653,'Player Data'!$A1:$AE673,14,FALSE)*$Q653</f>
        <v>0.4189354485949231</v>
      </c>
      <c r="AA653" s="57" cm="1">
        <f t="array" ref="AA653">VLOOKUP(B653,'Player Data'!$A1:$AE673,15,FALSE)*$Q653</f>
        <v>37.302207002868656</v>
      </c>
      <c r="AB653" s="57" cm="1">
        <f t="array" ref="AB653">VLOOKUP(B653,'Player Data'!$A1:$AE673,16,FALSE)*$Q653</f>
        <v>126.04686942795757</v>
      </c>
      <c r="AC653" s="57" cm="1">
        <f t="array" ref="AC653">VLOOKUP(B653,'Player Data'!$A1:$AE673,17,FALSE)*$Q653*IFERROR((VLOOKUP(P653,Settings!$E$28:$F$33,2,FALSE)+1),1)</f>
        <v>-2.9005491394757779</v>
      </c>
      <c r="AD653" s="57" cm="1">
        <f t="array" ref="AD653">VLOOKUP(B653,'Player Data'!$A1:$AE673,18,FALSE)*$Q653</f>
        <v>19.702827551291552</v>
      </c>
      <c r="AE653" s="57" cm="1">
        <f t="array" ref="AE653">VLOOKUP(B653,'Player Data'!$A1:$AE673,19,FALSE)*$Q653*IFERROR((VLOOKUP(P653,Settings!$E$28:$F$33,2,FALSE)+1),1)</f>
        <v>0.67529669363719591</v>
      </c>
      <c r="AF653" s="57" cm="1">
        <f t="array" ref="AF653">VLOOKUP(B653,'Player Data'!$A1:$AE673,20,FALSE)*$Q653</f>
        <v>351.04640821664566</v>
      </c>
      <c r="AG653" s="57" cm="1">
        <f t="array" ref="AG653">VLOOKUP(B653,'Player Data'!$A1:$AE673,21,FALSE)*$Q653</f>
        <v>259.18369964222774</v>
      </c>
      <c r="AH653" s="59" cm="1">
        <f t="array" ref="AH653">VLOOKUP(B653,'Player Data'!$A1:$AE673,22,FALSE)</f>
        <v>0.57526890872095704</v>
      </c>
      <c r="AI653" s="55"/>
      <c r="AJ653" s="57"/>
      <c r="AK653" s="57"/>
      <c r="AL653" s="57"/>
      <c r="AM653" s="57"/>
      <c r="AN653" s="57"/>
      <c r="AO653" s="57"/>
      <c r="AP653" s="57"/>
      <c r="AQ653" s="60"/>
      <c r="AR653" s="61"/>
      <c r="AS653" s="55"/>
    </row>
    <row r="654" spans="1:45" ht="21.25" customHeight="1" x14ac:dyDescent="0.15">
      <c r="A654" s="62">
        <f t="shared" si="10"/>
        <v>653</v>
      </c>
      <c r="B654" s="10" t="s">
        <v>782</v>
      </c>
      <c r="C654" s="47" t="s">
        <v>147</v>
      </c>
      <c r="D654" s="48" t="str" cm="1">
        <f t="array" ref="D654">VLOOKUP(B654,'Player Data'!A1:D673,4,FALSE)</f>
        <v>C,LW</v>
      </c>
      <c r="E654" s="74" cm="1">
        <f t="array" ref="E654">VLOOKUP(B654,LW!A1:C210,3,FALSE)</f>
        <v>199</v>
      </c>
      <c r="F654" s="63" t="str" cm="1">
        <f t="array" ref="F654">VLOOKUP(B654,'Player Data'!A1:B673,2,FALSE)</f>
        <v>SEA</v>
      </c>
      <c r="G654" s="11" cm="1">
        <f t="array" ref="G654">VLOOKUP(B654,'Player Data'!A1:D673,3,FALSE)</f>
        <v>27</v>
      </c>
      <c r="H654" s="51" cm="1">
        <f t="array" ref="H654">IFERROR(VLOOKUP(B654,ADP!A1:F671,6,FALSE)/1000000,VLOOKUP(B654,ADP!A1:F671,6,FALSE))</f>
        <v>1</v>
      </c>
      <c r="I654" s="52">
        <f>IF(Settings!$E$15="POINTS",((R654*Q654)*Settings!$B$12)+(S654*Settings!$B$2)+(T654*Settings!$B$3)+(U654*Settings!$B$4)+(V654*Settings!$B$5)+(X654*Settings!$B$9)+(AA654*Settings!$B$6)+(W654*Settings!$B$8)+(AB654*Settings!$B$7)+(AC654*Settings!$B$14)+(AD654*Settings!$B$15)+(AE654*Settings!$B$16)+(AF654*Settings!$B$17)+(AG654*Settings!$B$18)+(Y654*Settings!$B$10)+(Z654*Settings!$B$11),VLOOKUP(B654,'Standard Deviations'!A$1:C$672,3,FALSE))</f>
        <v>91.812084416922843</v>
      </c>
      <c r="J654" s="53" cm="1">
        <f t="array" ref="J654">IF(D654="G",I654/AJ654,I654/Q654)</f>
        <v>1.4659441867622998</v>
      </c>
      <c r="K654" s="52" cm="1">
        <f t="array" ref="K654">IF(Settings!$E$18="C/LW/RW",VLOOKUP(B654,LW!A1:F210,6,FALSE),VLOOKUP(B654,F!A1:F407,6,FALSE))</f>
        <v>-307.50090889679723</v>
      </c>
      <c r="L654" s="54" cm="1">
        <f t="array" ref="L654">IFERROR(K654/H654,"N/A")</f>
        <v>-307.50090889679723</v>
      </c>
      <c r="M654" s="85" t="s">
        <v>832</v>
      </c>
      <c r="N654" s="85" t="str" cm="1">
        <f t="array" ref="N654">IFERROR(M654-A654,"N/A")</f>
        <v>N/A</v>
      </c>
      <c r="O654" s="55"/>
      <c r="P654" s="56" t="str" cm="1">
        <f t="array" ref="P654">_xlfn.XLOOKUP($B654,ADP!A2:A671,ADP!G2:G671)</f>
        <v xml:space="preserve"> </v>
      </c>
      <c r="Q654" s="57" cm="1">
        <f t="array" ref="Q654">IF(Settings!$E$12="YES",VLOOKUP(B654,'Player Data'!A1:E673,5,FALSE),84)</f>
        <v>62.63</v>
      </c>
      <c r="R654" s="55" cm="1">
        <f t="array" ref="R654">VLOOKUP(B654,'Player Data'!$A1:$AE673,6,FALSE)</f>
        <v>12.100641967612599</v>
      </c>
      <c r="S654" s="57" cm="1">
        <f t="array" ref="S654">VLOOKUP(B654,'Player Data'!$A1:$AE673,7,FALSE)*$Q654*IFERROR((VLOOKUP(P654,Settings!$E$28:$F$33,2,FALSE)+1),1)</f>
        <v>6.9699588852641465</v>
      </c>
      <c r="T654" s="57" cm="1">
        <f t="array" ref="T654">VLOOKUP(B654,'Player Data'!$A1:$AE673,8,FALSE)*$Q654*IFERROR((VLOOKUP(P654,Settings!$E$28:$F$33,2,FALSE)+1),1)</f>
        <v>8.5396076985917411</v>
      </c>
      <c r="U654" s="57" cm="1">
        <f t="array" ref="U654">SUM(S654:T654)</f>
        <v>15.509566583855888</v>
      </c>
      <c r="V654" s="57" cm="1">
        <f t="array" ref="V654">VLOOKUP(B654,'Player Data'!$A1:$AE673,10,FALSE)*$Q654*IFERROR(((VLOOKUP(P654,Settings!$E$28:$F$33,2,FALSE)/2)+1),1)</f>
        <v>69.278947349931769</v>
      </c>
      <c r="W654" s="57" cm="1">
        <f t="array" ref="W654">VLOOKUP(B654,'Player Data'!$A1:$AE673,11,FALSE)*$Q654*IFERROR((VLOOKUP(P654,Settings!$E$28:$F$33,2,FALSE)+1),1)</f>
        <v>4.7998329876550228E-2</v>
      </c>
      <c r="X654" s="57" cm="1">
        <f t="array" ref="X654">VLOOKUP(B654,'Player Data'!$A1:$AE673,12,FALSE)*$Q654*IFERROR((VLOOKUP(P654,Settings!$E$28:$F$33,2,FALSE)+1),1)</f>
        <v>0.1050534465947815</v>
      </c>
      <c r="Y654" s="57" cm="1">
        <f t="array" ref="Y654">VLOOKUP(B654,'Player Data'!$A1:$AE673,13,FALSE)*$Q654</f>
        <v>0.17706458986411519</v>
      </c>
      <c r="Z654" s="57" cm="1">
        <f t="array" ref="Z654">VLOOKUP(B654,'Player Data'!$A1:$AE673,14,FALSE)*$Q654</f>
        <v>0.32798667989040453</v>
      </c>
      <c r="AA654" s="57" cm="1">
        <f t="array" ref="AA654">VLOOKUP(B654,'Player Data'!$A1:$AE673,15,FALSE)*$Q654</f>
        <v>20.421741727808243</v>
      </c>
      <c r="AB654" s="57" cm="1">
        <f t="array" ref="AB654">VLOOKUP(B654,'Player Data'!$A1:$AE673,16,FALSE)*$Q654</f>
        <v>84.834142832699342</v>
      </c>
      <c r="AC654" s="57" cm="1">
        <f t="array" ref="AC654">VLOOKUP(B654,'Player Data'!$A1:$AE673,17,FALSE)*$Q654*IFERROR((VLOOKUP(P654,Settings!$E$28:$F$33,2,FALSE)+1),1)</f>
        <v>-5.6284097336908987</v>
      </c>
      <c r="AD654" s="57" cm="1">
        <f t="array" ref="AD654">VLOOKUP(B654,'Player Data'!$A1:$AE673,18,FALSE)*$Q654</f>
        <v>19.308496301027226</v>
      </c>
      <c r="AE654" s="57" cm="1">
        <f t="array" ref="AE654">VLOOKUP(B654,'Player Data'!$A1:$AE673,19,FALSE)*$Q654*IFERROR((VLOOKUP(P654,Settings!$E$28:$F$33,2,FALSE)+1),1)</f>
        <v>0.96028737270446551</v>
      </c>
      <c r="AF654" s="57" cm="1">
        <f t="array" ref="AF654">VLOOKUP(B654,'Player Data'!$A1:$AE673,20,FALSE)*$Q654</f>
        <v>215.00702263950311</v>
      </c>
      <c r="AG654" s="57" cm="1">
        <f t="array" ref="AG654">VLOOKUP(B654,'Player Data'!$A1:$AE673,21,FALSE)*$Q654</f>
        <v>191.29857888625381</v>
      </c>
      <c r="AH654" s="59" cm="1">
        <f t="array" ref="AH654">VLOOKUP(B654,'Player Data'!$A1:$AE673,22,FALSE)</f>
        <v>0.52917562994974698</v>
      </c>
      <c r="AI654" s="55"/>
      <c r="AJ654" s="57"/>
      <c r="AK654" s="57"/>
      <c r="AL654" s="57"/>
      <c r="AM654" s="57"/>
      <c r="AN654" s="57"/>
      <c r="AO654" s="57"/>
      <c r="AP654" s="57"/>
      <c r="AQ654" s="60"/>
      <c r="AR654" s="61"/>
      <c r="AS654" s="55"/>
    </row>
    <row r="655" spans="1:45" ht="21.25" customHeight="1" x14ac:dyDescent="0.15">
      <c r="A655" s="62">
        <f t="shared" si="10"/>
        <v>654</v>
      </c>
      <c r="B655" s="10" t="s">
        <v>783</v>
      </c>
      <c r="C655" s="47" t="s">
        <v>147</v>
      </c>
      <c r="D655" s="48" t="str" cm="1">
        <f t="array" ref="D655">VLOOKUP(B655,'Player Data'!A1:D673,4,FALSE)</f>
        <v>RW</v>
      </c>
      <c r="E655" s="64" cm="1">
        <f t="array" ref="E655">VLOOKUP(B655,RW!A1:F210,3,FALSE)</f>
        <v>200</v>
      </c>
      <c r="F655" s="63" t="str" cm="1">
        <f t="array" ref="F655">VLOOKUP(B655,'Player Data'!A1:B673,2,FALSE)</f>
        <v>SEA</v>
      </c>
      <c r="G655" s="71" cm="1">
        <f t="array" ref="G655">VLOOKUP(B655,'Player Data'!A1:D673,3,FALSE)</f>
        <v>22</v>
      </c>
      <c r="H655" s="51" cm="1">
        <f t="array" ref="H655">IFERROR(VLOOKUP(B655,ADP!A1:F671,6,FALSE)/1000000,VLOOKUP(B655,ADP!A1:F671,6,FALSE))</f>
        <v>1.125</v>
      </c>
      <c r="I655" s="52">
        <f>IF(Settings!$E$15="POINTS",((R655*Q655)*Settings!$B$12)+(S655*Settings!$B$2)+(T655*Settings!$B$3)+(U655*Settings!$B$4)+(V655*Settings!$B$5)+(X655*Settings!$B$9)+(AA655*Settings!$B$6)+(W655*Settings!$B$8)+(AB655*Settings!$B$7)+(AC655*Settings!$B$14)+(AD655*Settings!$B$15)+(AE655*Settings!$B$16)+(AF655*Settings!$B$17)+(AG655*Settings!$B$18)+(Y655*Settings!$B$10)+(Z655*Settings!$B$11),VLOOKUP(B655,'Standard Deviations'!A$1:C$672,3,FALSE))</f>
        <v>87.253923362824779</v>
      </c>
      <c r="J655" s="53" cm="1">
        <f t="array" ref="J655">IF(D655="G",I655/AJ655,I655/Q655)</f>
        <v>1.3502618904801109</v>
      </c>
      <c r="K655" s="52" cm="1">
        <f t="array" ref="K655">IF(Settings!$E$18="C/LW/RW",VLOOKUP(B655,RW!A1:F210,6,FALSE),VLOOKUP(B655,F!A1:F407,6,FALSE))</f>
        <v>-307.68954133073271</v>
      </c>
      <c r="L655" s="54" cm="1">
        <f t="array" ref="L655">IFERROR(K655/H655,"N/A")</f>
        <v>-273.50181451620688</v>
      </c>
      <c r="M655" s="85" t="s">
        <v>832</v>
      </c>
      <c r="N655" s="85" t="str" cm="1">
        <f t="array" ref="N655">IFERROR(M655-A655,"N/A")</f>
        <v>N/A</v>
      </c>
      <c r="O655" s="55"/>
      <c r="P655" s="56" t="str" cm="1">
        <f t="array" ref="P655">_xlfn.XLOOKUP($B655,ADP!A2:A671,ADP!G2:G671)</f>
        <v xml:space="preserve"> </v>
      </c>
      <c r="Q655" s="57" cm="1">
        <f t="array" ref="Q655">IF(Settings!$E$12="YES",VLOOKUP(B655,'Player Data'!A1:E673,5,FALSE),84)</f>
        <v>64.62</v>
      </c>
      <c r="R655" s="84" cm="1">
        <f t="array" ref="R655">VLOOKUP(B655,'Player Data'!$A1:$AE673,6,FALSE)</f>
        <v>10.4046188517283</v>
      </c>
      <c r="S655" s="57" cm="1">
        <f t="array" ref="S655">VLOOKUP(B655,'Player Data'!$A1:$AE673,7,FALSE)*$Q655*IFERROR((VLOOKUP(P655,Settings!$E$28:$F$33,2,FALSE)+1),1)</f>
        <v>3.5775637119651069</v>
      </c>
      <c r="T655" s="57" cm="1">
        <f t="array" ref="T655">VLOOKUP(B655,'Player Data'!$A1:$AE673,8,FALSE)*$Q655*IFERROR((VLOOKUP(P655,Settings!$E$28:$F$33,2,FALSE)+1),1)</f>
        <v>9.3043468396321849</v>
      </c>
      <c r="U655" s="57" cm="1">
        <f t="array" ref="U655">SUM(S655:T655)</f>
        <v>12.881910551597292</v>
      </c>
      <c r="V655" s="57" cm="1">
        <f t="array" ref="V655">VLOOKUP(B655,'Player Data'!$A1:$AE673,10,FALSE)*$Q655*IFERROR(((VLOOKUP(P655,Settings!$E$28:$F$33,2,FALSE)/2)+1),1)</f>
        <v>67.239480559684964</v>
      </c>
      <c r="W655" s="57" cm="1">
        <f t="array" ref="W655">VLOOKUP(B655,'Player Data'!$A1:$AE673,11,FALSE)*$Q655*IFERROR((VLOOKUP(P655,Settings!$E$28:$F$33,2,FALSE)+1),1)</f>
        <v>2.869533656403107E-2</v>
      </c>
      <c r="X655" s="57" cm="1">
        <f t="array" ref="X655">VLOOKUP(B655,'Player Data'!$A1:$AE673,12,FALSE)*$Q655*IFERROR((VLOOKUP(P655,Settings!$E$28:$F$33,2,FALSE)+1),1)</f>
        <v>6.2734419020561413E-2</v>
      </c>
      <c r="Y655" s="57" cm="1">
        <f t="array" ref="Y655">VLOOKUP(B655,'Player Data'!$A1:$AE673,13,FALSE)*$Q655</f>
        <v>0.19820912096774773</v>
      </c>
      <c r="Z655" s="57" cm="1">
        <f t="array" ref="Z655">VLOOKUP(B655,'Player Data'!$A1:$AE673,14,FALSE)*$Q655</f>
        <v>0.3270153995097555</v>
      </c>
      <c r="AA655" s="57" cm="1">
        <f t="array" ref="AA655">VLOOKUP(B655,'Player Data'!$A1:$AE673,15,FALSE)*$Q655</f>
        <v>29.197403219320233</v>
      </c>
      <c r="AB655" s="57" cm="1">
        <f t="array" ref="AB655">VLOOKUP(B655,'Player Data'!$A1:$AE673,16,FALSE)*$Q655</f>
        <v>74.33179148265792</v>
      </c>
      <c r="AC655" s="57" cm="1">
        <f t="array" ref="AC655">VLOOKUP(B655,'Player Data'!$A1:$AE673,17,FALSE)*$Q655*IFERROR((VLOOKUP(P655,Settings!$E$28:$F$33,2,FALSE)+1),1)</f>
        <v>-5.6155504732681347</v>
      </c>
      <c r="AD655" s="57" cm="1">
        <f t="array" ref="AD655">VLOOKUP(B655,'Player Data'!$A1:$AE673,18,FALSE)*$Q655</f>
        <v>13.773429391242024</v>
      </c>
      <c r="AE655" s="57" cm="1">
        <f t="array" ref="AE655">VLOOKUP(B655,'Player Data'!$A1:$AE673,19,FALSE)*$Q655*IFERROR((VLOOKUP(P655,Settings!$E$28:$F$33,2,FALSE)+1),1)</f>
        <v>0.49289950115905212</v>
      </c>
      <c r="AF655" s="57" cm="1">
        <f t="array" ref="AF655">VLOOKUP(B655,'Player Data'!$A1:$AE673,20,FALSE)*$Q655</f>
        <v>0.28746416207583442</v>
      </c>
      <c r="AG655" s="57" cm="1">
        <f t="array" ref="AG655">VLOOKUP(B655,'Player Data'!$A1:$AE673,21,FALSE)*$Q655</f>
        <v>4.8943745598140369</v>
      </c>
      <c r="AH655" s="59" cm="1">
        <f t="array" ref="AH655">VLOOKUP(B655,'Player Data'!$A1:$AE673,22,FALSE)</f>
        <v>5.5475320152571797E-2</v>
      </c>
      <c r="AI655" s="55"/>
      <c r="AJ655" s="57"/>
      <c r="AK655" s="57"/>
      <c r="AL655" s="57"/>
      <c r="AM655" s="57"/>
      <c r="AN655" s="57"/>
      <c r="AO655" s="57"/>
      <c r="AP655" s="57"/>
      <c r="AQ655" s="60"/>
      <c r="AR655" s="61"/>
      <c r="AS655" s="55"/>
    </row>
    <row r="656" spans="1:45" ht="21.25" customHeight="1" x14ac:dyDescent="0.15">
      <c r="A656" s="62">
        <f t="shared" si="10"/>
        <v>655</v>
      </c>
      <c r="B656" s="10" t="s">
        <v>784</v>
      </c>
      <c r="C656" s="47" t="s">
        <v>147</v>
      </c>
      <c r="D656" s="48" t="str" cm="1">
        <f t="array" ref="D656">VLOOKUP(B656,'Player Data'!A1:D673,4,FALSE)</f>
        <v>LW</v>
      </c>
      <c r="E656" s="75" cm="1">
        <f t="array" ref="E656">VLOOKUP(B656,LW!A1:C210,3,FALSE)</f>
        <v>200</v>
      </c>
      <c r="F656" s="65" t="str" cm="1">
        <f t="array" ref="F656">VLOOKUP(B656,'Player Data'!A1:B673,2,FALSE)</f>
        <v>NSH</v>
      </c>
      <c r="G656" s="71" cm="1">
        <f t="array" ref="G656">VLOOKUP(B656,'Player Data'!A1:D673,3,FALSE)</f>
        <v>22</v>
      </c>
      <c r="H656" s="51" cm="1">
        <f t="array" ref="H656">IFERROR(VLOOKUP(B656,ADP!A1:F671,6,FALSE)/1000000,VLOOKUP(B656,ADP!A1:F671,6,FALSE))</f>
        <v>0.88666699999999998</v>
      </c>
      <c r="I656" s="52">
        <f>IF(Settings!$E$15="POINTS",((R656*Q656)*Settings!$B$12)+(S656*Settings!$B$2)+(T656*Settings!$B$3)+(U656*Settings!$B$4)+(V656*Settings!$B$5)+(X656*Settings!$B$9)+(AA656*Settings!$B$6)+(W656*Settings!$B$8)+(AB656*Settings!$B$7)+(AC656*Settings!$B$14)+(AD656*Settings!$B$15)+(AE656*Settings!$B$16)+(AF656*Settings!$B$17)+(AG656*Settings!$B$18)+(Y656*Settings!$B$10)+(Z656*Settings!$B$11),VLOOKUP(B656,'Standard Deviations'!A$1:C$672,3,FALSE))</f>
        <v>91.389814791024293</v>
      </c>
      <c r="J656" s="53" cm="1">
        <f t="array" ref="J656">IF(D656="G",I656/AJ656,I656/Q656)</f>
        <v>1.3239144544549368</v>
      </c>
      <c r="K656" s="52" cm="1">
        <f t="array" ref="K656">IF(Settings!$E$18="C/LW/RW",VLOOKUP(B656,LW!A1:F210,6,FALSE),VLOOKUP(B656,F!A1:F407,6,FALSE))</f>
        <v>-307.92317852269582</v>
      </c>
      <c r="L656" s="54" cm="1">
        <f t="array" ref="L656">IFERROR(K656/H656,"N/A")</f>
        <v>-347.28164973174353</v>
      </c>
      <c r="M656" s="85" t="s">
        <v>832</v>
      </c>
      <c r="N656" s="85" t="str" cm="1">
        <f t="array" ref="N656">IFERROR(M656-A656,"N/A")</f>
        <v>N/A</v>
      </c>
      <c r="O656" s="81"/>
      <c r="P656" s="56" t="str" cm="1">
        <f t="array" ref="P656">_xlfn.XLOOKUP($B656,ADP!A2:A671,ADP!G2:G671)</f>
        <v xml:space="preserve"> </v>
      </c>
      <c r="Q656" s="57" cm="1">
        <f t="array" ref="Q656">IF(Settings!$E$12="YES",VLOOKUP(B656,'Player Data'!A1:E673,5,FALSE),84)</f>
        <v>69.03</v>
      </c>
      <c r="R656" s="55" cm="1">
        <f t="array" ref="R656">VLOOKUP(B656,'Player Data'!$A1:$AE673,6,FALSE)</f>
        <v>10.022376504289401</v>
      </c>
      <c r="S656" s="57" cm="1">
        <f t="array" ref="S656">VLOOKUP(B656,'Player Data'!$A1:$AE673,7,FALSE)*$Q656*IFERROR((VLOOKUP(P656,Settings!$E$28:$F$33,2,FALSE)+1),1)</f>
        <v>8.055233348807306</v>
      </c>
      <c r="T656" s="57" cm="1">
        <f t="array" ref="T656">VLOOKUP(B656,'Player Data'!$A1:$AE673,8,FALSE)*$Q656*IFERROR((VLOOKUP(P656,Settings!$E$28:$F$33,2,FALSE)+1),1)</f>
        <v>5.6146130204744784</v>
      </c>
      <c r="U656" s="57" cm="1">
        <f t="array" ref="U656">SUM(S656:T656)</f>
        <v>13.669846369281785</v>
      </c>
      <c r="V656" s="57" cm="1">
        <f t="array" ref="V656">VLOOKUP(B656,'Player Data'!$A1:$AE673,10,FALSE)*$Q656*IFERROR(((VLOOKUP(P656,Settings!$E$28:$F$33,2,FALSE)/2)+1),1)</f>
        <v>58.724792401500729</v>
      </c>
      <c r="W656" s="57" cm="1">
        <f t="array" ref="W656">VLOOKUP(B656,'Player Data'!$A1:$AE673,11,FALSE)*$Q656*IFERROR((VLOOKUP(P656,Settings!$E$28:$F$33,2,FALSE)+1),1)</f>
        <v>8.2216945459082005E-3</v>
      </c>
      <c r="X656" s="57" cm="1">
        <f t="array" ref="X656">VLOOKUP(B656,'Player Data'!$A1:$AE673,12,FALSE)*$Q656*IFERROR((VLOOKUP(P656,Settings!$E$28:$F$33,2,FALSE)+1),1)</f>
        <v>1.8193507335629421E-2</v>
      </c>
      <c r="Y656" s="57" cm="1">
        <f t="array" ref="Y656">VLOOKUP(B656,'Player Data'!$A1:$AE673,13,FALSE)*$Q656</f>
        <v>0.22138947857653868</v>
      </c>
      <c r="Z656" s="57" cm="1">
        <f t="array" ref="Z656">VLOOKUP(B656,'Player Data'!$A1:$AE673,14,FALSE)*$Q656</f>
        <v>0.37179639344120191</v>
      </c>
      <c r="AA656" s="57" cm="1">
        <f t="array" ref="AA656">VLOOKUP(B656,'Player Data'!$A1:$AE673,15,FALSE)*$Q656</f>
        <v>41.25577916330348</v>
      </c>
      <c r="AB656" s="57" cm="1">
        <f t="array" ref="AB656">VLOOKUP(B656,'Player Data'!$A1:$AE673,16,FALSE)*$Q656</f>
        <v>148.343186318861</v>
      </c>
      <c r="AC656" s="57" cm="1">
        <f t="array" ref="AC656">VLOOKUP(B656,'Player Data'!$A1:$AE673,17,FALSE)*$Q656*IFERROR((VLOOKUP(P656,Settings!$E$28:$F$33,2,FALSE)+1),1)</f>
        <v>-3.9311911293378108</v>
      </c>
      <c r="AD656" s="57" cm="1">
        <f t="array" ref="AD656">VLOOKUP(B656,'Player Data'!$A1:$AE673,18,FALSE)*$Q656</f>
        <v>19.884640544935682</v>
      </c>
      <c r="AE656" s="57" cm="1">
        <f t="array" ref="AE656">VLOOKUP(B656,'Player Data'!$A1:$AE673,19,FALSE)*$Q656*IFERROR((VLOOKUP(P656,Settings!$E$28:$F$33,2,FALSE)+1),1)</f>
        <v>1.1158513331027371</v>
      </c>
      <c r="AF656" s="57" cm="1">
        <f t="array" ref="AF656">VLOOKUP(B656,'Player Data'!$A1:$AE673,20,FALSE)*$Q656</f>
        <v>1.5267453383892677</v>
      </c>
      <c r="AG656" s="57" cm="1">
        <f t="array" ref="AG656">VLOOKUP(B656,'Player Data'!$A1:$AE673,21,FALSE)*$Q656</f>
        <v>10.687217368724866</v>
      </c>
      <c r="AH656" s="59" cm="1">
        <f t="array" ref="AH656">VLOOKUP(B656,'Player Data'!$A1:$AE673,22,FALSE)</f>
        <v>0.125</v>
      </c>
      <c r="AI656" s="55"/>
      <c r="AJ656" s="57"/>
      <c r="AK656" s="57"/>
      <c r="AL656" s="57"/>
      <c r="AM656" s="57"/>
      <c r="AN656" s="57"/>
      <c r="AO656" s="57"/>
      <c r="AP656" s="57"/>
      <c r="AQ656" s="60"/>
      <c r="AR656" s="61"/>
      <c r="AS656" s="55"/>
    </row>
    <row r="657" spans="1:45" ht="21.25" customHeight="1" x14ac:dyDescent="0.15">
      <c r="A657" s="62">
        <f t="shared" si="10"/>
        <v>656</v>
      </c>
      <c r="B657" s="10" t="s">
        <v>785</v>
      </c>
      <c r="C657" s="47" t="s">
        <v>147</v>
      </c>
      <c r="D657" s="48" t="str" cm="1">
        <f t="array" ref="D657">VLOOKUP(B657,'Player Data'!A1:D673,4,FALSE)</f>
        <v>LW,RW</v>
      </c>
      <c r="E657" s="74" cm="1">
        <f t="array" ref="E657">VLOOKUP(B657,RW!A1:F210,3,FALSE)</f>
        <v>201</v>
      </c>
      <c r="F657" s="56" t="str" cm="1">
        <f t="array" ref="F657">VLOOKUP(B657,'Player Data'!A1:B673,2,FALSE)</f>
        <v>UTA</v>
      </c>
      <c r="G657" s="66" cm="1">
        <f t="array" ref="G657">VLOOKUP(B657,'Player Data'!A1:D673,3,FALSE)</f>
        <v>34</v>
      </c>
      <c r="H657" s="51" cm="1">
        <f t="array" ref="H657">IFERROR(VLOOKUP(B657,ADP!A1:F671,6,FALSE)/1000000,VLOOKUP(B657,ADP!A1:F671,6,FALSE))</f>
        <v>2.5</v>
      </c>
      <c r="I657" s="52">
        <f>IF(Settings!$E$15="POINTS",((R657*Q657)*Settings!$B$12)+(S657*Settings!$B$2)+(T657*Settings!$B$3)+(U657*Settings!$B$4)+(V657*Settings!$B$5)+(X657*Settings!$B$9)+(AA657*Settings!$B$6)+(W657*Settings!$B$8)+(AB657*Settings!$B$7)+(AC657*Settings!$B$14)+(AD657*Settings!$B$15)+(AE657*Settings!$B$16)+(AF657*Settings!$B$17)+(AG657*Settings!$B$18)+(Y657*Settings!$B$10)+(Z657*Settings!$B$11),VLOOKUP(B657,'Standard Deviations'!A$1:C$672,3,FALSE))</f>
        <v>85.185829378744657</v>
      </c>
      <c r="J657" s="53" cm="1">
        <f t="array" ref="J657">IF(D657="G",I657/AJ657,I657/Q657)</f>
        <v>1.1005565631438863</v>
      </c>
      <c r="K657" s="52" cm="1">
        <f t="array" ref="K657">IF(Settings!$E$18="C/LW/RW",VLOOKUP(B657,RW!A1:F210,6,FALSE),VLOOKUP(B657,F!A1:F407,6,FALSE))</f>
        <v>-309.75763531481283</v>
      </c>
      <c r="L657" s="54" cm="1">
        <f t="array" ref="L657">IFERROR(K657/H657,"N/A")</f>
        <v>-123.90305412592514</v>
      </c>
      <c r="M657" s="85" t="s">
        <v>832</v>
      </c>
      <c r="N657" s="85" t="str" cm="1">
        <f t="array" ref="N657">IFERROR(M657-A657,"N/A")</f>
        <v>N/A</v>
      </c>
      <c r="O657" s="83"/>
      <c r="P657" s="56" t="str" cm="1">
        <f t="array" ref="P657">_xlfn.XLOOKUP($B657,ADP!A2:A671,ADP!G2:G671)</f>
        <v xml:space="preserve"> </v>
      </c>
      <c r="Q657" s="57" cm="1">
        <f t="array" ref="Q657">IF(Settings!$E$12="YES",VLOOKUP(B657,'Player Data'!A1:E673,5,FALSE),84)</f>
        <v>77.402500000000003</v>
      </c>
      <c r="R657" s="55" cm="1">
        <f t="array" ref="R657">VLOOKUP(B657,'Player Data'!$A1:$AE673,6,FALSE)</f>
        <v>9.4401182658509395</v>
      </c>
      <c r="S657" s="57" cm="1">
        <f t="array" ref="S657">VLOOKUP(B657,'Player Data'!$A1:$AE673,7,FALSE)*$Q657*IFERROR((VLOOKUP(P657,Settings!$E$28:$F$33,2,FALSE)+1),1)</f>
        <v>3.682609302548169</v>
      </c>
      <c r="T657" s="57" cm="1">
        <f t="array" ref="T657">VLOOKUP(B657,'Player Data'!$A1:$AE673,8,FALSE)*$Q657*IFERROR((VLOOKUP(P657,Settings!$E$28:$F$33,2,FALSE)+1),1)</f>
        <v>6.173855994936341</v>
      </c>
      <c r="U657" s="57" cm="1">
        <f t="array" ref="U657">SUM(S657:T657)</f>
        <v>9.8564652974845099</v>
      </c>
      <c r="V657" s="57" cm="1">
        <f t="array" ref="V657">VLOOKUP(B657,'Player Data'!$A1:$AE673,10,FALSE)*$Q657*IFERROR(((VLOOKUP(P657,Settings!$E$28:$F$33,2,FALSE)/2)+1),1)</f>
        <v>60.341969173645076</v>
      </c>
      <c r="W657" s="57" cm="1">
        <f t="array" ref="W657">VLOOKUP(B657,'Player Data'!$A1:$AE673,11,FALSE)*$Q657*IFERROR((VLOOKUP(P657,Settings!$E$28:$F$33,2,FALSE)+1),1)</f>
        <v>8.2152950188038414E-3</v>
      </c>
      <c r="X657" s="57" cm="1">
        <f t="array" ref="X657">VLOOKUP(B657,'Player Data'!$A1:$AE673,12,FALSE)*$Q657*IFERROR((VLOOKUP(P657,Settings!$E$28:$F$33,2,FALSE)+1),1)</f>
        <v>1.9056248874124302E-2</v>
      </c>
      <c r="Y657" s="57" cm="1">
        <f t="array" ref="Y657">VLOOKUP(B657,'Player Data'!$A1:$AE673,13,FALSE)*$Q657</f>
        <v>1.6423936875307039E-2</v>
      </c>
      <c r="Z657" s="57" cm="1">
        <f t="array" ref="Z657">VLOOKUP(B657,'Player Data'!$A1:$AE673,14,FALSE)*$Q657</f>
        <v>5.7627516915880986E-2</v>
      </c>
      <c r="AA657" s="57" cm="1">
        <f t="array" ref="AA657">VLOOKUP(B657,'Player Data'!$A1:$AE673,15,FALSE)*$Q657</f>
        <v>50.737530267357158</v>
      </c>
      <c r="AB657" s="57" cm="1">
        <f t="array" ref="AB657">VLOOKUP(B657,'Player Data'!$A1:$AE673,16,FALSE)*$Q657</f>
        <v>166.63408693403218</v>
      </c>
      <c r="AC657" s="57" cm="1">
        <f t="array" ref="AC657">VLOOKUP(B657,'Player Data'!$A1:$AE673,17,FALSE)*$Q657*IFERROR((VLOOKUP(P657,Settings!$E$28:$F$33,2,FALSE)+1),1)</f>
        <v>-1.2527161928859023</v>
      </c>
      <c r="AD657" s="57" cm="1">
        <f t="array" ref="AD657">VLOOKUP(B657,'Player Data'!$A1:$AE673,18,FALSE)*$Q657</f>
        <v>28.297714134299593</v>
      </c>
      <c r="AE657" s="57" cm="1">
        <f t="array" ref="AE657">VLOOKUP(B657,'Player Data'!$A1:$AE673,19,FALSE)*$Q657*IFERROR((VLOOKUP(P657,Settings!$E$28:$F$33,2,FALSE)+1),1)</f>
        <v>0.59527393238442838</v>
      </c>
      <c r="AF657" s="57" cm="1">
        <f t="array" ref="AF657">VLOOKUP(B657,'Player Data'!$A1:$AE673,20,FALSE)*$Q657</f>
        <v>4.7596733181819326</v>
      </c>
      <c r="AG657" s="57" cm="1">
        <f t="array" ref="AG657">VLOOKUP(B657,'Player Data'!$A1:$AE673,21,FALSE)*$Q657</f>
        <v>15.942988302216806</v>
      </c>
      <c r="AH657" s="59" cm="1">
        <f t="array" ref="AH657">VLOOKUP(B657,'Player Data'!$A1:$AE673,22,FALSE)</f>
        <v>0.22990634757282299</v>
      </c>
      <c r="AI657" s="55"/>
      <c r="AJ657" s="57"/>
      <c r="AK657" s="57"/>
      <c r="AL657" s="57"/>
      <c r="AM657" s="57"/>
      <c r="AN657" s="57"/>
      <c r="AO657" s="57"/>
      <c r="AP657" s="57"/>
      <c r="AQ657" s="60"/>
      <c r="AR657" s="61"/>
      <c r="AS657" s="55"/>
    </row>
    <row r="658" spans="1:45" ht="21.25" customHeight="1" x14ac:dyDescent="0.15">
      <c r="A658" s="62">
        <f t="shared" si="10"/>
        <v>657</v>
      </c>
      <c r="B658" s="10" t="s">
        <v>786</v>
      </c>
      <c r="C658" s="47" t="s">
        <v>147</v>
      </c>
      <c r="D658" s="48" t="str" cm="1">
        <f t="array" ref="D658">VLOOKUP(B658,'Player Data'!A1:D673,4,FALSE)</f>
        <v>LW</v>
      </c>
      <c r="E658" s="75" cm="1">
        <f t="array" ref="E658">VLOOKUP(B658,LW!A1:C210,3,FALSE)</f>
        <v>202</v>
      </c>
      <c r="F658" s="65" t="str" cm="1">
        <f t="array" ref="F658">VLOOKUP(B658,'Player Data'!A1:B673,2,FALSE)</f>
        <v>T.B</v>
      </c>
      <c r="G658" s="11" cm="1">
        <f t="array" ref="G658">VLOOKUP(B658,'Player Data'!A1:D673,3,FALSE)</f>
        <v>29</v>
      </c>
      <c r="H658" s="51" cm="1">
        <f t="array" ref="H658">IFERROR(VLOOKUP(B658,ADP!A1:F671,6,FALSE)/1000000,VLOOKUP(B658,ADP!A1:F671,6,FALSE))</f>
        <v>2.5</v>
      </c>
      <c r="I658" s="52">
        <f>IF(Settings!$E$15="POINTS",((R658*Q658)*Settings!$B$12)+(S658*Settings!$B$2)+(T658*Settings!$B$3)+(U658*Settings!$B$4)+(V658*Settings!$B$5)+(X658*Settings!$B$9)+(AA658*Settings!$B$6)+(W658*Settings!$B$8)+(AB658*Settings!$B$7)+(AC658*Settings!$B$14)+(AD658*Settings!$B$15)+(AE658*Settings!$B$16)+(AF658*Settings!$B$17)+(AG658*Settings!$B$18)+(Y658*Settings!$B$10)+(Z658*Settings!$B$11),VLOOKUP(B658,'Standard Deviations'!A$1:C$672,3,FALSE))</f>
        <v>89.154129654598535</v>
      </c>
      <c r="J658" s="53" cm="1">
        <f t="array" ref="J658">IF(D658="G",I658/AJ658,I658/Q658)</f>
        <v>1.4573621520980553</v>
      </c>
      <c r="K658" s="52" cm="1">
        <f t="array" ref="K658">IF(Settings!$E$18="C/LW/RW",VLOOKUP(B658,LW!A1:F210,6,FALSE),VLOOKUP(B658,F!A1:F407,6,FALSE))</f>
        <v>-310.15886365912155</v>
      </c>
      <c r="L658" s="54" cm="1">
        <f t="array" ref="L658">IFERROR(K658/H658,"N/A")</f>
        <v>-124.06354546364862</v>
      </c>
      <c r="M658" s="85" t="s">
        <v>832</v>
      </c>
      <c r="N658" s="85" t="str" cm="1">
        <f t="array" ref="N658">IFERROR(M658-A658,"N/A")</f>
        <v>N/A</v>
      </c>
      <c r="O658" s="55"/>
      <c r="P658" s="56" t="str" cm="1">
        <f t="array" ref="P658">_xlfn.XLOOKUP($B658,ADP!A2:A671,ADP!G2:G671)</f>
        <v xml:space="preserve"> </v>
      </c>
      <c r="Q658" s="57" cm="1">
        <f t="array" ref="Q658">IF(Settings!$E$12="YES",VLOOKUP(B658,'Player Data'!A1:E673,5,FALSE),84)</f>
        <v>61.174999999999997</v>
      </c>
      <c r="R658" s="84" cm="1">
        <f t="array" ref="R658">VLOOKUP(B658,'Player Data'!$A1:$AE673,6,FALSE)</f>
        <v>10.9279302904252</v>
      </c>
      <c r="S658" s="57" cm="1">
        <f t="array" ref="S658">VLOOKUP(B658,'Player Data'!$A1:$AE673,7,FALSE)*$Q658*IFERROR((VLOOKUP(P658,Settings!$E$28:$F$33,2,FALSE)+1),1)</f>
        <v>4.8041956204055332</v>
      </c>
      <c r="T658" s="57" cm="1">
        <f t="array" ref="T658">VLOOKUP(B658,'Player Data'!$A1:$AE673,8,FALSE)*$Q658*IFERROR((VLOOKUP(P658,Settings!$E$28:$F$33,2,FALSE)+1),1)</f>
        <v>8.4337823847185849</v>
      </c>
      <c r="U658" s="57" cm="1">
        <f t="array" ref="U658">SUM(S658:T658)</f>
        <v>13.237978005124118</v>
      </c>
      <c r="V658" s="57" cm="1">
        <f t="array" ref="V658">VLOOKUP(B658,'Player Data'!$A1:$AE673,10,FALSE)*$Q658*IFERROR(((VLOOKUP(P658,Settings!$E$28:$F$33,2,FALSE)/2)+1),1)</f>
        <v>71.772939518033098</v>
      </c>
      <c r="W658" s="57" cm="1">
        <f t="array" ref="W658">VLOOKUP(B658,'Player Data'!$A1:$AE673,11,FALSE)*$Q658*IFERROR((VLOOKUP(P658,Settings!$E$28:$F$33,2,FALSE)+1),1)</f>
        <v>9.0725575618837997E-2</v>
      </c>
      <c r="X658" s="57" cm="1">
        <f t="array" ref="X658">VLOOKUP(B658,'Player Data'!$A1:$AE673,12,FALSE)*$Q658*IFERROR((VLOOKUP(P658,Settings!$E$28:$F$33,2,FALSE)+1),1)</f>
        <v>0.20061502666474351</v>
      </c>
      <c r="Y658" s="57" cm="1">
        <f t="array" ref="Y658">VLOOKUP(B658,'Player Data'!$A1:$AE673,13,FALSE)*$Q658</f>
        <v>8.7984599686074336E-3</v>
      </c>
      <c r="Z658" s="57" cm="1">
        <f t="array" ref="Z658">VLOOKUP(B658,'Player Data'!$A1:$AE673,14,FALSE)*$Q658</f>
        <v>1.4424323294285803E-2</v>
      </c>
      <c r="AA658" s="57" cm="1">
        <f t="array" ref="AA658">VLOOKUP(B658,'Player Data'!$A1:$AE673,15,FALSE)*$Q658</f>
        <v>26.677373060501171</v>
      </c>
      <c r="AB658" s="57" cm="1">
        <f t="array" ref="AB658">VLOOKUP(B658,'Player Data'!$A1:$AE673,16,FALSE)*$Q658</f>
        <v>135.90956164231025</v>
      </c>
      <c r="AC658" s="57" cm="1">
        <f t="array" ref="AC658">VLOOKUP(B658,'Player Data'!$A1:$AE673,17,FALSE)*$Q658*IFERROR((VLOOKUP(P658,Settings!$E$28:$F$33,2,FALSE)+1),1)</f>
        <v>4.596652821783235</v>
      </c>
      <c r="AD658" s="57" cm="1">
        <f t="array" ref="AD658">VLOOKUP(B658,'Player Data'!$A1:$AE673,18,FALSE)*$Q658</f>
        <v>48.395725108371472</v>
      </c>
      <c r="AE658" s="57" cm="1">
        <f t="array" ref="AE658">VLOOKUP(B658,'Player Data'!$A1:$AE673,19,FALSE)*$Q658*IFERROR((VLOOKUP(P658,Settings!$E$28:$F$33,2,FALSE)+1),1)</f>
        <v>0.85279006673127344</v>
      </c>
      <c r="AF658" s="57" cm="1">
        <f t="array" ref="AF658">VLOOKUP(B658,'Player Data'!$A1:$AE673,20,FALSE)*$Q658</f>
        <v>1.5638753289289846</v>
      </c>
      <c r="AG658" s="57" cm="1">
        <f t="array" ref="AG658">VLOOKUP(B658,'Player Data'!$A1:$AE673,21,FALSE)*$Q658</f>
        <v>4.8231944922036964</v>
      </c>
      <c r="AH658" s="59" cm="1">
        <f t="array" ref="AH658">VLOOKUP(B658,'Player Data'!$A1:$AE673,22,FALSE)</f>
        <v>0.24485020090975701</v>
      </c>
      <c r="AI658" s="55"/>
      <c r="AJ658" s="57"/>
      <c r="AK658" s="57"/>
      <c r="AL658" s="57"/>
      <c r="AM658" s="57"/>
      <c r="AN658" s="57"/>
      <c r="AO658" s="57"/>
      <c r="AP658" s="57"/>
      <c r="AQ658" s="60"/>
      <c r="AR658" s="61"/>
      <c r="AS658" s="55"/>
    </row>
    <row r="659" spans="1:45" ht="21.25" customHeight="1" x14ac:dyDescent="0.15">
      <c r="A659" s="62">
        <f t="shared" si="10"/>
        <v>658</v>
      </c>
      <c r="B659" s="10" t="s">
        <v>787</v>
      </c>
      <c r="C659" s="47" t="s">
        <v>147</v>
      </c>
      <c r="D659" s="48" t="str" cm="1">
        <f t="array" ref="D659">VLOOKUP(B659,'Player Data'!A1:D673,4,FALSE)</f>
        <v>RW</v>
      </c>
      <c r="E659" s="64" cm="1">
        <f t="array" ref="E659">VLOOKUP(B659,RW!A1:F210,3,FALSE)</f>
        <v>202</v>
      </c>
      <c r="F659" s="72" t="str" cm="1">
        <f t="array" ref="F659">VLOOKUP(B659,'Player Data'!A1:B673,2,FALSE)</f>
        <v>FLA</v>
      </c>
      <c r="G659" s="66" cm="1">
        <f t="array" ref="G659">VLOOKUP(B659,'Player Data'!A1:D673,3,FALSE)</f>
        <v>34</v>
      </c>
      <c r="H659" s="67" cm="1">
        <f t="array" ref="H659">IFERROR(VLOOKUP(B659,ADP!A1:F671,6,FALSE)/1000000,VLOOKUP(B659,ADP!A1:F671,6,FALSE))</f>
        <v>2.4</v>
      </c>
      <c r="I659" s="52">
        <f>IF(Settings!$E$15="POINTS",((R659*Q659)*Settings!$B$12)+(S659*Settings!$B$2)+(T659*Settings!$B$3)+(U659*Settings!$B$4)+(V659*Settings!$B$5)+(X659*Settings!$B$9)+(AA659*Settings!$B$6)+(W659*Settings!$B$8)+(AB659*Settings!$B$7)+(AC659*Settings!$B$14)+(AD659*Settings!$B$15)+(AE659*Settings!$B$16)+(AF659*Settings!$B$17)+(AG659*Settings!$B$18)+(Y659*Settings!$B$10)+(Z659*Settings!$B$11),VLOOKUP(B659,'Standard Deviations'!A$1:C$672,3,FALSE))</f>
        <v>83.974675370085421</v>
      </c>
      <c r="J659" s="53" cm="1">
        <f t="array" ref="J659">IF(D659="G",I659/AJ659,I659/Q659)</f>
        <v>1.0612577848420008</v>
      </c>
      <c r="K659" s="52" cm="1">
        <f t="array" ref="K659">IF(Settings!$E$18="C/LW/RW",VLOOKUP(B659,RW!A1:F210,6,FALSE),VLOOKUP(B659,F!A1:F407,6,FALSE))</f>
        <v>-310.96878932347204</v>
      </c>
      <c r="L659" s="54" cm="1">
        <f t="array" ref="L659">IFERROR(K659/H659,"N/A")</f>
        <v>-129.57032888478003</v>
      </c>
      <c r="M659" s="85" t="s">
        <v>832</v>
      </c>
      <c r="N659" s="85" t="str" cm="1">
        <f t="array" ref="N659">IFERROR(M659-A659,"N/A")</f>
        <v>N/A</v>
      </c>
      <c r="O659" s="55"/>
      <c r="P659" s="56" t="str" cm="1">
        <f t="array" ref="P659">_xlfn.XLOOKUP($B659,ADP!A2:A671,ADP!G2:G671)</f>
        <v xml:space="preserve"> </v>
      </c>
      <c r="Q659" s="57" cm="1">
        <f t="array" ref="Q659">IF(Settings!$E$12="YES",VLOOKUP(B659,'Player Data'!A1:E673,5,FALSE),84)</f>
        <v>79.127499999999998</v>
      </c>
      <c r="R659" s="55" cm="1">
        <f t="array" ref="R659">VLOOKUP(B659,'Player Data'!$A1:$AE673,6,FALSE)</f>
        <v>9.7370668607178192</v>
      </c>
      <c r="S659" s="57" cm="1">
        <f t="array" ref="S659">VLOOKUP(B659,'Player Data'!$A1:$AE673,7,FALSE)*$Q659*IFERROR((VLOOKUP(P659,Settings!$E$28:$F$33,2,FALSE)+1),1)</f>
        <v>3.8241196255638386</v>
      </c>
      <c r="T659" s="57" cm="1">
        <f t="array" ref="T659">VLOOKUP(B659,'Player Data'!$A1:$AE673,8,FALSE)*$Q659*IFERROR((VLOOKUP(P659,Settings!$E$28:$F$33,2,FALSE)+1),1)</f>
        <v>5.3919442563122004</v>
      </c>
      <c r="U659" s="57" cm="1">
        <f t="array" ref="U659">SUM(S659:T659)</f>
        <v>9.216063881876039</v>
      </c>
      <c r="V659" s="57" cm="1">
        <f t="array" ref="V659">VLOOKUP(B659,'Player Data'!$A1:$AE673,10,FALSE)*$Q659*IFERROR(((VLOOKUP(P659,Settings!$E$28:$F$33,2,FALSE)/2)+1),1)</f>
        <v>53.389375834091346</v>
      </c>
      <c r="W659" s="57" cm="1">
        <f t="array" ref="W659">VLOOKUP(B659,'Player Data'!$A1:$AE673,11,FALSE)*$Q659*IFERROR((VLOOKUP(P659,Settings!$E$28:$F$33,2,FALSE)+1),1)</f>
        <v>2.2546648075935424E-2</v>
      </c>
      <c r="X659" s="57" cm="1">
        <f t="array" ref="X659">VLOOKUP(B659,'Player Data'!$A1:$AE673,12,FALSE)*$Q659*IFERROR((VLOOKUP(P659,Settings!$E$28:$F$33,2,FALSE)+1),1)</f>
        <v>5.154356601262787E-2</v>
      </c>
      <c r="Y659" s="57" cm="1">
        <f t="array" ref="Y659">VLOOKUP(B659,'Player Data'!$A1:$AE673,13,FALSE)*$Q659</f>
        <v>0.50962622083412112</v>
      </c>
      <c r="Z659" s="57" cm="1">
        <f t="array" ref="Z659">VLOOKUP(B659,'Player Data'!$A1:$AE673,14,FALSE)*$Q659</f>
        <v>0.80257897217181706</v>
      </c>
      <c r="AA659" s="57" cm="1">
        <f t="array" ref="AA659">VLOOKUP(B659,'Player Data'!$A1:$AE673,15,FALSE)*$Q659</f>
        <v>57.555346538454401</v>
      </c>
      <c r="AB659" s="57" cm="1">
        <f t="array" ref="AB659">VLOOKUP(B659,'Player Data'!$A1:$AE673,16,FALSE)*$Q659</f>
        <v>246.24276970247109</v>
      </c>
      <c r="AC659" s="57" cm="1">
        <f t="array" ref="AC659">VLOOKUP(B659,'Player Data'!$A1:$AE673,17,FALSE)*$Q659*IFERROR((VLOOKUP(P659,Settings!$E$28:$F$33,2,FALSE)+1),1)</f>
        <v>2.6494809623844668</v>
      </c>
      <c r="AD659" s="57" cm="1">
        <f t="array" ref="AD659">VLOOKUP(B659,'Player Data'!$A1:$AE673,18,FALSE)*$Q659</f>
        <v>45.84909249774045</v>
      </c>
      <c r="AE659" s="57" cm="1">
        <f t="array" ref="AE659">VLOOKUP(B659,'Player Data'!$A1:$AE673,19,FALSE)*$Q659*IFERROR((VLOOKUP(P659,Settings!$E$28:$F$33,2,FALSE)+1),1)</f>
        <v>0.63669973389760592</v>
      </c>
      <c r="AF659" s="57" cm="1">
        <f t="array" ref="AF659">VLOOKUP(B659,'Player Data'!$A1:$AE673,20,FALSE)*$Q659</f>
        <v>14.057436908134523</v>
      </c>
      <c r="AG659" s="57" cm="1">
        <f t="array" ref="AG659">VLOOKUP(B659,'Player Data'!$A1:$AE673,21,FALSE)*$Q659</f>
        <v>11.865927956131319</v>
      </c>
      <c r="AH659" s="59" cm="1">
        <f t="array" ref="AH659">VLOOKUP(B659,'Player Data'!$A1:$AE673,22,FALSE)</f>
        <v>0.542268990994763</v>
      </c>
      <c r="AI659" s="55"/>
      <c r="AJ659" s="57"/>
      <c r="AK659" s="57"/>
      <c r="AL659" s="57"/>
      <c r="AM659" s="57"/>
      <c r="AN659" s="57"/>
      <c r="AO659" s="57"/>
      <c r="AP659" s="57"/>
      <c r="AQ659" s="60"/>
      <c r="AR659" s="61"/>
      <c r="AS659" s="55"/>
    </row>
    <row r="660" spans="1:45" ht="21.25" customHeight="1" x14ac:dyDescent="0.15">
      <c r="A660" s="62">
        <f t="shared" si="10"/>
        <v>659</v>
      </c>
      <c r="B660" s="10" t="s">
        <v>788</v>
      </c>
      <c r="C660" s="47" t="s">
        <v>147</v>
      </c>
      <c r="D660" s="48" t="str" cm="1">
        <f t="array" ref="D660">VLOOKUP(B660,'Player Data'!A1:D673,4,FALSE)</f>
        <v>C,LW</v>
      </c>
      <c r="E660" s="74" cm="1">
        <f t="array" ref="E660">VLOOKUP(B660,LW!A1:C210,3,FALSE)</f>
        <v>203</v>
      </c>
      <c r="F660" s="69" t="str" cm="1">
        <f t="array" ref="F660">VLOOKUP(B660,'Player Data'!A1:B673,2,FALSE)</f>
        <v>N.J</v>
      </c>
      <c r="G660" s="11" cm="1">
        <f t="array" ref="G660">VLOOKUP(B660,'Player Data'!A1:D673,3,FALSE)</f>
        <v>27</v>
      </c>
      <c r="H660" s="67" cm="1">
        <f t="array" ref="H660">IFERROR(VLOOKUP(B660,ADP!A1:F671,6,FALSE)/1000000,VLOOKUP(B660,ADP!A1:F671,6,FALSE))</f>
        <v>1.5</v>
      </c>
      <c r="I660" s="52">
        <f>IF(Settings!$E$15="POINTS",((R660*Q660)*Settings!$B$12)+(S660*Settings!$B$2)+(T660*Settings!$B$3)+(U660*Settings!$B$4)+(V660*Settings!$B$5)+(X660*Settings!$B$9)+(AA660*Settings!$B$6)+(W660*Settings!$B$8)+(AB660*Settings!$B$7)+(AC660*Settings!$B$14)+(AD660*Settings!$B$15)+(AE660*Settings!$B$16)+(AF660*Settings!$B$17)+(AG660*Settings!$B$18)+(Y660*Settings!$B$10)+(Z660*Settings!$B$11),VLOOKUP(B660,'Standard Deviations'!A$1:C$672,3,FALSE))</f>
        <v>86.708405164340178</v>
      </c>
      <c r="J660" s="53" cm="1">
        <f t="array" ref="J660">IF(D660="G",I660/AJ660,I660/Q660)</f>
        <v>1.1062214801051278</v>
      </c>
      <c r="K660" s="52" cm="1">
        <f t="array" ref="K660">IF(Settings!$E$18="C/LW/RW",VLOOKUP(B660,LW!A1:F210,6,FALSE),VLOOKUP(B660,F!A1:F407,6,FALSE))</f>
        <v>-312.60458814937988</v>
      </c>
      <c r="L660" s="54" cm="1">
        <f t="array" ref="L660">IFERROR(K660/H660,"N/A")</f>
        <v>-208.40305876625325</v>
      </c>
      <c r="M660" s="85" t="s">
        <v>832</v>
      </c>
      <c r="N660" s="85" t="str" cm="1">
        <f t="array" ref="N660">IFERROR(M660-A660,"N/A")</f>
        <v>N/A</v>
      </c>
      <c r="O660" s="55"/>
      <c r="P660" s="56" t="str" cm="1">
        <f t="array" ref="P660">_xlfn.XLOOKUP($B660,ADP!A2:A671,ADP!G2:G671)</f>
        <v xml:space="preserve"> </v>
      </c>
      <c r="Q660" s="57" cm="1">
        <f t="array" ref="Q660">IF(Settings!$E$12="YES",VLOOKUP(B660,'Player Data'!A1:E673,5,FALSE),84)</f>
        <v>78.382499999999993</v>
      </c>
      <c r="R660" s="84" cm="1">
        <f t="array" ref="R660">VLOOKUP(B660,'Player Data'!$A1:$AE673,6,FALSE)</f>
        <v>9.5631127774802902</v>
      </c>
      <c r="S660" s="57" cm="1">
        <f t="array" ref="S660">VLOOKUP(B660,'Player Data'!$A1:$AE673,7,FALSE)*$Q660*IFERROR((VLOOKUP(P660,Settings!$E$28:$F$33,2,FALSE)+1),1)</f>
        <v>5.9960682636472482</v>
      </c>
      <c r="T660" s="57" cm="1">
        <f t="array" ref="T660">VLOOKUP(B660,'Player Data'!$A1:$AE673,8,FALSE)*$Q660*IFERROR((VLOOKUP(P660,Settings!$E$28:$F$33,2,FALSE)+1),1)</f>
        <v>8.2600984248398834</v>
      </c>
      <c r="U660" s="57" cm="1">
        <f t="array" ref="U660">SUM(S660:T660)</f>
        <v>14.256166688487131</v>
      </c>
      <c r="V660" s="57" cm="1">
        <f t="array" ref="V660">VLOOKUP(B660,'Player Data'!$A1:$AE673,10,FALSE)*$Q660*IFERROR(((VLOOKUP(P660,Settings!$E$28:$F$33,2,FALSE)/2)+1),1)</f>
        <v>59.735019900359546</v>
      </c>
      <c r="W660" s="57" cm="1">
        <f t="array" ref="W660">VLOOKUP(B660,'Player Data'!$A1:$AE673,11,FALSE)*$Q660*IFERROR((VLOOKUP(P660,Settings!$E$28:$F$33,2,FALSE)+1),1)</f>
        <v>2.4112547886363675E-2</v>
      </c>
      <c r="X660" s="57" cm="1">
        <f t="array" ref="X660">VLOOKUP(B660,'Player Data'!$A1:$AE673,12,FALSE)*$Q660*IFERROR((VLOOKUP(P660,Settings!$E$28:$F$33,2,FALSE)+1),1)</f>
        <v>8.7231669561051259E-2</v>
      </c>
      <c r="Y660" s="57" cm="1">
        <f t="array" ref="Y660">VLOOKUP(B660,'Player Data'!$A1:$AE673,13,FALSE)*$Q660</f>
        <v>9.8502806919124553E-2</v>
      </c>
      <c r="Z660" s="57" cm="1">
        <f t="array" ref="Z660">VLOOKUP(B660,'Player Data'!$A1:$AE673,14,FALSE)*$Q660</f>
        <v>0.11799732998820255</v>
      </c>
      <c r="AA660" s="57" cm="1">
        <f t="array" ref="AA660">VLOOKUP(B660,'Player Data'!$A1:$AE673,15,FALSE)*$Q660</f>
        <v>27.734332298299517</v>
      </c>
      <c r="AB660" s="57" cm="1">
        <f t="array" ref="AB660">VLOOKUP(B660,'Player Data'!$A1:$AE673,16,FALSE)*$Q660</f>
        <v>133.9627087143856</v>
      </c>
      <c r="AC660" s="57" cm="1">
        <f t="array" ref="AC660">VLOOKUP(B660,'Player Data'!$A1:$AE673,17,FALSE)*$Q660*IFERROR((VLOOKUP(P660,Settings!$E$28:$F$33,2,FALSE)+1),1)</f>
        <v>-0.8332742718453342</v>
      </c>
      <c r="AD660" s="57" cm="1">
        <f t="array" ref="AD660">VLOOKUP(B660,'Player Data'!$A1:$AE673,18,FALSE)*$Q660</f>
        <v>13.853177048806188</v>
      </c>
      <c r="AE660" s="57" cm="1">
        <f t="array" ref="AE660">VLOOKUP(B660,'Player Data'!$A1:$AE673,19,FALSE)*$Q660*IFERROR((VLOOKUP(P660,Settings!$E$28:$F$33,2,FALSE)+1),1)</f>
        <v>0.89620724171948862</v>
      </c>
      <c r="AF660" s="57" cm="1">
        <f t="array" ref="AF660">VLOOKUP(B660,'Player Data'!$A1:$AE673,20,FALSE)*$Q660</f>
        <v>43.017822545521668</v>
      </c>
      <c r="AG660" s="57" cm="1">
        <f t="array" ref="AG660">VLOOKUP(B660,'Player Data'!$A1:$AE673,21,FALSE)*$Q660</f>
        <v>74.746173470780164</v>
      </c>
      <c r="AH660" s="59" cm="1">
        <f t="array" ref="AH660">VLOOKUP(B660,'Player Data'!$A1:$AE673,22,FALSE)</f>
        <v>0.36528840732923801</v>
      </c>
      <c r="AI660" s="55"/>
      <c r="AJ660" s="57"/>
      <c r="AK660" s="57"/>
      <c r="AL660" s="57"/>
      <c r="AM660" s="57"/>
      <c r="AN660" s="57"/>
      <c r="AO660" s="57"/>
      <c r="AP660" s="57"/>
      <c r="AQ660" s="60"/>
      <c r="AR660" s="61"/>
      <c r="AS660" s="55"/>
    </row>
    <row r="661" spans="1:45" ht="21.25" customHeight="1" x14ac:dyDescent="0.15">
      <c r="A661" s="62">
        <f t="shared" si="10"/>
        <v>660</v>
      </c>
      <c r="B661" s="10" t="s">
        <v>789</v>
      </c>
      <c r="C661" s="47" t="s">
        <v>147</v>
      </c>
      <c r="D661" s="48" t="str" cm="1">
        <f t="array" ref="D661">VLOOKUP(B661,'Player Data'!A1:D673,4,FALSE)</f>
        <v>RW</v>
      </c>
      <c r="E661" s="64" cm="1">
        <f t="array" ref="E661">VLOOKUP(B661,RW!A1:F210,3,FALSE)</f>
        <v>203</v>
      </c>
      <c r="F661" s="65" t="str" cm="1">
        <f t="array" ref="F661">VLOOKUP(B661,'Player Data'!A1:B673,2,FALSE)</f>
        <v>NSH</v>
      </c>
      <c r="G661" s="71" cm="1">
        <f t="array" ref="G661">VLOOKUP(B661,'Player Data'!A1:D673,3,FALSE)</f>
        <v>24</v>
      </c>
      <c r="H661" s="67" cm="1">
        <f t="array" ref="H661">IFERROR(VLOOKUP(B661,ADP!A1:F671,6,FALSE)/1000000,VLOOKUP(B661,ADP!A1:F671,6,FALSE))</f>
        <v>0.8125</v>
      </c>
      <c r="I661" s="52">
        <f>IF(Settings!$E$15="POINTS",((R661*Q661)*Settings!$B$12)+(S661*Settings!$B$2)+(T661*Settings!$B$3)+(U661*Settings!$B$4)+(V661*Settings!$B$5)+(X661*Settings!$B$9)+(AA661*Settings!$B$6)+(W661*Settings!$B$8)+(AB661*Settings!$B$7)+(AC661*Settings!$B$14)+(AD661*Settings!$B$15)+(AE661*Settings!$B$16)+(AF661*Settings!$B$17)+(AG661*Settings!$B$18)+(Y661*Settings!$B$10)+(Z661*Settings!$B$11),VLOOKUP(B661,'Standard Deviations'!A$1:C$672,3,FALSE))</f>
        <v>82.338452064934572</v>
      </c>
      <c r="J661" s="53" cm="1">
        <f t="array" ref="J661">IF(D661="G",I661/AJ661,I661/Q661)</f>
        <v>1.3703091668805421</v>
      </c>
      <c r="K661" s="52" cm="1">
        <f t="array" ref="K661">IF(Settings!$E$18="C/LW/RW",VLOOKUP(B661,RW!A1:F210,6,FALSE),VLOOKUP(B661,F!A1:F407,6,FALSE))</f>
        <v>-312.60501262862289</v>
      </c>
      <c r="L661" s="54" cm="1">
        <f t="array" ref="L661">IFERROR(K661/H661,"N/A")</f>
        <v>-384.74463092753587</v>
      </c>
      <c r="M661" s="85" t="s">
        <v>832</v>
      </c>
      <c r="N661" s="85" t="str" cm="1">
        <f t="array" ref="N661">IFERROR(M661-A661,"N/A")</f>
        <v>N/A</v>
      </c>
      <c r="O661" s="55"/>
      <c r="P661" s="56" t="str" cm="1">
        <f t="array" ref="P661">_xlfn.XLOOKUP($B661,ADP!A2:A671,ADP!G2:G671)</f>
        <v xml:space="preserve"> </v>
      </c>
      <c r="Q661" s="57" cm="1">
        <f t="array" ref="Q661">IF(Settings!$E$12="YES",VLOOKUP(B661,'Player Data'!A1:E673,5,FALSE),84)</f>
        <v>60.087499999999999</v>
      </c>
      <c r="R661" s="82" cm="1">
        <f t="array" ref="R661">VLOOKUP(B661,'Player Data'!$A1:$AE673,6,FALSE)</f>
        <v>12.153635035146801</v>
      </c>
      <c r="S661" s="57" cm="1">
        <f t="array" ref="S661">VLOOKUP(B661,'Player Data'!$A1:$AE673,7,FALSE)*$Q661*IFERROR((VLOOKUP(P661,Settings!$E$28:$F$33,2,FALSE)+1),1)</f>
        <v>4.5135287443350265</v>
      </c>
      <c r="T661" s="57" cm="1">
        <f t="array" ref="T661">VLOOKUP(B661,'Player Data'!$A1:$AE673,8,FALSE)*$Q661*IFERROR((VLOOKUP(P661,Settings!$E$28:$F$33,2,FALSE)+1),1)</f>
        <v>8.6938622089138242</v>
      </c>
      <c r="U661" s="57" cm="1">
        <f t="array" ref="U661">SUM(S661:T661)</f>
        <v>13.207390953248851</v>
      </c>
      <c r="V661" s="57" cm="1">
        <f t="array" ref="V661">VLOOKUP(B661,'Player Data'!$A1:$AE673,10,FALSE)*$Q661*IFERROR(((VLOOKUP(P661,Settings!$E$28:$F$33,2,FALSE)/2)+1),1)</f>
        <v>52.196875497144802</v>
      </c>
      <c r="W661" s="57" cm="1">
        <f t="array" ref="W661">VLOOKUP(B661,'Player Data'!$A1:$AE673,11,FALSE)*$Q661*IFERROR((VLOOKUP(P661,Settings!$E$28:$F$33,2,FALSE)+1),1)</f>
        <v>1.1822548265365785E-2</v>
      </c>
      <c r="X661" s="57" cm="1">
        <f t="array" ref="X661">VLOOKUP(B661,'Player Data'!$A1:$AE673,12,FALSE)*$Q661*IFERROR((VLOOKUP(P661,Settings!$E$28:$F$33,2,FALSE)+1),1)</f>
        <v>2.5369308295049835E-2</v>
      </c>
      <c r="Y661" s="57" cm="1">
        <f t="array" ref="Y661">VLOOKUP(B661,'Player Data'!$A1:$AE673,13,FALSE)*$Q661</f>
        <v>0.29396098448148134</v>
      </c>
      <c r="Z661" s="57" cm="1">
        <f t="array" ref="Z661">VLOOKUP(B661,'Player Data'!$A1:$AE673,14,FALSE)*$Q661</f>
        <v>0.47811017020206314</v>
      </c>
      <c r="AA661" s="57" cm="1">
        <f t="array" ref="AA661">VLOOKUP(B661,'Player Data'!$A1:$AE673,15,FALSE)*$Q661</f>
        <v>32.228723956236998</v>
      </c>
      <c r="AB661" s="57" cm="1">
        <f t="array" ref="AB661">VLOOKUP(B661,'Player Data'!$A1:$AE673,16,FALSE)*$Q661</f>
        <v>146.27663369785577</v>
      </c>
      <c r="AC661" s="57" cm="1">
        <f t="array" ref="AC661">VLOOKUP(B661,'Player Data'!$A1:$AE673,17,FALSE)*$Q661*IFERROR((VLOOKUP(P661,Settings!$E$28:$F$33,2,FALSE)+1),1)</f>
        <v>-2.4616707008464807</v>
      </c>
      <c r="AD661" s="57" cm="1">
        <f t="array" ref="AD661">VLOOKUP(B661,'Player Data'!$A1:$AE673,18,FALSE)*$Q661</f>
        <v>34.915578239423368</v>
      </c>
      <c r="AE661" s="57" cm="1">
        <f t="array" ref="AE661">VLOOKUP(B661,'Player Data'!$A1:$AE673,19,FALSE)*$Q661*IFERROR((VLOOKUP(P661,Settings!$E$28:$F$33,2,FALSE)+1),1)</f>
        <v>0.6252366440892112</v>
      </c>
      <c r="AF661" s="57" cm="1">
        <f t="array" ref="AF661">VLOOKUP(B661,'Player Data'!$A1:$AE673,20,FALSE)*$Q661</f>
        <v>3.1340227027348688</v>
      </c>
      <c r="AG661" s="57" cm="1">
        <f t="array" ref="AG661">VLOOKUP(B661,'Player Data'!$A1:$AE673,21,FALSE)*$Q661</f>
        <v>9.0748665346695603</v>
      </c>
      <c r="AH661" s="59" cm="1">
        <f t="array" ref="AH661">VLOOKUP(B661,'Player Data'!$A1:$AE673,22,FALSE)</f>
        <v>0.25670006843318299</v>
      </c>
      <c r="AI661" s="55"/>
      <c r="AJ661" s="57"/>
      <c r="AK661" s="57"/>
      <c r="AL661" s="57"/>
      <c r="AM661" s="57"/>
      <c r="AN661" s="57"/>
      <c r="AO661" s="57"/>
      <c r="AP661" s="57"/>
      <c r="AQ661" s="60"/>
      <c r="AR661" s="61"/>
      <c r="AS661" s="55"/>
    </row>
    <row r="662" spans="1:45" ht="21.25" customHeight="1" x14ac:dyDescent="0.15">
      <c r="A662" s="62">
        <f t="shared" si="10"/>
        <v>661</v>
      </c>
      <c r="B662" s="10" t="s">
        <v>790</v>
      </c>
      <c r="C662" s="47" t="s">
        <v>147</v>
      </c>
      <c r="D662" s="48" t="str" cm="1">
        <f t="array" ref="D662">VLOOKUP(B662,'Player Data'!A1:D673,4,FALSE)</f>
        <v>LW,RW</v>
      </c>
      <c r="E662" s="74" cm="1">
        <f t="array" ref="E662">VLOOKUP(B662,RW!A1:F210,3,FALSE)</f>
        <v>204</v>
      </c>
      <c r="F662" s="56" t="str" cm="1">
        <f t="array" ref="F662">VLOOKUP(B662,'Player Data'!A1:B673,2,FALSE)</f>
        <v>CHI</v>
      </c>
      <c r="G662" s="71" cm="1">
        <f t="array" ref="G662">VLOOKUP(B662,'Player Data'!A1:D673,3,FALSE)</f>
        <v>24</v>
      </c>
      <c r="H662" s="67" cm="1">
        <f t="array" ref="H662">IFERROR(VLOOKUP(B662,ADP!A1:F671,6,FALSE)/1000000,VLOOKUP(B662,ADP!A1:F671,6,FALSE))</f>
        <v>0.9</v>
      </c>
      <c r="I662" s="52">
        <f>IF(Settings!$E$15="POINTS",((R662*Q662)*Settings!$B$12)+(S662*Settings!$B$2)+(T662*Settings!$B$3)+(U662*Settings!$B$4)+(V662*Settings!$B$5)+(X662*Settings!$B$9)+(AA662*Settings!$B$6)+(W662*Settings!$B$8)+(AB662*Settings!$B$7)+(AC662*Settings!$B$14)+(AD662*Settings!$B$15)+(AE662*Settings!$B$16)+(AF662*Settings!$B$17)+(AG662*Settings!$B$18)+(Y662*Settings!$B$10)+(Z662*Settings!$B$11),VLOOKUP(B662,'Standard Deviations'!A$1:C$672,3,FALSE))</f>
        <v>80.670423351284825</v>
      </c>
      <c r="J662" s="53" cm="1">
        <f t="array" ref="J662">IF(D662="G",I662/AJ662,I662/Q662)</f>
        <v>1.2307639537918198</v>
      </c>
      <c r="K662" s="52" cm="1">
        <f t="array" ref="K662">IF(Settings!$E$18="C/LW/RW",VLOOKUP(B662,RW!A1:F210,6,FALSE),VLOOKUP(B662,F!A1:F407,6,FALSE))</f>
        <v>-314.27304134227268</v>
      </c>
      <c r="L662" s="54" cm="1">
        <f t="array" ref="L662">IFERROR(K662/H662,"N/A")</f>
        <v>-349.19226815808076</v>
      </c>
      <c r="M662" s="85" t="s">
        <v>832</v>
      </c>
      <c r="N662" s="85" t="str" cm="1">
        <f t="array" ref="N662">IFERROR(M662-A662,"N/A")</f>
        <v>N/A</v>
      </c>
      <c r="O662" s="81"/>
      <c r="P662" s="56" t="str" cm="1">
        <f t="array" ref="P662">_xlfn.XLOOKUP($B662,ADP!A2:A671,ADP!G2:G671)</f>
        <v xml:space="preserve"> </v>
      </c>
      <c r="Q662" s="57" cm="1">
        <f t="array" ref="Q662">IF(Settings!$E$12="YES",VLOOKUP(B662,'Player Data'!A1:E673,5,FALSE),84)</f>
        <v>65.545000000000002</v>
      </c>
      <c r="R662" s="55" cm="1">
        <f t="array" ref="R662">VLOOKUP(B662,'Player Data'!$A1:$AE673,6,FALSE)</f>
        <v>11.164169680854499</v>
      </c>
      <c r="S662" s="57" cm="1">
        <f t="array" ref="S662">VLOOKUP(B662,'Player Data'!$A1:$AE673,7,FALSE)*$Q662*IFERROR((VLOOKUP(P662,Settings!$E$28:$F$33,2,FALSE)+1),1)</f>
        <v>4.5967955654110755</v>
      </c>
      <c r="T662" s="57" cm="1">
        <f t="array" ref="T662">VLOOKUP(B662,'Player Data'!$A1:$AE673,8,FALSE)*$Q662*IFERROR((VLOOKUP(P662,Settings!$E$28:$F$33,2,FALSE)+1),1)</f>
        <v>6.7988847989773271</v>
      </c>
      <c r="U662" s="57" cm="1">
        <f t="array" ref="U662">SUM(S662:T662)</f>
        <v>11.395680364388403</v>
      </c>
      <c r="V662" s="57" cm="1">
        <f t="array" ref="V662">VLOOKUP(B662,'Player Data'!$A1:$AE673,10,FALSE)*$Q662*IFERROR(((VLOOKUP(P662,Settings!$E$28:$F$33,2,FALSE)/2)+1),1)</f>
        <v>61.447319080618875</v>
      </c>
      <c r="W662" s="57" cm="1">
        <f t="array" ref="W662">VLOOKUP(B662,'Player Data'!$A1:$AE673,11,FALSE)*$Q662*IFERROR((VLOOKUP(P662,Settings!$E$28:$F$33,2,FALSE)+1),1)</f>
        <v>4.7172892429737439E-3</v>
      </c>
      <c r="X662" s="57" cm="1">
        <f t="array" ref="X662">VLOOKUP(B662,'Player Data'!$A1:$AE673,12,FALSE)*$Q662*IFERROR((VLOOKUP(P662,Settings!$E$28:$F$33,2,FALSE)+1),1)</f>
        <v>1.0200855892758477E-2</v>
      </c>
      <c r="Y662" s="57" cm="1">
        <f t="array" ref="Y662">VLOOKUP(B662,'Player Data'!$A1:$AE673,13,FALSE)*$Q662</f>
        <v>0.21542714646605879</v>
      </c>
      <c r="Z662" s="57" cm="1">
        <f t="array" ref="Z662">VLOOKUP(B662,'Player Data'!$A1:$AE673,14,FALSE)*$Q662</f>
        <v>0.39904739967635949</v>
      </c>
      <c r="AA662" s="57" cm="1">
        <f t="array" ref="AA662">VLOOKUP(B662,'Player Data'!$A1:$AE673,15,FALSE)*$Q662</f>
        <v>30.700948924482113</v>
      </c>
      <c r="AB662" s="57" cm="1">
        <f t="array" ref="AB662">VLOOKUP(B662,'Player Data'!$A1:$AE673,16,FALSE)*$Q662</f>
        <v>94.164844607491105</v>
      </c>
      <c r="AC662" s="57" cm="1">
        <f t="array" ref="AC662">VLOOKUP(B662,'Player Data'!$A1:$AE673,17,FALSE)*$Q662*IFERROR((VLOOKUP(P662,Settings!$E$28:$F$33,2,FALSE)+1),1)</f>
        <v>-6.3262715011649009</v>
      </c>
      <c r="AD662" s="57" cm="1">
        <f t="array" ref="AD662">VLOOKUP(B662,'Player Data'!$A1:$AE673,18,FALSE)*$Q662</f>
        <v>18.690926173380952</v>
      </c>
      <c r="AE662" s="57" cm="1">
        <f t="array" ref="AE662">VLOOKUP(B662,'Player Data'!$A1:$AE673,19,FALSE)*$Q662*IFERROR((VLOOKUP(P662,Settings!$E$28:$F$33,2,FALSE)+1),1)</f>
        <v>0.56731834540305204</v>
      </c>
      <c r="AF662" s="57" cm="1">
        <f t="array" ref="AF662">VLOOKUP(B662,'Player Data'!$A1:$AE673,20,FALSE)*$Q662</f>
        <v>0.84801068187394457</v>
      </c>
      <c r="AG662" s="57" cm="1">
        <f t="array" ref="AG662">VLOOKUP(B662,'Player Data'!$A1:$AE673,21,FALSE)*$Q662</f>
        <v>3.7119419510938312</v>
      </c>
      <c r="AH662" s="59" cm="1">
        <f t="array" ref="AH662">VLOOKUP(B662,'Player Data'!$A1:$AE673,22,FALSE)</f>
        <v>0.185969186553157</v>
      </c>
      <c r="AI662" s="55"/>
      <c r="AJ662" s="57"/>
      <c r="AK662" s="57"/>
      <c r="AL662" s="57"/>
      <c r="AM662" s="57"/>
      <c r="AN662" s="57"/>
      <c r="AO662" s="57"/>
      <c r="AP662" s="57"/>
      <c r="AQ662" s="60"/>
      <c r="AR662" s="61"/>
      <c r="AS662" s="55"/>
    </row>
    <row r="663" spans="1:45" ht="21.25" customHeight="1" x14ac:dyDescent="0.15">
      <c r="A663" s="62">
        <f t="shared" si="10"/>
        <v>662</v>
      </c>
      <c r="B663" s="10" t="s">
        <v>791</v>
      </c>
      <c r="C663" s="47" t="s">
        <v>147</v>
      </c>
      <c r="D663" s="48" t="str" cm="1">
        <f t="array" ref="D663">VLOOKUP(B663,'Player Data'!A1:D673,4,FALSE)</f>
        <v>C</v>
      </c>
      <c r="E663" s="49" cm="1">
        <f t="array" ref="E663">VLOOKUP(B663,'C'!A1:C210,3,FALSE)</f>
        <v>206</v>
      </c>
      <c r="F663" s="56" t="str" cm="1">
        <f t="array" ref="F663">VLOOKUP(B663,'Player Data'!A1:B673,2,FALSE)</f>
        <v>S.J</v>
      </c>
      <c r="G663" s="71" cm="1">
        <f t="array" ref="G663">VLOOKUP(B663,'Player Data'!A1:D673,3,FALSE)</f>
        <v>23</v>
      </c>
      <c r="H663" s="51" cm="1">
        <f t="array" ref="H663">IFERROR(VLOOKUP(B663,ADP!A1:F671,6,FALSE)/1000000,VLOOKUP(B663,ADP!A1:F671,6,FALSE))</f>
        <v>2.35</v>
      </c>
      <c r="I663" s="52">
        <f>IF(Settings!$E$15="POINTS",((R663*Q663)*Settings!$B$12)+(S663*Settings!$B$2)+(T663*Settings!$B$3)+(U663*Settings!$B$4)+(V663*Settings!$B$5)+(X663*Settings!$B$9)+(AA663*Settings!$B$6)+(W663*Settings!$B$8)+(AB663*Settings!$B$7)+(AC663*Settings!$B$14)+(AD663*Settings!$B$15)+(AE663*Settings!$B$16)+(AF663*Settings!$B$17)+(AG663*Settings!$B$18)+(Y663*Settings!$B$10)+(Z663*Settings!$B$11),VLOOKUP(B663,'Standard Deviations'!A$1:C$672,3,FALSE))</f>
        <v>70.754125302176561</v>
      </c>
      <c r="J663" s="53" cm="1">
        <f t="array" ref="J663">IF(D663="G",I663/AJ663,I663/Q663)</f>
        <v>1.0273204152916848</v>
      </c>
      <c r="K663" s="52" cm="1">
        <f t="array" ref="K663">IF(Settings!$E$18="C/LW/RW",VLOOKUP(B663,'C'!A1:F210,6,FALSE),VLOOKUP(B663,F!A1:F407,6,FALSE))</f>
        <v>-315.78108109090647</v>
      </c>
      <c r="L663" s="54" cm="1">
        <f t="array" ref="L663">IFERROR(K663/H663,"N/A")</f>
        <v>-134.37492812378997</v>
      </c>
      <c r="M663" s="85" t="s">
        <v>832</v>
      </c>
      <c r="N663" s="85" t="str" cm="1">
        <f t="array" ref="N663">IFERROR(M663-A663,"N/A")</f>
        <v>N/A</v>
      </c>
      <c r="O663" s="83"/>
      <c r="P663" s="56" t="str" cm="1">
        <f t="array" ref="P663">_xlfn.XLOOKUP($B663,ADP!A2:A671,ADP!G2:G671)</f>
        <v xml:space="preserve"> </v>
      </c>
      <c r="Q663" s="57" cm="1">
        <f t="array" ref="Q663">IF(Settings!$E$12="YES",VLOOKUP(B663,'Player Data'!A1:E673,5,FALSE),84)</f>
        <v>68.872500000000002</v>
      </c>
      <c r="R663" s="55" cm="1">
        <f t="array" ref="R663">VLOOKUP(B663,'Player Data'!$A1:$AE673,6,FALSE)</f>
        <v>10.381952036862501</v>
      </c>
      <c r="S663" s="57" cm="1">
        <f t="array" ref="S663">VLOOKUP(B663,'Player Data'!$A1:$AE673,7,FALSE)*$Q663*IFERROR((VLOOKUP(P663,Settings!$E$28:$F$33,2,FALSE)+1),1)</f>
        <v>4.2701810377933187</v>
      </c>
      <c r="T663" s="57" cm="1">
        <f t="array" ref="T663">VLOOKUP(B663,'Player Data'!$A1:$AE673,8,FALSE)*$Q663*IFERROR((VLOOKUP(P663,Settings!$E$28:$F$33,2,FALSE)+1),1)</f>
        <v>5.0066462665372535</v>
      </c>
      <c r="U663" s="57" cm="1">
        <f t="array" ref="U663">SUM(S663:T663)</f>
        <v>9.2768273043305722</v>
      </c>
      <c r="V663" s="57" cm="1">
        <f t="array" ref="V663">VLOOKUP(B663,'Player Data'!$A1:$AE673,10,FALSE)*$Q663*IFERROR(((VLOOKUP(P663,Settings!$E$28:$F$33,2,FALSE)/2)+1),1)</f>
        <v>50.640294819193024</v>
      </c>
      <c r="W663" s="57" cm="1">
        <f t="array" ref="W663">VLOOKUP(B663,'Player Data'!$A1:$AE673,11,FALSE)*$Q663*IFERROR((VLOOKUP(P663,Settings!$E$28:$F$33,2,FALSE)+1),1)</f>
        <v>3.156576208115644E-2</v>
      </c>
      <c r="X663" s="57" cm="1">
        <f t="array" ref="X663">VLOOKUP(B663,'Player Data'!$A1:$AE673,12,FALSE)*$Q663*IFERROR((VLOOKUP(P663,Settings!$E$28:$F$33,2,FALSE)+1),1)</f>
        <v>6.9543416604656849E-2</v>
      </c>
      <c r="Y663" s="57" cm="1">
        <f t="array" ref="Y663">VLOOKUP(B663,'Player Data'!$A1:$AE673,13,FALSE)*$Q663</f>
        <v>0.21419713827923642</v>
      </c>
      <c r="Z663" s="57" cm="1">
        <f t="array" ref="Z663">VLOOKUP(B663,'Player Data'!$A1:$AE673,14,FALSE)*$Q663</f>
        <v>0.35618348315899528</v>
      </c>
      <c r="AA663" s="57" cm="1">
        <f t="array" ref="AA663">VLOOKUP(B663,'Player Data'!$A1:$AE673,15,FALSE)*$Q663</f>
        <v>34.355538159649335</v>
      </c>
      <c r="AB663" s="57" cm="1">
        <f t="array" ref="AB663">VLOOKUP(B663,'Player Data'!$A1:$AE673,16,FALSE)*$Q663</f>
        <v>146.99896701995237</v>
      </c>
      <c r="AC663" s="57" cm="1">
        <f t="array" ref="AC663">VLOOKUP(B663,'Player Data'!$A1:$AE673,17,FALSE)*$Q663*IFERROR((VLOOKUP(P663,Settings!$E$28:$F$33,2,FALSE)+1),1)</f>
        <v>-2.5881265736575365</v>
      </c>
      <c r="AD663" s="57" cm="1">
        <f t="array" ref="AD663">VLOOKUP(B663,'Player Data'!$A1:$AE673,18,FALSE)*$Q663</f>
        <v>32.107844877430409</v>
      </c>
      <c r="AE663" s="57" cm="1">
        <f t="array" ref="AE663">VLOOKUP(B663,'Player Data'!$A1:$AE673,19,FALSE)*$Q663*IFERROR((VLOOKUP(P663,Settings!$E$28:$F$33,2,FALSE)+1),1)</f>
        <v>0.59709744373676499</v>
      </c>
      <c r="AF663" s="57" cm="1">
        <f t="array" ref="AF663">VLOOKUP(B663,'Player Data'!$A1:$AE673,20,FALSE)*$Q663</f>
        <v>257.10870644960744</v>
      </c>
      <c r="AG663" s="57" cm="1">
        <f t="array" ref="AG663">VLOOKUP(B663,'Player Data'!$A1:$AE673,21,FALSE)*$Q663</f>
        <v>263.34563563421392</v>
      </c>
      <c r="AH663" s="59" cm="1">
        <f t="array" ref="AH663">VLOOKUP(B663,'Player Data'!$A1:$AE673,22,FALSE)</f>
        <v>0.49400818796166202</v>
      </c>
      <c r="AI663" s="55"/>
      <c r="AJ663" s="57"/>
      <c r="AK663" s="57"/>
      <c r="AL663" s="57"/>
      <c r="AM663" s="57"/>
      <c r="AN663" s="57"/>
      <c r="AO663" s="57"/>
      <c r="AP663" s="57"/>
      <c r="AQ663" s="60"/>
      <c r="AR663" s="61"/>
      <c r="AS663" s="55"/>
    </row>
    <row r="664" spans="1:45" ht="21.25" customHeight="1" x14ac:dyDescent="0.15">
      <c r="A664" s="62">
        <f t="shared" si="10"/>
        <v>663</v>
      </c>
      <c r="B664" s="10" t="s">
        <v>792</v>
      </c>
      <c r="C664" s="47" t="s">
        <v>147</v>
      </c>
      <c r="D664" s="48" t="str" cm="1">
        <f t="array" ref="D664">VLOOKUP(B664,'Player Data'!A1:D673,4,FALSE)</f>
        <v>RW</v>
      </c>
      <c r="E664" s="64" cm="1">
        <f t="array" ref="E664">VLOOKUP(B664,RW!A1:F210,3,FALSE)</f>
        <v>205</v>
      </c>
      <c r="F664" s="56" t="str" cm="1">
        <f t="array" ref="F664">VLOOKUP(B664,'Player Data'!A1:B673,2,FALSE)</f>
        <v>NYR</v>
      </c>
      <c r="G664" s="71" cm="1">
        <f t="array" ref="G664">VLOOKUP(B664,'Player Data'!A1:D673,3,FALSE)</f>
        <v>23</v>
      </c>
      <c r="H664" s="51" cm="1">
        <f t="array" ref="H664">IFERROR(VLOOKUP(B664,ADP!A1:F671,6,FALSE)/1000000,VLOOKUP(B664,ADP!A1:F671,6,FALSE))</f>
        <v>0.89249999999999996</v>
      </c>
      <c r="I664" s="52">
        <f>IF(Settings!$E$15="POINTS",((R664*Q664)*Settings!$B$12)+(S664*Settings!$B$2)+(T664*Settings!$B$3)+(U664*Settings!$B$4)+(V664*Settings!$B$5)+(X664*Settings!$B$9)+(AA664*Settings!$B$6)+(W664*Settings!$B$8)+(AB664*Settings!$B$7)+(AC664*Settings!$B$14)+(AD664*Settings!$B$15)+(AE664*Settings!$B$16)+(AF664*Settings!$B$17)+(AG664*Settings!$B$18)+(Y664*Settings!$B$10)+(Z664*Settings!$B$11),VLOOKUP(B664,'Standard Deviations'!A$1:C$672,3,FALSE))</f>
        <v>76.063616497896092</v>
      </c>
      <c r="J664" s="53" cm="1">
        <f t="array" ref="J664">IF(D664="G",I664/AJ664,I664/Q664)</f>
        <v>1.2343981904884145</v>
      </c>
      <c r="K664" s="52" cm="1">
        <f t="array" ref="K664">IF(Settings!$E$18="C/LW/RW",VLOOKUP(B664,RW!A1:F210,6,FALSE),VLOOKUP(B664,F!A1:F407,6,FALSE))</f>
        <v>-318.8798481956614</v>
      </c>
      <c r="L664" s="54" cm="1">
        <f t="array" ref="L664">IFERROR(K664/H664,"N/A")</f>
        <v>-357.28834531726767</v>
      </c>
      <c r="M664" s="85" t="s">
        <v>832</v>
      </c>
      <c r="N664" s="85" t="str" cm="1">
        <f t="array" ref="N664">IFERROR(M664-A664,"N/A")</f>
        <v>N/A</v>
      </c>
      <c r="O664" s="55"/>
      <c r="P664" s="56" t="str" cm="1">
        <f t="array" ref="P664">_xlfn.XLOOKUP($B664,ADP!A2:A671,ADP!G2:G671)</f>
        <v xml:space="preserve"> </v>
      </c>
      <c r="Q664" s="57" cm="1">
        <f t="array" ref="Q664">IF(Settings!$E$12="YES",VLOOKUP(B664,'Player Data'!A1:E673,5,FALSE),84)</f>
        <v>61.62</v>
      </c>
      <c r="R664" s="55" cm="1">
        <f t="array" ref="R664">VLOOKUP(B664,'Player Data'!$A1:$AE673,6,FALSE)</f>
        <v>9.1690850623257898</v>
      </c>
      <c r="S664" s="57" cm="1">
        <f t="array" ref="S664">VLOOKUP(B664,'Player Data'!$A1:$AE673,7,FALSE)*$Q664*IFERROR((VLOOKUP(P664,Settings!$E$28:$F$33,2,FALSE)+1),1)</f>
        <v>6.3754916279081373</v>
      </c>
      <c r="T664" s="57" cm="1">
        <f t="array" ref="T664">VLOOKUP(B664,'Player Data'!$A1:$AE673,8,FALSE)*$Q664*IFERROR((VLOOKUP(P664,Settings!$E$28:$F$33,2,FALSE)+1),1)</f>
        <v>5.483987149543295</v>
      </c>
      <c r="U664" s="57" cm="1">
        <f t="array" ref="U664">SUM(S664:T664)</f>
        <v>11.859478777451432</v>
      </c>
      <c r="V664" s="57" cm="1">
        <f t="array" ref="V664">VLOOKUP(B664,'Player Data'!$A1:$AE673,10,FALSE)*$Q664*IFERROR(((VLOOKUP(P664,Settings!$E$28:$F$33,2,FALSE)/2)+1),1)</f>
        <v>49.714992865409627</v>
      </c>
      <c r="W664" s="57" cm="1">
        <f t="array" ref="W664">VLOOKUP(B664,'Player Data'!$A1:$AE673,11,FALSE)*$Q664*IFERROR((VLOOKUP(P664,Settings!$E$28:$F$33,2,FALSE)+1),1)</f>
        <v>6.8528308746110225E-2</v>
      </c>
      <c r="X664" s="57" cm="1">
        <f t="array" ref="X664">VLOOKUP(B664,'Player Data'!$A1:$AE673,12,FALSE)*$Q664*IFERROR((VLOOKUP(P664,Settings!$E$28:$F$33,2,FALSE)+1),1)</f>
        <v>0.15309820478592012</v>
      </c>
      <c r="Y664" s="57" cm="1">
        <f t="array" ref="Y664">VLOOKUP(B664,'Player Data'!$A1:$AE673,13,FALSE)*$Q664</f>
        <v>8.6871445191731296E-4</v>
      </c>
      <c r="Z664" s="57" cm="1">
        <f t="array" ref="Z664">VLOOKUP(B664,'Player Data'!$A1:$AE673,14,FALSE)*$Q664</f>
        <v>1.4495417541043807E-3</v>
      </c>
      <c r="AA664" s="57" cm="1">
        <f t="array" ref="AA664">VLOOKUP(B664,'Player Data'!$A1:$AE673,15,FALSE)*$Q664</f>
        <v>30.946271972593905</v>
      </c>
      <c r="AB664" s="57" cm="1">
        <f t="array" ref="AB664">VLOOKUP(B664,'Player Data'!$A1:$AE673,16,FALSE)*$Q664</f>
        <v>112.18102380251248</v>
      </c>
      <c r="AC664" s="57" cm="1">
        <f t="array" ref="AC664">VLOOKUP(B664,'Player Data'!$A1:$AE673,17,FALSE)*$Q664*IFERROR((VLOOKUP(P664,Settings!$E$28:$F$33,2,FALSE)+1),1)</f>
        <v>-0.16315533442513552</v>
      </c>
      <c r="AD664" s="57" cm="1">
        <f t="array" ref="AD664">VLOOKUP(B664,'Player Data'!$A1:$AE673,18,FALSE)*$Q664</f>
        <v>16.71703774634021</v>
      </c>
      <c r="AE664" s="57" cm="1">
        <f t="array" ref="AE664">VLOOKUP(B664,'Player Data'!$A1:$AE673,19,FALSE)*$Q664*IFERROR((VLOOKUP(P664,Settings!$E$28:$F$33,2,FALSE)+1),1)</f>
        <v>1.001613910869394</v>
      </c>
      <c r="AF664" s="57" cm="1">
        <f t="array" ref="AF664">VLOOKUP(B664,'Player Data'!$A1:$AE673,20,FALSE)*$Q664</f>
        <v>0</v>
      </c>
      <c r="AG664" s="57" cm="1">
        <f t="array" ref="AG664">VLOOKUP(B664,'Player Data'!$A1:$AE673,21,FALSE)*$Q664</f>
        <v>8.8201853263164214</v>
      </c>
      <c r="AH664" s="59" cm="1">
        <f t="array" ref="AH664">VLOOKUP(B664,'Player Data'!$A1:$AE673,22,FALSE)</f>
        <v>0</v>
      </c>
      <c r="AI664" s="55"/>
      <c r="AJ664" s="57"/>
      <c r="AK664" s="57"/>
      <c r="AL664" s="57"/>
      <c r="AM664" s="57"/>
      <c r="AN664" s="57"/>
      <c r="AO664" s="57"/>
      <c r="AP664" s="57"/>
      <c r="AQ664" s="60"/>
      <c r="AR664" s="61"/>
      <c r="AS664" s="55"/>
    </row>
    <row r="665" spans="1:45" ht="21.25" customHeight="1" x14ac:dyDescent="0.15">
      <c r="A665" s="62">
        <f t="shared" si="10"/>
        <v>664</v>
      </c>
      <c r="B665" s="10" t="s">
        <v>793</v>
      </c>
      <c r="C665" s="47" t="s">
        <v>147</v>
      </c>
      <c r="D665" s="48" t="str" cm="1">
        <f t="array" ref="D665">VLOOKUP(B665,'Player Data'!A1:D673,4,FALSE)</f>
        <v>RW</v>
      </c>
      <c r="E665" s="64" cm="1">
        <f t="array" ref="E665">VLOOKUP(B665,RW!A1:F210,3,FALSE)</f>
        <v>206</v>
      </c>
      <c r="F665" s="63" t="str" cm="1">
        <f t="array" ref="F665">VLOOKUP(B665,'Player Data'!A1:B673,2,FALSE)</f>
        <v>VGK</v>
      </c>
      <c r="G665" s="11" cm="1">
        <f t="array" ref="G665">VLOOKUP(B665,'Player Data'!A1:D673,3,FALSE)</f>
        <v>27</v>
      </c>
      <c r="H665" s="51" cm="1">
        <f t="array" ref="H665">IFERROR(VLOOKUP(B665,ADP!A1:F671,6,FALSE)/1000000,VLOOKUP(B665,ADP!A1:F671,6,FALSE))</f>
        <v>0.85</v>
      </c>
      <c r="I665" s="52">
        <f>IF(Settings!$E$15="POINTS",((R665*Q665)*Settings!$B$12)+(S665*Settings!$B$2)+(T665*Settings!$B$3)+(U665*Settings!$B$4)+(V665*Settings!$B$5)+(X665*Settings!$B$9)+(AA665*Settings!$B$6)+(W665*Settings!$B$8)+(AB665*Settings!$B$7)+(AC665*Settings!$B$14)+(AD665*Settings!$B$15)+(AE665*Settings!$B$16)+(AF665*Settings!$B$17)+(AG665*Settings!$B$18)+(Y665*Settings!$B$10)+(Z665*Settings!$B$11),VLOOKUP(B665,'Standard Deviations'!A$1:C$672,3,FALSE))</f>
        <v>74.7099564277909</v>
      </c>
      <c r="J665" s="53" cm="1">
        <f t="array" ref="J665">IF(D665="G",I665/AJ665,I665/Q665)</f>
        <v>1.3708877733435643</v>
      </c>
      <c r="K665" s="52" cm="1">
        <f t="array" ref="K665">IF(Settings!$E$18="C/LW/RW",VLOOKUP(B665,RW!A1:F210,6,FALSE),VLOOKUP(B665,F!A1:F407,6,FALSE))</f>
        <v>-320.23350826576655</v>
      </c>
      <c r="L665" s="54" cm="1">
        <f t="array" ref="L665">IFERROR(K665/H665,"N/A")</f>
        <v>-376.74530384207827</v>
      </c>
      <c r="M665" s="85" t="s">
        <v>832</v>
      </c>
      <c r="N665" s="85" t="str" cm="1">
        <f t="array" ref="N665">IFERROR(M665-A665,"N/A")</f>
        <v>N/A</v>
      </c>
      <c r="O665" s="55"/>
      <c r="P665" s="56" t="str" cm="1">
        <f t="array" ref="P665">_xlfn.XLOOKUP($B665,ADP!A2:A671,ADP!G2:G671)</f>
        <v xml:space="preserve"> </v>
      </c>
      <c r="Q665" s="57" cm="1">
        <f t="array" ref="Q665">IF(Settings!$E$12="YES",VLOOKUP(B665,'Player Data'!A1:E673,5,FALSE),84)</f>
        <v>54.497500000000002</v>
      </c>
      <c r="R665" s="55" cm="1">
        <f t="array" ref="R665">VLOOKUP(B665,'Player Data'!$A1:$AE673,6,FALSE)</f>
        <v>11.3366790693273</v>
      </c>
      <c r="S665" s="57" cm="1">
        <f t="array" ref="S665">VLOOKUP(B665,'Player Data'!$A1:$AE673,7,FALSE)*$Q665*IFERROR((VLOOKUP(P665,Settings!$E$28:$F$33,2,FALSE)+1),1)</f>
        <v>4.1721215377500549</v>
      </c>
      <c r="T665" s="57" cm="1">
        <f t="array" ref="T665">VLOOKUP(B665,'Player Data'!$A1:$AE673,8,FALSE)*$Q665*IFERROR((VLOOKUP(P665,Settings!$E$28:$F$33,2,FALSE)+1),1)</f>
        <v>6.7572971690924852</v>
      </c>
      <c r="U665" s="57" cm="1">
        <f t="array" ref="U665">SUM(S665:T665)</f>
        <v>10.92941870684254</v>
      </c>
      <c r="V665" s="57" cm="1">
        <f t="array" ref="V665">VLOOKUP(B665,'Player Data'!$A1:$AE673,10,FALSE)*$Q665*IFERROR(((VLOOKUP(P665,Settings!$E$28:$F$33,2,FALSE)/2)+1),1)</f>
        <v>61.250598840356126</v>
      </c>
      <c r="W665" s="57" cm="1">
        <f t="array" ref="W665">VLOOKUP(B665,'Player Data'!$A1:$AE673,11,FALSE)*$Q665*IFERROR((VLOOKUP(P665,Settings!$E$28:$F$33,2,FALSE)+1),1)</f>
        <v>0</v>
      </c>
      <c r="X665" s="57" cm="1">
        <f t="array" ref="X665">VLOOKUP(B665,'Player Data'!$A1:$AE673,12,FALSE)*$Q665*IFERROR((VLOOKUP(P665,Settings!$E$28:$F$33,2,FALSE)+1),1)</f>
        <v>0</v>
      </c>
      <c r="Y665" s="57" cm="1">
        <f t="array" ref="Y665">VLOOKUP(B665,'Player Data'!$A1:$AE673,13,FALSE)*$Q665</f>
        <v>0.18145526606808576</v>
      </c>
      <c r="Z665" s="57" cm="1">
        <f t="array" ref="Z665">VLOOKUP(B665,'Player Data'!$A1:$AE673,14,FALSE)*$Q665</f>
        <v>0.30328788658456529</v>
      </c>
      <c r="AA665" s="57" cm="1">
        <f t="array" ref="AA665">VLOOKUP(B665,'Player Data'!$A1:$AE673,15,FALSE)*$Q665</f>
        <v>21.986226001001299</v>
      </c>
      <c r="AB665" s="57" cm="1">
        <f t="array" ref="AB665">VLOOKUP(B665,'Player Data'!$A1:$AE673,16,FALSE)*$Q665</f>
        <v>59.838244459903386</v>
      </c>
      <c r="AC665" s="57" cm="1">
        <f t="array" ref="AC665">VLOOKUP(B665,'Player Data'!$A1:$AE673,17,FALSE)*$Q665*IFERROR((VLOOKUP(P665,Settings!$E$28:$F$33,2,FALSE)+1),1)</f>
        <v>2.1070481152778306</v>
      </c>
      <c r="AD665" s="57" cm="1">
        <f t="array" ref="AD665">VLOOKUP(B665,'Player Data'!$A1:$AE673,18,FALSE)*$Q665</f>
        <v>11.186250677567308</v>
      </c>
      <c r="AE665" s="57" cm="1">
        <f t="array" ref="AE665">VLOOKUP(B665,'Player Data'!$A1:$AE673,19,FALSE)*$Q665*IFERROR((VLOOKUP(P665,Settings!$E$28:$F$33,2,FALSE)+1),1)</f>
        <v>0.79594663447009495</v>
      </c>
      <c r="AF665" s="57" cm="1">
        <f t="array" ref="AF665">VLOOKUP(B665,'Player Data'!$A1:$AE673,20,FALSE)*$Q665</f>
        <v>0.46169044474592019</v>
      </c>
      <c r="AG665" s="57" cm="1">
        <f t="array" ref="AG665">VLOOKUP(B665,'Player Data'!$A1:$AE673,21,FALSE)*$Q665</f>
        <v>5.8722286857051831</v>
      </c>
      <c r="AH665" s="59" cm="1">
        <f t="array" ref="AH665">VLOOKUP(B665,'Player Data'!$A1:$AE673,22,FALSE)</f>
        <v>7.2891749205683101E-2</v>
      </c>
      <c r="AI665" s="55"/>
      <c r="AJ665" s="57"/>
      <c r="AK665" s="57"/>
      <c r="AL665" s="57"/>
      <c r="AM665" s="57"/>
      <c r="AN665" s="57"/>
      <c r="AO665" s="57"/>
      <c r="AP665" s="57"/>
      <c r="AQ665" s="60"/>
      <c r="AR665" s="61"/>
      <c r="AS665" s="55"/>
    </row>
    <row r="666" spans="1:45" ht="21.25" customHeight="1" x14ac:dyDescent="0.15">
      <c r="A666" s="62">
        <f t="shared" si="10"/>
        <v>665</v>
      </c>
      <c r="B666" s="10" t="s">
        <v>794</v>
      </c>
      <c r="C666" s="47" t="s">
        <v>147</v>
      </c>
      <c r="D666" s="48" t="str" cm="1">
        <f t="array" ref="D666">VLOOKUP(B666,'Player Data'!A1:D673,4,FALSE)</f>
        <v>C</v>
      </c>
      <c r="E666" s="49" cm="1">
        <f t="array" ref="E666">VLOOKUP(B666,'C'!A1:C210,3,FALSE)</f>
        <v>207</v>
      </c>
      <c r="F666" s="69" t="str" cm="1">
        <f t="array" ref="F666">VLOOKUP(B666,'Player Data'!A1:B673,2,FALSE)</f>
        <v>TOR</v>
      </c>
      <c r="G666" s="71" cm="1">
        <f t="array" ref="G666">VLOOKUP(B666,'Player Data'!A1:D673,3,FALSE)</f>
        <v>24</v>
      </c>
      <c r="H666" s="51" cm="1">
        <f t="array" ref="H666">IFERROR(VLOOKUP(B666,ADP!A1:F671,6,FALSE)/1000000,VLOOKUP(B666,ADP!A1:F671,6,FALSE))</f>
        <v>0.85</v>
      </c>
      <c r="I666" s="52">
        <f>IF(Settings!$E$15="POINTS",((R666*Q666)*Settings!$B$12)+(S666*Settings!$B$2)+(T666*Settings!$B$3)+(U666*Settings!$B$4)+(V666*Settings!$B$5)+(X666*Settings!$B$9)+(AA666*Settings!$B$6)+(W666*Settings!$B$8)+(AB666*Settings!$B$7)+(AC666*Settings!$B$14)+(AD666*Settings!$B$15)+(AE666*Settings!$B$16)+(AF666*Settings!$B$17)+(AG666*Settings!$B$18)+(Y666*Settings!$B$10)+(Z666*Settings!$B$11),VLOOKUP(B666,'Standard Deviations'!A$1:C$672,3,FALSE))</f>
        <v>65.68080267404325</v>
      </c>
      <c r="J666" s="53" cm="1">
        <f t="array" ref="J666">IF(D666="G",I666/AJ666,I666/Q666)</f>
        <v>1.1030448009747795</v>
      </c>
      <c r="K666" s="52" cm="1">
        <f t="array" ref="K666">IF(Settings!$E$18="C/LW/RW",VLOOKUP(B666,'C'!A1:F210,6,FALSE),VLOOKUP(B666,F!A1:F407,6,FALSE))</f>
        <v>-320.85440371903974</v>
      </c>
      <c r="L666" s="54" cm="1">
        <f t="array" ref="L666">IFERROR(K666/H666,"N/A")</f>
        <v>-377.47576908122323</v>
      </c>
      <c r="M666" s="85" t="s">
        <v>832</v>
      </c>
      <c r="N666" s="85" t="str" cm="1">
        <f t="array" ref="N666">IFERROR(M666-A666,"N/A")</f>
        <v>N/A</v>
      </c>
      <c r="O666" s="55"/>
      <c r="P666" s="56" t="str" cm="1">
        <f t="array" ref="P666">_xlfn.XLOOKUP($B666,ADP!A2:A671,ADP!G2:G671)</f>
        <v xml:space="preserve"> </v>
      </c>
      <c r="Q666" s="57" cm="1">
        <f t="array" ref="Q666">IF(Settings!$E$12="YES",VLOOKUP(B666,'Player Data'!A1:E673,5,FALSE),84)</f>
        <v>59.545000000000002</v>
      </c>
      <c r="R666" s="55" cm="1">
        <f t="array" ref="R666">VLOOKUP(B666,'Player Data'!$A1:$AE673,6,FALSE)</f>
        <v>10.02177807699</v>
      </c>
      <c r="S666" s="57" cm="1">
        <f t="array" ref="S666">VLOOKUP(B666,'Player Data'!$A1:$AE673,7,FALSE)*$Q666*IFERROR((VLOOKUP(P666,Settings!$E$28:$F$33,2,FALSE)+1),1)</f>
        <v>3.9095580311521068</v>
      </c>
      <c r="T666" s="57" cm="1">
        <f t="array" ref="T666">VLOOKUP(B666,'Player Data'!$A1:$AE673,8,FALSE)*$Q666*IFERROR((VLOOKUP(P666,Settings!$E$28:$F$33,2,FALSE)+1),1)</f>
        <v>5.5658426271413219</v>
      </c>
      <c r="U666" s="57" cm="1">
        <f t="array" ref="U666">SUM(S666:T666)</f>
        <v>9.4754006582934291</v>
      </c>
      <c r="V666" s="57" cm="1">
        <f t="array" ref="V666">VLOOKUP(B666,'Player Data'!$A1:$AE673,10,FALSE)*$Q666*IFERROR(((VLOOKUP(P666,Settings!$E$28:$F$33,2,FALSE)/2)+1),1)</f>
        <v>42.837769351049758</v>
      </c>
      <c r="W666" s="57" cm="1">
        <f t="array" ref="W666">VLOOKUP(B666,'Player Data'!$A1:$AE673,11,FALSE)*$Q666*IFERROR((VLOOKUP(P666,Settings!$E$28:$F$33,2,FALSE)+1),1)</f>
        <v>1.6607535407342153E-2</v>
      </c>
      <c r="X666" s="57" cm="1">
        <f t="array" ref="X666">VLOOKUP(B666,'Player Data'!$A1:$AE673,12,FALSE)*$Q666*IFERROR((VLOOKUP(P666,Settings!$E$28:$F$33,2,FALSE)+1),1)</f>
        <v>3.6152933494477436E-2</v>
      </c>
      <c r="Y666" s="57" cm="1">
        <f t="array" ref="Y666">VLOOKUP(B666,'Player Data'!$A1:$AE673,13,FALSE)*$Q666</f>
        <v>0.25494202617107314</v>
      </c>
      <c r="Z666" s="57" cm="1">
        <f t="array" ref="Z666">VLOOKUP(B666,'Player Data'!$A1:$AE673,14,FALSE)*$Q666</f>
        <v>0.42008979634735921</v>
      </c>
      <c r="AA666" s="57" cm="1">
        <f t="array" ref="AA666">VLOOKUP(B666,'Player Data'!$A1:$AE673,15,FALSE)*$Q666</f>
        <v>30.758946587592508</v>
      </c>
      <c r="AB666" s="57" cm="1">
        <f t="array" ref="AB666">VLOOKUP(B666,'Player Data'!$A1:$AE673,16,FALSE)*$Q666</f>
        <v>110.1413938569861</v>
      </c>
      <c r="AC666" s="57" cm="1">
        <f t="array" ref="AC666">VLOOKUP(B666,'Player Data'!$A1:$AE673,17,FALSE)*$Q666*IFERROR((VLOOKUP(P666,Settings!$E$28:$F$33,2,FALSE)+1),1)</f>
        <v>-9.6193246887601599E-2</v>
      </c>
      <c r="AD666" s="57" cm="1">
        <f t="array" ref="AD666">VLOOKUP(B666,'Player Data'!$A1:$AE673,18,FALSE)*$Q666</f>
        <v>12.381114074425739</v>
      </c>
      <c r="AE666" s="57" cm="1">
        <f t="array" ref="AE666">VLOOKUP(B666,'Player Data'!$A1:$AE673,19,FALSE)*$Q666*IFERROR((VLOOKUP(P666,Settings!$E$28:$F$33,2,FALSE)+1),1)</f>
        <v>0.53389205784536142</v>
      </c>
      <c r="AF666" s="57" cm="1">
        <f t="array" ref="AF666">VLOOKUP(B666,'Player Data'!$A1:$AE673,20,FALSE)*$Q666</f>
        <v>167.8474359165719</v>
      </c>
      <c r="AG666" s="57" cm="1">
        <f t="array" ref="AG666">VLOOKUP(B666,'Player Data'!$A1:$AE673,21,FALSE)*$Q666</f>
        <v>239.53681354461051</v>
      </c>
      <c r="AH666" s="59" cm="1">
        <f t="array" ref="AH666">VLOOKUP(B666,'Player Data'!$A1:$AE673,22,FALSE)</f>
        <v>0.41201258060067703</v>
      </c>
      <c r="AI666" s="55"/>
      <c r="AJ666" s="57"/>
      <c r="AK666" s="57"/>
      <c r="AL666" s="57"/>
      <c r="AM666" s="57"/>
      <c r="AN666" s="57"/>
      <c r="AO666" s="57"/>
      <c r="AP666" s="57"/>
      <c r="AQ666" s="60"/>
      <c r="AR666" s="61"/>
      <c r="AS666" s="55"/>
    </row>
    <row r="667" spans="1:45" ht="21.25" customHeight="1" x14ac:dyDescent="0.15">
      <c r="A667" s="62">
        <f t="shared" si="10"/>
        <v>666</v>
      </c>
      <c r="B667" s="10" t="s">
        <v>795</v>
      </c>
      <c r="C667" s="47" t="s">
        <v>147</v>
      </c>
      <c r="D667" s="48" t="str" cm="1">
        <f t="array" ref="D667">VLOOKUP(B667,'Player Data'!A1:D673,4,FALSE)</f>
        <v>LW</v>
      </c>
      <c r="E667" s="75" cm="1">
        <f t="array" ref="E667">VLOOKUP(B667,LW!A1:C210,3,FALSE)</f>
        <v>206</v>
      </c>
      <c r="F667" s="50" t="str" cm="1">
        <f t="array" ref="F667">VLOOKUP(B667,'Player Data'!A1:B673,2,FALSE)</f>
        <v>ANA</v>
      </c>
      <c r="G667" s="11" cm="1">
        <f t="array" ref="G667">VLOOKUP(B667,'Player Data'!A1:D673,3,FALSE)</f>
        <v>30</v>
      </c>
      <c r="H667" s="51" cm="1">
        <f t="array" ref="H667">IFERROR(VLOOKUP(B667,ADP!A1:F671,6,FALSE)/1000000,VLOOKUP(B667,ADP!A1:F671,6,FALSE))</f>
        <v>1.85</v>
      </c>
      <c r="I667" s="52">
        <f>IF(Settings!$E$15="POINTS",((R667*Q667)*Settings!$B$12)+(S667*Settings!$B$2)+(T667*Settings!$B$3)+(U667*Settings!$B$4)+(V667*Settings!$B$5)+(X667*Settings!$B$9)+(AA667*Settings!$B$6)+(W667*Settings!$B$8)+(AB667*Settings!$B$7)+(AC667*Settings!$B$14)+(AD667*Settings!$B$15)+(AE667*Settings!$B$16)+(AF667*Settings!$B$17)+(AG667*Settings!$B$18)+(Y667*Settings!$B$10)+(Z667*Settings!$B$11),VLOOKUP(B667,'Standard Deviations'!A$1:C$672,3,FALSE))</f>
        <v>70.349288994353799</v>
      </c>
      <c r="J667" s="53" cm="1">
        <f t="array" ref="J667">IF(D667="G",I667/AJ667,I667/Q667)</f>
        <v>1.0749375658087525</v>
      </c>
      <c r="K667" s="52" cm="1">
        <f t="array" ref="K667">IF(Settings!$E$18="C/LW/RW",VLOOKUP(B667,LW!A1:F210,6,FALSE),VLOOKUP(B667,F!A1:F407,6,FALSE))</f>
        <v>-328.96370431936629</v>
      </c>
      <c r="L667" s="54" cm="1">
        <f t="array" ref="L667">IFERROR(K667/H667,"N/A")</f>
        <v>-177.81821855100878</v>
      </c>
      <c r="M667" s="85" t="s">
        <v>832</v>
      </c>
      <c r="N667" s="85" t="str" cm="1">
        <f t="array" ref="N667">IFERROR(M667-A667,"N/A")</f>
        <v>N/A</v>
      </c>
      <c r="O667" s="55"/>
      <c r="P667" s="56" t="str" cm="1">
        <f t="array" ref="P667">_xlfn.XLOOKUP($B667,ADP!A2:A671,ADP!G2:G671)</f>
        <v xml:space="preserve"> </v>
      </c>
      <c r="Q667" s="57" cm="1">
        <f t="array" ref="Q667">IF(Settings!$E$12="YES",VLOOKUP(B667,'Player Data'!A1:E673,5,FALSE),84)</f>
        <v>65.444999999999993</v>
      </c>
      <c r="R667" s="55" cm="1">
        <f t="array" ref="R667">VLOOKUP(B667,'Player Data'!$A1:$AE673,6,FALSE)</f>
        <v>8.8245646757786194</v>
      </c>
      <c r="S667" s="57" cm="1">
        <f t="array" ref="S667">VLOOKUP(B667,'Player Data'!$A1:$AE673,7,FALSE)*$Q667*IFERROR((VLOOKUP(P667,Settings!$E$28:$F$33,2,FALSE)+1),1)</f>
        <v>3.0136319025759253</v>
      </c>
      <c r="T667" s="57" cm="1">
        <f t="array" ref="T667">VLOOKUP(B667,'Player Data'!$A1:$AE673,8,FALSE)*$Q667*IFERROR((VLOOKUP(P667,Settings!$E$28:$F$33,2,FALSE)+1),1)</f>
        <v>5.7626527853408431</v>
      </c>
      <c r="U667" s="57" cm="1">
        <f t="array" ref="U667">SUM(S667:T667)</f>
        <v>8.7762846879167675</v>
      </c>
      <c r="V667" s="57" cm="1">
        <f t="array" ref="V667">VLOOKUP(B667,'Player Data'!$A1:$AE673,10,FALSE)*$Q667*IFERROR(((VLOOKUP(P667,Settings!$E$28:$F$33,2,FALSE)/2)+1),1)</f>
        <v>58.150304595949933</v>
      </c>
      <c r="W667" s="57" cm="1">
        <f t="array" ref="W667">VLOOKUP(B667,'Player Data'!$A1:$AE673,11,FALSE)*$Q667*IFERROR((VLOOKUP(P667,Settings!$E$28:$F$33,2,FALSE)+1),1)</f>
        <v>4.164920720328506E-3</v>
      </c>
      <c r="X667" s="57" cm="1">
        <f t="array" ref="X667">VLOOKUP(B667,'Player Data'!$A1:$AE673,12,FALSE)*$Q667*IFERROR((VLOOKUP(P667,Settings!$E$28:$F$33,2,FALSE)+1),1)</f>
        <v>9.5026520988815526E-3</v>
      </c>
      <c r="Y667" s="57" cm="1">
        <f t="array" ref="Y667">VLOOKUP(B667,'Player Data'!$A1:$AE673,13,FALSE)*$Q667</f>
        <v>2.3213876863887553E-2</v>
      </c>
      <c r="Z667" s="57" cm="1">
        <f t="array" ref="Z667">VLOOKUP(B667,'Player Data'!$A1:$AE673,14,FALSE)*$Q667</f>
        <v>4.0220909602778805E-2</v>
      </c>
      <c r="AA667" s="57" cm="1">
        <f t="array" ref="AA667">VLOOKUP(B667,'Player Data'!$A1:$AE673,15,FALSE)*$Q667</f>
        <v>29.791118141853733</v>
      </c>
      <c r="AB667" s="57" cm="1">
        <f t="array" ref="AB667">VLOOKUP(B667,'Player Data'!$A1:$AE673,16,FALSE)*$Q667</f>
        <v>159.14268471773374</v>
      </c>
      <c r="AC667" s="57" cm="1">
        <f t="array" ref="AC667">VLOOKUP(B667,'Player Data'!$A1:$AE673,17,FALSE)*$Q667*IFERROR((VLOOKUP(P667,Settings!$E$28:$F$33,2,FALSE)+1),1)</f>
        <v>-2.3802208335874044</v>
      </c>
      <c r="AD667" s="57" cm="1">
        <f t="array" ref="AD667">VLOOKUP(B667,'Player Data'!$A1:$AE673,18,FALSE)*$Q667</f>
        <v>25.314785041187033</v>
      </c>
      <c r="AE667" s="57" cm="1">
        <f t="array" ref="AE667">VLOOKUP(B667,'Player Data'!$A1:$AE673,19,FALSE)*$Q667*IFERROR((VLOOKUP(P667,Settings!$E$28:$F$33,2,FALSE)+1),1)</f>
        <v>0.4402829806447412</v>
      </c>
      <c r="AF667" s="57" cm="1">
        <f t="array" ref="AF667">VLOOKUP(B667,'Player Data'!$A1:$AE673,20,FALSE)*$Q667</f>
        <v>4.9828331125955581</v>
      </c>
      <c r="AG667" s="57" cm="1">
        <f t="array" ref="AG667">VLOOKUP(B667,'Player Data'!$A1:$AE673,21,FALSE)*$Q667</f>
        <v>10.519735988146394</v>
      </c>
      <c r="AH667" s="59" cm="1">
        <f t="array" ref="AH667">VLOOKUP(B667,'Player Data'!$A1:$AE673,22,FALSE)</f>
        <v>0.32141982920476603</v>
      </c>
      <c r="AI667" s="55"/>
      <c r="AJ667" s="57"/>
      <c r="AK667" s="57"/>
      <c r="AL667" s="57"/>
      <c r="AM667" s="57"/>
      <c r="AN667" s="57"/>
      <c r="AO667" s="57"/>
      <c r="AP667" s="57"/>
      <c r="AQ667" s="60"/>
      <c r="AR667" s="61"/>
      <c r="AS667" s="55"/>
    </row>
    <row r="668" spans="1:45" ht="21.25" customHeight="1" x14ac:dyDescent="0.15">
      <c r="A668" s="62">
        <f t="shared" si="10"/>
        <v>667</v>
      </c>
      <c r="B668" s="10" t="s">
        <v>796</v>
      </c>
      <c r="C668" s="47" t="s">
        <v>147</v>
      </c>
      <c r="D668" s="48" t="str" cm="1">
        <f t="array" ref="D668">VLOOKUP(B668,'Player Data'!A1:D673,4,FALSE)</f>
        <v>C</v>
      </c>
      <c r="E668" s="49" cm="1">
        <f t="array" ref="E668">VLOOKUP(B668,'C'!A1:C210,3,FALSE)</f>
        <v>208</v>
      </c>
      <c r="F668" s="70" t="str" cm="1">
        <f t="array" ref="F668">VLOOKUP(B668,'Player Data'!A1:B673,2,FALSE)</f>
        <v>MIN</v>
      </c>
      <c r="G668" s="11" cm="1">
        <f t="array" ref="G668">VLOOKUP(B668,'Player Data'!A1:D673,3,FALSE)</f>
        <v>30</v>
      </c>
      <c r="H668" s="51" cm="1">
        <f t="array" ref="H668">IFERROR(VLOOKUP(B668,ADP!A1:F671,6,FALSE)/1000000,VLOOKUP(B668,ADP!A1:F671,6,FALSE))</f>
        <v>0.85</v>
      </c>
      <c r="I668" s="52">
        <f>IF(Settings!$E$15="POINTS",((R668*Q668)*Settings!$B$12)+(S668*Settings!$B$2)+(T668*Settings!$B$3)+(U668*Settings!$B$4)+(V668*Settings!$B$5)+(X668*Settings!$B$9)+(AA668*Settings!$B$6)+(W668*Settings!$B$8)+(AB668*Settings!$B$7)+(AC668*Settings!$B$14)+(AD668*Settings!$B$15)+(AE668*Settings!$B$16)+(AF668*Settings!$B$17)+(AG668*Settings!$B$18)+(Y668*Settings!$B$10)+(Z668*Settings!$B$11),VLOOKUP(B668,'Standard Deviations'!A$1:C$672,3,FALSE))</f>
        <v>57.221304778195545</v>
      </c>
      <c r="J668" s="53" cm="1">
        <f t="array" ref="J668">IF(D668="G",I668/AJ668,I668/Q668)</f>
        <v>1.0103077427180851</v>
      </c>
      <c r="K668" s="52" cm="1">
        <f t="array" ref="K668">IF(Settings!$E$18="C/LW/RW",VLOOKUP(B668,'C'!A1:F210,6,FALSE),VLOOKUP(B668,F!A1:F407,6,FALSE))</f>
        <v>-329.31390161488747</v>
      </c>
      <c r="L668" s="54" cm="1">
        <f t="array" ref="L668">IFERROR(K668/H668,"N/A")</f>
        <v>-387.42811954692644</v>
      </c>
      <c r="M668" s="85" t="s">
        <v>832</v>
      </c>
      <c r="N668" s="85" t="str" cm="1">
        <f t="array" ref="N668">IFERROR(M668-A668,"N/A")</f>
        <v>N/A</v>
      </c>
      <c r="O668" s="55"/>
      <c r="P668" s="56" t="str" cm="1">
        <f t="array" ref="P668">_xlfn.XLOOKUP($B668,ADP!A2:A671,ADP!G2:G671)</f>
        <v xml:space="preserve"> </v>
      </c>
      <c r="Q668" s="57" cm="1">
        <f t="array" ref="Q668">IF(Settings!$E$12="YES",VLOOKUP(B668,'Player Data'!A1:E673,5,FALSE),84)</f>
        <v>56.637500000000003</v>
      </c>
      <c r="R668" s="84" cm="1">
        <f t="array" ref="R668">VLOOKUP(B668,'Player Data'!$A1:$AE673,6,FALSE)</f>
        <v>8.6720781627095995</v>
      </c>
      <c r="S668" s="57" cm="1">
        <f t="array" ref="S668">VLOOKUP(B668,'Player Data'!$A1:$AE673,7,FALSE)*$Q668*IFERROR((VLOOKUP(P668,Settings!$E$28:$F$33,2,FALSE)+1),1)</f>
        <v>3.3722598838842761</v>
      </c>
      <c r="T668" s="57" cm="1">
        <f t="array" ref="T668">VLOOKUP(B668,'Player Data'!$A1:$AE673,8,FALSE)*$Q668*IFERROR((VLOOKUP(P668,Settings!$E$28:$F$33,2,FALSE)+1),1)</f>
        <v>5.5366413373150412</v>
      </c>
      <c r="U668" s="57" cm="1">
        <f t="array" ref="U668">SUM(S668:T668)</f>
        <v>8.9089012211993168</v>
      </c>
      <c r="V668" s="57" cm="1">
        <f t="array" ref="V668">VLOOKUP(B668,'Player Data'!$A1:$AE673,10,FALSE)*$Q668*IFERROR(((VLOOKUP(P668,Settings!$E$28:$F$33,2,FALSE)/2)+1),1)</f>
        <v>33.251278280479731</v>
      </c>
      <c r="W668" s="57" cm="1">
        <f t="array" ref="W668">VLOOKUP(B668,'Player Data'!$A1:$AE673,11,FALSE)*$Q668*IFERROR((VLOOKUP(P668,Settings!$E$28:$F$33,2,FALSE)+1),1)</f>
        <v>1.8211130917186805E-2</v>
      </c>
      <c r="X668" s="57" cm="1">
        <f t="array" ref="X668">VLOOKUP(B668,'Player Data'!$A1:$AE673,12,FALSE)*$Q668*IFERROR((VLOOKUP(P668,Settings!$E$28:$F$33,2,FALSE)+1),1)</f>
        <v>3.9430648257794659E-2</v>
      </c>
      <c r="Y668" s="57" cm="1">
        <f t="array" ref="Y668">VLOOKUP(B668,'Player Data'!$A1:$AE673,13,FALSE)*$Q668</f>
        <v>7.1888539443868069E-2</v>
      </c>
      <c r="Z668" s="57" cm="1">
        <f t="array" ref="Z668">VLOOKUP(B668,'Player Data'!$A1:$AE673,14,FALSE)*$Q668</f>
        <v>0.11768198669756884</v>
      </c>
      <c r="AA668" s="57" cm="1">
        <f t="array" ref="AA668">VLOOKUP(B668,'Player Data'!$A1:$AE673,15,FALSE)*$Q668</f>
        <v>27.423698678804744</v>
      </c>
      <c r="AB668" s="57" cm="1">
        <f t="array" ref="AB668">VLOOKUP(B668,'Player Data'!$A1:$AE673,16,FALSE)*$Q668</f>
        <v>89.758359651235878</v>
      </c>
      <c r="AC668" s="57" cm="1">
        <f t="array" ref="AC668">VLOOKUP(B668,'Player Data'!$A1:$AE673,17,FALSE)*$Q668*IFERROR((VLOOKUP(P668,Settings!$E$28:$F$33,2,FALSE)+1),1)</f>
        <v>1.8841863933298784</v>
      </c>
      <c r="AD668" s="57" cm="1">
        <f t="array" ref="AD668">VLOOKUP(B668,'Player Data'!$A1:$AE673,18,FALSE)*$Q668</f>
        <v>12.756900101346817</v>
      </c>
      <c r="AE668" s="57" cm="1">
        <f t="array" ref="AE668">VLOOKUP(B668,'Player Data'!$A1:$AE673,19,FALSE)*$Q668*IFERROR((VLOOKUP(P668,Settings!$E$28:$F$33,2,FALSE)+1),1)</f>
        <v>0.54928884790292398</v>
      </c>
      <c r="AF668" s="57" cm="1">
        <f t="array" ref="AF668">VLOOKUP(B668,'Player Data'!$A1:$AE673,20,FALSE)*$Q668</f>
        <v>147.02827229131671</v>
      </c>
      <c r="AG668" s="57" cm="1">
        <f t="array" ref="AG668">VLOOKUP(B668,'Player Data'!$A1:$AE673,21,FALSE)*$Q668</f>
        <v>167.18565369857797</v>
      </c>
      <c r="AH668" s="59" cm="1">
        <f t="array" ref="AH668">VLOOKUP(B668,'Player Data'!$A1:$AE673,22,FALSE)</f>
        <v>0.46792411198237299</v>
      </c>
      <c r="AI668" s="55"/>
      <c r="AJ668" s="57"/>
      <c r="AK668" s="57"/>
      <c r="AL668" s="57"/>
      <c r="AM668" s="57"/>
      <c r="AN668" s="57"/>
      <c r="AO668" s="57"/>
      <c r="AP668" s="57"/>
      <c r="AQ668" s="60"/>
      <c r="AR668" s="61"/>
      <c r="AS668" s="55"/>
    </row>
    <row r="669" spans="1:45" ht="21.25" customHeight="1" x14ac:dyDescent="0.15">
      <c r="A669" s="62">
        <f t="shared" si="10"/>
        <v>668</v>
      </c>
      <c r="B669" s="10" t="s">
        <v>797</v>
      </c>
      <c r="C669" s="47" t="s">
        <v>147</v>
      </c>
      <c r="D669" s="48" t="str" cm="1">
        <f t="array" ref="D669">VLOOKUP(B669,'Player Data'!A1:D673,4,FALSE)</f>
        <v>LW,RW</v>
      </c>
      <c r="E669" s="74" cm="1">
        <f t="array" ref="E669">VLOOKUP(B669,RW!A1:F210,3,FALSE)</f>
        <v>207</v>
      </c>
      <c r="F669" s="56" t="str" cm="1">
        <f t="array" ref="F669">VLOOKUP(B669,'Player Data'!A1:B673,2,FALSE)</f>
        <v>UTA</v>
      </c>
      <c r="G669" s="66" cm="1">
        <f t="array" ref="G669">VLOOKUP(B669,'Player Data'!A1:D673,3,FALSE)</f>
        <v>32</v>
      </c>
      <c r="H669" s="67" cm="1">
        <f t="array" ref="H669">IFERROR(VLOOKUP(B669,ADP!A1:F671,6,FALSE)/1000000,VLOOKUP(B669,ADP!A1:F671,6,FALSE))</f>
        <v>1</v>
      </c>
      <c r="I669" s="52">
        <f>IF(Settings!$E$15="POINTS",((R669*Q669)*Settings!$B$12)+(S669*Settings!$B$2)+(T669*Settings!$B$3)+(U669*Settings!$B$4)+(V669*Settings!$B$5)+(X669*Settings!$B$9)+(AA669*Settings!$B$6)+(W669*Settings!$B$8)+(AB669*Settings!$B$7)+(AC669*Settings!$B$14)+(AD669*Settings!$B$15)+(AE669*Settings!$B$16)+(AF669*Settings!$B$17)+(AG669*Settings!$B$18)+(Y669*Settings!$B$10)+(Z669*Settings!$B$11),VLOOKUP(B669,'Standard Deviations'!A$1:C$672,3,FALSE))</f>
        <v>64.967174164465661</v>
      </c>
      <c r="J669" s="53" cm="1">
        <f t="array" ref="J669">IF(D669="G",I669/AJ669,I669/Q669)</f>
        <v>0.95406673271849129</v>
      </c>
      <c r="K669" s="52" cm="1">
        <f t="array" ref="K669">IF(Settings!$E$18="C/LW/RW",VLOOKUP(B669,RW!A1:F210,6,FALSE),VLOOKUP(B669,F!A1:F407,6,FALSE))</f>
        <v>-329.97629052909178</v>
      </c>
      <c r="L669" s="54" cm="1">
        <f t="array" ref="L669">IFERROR(K669/H669,"N/A")</f>
        <v>-329.97629052909178</v>
      </c>
      <c r="M669" s="85" t="s">
        <v>832</v>
      </c>
      <c r="N669" s="85" t="str" cm="1">
        <f t="array" ref="N669">IFERROR(M669-A669,"N/A")</f>
        <v>N/A</v>
      </c>
      <c r="O669" s="55"/>
      <c r="P669" s="56" t="str" cm="1">
        <f t="array" ref="P669">_xlfn.XLOOKUP($B669,ADP!A2:A671,ADP!G2:G671)</f>
        <v xml:space="preserve"> </v>
      </c>
      <c r="Q669" s="57" cm="1">
        <f t="array" ref="Q669">IF(Settings!$E$12="YES",VLOOKUP(B669,'Player Data'!A1:E673,5,FALSE),84)</f>
        <v>68.094999999999999</v>
      </c>
      <c r="R669" s="55" cm="1">
        <f t="array" ref="R669">VLOOKUP(B669,'Player Data'!$A1:$AE673,6,FALSE)</f>
        <v>9.1475299804637302</v>
      </c>
      <c r="S669" s="57" cm="1">
        <f t="array" ref="S669">VLOOKUP(B669,'Player Data'!$A1:$AE673,7,FALSE)*$Q669*IFERROR((VLOOKUP(P669,Settings!$E$28:$F$33,2,FALSE)+1),1)</f>
        <v>3.4082462689546928</v>
      </c>
      <c r="T669" s="57" cm="1">
        <f t="array" ref="T669">VLOOKUP(B669,'Player Data'!$A1:$AE673,8,FALSE)*$Q669*IFERROR((VLOOKUP(P669,Settings!$E$28:$F$33,2,FALSE)+1),1)</f>
        <v>3.7521211439545028</v>
      </c>
      <c r="U669" s="57" cm="1">
        <f t="array" ref="U669">SUM(S669:T669)</f>
        <v>7.1603674129091957</v>
      </c>
      <c r="V669" s="57" cm="1">
        <f t="array" ref="V669">VLOOKUP(B669,'Player Data'!$A1:$AE673,10,FALSE)*$Q669*IFERROR(((VLOOKUP(P669,Settings!$E$28:$F$33,2,FALSE)/2)+1),1)</f>
        <v>60.13645850394095</v>
      </c>
      <c r="W669" s="57" cm="1">
        <f t="array" ref="W669">VLOOKUP(B669,'Player Data'!$A1:$AE673,11,FALSE)*$Q669*IFERROR((VLOOKUP(P669,Settings!$E$28:$F$33,2,FALSE)+1),1)</f>
        <v>1.2211935091841979E-2</v>
      </c>
      <c r="X669" s="57" cm="1">
        <f t="array" ref="X669">VLOOKUP(B669,'Player Data'!$A1:$AE673,12,FALSE)*$Q669*IFERROR((VLOOKUP(P669,Settings!$E$28:$F$33,2,FALSE)+1),1)</f>
        <v>2.7045863636221471E-2</v>
      </c>
      <c r="Y669" s="57" cm="1">
        <f t="array" ref="Y669">VLOOKUP(B669,'Player Data'!$A1:$AE673,13,FALSE)*$Q669</f>
        <v>0</v>
      </c>
      <c r="Z669" s="57" cm="1">
        <f t="array" ref="Z669">VLOOKUP(B669,'Player Data'!$A1:$AE673,14,FALSE)*$Q669</f>
        <v>0</v>
      </c>
      <c r="AA669" s="57" cm="1">
        <f t="array" ref="AA669">VLOOKUP(B669,'Player Data'!$A1:$AE673,15,FALSE)*$Q669</f>
        <v>26.781593620262754</v>
      </c>
      <c r="AB669" s="57" cm="1">
        <f t="array" ref="AB669">VLOOKUP(B669,'Player Data'!$A1:$AE673,16,FALSE)*$Q669</f>
        <v>183.57053829196457</v>
      </c>
      <c r="AC669" s="57" cm="1">
        <f t="array" ref="AC669">VLOOKUP(B669,'Player Data'!$A1:$AE673,17,FALSE)*$Q669*IFERROR((VLOOKUP(P669,Settings!$E$28:$F$33,2,FALSE)+1),1)</f>
        <v>2.6872328359501162E-2</v>
      </c>
      <c r="AD669" s="57" cm="1">
        <f t="array" ref="AD669">VLOOKUP(B669,'Player Data'!$A1:$AE673,18,FALSE)*$Q669</f>
        <v>45.885415748611955</v>
      </c>
      <c r="AE669" s="57" cm="1">
        <f t="array" ref="AE669">VLOOKUP(B669,'Player Data'!$A1:$AE673,19,FALSE)*$Q669*IFERROR((VLOOKUP(P669,Settings!$E$28:$F$33,2,FALSE)+1),1)</f>
        <v>0.55092462772289352</v>
      </c>
      <c r="AF669" s="57" cm="1">
        <f t="array" ref="AF669">VLOOKUP(B669,'Player Data'!$A1:$AE673,20,FALSE)*$Q669</f>
        <v>6.6989520562442753</v>
      </c>
      <c r="AG669" s="57" cm="1">
        <f t="array" ref="AG669">VLOOKUP(B669,'Player Data'!$A1:$AE673,21,FALSE)*$Q669</f>
        <v>10.908816696360724</v>
      </c>
      <c r="AH669" s="59" cm="1">
        <f t="array" ref="AH669">VLOOKUP(B669,'Player Data'!$A1:$AE673,22,FALSE)</f>
        <v>0.38045434094272701</v>
      </c>
      <c r="AI669" s="55"/>
      <c r="AJ669" s="57"/>
      <c r="AK669" s="57"/>
      <c r="AL669" s="57"/>
      <c r="AM669" s="57"/>
      <c r="AN669" s="57"/>
      <c r="AO669" s="57"/>
      <c r="AP669" s="57"/>
      <c r="AQ669" s="60"/>
      <c r="AR669" s="61"/>
      <c r="AS669" s="55"/>
    </row>
    <row r="670" spans="1:45" ht="21.25" customHeight="1" x14ac:dyDescent="0.15">
      <c r="A670" s="62">
        <f t="shared" si="10"/>
        <v>669</v>
      </c>
      <c r="B670" s="10" t="s">
        <v>798</v>
      </c>
      <c r="C670" s="47" t="s">
        <v>147</v>
      </c>
      <c r="D670" s="48" t="str" cm="1">
        <f t="array" ref="D670">VLOOKUP(B670,'Player Data'!A1:D673,4,FALSE)</f>
        <v>RW</v>
      </c>
      <c r="E670" s="64" cm="1">
        <f t="array" ref="E670">VLOOKUP(B670,RW!A1:F210,3,FALSE)</f>
        <v>208</v>
      </c>
      <c r="F670" s="56" t="str" cm="1">
        <f t="array" ref="F670">VLOOKUP(B670,'Player Data'!A1:B673,2,FALSE)</f>
        <v>NYR</v>
      </c>
      <c r="G670" s="71" cm="1">
        <f t="array" ref="G670">VLOOKUP(B670,'Player Data'!A1:D673,3,FALSE)</f>
        <v>24</v>
      </c>
      <c r="H670" s="67" cm="1">
        <f t="array" ref="H670">IFERROR(VLOOKUP(B670,ADP!A1:F671,6,FALSE)/1000000,VLOOKUP(B670,ADP!A1:F671,6,FALSE))</f>
        <v>0.97499999999999998</v>
      </c>
      <c r="I670" s="52">
        <f>IF(Settings!$E$15="POINTS",((R670*Q670)*Settings!$B$12)+(S670*Settings!$B$2)+(T670*Settings!$B$3)+(U670*Settings!$B$4)+(V670*Settings!$B$5)+(X670*Settings!$B$9)+(AA670*Settings!$B$6)+(W670*Settings!$B$8)+(AB670*Settings!$B$7)+(AC670*Settings!$B$14)+(AD670*Settings!$B$15)+(AE670*Settings!$B$16)+(AF670*Settings!$B$17)+(AG670*Settings!$B$18)+(Y670*Settings!$B$10)+(Z670*Settings!$B$11),VLOOKUP(B670,'Standard Deviations'!A$1:C$672,3,FALSE))</f>
        <v>58.45782072385839</v>
      </c>
      <c r="J670" s="53" cm="1">
        <f t="array" ref="J670">IF(D670="G",I670/AJ670,I670/Q670)</f>
        <v>0.94150138063872424</v>
      </c>
      <c r="K670" s="52" cm="1">
        <f t="array" ref="K670">IF(Settings!$E$18="C/LW/RW",VLOOKUP(B670,RW!A1:F210,6,FALSE),VLOOKUP(B670,F!A1:F407,6,FALSE))</f>
        <v>-336.48564396969908</v>
      </c>
      <c r="L670" s="54" cm="1">
        <f t="array" ref="L670">IFERROR(K670/H670,"N/A")</f>
        <v>-345.11348099456319</v>
      </c>
      <c r="M670" s="85" t="s">
        <v>832</v>
      </c>
      <c r="N670" s="85" t="str" cm="1">
        <f t="array" ref="N670">IFERROR(M670-A670,"N/A")</f>
        <v>N/A</v>
      </c>
      <c r="O670" s="55"/>
      <c r="P670" s="56" t="str" cm="1">
        <f t="array" ref="P670">_xlfn.XLOOKUP($B670,ADP!A2:A671,ADP!G2:G671)</f>
        <v xml:space="preserve"> </v>
      </c>
      <c r="Q670" s="57" cm="1">
        <f t="array" ref="Q670">IF(Settings!$E$12="YES",VLOOKUP(B670,'Player Data'!A1:E673,5,FALSE),84)</f>
        <v>62.09</v>
      </c>
      <c r="R670" s="55" cm="1">
        <f t="array" ref="R670">VLOOKUP(B670,'Player Data'!$A1:$AE673,6,FALSE)</f>
        <v>8.5240862821880903</v>
      </c>
      <c r="S670" s="57" cm="1">
        <f t="array" ref="S670">VLOOKUP(B670,'Player Data'!$A1:$AE673,7,FALSE)*$Q670*IFERROR((VLOOKUP(P670,Settings!$E$28:$F$33,2,FALSE)+1),1)</f>
        <v>3.9435082677905382</v>
      </c>
      <c r="T670" s="57" cm="1">
        <f t="array" ref="T670">VLOOKUP(B670,'Player Data'!$A1:$AE673,8,FALSE)*$Q670*IFERROR((VLOOKUP(P670,Settings!$E$28:$F$33,2,FALSE)+1),1)</f>
        <v>4.7771504079765332</v>
      </c>
      <c r="U670" s="57" cm="1">
        <f t="array" ref="U670">SUM(S670:T670)</f>
        <v>8.720658675767071</v>
      </c>
      <c r="V670" s="57" cm="1">
        <f t="array" ref="V670">VLOOKUP(B670,'Player Data'!$A1:$AE673,10,FALSE)*$Q670*IFERROR(((VLOOKUP(P670,Settings!$E$28:$F$33,2,FALSE)/2)+1),1)</f>
        <v>44.120516609200557</v>
      </c>
      <c r="W670" s="57" cm="1">
        <f t="array" ref="W670">VLOOKUP(B670,'Player Data'!$A1:$AE673,11,FALSE)*$Q670*IFERROR((VLOOKUP(P670,Settings!$E$28:$F$33,2,FALSE)+1),1)</f>
        <v>0.17584882975894378</v>
      </c>
      <c r="X670" s="57" cm="1">
        <f t="array" ref="X670">VLOOKUP(B670,'Player Data'!$A1:$AE673,12,FALSE)*$Q670*IFERROR((VLOOKUP(P670,Settings!$E$28:$F$33,2,FALSE)+1),1)</f>
        <v>0.39859178172570658</v>
      </c>
      <c r="Y670" s="57" cm="1">
        <f t="array" ref="Y670">VLOOKUP(B670,'Player Data'!$A1:$AE673,13,FALSE)*$Q670</f>
        <v>2.2808966389366533E-3</v>
      </c>
      <c r="Z670" s="57" cm="1">
        <f t="array" ref="Z670">VLOOKUP(B670,'Player Data'!$A1:$AE673,14,FALSE)*$Q670</f>
        <v>3.7727021400126293E-3</v>
      </c>
      <c r="AA670" s="57" cm="1">
        <f t="array" ref="AA670">VLOOKUP(B670,'Player Data'!$A1:$AE673,15,FALSE)*$Q670</f>
        <v>19.666443816182365</v>
      </c>
      <c r="AB670" s="57" cm="1">
        <f t="array" ref="AB670">VLOOKUP(B670,'Player Data'!$A1:$AE673,16,FALSE)*$Q670</f>
        <v>156.17762381291388</v>
      </c>
      <c r="AC670" s="57" cm="1">
        <f t="array" ref="AC670">VLOOKUP(B670,'Player Data'!$A1:$AE673,17,FALSE)*$Q670*IFERROR((VLOOKUP(P670,Settings!$E$28:$F$33,2,FALSE)+1),1)</f>
        <v>-0.18117716322876898</v>
      </c>
      <c r="AD670" s="57" cm="1">
        <f t="array" ref="AD670">VLOOKUP(B670,'Player Data'!$A1:$AE673,18,FALSE)*$Q670</f>
        <v>39.470507481981137</v>
      </c>
      <c r="AE670" s="57" cm="1">
        <f t="array" ref="AE670">VLOOKUP(B670,'Player Data'!$A1:$AE673,19,FALSE)*$Q670*IFERROR((VLOOKUP(P670,Settings!$E$28:$F$33,2,FALSE)+1),1)</f>
        <v>0.61954010281454519</v>
      </c>
      <c r="AF670" s="57" cm="1">
        <f t="array" ref="AF670">VLOOKUP(B670,'Player Data'!$A1:$AE673,20,FALSE)*$Q670</f>
        <v>5.6261546330589551</v>
      </c>
      <c r="AG670" s="57" cm="1">
        <f t="array" ref="AG670">VLOOKUP(B670,'Player Data'!$A1:$AE673,21,FALSE)*$Q670</f>
        <v>14.945509287314922</v>
      </c>
      <c r="AH670" s="59" cm="1">
        <f t="array" ref="AH670">VLOOKUP(B670,'Player Data'!$A1:$AE673,22,FALSE)</f>
        <v>0.27349049910770201</v>
      </c>
      <c r="AI670" s="55"/>
      <c r="AJ670" s="57"/>
      <c r="AK670" s="57"/>
      <c r="AL670" s="57"/>
      <c r="AM670" s="57"/>
      <c r="AN670" s="57"/>
      <c r="AO670" s="57"/>
      <c r="AP670" s="57"/>
      <c r="AQ670" s="60"/>
      <c r="AR670" s="61"/>
      <c r="AS670" s="55"/>
    </row>
    <row r="671" spans="1:45" ht="21.25" customHeight="1" x14ac:dyDescent="0.15">
      <c r="A671" s="62">
        <f t="shared" si="10"/>
        <v>670</v>
      </c>
      <c r="B671" s="10" t="s">
        <v>799</v>
      </c>
      <c r="C671" s="47" t="s">
        <v>128</v>
      </c>
      <c r="D671" s="48" t="str" cm="1">
        <f t="array" ref="D671">VLOOKUP(B671,'Player Data'!A1:D673,4,FALSE)</f>
        <v>LW</v>
      </c>
      <c r="E671" s="75" cm="1">
        <f t="array" ref="E671">VLOOKUP(B671,LW!A1:C210,3,FALSE)</f>
        <v>208</v>
      </c>
      <c r="F671" s="72" t="str" cm="1">
        <f t="array" ref="F671">VLOOKUP(B671,'Player Data'!A1:B673,2,FALSE)</f>
        <v>FLA</v>
      </c>
      <c r="G671" s="71" cm="1">
        <f t="array" ref="G671">VLOOKUP(B671,'Player Data'!A1:D673,3,FALSE)</f>
        <v>18</v>
      </c>
      <c r="H671" s="51" cm="1">
        <f t="array" ref="H671">IFERROR(VLOOKUP(B671,ADP!A1:F671,6,FALSE)/1000000,VLOOKUP(B671,ADP!A1:F671,6,FALSE))</f>
        <v>0.90500000000000003</v>
      </c>
      <c r="I671" s="52">
        <f>IF(Settings!$E$15="POINTS",((R671*Q671)*Settings!$B$12)+(S671*Settings!$B$2)+(T671*Settings!$B$3)+(U671*Settings!$B$4)+(V671*Settings!$B$5)+(X671*Settings!$B$9)+(AA671*Settings!$B$6)+(W671*Settings!$B$8)+(AB671*Settings!$B$7)+(AC671*Settings!$B$14)+(AD671*Settings!$B$15)+(AE671*Settings!$B$16)+(AF671*Settings!$B$17)+(AG671*Settings!$B$18)+(Y671*Settings!$B$10)+(Z671*Settings!$B$11),VLOOKUP(B671,'Standard Deviations'!A$1:C$672,3,FALSE))</f>
        <v>59.817020213380985</v>
      </c>
      <c r="J671" s="53" cm="1">
        <f t="array" ref="J671">IF(D671="G",I671/AJ671,I671/Q671)</f>
        <v>0.97342587816730641</v>
      </c>
      <c r="K671" s="52" cm="1">
        <f t="array" ref="K671">IF(Settings!$E$18="C/LW/RW",VLOOKUP(B671,LW!A1:F210,6,FALSE),VLOOKUP(B671,F!A1:F407,6,FALSE))</f>
        <v>-339.49597310033909</v>
      </c>
      <c r="L671" s="54" cm="1">
        <f t="array" ref="L671">IFERROR(K671/H671,"N/A")</f>
        <v>-375.13367193407635</v>
      </c>
      <c r="M671" s="85" t="s">
        <v>832</v>
      </c>
      <c r="N671" s="85" t="str" cm="1">
        <f t="array" ref="N671">IFERROR(M671-A671,"N/A")</f>
        <v>N/A</v>
      </c>
      <c r="O671" s="55"/>
      <c r="P671" s="56" t="str" cm="1">
        <f t="array" ref="P671">_xlfn.XLOOKUP($B671,ADP!A2:A671,ADP!G2:G671)</f>
        <v xml:space="preserve"> </v>
      </c>
      <c r="Q671" s="57" cm="1">
        <f t="array" ref="Q671">IF(Settings!$E$12="YES",VLOOKUP(B671,'Player Data'!A1:E673,5,FALSE),84)</f>
        <v>61.45</v>
      </c>
      <c r="R671" s="55" cm="1">
        <f t="array" ref="R671">VLOOKUP(B671,'Player Data'!$A1:$AE673,6,FALSE)</f>
        <v>7.93778561535823</v>
      </c>
      <c r="S671" s="57" cm="1">
        <f t="array" ref="S671">VLOOKUP(B671,'Player Data'!$A1:$AE673,7,FALSE)*$Q671*IFERROR((VLOOKUP(P671,Settings!$E$28:$F$33,2,FALSE)+1),1)</f>
        <v>3.5264622919613799</v>
      </c>
      <c r="T671" s="57" cm="1">
        <f t="array" ref="T671">VLOOKUP(B671,'Player Data'!$A1:$AE673,8,FALSE)*$Q671*IFERROR((VLOOKUP(P671,Settings!$E$28:$F$33,2,FALSE)+1),1)</f>
        <v>4.2041921447059831</v>
      </c>
      <c r="U671" s="57" cm="1">
        <f t="array" ref="U671">SUM(S671:T671)</f>
        <v>7.7306544366673631</v>
      </c>
      <c r="V671" s="57" cm="1">
        <f t="array" ref="V671">VLOOKUP(B671,'Player Data'!$A1:$AE673,10,FALSE)*$Q671*IFERROR(((VLOOKUP(P671,Settings!$E$28:$F$33,2,FALSE)/2)+1),1)</f>
        <v>49.128282602418103</v>
      </c>
      <c r="W671" s="57" cm="1">
        <f t="array" ref="W671">VLOOKUP(B671,'Player Data'!$A1:$AE673,11,FALSE)*$Q671*IFERROR((VLOOKUP(P671,Settings!$E$28:$F$33,2,FALSE)+1),1)</f>
        <v>1.1578262279839513E-2</v>
      </c>
      <c r="X671" s="57" cm="1">
        <f t="array" ref="X671">VLOOKUP(B671,'Player Data'!$A1:$AE673,12,FALSE)*$Q671*IFERROR((VLOOKUP(P671,Settings!$E$28:$F$33,2,FALSE)+1),1)</f>
        <v>2.5143344031938325E-2</v>
      </c>
      <c r="Y671" s="57" cm="1">
        <f t="array" ref="Y671">VLOOKUP(B671,'Player Data'!$A1:$AE673,13,FALSE)*$Q671</f>
        <v>0</v>
      </c>
      <c r="Z671" s="57" cm="1">
        <f t="array" ref="Z671">VLOOKUP(B671,'Player Data'!$A1:$AE673,14,FALSE)*$Q671</f>
        <v>0</v>
      </c>
      <c r="AA671" s="57" cm="1">
        <f t="array" ref="AA671">VLOOKUP(B671,'Player Data'!$A1:$AE673,15,FALSE)*$Q671</f>
        <v>24.071544516275811</v>
      </c>
      <c r="AB671" s="57" cm="1">
        <f t="array" ref="AB671">VLOOKUP(B671,'Player Data'!$A1:$AE673,16,FALSE)*$Q671</f>
        <v>134.37029696828137</v>
      </c>
      <c r="AC671" s="57" cm="1">
        <f t="array" ref="AC671">VLOOKUP(B671,'Player Data'!$A1:$AE673,17,FALSE)*$Q671*IFERROR((VLOOKUP(P671,Settings!$E$28:$F$33,2,FALSE)+1),1)</f>
        <v>2.2129566425108735</v>
      </c>
      <c r="AD671" s="57" cm="1">
        <f t="array" ref="AD671">VLOOKUP(B671,'Player Data'!$A1:$AE673,18,FALSE)*$Q671</f>
        <v>87.36854740551172</v>
      </c>
      <c r="AE671" s="57" cm="1">
        <f t="array" ref="AE671">VLOOKUP(B671,'Player Data'!$A1:$AE673,19,FALSE)*$Q671*IFERROR((VLOOKUP(P671,Settings!$E$28:$F$33,2,FALSE)+1),1)</f>
        <v>0.58714104754521101</v>
      </c>
      <c r="AF671" s="57" cm="1">
        <f t="array" ref="AF671">VLOOKUP(B671,'Player Data'!$A1:$AE673,20,FALSE)*$Q671</f>
        <v>0.76816880508356145</v>
      </c>
      <c r="AG671" s="57" cm="1">
        <f t="array" ref="AG671">VLOOKUP(B671,'Player Data'!$A1:$AE673,21,FALSE)*$Q671</f>
        <v>1.5989828389308836</v>
      </c>
      <c r="AH671" s="59" cm="1">
        <f t="array" ref="AH671">VLOOKUP(B671,'Player Data'!$A1:$AE673,22,FALSE)</f>
        <v>0.32451186937091397</v>
      </c>
      <c r="AI671" s="55"/>
      <c r="AJ671" s="57"/>
      <c r="AK671" s="57"/>
      <c r="AL671" s="57"/>
      <c r="AM671" s="57"/>
      <c r="AN671" s="57"/>
      <c r="AO671" s="57"/>
      <c r="AP671" s="57"/>
      <c r="AQ671" s="60"/>
      <c r="AR671" s="61"/>
      <c r="AS671" s="55"/>
    </row>
  </sheetData>
  <autoFilter ref="A1:AR671" xr:uid="{00000000-0001-0000-0100-000000000000}">
    <filterColumn colId="3" showButton="0"/>
    <sortState xmlns:xlrd2="http://schemas.microsoft.com/office/spreadsheetml/2017/richdata2" ref="A2:AR671">
      <sortCondition descending="1" ref="K1:K671"/>
    </sortState>
  </autoFilter>
  <mergeCells count="1">
    <mergeCell ref="D1:E1"/>
  </mergeCells>
  <conditionalFormatting sqref="D2:D671">
    <cfRule type="containsText" dxfId="58" priority="1" stopIfTrue="1" operator="containsText" text=",">
      <formula>NOT(ISERROR(FIND(UPPER(","),UPPER(D2))))</formula>
      <formula>","</formula>
    </cfRule>
    <cfRule type="containsText" dxfId="57" priority="2" stopIfTrue="1" operator="containsText" text="C">
      <formula>NOT(ISERROR(FIND(UPPER("C"),UPPER(D2))))</formula>
      <formula>"C"</formula>
    </cfRule>
    <cfRule type="containsText" dxfId="56" priority="3" stopIfTrue="1" operator="containsText" text="D">
      <formula>NOT(ISERROR(FIND(UPPER("D"),UPPER(D2))))</formula>
      <formula>"D"</formula>
    </cfRule>
    <cfRule type="containsText" dxfId="55" priority="4" stopIfTrue="1" operator="containsText" text="LW">
      <formula>NOT(ISERROR(FIND(UPPER("LW"),UPPER(D2))))</formula>
      <formula>"LW"</formula>
    </cfRule>
    <cfRule type="containsText" dxfId="54" priority="5" stopIfTrue="1" operator="containsText" text="RW">
      <formula>NOT(ISERROR(FIND(UPPER("RW"),UPPER(D2))))</formula>
      <formula>"RW"</formula>
    </cfRule>
    <cfRule type="containsText" dxfId="53" priority="6" stopIfTrue="1" operator="containsText" text="G">
      <formula>NOT(ISERROR(FIND(UPPER("G"),UPPER(D2))))</formula>
      <formula>"G"</formula>
    </cfRule>
  </conditionalFormatting>
  <conditionalFormatting sqref="E2:E671">
    <cfRule type="containsText" dxfId="52" priority="7" stopIfTrue="1" operator="containsText" text="/">
      <formula>NOT(ISERROR(FIND(UPPER("/"),UPPER(E2))))</formula>
      <formula>"/"</formula>
    </cfRule>
    <cfRule type="containsText" dxfId="51" priority="7" stopIfTrue="1" operator="containsText" text="C">
      <formula>NOT(ISERROR(FIND(UPPER("C"),UPPER(E2))))</formula>
      <formula>"C"</formula>
    </cfRule>
    <cfRule type="containsText" dxfId="50" priority="7" stopIfTrue="1" operator="containsText" text="D">
      <formula>NOT(ISERROR(FIND(UPPER("D"),UPPER(E2))))</formula>
      <formula>"D"</formula>
    </cfRule>
    <cfRule type="containsText" dxfId="49" priority="7" stopIfTrue="1" operator="containsText" text="LW">
      <formula>NOT(ISERROR(FIND(UPPER("LW"),UPPER(E2))))</formula>
      <formula>"LW"</formula>
    </cfRule>
    <cfRule type="containsText" dxfId="48" priority="7" stopIfTrue="1" operator="containsText" text="RW">
      <formula>NOT(ISERROR(FIND(UPPER("RW"),UPPER(E2))))</formula>
      <formula>"RW"</formula>
    </cfRule>
    <cfRule type="containsText" dxfId="47" priority="7" stopIfTrue="1" operator="containsText" text="G">
      <formula>NOT(ISERROR(FIND(UPPER("G"),UPPER(E2))))</formula>
      <formula>"G"</formula>
    </cfRule>
  </conditionalFormatting>
  <conditionalFormatting sqref="N2:N671">
    <cfRule type="cellIs" dxfId="46" priority="8" stopIfTrue="1" operator="between">
      <formula>10</formula>
      <formula>23</formula>
    </cfRule>
    <cfRule type="cellIs" dxfId="45" priority="8" stopIfTrue="1" operator="between">
      <formula>-10</formula>
      <formula>-23</formula>
    </cfRule>
    <cfRule type="cellIs" dxfId="44" priority="8" stopIfTrue="1" operator="greaterThanOrEqual">
      <formula>24</formula>
    </cfRule>
    <cfRule type="cellIs" dxfId="43" priority="8" stopIfTrue="1" operator="lessThanOrEqual">
      <formula>-23</formula>
    </cfRule>
    <cfRule type="cellIs" dxfId="42" priority="8" stopIfTrue="1" operator="between">
      <formula>-9</formula>
      <formula>9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F464"/>
  <sheetViews>
    <sheetView showGridLines="0" workbookViewId="0">
      <pane ySplit="1" topLeftCell="A2" activePane="bottomLeft" state="frozen"/>
      <selection pane="bottomLeft"/>
    </sheetView>
  </sheetViews>
  <sheetFormatPr baseColWidth="10" defaultColWidth="8" defaultRowHeight="16.25" customHeight="1" x14ac:dyDescent="0.15"/>
  <cols>
    <col min="1" max="1" width="28.33203125" style="1" customWidth="1"/>
    <col min="2" max="2" width="7.1640625" style="1" customWidth="1"/>
    <col min="3" max="3" width="6" style="1" customWidth="1"/>
    <col min="4" max="7" width="8.33203125" style="1" customWidth="1"/>
    <col min="8" max="8" width="3.5" style="1" customWidth="1"/>
    <col min="9" max="29" width="7.1640625" style="1" customWidth="1"/>
    <col min="30" max="30" width="18.83203125" style="1" customWidth="1"/>
    <col min="31" max="32" width="11.83203125" style="1" customWidth="1"/>
    <col min="33" max="33" width="8" style="1" customWidth="1"/>
    <col min="34" max="16384" width="8" style="1"/>
  </cols>
  <sheetData>
    <row r="1" spans="1:32" ht="21.25" customHeight="1" x14ac:dyDescent="0.15">
      <c r="A1" s="41" t="s">
        <v>800</v>
      </c>
      <c r="B1" s="194" t="s">
        <v>93</v>
      </c>
      <c r="C1" s="195"/>
      <c r="D1" s="42" t="s">
        <v>94</v>
      </c>
      <c r="E1" s="42" t="s">
        <v>95</v>
      </c>
      <c r="F1" s="43" t="s">
        <v>97</v>
      </c>
      <c r="G1" s="43" t="s">
        <v>99</v>
      </c>
      <c r="H1" s="44"/>
      <c r="I1" s="46" t="s">
        <v>104</v>
      </c>
      <c r="J1" s="46" t="s">
        <v>56</v>
      </c>
      <c r="K1" s="46" t="s">
        <v>105</v>
      </c>
      <c r="L1" s="46" t="s">
        <v>106</v>
      </c>
      <c r="M1" s="46" t="s">
        <v>107</v>
      </c>
      <c r="N1" s="46" t="s">
        <v>108</v>
      </c>
      <c r="O1" s="46" t="s">
        <v>64</v>
      </c>
      <c r="P1" s="46" t="s">
        <v>68</v>
      </c>
      <c r="Q1" s="46" t="s">
        <v>109</v>
      </c>
      <c r="R1" s="46" t="s">
        <v>110</v>
      </c>
      <c r="S1" s="46" t="s">
        <v>111</v>
      </c>
      <c r="T1" s="46" t="s">
        <v>112</v>
      </c>
      <c r="U1" s="46" t="s">
        <v>113</v>
      </c>
      <c r="V1" s="46" t="s">
        <v>114</v>
      </c>
      <c r="W1" s="46" t="s">
        <v>115</v>
      </c>
      <c r="X1" s="46" t="s">
        <v>116</v>
      </c>
      <c r="Y1" s="46" t="s">
        <v>117</v>
      </c>
      <c r="Z1" s="46" t="s">
        <v>118</v>
      </c>
      <c r="AA1" s="86"/>
      <c r="AB1" s="87"/>
      <c r="AC1" s="87"/>
      <c r="AD1" s="41" t="s">
        <v>801</v>
      </c>
      <c r="AE1" s="43" t="s">
        <v>97</v>
      </c>
      <c r="AF1" s="43" t="s">
        <v>99</v>
      </c>
    </row>
    <row r="2" spans="1:32" ht="21.25" customHeight="1" x14ac:dyDescent="0.15">
      <c r="A2" s="10" t="s">
        <v>129</v>
      </c>
      <c r="B2" s="88" t="str" cm="1">
        <f t="array" ref="B2">IFERROR(VLOOKUP($A2,'The List'!$B1:$AS671,3,FALSE)," ")</f>
        <v>C</v>
      </c>
      <c r="C2" s="89" cm="1">
        <f t="array" ref="C2">IFERROR(VLOOKUP($A2,'The List'!$B1:$AS671,4,FALSE)," ")</f>
        <v>2</v>
      </c>
      <c r="D2" s="18" t="str" cm="1">
        <f t="array" ref="D2">IFERROR(VLOOKUP($A2,'The List'!$B1:$AS671,5,FALSE)," ")</f>
        <v>EDM</v>
      </c>
      <c r="E2" s="90" cm="1">
        <f t="array" ref="E2">IFERROR(VLOOKUP($A2,'The List'!$B1:$AS671,6,FALSE)," ")</f>
        <v>29</v>
      </c>
      <c r="F2" s="52" cm="1">
        <f t="array" ref="F2">IFERROR(VLOOKUP($A2,'The List'!$B1:$AS671,8,FALSE)," ")</f>
        <v>599.21773180247033</v>
      </c>
      <c r="G2" s="52" cm="1">
        <f t="array" ref="G2">IFERROR(VLOOKUP($A2,'The List'!$B1:$AS671,10,FALSE)," ")</f>
        <v>212.68252540938732</v>
      </c>
      <c r="H2" s="55"/>
      <c r="I2" s="57" cm="1">
        <f t="array" ref="I2">IFERROR(VLOOKUP($A2,'The List'!$B1:$AS671,16,FALSE)," ")</f>
        <v>81.367500000000007</v>
      </c>
      <c r="J2" s="57" cm="1">
        <f t="array" ref="J2">IFERROR(VLOOKUP($A2,'The List'!$B1:$AS671,17,FALSE)," ")</f>
        <v>21.954284206119802</v>
      </c>
      <c r="K2" s="57" cm="1">
        <f t="array" ref="K2">IFERROR(VLOOKUP($A2,'The List'!$B1:$AS671,18,FALSE)," ")</f>
        <v>39.539485783043489</v>
      </c>
      <c r="L2" s="57" cm="1">
        <f t="array" ref="L2">IFERROR(VLOOKUP($A2,'The List'!$B1:$AS671,19,FALSE)," ")</f>
        <v>91.146407432267097</v>
      </c>
      <c r="M2" s="57" cm="1">
        <f t="array" ref="M2">IFERROR(VLOOKUP($A2,'The List'!$B1:$AS671,20,FALSE)," ")</f>
        <v>130.68589321531059</v>
      </c>
      <c r="N2" s="57" cm="1">
        <f t="array" ref="N2">IFERROR(VLOOKUP($A2,'The List'!$B1:$AS671,21,FALSE)," ")</f>
        <v>283.01494586987155</v>
      </c>
      <c r="O2" s="57" cm="1">
        <f t="array" ref="O2">IFERROR(VLOOKUP($A2,'The List'!$B1:$AS671,22,FALSE)," ")</f>
        <v>12.359043975979695</v>
      </c>
      <c r="P2" s="57" cm="1">
        <f t="array" ref="P2">IFERROR(VLOOKUP($A2,'The List'!$B1:$AS671,23,FALSE)," ")</f>
        <v>50.82425158626566</v>
      </c>
      <c r="Q2" s="57" cm="1">
        <f t="array" ref="Q2">IFERROR(VLOOKUP($A2,'The List'!$B1:$AS671,24,FALSE)," ")</f>
        <v>0.22075511627009392</v>
      </c>
      <c r="R2" s="57" cm="1">
        <f t="array" ref="R2">IFERROR(VLOOKUP($A2,'The List'!$B1:$AS671,25,FALSE)," ")</f>
        <v>0.24387201103785913</v>
      </c>
      <c r="S2" s="57" cm="1">
        <f t="array" ref="S2">IFERROR(VLOOKUP($A2,'The List'!$B1:$AS671,26,FALSE)," ")</f>
        <v>29.168911248598501</v>
      </c>
      <c r="T2" s="57" cm="1">
        <f t="array" ref="T2">IFERROR(VLOOKUP($A2,'The List'!$B1:$AS671,27,FALSE)," ")</f>
        <v>47.566614871967957</v>
      </c>
      <c r="U2" s="57" cm="1">
        <f t="array" ref="U2">IFERROR(VLOOKUP($A2,'The List'!$B1:$AS671,28,FALSE)," ")</f>
        <v>10.436956966022553</v>
      </c>
      <c r="V2" s="57" cm="1">
        <f t="array" ref="V2">IFERROR(VLOOKUP($A2,'The List'!$B1:$AS671,29,FALSE)," ")</f>
        <v>37.983381618250121</v>
      </c>
      <c r="W2" s="57" cm="1">
        <f t="array" ref="W2">IFERROR(VLOOKUP($A2,'The List'!$B1:$AS671,30,FALSE)," ")</f>
        <v>6.9408227913796452</v>
      </c>
      <c r="X2" s="57" cm="1">
        <f t="array" ref="X2">IFERROR(VLOOKUP($A2,'The List'!$B1:$AS671,31,FALSE)," ")</f>
        <v>439.28861548034217</v>
      </c>
      <c r="Y2" s="57" cm="1">
        <f t="array" ref="Y2">IFERROR(VLOOKUP($A2,'The List'!$B1:$AS671,32,FALSE)," ")</f>
        <v>452.53303444517013</v>
      </c>
      <c r="Z2" s="59" cm="1">
        <f t="array" ref="Z2">IFERROR(VLOOKUP($A2,'The List'!$B1:$AS671,33,FALSE)," ")</f>
        <v>0.49257451365643901</v>
      </c>
      <c r="AA2" s="86"/>
      <c r="AB2" s="91"/>
      <c r="AC2" s="91"/>
      <c r="AD2" s="10" t="s">
        <v>800</v>
      </c>
      <c r="AE2" s="52" cm="1">
        <f t="array" ref="AE2">VLOOKUP(AD2,T1:Y464,2,FALSE)</f>
        <v>2543.7169558855576</v>
      </c>
      <c r="AF2" s="52" cm="1">
        <f t="array" ref="AF2">VLOOKUP(AD2,T1:AA464,5,FALSE)</f>
        <v>701.48304483052766</v>
      </c>
    </row>
    <row r="3" spans="1:32" ht="21.25" customHeight="1" x14ac:dyDescent="0.15">
      <c r="A3" s="24"/>
      <c r="B3" s="88" t="str" cm="1">
        <f t="array" ref="B3">IFERROR(VLOOKUP($A3,'The List'!$B1:$AS671,3,FALSE)," ")</f>
        <v xml:space="preserve"> </v>
      </c>
      <c r="C3" s="92" t="str" cm="1">
        <f t="array" ref="C3">IFERROR(VLOOKUP($A3,'The List'!$B1:$AS671,4,FALSE)," ")</f>
        <v xml:space="preserve"> </v>
      </c>
      <c r="D3" s="18" t="str" cm="1">
        <f t="array" ref="D3">IFERROR(VLOOKUP($A3,'The List'!$B1:$AS671,5,FALSE)," ")</f>
        <v xml:space="preserve"> </v>
      </c>
      <c r="E3" s="18" t="str" cm="1">
        <f t="array" ref="E3">IFERROR(VLOOKUP($A3,'The List'!$B1:$AS671,6,FALSE)," ")</f>
        <v xml:space="preserve"> </v>
      </c>
      <c r="F3" s="93" t="str" cm="1">
        <f t="array" ref="F3">IFERROR(VLOOKUP($A3,'The List'!$B1:$AS671,8,FALSE)," ")</f>
        <v xml:space="preserve"> </v>
      </c>
      <c r="G3" s="93" t="str" cm="1">
        <f t="array" ref="G3">IFERROR(VLOOKUP($A3,'The List'!$B1:$AS671,10,FALSE)," ")</f>
        <v xml:space="preserve"> </v>
      </c>
      <c r="H3" s="55"/>
      <c r="I3" s="85" t="str" cm="1">
        <f t="array" ref="I3">IFERROR(VLOOKUP($A3,'The List'!$B1:$AS671,16,FALSE)," ")</f>
        <v xml:space="preserve"> </v>
      </c>
      <c r="J3" s="85" t="str" cm="1">
        <f t="array" ref="J3">IFERROR(VLOOKUP($A3,'The List'!$B1:$AS671,17,FALSE)," ")</f>
        <v xml:space="preserve"> </v>
      </c>
      <c r="K3" s="85" t="str" cm="1">
        <f t="array" ref="K3">IFERROR(VLOOKUP($A3,'The List'!$B1:$AS671,18,FALSE)," ")</f>
        <v xml:space="preserve"> </v>
      </c>
      <c r="L3" s="85" t="str" cm="1">
        <f t="array" ref="L3">IFERROR(VLOOKUP($A3,'The List'!$B1:$AS671,19,FALSE)," ")</f>
        <v xml:space="preserve"> </v>
      </c>
      <c r="M3" s="85" t="str" cm="1">
        <f t="array" ref="M3">IFERROR(VLOOKUP($A3,'The List'!$B1:$AS671,20,FALSE)," ")</f>
        <v xml:space="preserve"> </v>
      </c>
      <c r="N3" s="85" t="str" cm="1">
        <f t="array" ref="N3">IFERROR(VLOOKUP($A3,'The List'!$B1:$AS671,21,FALSE)," ")</f>
        <v xml:space="preserve"> </v>
      </c>
      <c r="O3" s="85" t="str" cm="1">
        <f t="array" ref="O3">IFERROR(VLOOKUP($A3,'The List'!$B1:$AS671,22,FALSE)," ")</f>
        <v xml:space="preserve"> </v>
      </c>
      <c r="P3" s="85" t="str" cm="1">
        <f t="array" ref="P3">IFERROR(VLOOKUP($A3,'The List'!$B1:$AS671,23,FALSE)," ")</f>
        <v xml:space="preserve"> </v>
      </c>
      <c r="Q3" s="85" t="str" cm="1">
        <f t="array" ref="Q3">IFERROR(VLOOKUP($A3,'The List'!$B1:$AS671,24,FALSE)," ")</f>
        <v xml:space="preserve"> </v>
      </c>
      <c r="R3" s="85" t="str" cm="1">
        <f t="array" ref="R3">IFERROR(VLOOKUP($A3,'The List'!$B1:$AS671,25,FALSE)," ")</f>
        <v xml:space="preserve"> </v>
      </c>
      <c r="S3" s="85" t="str" cm="1">
        <f t="array" ref="S3">IFERROR(VLOOKUP($A3,'The List'!$B1:$AS671,26,FALSE)," ")</f>
        <v xml:space="preserve"> </v>
      </c>
      <c r="T3" s="85" t="str" cm="1">
        <f t="array" ref="T3">IFERROR(VLOOKUP($A3,'The List'!$B1:$AS671,27,FALSE)," ")</f>
        <v xml:space="preserve"> </v>
      </c>
      <c r="U3" s="85" t="str" cm="1">
        <f t="array" ref="U3">IFERROR(VLOOKUP($A3,'The List'!$B1:$AS671,28,FALSE)," ")</f>
        <v xml:space="preserve"> </v>
      </c>
      <c r="V3" s="85" t="str" cm="1">
        <f t="array" ref="V3">IFERROR(VLOOKUP($A3,'The List'!$B1:$AS671,29,FALSE)," ")</f>
        <v xml:space="preserve"> </v>
      </c>
      <c r="W3" s="85" t="str" cm="1">
        <f t="array" ref="W3">IFERROR(VLOOKUP($A3,'The List'!$B1:$AS671,30,FALSE)," ")</f>
        <v xml:space="preserve"> </v>
      </c>
      <c r="X3" s="85" t="str" cm="1">
        <f t="array" ref="X3">IFERROR(VLOOKUP($A3,'The List'!$B1:$AS671,31,FALSE)," ")</f>
        <v xml:space="preserve"> </v>
      </c>
      <c r="Y3" s="85" t="str" cm="1">
        <f t="array" ref="Y3">IFERROR(VLOOKUP($A3,'The List'!$B1:$AS671,32,FALSE)," ")</f>
        <v xml:space="preserve"> </v>
      </c>
      <c r="Z3" s="85" t="str" cm="1">
        <f t="array" ref="Z3">IFERROR(VLOOKUP($A3,'The List'!$B1:$AS671,33,FALSE)," ")</f>
        <v xml:space="preserve"> </v>
      </c>
      <c r="AA3" s="86"/>
      <c r="AB3" s="91"/>
      <c r="AC3" s="91"/>
      <c r="AD3" s="10" t="s">
        <v>803</v>
      </c>
      <c r="AE3" s="52" cm="1">
        <f t="array" ref="AE3">VLOOKUP(AD3,T1:Y464,2,FALSE)</f>
        <v>0</v>
      </c>
      <c r="AF3" s="52" cm="1">
        <f t="array" ref="AF3">VLOOKUP(AD3,T1:AA464,5,FALSE)</f>
        <v>0</v>
      </c>
    </row>
    <row r="4" spans="1:32" ht="21.25" customHeight="1" x14ac:dyDescent="0.15">
      <c r="A4" s="24"/>
      <c r="B4" s="88" t="str" cm="1">
        <f t="array" ref="B4">IFERROR(VLOOKUP($A4,'The List'!$B1:$AS671,3,FALSE)," ")</f>
        <v xml:space="preserve"> </v>
      </c>
      <c r="C4" s="92" t="str" cm="1">
        <f t="array" ref="C4">IFERROR(VLOOKUP($A4,'The List'!$B1:$AS671,4,FALSE)," ")</f>
        <v xml:space="preserve"> </v>
      </c>
      <c r="D4" s="18" t="str" cm="1">
        <f t="array" ref="D4">IFERROR(VLOOKUP($A4,'The List'!$B1:$AS671,5,FALSE)," ")</f>
        <v xml:space="preserve"> </v>
      </c>
      <c r="E4" s="18" t="str" cm="1">
        <f t="array" ref="E4">IFERROR(VLOOKUP($A4,'The List'!$B1:$AS671,6,FALSE)," ")</f>
        <v xml:space="preserve"> </v>
      </c>
      <c r="F4" s="93" t="str" cm="1">
        <f t="array" ref="F4">IFERROR(VLOOKUP($A4,'The List'!$B1:$AS671,8,FALSE)," ")</f>
        <v xml:space="preserve"> </v>
      </c>
      <c r="G4" s="93" t="str" cm="1">
        <f t="array" ref="G4">IFERROR(VLOOKUP($A4,'The List'!$B1:$AS671,10,FALSE)," ")</f>
        <v xml:space="preserve"> </v>
      </c>
      <c r="H4" s="55"/>
      <c r="I4" s="85" t="str" cm="1">
        <f t="array" ref="I4">IFERROR(VLOOKUP($A4,'The List'!$B1:$AS671,16,FALSE)," ")</f>
        <v xml:space="preserve"> </v>
      </c>
      <c r="J4" s="85" t="str" cm="1">
        <f t="array" ref="J4">IFERROR(VLOOKUP($A4,'The List'!$B1:$AS671,17,FALSE)," ")</f>
        <v xml:space="preserve"> </v>
      </c>
      <c r="K4" s="85" t="str" cm="1">
        <f t="array" ref="K4">IFERROR(VLOOKUP($A4,'The List'!$B1:$AS671,18,FALSE)," ")</f>
        <v xml:space="preserve"> </v>
      </c>
      <c r="L4" s="85" t="str" cm="1">
        <f t="array" ref="L4">IFERROR(VLOOKUP($A4,'The List'!$B1:$AS671,19,FALSE)," ")</f>
        <v xml:space="preserve"> </v>
      </c>
      <c r="M4" s="85" t="str" cm="1">
        <f t="array" ref="M4">IFERROR(VLOOKUP($A4,'The List'!$B1:$AS671,20,FALSE)," ")</f>
        <v xml:space="preserve"> </v>
      </c>
      <c r="N4" s="85" t="str" cm="1">
        <f t="array" ref="N4">IFERROR(VLOOKUP($A4,'The List'!$B1:$AS671,21,FALSE)," ")</f>
        <v xml:space="preserve"> </v>
      </c>
      <c r="O4" s="85" t="str" cm="1">
        <f t="array" ref="O4">IFERROR(VLOOKUP($A4,'The List'!$B1:$AS671,22,FALSE)," ")</f>
        <v xml:space="preserve"> </v>
      </c>
      <c r="P4" s="85" t="str" cm="1">
        <f t="array" ref="P4">IFERROR(VLOOKUP($A4,'The List'!$B1:$AS671,23,FALSE)," ")</f>
        <v xml:space="preserve"> </v>
      </c>
      <c r="Q4" s="85" t="str" cm="1">
        <f t="array" ref="Q4">IFERROR(VLOOKUP($A4,'The List'!$B1:$AS671,24,FALSE)," ")</f>
        <v xml:space="preserve"> </v>
      </c>
      <c r="R4" s="85" t="str" cm="1">
        <f t="array" ref="R4">IFERROR(VLOOKUP($A4,'The List'!$B1:$AS671,25,FALSE)," ")</f>
        <v xml:space="preserve"> </v>
      </c>
      <c r="S4" s="85" t="str" cm="1">
        <f t="array" ref="S4">IFERROR(VLOOKUP($A4,'The List'!$B1:$AS671,26,FALSE)," ")</f>
        <v xml:space="preserve"> </v>
      </c>
      <c r="T4" s="85" t="str" cm="1">
        <f t="array" ref="T4">IFERROR(VLOOKUP($A4,'The List'!$B1:$AS671,27,FALSE)," ")</f>
        <v xml:space="preserve"> </v>
      </c>
      <c r="U4" s="85" t="str" cm="1">
        <f t="array" ref="U4">IFERROR(VLOOKUP($A4,'The List'!$B1:$AS671,28,FALSE)," ")</f>
        <v xml:space="preserve"> </v>
      </c>
      <c r="V4" s="85" t="str" cm="1">
        <f t="array" ref="V4">IFERROR(VLOOKUP($A4,'The List'!$B1:$AS671,29,FALSE)," ")</f>
        <v xml:space="preserve"> </v>
      </c>
      <c r="W4" s="85" t="str" cm="1">
        <f t="array" ref="W4">IFERROR(VLOOKUP($A4,'The List'!$B1:$AS671,30,FALSE)," ")</f>
        <v xml:space="preserve"> </v>
      </c>
      <c r="X4" s="85" t="str" cm="1">
        <f t="array" ref="X4">IFERROR(VLOOKUP($A4,'The List'!$B1:$AS671,31,FALSE)," ")</f>
        <v xml:space="preserve"> </v>
      </c>
      <c r="Y4" s="85" t="str" cm="1">
        <f t="array" ref="Y4">IFERROR(VLOOKUP($A4,'The List'!$B1:$AS671,32,FALSE)," ")</f>
        <v xml:space="preserve"> </v>
      </c>
      <c r="Z4" s="85" t="str" cm="1">
        <f t="array" ref="Z4">IFERROR(VLOOKUP($A4,'The List'!$B1:$AS671,33,FALSE)," ")</f>
        <v xml:space="preserve"> </v>
      </c>
      <c r="AA4" s="86"/>
      <c r="AB4" s="91"/>
      <c r="AC4" s="91"/>
      <c r="AD4" s="10" t="s">
        <v>804</v>
      </c>
      <c r="AE4" s="52" cm="1">
        <f t="array" ref="AE4">VLOOKUP(AD4,T1:Y464,2,FALSE)</f>
        <v>0</v>
      </c>
      <c r="AF4" s="52" cm="1">
        <f t="array" ref="AF4">VLOOKUP(AD4,T1:AA464,5,FALSE)</f>
        <v>0</v>
      </c>
    </row>
    <row r="5" spans="1:32" ht="21.25" customHeight="1" x14ac:dyDescent="0.15">
      <c r="A5" s="24"/>
      <c r="B5" s="88" t="str" cm="1">
        <f t="array" ref="B5">IFERROR(VLOOKUP($A5,'The List'!$B1:$AS671,3,FALSE)," ")</f>
        <v xml:space="preserve"> </v>
      </c>
      <c r="C5" s="92" t="str" cm="1">
        <f t="array" ref="C5">IFERROR(VLOOKUP($A5,'The List'!$B1:$AS671,4,FALSE)," ")</f>
        <v xml:space="preserve"> </v>
      </c>
      <c r="D5" s="18" t="str" cm="1">
        <f t="array" ref="D5">IFERROR(VLOOKUP($A5,'The List'!$B1:$AS671,5,FALSE)," ")</f>
        <v xml:space="preserve"> </v>
      </c>
      <c r="E5" s="18" t="str" cm="1">
        <f t="array" ref="E5">IFERROR(VLOOKUP($A5,'The List'!$B1:$AS671,6,FALSE)," ")</f>
        <v xml:space="preserve"> </v>
      </c>
      <c r="F5" s="93" t="str" cm="1">
        <f t="array" ref="F5">IFERROR(VLOOKUP($A5,'The List'!$B1:$AS671,8,FALSE)," ")</f>
        <v xml:space="preserve"> </v>
      </c>
      <c r="G5" s="93" t="str" cm="1">
        <f t="array" ref="G5">IFERROR(VLOOKUP($A5,'The List'!$B1:$AS671,10,FALSE)," ")</f>
        <v xml:space="preserve"> </v>
      </c>
      <c r="H5" s="55"/>
      <c r="I5" s="85" t="str" cm="1">
        <f t="array" ref="I5">IFERROR(VLOOKUP($A5,'The List'!$B1:$AS671,16,FALSE)," ")</f>
        <v xml:space="preserve"> </v>
      </c>
      <c r="J5" s="85" t="str" cm="1">
        <f t="array" ref="J5">IFERROR(VLOOKUP($A5,'The List'!$B1:$AS671,17,FALSE)," ")</f>
        <v xml:space="preserve"> </v>
      </c>
      <c r="K5" s="85" t="str" cm="1">
        <f t="array" ref="K5">IFERROR(VLOOKUP($A5,'The List'!$B1:$AS671,18,FALSE)," ")</f>
        <v xml:space="preserve"> </v>
      </c>
      <c r="L5" s="85" t="str" cm="1">
        <f t="array" ref="L5">IFERROR(VLOOKUP($A5,'The List'!$B1:$AS671,19,FALSE)," ")</f>
        <v xml:space="preserve"> </v>
      </c>
      <c r="M5" s="85" t="str" cm="1">
        <f t="array" ref="M5">IFERROR(VLOOKUP($A5,'The List'!$B1:$AS671,20,FALSE)," ")</f>
        <v xml:space="preserve"> </v>
      </c>
      <c r="N5" s="85" t="str" cm="1">
        <f t="array" ref="N5">IFERROR(VLOOKUP($A5,'The List'!$B1:$AS671,21,FALSE)," ")</f>
        <v xml:space="preserve"> </v>
      </c>
      <c r="O5" s="85" t="str" cm="1">
        <f t="array" ref="O5">IFERROR(VLOOKUP($A5,'The List'!$B1:$AS671,22,FALSE)," ")</f>
        <v xml:space="preserve"> </v>
      </c>
      <c r="P5" s="85" t="str" cm="1">
        <f t="array" ref="P5">IFERROR(VLOOKUP($A5,'The List'!$B1:$AS671,23,FALSE)," ")</f>
        <v xml:space="preserve"> </v>
      </c>
      <c r="Q5" s="85" t="str" cm="1">
        <f t="array" ref="Q5">IFERROR(VLOOKUP($A5,'The List'!$B1:$AS671,24,FALSE)," ")</f>
        <v xml:space="preserve"> </v>
      </c>
      <c r="R5" s="85" t="str" cm="1">
        <f t="array" ref="R5">IFERROR(VLOOKUP($A5,'The List'!$B1:$AS671,25,FALSE)," ")</f>
        <v xml:space="preserve"> </v>
      </c>
      <c r="S5" s="85" t="str" cm="1">
        <f t="array" ref="S5">IFERROR(VLOOKUP($A5,'The List'!$B1:$AS671,26,FALSE)," ")</f>
        <v xml:space="preserve"> </v>
      </c>
      <c r="T5" s="85" t="str" cm="1">
        <f t="array" ref="T5">IFERROR(VLOOKUP($A5,'The List'!$B1:$AS671,27,FALSE)," ")</f>
        <v xml:space="preserve"> </v>
      </c>
      <c r="U5" s="85" t="str" cm="1">
        <f t="array" ref="U5">IFERROR(VLOOKUP($A5,'The List'!$B1:$AS671,28,FALSE)," ")</f>
        <v xml:space="preserve"> </v>
      </c>
      <c r="V5" s="85" t="str" cm="1">
        <f t="array" ref="V5">IFERROR(VLOOKUP($A5,'The List'!$B1:$AS671,29,FALSE)," ")</f>
        <v xml:space="preserve"> </v>
      </c>
      <c r="W5" s="85" t="str" cm="1">
        <f t="array" ref="W5">IFERROR(VLOOKUP($A5,'The List'!$B1:$AS671,30,FALSE)," ")</f>
        <v xml:space="preserve"> </v>
      </c>
      <c r="X5" s="85" t="str" cm="1">
        <f t="array" ref="X5">IFERROR(VLOOKUP($A5,'The List'!$B1:$AS671,31,FALSE)," ")</f>
        <v xml:space="preserve"> </v>
      </c>
      <c r="Y5" s="85" t="str" cm="1">
        <f t="array" ref="Y5">IFERROR(VLOOKUP($A5,'The List'!$B1:$AS671,32,FALSE)," ")</f>
        <v xml:space="preserve"> </v>
      </c>
      <c r="Z5" s="85" t="str" cm="1">
        <f t="array" ref="Z5">IFERROR(VLOOKUP($A5,'The List'!$B1:$AS671,33,FALSE)," ")</f>
        <v xml:space="preserve"> </v>
      </c>
      <c r="AA5" s="86"/>
      <c r="AB5" s="91"/>
      <c r="AC5" s="91"/>
      <c r="AD5" s="10" t="s">
        <v>805</v>
      </c>
      <c r="AE5" s="52" cm="1">
        <f t="array" ref="AE5">VLOOKUP(AD5,T1:Y464,2,FALSE)</f>
        <v>0</v>
      </c>
      <c r="AF5" s="52" cm="1">
        <f t="array" ref="AF5">VLOOKUP(AD5,T1:AA464,5,FALSE)</f>
        <v>0</v>
      </c>
    </row>
    <row r="6" spans="1:32" ht="21.25" customHeight="1" x14ac:dyDescent="0.15">
      <c r="A6" s="10" t="s">
        <v>144</v>
      </c>
      <c r="B6" s="94" t="str" cm="1">
        <f t="array" ref="B6">IFERROR(VLOOKUP($A6,'The List'!$B1:$AS671,3,FALSE)," ")</f>
        <v>LW,RW</v>
      </c>
      <c r="C6" s="95" cm="1">
        <f t="array" ref="C6">IFERROR(VLOOKUP($A6,'The List'!$B1:$AS671,4,FALSE)," ")</f>
        <v>4</v>
      </c>
      <c r="D6" s="18" t="str" cm="1">
        <f t="array" ref="D6">IFERROR(VLOOKUP($A6,'The List'!$B1:$AS671,5,FALSE)," ")</f>
        <v>DAL</v>
      </c>
      <c r="E6" s="90" cm="1">
        <f t="array" ref="E6">IFERROR(VLOOKUP($A6,'The List'!$B1:$AS671,6,FALSE)," ")</f>
        <v>27</v>
      </c>
      <c r="F6" s="52" cm="1">
        <f t="array" ref="F6">IFERROR(VLOOKUP($A6,'The List'!$B1:$AS671,8,FALSE)," ")</f>
        <v>482.26198502606582</v>
      </c>
      <c r="G6" s="52" cm="1">
        <f t="array" ref="G6">IFERROR(VLOOKUP($A6,'The List'!$B1:$AS671,10,FALSE)," ")</f>
        <v>87.318520332508342</v>
      </c>
      <c r="H6" s="55"/>
      <c r="I6" s="57" cm="1">
        <f t="array" ref="I6">IFERROR(VLOOKUP($A6,'The List'!$B1:$AS671,16,FALSE)," ")</f>
        <v>84.03</v>
      </c>
      <c r="J6" s="57" cm="1">
        <f t="array" ref="J6">IFERROR(VLOOKUP($A6,'The List'!$B1:$AS671,17,FALSE)," ")</f>
        <v>20.181435428582301</v>
      </c>
      <c r="K6" s="57" cm="1">
        <f t="array" ref="K6">IFERROR(VLOOKUP($A6,'The List'!$B1:$AS671,18,FALSE)," ")</f>
        <v>41.3845649530735</v>
      </c>
      <c r="L6" s="57" cm="1">
        <f t="array" ref="L6">IFERROR(VLOOKUP($A6,'The List'!$B1:$AS671,19,FALSE)," ")</f>
        <v>54.059336522722205</v>
      </c>
      <c r="M6" s="57" cm="1">
        <f t="array" ref="M6">IFERROR(VLOOKUP($A6,'The List'!$B1:$AS671,20,FALSE)," ")</f>
        <v>95.443901475795712</v>
      </c>
      <c r="N6" s="57" cm="1">
        <f t="array" ref="N6">IFERROR(VLOOKUP($A6,'The List'!$B1:$AS671,21,FALSE)," ")</f>
        <v>282.53310084715253</v>
      </c>
      <c r="O6" s="57" cm="1">
        <f t="array" ref="O6">IFERROR(VLOOKUP($A6,'The List'!$B1:$AS671,22,FALSE)," ")</f>
        <v>13.496571152639666</v>
      </c>
      <c r="P6" s="57" cm="1">
        <f t="array" ref="P6">IFERROR(VLOOKUP($A6,'The List'!$B1:$AS671,23,FALSE)," ")</f>
        <v>34.915236473615884</v>
      </c>
      <c r="Q6" s="57" cm="1">
        <f t="array" ref="Q6">IFERROR(VLOOKUP($A6,'The List'!$B1:$AS671,24,FALSE)," ")</f>
        <v>9.4444327659745312E-3</v>
      </c>
      <c r="R6" s="57" cm="1">
        <f t="array" ref="R6">IFERROR(VLOOKUP($A6,'The List'!$B1:$AS671,25,FALSE)," ")</f>
        <v>1.5482767931086397E-2</v>
      </c>
      <c r="S6" s="57" cm="1">
        <f t="array" ref="S6">IFERROR(VLOOKUP($A6,'The List'!$B1:$AS671,26,FALSE)," ")</f>
        <v>39.46602186711096</v>
      </c>
      <c r="T6" s="57" cm="1">
        <f t="array" ref="T6">IFERROR(VLOOKUP($A6,'The List'!$B1:$AS671,27,FALSE)," ")</f>
        <v>56.246997647994114</v>
      </c>
      <c r="U6" s="57" cm="1">
        <f t="array" ref="U6">IFERROR(VLOOKUP($A6,'The List'!$B1:$AS671,28,FALSE)," ")</f>
        <v>8.8954982443597821</v>
      </c>
      <c r="V6" s="57" cm="1">
        <f t="array" ref="V6">IFERROR(VLOOKUP($A6,'The List'!$B1:$AS671,29,FALSE)," ")</f>
        <v>29.803729501800866</v>
      </c>
      <c r="W6" s="57" cm="1">
        <f t="array" ref="W6">IFERROR(VLOOKUP($A6,'The List'!$B1:$AS671,30,FALSE)," ")</f>
        <v>6.9990732145221601</v>
      </c>
      <c r="X6" s="57" cm="1">
        <f t="array" ref="X6">IFERROR(VLOOKUP($A6,'The List'!$B1:$AS671,31,FALSE)," ")</f>
        <v>1.3742017130449358</v>
      </c>
      <c r="Y6" s="57" cm="1">
        <f t="array" ref="Y6">IFERROR(VLOOKUP($A6,'The List'!$B1:$AS671,32,FALSE)," ")</f>
        <v>3.7885716895028887</v>
      </c>
      <c r="Z6" s="59" cm="1">
        <f t="array" ref="Z6">IFERROR(VLOOKUP($A6,'The List'!$B1:$AS671,33,FALSE)," ")</f>
        <v>0.26617509735499301</v>
      </c>
      <c r="AA6" s="86"/>
      <c r="AB6" s="91"/>
      <c r="AC6" s="91"/>
      <c r="AD6" s="10" t="s">
        <v>806</v>
      </c>
      <c r="AE6" s="52" cm="1">
        <f t="array" ref="AE6">VLOOKUP(AD6,T1:Y464,2,FALSE)</f>
        <v>0</v>
      </c>
      <c r="AF6" s="52" cm="1">
        <f t="array" ref="AF6">VLOOKUP(AD6,T1:AA464,5,FALSE)</f>
        <v>0</v>
      </c>
    </row>
    <row r="7" spans="1:32" ht="21.25" customHeight="1" x14ac:dyDescent="0.15">
      <c r="A7" s="24"/>
      <c r="B7" s="94" t="str" cm="1">
        <f t="array" ref="B7">IFERROR(VLOOKUP($A7,'The List'!$B1:$AS671,3,FALSE)," ")</f>
        <v xml:space="preserve"> </v>
      </c>
      <c r="C7" s="96" t="str" cm="1">
        <f t="array" ref="C7">IFERROR(VLOOKUP($A7,'The List'!$B1:$AS671,4,FALSE)," ")</f>
        <v xml:space="preserve"> </v>
      </c>
      <c r="D7" s="18" t="str" cm="1">
        <f t="array" ref="D7">IFERROR(VLOOKUP($A7,'The List'!$B1:$AS671,5,FALSE)," ")</f>
        <v xml:space="preserve"> </v>
      </c>
      <c r="E7" s="18" t="str" cm="1">
        <f t="array" ref="E7">IFERROR(VLOOKUP($A7,'The List'!$B1:$AS671,6,FALSE)," ")</f>
        <v xml:space="preserve"> </v>
      </c>
      <c r="F7" s="93" t="str" cm="1">
        <f t="array" ref="F7">IFERROR(VLOOKUP($A7,'The List'!$B1:$AS671,8,FALSE)," ")</f>
        <v xml:space="preserve"> </v>
      </c>
      <c r="G7" s="93" t="str" cm="1">
        <f t="array" ref="G7">IFERROR(VLOOKUP($A7,'The List'!$B1:$AS671,10,FALSE)," ")</f>
        <v xml:space="preserve"> </v>
      </c>
      <c r="H7" s="55"/>
      <c r="I7" s="85" t="str" cm="1">
        <f t="array" ref="I7">IFERROR(VLOOKUP($A7,'The List'!$B1:$AS671,16,FALSE)," ")</f>
        <v xml:space="preserve"> </v>
      </c>
      <c r="J7" s="85" t="str" cm="1">
        <f t="array" ref="J7">IFERROR(VLOOKUP($A7,'The List'!$B1:$AS671,17,FALSE)," ")</f>
        <v xml:space="preserve"> </v>
      </c>
      <c r="K7" s="85" t="str" cm="1">
        <f t="array" ref="K7">IFERROR(VLOOKUP($A7,'The List'!$B1:$AS671,18,FALSE)," ")</f>
        <v xml:space="preserve"> </v>
      </c>
      <c r="L7" s="85" t="str" cm="1">
        <f t="array" ref="L7">IFERROR(VLOOKUP($A7,'The List'!$B1:$AS671,19,FALSE)," ")</f>
        <v xml:space="preserve"> </v>
      </c>
      <c r="M7" s="85" t="str" cm="1">
        <f t="array" ref="M7">IFERROR(VLOOKUP($A7,'The List'!$B1:$AS671,20,FALSE)," ")</f>
        <v xml:space="preserve"> </v>
      </c>
      <c r="N7" s="85" t="str" cm="1">
        <f t="array" ref="N7">IFERROR(VLOOKUP($A7,'The List'!$B1:$AS671,21,FALSE)," ")</f>
        <v xml:space="preserve"> </v>
      </c>
      <c r="O7" s="85" t="str" cm="1">
        <f t="array" ref="O7">IFERROR(VLOOKUP($A7,'The List'!$B1:$AS671,22,FALSE)," ")</f>
        <v xml:space="preserve"> </v>
      </c>
      <c r="P7" s="85" t="str" cm="1">
        <f t="array" ref="P7">IFERROR(VLOOKUP($A7,'The List'!$B1:$AS671,23,FALSE)," ")</f>
        <v xml:space="preserve"> </v>
      </c>
      <c r="Q7" s="85" t="str" cm="1">
        <f t="array" ref="Q7">IFERROR(VLOOKUP($A7,'The List'!$B1:$AS671,24,FALSE)," ")</f>
        <v xml:space="preserve"> </v>
      </c>
      <c r="R7" s="85" t="str" cm="1">
        <f t="array" ref="R7">IFERROR(VLOOKUP($A7,'The List'!$B1:$AS671,25,FALSE)," ")</f>
        <v xml:space="preserve"> </v>
      </c>
      <c r="S7" s="85" t="str" cm="1">
        <f t="array" ref="S7">IFERROR(VLOOKUP($A7,'The List'!$B1:$AS671,26,FALSE)," ")</f>
        <v xml:space="preserve"> </v>
      </c>
      <c r="T7" s="85" t="str" cm="1">
        <f t="array" ref="T7">IFERROR(VLOOKUP($A7,'The List'!$B1:$AS671,27,FALSE)," ")</f>
        <v xml:space="preserve"> </v>
      </c>
      <c r="U7" s="85" t="str" cm="1">
        <f t="array" ref="U7">IFERROR(VLOOKUP($A7,'The List'!$B1:$AS671,28,FALSE)," ")</f>
        <v xml:space="preserve"> </v>
      </c>
      <c r="V7" s="85" t="str" cm="1">
        <f t="array" ref="V7">IFERROR(VLOOKUP($A7,'The List'!$B1:$AS671,29,FALSE)," ")</f>
        <v xml:space="preserve"> </v>
      </c>
      <c r="W7" s="85" t="str" cm="1">
        <f t="array" ref="W7">IFERROR(VLOOKUP($A7,'The List'!$B1:$AS671,30,FALSE)," ")</f>
        <v xml:space="preserve"> </v>
      </c>
      <c r="X7" s="85" t="str" cm="1">
        <f t="array" ref="X7">IFERROR(VLOOKUP($A7,'The List'!$B1:$AS671,31,FALSE)," ")</f>
        <v xml:space="preserve"> </v>
      </c>
      <c r="Y7" s="85" t="str" cm="1">
        <f t="array" ref="Y7">IFERROR(VLOOKUP($A7,'The List'!$B1:$AS671,32,FALSE)," ")</f>
        <v xml:space="preserve"> </v>
      </c>
      <c r="Z7" s="85" t="str" cm="1">
        <f t="array" ref="Z7">IFERROR(VLOOKUP($A7,'The List'!$B1:$AS671,33,FALSE)," ")</f>
        <v xml:space="preserve"> </v>
      </c>
      <c r="AA7" s="86"/>
      <c r="AB7" s="91"/>
      <c r="AC7" s="91"/>
      <c r="AD7" s="10" t="s">
        <v>807</v>
      </c>
      <c r="AE7" s="52" cm="1">
        <f t="array" ref="AE7">VLOOKUP(AD7,T1:Y464,2,FALSE)</f>
        <v>0</v>
      </c>
      <c r="AF7" s="52" cm="1">
        <f t="array" ref="AF7">VLOOKUP(AD7,T1:AA464,5,FALSE)</f>
        <v>0</v>
      </c>
    </row>
    <row r="8" spans="1:32" ht="21.25" customHeight="1" x14ac:dyDescent="0.15">
      <c r="A8" s="24"/>
      <c r="B8" s="94" t="str" cm="1">
        <f t="array" ref="B8">IFERROR(VLOOKUP($A8,'The List'!$B1:$AS671,3,FALSE)," ")</f>
        <v xml:space="preserve"> </v>
      </c>
      <c r="C8" s="96" t="str" cm="1">
        <f t="array" ref="C8">IFERROR(VLOOKUP($A8,'The List'!$B1:$AS671,4,FALSE)," ")</f>
        <v xml:space="preserve"> </v>
      </c>
      <c r="D8" s="18" t="str" cm="1">
        <f t="array" ref="D8">IFERROR(VLOOKUP($A8,'The List'!$B1:$AS671,5,FALSE)," ")</f>
        <v xml:space="preserve"> </v>
      </c>
      <c r="E8" s="18" t="str" cm="1">
        <f t="array" ref="E8">IFERROR(VLOOKUP($A8,'The List'!$B1:$AS671,6,FALSE)," ")</f>
        <v xml:space="preserve"> </v>
      </c>
      <c r="F8" s="93" t="str" cm="1">
        <f t="array" ref="F8">IFERROR(VLOOKUP($A8,'The List'!$B1:$AS671,8,FALSE)," ")</f>
        <v xml:space="preserve"> </v>
      </c>
      <c r="G8" s="93" t="str" cm="1">
        <f t="array" ref="G8">IFERROR(VLOOKUP($A8,'The List'!$B1:$AS671,10,FALSE)," ")</f>
        <v xml:space="preserve"> </v>
      </c>
      <c r="H8" s="55"/>
      <c r="I8" s="85" t="str" cm="1">
        <f t="array" ref="I8">IFERROR(VLOOKUP($A8,'The List'!$B1:$AS671,16,FALSE)," ")</f>
        <v xml:space="preserve"> </v>
      </c>
      <c r="J8" s="85" t="str" cm="1">
        <f t="array" ref="J8">IFERROR(VLOOKUP($A8,'The List'!$B1:$AS671,17,FALSE)," ")</f>
        <v xml:space="preserve"> </v>
      </c>
      <c r="K8" s="85" t="str" cm="1">
        <f t="array" ref="K8">IFERROR(VLOOKUP($A8,'The List'!$B1:$AS671,18,FALSE)," ")</f>
        <v xml:space="preserve"> </v>
      </c>
      <c r="L8" s="85" t="str" cm="1">
        <f t="array" ref="L8">IFERROR(VLOOKUP($A8,'The List'!$B1:$AS671,19,FALSE)," ")</f>
        <v xml:space="preserve"> </v>
      </c>
      <c r="M8" s="85" t="str" cm="1">
        <f t="array" ref="M8">IFERROR(VLOOKUP($A8,'The List'!$B1:$AS671,20,FALSE)," ")</f>
        <v xml:space="preserve"> </v>
      </c>
      <c r="N8" s="85" t="str" cm="1">
        <f t="array" ref="N8">IFERROR(VLOOKUP($A8,'The List'!$B1:$AS671,21,FALSE)," ")</f>
        <v xml:space="preserve"> </v>
      </c>
      <c r="O8" s="85" t="str" cm="1">
        <f t="array" ref="O8">IFERROR(VLOOKUP($A8,'The List'!$B1:$AS671,22,FALSE)," ")</f>
        <v xml:space="preserve"> </v>
      </c>
      <c r="P8" s="85" t="str" cm="1">
        <f t="array" ref="P8">IFERROR(VLOOKUP($A8,'The List'!$B1:$AS671,23,FALSE)," ")</f>
        <v xml:space="preserve"> </v>
      </c>
      <c r="Q8" s="85" t="str" cm="1">
        <f t="array" ref="Q8">IFERROR(VLOOKUP($A8,'The List'!$B1:$AS671,24,FALSE)," ")</f>
        <v xml:space="preserve"> </v>
      </c>
      <c r="R8" s="85" t="str" cm="1">
        <f t="array" ref="R8">IFERROR(VLOOKUP($A8,'The List'!$B1:$AS671,25,FALSE)," ")</f>
        <v xml:space="preserve"> </v>
      </c>
      <c r="S8" s="85" t="str" cm="1">
        <f t="array" ref="S8">IFERROR(VLOOKUP($A8,'The List'!$B1:$AS671,26,FALSE)," ")</f>
        <v xml:space="preserve"> </v>
      </c>
      <c r="T8" s="85" t="str" cm="1">
        <f t="array" ref="T8">IFERROR(VLOOKUP($A8,'The List'!$B1:$AS671,27,FALSE)," ")</f>
        <v xml:space="preserve"> </v>
      </c>
      <c r="U8" s="85" t="str" cm="1">
        <f t="array" ref="U8">IFERROR(VLOOKUP($A8,'The List'!$B1:$AS671,28,FALSE)," ")</f>
        <v xml:space="preserve"> </v>
      </c>
      <c r="V8" s="85" t="str" cm="1">
        <f t="array" ref="V8">IFERROR(VLOOKUP($A8,'The List'!$B1:$AS671,29,FALSE)," ")</f>
        <v xml:space="preserve"> </v>
      </c>
      <c r="W8" s="85" t="str" cm="1">
        <f t="array" ref="W8">IFERROR(VLOOKUP($A8,'The List'!$B1:$AS671,30,FALSE)," ")</f>
        <v xml:space="preserve"> </v>
      </c>
      <c r="X8" s="85" t="str" cm="1">
        <f t="array" ref="X8">IFERROR(VLOOKUP($A8,'The List'!$B1:$AS671,31,FALSE)," ")</f>
        <v xml:space="preserve"> </v>
      </c>
      <c r="Y8" s="85" t="str" cm="1">
        <f t="array" ref="Y8">IFERROR(VLOOKUP($A8,'The List'!$B1:$AS671,32,FALSE)," ")</f>
        <v xml:space="preserve"> </v>
      </c>
      <c r="Z8" s="85" t="str" cm="1">
        <f t="array" ref="Z8">IFERROR(VLOOKUP($A8,'The List'!$B1:$AS671,33,FALSE)," ")</f>
        <v xml:space="preserve"> </v>
      </c>
      <c r="AA8" s="86"/>
      <c r="AB8" s="91"/>
      <c r="AC8" s="91"/>
      <c r="AD8" s="10" t="s">
        <v>808</v>
      </c>
      <c r="AE8" s="52" cm="1">
        <f t="array" ref="AE8">VLOOKUP(AD8,T1:Y464,2,FALSE)</f>
        <v>0</v>
      </c>
      <c r="AF8" s="52" cm="1">
        <f t="array" ref="AF8">VLOOKUP(AD8,T1:AA464,5,FALSE)</f>
        <v>0</v>
      </c>
    </row>
    <row r="9" spans="1:32" ht="21.25" customHeight="1" x14ac:dyDescent="0.15">
      <c r="A9" s="24"/>
      <c r="B9" s="94" t="str" cm="1">
        <f t="array" ref="B9">IFERROR(VLOOKUP($A9,'The List'!$B1:$AS671,3,FALSE)," ")</f>
        <v xml:space="preserve"> </v>
      </c>
      <c r="C9" s="96" t="str" cm="1">
        <f t="array" ref="C9">IFERROR(VLOOKUP($A9,'The List'!$B1:$AS671,4,FALSE)," ")</f>
        <v xml:space="preserve"> </v>
      </c>
      <c r="D9" s="18" t="str" cm="1">
        <f t="array" ref="D9">IFERROR(VLOOKUP($A9,'The List'!$B1:$AS671,5,FALSE)," ")</f>
        <v xml:space="preserve"> </v>
      </c>
      <c r="E9" s="18" t="str" cm="1">
        <f t="array" ref="E9">IFERROR(VLOOKUP($A9,'The List'!$B1:$AS671,6,FALSE)," ")</f>
        <v xml:space="preserve"> </v>
      </c>
      <c r="F9" s="93" t="str" cm="1">
        <f t="array" ref="F9">IFERROR(VLOOKUP($A9,'The List'!$B1:$AS671,8,FALSE)," ")</f>
        <v xml:space="preserve"> </v>
      </c>
      <c r="G9" s="93" t="str" cm="1">
        <f t="array" ref="G9">IFERROR(VLOOKUP($A9,'The List'!$B1:$AS671,10,FALSE)," ")</f>
        <v xml:space="preserve"> </v>
      </c>
      <c r="H9" s="55"/>
      <c r="I9" s="85" t="str" cm="1">
        <f t="array" ref="I9">IFERROR(VLOOKUP($A9,'The List'!$B1:$AS671,16,FALSE)," ")</f>
        <v xml:space="preserve"> </v>
      </c>
      <c r="J9" s="85" t="str" cm="1">
        <f t="array" ref="J9">IFERROR(VLOOKUP($A9,'The List'!$B1:$AS671,17,FALSE)," ")</f>
        <v xml:space="preserve"> </v>
      </c>
      <c r="K9" s="85" t="str" cm="1">
        <f t="array" ref="K9">IFERROR(VLOOKUP($A9,'The List'!$B1:$AS671,18,FALSE)," ")</f>
        <v xml:space="preserve"> </v>
      </c>
      <c r="L9" s="85" t="str" cm="1">
        <f t="array" ref="L9">IFERROR(VLOOKUP($A9,'The List'!$B1:$AS671,19,FALSE)," ")</f>
        <v xml:space="preserve"> </v>
      </c>
      <c r="M9" s="85" t="str" cm="1">
        <f t="array" ref="M9">IFERROR(VLOOKUP($A9,'The List'!$B1:$AS671,20,FALSE)," ")</f>
        <v xml:space="preserve"> </v>
      </c>
      <c r="N9" s="85" t="str" cm="1">
        <f t="array" ref="N9">IFERROR(VLOOKUP($A9,'The List'!$B1:$AS671,21,FALSE)," ")</f>
        <v xml:space="preserve"> </v>
      </c>
      <c r="O9" s="85" t="str" cm="1">
        <f t="array" ref="O9">IFERROR(VLOOKUP($A9,'The List'!$B1:$AS671,22,FALSE)," ")</f>
        <v xml:space="preserve"> </v>
      </c>
      <c r="P9" s="85" t="str" cm="1">
        <f t="array" ref="P9">IFERROR(VLOOKUP($A9,'The List'!$B1:$AS671,23,FALSE)," ")</f>
        <v xml:space="preserve"> </v>
      </c>
      <c r="Q9" s="85" t="str" cm="1">
        <f t="array" ref="Q9">IFERROR(VLOOKUP($A9,'The List'!$B1:$AS671,24,FALSE)," ")</f>
        <v xml:space="preserve"> </v>
      </c>
      <c r="R9" s="85" t="str" cm="1">
        <f t="array" ref="R9">IFERROR(VLOOKUP($A9,'The List'!$B1:$AS671,25,FALSE)," ")</f>
        <v xml:space="preserve"> </v>
      </c>
      <c r="S9" s="85" t="str" cm="1">
        <f t="array" ref="S9">IFERROR(VLOOKUP($A9,'The List'!$B1:$AS671,26,FALSE)," ")</f>
        <v xml:space="preserve"> </v>
      </c>
      <c r="T9" s="85" t="str" cm="1">
        <f t="array" ref="T9">IFERROR(VLOOKUP($A9,'The List'!$B1:$AS671,27,FALSE)," ")</f>
        <v xml:space="preserve"> </v>
      </c>
      <c r="U9" s="85" t="str" cm="1">
        <f t="array" ref="U9">IFERROR(VLOOKUP($A9,'The List'!$B1:$AS671,28,FALSE)," ")</f>
        <v xml:space="preserve"> </v>
      </c>
      <c r="V9" s="85" t="str" cm="1">
        <f t="array" ref="V9">IFERROR(VLOOKUP($A9,'The List'!$B1:$AS671,29,FALSE)," ")</f>
        <v xml:space="preserve"> </v>
      </c>
      <c r="W9" s="85" t="str" cm="1">
        <f t="array" ref="W9">IFERROR(VLOOKUP($A9,'The List'!$B1:$AS671,30,FALSE)," ")</f>
        <v xml:space="preserve"> </v>
      </c>
      <c r="X9" s="85" t="str" cm="1">
        <f t="array" ref="X9">IFERROR(VLOOKUP($A9,'The List'!$B1:$AS671,31,FALSE)," ")</f>
        <v xml:space="preserve"> </v>
      </c>
      <c r="Y9" s="85" t="str" cm="1">
        <f t="array" ref="Y9">IFERROR(VLOOKUP($A9,'The List'!$B1:$AS671,32,FALSE)," ")</f>
        <v xml:space="preserve"> </v>
      </c>
      <c r="Z9" s="85" t="str" cm="1">
        <f t="array" ref="Z9">IFERROR(VLOOKUP($A9,'The List'!$B1:$AS671,33,FALSE)," ")</f>
        <v xml:space="preserve"> </v>
      </c>
      <c r="AA9" s="86"/>
      <c r="AB9" s="91"/>
      <c r="AC9" s="91"/>
      <c r="AD9" s="10" t="s">
        <v>809</v>
      </c>
      <c r="AE9" s="52" cm="1">
        <f t="array" ref="AE9">VLOOKUP(AD9,T1:Y464,2,FALSE)</f>
        <v>0</v>
      </c>
      <c r="AF9" s="52" cm="1">
        <f t="array" ref="AF9">VLOOKUP(AD9,T1:AA464,5,FALSE)</f>
        <v>0</v>
      </c>
    </row>
    <row r="10" spans="1:32" ht="21.25" customHeight="1" x14ac:dyDescent="0.15">
      <c r="A10" s="10" t="s">
        <v>130</v>
      </c>
      <c r="B10" s="97" t="str" cm="1">
        <f t="array" ref="B10">IFERROR(VLOOKUP($A10,'The List'!$B1:$AS671,3,FALSE)," ")</f>
        <v>RW</v>
      </c>
      <c r="C10" s="98" cm="1">
        <f t="array" ref="C10">IFERROR(VLOOKUP($A10,'The List'!$B1:$AS671,4,FALSE)," ")</f>
        <v>1</v>
      </c>
      <c r="D10" s="18" t="str" cm="1">
        <f t="array" ref="D10">IFERROR(VLOOKUP($A10,'The List'!$B1:$AS671,5,FALSE)," ")</f>
        <v>T.B</v>
      </c>
      <c r="E10" s="90" cm="1">
        <f t="array" ref="E10">IFERROR(VLOOKUP($A10,'The List'!$B1:$AS671,6,FALSE)," ")</f>
        <v>33</v>
      </c>
      <c r="F10" s="52" cm="1">
        <f t="array" ref="F10">IFERROR(VLOOKUP($A10,'The List'!$B1:$AS671,8,FALSE)," ")</f>
        <v>570.68556458331921</v>
      </c>
      <c r="G10" s="52" cm="1">
        <f t="array" ref="G10">IFERROR(VLOOKUP($A10,'The List'!$B1:$AS671,10,FALSE)," ")</f>
        <v>175.74209988976173</v>
      </c>
      <c r="H10" s="55"/>
      <c r="I10" s="57" cm="1">
        <f t="array" ref="I10">IFERROR(VLOOKUP($A10,'The List'!$B1:$AS671,16,FALSE)," ")</f>
        <v>82.314999999999998</v>
      </c>
      <c r="J10" s="57" cm="1">
        <f t="array" ref="J10">IFERROR(VLOOKUP($A10,'The List'!$B1:$AS671,17,FALSE)," ")</f>
        <v>20.2639851811557</v>
      </c>
      <c r="K10" s="57" cm="1">
        <f t="array" ref="K10">IFERROR(VLOOKUP($A10,'The List'!$B1:$AS671,18,FALSE)," ")</f>
        <v>41.269659618370582</v>
      </c>
      <c r="L10" s="57" cm="1">
        <f t="array" ref="L10">IFERROR(VLOOKUP($A10,'The List'!$B1:$AS671,19,FALSE)," ")</f>
        <v>85.913016803717085</v>
      </c>
      <c r="M10" s="57" cm="1">
        <f t="array" ref="M10">IFERROR(VLOOKUP($A10,'The List'!$B1:$AS671,20,FALSE)," ")</f>
        <v>127.18267642208767</v>
      </c>
      <c r="N10" s="57" cm="1">
        <f t="array" ref="N10">IFERROR(VLOOKUP($A10,'The List'!$B1:$AS671,21,FALSE)," ")</f>
        <v>257.25981566966226</v>
      </c>
      <c r="O10" s="57" cm="1">
        <f t="array" ref="O10">IFERROR(VLOOKUP($A10,'The List'!$B1:$AS671,22,FALSE)," ")</f>
        <v>9.3950677200621922</v>
      </c>
      <c r="P10" s="57" cm="1">
        <f t="array" ref="P10">IFERROR(VLOOKUP($A10,'The List'!$B1:$AS671,23,FALSE)," ")</f>
        <v>43.605515770944514</v>
      </c>
      <c r="Q10" s="57" cm="1">
        <f t="array" ref="Q10">IFERROR(VLOOKUP($A10,'The List'!$B1:$AS671,24,FALSE)," ")</f>
        <v>5.9203788767754374E-2</v>
      </c>
      <c r="R10" s="57" cm="1">
        <f t="array" ref="R10">IFERROR(VLOOKUP($A10,'The List'!$B1:$AS671,25,FALSE)," ")</f>
        <v>6.5907541797824556E-2</v>
      </c>
      <c r="S10" s="57" cm="1">
        <f t="array" ref="S10">IFERROR(VLOOKUP($A10,'The List'!$B1:$AS671,26,FALSE)," ")</f>
        <v>33.672408338965461</v>
      </c>
      <c r="T10" s="57" cm="1">
        <f t="array" ref="T10">IFERROR(VLOOKUP($A10,'The List'!$B1:$AS671,27,FALSE)," ")</f>
        <v>37.183001701040986</v>
      </c>
      <c r="U10" s="57" cm="1">
        <f t="array" ref="U10">IFERROR(VLOOKUP($A10,'The List'!$B1:$AS671,28,FALSE)," ")</f>
        <v>13.047675152607264</v>
      </c>
      <c r="V10" s="57" cm="1">
        <f t="array" ref="V10">IFERROR(VLOOKUP($A10,'The List'!$B1:$AS671,29,FALSE)," ")</f>
        <v>35.472287484189444</v>
      </c>
      <c r="W10" s="57" cm="1">
        <f t="array" ref="W10">IFERROR(VLOOKUP($A10,'The List'!$B1:$AS671,30,FALSE)," ")</f>
        <v>7.3257541034426747</v>
      </c>
      <c r="X10" s="57" cm="1">
        <f t="array" ref="X10">IFERROR(VLOOKUP($A10,'The List'!$B1:$AS671,31,FALSE)," ")</f>
        <v>0.73093166499112305</v>
      </c>
      <c r="Y10" s="57" cm="1">
        <f t="array" ref="Y10">IFERROR(VLOOKUP($A10,'The List'!$B1:$AS671,32,FALSE)," ")</f>
        <v>1.6711680000168787</v>
      </c>
      <c r="Z10" s="59" cm="1">
        <f t="array" ref="Z10">IFERROR(VLOOKUP($A10,'The List'!$B1:$AS671,33,FALSE)," ")</f>
        <v>0.304288650316551</v>
      </c>
      <c r="AA10" s="86"/>
      <c r="AB10" s="91"/>
      <c r="AC10" s="91"/>
      <c r="AD10" s="10" t="s">
        <v>810</v>
      </c>
      <c r="AE10" s="52" cm="1">
        <f t="array" ref="AE10">VLOOKUP(AD10,T1:Y464,2,FALSE)</f>
        <v>0</v>
      </c>
      <c r="AF10" s="52" cm="1">
        <f t="array" ref="AF10">VLOOKUP(AD10,T1:AA464,5,FALSE)</f>
        <v>0</v>
      </c>
    </row>
    <row r="11" spans="1:32" ht="21.25" customHeight="1" x14ac:dyDescent="0.15">
      <c r="A11" s="24"/>
      <c r="B11" s="97" t="str" cm="1">
        <f t="array" ref="B11">IFERROR(VLOOKUP($A11,'The List'!$B1:$AS671,3,FALSE)," ")</f>
        <v xml:space="preserve"> </v>
      </c>
      <c r="C11" s="99" t="str" cm="1">
        <f t="array" ref="C11">IFERROR(VLOOKUP($A11,'The List'!$B1:$AS671,4,FALSE)," ")</f>
        <v xml:space="preserve"> </v>
      </c>
      <c r="D11" s="18" t="str" cm="1">
        <f t="array" ref="D11">IFERROR(VLOOKUP($A11,'The List'!$B1:$AS671,5,FALSE)," ")</f>
        <v xml:space="preserve"> </v>
      </c>
      <c r="E11" s="18" t="str" cm="1">
        <f t="array" ref="E11">IFERROR(VLOOKUP($A11,'The List'!$B1:$AS671,6,FALSE)," ")</f>
        <v xml:space="preserve"> </v>
      </c>
      <c r="F11" s="93" t="str" cm="1">
        <f t="array" ref="F11">IFERROR(VLOOKUP($A11,'The List'!$B1:$AS671,8,FALSE)," ")</f>
        <v xml:space="preserve"> </v>
      </c>
      <c r="G11" s="93" t="str" cm="1">
        <f t="array" ref="G11">IFERROR(VLOOKUP($A11,'The List'!$B1:$AS671,10,FALSE)," ")</f>
        <v xml:space="preserve"> </v>
      </c>
      <c r="H11" s="55"/>
      <c r="I11" s="85" t="str" cm="1">
        <f t="array" ref="I11">IFERROR(VLOOKUP($A11,'The List'!$B1:$AS671,16,FALSE)," ")</f>
        <v xml:space="preserve"> </v>
      </c>
      <c r="J11" s="85" t="str" cm="1">
        <f t="array" ref="J11">IFERROR(VLOOKUP($A11,'The List'!$B1:$AS671,17,FALSE)," ")</f>
        <v xml:space="preserve"> </v>
      </c>
      <c r="K11" s="85" t="str" cm="1">
        <f t="array" ref="K11">IFERROR(VLOOKUP($A11,'The List'!$B1:$AS671,18,FALSE)," ")</f>
        <v xml:space="preserve"> </v>
      </c>
      <c r="L11" s="85" t="str" cm="1">
        <f t="array" ref="L11">IFERROR(VLOOKUP($A11,'The List'!$B1:$AS671,19,FALSE)," ")</f>
        <v xml:space="preserve"> </v>
      </c>
      <c r="M11" s="85" t="str" cm="1">
        <f t="array" ref="M11">IFERROR(VLOOKUP($A11,'The List'!$B1:$AS671,20,FALSE)," ")</f>
        <v xml:space="preserve"> </v>
      </c>
      <c r="N11" s="85" t="str" cm="1">
        <f t="array" ref="N11">IFERROR(VLOOKUP($A11,'The List'!$B1:$AS671,21,FALSE)," ")</f>
        <v xml:space="preserve"> </v>
      </c>
      <c r="O11" s="85" t="str" cm="1">
        <f t="array" ref="O11">IFERROR(VLOOKUP($A11,'The List'!$B1:$AS671,22,FALSE)," ")</f>
        <v xml:space="preserve"> </v>
      </c>
      <c r="P11" s="85" t="str" cm="1">
        <f t="array" ref="P11">IFERROR(VLOOKUP($A11,'The List'!$B1:$AS671,23,FALSE)," ")</f>
        <v xml:space="preserve"> </v>
      </c>
      <c r="Q11" s="85" t="str" cm="1">
        <f t="array" ref="Q11">IFERROR(VLOOKUP($A11,'The List'!$B1:$AS671,24,FALSE)," ")</f>
        <v xml:space="preserve"> </v>
      </c>
      <c r="R11" s="85" t="str" cm="1">
        <f t="array" ref="R11">IFERROR(VLOOKUP($A11,'The List'!$B1:$AS671,25,FALSE)," ")</f>
        <v xml:space="preserve"> </v>
      </c>
      <c r="S11" s="85" t="str" cm="1">
        <f t="array" ref="S11">IFERROR(VLOOKUP($A11,'The List'!$B1:$AS671,26,FALSE)," ")</f>
        <v xml:space="preserve"> </v>
      </c>
      <c r="T11" s="85" t="str" cm="1">
        <f t="array" ref="T11">IFERROR(VLOOKUP($A11,'The List'!$B1:$AS671,27,FALSE)," ")</f>
        <v xml:space="preserve"> </v>
      </c>
      <c r="U11" s="85" t="str" cm="1">
        <f t="array" ref="U11">IFERROR(VLOOKUP($A11,'The List'!$B1:$AS671,28,FALSE)," ")</f>
        <v xml:space="preserve"> </v>
      </c>
      <c r="V11" s="85" t="str" cm="1">
        <f t="array" ref="V11">IFERROR(VLOOKUP($A11,'The List'!$B1:$AS671,29,FALSE)," ")</f>
        <v xml:space="preserve"> </v>
      </c>
      <c r="W11" s="85" t="str" cm="1">
        <f t="array" ref="W11">IFERROR(VLOOKUP($A11,'The List'!$B1:$AS671,30,FALSE)," ")</f>
        <v xml:space="preserve"> </v>
      </c>
      <c r="X11" s="85" t="str" cm="1">
        <f t="array" ref="X11">IFERROR(VLOOKUP($A11,'The List'!$B1:$AS671,31,FALSE)," ")</f>
        <v xml:space="preserve"> </v>
      </c>
      <c r="Y11" s="85" t="str" cm="1">
        <f t="array" ref="Y11">IFERROR(VLOOKUP($A11,'The List'!$B1:$AS671,32,FALSE)," ")</f>
        <v xml:space="preserve"> </v>
      </c>
      <c r="Z11" s="85" t="str" cm="1">
        <f t="array" ref="Z11">IFERROR(VLOOKUP($A11,'The List'!$B1:$AS671,33,FALSE)," ")</f>
        <v xml:space="preserve"> </v>
      </c>
      <c r="AA11" s="86"/>
      <c r="AB11" s="91"/>
      <c r="AC11" s="91"/>
      <c r="AD11" s="10" t="s">
        <v>811</v>
      </c>
      <c r="AE11" s="52" cm="1">
        <f t="array" ref="AE11">VLOOKUP(AD11,T1:Y464,2,FALSE)</f>
        <v>0</v>
      </c>
      <c r="AF11" s="52" cm="1">
        <f t="array" ref="AF11">VLOOKUP(AD11,T1:AA464,5,FALSE)</f>
        <v>0</v>
      </c>
    </row>
    <row r="12" spans="1:32" ht="21.25" customHeight="1" x14ac:dyDescent="0.15">
      <c r="A12" s="24"/>
      <c r="B12" s="97" t="str" cm="1">
        <f t="array" ref="B12">IFERROR(VLOOKUP($A12,'The List'!$B1:$AS671,3,FALSE)," ")</f>
        <v xml:space="preserve"> </v>
      </c>
      <c r="C12" s="99" t="str" cm="1">
        <f t="array" ref="C12">IFERROR(VLOOKUP($A12,'The List'!$B1:$AS671,4,FALSE)," ")</f>
        <v xml:space="preserve"> </v>
      </c>
      <c r="D12" s="18" t="str" cm="1">
        <f t="array" ref="D12">IFERROR(VLOOKUP($A12,'The List'!$B1:$AS671,5,FALSE)," ")</f>
        <v xml:space="preserve"> </v>
      </c>
      <c r="E12" s="18" t="str" cm="1">
        <f t="array" ref="E12">IFERROR(VLOOKUP($A12,'The List'!$B1:$AS671,6,FALSE)," ")</f>
        <v xml:space="preserve"> </v>
      </c>
      <c r="F12" s="93" t="str" cm="1">
        <f t="array" ref="F12">IFERROR(VLOOKUP($A12,'The List'!$B1:$AS671,8,FALSE)," ")</f>
        <v xml:space="preserve"> </v>
      </c>
      <c r="G12" s="93" t="str" cm="1">
        <f t="array" ref="G12">IFERROR(VLOOKUP($A12,'The List'!$B1:$AS671,10,FALSE)," ")</f>
        <v xml:space="preserve"> </v>
      </c>
      <c r="H12" s="55"/>
      <c r="I12" s="85" t="str" cm="1">
        <f t="array" ref="I12">IFERROR(VLOOKUP($A12,'The List'!$B1:$AS671,16,FALSE)," ")</f>
        <v xml:space="preserve"> </v>
      </c>
      <c r="J12" s="85" t="str" cm="1">
        <f t="array" ref="J12">IFERROR(VLOOKUP($A12,'The List'!$B1:$AS671,17,FALSE)," ")</f>
        <v xml:space="preserve"> </v>
      </c>
      <c r="K12" s="85" t="str" cm="1">
        <f t="array" ref="K12">IFERROR(VLOOKUP($A12,'The List'!$B1:$AS671,18,FALSE)," ")</f>
        <v xml:space="preserve"> </v>
      </c>
      <c r="L12" s="85" t="str" cm="1">
        <f t="array" ref="L12">IFERROR(VLOOKUP($A12,'The List'!$B1:$AS671,19,FALSE)," ")</f>
        <v xml:space="preserve"> </v>
      </c>
      <c r="M12" s="85" t="str" cm="1">
        <f t="array" ref="M12">IFERROR(VLOOKUP($A12,'The List'!$B1:$AS671,20,FALSE)," ")</f>
        <v xml:space="preserve"> </v>
      </c>
      <c r="N12" s="85" t="str" cm="1">
        <f t="array" ref="N12">IFERROR(VLOOKUP($A12,'The List'!$B1:$AS671,21,FALSE)," ")</f>
        <v xml:space="preserve"> </v>
      </c>
      <c r="O12" s="85" t="str" cm="1">
        <f t="array" ref="O12">IFERROR(VLOOKUP($A12,'The List'!$B1:$AS671,22,FALSE)," ")</f>
        <v xml:space="preserve"> </v>
      </c>
      <c r="P12" s="85" t="str" cm="1">
        <f t="array" ref="P12">IFERROR(VLOOKUP($A12,'The List'!$B1:$AS671,23,FALSE)," ")</f>
        <v xml:space="preserve"> </v>
      </c>
      <c r="Q12" s="85" t="str" cm="1">
        <f t="array" ref="Q12">IFERROR(VLOOKUP($A12,'The List'!$B1:$AS671,24,FALSE)," ")</f>
        <v xml:space="preserve"> </v>
      </c>
      <c r="R12" s="85" t="str" cm="1">
        <f t="array" ref="R12">IFERROR(VLOOKUP($A12,'The List'!$B1:$AS671,25,FALSE)," ")</f>
        <v xml:space="preserve"> </v>
      </c>
      <c r="S12" s="85" t="str" cm="1">
        <f t="array" ref="S12">IFERROR(VLOOKUP($A12,'The List'!$B1:$AS671,26,FALSE)," ")</f>
        <v xml:space="preserve"> </v>
      </c>
      <c r="T12" s="85" t="str" cm="1">
        <f t="array" ref="T12">IFERROR(VLOOKUP($A12,'The List'!$B1:$AS671,27,FALSE)," ")</f>
        <v xml:space="preserve"> </v>
      </c>
      <c r="U12" s="85" t="str" cm="1">
        <f t="array" ref="U12">IFERROR(VLOOKUP($A12,'The List'!$B1:$AS671,28,FALSE)," ")</f>
        <v xml:space="preserve"> </v>
      </c>
      <c r="V12" s="85" t="str" cm="1">
        <f t="array" ref="V12">IFERROR(VLOOKUP($A12,'The List'!$B1:$AS671,29,FALSE)," ")</f>
        <v xml:space="preserve"> </v>
      </c>
      <c r="W12" s="85" t="str" cm="1">
        <f t="array" ref="W12">IFERROR(VLOOKUP($A12,'The List'!$B1:$AS671,30,FALSE)," ")</f>
        <v xml:space="preserve"> </v>
      </c>
      <c r="X12" s="85" t="str" cm="1">
        <f t="array" ref="X12">IFERROR(VLOOKUP($A12,'The List'!$B1:$AS671,31,FALSE)," ")</f>
        <v xml:space="preserve"> </v>
      </c>
      <c r="Y12" s="85" t="str" cm="1">
        <f t="array" ref="Y12">IFERROR(VLOOKUP($A12,'The List'!$B1:$AS671,32,FALSE)," ")</f>
        <v xml:space="preserve"> </v>
      </c>
      <c r="Z12" s="85" t="str" cm="1">
        <f t="array" ref="Z12">IFERROR(VLOOKUP($A12,'The List'!$B1:$AS671,33,FALSE)," ")</f>
        <v xml:space="preserve"> </v>
      </c>
      <c r="AA12" s="86"/>
      <c r="AB12" s="91"/>
      <c r="AC12" s="91"/>
      <c r="AD12" s="10" t="s">
        <v>812</v>
      </c>
      <c r="AE12" s="52" cm="1">
        <f t="array" ref="AE12">VLOOKUP(AD12,T1:Y464,2,FALSE)</f>
        <v>0</v>
      </c>
      <c r="AF12" s="52" cm="1">
        <f t="array" ref="AF12">VLOOKUP(AD12,T1:AA464,5,FALSE)</f>
        <v>0</v>
      </c>
    </row>
    <row r="13" spans="1:32" ht="21.25" customHeight="1" x14ac:dyDescent="0.15">
      <c r="A13" s="24"/>
      <c r="B13" s="97" t="str" cm="1">
        <f t="array" ref="B13">IFERROR(VLOOKUP($A13,'The List'!$B1:$AS671,3,FALSE)," ")</f>
        <v xml:space="preserve"> </v>
      </c>
      <c r="C13" s="99" t="str" cm="1">
        <f t="array" ref="C13">IFERROR(VLOOKUP($A13,'The List'!$B1:$AS671,4,FALSE)," ")</f>
        <v xml:space="preserve"> </v>
      </c>
      <c r="D13" s="18" t="str" cm="1">
        <f t="array" ref="D13">IFERROR(VLOOKUP($A13,'The List'!$B1:$AS671,5,FALSE)," ")</f>
        <v xml:space="preserve"> </v>
      </c>
      <c r="E13" s="18" t="str" cm="1">
        <f t="array" ref="E13">IFERROR(VLOOKUP($A13,'The List'!$B1:$AS671,6,FALSE)," ")</f>
        <v xml:space="preserve"> </v>
      </c>
      <c r="F13" s="93" t="str" cm="1">
        <f t="array" ref="F13">IFERROR(VLOOKUP($A13,'The List'!$B1:$AS671,8,FALSE)," ")</f>
        <v xml:space="preserve"> </v>
      </c>
      <c r="G13" s="93" t="str" cm="1">
        <f t="array" ref="G13">IFERROR(VLOOKUP($A13,'The List'!$B1:$AS671,10,FALSE)," ")</f>
        <v xml:space="preserve"> </v>
      </c>
      <c r="H13" s="55"/>
      <c r="I13" s="85" t="str" cm="1">
        <f t="array" ref="I13">IFERROR(VLOOKUP($A13,'The List'!$B1:$AS671,16,FALSE)," ")</f>
        <v xml:space="preserve"> </v>
      </c>
      <c r="J13" s="85" t="str" cm="1">
        <f t="array" ref="J13">IFERROR(VLOOKUP($A13,'The List'!$B1:$AS671,17,FALSE)," ")</f>
        <v xml:space="preserve"> </v>
      </c>
      <c r="K13" s="85" t="str" cm="1">
        <f t="array" ref="K13">IFERROR(VLOOKUP($A13,'The List'!$B1:$AS671,18,FALSE)," ")</f>
        <v xml:space="preserve"> </v>
      </c>
      <c r="L13" s="85" t="str" cm="1">
        <f t="array" ref="L13">IFERROR(VLOOKUP($A13,'The List'!$B1:$AS671,19,FALSE)," ")</f>
        <v xml:space="preserve"> </v>
      </c>
      <c r="M13" s="85" t="str" cm="1">
        <f t="array" ref="M13">IFERROR(VLOOKUP($A13,'The List'!$B1:$AS671,20,FALSE)," ")</f>
        <v xml:space="preserve"> </v>
      </c>
      <c r="N13" s="85" t="str" cm="1">
        <f t="array" ref="N13">IFERROR(VLOOKUP($A13,'The List'!$B1:$AS671,21,FALSE)," ")</f>
        <v xml:space="preserve"> </v>
      </c>
      <c r="O13" s="85" t="str" cm="1">
        <f t="array" ref="O13">IFERROR(VLOOKUP($A13,'The List'!$B1:$AS671,22,FALSE)," ")</f>
        <v xml:space="preserve"> </v>
      </c>
      <c r="P13" s="85" t="str" cm="1">
        <f t="array" ref="P13">IFERROR(VLOOKUP($A13,'The List'!$B1:$AS671,23,FALSE)," ")</f>
        <v xml:space="preserve"> </v>
      </c>
      <c r="Q13" s="85" t="str" cm="1">
        <f t="array" ref="Q13">IFERROR(VLOOKUP($A13,'The List'!$B1:$AS671,24,FALSE)," ")</f>
        <v xml:space="preserve"> </v>
      </c>
      <c r="R13" s="85" t="str" cm="1">
        <f t="array" ref="R13">IFERROR(VLOOKUP($A13,'The List'!$B1:$AS671,25,FALSE)," ")</f>
        <v xml:space="preserve"> </v>
      </c>
      <c r="S13" s="85" t="str" cm="1">
        <f t="array" ref="S13">IFERROR(VLOOKUP($A13,'The List'!$B1:$AS671,26,FALSE)," ")</f>
        <v xml:space="preserve"> </v>
      </c>
      <c r="T13" s="85" t="str" cm="1">
        <f t="array" ref="T13">IFERROR(VLOOKUP($A13,'The List'!$B1:$AS671,27,FALSE)," ")</f>
        <v xml:space="preserve"> </v>
      </c>
      <c r="U13" s="85" t="str" cm="1">
        <f t="array" ref="U13">IFERROR(VLOOKUP($A13,'The List'!$B1:$AS671,28,FALSE)," ")</f>
        <v xml:space="preserve"> </v>
      </c>
      <c r="V13" s="85" t="str" cm="1">
        <f t="array" ref="V13">IFERROR(VLOOKUP($A13,'The List'!$B1:$AS671,29,FALSE)," ")</f>
        <v xml:space="preserve"> </v>
      </c>
      <c r="W13" s="85" t="str" cm="1">
        <f t="array" ref="W13">IFERROR(VLOOKUP($A13,'The List'!$B1:$AS671,30,FALSE)," ")</f>
        <v xml:space="preserve"> </v>
      </c>
      <c r="X13" s="85" t="str" cm="1">
        <f t="array" ref="X13">IFERROR(VLOOKUP($A13,'The List'!$B1:$AS671,31,FALSE)," ")</f>
        <v xml:space="preserve"> </v>
      </c>
      <c r="Y13" s="85" t="str" cm="1">
        <f t="array" ref="Y13">IFERROR(VLOOKUP($A13,'The List'!$B1:$AS671,32,FALSE)," ")</f>
        <v xml:space="preserve"> </v>
      </c>
      <c r="Z13" s="85" t="str" cm="1">
        <f t="array" ref="Z13">IFERROR(VLOOKUP($A13,'The List'!$B1:$AS671,33,FALSE)," ")</f>
        <v xml:space="preserve"> </v>
      </c>
      <c r="AA13" s="86"/>
      <c r="AB13" s="91"/>
      <c r="AC13" s="91"/>
      <c r="AD13" s="10" t="s">
        <v>813</v>
      </c>
      <c r="AE13" s="52" cm="1">
        <f t="array" ref="AE13">VLOOKUP(AD13,T1:Y464,2,FALSE)</f>
        <v>0</v>
      </c>
      <c r="AF13" s="52" cm="1">
        <f t="array" ref="AF13">VLOOKUP(AD13,T1:AA464,5,FALSE)</f>
        <v>0</v>
      </c>
    </row>
    <row r="14" spans="1:32" ht="21.25" customHeight="1" x14ac:dyDescent="0.15">
      <c r="A14" s="10" t="s">
        <v>132</v>
      </c>
      <c r="B14" s="100" t="str" cm="1">
        <f t="array" ref="B14">IFERROR(VLOOKUP($A14,'The List'!$B1:$AS671,3,FALSE)," ")</f>
        <v>D</v>
      </c>
      <c r="C14" s="101" cm="1">
        <f t="array" ref="C14">IFERROR(VLOOKUP($A14,'The List'!$B1:$AS671,4,FALSE)," ")</f>
        <v>2</v>
      </c>
      <c r="D14" s="18" t="str" cm="1">
        <f t="array" ref="D14">IFERROR(VLOOKUP($A14,'The List'!$B1:$AS671,5,FALSE)," ")</f>
        <v>COL</v>
      </c>
      <c r="E14" s="90" cm="1">
        <f t="array" ref="E14">IFERROR(VLOOKUP($A14,'The List'!$B1:$AS671,6,FALSE)," ")</f>
        <v>27</v>
      </c>
      <c r="F14" s="52" cm="1">
        <f t="array" ref="F14">IFERROR(VLOOKUP($A14,'The List'!$B1:$AS671,8,FALSE)," ")</f>
        <v>472.91509073890785</v>
      </c>
      <c r="G14" s="52" cm="1">
        <f t="array" ref="G14">IFERROR(VLOOKUP($A14,'The List'!$B1:$AS671,10,FALSE)," ")</f>
        <v>166.26122339431379</v>
      </c>
      <c r="H14" s="55"/>
      <c r="I14" s="57" cm="1">
        <f t="array" ref="I14">IFERROR(VLOOKUP($A14,'The List'!$B1:$AS671,16,FALSE)," ")</f>
        <v>82.012500000000003</v>
      </c>
      <c r="J14" s="57" cm="1">
        <f t="array" ref="J14">IFERROR(VLOOKUP($A14,'The List'!$B1:$AS671,17,FALSE)," ")</f>
        <v>25.340553881650202</v>
      </c>
      <c r="K14" s="57" cm="1">
        <f t="array" ref="K14">IFERROR(VLOOKUP($A14,'The List'!$B1:$AS671,18,FALSE)," ")</f>
        <v>22.405264909197737</v>
      </c>
      <c r="L14" s="57" cm="1">
        <f t="array" ref="L14">IFERROR(VLOOKUP($A14,'The List'!$B1:$AS671,19,FALSE)," ")</f>
        <v>63.842226360782362</v>
      </c>
      <c r="M14" s="57" cm="1">
        <f t="array" ref="M14">IFERROR(VLOOKUP($A14,'The List'!$B1:$AS671,20,FALSE)," ")</f>
        <v>86.247491269980102</v>
      </c>
      <c r="N14" s="57" cm="1">
        <f t="array" ref="N14">IFERROR(VLOOKUP($A14,'The List'!$B1:$AS671,21,FALSE)," ")</f>
        <v>225.82523459795328</v>
      </c>
      <c r="O14" s="57" cm="1">
        <f t="array" ref="O14">IFERROR(VLOOKUP($A14,'The List'!$B1:$AS671,22,FALSE)," ")</f>
        <v>6.7499840575919636</v>
      </c>
      <c r="P14" s="57" cm="1">
        <f t="array" ref="P14">IFERROR(VLOOKUP($A14,'The List'!$B1:$AS671,23,FALSE)," ")</f>
        <v>33.651567943883016</v>
      </c>
      <c r="Q14" s="57" cm="1">
        <f t="array" ref="Q14">IFERROR(VLOOKUP($A14,'The List'!$B1:$AS671,24,FALSE)," ")</f>
        <v>0.61320822955056387</v>
      </c>
      <c r="R14" s="57" cm="1">
        <f t="array" ref="R14">IFERROR(VLOOKUP($A14,'The List'!$B1:$AS671,25,FALSE)," ")</f>
        <v>1.3811807568137795</v>
      </c>
      <c r="S14" s="57" cm="1">
        <f t="array" ref="S14">IFERROR(VLOOKUP($A14,'The List'!$B1:$AS671,26,FALSE)," ")</f>
        <v>132.45450185858817</v>
      </c>
      <c r="T14" s="57" cm="1">
        <f t="array" ref="T14">IFERROR(VLOOKUP($A14,'The List'!$B1:$AS671,27,FALSE)," ")</f>
        <v>51.6032431388875</v>
      </c>
      <c r="U14" s="57" cm="1">
        <f t="array" ref="U14">IFERROR(VLOOKUP($A14,'The List'!$B1:$AS671,28,FALSE)," ")</f>
        <v>9.7536399024995255</v>
      </c>
      <c r="V14" s="57" cm="1">
        <f t="array" ref="V14">IFERROR(VLOOKUP($A14,'The List'!$B1:$AS671,29,FALSE)," ")</f>
        <v>24.563486411978921</v>
      </c>
      <c r="W14" s="57" cm="1">
        <f t="array" ref="W14">IFERROR(VLOOKUP($A14,'The List'!$B1:$AS671,30,FALSE)," ")</f>
        <v>4.0438637829832471</v>
      </c>
      <c r="X14" s="57" cm="1">
        <f t="array" ref="X14">IFERROR(VLOOKUP($A14,'The List'!$B1:$AS671,31,FALSE)," ")</f>
        <v>0</v>
      </c>
      <c r="Y14" s="57" cm="1">
        <f t="array" ref="Y14">IFERROR(VLOOKUP($A14,'The List'!$B1:$AS671,32,FALSE)," ")</f>
        <v>0</v>
      </c>
      <c r="Z14" s="59" cm="1">
        <f t="array" ref="Z14">IFERROR(VLOOKUP($A14,'The List'!$B1:$AS671,33,FALSE)," ")</f>
        <v>0</v>
      </c>
      <c r="AA14" s="86"/>
      <c r="AB14" s="91"/>
      <c r="AC14" s="91"/>
      <c r="AD14" s="10" t="s">
        <v>814</v>
      </c>
      <c r="AE14" s="52" cm="1">
        <f t="array" ref="AE14">VLOOKUP(AD14,T1:Y464,2,FALSE)</f>
        <v>0</v>
      </c>
      <c r="AF14" s="52" cm="1">
        <f t="array" ref="AF14">VLOOKUP(AD14,T1:AA464,5,FALSE)</f>
        <v>0</v>
      </c>
    </row>
    <row r="15" spans="1:32" ht="21.25" customHeight="1" x14ac:dyDescent="0.15">
      <c r="A15" s="24"/>
      <c r="B15" s="100" t="str" cm="1">
        <f t="array" ref="B15">IFERROR(VLOOKUP($A15,'The List'!$B1:$AS671,3,FALSE)," ")</f>
        <v xml:space="preserve"> </v>
      </c>
      <c r="C15" s="102" t="str" cm="1">
        <f t="array" ref="C15">IFERROR(VLOOKUP($A15,'The List'!$B1:$AS671,4,FALSE)," ")</f>
        <v xml:space="preserve"> </v>
      </c>
      <c r="D15" s="18" t="str" cm="1">
        <f t="array" ref="D15">IFERROR(VLOOKUP($A15,'The List'!$B1:$AS671,5,FALSE)," ")</f>
        <v xml:space="preserve"> </v>
      </c>
      <c r="E15" s="18" t="str" cm="1">
        <f t="array" ref="E15">IFERROR(VLOOKUP($A15,'The List'!$B1:$AS671,6,FALSE)," ")</f>
        <v xml:space="preserve"> </v>
      </c>
      <c r="F15" s="93" t="str" cm="1">
        <f t="array" ref="F15">IFERROR(VLOOKUP($A15,'The List'!$B1:$AS671,8,FALSE)," ")</f>
        <v xml:space="preserve"> </v>
      </c>
      <c r="G15" s="93" t="str" cm="1">
        <f t="array" ref="G15">IFERROR(VLOOKUP($A15,'The List'!$B1:$AS671,10,FALSE)," ")</f>
        <v xml:space="preserve"> </v>
      </c>
      <c r="H15" s="55"/>
      <c r="I15" s="85" t="str" cm="1">
        <f t="array" ref="I15">IFERROR(VLOOKUP($A15,'The List'!$B1:$AS671,16,FALSE)," ")</f>
        <v xml:space="preserve"> </v>
      </c>
      <c r="J15" s="85" t="str" cm="1">
        <f t="array" ref="J15">IFERROR(VLOOKUP($A15,'The List'!$B1:$AS671,17,FALSE)," ")</f>
        <v xml:space="preserve"> </v>
      </c>
      <c r="K15" s="85" t="str" cm="1">
        <f t="array" ref="K15">IFERROR(VLOOKUP($A15,'The List'!$B1:$AS671,18,FALSE)," ")</f>
        <v xml:space="preserve"> </v>
      </c>
      <c r="L15" s="85" t="str" cm="1">
        <f t="array" ref="L15">IFERROR(VLOOKUP($A15,'The List'!$B1:$AS671,19,FALSE)," ")</f>
        <v xml:space="preserve"> </v>
      </c>
      <c r="M15" s="85" t="str" cm="1">
        <f t="array" ref="M15">IFERROR(VLOOKUP($A15,'The List'!$B1:$AS671,20,FALSE)," ")</f>
        <v xml:space="preserve"> </v>
      </c>
      <c r="N15" s="85" t="str" cm="1">
        <f t="array" ref="N15">IFERROR(VLOOKUP($A15,'The List'!$B1:$AS671,21,FALSE)," ")</f>
        <v xml:space="preserve"> </v>
      </c>
      <c r="O15" s="85" t="str" cm="1">
        <f t="array" ref="O15">IFERROR(VLOOKUP($A15,'The List'!$B1:$AS671,22,FALSE)," ")</f>
        <v xml:space="preserve"> </v>
      </c>
      <c r="P15" s="85" t="str" cm="1">
        <f t="array" ref="P15">IFERROR(VLOOKUP($A15,'The List'!$B1:$AS671,23,FALSE)," ")</f>
        <v xml:space="preserve"> </v>
      </c>
      <c r="Q15" s="85" t="str" cm="1">
        <f t="array" ref="Q15">IFERROR(VLOOKUP($A15,'The List'!$B1:$AS671,24,FALSE)," ")</f>
        <v xml:space="preserve"> </v>
      </c>
      <c r="R15" s="85" t="str" cm="1">
        <f t="array" ref="R15">IFERROR(VLOOKUP($A15,'The List'!$B1:$AS671,25,FALSE)," ")</f>
        <v xml:space="preserve"> </v>
      </c>
      <c r="S15" s="85" t="str" cm="1">
        <f t="array" ref="S15">IFERROR(VLOOKUP($A15,'The List'!$B1:$AS671,26,FALSE)," ")</f>
        <v xml:space="preserve"> </v>
      </c>
      <c r="T15" s="85" t="str" cm="1">
        <f t="array" ref="T15">IFERROR(VLOOKUP($A15,'The List'!$B1:$AS671,27,FALSE)," ")</f>
        <v xml:space="preserve"> </v>
      </c>
      <c r="U15" s="85" t="str" cm="1">
        <f t="array" ref="U15">IFERROR(VLOOKUP($A15,'The List'!$B1:$AS671,28,FALSE)," ")</f>
        <v xml:space="preserve"> </v>
      </c>
      <c r="V15" s="85" t="str" cm="1">
        <f t="array" ref="V15">IFERROR(VLOOKUP($A15,'The List'!$B1:$AS671,29,FALSE)," ")</f>
        <v xml:space="preserve"> </v>
      </c>
      <c r="W15" s="85" t="str" cm="1">
        <f t="array" ref="W15">IFERROR(VLOOKUP($A15,'The List'!$B1:$AS671,30,FALSE)," ")</f>
        <v xml:space="preserve"> </v>
      </c>
      <c r="X15" s="85" t="str" cm="1">
        <f t="array" ref="X15">IFERROR(VLOOKUP($A15,'The List'!$B1:$AS671,31,FALSE)," ")</f>
        <v xml:space="preserve"> </v>
      </c>
      <c r="Y15" s="85" t="str" cm="1">
        <f t="array" ref="Y15">IFERROR(VLOOKUP($A15,'The List'!$B1:$AS671,32,FALSE)," ")</f>
        <v xml:space="preserve"> </v>
      </c>
      <c r="Z15" s="85" t="str" cm="1">
        <f t="array" ref="Z15">IFERROR(VLOOKUP($A15,'The List'!$B1:$AS671,33,FALSE)," ")</f>
        <v xml:space="preserve"> </v>
      </c>
      <c r="AA15" s="86"/>
      <c r="AB15" s="91"/>
      <c r="AC15" s="91"/>
      <c r="AD15" s="10" t="s">
        <v>815</v>
      </c>
      <c r="AE15" s="52" cm="1">
        <f t="array" ref="AE15">VLOOKUP(AD15,T1:Y464,2,FALSE)</f>
        <v>0</v>
      </c>
      <c r="AF15" s="52" cm="1">
        <f t="array" ref="AF15">VLOOKUP(AD15,T1:AA464,5,FALSE)</f>
        <v>0</v>
      </c>
    </row>
    <row r="16" spans="1:32" ht="21.25" customHeight="1" x14ac:dyDescent="0.15">
      <c r="A16" s="24"/>
      <c r="B16" s="100" t="str" cm="1">
        <f t="array" ref="B16">IFERROR(VLOOKUP($A16,'The List'!$B1:$AS671,3,FALSE)," ")</f>
        <v xml:space="preserve"> </v>
      </c>
      <c r="C16" s="102" t="str" cm="1">
        <f t="array" ref="C16">IFERROR(VLOOKUP($A16,'The List'!$B1:$AS671,4,FALSE)," ")</f>
        <v xml:space="preserve"> </v>
      </c>
      <c r="D16" s="18" t="str" cm="1">
        <f t="array" ref="D16">IFERROR(VLOOKUP($A16,'The List'!$B1:$AS671,5,FALSE)," ")</f>
        <v xml:space="preserve"> </v>
      </c>
      <c r="E16" s="18" t="str" cm="1">
        <f t="array" ref="E16">IFERROR(VLOOKUP($A16,'The List'!$B1:$AS671,6,FALSE)," ")</f>
        <v xml:space="preserve"> </v>
      </c>
      <c r="F16" s="93" t="str" cm="1">
        <f t="array" ref="F16">IFERROR(VLOOKUP($A16,'The List'!$B1:$AS671,8,FALSE)," ")</f>
        <v xml:space="preserve"> </v>
      </c>
      <c r="G16" s="93" t="str" cm="1">
        <f t="array" ref="G16">IFERROR(VLOOKUP($A16,'The List'!$B1:$AS671,10,FALSE)," ")</f>
        <v xml:space="preserve"> </v>
      </c>
      <c r="H16" s="55"/>
      <c r="I16" s="85" t="str" cm="1">
        <f t="array" ref="I16">IFERROR(VLOOKUP($A16,'The List'!$B1:$AS671,16,FALSE)," ")</f>
        <v xml:space="preserve"> </v>
      </c>
      <c r="J16" s="85" t="str" cm="1">
        <f t="array" ref="J16">IFERROR(VLOOKUP($A16,'The List'!$B1:$AS671,17,FALSE)," ")</f>
        <v xml:space="preserve"> </v>
      </c>
      <c r="K16" s="85" t="str" cm="1">
        <f t="array" ref="K16">IFERROR(VLOOKUP($A16,'The List'!$B1:$AS671,18,FALSE)," ")</f>
        <v xml:space="preserve"> </v>
      </c>
      <c r="L16" s="85" t="str" cm="1">
        <f t="array" ref="L16">IFERROR(VLOOKUP($A16,'The List'!$B1:$AS671,19,FALSE)," ")</f>
        <v xml:space="preserve"> </v>
      </c>
      <c r="M16" s="85" t="str" cm="1">
        <f t="array" ref="M16">IFERROR(VLOOKUP($A16,'The List'!$B1:$AS671,20,FALSE)," ")</f>
        <v xml:space="preserve"> </v>
      </c>
      <c r="N16" s="85" t="str" cm="1">
        <f t="array" ref="N16">IFERROR(VLOOKUP($A16,'The List'!$B1:$AS671,21,FALSE)," ")</f>
        <v xml:space="preserve"> </v>
      </c>
      <c r="O16" s="85" t="str" cm="1">
        <f t="array" ref="O16">IFERROR(VLOOKUP($A16,'The List'!$B1:$AS671,22,FALSE)," ")</f>
        <v xml:space="preserve"> </v>
      </c>
      <c r="P16" s="85" t="str" cm="1">
        <f t="array" ref="P16">IFERROR(VLOOKUP($A16,'The List'!$B1:$AS671,23,FALSE)," ")</f>
        <v xml:space="preserve"> </v>
      </c>
      <c r="Q16" s="85" t="str" cm="1">
        <f t="array" ref="Q16">IFERROR(VLOOKUP($A16,'The List'!$B1:$AS671,24,FALSE)," ")</f>
        <v xml:space="preserve"> </v>
      </c>
      <c r="R16" s="85" t="str" cm="1">
        <f t="array" ref="R16">IFERROR(VLOOKUP($A16,'The List'!$B1:$AS671,25,FALSE)," ")</f>
        <v xml:space="preserve"> </v>
      </c>
      <c r="S16" s="85" t="str" cm="1">
        <f t="array" ref="S16">IFERROR(VLOOKUP($A16,'The List'!$B1:$AS671,26,FALSE)," ")</f>
        <v xml:space="preserve"> </v>
      </c>
      <c r="T16" s="85" t="str" cm="1">
        <f t="array" ref="T16">IFERROR(VLOOKUP($A16,'The List'!$B1:$AS671,27,FALSE)," ")</f>
        <v xml:space="preserve"> </v>
      </c>
      <c r="U16" s="85" t="str" cm="1">
        <f t="array" ref="U16">IFERROR(VLOOKUP($A16,'The List'!$B1:$AS671,28,FALSE)," ")</f>
        <v xml:space="preserve"> </v>
      </c>
      <c r="V16" s="85" t="str" cm="1">
        <f t="array" ref="V16">IFERROR(VLOOKUP($A16,'The List'!$B1:$AS671,29,FALSE)," ")</f>
        <v xml:space="preserve"> </v>
      </c>
      <c r="W16" s="85" t="str" cm="1">
        <f t="array" ref="W16">IFERROR(VLOOKUP($A16,'The List'!$B1:$AS671,30,FALSE)," ")</f>
        <v xml:space="preserve"> </v>
      </c>
      <c r="X16" s="85" t="str" cm="1">
        <f t="array" ref="X16">IFERROR(VLOOKUP($A16,'The List'!$B1:$AS671,31,FALSE)," ")</f>
        <v xml:space="preserve"> </v>
      </c>
      <c r="Y16" s="85" t="str" cm="1">
        <f t="array" ref="Y16">IFERROR(VLOOKUP($A16,'The List'!$B1:$AS671,32,FALSE)," ")</f>
        <v xml:space="preserve"> </v>
      </c>
      <c r="Z16" s="85" t="str" cm="1">
        <f t="array" ref="Z16">IFERROR(VLOOKUP($A16,'The List'!$B1:$AS671,33,FALSE)," ")</f>
        <v xml:space="preserve"> </v>
      </c>
      <c r="AA16" s="86"/>
      <c r="AB16" s="91"/>
      <c r="AC16" s="91"/>
      <c r="AD16" s="10" t="s">
        <v>816</v>
      </c>
      <c r="AE16" s="52" cm="1">
        <f t="array" ref="AE16">VLOOKUP(AD16,T1:Y464,2,FALSE)</f>
        <v>0</v>
      </c>
      <c r="AF16" s="52" cm="1">
        <f t="array" ref="AF16">VLOOKUP(AD16,T1:AA464,5,FALSE)</f>
        <v>0</v>
      </c>
    </row>
    <row r="17" spans="1:32" ht="21.25" customHeight="1" x14ac:dyDescent="0.15">
      <c r="A17" s="24"/>
      <c r="B17" s="100" t="str" cm="1">
        <f t="array" ref="B17">IFERROR(VLOOKUP($A17,'The List'!$B1:$AS671,3,FALSE)," ")</f>
        <v xml:space="preserve"> </v>
      </c>
      <c r="C17" s="102" t="str" cm="1">
        <f t="array" ref="C17">IFERROR(VLOOKUP($A17,'The List'!$B1:$AS671,4,FALSE)," ")</f>
        <v xml:space="preserve"> </v>
      </c>
      <c r="D17" s="18" t="str" cm="1">
        <f t="array" ref="D17">IFERROR(VLOOKUP($A17,'The List'!$B1:$AS671,5,FALSE)," ")</f>
        <v xml:space="preserve"> </v>
      </c>
      <c r="E17" s="18" t="str" cm="1">
        <f t="array" ref="E17">IFERROR(VLOOKUP($A17,'The List'!$B1:$AS671,6,FALSE)," ")</f>
        <v xml:space="preserve"> </v>
      </c>
      <c r="F17" s="93" t="str" cm="1">
        <f t="array" ref="F17">IFERROR(VLOOKUP($A17,'The List'!$B1:$AS671,8,FALSE)," ")</f>
        <v xml:space="preserve"> </v>
      </c>
      <c r="G17" s="93" t="str" cm="1">
        <f t="array" ref="G17">IFERROR(VLOOKUP($A17,'The List'!$B1:$AS671,10,FALSE)," ")</f>
        <v xml:space="preserve"> </v>
      </c>
      <c r="H17" s="55"/>
      <c r="I17" s="85" t="str" cm="1">
        <f t="array" ref="I17">IFERROR(VLOOKUP($A17,'The List'!$B1:$AS671,16,FALSE)," ")</f>
        <v xml:space="preserve"> </v>
      </c>
      <c r="J17" s="85" t="str" cm="1">
        <f t="array" ref="J17">IFERROR(VLOOKUP($A17,'The List'!$B1:$AS671,17,FALSE)," ")</f>
        <v xml:space="preserve"> </v>
      </c>
      <c r="K17" s="85" t="str" cm="1">
        <f t="array" ref="K17">IFERROR(VLOOKUP($A17,'The List'!$B1:$AS671,18,FALSE)," ")</f>
        <v xml:space="preserve"> </v>
      </c>
      <c r="L17" s="85" t="str" cm="1">
        <f t="array" ref="L17">IFERROR(VLOOKUP($A17,'The List'!$B1:$AS671,19,FALSE)," ")</f>
        <v xml:space="preserve"> </v>
      </c>
      <c r="M17" s="85" t="str" cm="1">
        <f t="array" ref="M17">IFERROR(VLOOKUP($A17,'The List'!$B1:$AS671,20,FALSE)," ")</f>
        <v xml:space="preserve"> </v>
      </c>
      <c r="N17" s="85" t="str" cm="1">
        <f t="array" ref="N17">IFERROR(VLOOKUP($A17,'The List'!$B1:$AS671,21,FALSE)," ")</f>
        <v xml:space="preserve"> </v>
      </c>
      <c r="O17" s="85" t="str" cm="1">
        <f t="array" ref="O17">IFERROR(VLOOKUP($A17,'The List'!$B1:$AS671,22,FALSE)," ")</f>
        <v xml:space="preserve"> </v>
      </c>
      <c r="P17" s="85" t="str" cm="1">
        <f t="array" ref="P17">IFERROR(VLOOKUP($A17,'The List'!$B1:$AS671,23,FALSE)," ")</f>
        <v xml:space="preserve"> </v>
      </c>
      <c r="Q17" s="85" t="str" cm="1">
        <f t="array" ref="Q17">IFERROR(VLOOKUP($A17,'The List'!$B1:$AS671,24,FALSE)," ")</f>
        <v xml:space="preserve"> </v>
      </c>
      <c r="R17" s="85" t="str" cm="1">
        <f t="array" ref="R17">IFERROR(VLOOKUP($A17,'The List'!$B1:$AS671,25,FALSE)," ")</f>
        <v xml:space="preserve"> </v>
      </c>
      <c r="S17" s="85" t="str" cm="1">
        <f t="array" ref="S17">IFERROR(VLOOKUP($A17,'The List'!$B1:$AS671,26,FALSE)," ")</f>
        <v xml:space="preserve"> </v>
      </c>
      <c r="T17" s="85" t="str" cm="1">
        <f t="array" ref="T17">IFERROR(VLOOKUP($A17,'The List'!$B1:$AS671,27,FALSE)," ")</f>
        <v xml:space="preserve"> </v>
      </c>
      <c r="U17" s="85" t="str" cm="1">
        <f t="array" ref="U17">IFERROR(VLOOKUP($A17,'The List'!$B1:$AS671,28,FALSE)," ")</f>
        <v xml:space="preserve"> </v>
      </c>
      <c r="V17" s="85" t="str" cm="1">
        <f t="array" ref="V17">IFERROR(VLOOKUP($A17,'The List'!$B1:$AS671,29,FALSE)," ")</f>
        <v xml:space="preserve"> </v>
      </c>
      <c r="W17" s="85" t="str" cm="1">
        <f t="array" ref="W17">IFERROR(VLOOKUP($A17,'The List'!$B1:$AS671,30,FALSE)," ")</f>
        <v xml:space="preserve"> </v>
      </c>
      <c r="X17" s="85" t="str" cm="1">
        <f t="array" ref="X17">IFERROR(VLOOKUP($A17,'The List'!$B1:$AS671,31,FALSE)," ")</f>
        <v xml:space="preserve"> </v>
      </c>
      <c r="Y17" s="85" t="str" cm="1">
        <f t="array" ref="Y17">IFERROR(VLOOKUP($A17,'The List'!$B1:$AS671,32,FALSE)," ")</f>
        <v xml:space="preserve"> </v>
      </c>
      <c r="Z17" s="85" t="str" cm="1">
        <f t="array" ref="Z17">IFERROR(VLOOKUP($A17,'The List'!$B1:$AS671,33,FALSE)," ")</f>
        <v xml:space="preserve"> </v>
      </c>
      <c r="AA17" s="86"/>
      <c r="AB17" s="91"/>
      <c r="AC17" s="91"/>
      <c r="AD17" s="10" t="s">
        <v>817</v>
      </c>
      <c r="AE17" s="52" cm="1">
        <f t="array" ref="AE17">VLOOKUP(AD17,T1:Y464,2,FALSE)</f>
        <v>0</v>
      </c>
      <c r="AF17" s="52" cm="1">
        <f t="array" ref="AF17">VLOOKUP(AD17,T1:AA464,5,FALSE)</f>
        <v>0</v>
      </c>
    </row>
    <row r="18" spans="1:32" ht="21.25" customHeight="1" x14ac:dyDescent="0.15">
      <c r="A18" s="24"/>
      <c r="B18" s="100" t="str" cm="1">
        <f t="array" ref="B18">IFERROR(VLOOKUP($A18,'The List'!$B1:$AS671,3,FALSE)," ")</f>
        <v xml:space="preserve"> </v>
      </c>
      <c r="C18" s="102" t="str" cm="1">
        <f t="array" ref="C18">IFERROR(VLOOKUP($A18,'The List'!$B1:$AS671,4,FALSE)," ")</f>
        <v xml:space="preserve"> </v>
      </c>
      <c r="D18" s="18" t="str" cm="1">
        <f t="array" ref="D18">IFERROR(VLOOKUP($A18,'The List'!$B1:$AS671,5,FALSE)," ")</f>
        <v xml:space="preserve"> </v>
      </c>
      <c r="E18" s="18" t="str" cm="1">
        <f t="array" ref="E18">IFERROR(VLOOKUP($A18,'The List'!$B1:$AS671,6,FALSE)," ")</f>
        <v xml:space="preserve"> </v>
      </c>
      <c r="F18" s="93" t="str" cm="1">
        <f t="array" ref="F18">IFERROR(VLOOKUP($A18,'The List'!$B1:$AS671,8,FALSE)," ")</f>
        <v xml:space="preserve"> </v>
      </c>
      <c r="G18" s="93" t="str" cm="1">
        <f t="array" ref="G18">IFERROR(VLOOKUP($A18,'The List'!$B1:$AS671,10,FALSE)," ")</f>
        <v xml:space="preserve"> </v>
      </c>
      <c r="H18" s="55"/>
      <c r="I18" s="85" t="str" cm="1">
        <f t="array" ref="I18">IFERROR(VLOOKUP($A18,'The List'!$B1:$AS671,16,FALSE)," ")</f>
        <v xml:space="preserve"> </v>
      </c>
      <c r="J18" s="85" t="str" cm="1">
        <f t="array" ref="J18">IFERROR(VLOOKUP($A18,'The List'!$B1:$AS671,17,FALSE)," ")</f>
        <v xml:space="preserve"> </v>
      </c>
      <c r="K18" s="85" t="str" cm="1">
        <f t="array" ref="K18">IFERROR(VLOOKUP($A18,'The List'!$B1:$AS671,18,FALSE)," ")</f>
        <v xml:space="preserve"> </v>
      </c>
      <c r="L18" s="85" t="str" cm="1">
        <f t="array" ref="L18">IFERROR(VLOOKUP($A18,'The List'!$B1:$AS671,19,FALSE)," ")</f>
        <v xml:space="preserve"> </v>
      </c>
      <c r="M18" s="85" t="str" cm="1">
        <f t="array" ref="M18">IFERROR(VLOOKUP($A18,'The List'!$B1:$AS671,20,FALSE)," ")</f>
        <v xml:space="preserve"> </v>
      </c>
      <c r="N18" s="85" t="str" cm="1">
        <f t="array" ref="N18">IFERROR(VLOOKUP($A18,'The List'!$B1:$AS671,21,FALSE)," ")</f>
        <v xml:space="preserve"> </v>
      </c>
      <c r="O18" s="85" t="str" cm="1">
        <f t="array" ref="O18">IFERROR(VLOOKUP($A18,'The List'!$B1:$AS671,22,FALSE)," ")</f>
        <v xml:space="preserve"> </v>
      </c>
      <c r="P18" s="85" t="str" cm="1">
        <f t="array" ref="P18">IFERROR(VLOOKUP($A18,'The List'!$B1:$AS671,23,FALSE)," ")</f>
        <v xml:space="preserve"> </v>
      </c>
      <c r="Q18" s="85" t="str" cm="1">
        <f t="array" ref="Q18">IFERROR(VLOOKUP($A18,'The List'!$B1:$AS671,24,FALSE)," ")</f>
        <v xml:space="preserve"> </v>
      </c>
      <c r="R18" s="85" t="str" cm="1">
        <f t="array" ref="R18">IFERROR(VLOOKUP($A18,'The List'!$B1:$AS671,25,FALSE)," ")</f>
        <v xml:space="preserve"> </v>
      </c>
      <c r="S18" s="85" t="str" cm="1">
        <f t="array" ref="S18">IFERROR(VLOOKUP($A18,'The List'!$B1:$AS671,26,FALSE)," ")</f>
        <v xml:space="preserve"> </v>
      </c>
      <c r="T18" s="85" t="str" cm="1">
        <f t="array" ref="T18">IFERROR(VLOOKUP($A18,'The List'!$B1:$AS671,27,FALSE)," ")</f>
        <v xml:space="preserve"> </v>
      </c>
      <c r="U18" s="85" t="str" cm="1">
        <f t="array" ref="U18">IFERROR(VLOOKUP($A18,'The List'!$B1:$AS671,28,FALSE)," ")</f>
        <v xml:space="preserve"> </v>
      </c>
      <c r="V18" s="85" t="str" cm="1">
        <f t="array" ref="V18">IFERROR(VLOOKUP($A18,'The List'!$B1:$AS671,29,FALSE)," ")</f>
        <v xml:space="preserve"> </v>
      </c>
      <c r="W18" s="85" t="str" cm="1">
        <f t="array" ref="W18">IFERROR(VLOOKUP($A18,'The List'!$B1:$AS671,30,FALSE)," ")</f>
        <v xml:space="preserve"> </v>
      </c>
      <c r="X18" s="85" t="str" cm="1">
        <f t="array" ref="X18">IFERROR(VLOOKUP($A18,'The List'!$B1:$AS671,31,FALSE)," ")</f>
        <v xml:space="preserve"> </v>
      </c>
      <c r="Y18" s="85" t="str" cm="1">
        <f t="array" ref="Y18">IFERROR(VLOOKUP($A18,'The List'!$B1:$AS671,32,FALSE)," ")</f>
        <v xml:space="preserve"> </v>
      </c>
      <c r="Z18" s="85" t="str" cm="1">
        <f t="array" ref="Z18">IFERROR(VLOOKUP($A18,'The List'!$B1:$AS671,33,FALSE)," ")</f>
        <v xml:space="preserve"> </v>
      </c>
      <c r="AA18" s="86"/>
      <c r="AB18" s="91"/>
      <c r="AC18" s="91"/>
      <c r="AD18" s="24"/>
      <c r="AE18" s="52" cm="1">
        <f t="array" ref="AE18">VLOOKUP(AD18,T1:Y464,2,FALSE)</f>
        <v>0</v>
      </c>
      <c r="AF18" s="52" cm="1">
        <f t="array" ref="AF18">VLOOKUP(AD18,T1:AA464,5,FALSE)</f>
        <v>0</v>
      </c>
    </row>
    <row r="19" spans="1:32" ht="21.25" customHeight="1" x14ac:dyDescent="0.15">
      <c r="A19" s="24"/>
      <c r="B19" s="100" t="str" cm="1">
        <f t="array" ref="B19">IFERROR(VLOOKUP($A19,'The List'!$B1:$AS671,3,FALSE)," ")</f>
        <v xml:space="preserve"> </v>
      </c>
      <c r="C19" s="102" t="str" cm="1">
        <f t="array" ref="C19">IFERROR(VLOOKUP($A19,'The List'!$B1:$AS671,4,FALSE)," ")</f>
        <v xml:space="preserve"> </v>
      </c>
      <c r="D19" s="18" t="str" cm="1">
        <f t="array" ref="D19">IFERROR(VLOOKUP($A19,'The List'!$B1:$AS671,5,FALSE)," ")</f>
        <v xml:space="preserve"> </v>
      </c>
      <c r="E19" s="18" t="str" cm="1">
        <f t="array" ref="E19">IFERROR(VLOOKUP($A19,'The List'!$B1:$AS671,6,FALSE)," ")</f>
        <v xml:space="preserve"> </v>
      </c>
      <c r="F19" s="93" t="str" cm="1">
        <f t="array" ref="F19">IFERROR(VLOOKUP($A19,'The List'!$B1:$AS671,8,FALSE)," ")</f>
        <v xml:space="preserve"> </v>
      </c>
      <c r="G19" s="93" t="str" cm="1">
        <f t="array" ref="G19">IFERROR(VLOOKUP($A19,'The List'!$B1:$AS671,10,FALSE)," ")</f>
        <v xml:space="preserve"> </v>
      </c>
      <c r="H19" s="55"/>
      <c r="I19" s="85" t="str" cm="1">
        <f t="array" ref="I19">IFERROR(VLOOKUP($A19,'The List'!$B1:$AS671,16,FALSE)," ")</f>
        <v xml:space="preserve"> </v>
      </c>
      <c r="J19" s="85" t="str" cm="1">
        <f t="array" ref="J19">IFERROR(VLOOKUP($A19,'The List'!$B1:$AS671,17,FALSE)," ")</f>
        <v xml:space="preserve"> </v>
      </c>
      <c r="K19" s="85" t="str" cm="1">
        <f t="array" ref="K19">IFERROR(VLOOKUP($A19,'The List'!$B1:$AS671,18,FALSE)," ")</f>
        <v xml:space="preserve"> </v>
      </c>
      <c r="L19" s="85" t="str" cm="1">
        <f t="array" ref="L19">IFERROR(VLOOKUP($A19,'The List'!$B1:$AS671,19,FALSE)," ")</f>
        <v xml:space="preserve"> </v>
      </c>
      <c r="M19" s="85" t="str" cm="1">
        <f t="array" ref="M19">IFERROR(VLOOKUP($A19,'The List'!$B1:$AS671,20,FALSE)," ")</f>
        <v xml:space="preserve"> </v>
      </c>
      <c r="N19" s="85" t="str" cm="1">
        <f t="array" ref="N19">IFERROR(VLOOKUP($A19,'The List'!$B1:$AS671,21,FALSE)," ")</f>
        <v xml:space="preserve"> </v>
      </c>
      <c r="O19" s="85" t="str" cm="1">
        <f t="array" ref="O19">IFERROR(VLOOKUP($A19,'The List'!$B1:$AS671,22,FALSE)," ")</f>
        <v xml:space="preserve"> </v>
      </c>
      <c r="P19" s="85" t="str" cm="1">
        <f t="array" ref="P19">IFERROR(VLOOKUP($A19,'The List'!$B1:$AS671,23,FALSE)," ")</f>
        <v xml:space="preserve"> </v>
      </c>
      <c r="Q19" s="85" t="str" cm="1">
        <f t="array" ref="Q19">IFERROR(VLOOKUP($A19,'The List'!$B1:$AS671,24,FALSE)," ")</f>
        <v xml:space="preserve"> </v>
      </c>
      <c r="R19" s="85" t="str" cm="1">
        <f t="array" ref="R19">IFERROR(VLOOKUP($A19,'The List'!$B1:$AS671,25,FALSE)," ")</f>
        <v xml:space="preserve"> </v>
      </c>
      <c r="S19" s="85" t="str" cm="1">
        <f t="array" ref="S19">IFERROR(VLOOKUP($A19,'The List'!$B1:$AS671,26,FALSE)," ")</f>
        <v xml:space="preserve"> </v>
      </c>
      <c r="T19" s="85" t="str" cm="1">
        <f t="array" ref="T19">IFERROR(VLOOKUP($A19,'The List'!$B1:$AS671,27,FALSE)," ")</f>
        <v xml:space="preserve"> </v>
      </c>
      <c r="U19" s="85" t="str" cm="1">
        <f t="array" ref="U19">IFERROR(VLOOKUP($A19,'The List'!$B1:$AS671,28,FALSE)," ")</f>
        <v xml:space="preserve"> </v>
      </c>
      <c r="V19" s="85" t="str" cm="1">
        <f t="array" ref="V19">IFERROR(VLOOKUP($A19,'The List'!$B1:$AS671,29,FALSE)," ")</f>
        <v xml:space="preserve"> </v>
      </c>
      <c r="W19" s="85" t="str" cm="1">
        <f t="array" ref="W19">IFERROR(VLOOKUP($A19,'The List'!$B1:$AS671,30,FALSE)," ")</f>
        <v xml:space="preserve"> </v>
      </c>
      <c r="X19" s="85" t="str" cm="1">
        <f t="array" ref="X19">IFERROR(VLOOKUP($A19,'The List'!$B1:$AS671,31,FALSE)," ")</f>
        <v xml:space="preserve"> </v>
      </c>
      <c r="Y19" s="85" t="str" cm="1">
        <f t="array" ref="Y19">IFERROR(VLOOKUP($A19,'The List'!$B1:$AS671,32,FALSE)," ")</f>
        <v xml:space="preserve"> </v>
      </c>
      <c r="Z19" s="85" t="str" cm="1">
        <f t="array" ref="Z19">IFERROR(VLOOKUP($A19,'The List'!$B1:$AS671,33,FALSE)," ")</f>
        <v xml:space="preserve"> </v>
      </c>
      <c r="AA19" s="86"/>
      <c r="AB19" s="91"/>
      <c r="AC19" s="91"/>
      <c r="AD19" s="24"/>
      <c r="AE19" s="52" cm="1">
        <f t="array" ref="AE19">VLOOKUP(AD19,T1:Y464,2,FALSE)</f>
        <v>0</v>
      </c>
      <c r="AF19" s="52" cm="1">
        <f t="array" ref="AF19">VLOOKUP(AD19,T1:AA464,5,FALSE)</f>
        <v>0</v>
      </c>
    </row>
    <row r="20" spans="1:32" ht="21.25" customHeight="1" x14ac:dyDescent="0.15">
      <c r="A20" s="24"/>
      <c r="B20" s="100" t="str" cm="1">
        <f t="array" ref="B20">IFERROR(VLOOKUP($A20,'The List'!$B1:$AS671,3,FALSE)," ")</f>
        <v xml:space="preserve"> </v>
      </c>
      <c r="C20" s="102" t="str" cm="1">
        <f t="array" ref="C20">IFERROR(VLOOKUP($A20,'The List'!$B1:$AS671,4,FALSE)," ")</f>
        <v xml:space="preserve"> </v>
      </c>
      <c r="D20" s="18" t="str" cm="1">
        <f t="array" ref="D20">IFERROR(VLOOKUP($A20,'The List'!$B1:$AS671,5,FALSE)," ")</f>
        <v xml:space="preserve"> </v>
      </c>
      <c r="E20" s="18" t="str" cm="1">
        <f t="array" ref="E20">IFERROR(VLOOKUP($A20,'The List'!$B1:$AS671,6,FALSE)," ")</f>
        <v xml:space="preserve"> </v>
      </c>
      <c r="F20" s="93" t="str" cm="1">
        <f t="array" ref="F20">IFERROR(VLOOKUP($A20,'The List'!$B1:$AS671,8,FALSE)," ")</f>
        <v xml:space="preserve"> </v>
      </c>
      <c r="G20" s="93" t="str" cm="1">
        <f t="array" ref="G20">IFERROR(VLOOKUP($A20,'The List'!$B1:$AS671,10,FALSE)," ")</f>
        <v xml:space="preserve"> </v>
      </c>
      <c r="H20" s="55"/>
      <c r="I20" s="85" t="str" cm="1">
        <f t="array" ref="I20">IFERROR(VLOOKUP($A20,'The List'!$B1:$AS671,16,FALSE)," ")</f>
        <v xml:space="preserve"> </v>
      </c>
      <c r="J20" s="85" t="str" cm="1">
        <f t="array" ref="J20">IFERROR(VLOOKUP($A20,'The List'!$B1:$AS671,17,FALSE)," ")</f>
        <v xml:space="preserve"> </v>
      </c>
      <c r="K20" s="85" t="str" cm="1">
        <f t="array" ref="K20">IFERROR(VLOOKUP($A20,'The List'!$B1:$AS671,18,FALSE)," ")</f>
        <v xml:space="preserve"> </v>
      </c>
      <c r="L20" s="85" t="str" cm="1">
        <f t="array" ref="L20">IFERROR(VLOOKUP($A20,'The List'!$B1:$AS671,19,FALSE)," ")</f>
        <v xml:space="preserve"> </v>
      </c>
      <c r="M20" s="85" t="str" cm="1">
        <f t="array" ref="M20">IFERROR(VLOOKUP($A20,'The List'!$B1:$AS671,20,FALSE)," ")</f>
        <v xml:space="preserve"> </v>
      </c>
      <c r="N20" s="85" t="str" cm="1">
        <f t="array" ref="N20">IFERROR(VLOOKUP($A20,'The List'!$B1:$AS671,21,FALSE)," ")</f>
        <v xml:space="preserve"> </v>
      </c>
      <c r="O20" s="85" t="str" cm="1">
        <f t="array" ref="O20">IFERROR(VLOOKUP($A20,'The List'!$B1:$AS671,22,FALSE)," ")</f>
        <v xml:space="preserve"> </v>
      </c>
      <c r="P20" s="85" t="str" cm="1">
        <f t="array" ref="P20">IFERROR(VLOOKUP($A20,'The List'!$B1:$AS671,23,FALSE)," ")</f>
        <v xml:space="preserve"> </v>
      </c>
      <c r="Q20" s="85" t="str" cm="1">
        <f t="array" ref="Q20">IFERROR(VLOOKUP($A20,'The List'!$B1:$AS671,24,FALSE)," ")</f>
        <v xml:space="preserve"> </v>
      </c>
      <c r="R20" s="85" t="str" cm="1">
        <f t="array" ref="R20">IFERROR(VLOOKUP($A20,'The List'!$B1:$AS671,25,FALSE)," ")</f>
        <v xml:space="preserve"> </v>
      </c>
      <c r="S20" s="85" t="str" cm="1">
        <f t="array" ref="S20">IFERROR(VLOOKUP($A20,'The List'!$B1:$AS671,26,FALSE)," ")</f>
        <v xml:space="preserve"> </v>
      </c>
      <c r="T20" s="85" t="str" cm="1">
        <f t="array" ref="T20">IFERROR(VLOOKUP($A20,'The List'!$B1:$AS671,27,FALSE)," ")</f>
        <v xml:space="preserve"> </v>
      </c>
      <c r="U20" s="85" t="str" cm="1">
        <f t="array" ref="U20">IFERROR(VLOOKUP($A20,'The List'!$B1:$AS671,28,FALSE)," ")</f>
        <v xml:space="preserve"> </v>
      </c>
      <c r="V20" s="85" t="str" cm="1">
        <f t="array" ref="V20">IFERROR(VLOOKUP($A20,'The List'!$B1:$AS671,29,FALSE)," ")</f>
        <v xml:space="preserve"> </v>
      </c>
      <c r="W20" s="85" t="str" cm="1">
        <f t="array" ref="W20">IFERROR(VLOOKUP($A20,'The List'!$B1:$AS671,30,FALSE)," ")</f>
        <v xml:space="preserve"> </v>
      </c>
      <c r="X20" s="85" t="str" cm="1">
        <f t="array" ref="X20">IFERROR(VLOOKUP($A20,'The List'!$B1:$AS671,31,FALSE)," ")</f>
        <v xml:space="preserve"> </v>
      </c>
      <c r="Y20" s="85" t="str" cm="1">
        <f t="array" ref="Y20">IFERROR(VLOOKUP($A20,'The List'!$B1:$AS671,32,FALSE)," ")</f>
        <v xml:space="preserve"> </v>
      </c>
      <c r="Z20" s="85" t="str" cm="1">
        <f t="array" ref="Z20">IFERROR(VLOOKUP($A20,'The List'!$B1:$AS671,33,FALSE)," ")</f>
        <v xml:space="preserve"> </v>
      </c>
      <c r="AA20" s="86"/>
      <c r="AB20" s="91"/>
      <c r="AC20" s="91"/>
      <c r="AD20" s="103"/>
      <c r="AE20" s="103"/>
      <c r="AF20" s="103"/>
    </row>
    <row r="21" spans="1:32" ht="21.25" customHeight="1" x14ac:dyDescent="0.15">
      <c r="A21" s="104"/>
      <c r="B21" s="105" t="str" cm="1">
        <f t="array" ref="B21">IFERROR(VLOOKUP($A21,'The List'!$B1:$AS671,3,FALSE)," ")</f>
        <v xml:space="preserve"> </v>
      </c>
      <c r="C21" s="106" t="str" cm="1">
        <f t="array" ref="C21">IFERROR(VLOOKUP($A21,'The List'!$B1:$AS671,4,FALSE)," ")</f>
        <v xml:space="preserve"> </v>
      </c>
      <c r="D21" s="107" t="str" cm="1">
        <f t="array" ref="D21">IFERROR(VLOOKUP($A21,'The List'!$B1:$AS671,5,FALSE)," ")</f>
        <v xml:space="preserve"> </v>
      </c>
      <c r="E21" s="107" t="str" cm="1">
        <f t="array" ref="E21">IFERROR(VLOOKUP($A21,'The List'!$B1:$AS671,6,FALSE)," ")</f>
        <v xml:space="preserve"> </v>
      </c>
      <c r="F21" s="108" t="str" cm="1">
        <f t="array" ref="F21">IFERROR(VLOOKUP($A21,'The List'!$B1:$AS671,8,FALSE)," ")</f>
        <v xml:space="preserve"> </v>
      </c>
      <c r="G21" s="108" t="str" cm="1">
        <f t="array" ref="G21">IFERROR(VLOOKUP($A21,'The List'!$B1:$AS671,10,FALSE)," ")</f>
        <v xml:space="preserve"> </v>
      </c>
      <c r="H21" s="109"/>
      <c r="I21" s="110" t="str" cm="1">
        <f t="array" ref="I21">IFERROR(VLOOKUP($A21,'The List'!$B1:$AS671,16,FALSE)," ")</f>
        <v xml:space="preserve"> </v>
      </c>
      <c r="J21" s="110" t="str" cm="1">
        <f t="array" ref="J21">IFERROR(VLOOKUP($A21,'The List'!$B1:$AS671,17,FALSE)," ")</f>
        <v xml:space="preserve"> </v>
      </c>
      <c r="K21" s="110" t="str" cm="1">
        <f t="array" ref="K21">IFERROR(VLOOKUP($A21,'The List'!$B1:$AS671,18,FALSE)," ")</f>
        <v xml:space="preserve"> </v>
      </c>
      <c r="L21" s="110" t="str" cm="1">
        <f t="array" ref="L21">IFERROR(VLOOKUP($A21,'The List'!$B1:$AS671,19,FALSE)," ")</f>
        <v xml:space="preserve"> </v>
      </c>
      <c r="M21" s="110" t="str" cm="1">
        <f t="array" ref="M21">IFERROR(VLOOKUP($A21,'The List'!$B1:$AS671,20,FALSE)," ")</f>
        <v xml:space="preserve"> </v>
      </c>
      <c r="N21" s="110" t="str" cm="1">
        <f t="array" ref="N21">IFERROR(VLOOKUP($A21,'The List'!$B1:$AS671,21,FALSE)," ")</f>
        <v xml:space="preserve"> </v>
      </c>
      <c r="O21" s="110" t="str" cm="1">
        <f t="array" ref="O21">IFERROR(VLOOKUP($A21,'The List'!$B1:$AS671,22,FALSE)," ")</f>
        <v xml:space="preserve"> </v>
      </c>
      <c r="P21" s="110" t="str" cm="1">
        <f t="array" ref="P21">IFERROR(VLOOKUP($A21,'The List'!$B1:$AS671,23,FALSE)," ")</f>
        <v xml:space="preserve"> </v>
      </c>
      <c r="Q21" s="110" t="str" cm="1">
        <f t="array" ref="Q21">IFERROR(VLOOKUP($A21,'The List'!$B1:$AS671,24,FALSE)," ")</f>
        <v xml:space="preserve"> </v>
      </c>
      <c r="R21" s="110" t="str" cm="1">
        <f t="array" ref="R21">IFERROR(VLOOKUP($A21,'The List'!$B1:$AS671,25,FALSE)," ")</f>
        <v xml:space="preserve"> </v>
      </c>
      <c r="S21" s="110" t="str" cm="1">
        <f t="array" ref="S21">IFERROR(VLOOKUP($A21,'The List'!$B1:$AS671,26,FALSE)," ")</f>
        <v xml:space="preserve"> </v>
      </c>
      <c r="T21" s="110" t="str" cm="1">
        <f t="array" ref="T21">IFERROR(VLOOKUP($A21,'The List'!$B1:$AS671,27,FALSE)," ")</f>
        <v xml:space="preserve"> </v>
      </c>
      <c r="U21" s="110" t="str" cm="1">
        <f t="array" ref="U21">IFERROR(VLOOKUP($A21,'The List'!$B1:$AS671,28,FALSE)," ")</f>
        <v xml:space="preserve"> </v>
      </c>
      <c r="V21" s="110" t="str" cm="1">
        <f t="array" ref="V21">IFERROR(VLOOKUP($A21,'The List'!$B1:$AS671,29,FALSE)," ")</f>
        <v xml:space="preserve"> </v>
      </c>
      <c r="W21" s="110" t="str" cm="1">
        <f t="array" ref="W21">IFERROR(VLOOKUP($A21,'The List'!$B1:$AS671,30,FALSE)," ")</f>
        <v xml:space="preserve"> </v>
      </c>
      <c r="X21" s="110" t="str" cm="1">
        <f t="array" ref="X21">IFERROR(VLOOKUP($A21,'The List'!$B1:$AS671,31,FALSE)," ")</f>
        <v xml:space="preserve"> </v>
      </c>
      <c r="Y21" s="110" t="str" cm="1">
        <f t="array" ref="Y21">IFERROR(VLOOKUP($A21,'The List'!$B1:$AS671,32,FALSE)," ")</f>
        <v xml:space="preserve"> </v>
      </c>
      <c r="Z21" s="110" t="str" cm="1">
        <f t="array" ref="Z21">IFERROR(VLOOKUP($A21,'The List'!$B1:$AS671,33,FALSE)," ")</f>
        <v xml:space="preserve"> </v>
      </c>
      <c r="AA21" s="86"/>
      <c r="AB21" s="91"/>
      <c r="AC21" s="91"/>
      <c r="AD21" s="91"/>
      <c r="AE21" s="91"/>
      <c r="AF21" s="91"/>
    </row>
    <row r="22" spans="1:32" ht="21.25" customHeight="1" x14ac:dyDescent="0.15">
      <c r="A22" s="111"/>
      <c r="B22" s="112"/>
      <c r="C22" s="113"/>
      <c r="D22" s="114"/>
      <c r="E22" s="115" cm="1">
        <f t="array" ref="E22">IFERROR(AVERAGE(E2:E21)," ")</f>
        <v>29</v>
      </c>
      <c r="F22" s="116" cm="1">
        <f t="array" ref="F22">SUM(F2:F21)</f>
        <v>2125.0803721507632</v>
      </c>
      <c r="G22" s="116" cm="1">
        <f t="array" ref="G22">SUM(G2:G21)</f>
        <v>642.00436902597119</v>
      </c>
      <c r="H22" s="117"/>
      <c r="I22" s="118" cm="1">
        <f t="array" ref="I22">SUM(I2:I21)</f>
        <v>329.72500000000002</v>
      </c>
      <c r="J22" s="117" cm="1">
        <f t="array" ref="J22">AVERAGE(J2:J21)</f>
        <v>21.935064674377003</v>
      </c>
      <c r="K22" s="118" cm="1">
        <f t="array" ref="K22">SUM(K2:K21)</f>
        <v>144.5989752636853</v>
      </c>
      <c r="L22" s="118" cm="1">
        <f t="array" ref="L22">SUM(L2:L21)</f>
        <v>294.96098711948878</v>
      </c>
      <c r="M22" s="118" cm="1">
        <f t="array" ref="M22">SUM(M2:M21)</f>
        <v>439.55996238317408</v>
      </c>
      <c r="N22" s="118" cm="1">
        <f t="array" ref="N22">SUM(N2:N21)</f>
        <v>1048.6330969846397</v>
      </c>
      <c r="O22" s="118" cm="1">
        <f t="array" ref="O22">SUM(O2:O21)</f>
        <v>42.000666906273523</v>
      </c>
      <c r="P22" s="118" cm="1">
        <f t="array" ref="P22">SUM(P2:P21)</f>
        <v>162.99657177470908</v>
      </c>
      <c r="Q22" s="118" cm="1">
        <f t="array" ref="Q22">SUM(Q2:Q21)</f>
        <v>0.90261156735438663</v>
      </c>
      <c r="R22" s="118" cm="1">
        <f t="array" ref="R22">SUM(R2:R21)</f>
        <v>1.7064430775805497</v>
      </c>
      <c r="S22" s="118" cm="1">
        <f t="array" ref="S22">SUM(S2:S21)</f>
        <v>234.76184331326309</v>
      </c>
      <c r="T22" s="118" cm="1">
        <f t="array" ref="T22">SUM(T2:T21)</f>
        <v>192.59985735989056</v>
      </c>
      <c r="U22" s="118" cm="1">
        <f t="array" ref="U22">SUM(U2:U21)</f>
        <v>42.133770265489119</v>
      </c>
      <c r="V22" s="118" cm="1">
        <f t="array" ref="V22">SUM(V2:V21)</f>
        <v>127.82288501621935</v>
      </c>
      <c r="W22" s="118" cm="1">
        <f t="array" ref="W22">SUM(W2:W21)</f>
        <v>25.309513892327725</v>
      </c>
      <c r="X22" s="118" cm="1">
        <f t="array" ref="X22">SUM(X2:X21)</f>
        <v>441.39374885837827</v>
      </c>
      <c r="Y22" s="118" cm="1">
        <f t="array" ref="Y22">SUM(Y2:Y21)</f>
        <v>457.99277413468991</v>
      </c>
      <c r="Z22" s="119" cm="1">
        <f t="array" ref="Z22">IFERROR(X22/(X22+Y22),0)</f>
        <v>0.49077202912654744</v>
      </c>
      <c r="AA22" s="86"/>
      <c r="AB22" s="120"/>
      <c r="AC22" s="120"/>
      <c r="AD22" s="120"/>
      <c r="AE22" s="120"/>
      <c r="AF22" s="120"/>
    </row>
    <row r="23" spans="1:32" ht="21.25" customHeight="1" x14ac:dyDescent="0.15">
      <c r="A23" s="37"/>
      <c r="B23" s="121"/>
      <c r="C23" s="122"/>
      <c r="D23" s="13"/>
      <c r="E23" s="13"/>
      <c r="F23" s="123"/>
      <c r="G23" s="124"/>
      <c r="H23" s="125"/>
      <c r="I23" s="12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91"/>
      <c r="AC23" s="91"/>
      <c r="AD23" s="91"/>
      <c r="AE23" s="91"/>
      <c r="AF23" s="91"/>
    </row>
    <row r="24" spans="1:32" ht="21.25" customHeight="1" x14ac:dyDescent="0.15">
      <c r="A24" s="40" t="s">
        <v>91</v>
      </c>
      <c r="B24" s="205" t="s">
        <v>93</v>
      </c>
      <c r="C24" s="197"/>
      <c r="D24" s="127" t="s">
        <v>94</v>
      </c>
      <c r="E24" s="127" t="s">
        <v>95</v>
      </c>
      <c r="F24" s="128" t="s">
        <v>97</v>
      </c>
      <c r="G24" s="128" t="s">
        <v>99</v>
      </c>
      <c r="H24" s="129"/>
      <c r="I24" s="130" t="s">
        <v>104</v>
      </c>
      <c r="J24" s="130" t="s">
        <v>119</v>
      </c>
      <c r="K24" s="130" t="s">
        <v>120</v>
      </c>
      <c r="L24" s="130" t="s">
        <v>121</v>
      </c>
      <c r="M24" s="130" t="s">
        <v>122</v>
      </c>
      <c r="N24" s="130" t="s">
        <v>123</v>
      </c>
      <c r="O24" s="130" t="s">
        <v>124</v>
      </c>
      <c r="P24" s="130" t="s">
        <v>125</v>
      </c>
      <c r="Q24" s="130" t="s">
        <v>126</v>
      </c>
      <c r="R24" s="86"/>
      <c r="S24" s="86"/>
      <c r="T24" s="86"/>
      <c r="U24" s="205" t="s">
        <v>818</v>
      </c>
      <c r="V24" s="206"/>
      <c r="W24" s="206"/>
      <c r="X24" s="205" t="s">
        <v>819</v>
      </c>
      <c r="Y24" s="206"/>
      <c r="Z24" s="206"/>
      <c r="AA24" s="86"/>
      <c r="AB24" s="86"/>
      <c r="AC24" s="86"/>
      <c r="AD24" s="86"/>
      <c r="AE24" s="86"/>
      <c r="AF24" s="86"/>
    </row>
    <row r="25" spans="1:32" ht="21.25" customHeight="1" x14ac:dyDescent="0.15">
      <c r="A25" s="131" t="s">
        <v>151</v>
      </c>
      <c r="B25" s="132" t="str" cm="1">
        <f t="array" ref="B25">IFERROR(VLOOKUP($A25,'The List'!$B1:$AS671,3,FALSE)," ")</f>
        <v>G</v>
      </c>
      <c r="C25" s="133" cm="1">
        <f t="array" ref="C25">IFERROR(VLOOKUP($A25,'The List'!$B1:$AS671,4,FALSE)," ")</f>
        <v>1</v>
      </c>
      <c r="D25" s="134" t="str" cm="1">
        <f t="array" ref="D25">IFERROR(VLOOKUP($A25,'The List'!$B1:$AS671,5,FALSE)," ")</f>
        <v>WPG</v>
      </c>
      <c r="E25" s="135" cm="1">
        <f t="array" ref="E25">IFERROR(VLOOKUP($A25,'The List'!$B1:$AS671,6,FALSE)," ")</f>
        <v>33</v>
      </c>
      <c r="F25" s="136" cm="1">
        <f t="array" ref="F25">IFERROR(VLOOKUP($A25,'The List'!$B1:$AS671,8,FALSE)," ")</f>
        <v>418.6365837347945</v>
      </c>
      <c r="G25" s="136" cm="1">
        <f t="array" ref="G25">IFERROR(VLOOKUP($A25,'The List'!$B1:$AS671,10,FALSE)," ")</f>
        <v>59.478675804556474</v>
      </c>
      <c r="H25" s="83"/>
      <c r="I25" s="137" cm="1">
        <f t="array" ref="I25">IFERROR(VLOOKUP($A25,'The List'!$B1:$AS671,35,FALSE)," ")</f>
        <v>60</v>
      </c>
      <c r="J25" s="137" cm="1">
        <f t="array" ref="J25">IFERROR(VLOOKUP($A25,'The List'!$B1:$AS671,36,FALSE)," ")</f>
        <v>31.383681896168579</v>
      </c>
      <c r="K25" s="137" cm="1">
        <f t="array" ref="K25">IFERROR(VLOOKUP($A25,'The List'!$B1:$AS671,37,FALSE)," ")</f>
        <v>21.462238577873581</v>
      </c>
      <c r="L25" s="137" cm="1">
        <f t="array" ref="L25">IFERROR(VLOOKUP($A25,'The List'!$B1:$AS671,38,FALSE)," ")</f>
        <v>7.1540795259578394</v>
      </c>
      <c r="M25" s="137" cm="1">
        <f t="array" ref="M25">IFERROR(VLOOKUP($A25,'The List'!$B1:$AS671,39,FALSE)," ")</f>
        <v>4.2977948684928595</v>
      </c>
      <c r="N25" s="137" cm="1">
        <f t="array" ref="N25">IFERROR(VLOOKUP($A25,'The List'!$B1:$AS671,40,FALSE)," ")</f>
        <v>1578.8732715524879</v>
      </c>
      <c r="O25" s="137" cm="1">
        <f t="array" ref="O25">IFERROR(VLOOKUP($A25,'The List'!$B1:$AS671,41,FALSE)," ")</f>
        <v>156.416297532816</v>
      </c>
      <c r="P25" s="138" cm="1">
        <f t="array" ref="P25">IFERROR(VLOOKUP($A25,'The List'!$B1:$AS671,42,FALSE)," ")</f>
        <v>0.90986155837076499</v>
      </c>
      <c r="Q25" s="139" cm="1">
        <f t="array" ref="Q25">IFERROR(VLOOKUP($A25,'The List'!$B1:$AS671,43,FALSE)," ")</f>
        <v>2.6069382922136</v>
      </c>
      <c r="R25" s="86"/>
      <c r="S25" s="86"/>
      <c r="T25" s="140" t="str" cm="1">
        <f t="array" ref="T25">A$1</f>
        <v>TEAM 1</v>
      </c>
      <c r="U25" s="207" cm="1">
        <f t="array" ref="U25">F22+F28</f>
        <v>2543.7169558855576</v>
      </c>
      <c r="V25" s="197"/>
      <c r="W25" s="197"/>
      <c r="X25" s="207" cm="1">
        <f t="array" ref="X25">G28+G22</f>
        <v>701.48304483052766</v>
      </c>
      <c r="Y25" s="197"/>
      <c r="Z25" s="197"/>
      <c r="AA25" s="86"/>
      <c r="AB25" s="86"/>
      <c r="AC25" s="86"/>
      <c r="AD25" s="86"/>
      <c r="AE25" s="86"/>
      <c r="AF25" s="86"/>
    </row>
    <row r="26" spans="1:32" ht="21.25" customHeight="1" x14ac:dyDescent="0.15">
      <c r="A26" s="24"/>
      <c r="B26" s="141" t="str" cm="1">
        <f t="array" ref="B26">IFERROR(VLOOKUP($A26,'The List'!$B1:$AS671,3,FALSE)," ")</f>
        <v xml:space="preserve"> </v>
      </c>
      <c r="C26" s="142" t="str" cm="1">
        <f t="array" ref="C26">IFERROR(VLOOKUP($A26,'The List'!$B1:$AS671,4,FALSE)," ")</f>
        <v xml:space="preserve"> </v>
      </c>
      <c r="D26" s="18" t="str" cm="1">
        <f t="array" ref="D26">IFERROR(VLOOKUP($A26,'The List'!$B1:$AS671,5,FALSE)," ")</f>
        <v xml:space="preserve"> </v>
      </c>
      <c r="E26" s="18" t="str" cm="1">
        <f t="array" ref="E26">IFERROR(VLOOKUP($A26,'The List'!$B1:$AS671,6,FALSE)," ")</f>
        <v xml:space="preserve"> </v>
      </c>
      <c r="F26" s="93" t="str" cm="1">
        <f t="array" ref="F26">IFERROR(VLOOKUP($A26,'The List'!$B1:$AS671,8,FALSE)," ")</f>
        <v xml:space="preserve"> </v>
      </c>
      <c r="G26" s="93" t="str" cm="1">
        <f t="array" ref="G26">IFERROR(VLOOKUP($A26,'The List'!$B1:$AS671,10,FALSE)," ")</f>
        <v xml:space="preserve"> </v>
      </c>
      <c r="H26" s="55"/>
      <c r="I26" s="85" t="str" cm="1">
        <f t="array" ref="I26">IFERROR(VLOOKUP($A26,'The List'!$B1:$AS671,35,FALSE)," ")</f>
        <v xml:space="preserve"> </v>
      </c>
      <c r="J26" s="85" t="str" cm="1">
        <f t="array" ref="J26">IFERROR(VLOOKUP($A26,'The List'!$B1:$AS671,36,FALSE)," ")</f>
        <v xml:space="preserve"> </v>
      </c>
      <c r="K26" s="85" t="str" cm="1">
        <f t="array" ref="K26">IFERROR(VLOOKUP($A26,'The List'!$B1:$AS671,37,FALSE)," ")</f>
        <v xml:space="preserve"> </v>
      </c>
      <c r="L26" s="85" t="str" cm="1">
        <f t="array" ref="L26">IFERROR(VLOOKUP($A26,'The List'!$B1:$AS671,38,FALSE)," ")</f>
        <v xml:space="preserve"> </v>
      </c>
      <c r="M26" s="85" t="str" cm="1">
        <f t="array" ref="M26">IFERROR(VLOOKUP($A26,'The List'!$B1:$AS671,39,FALSE)," ")</f>
        <v xml:space="preserve"> </v>
      </c>
      <c r="N26" s="85" t="str" cm="1">
        <f t="array" ref="N26">IFERROR(VLOOKUP($A26,'The List'!$B1:$AS671,40,FALSE)," ")</f>
        <v xml:space="preserve"> </v>
      </c>
      <c r="O26" s="85" t="str" cm="1">
        <f t="array" ref="O26">IFERROR(VLOOKUP($A26,'The List'!$B1:$AS671,41,FALSE)," ")</f>
        <v xml:space="preserve"> </v>
      </c>
      <c r="P26" s="85" t="str" cm="1">
        <f t="array" ref="P26">IFERROR(VLOOKUP($A26,'The List'!$B1:$AS671,42,FALSE)," ")</f>
        <v xml:space="preserve"> </v>
      </c>
      <c r="Q26" s="85" t="str" cm="1">
        <f t="array" ref="Q26">IFERROR(VLOOKUP($A26,'The List'!$B1:$AS671,43,FALSE)," ")</f>
        <v xml:space="preserve"> </v>
      </c>
      <c r="R26" s="86"/>
      <c r="S26" s="86"/>
      <c r="T26" s="86"/>
      <c r="U26" s="197"/>
      <c r="V26" s="197"/>
      <c r="W26" s="197"/>
      <c r="X26" s="197"/>
      <c r="Y26" s="197"/>
      <c r="Z26" s="197"/>
      <c r="AA26" s="86"/>
      <c r="AB26" s="86"/>
      <c r="AC26" s="86"/>
      <c r="AD26" s="86"/>
      <c r="AE26" s="86"/>
      <c r="AF26" s="86"/>
    </row>
    <row r="27" spans="1:32" ht="21.25" customHeight="1" x14ac:dyDescent="0.15">
      <c r="A27" s="104"/>
      <c r="B27" s="143" t="str" cm="1">
        <f t="array" ref="B27">IFERROR(VLOOKUP($A27,'The List'!$B1:$AS671,3,FALSE)," ")</f>
        <v xml:space="preserve"> </v>
      </c>
      <c r="C27" s="144" t="str" cm="1">
        <f t="array" ref="C27">IFERROR(VLOOKUP($A27,'The List'!$B1:$AS671,4,FALSE)," ")</f>
        <v xml:space="preserve"> </v>
      </c>
      <c r="D27" s="107" t="str" cm="1">
        <f t="array" ref="D27">IFERROR(VLOOKUP($A27,'The List'!$B1:$AS671,5,FALSE)," ")</f>
        <v xml:space="preserve"> </v>
      </c>
      <c r="E27" s="107" t="str" cm="1">
        <f t="array" ref="E27">IFERROR(VLOOKUP($A27,'The List'!$B1:$AS671,6,FALSE)," ")</f>
        <v xml:space="preserve"> </v>
      </c>
      <c r="F27" s="108" t="str" cm="1">
        <f t="array" ref="F27">IFERROR(VLOOKUP($A27,'The List'!$B1:$AS671,8,FALSE)," ")</f>
        <v xml:space="preserve"> </v>
      </c>
      <c r="G27" s="108" t="str" cm="1">
        <f t="array" ref="G27">IFERROR(VLOOKUP($A27,'The List'!$B1:$AS671,10,FALSE)," ")</f>
        <v xml:space="preserve"> </v>
      </c>
      <c r="H27" s="109"/>
      <c r="I27" s="110" t="str" cm="1">
        <f t="array" ref="I27">IFERROR(VLOOKUP($A27,'The List'!$B1:$AS671,35,FALSE)," ")</f>
        <v xml:space="preserve"> </v>
      </c>
      <c r="J27" s="110" t="str" cm="1">
        <f t="array" ref="J27">IFERROR(VLOOKUP($A27,'The List'!$B1:$AS671,36,FALSE)," ")</f>
        <v xml:space="preserve"> </v>
      </c>
      <c r="K27" s="110" t="str" cm="1">
        <f t="array" ref="K27">IFERROR(VLOOKUP($A27,'The List'!$B1:$AS671,37,FALSE)," ")</f>
        <v xml:space="preserve"> </v>
      </c>
      <c r="L27" s="110" t="str" cm="1">
        <f t="array" ref="L27">IFERROR(VLOOKUP($A27,'The List'!$B1:$AS671,38,FALSE)," ")</f>
        <v xml:space="preserve"> </v>
      </c>
      <c r="M27" s="110" t="str" cm="1">
        <f t="array" ref="M27">IFERROR(VLOOKUP($A27,'The List'!$B1:$AS671,39,FALSE)," ")</f>
        <v xml:space="preserve"> </v>
      </c>
      <c r="N27" s="110" t="str" cm="1">
        <f t="array" ref="N27">IFERROR(VLOOKUP($A27,'The List'!$B1:$AS671,40,FALSE)," ")</f>
        <v xml:space="preserve"> </v>
      </c>
      <c r="O27" s="110" t="str" cm="1">
        <f t="array" ref="O27">IFERROR(VLOOKUP($A27,'The List'!$B1:$AS671,41,FALSE)," ")</f>
        <v xml:space="preserve"> </v>
      </c>
      <c r="P27" s="110" t="str" cm="1">
        <f t="array" ref="P27">IFERROR(VLOOKUP($A27,'The List'!$B1:$AS671,42,FALSE)," ")</f>
        <v xml:space="preserve"> </v>
      </c>
      <c r="Q27" s="110" t="str" cm="1">
        <f t="array" ref="Q27">IFERROR(VLOOKUP($A27,'The List'!$B1:$AS671,43,FALSE)," ")</f>
        <v xml:space="preserve"> </v>
      </c>
      <c r="R27" s="86"/>
      <c r="S27" s="86"/>
      <c r="T27" s="86"/>
      <c r="U27" s="197"/>
      <c r="V27" s="197"/>
      <c r="W27" s="197"/>
      <c r="X27" s="197"/>
      <c r="Y27" s="197"/>
      <c r="Z27" s="197"/>
      <c r="AA27" s="86"/>
      <c r="AB27" s="86"/>
      <c r="AC27" s="86"/>
      <c r="AD27" s="86"/>
      <c r="AE27" s="86"/>
      <c r="AF27" s="86"/>
    </row>
    <row r="28" spans="1:32" ht="21.25" customHeight="1" x14ac:dyDescent="0.15">
      <c r="A28" s="111"/>
      <c r="B28" s="112"/>
      <c r="C28" s="113"/>
      <c r="D28" s="114"/>
      <c r="E28" s="115" cm="1">
        <f t="array" ref="E28">IFERROR(AVERAGE(E25:E27)," ")</f>
        <v>33</v>
      </c>
      <c r="F28" s="116" cm="1">
        <f t="array" ref="F28">SUM(F25:F27)</f>
        <v>418.6365837347945</v>
      </c>
      <c r="G28" s="116" cm="1">
        <f t="array" ref="G28">SUM(G25:G27)</f>
        <v>59.478675804556474</v>
      </c>
      <c r="H28" s="117"/>
      <c r="I28" s="118" cm="1">
        <f t="array" ref="I28">SUM(I25:I27)</f>
        <v>60</v>
      </c>
      <c r="J28" s="117" cm="1">
        <f t="array" ref="J28">SUM(J25:J27)</f>
        <v>31.383681896168579</v>
      </c>
      <c r="K28" s="118" cm="1">
        <f t="array" ref="K28">SUM(K25:K27)</f>
        <v>21.462238577873581</v>
      </c>
      <c r="L28" s="118" cm="1">
        <f t="array" ref="L28">SUM(L25:L27)</f>
        <v>7.1540795259578394</v>
      </c>
      <c r="M28" s="118" cm="1">
        <f t="array" ref="M28">SUM(M25:M27)</f>
        <v>4.2977948684928595</v>
      </c>
      <c r="N28" s="118" cm="1">
        <f t="array" ref="N28">SUM(N25:N27)</f>
        <v>1578.8732715524879</v>
      </c>
      <c r="O28" s="118" cm="1">
        <f t="array" ref="O28">SUM(O25:O27)</f>
        <v>156.416297532816</v>
      </c>
      <c r="P28" s="145" cm="1">
        <f t="array" ref="P28">1-(O28/(N28+O28))</f>
        <v>0.90986155837076499</v>
      </c>
      <c r="Q28" s="146" cm="1">
        <f t="array" ref="Q28">O28/I28</f>
        <v>2.6069382922136</v>
      </c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</row>
    <row r="29" spans="1:32" ht="70.75" customHeight="1" x14ac:dyDescent="0.15">
      <c r="A29" s="37"/>
      <c r="B29" s="121"/>
      <c r="C29" s="122"/>
      <c r="D29" s="13"/>
      <c r="E29" s="13"/>
      <c r="F29" s="123"/>
      <c r="G29" s="124"/>
      <c r="H29" s="125"/>
      <c r="I29" s="12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91"/>
      <c r="AB29" s="91"/>
      <c r="AC29" s="91"/>
      <c r="AD29" s="91"/>
      <c r="AE29" s="91"/>
      <c r="AF29" s="91"/>
    </row>
    <row r="30" spans="1:32" ht="21.25" customHeight="1" x14ac:dyDescent="0.15">
      <c r="A30" s="41" t="s">
        <v>803</v>
      </c>
      <c r="B30" s="194" t="s">
        <v>93</v>
      </c>
      <c r="C30" s="195"/>
      <c r="D30" s="42" t="s">
        <v>94</v>
      </c>
      <c r="E30" s="42" t="s">
        <v>95</v>
      </c>
      <c r="F30" s="43" t="s">
        <v>97</v>
      </c>
      <c r="G30" s="43" t="s">
        <v>99</v>
      </c>
      <c r="H30" s="44"/>
      <c r="I30" s="46" t="s">
        <v>104</v>
      </c>
      <c r="J30" s="46" t="s">
        <v>56</v>
      </c>
      <c r="K30" s="46" t="s">
        <v>105</v>
      </c>
      <c r="L30" s="46" t="s">
        <v>106</v>
      </c>
      <c r="M30" s="46" t="s">
        <v>107</v>
      </c>
      <c r="N30" s="46" t="s">
        <v>108</v>
      </c>
      <c r="O30" s="46" t="s">
        <v>64</v>
      </c>
      <c r="P30" s="46" t="s">
        <v>68</v>
      </c>
      <c r="Q30" s="46" t="s">
        <v>109</v>
      </c>
      <c r="R30" s="46" t="s">
        <v>110</v>
      </c>
      <c r="S30" s="46" t="s">
        <v>111</v>
      </c>
      <c r="T30" s="46" t="s">
        <v>112</v>
      </c>
      <c r="U30" s="46" t="s">
        <v>113</v>
      </c>
      <c r="V30" s="46" t="s">
        <v>114</v>
      </c>
      <c r="W30" s="46" t="s">
        <v>115</v>
      </c>
      <c r="X30" s="46" t="s">
        <v>116</v>
      </c>
      <c r="Y30" s="46" t="s">
        <v>117</v>
      </c>
      <c r="Z30" s="46" t="s">
        <v>118</v>
      </c>
      <c r="AA30" s="86"/>
      <c r="AB30" s="91"/>
      <c r="AC30" s="87"/>
      <c r="AD30" s="87"/>
      <c r="AE30" s="87"/>
      <c r="AF30" s="87"/>
    </row>
    <row r="31" spans="1:32" ht="21.25" customHeight="1" x14ac:dyDescent="0.15">
      <c r="A31" s="24"/>
      <c r="B31" s="88" t="str" cm="1">
        <f t="array" ref="B31">IFERROR(VLOOKUP($A31,'The List'!$B1:$AS671,3,FALSE)," ")</f>
        <v xml:space="preserve"> </v>
      </c>
      <c r="C31" s="92" t="str" cm="1">
        <f t="array" ref="C31">IFERROR(VLOOKUP($A31,'The List'!$B1:$AS671,4,FALSE)," ")</f>
        <v xml:space="preserve"> </v>
      </c>
      <c r="D31" s="18" t="str" cm="1">
        <f t="array" ref="D31">IFERROR(VLOOKUP($A31,'The List'!$B1:$AS671,5,FALSE)," ")</f>
        <v xml:space="preserve"> </v>
      </c>
      <c r="E31" s="18" t="str" cm="1">
        <f t="array" ref="E31">IFERROR(VLOOKUP($A31,'The List'!$B1:$AS671,6,FALSE)," ")</f>
        <v xml:space="preserve"> </v>
      </c>
      <c r="F31" s="93" t="str" cm="1">
        <f t="array" ref="F31">IFERROR(VLOOKUP($A31,'The List'!$B1:$AS671,8,FALSE)," ")</f>
        <v xml:space="preserve"> </v>
      </c>
      <c r="G31" s="93" t="str" cm="1">
        <f t="array" ref="G31">IFERROR(VLOOKUP($A31,'The List'!$B1:$AS671,10,FALSE)," ")</f>
        <v xml:space="preserve"> </v>
      </c>
      <c r="H31" s="55"/>
      <c r="I31" s="85" t="str" cm="1">
        <f t="array" ref="I31">IFERROR(VLOOKUP($A31,'The List'!$B1:$AS671,16,FALSE)," ")</f>
        <v xml:space="preserve"> </v>
      </c>
      <c r="J31" s="85" t="str" cm="1">
        <f t="array" ref="J31">IFERROR(VLOOKUP($A31,'The List'!$B1:$AS671,17,FALSE)," ")</f>
        <v xml:space="preserve"> </v>
      </c>
      <c r="K31" s="85" t="str" cm="1">
        <f t="array" ref="K31">IFERROR(VLOOKUP($A31,'The List'!$B1:$AS671,18,FALSE)," ")</f>
        <v xml:space="preserve"> </v>
      </c>
      <c r="L31" s="85" t="str" cm="1">
        <f t="array" ref="L31">IFERROR(VLOOKUP($A31,'The List'!$B1:$AS671,19,FALSE)," ")</f>
        <v xml:space="preserve"> </v>
      </c>
      <c r="M31" s="85" t="str" cm="1">
        <f t="array" ref="M31">IFERROR(VLOOKUP($A31,'The List'!$B1:$AS671,20,FALSE)," ")</f>
        <v xml:space="preserve"> </v>
      </c>
      <c r="N31" s="85" t="str" cm="1">
        <f t="array" ref="N31">IFERROR(VLOOKUP($A31,'The List'!$B1:$AS671,21,FALSE)," ")</f>
        <v xml:space="preserve"> </v>
      </c>
      <c r="O31" s="85" t="str" cm="1">
        <f t="array" ref="O31">IFERROR(VLOOKUP($A31,'The List'!$B1:$AS671,22,FALSE)," ")</f>
        <v xml:space="preserve"> </v>
      </c>
      <c r="P31" s="85" t="str" cm="1">
        <f t="array" ref="P31">IFERROR(VLOOKUP($A31,'The List'!$B1:$AS671,23,FALSE)," ")</f>
        <v xml:space="preserve"> </v>
      </c>
      <c r="Q31" s="85" t="str" cm="1">
        <f t="array" ref="Q31">IFERROR(VLOOKUP($A31,'The List'!$B1:$AS671,24,FALSE)," ")</f>
        <v xml:space="preserve"> </v>
      </c>
      <c r="R31" s="85" t="str" cm="1">
        <f t="array" ref="R31">IFERROR(VLOOKUP($A31,'The List'!$B1:$AS671,25,FALSE)," ")</f>
        <v xml:space="preserve"> </v>
      </c>
      <c r="S31" s="85" t="str" cm="1">
        <f t="array" ref="S31">IFERROR(VLOOKUP($A31,'The List'!$B1:$AS671,26,FALSE)," ")</f>
        <v xml:space="preserve"> </v>
      </c>
      <c r="T31" s="85" t="str" cm="1">
        <f t="array" ref="T31">IFERROR(VLOOKUP($A31,'The List'!$B1:$AS671,27,FALSE)," ")</f>
        <v xml:space="preserve"> </v>
      </c>
      <c r="U31" s="85" t="str" cm="1">
        <f t="array" ref="U31">IFERROR(VLOOKUP($A31,'The List'!$B1:$AS671,28,FALSE)," ")</f>
        <v xml:space="preserve"> </v>
      </c>
      <c r="V31" s="85" t="str" cm="1">
        <f t="array" ref="V31">IFERROR(VLOOKUP($A31,'The List'!$B1:$AS671,29,FALSE)," ")</f>
        <v xml:space="preserve"> </v>
      </c>
      <c r="W31" s="85" t="str" cm="1">
        <f t="array" ref="W31">IFERROR(VLOOKUP($A31,'The List'!$B1:$AS671,30,FALSE)," ")</f>
        <v xml:space="preserve"> </v>
      </c>
      <c r="X31" s="85" t="str" cm="1">
        <f t="array" ref="X31">IFERROR(VLOOKUP($A31,'The List'!$B1:$AS671,31,FALSE)," ")</f>
        <v xml:space="preserve"> </v>
      </c>
      <c r="Y31" s="85" t="str" cm="1">
        <f t="array" ref="Y31">IFERROR(VLOOKUP($A31,'The List'!$B1:$AS671,32,FALSE)," ")</f>
        <v xml:space="preserve"> </v>
      </c>
      <c r="Z31" s="85" t="str" cm="1">
        <f t="array" ref="Z31">IFERROR(VLOOKUP($A31,'The List'!$B1:$AS671,33,FALSE)," ")</f>
        <v xml:space="preserve"> </v>
      </c>
      <c r="AA31" s="86"/>
      <c r="AB31" s="91"/>
      <c r="AC31" s="91"/>
      <c r="AD31" s="91"/>
      <c r="AE31" s="91"/>
      <c r="AF31" s="91"/>
    </row>
    <row r="32" spans="1:32" ht="21.25" customHeight="1" x14ac:dyDescent="0.15">
      <c r="A32" s="24"/>
      <c r="B32" s="88" t="str" cm="1">
        <f t="array" ref="B32">IFERROR(VLOOKUP($A32,'The List'!$B1:$AS671,3,FALSE)," ")</f>
        <v xml:space="preserve"> </v>
      </c>
      <c r="C32" s="92" t="str" cm="1">
        <f t="array" ref="C32">IFERROR(VLOOKUP($A32,'The List'!$B1:$AS671,4,FALSE)," ")</f>
        <v xml:space="preserve"> </v>
      </c>
      <c r="D32" s="18" t="str" cm="1">
        <f t="array" ref="D32">IFERROR(VLOOKUP($A32,'The List'!$B1:$AS671,5,FALSE)," ")</f>
        <v xml:space="preserve"> </v>
      </c>
      <c r="E32" s="18" t="str" cm="1">
        <f t="array" ref="E32">IFERROR(VLOOKUP($A32,'The List'!$B1:$AS671,6,FALSE)," ")</f>
        <v xml:space="preserve"> </v>
      </c>
      <c r="F32" s="93" t="str" cm="1">
        <f t="array" ref="F32">IFERROR(VLOOKUP($A32,'The List'!$B1:$AS671,8,FALSE)," ")</f>
        <v xml:space="preserve"> </v>
      </c>
      <c r="G32" s="93" t="str" cm="1">
        <f t="array" ref="G32">IFERROR(VLOOKUP($A32,'The List'!$B1:$AS671,10,FALSE)," ")</f>
        <v xml:space="preserve"> </v>
      </c>
      <c r="H32" s="55"/>
      <c r="I32" s="85" t="str" cm="1">
        <f t="array" ref="I32">IFERROR(VLOOKUP($A32,'The List'!$B1:$AS671,16,FALSE)," ")</f>
        <v xml:space="preserve"> </v>
      </c>
      <c r="J32" s="85" t="str" cm="1">
        <f t="array" ref="J32">IFERROR(VLOOKUP($A32,'The List'!$B1:$AS671,17,FALSE)," ")</f>
        <v xml:space="preserve"> </v>
      </c>
      <c r="K32" s="85" t="str" cm="1">
        <f t="array" ref="K32">IFERROR(VLOOKUP($A32,'The List'!$B1:$AS671,18,FALSE)," ")</f>
        <v xml:space="preserve"> </v>
      </c>
      <c r="L32" s="85" t="str" cm="1">
        <f t="array" ref="L32">IFERROR(VLOOKUP($A32,'The List'!$B1:$AS671,19,FALSE)," ")</f>
        <v xml:space="preserve"> </v>
      </c>
      <c r="M32" s="85" t="str" cm="1">
        <f t="array" ref="M32">IFERROR(VLOOKUP($A32,'The List'!$B1:$AS671,20,FALSE)," ")</f>
        <v xml:space="preserve"> </v>
      </c>
      <c r="N32" s="85" t="str" cm="1">
        <f t="array" ref="N32">IFERROR(VLOOKUP($A32,'The List'!$B1:$AS671,21,FALSE)," ")</f>
        <v xml:space="preserve"> </v>
      </c>
      <c r="O32" s="85" t="str" cm="1">
        <f t="array" ref="O32">IFERROR(VLOOKUP($A32,'The List'!$B1:$AS671,22,FALSE)," ")</f>
        <v xml:space="preserve"> </v>
      </c>
      <c r="P32" s="85" t="str" cm="1">
        <f t="array" ref="P32">IFERROR(VLOOKUP($A32,'The List'!$B1:$AS671,23,FALSE)," ")</f>
        <v xml:space="preserve"> </v>
      </c>
      <c r="Q32" s="85" t="str" cm="1">
        <f t="array" ref="Q32">IFERROR(VLOOKUP($A32,'The List'!$B1:$AS671,24,FALSE)," ")</f>
        <v xml:space="preserve"> </v>
      </c>
      <c r="R32" s="85" t="str" cm="1">
        <f t="array" ref="R32">IFERROR(VLOOKUP($A32,'The List'!$B1:$AS671,25,FALSE)," ")</f>
        <v xml:space="preserve"> </v>
      </c>
      <c r="S32" s="85" t="str" cm="1">
        <f t="array" ref="S32">IFERROR(VLOOKUP($A32,'The List'!$B1:$AS671,26,FALSE)," ")</f>
        <v xml:space="preserve"> </v>
      </c>
      <c r="T32" s="85" t="str" cm="1">
        <f t="array" ref="T32">IFERROR(VLOOKUP($A32,'The List'!$B1:$AS671,27,FALSE)," ")</f>
        <v xml:space="preserve"> </v>
      </c>
      <c r="U32" s="85" t="str" cm="1">
        <f t="array" ref="U32">IFERROR(VLOOKUP($A32,'The List'!$B1:$AS671,28,FALSE)," ")</f>
        <v xml:space="preserve"> </v>
      </c>
      <c r="V32" s="85" t="str" cm="1">
        <f t="array" ref="V32">IFERROR(VLOOKUP($A32,'The List'!$B1:$AS671,29,FALSE)," ")</f>
        <v xml:space="preserve"> </v>
      </c>
      <c r="W32" s="85" t="str" cm="1">
        <f t="array" ref="W32">IFERROR(VLOOKUP($A32,'The List'!$B1:$AS671,30,FALSE)," ")</f>
        <v xml:space="preserve"> </v>
      </c>
      <c r="X32" s="85" t="str" cm="1">
        <f t="array" ref="X32">IFERROR(VLOOKUP($A32,'The List'!$B1:$AS671,31,FALSE)," ")</f>
        <v xml:space="preserve"> </v>
      </c>
      <c r="Y32" s="85" t="str" cm="1">
        <f t="array" ref="Y32">IFERROR(VLOOKUP($A32,'The List'!$B1:$AS671,32,FALSE)," ")</f>
        <v xml:space="preserve"> </v>
      </c>
      <c r="Z32" s="85" t="str" cm="1">
        <f t="array" ref="Z32">IFERROR(VLOOKUP($A32,'The List'!$B1:$AS671,33,FALSE)," ")</f>
        <v xml:space="preserve"> </v>
      </c>
      <c r="AA32" s="86"/>
      <c r="AB32" s="91"/>
      <c r="AC32" s="91"/>
      <c r="AD32" s="91"/>
      <c r="AE32" s="91"/>
      <c r="AF32" s="91"/>
    </row>
    <row r="33" spans="1:32" ht="21.25" customHeight="1" x14ac:dyDescent="0.15">
      <c r="A33" s="24"/>
      <c r="B33" s="88" t="str" cm="1">
        <f t="array" ref="B33">IFERROR(VLOOKUP($A33,'The List'!$B1:$AS671,3,FALSE)," ")</f>
        <v xml:space="preserve"> </v>
      </c>
      <c r="C33" s="92" t="str" cm="1">
        <f t="array" ref="C33">IFERROR(VLOOKUP($A33,'The List'!$B1:$AS671,4,FALSE)," ")</f>
        <v xml:space="preserve"> </v>
      </c>
      <c r="D33" s="18" t="str" cm="1">
        <f t="array" ref="D33">IFERROR(VLOOKUP($A33,'The List'!$B1:$AS671,5,FALSE)," ")</f>
        <v xml:space="preserve"> </v>
      </c>
      <c r="E33" s="18" t="str" cm="1">
        <f t="array" ref="E33">IFERROR(VLOOKUP($A33,'The List'!$B1:$AS671,6,FALSE)," ")</f>
        <v xml:space="preserve"> </v>
      </c>
      <c r="F33" s="93" t="str" cm="1">
        <f t="array" ref="F33">IFERROR(VLOOKUP($A33,'The List'!$B1:$AS671,8,FALSE)," ")</f>
        <v xml:space="preserve"> </v>
      </c>
      <c r="G33" s="93" t="str" cm="1">
        <f t="array" ref="G33">IFERROR(VLOOKUP($A33,'The List'!$B1:$AS671,10,FALSE)," ")</f>
        <v xml:space="preserve"> </v>
      </c>
      <c r="H33" s="55"/>
      <c r="I33" s="85" t="str" cm="1">
        <f t="array" ref="I33">IFERROR(VLOOKUP($A33,'The List'!$B1:$AS671,16,FALSE)," ")</f>
        <v xml:space="preserve"> </v>
      </c>
      <c r="J33" s="85" t="str" cm="1">
        <f t="array" ref="J33">IFERROR(VLOOKUP($A33,'The List'!$B1:$AS671,17,FALSE)," ")</f>
        <v xml:space="preserve"> </v>
      </c>
      <c r="K33" s="85" t="str" cm="1">
        <f t="array" ref="K33">IFERROR(VLOOKUP($A33,'The List'!$B1:$AS671,18,FALSE)," ")</f>
        <v xml:space="preserve"> </v>
      </c>
      <c r="L33" s="85" t="str" cm="1">
        <f t="array" ref="L33">IFERROR(VLOOKUP($A33,'The List'!$B1:$AS671,19,FALSE)," ")</f>
        <v xml:space="preserve"> </v>
      </c>
      <c r="M33" s="85" t="str" cm="1">
        <f t="array" ref="M33">IFERROR(VLOOKUP($A33,'The List'!$B1:$AS671,20,FALSE)," ")</f>
        <v xml:space="preserve"> </v>
      </c>
      <c r="N33" s="85" t="str" cm="1">
        <f t="array" ref="N33">IFERROR(VLOOKUP($A33,'The List'!$B1:$AS671,21,FALSE)," ")</f>
        <v xml:space="preserve"> </v>
      </c>
      <c r="O33" s="85" t="str" cm="1">
        <f t="array" ref="O33">IFERROR(VLOOKUP($A33,'The List'!$B1:$AS671,22,FALSE)," ")</f>
        <v xml:space="preserve"> </v>
      </c>
      <c r="P33" s="85" t="str" cm="1">
        <f t="array" ref="P33">IFERROR(VLOOKUP($A33,'The List'!$B1:$AS671,23,FALSE)," ")</f>
        <v xml:space="preserve"> </v>
      </c>
      <c r="Q33" s="85" t="str" cm="1">
        <f t="array" ref="Q33">IFERROR(VLOOKUP($A33,'The List'!$B1:$AS671,24,FALSE)," ")</f>
        <v xml:space="preserve"> </v>
      </c>
      <c r="R33" s="85" t="str" cm="1">
        <f t="array" ref="R33">IFERROR(VLOOKUP($A33,'The List'!$B1:$AS671,25,FALSE)," ")</f>
        <v xml:space="preserve"> </v>
      </c>
      <c r="S33" s="85" t="str" cm="1">
        <f t="array" ref="S33">IFERROR(VLOOKUP($A33,'The List'!$B1:$AS671,26,FALSE)," ")</f>
        <v xml:space="preserve"> </v>
      </c>
      <c r="T33" s="85" t="str" cm="1">
        <f t="array" ref="T33">IFERROR(VLOOKUP($A33,'The List'!$B1:$AS671,27,FALSE)," ")</f>
        <v xml:space="preserve"> </v>
      </c>
      <c r="U33" s="85" t="str" cm="1">
        <f t="array" ref="U33">IFERROR(VLOOKUP($A33,'The List'!$B1:$AS671,28,FALSE)," ")</f>
        <v xml:space="preserve"> </v>
      </c>
      <c r="V33" s="85" t="str" cm="1">
        <f t="array" ref="V33">IFERROR(VLOOKUP($A33,'The List'!$B1:$AS671,29,FALSE)," ")</f>
        <v xml:space="preserve"> </v>
      </c>
      <c r="W33" s="85" t="str" cm="1">
        <f t="array" ref="W33">IFERROR(VLOOKUP($A33,'The List'!$B1:$AS671,30,FALSE)," ")</f>
        <v xml:space="preserve"> </v>
      </c>
      <c r="X33" s="85" t="str" cm="1">
        <f t="array" ref="X33">IFERROR(VLOOKUP($A33,'The List'!$B1:$AS671,31,FALSE)," ")</f>
        <v xml:space="preserve"> </v>
      </c>
      <c r="Y33" s="85" t="str" cm="1">
        <f t="array" ref="Y33">IFERROR(VLOOKUP($A33,'The List'!$B1:$AS671,32,FALSE)," ")</f>
        <v xml:space="preserve"> </v>
      </c>
      <c r="Z33" s="85" t="str" cm="1">
        <f t="array" ref="Z33">IFERROR(VLOOKUP($A33,'The List'!$B1:$AS671,33,FALSE)," ")</f>
        <v xml:space="preserve"> </v>
      </c>
      <c r="AA33" s="86"/>
      <c r="AB33" s="91"/>
      <c r="AC33" s="91"/>
      <c r="AD33" s="91"/>
      <c r="AE33" s="91"/>
      <c r="AF33" s="91"/>
    </row>
    <row r="34" spans="1:32" ht="21.25" customHeight="1" x14ac:dyDescent="0.15">
      <c r="A34" s="24"/>
      <c r="B34" s="88" t="str" cm="1">
        <f t="array" ref="B34">IFERROR(VLOOKUP($A34,'The List'!$B1:$AS671,3,FALSE)," ")</f>
        <v xml:space="preserve"> </v>
      </c>
      <c r="C34" s="92" t="str" cm="1">
        <f t="array" ref="C34">IFERROR(VLOOKUP($A34,'The List'!$B1:$AS671,4,FALSE)," ")</f>
        <v xml:space="preserve"> </v>
      </c>
      <c r="D34" s="18" t="str" cm="1">
        <f t="array" ref="D34">IFERROR(VLOOKUP($A34,'The List'!$B1:$AS671,5,FALSE)," ")</f>
        <v xml:space="preserve"> </v>
      </c>
      <c r="E34" s="18" t="str" cm="1">
        <f t="array" ref="E34">IFERROR(VLOOKUP($A34,'The List'!$B1:$AS671,6,FALSE)," ")</f>
        <v xml:space="preserve"> </v>
      </c>
      <c r="F34" s="93" t="str" cm="1">
        <f t="array" ref="F34">IFERROR(VLOOKUP($A34,'The List'!$B1:$AS671,8,FALSE)," ")</f>
        <v xml:space="preserve"> </v>
      </c>
      <c r="G34" s="93" t="str" cm="1">
        <f t="array" ref="G34">IFERROR(VLOOKUP($A34,'The List'!$B1:$AS671,10,FALSE)," ")</f>
        <v xml:space="preserve"> </v>
      </c>
      <c r="H34" s="55"/>
      <c r="I34" s="85" t="str" cm="1">
        <f t="array" ref="I34">IFERROR(VLOOKUP($A34,'The List'!$B1:$AS671,16,FALSE)," ")</f>
        <v xml:space="preserve"> </v>
      </c>
      <c r="J34" s="85" t="str" cm="1">
        <f t="array" ref="J34">IFERROR(VLOOKUP($A34,'The List'!$B1:$AS671,17,FALSE)," ")</f>
        <v xml:space="preserve"> </v>
      </c>
      <c r="K34" s="85" t="str" cm="1">
        <f t="array" ref="K34">IFERROR(VLOOKUP($A34,'The List'!$B1:$AS671,18,FALSE)," ")</f>
        <v xml:space="preserve"> </v>
      </c>
      <c r="L34" s="85" t="str" cm="1">
        <f t="array" ref="L34">IFERROR(VLOOKUP($A34,'The List'!$B1:$AS671,19,FALSE)," ")</f>
        <v xml:space="preserve"> </v>
      </c>
      <c r="M34" s="85" t="str" cm="1">
        <f t="array" ref="M34">IFERROR(VLOOKUP($A34,'The List'!$B1:$AS671,20,FALSE)," ")</f>
        <v xml:space="preserve"> </v>
      </c>
      <c r="N34" s="85" t="str" cm="1">
        <f t="array" ref="N34">IFERROR(VLOOKUP($A34,'The List'!$B1:$AS671,21,FALSE)," ")</f>
        <v xml:space="preserve"> </v>
      </c>
      <c r="O34" s="85" t="str" cm="1">
        <f t="array" ref="O34">IFERROR(VLOOKUP($A34,'The List'!$B1:$AS671,22,FALSE)," ")</f>
        <v xml:space="preserve"> </v>
      </c>
      <c r="P34" s="85" t="str" cm="1">
        <f t="array" ref="P34">IFERROR(VLOOKUP($A34,'The List'!$B1:$AS671,23,FALSE)," ")</f>
        <v xml:space="preserve"> </v>
      </c>
      <c r="Q34" s="85" t="str" cm="1">
        <f t="array" ref="Q34">IFERROR(VLOOKUP($A34,'The List'!$B1:$AS671,24,FALSE)," ")</f>
        <v xml:space="preserve"> </v>
      </c>
      <c r="R34" s="85" t="str" cm="1">
        <f t="array" ref="R34">IFERROR(VLOOKUP($A34,'The List'!$B1:$AS671,25,FALSE)," ")</f>
        <v xml:space="preserve"> </v>
      </c>
      <c r="S34" s="85" t="str" cm="1">
        <f t="array" ref="S34">IFERROR(VLOOKUP($A34,'The List'!$B1:$AS671,26,FALSE)," ")</f>
        <v xml:space="preserve"> </v>
      </c>
      <c r="T34" s="85" t="str" cm="1">
        <f t="array" ref="T34">IFERROR(VLOOKUP($A34,'The List'!$B1:$AS671,27,FALSE)," ")</f>
        <v xml:space="preserve"> </v>
      </c>
      <c r="U34" s="85" t="str" cm="1">
        <f t="array" ref="U34">IFERROR(VLOOKUP($A34,'The List'!$B1:$AS671,28,FALSE)," ")</f>
        <v xml:space="preserve"> </v>
      </c>
      <c r="V34" s="85" t="str" cm="1">
        <f t="array" ref="V34">IFERROR(VLOOKUP($A34,'The List'!$B1:$AS671,29,FALSE)," ")</f>
        <v xml:space="preserve"> </v>
      </c>
      <c r="W34" s="85" t="str" cm="1">
        <f t="array" ref="W34">IFERROR(VLOOKUP($A34,'The List'!$B1:$AS671,30,FALSE)," ")</f>
        <v xml:space="preserve"> </v>
      </c>
      <c r="X34" s="85" t="str" cm="1">
        <f t="array" ref="X34">IFERROR(VLOOKUP($A34,'The List'!$B1:$AS671,31,FALSE)," ")</f>
        <v xml:space="preserve"> </v>
      </c>
      <c r="Y34" s="85" t="str" cm="1">
        <f t="array" ref="Y34">IFERROR(VLOOKUP($A34,'The List'!$B1:$AS671,32,FALSE)," ")</f>
        <v xml:space="preserve"> </v>
      </c>
      <c r="Z34" s="85" t="str" cm="1">
        <f t="array" ref="Z34">IFERROR(VLOOKUP($A34,'The List'!$B1:$AS671,33,FALSE)," ")</f>
        <v xml:space="preserve"> </v>
      </c>
      <c r="AA34" s="86"/>
      <c r="AB34" s="91"/>
      <c r="AC34" s="91"/>
      <c r="AD34" s="91"/>
      <c r="AE34" s="91"/>
      <c r="AF34" s="91"/>
    </row>
    <row r="35" spans="1:32" ht="21.25" customHeight="1" x14ac:dyDescent="0.15">
      <c r="A35" s="24"/>
      <c r="B35" s="94" t="str" cm="1">
        <f t="array" ref="B35">IFERROR(VLOOKUP($A35,'The List'!$B1:$AS671,3,FALSE)," ")</f>
        <v xml:space="preserve"> </v>
      </c>
      <c r="C35" s="96" t="str" cm="1">
        <f t="array" ref="C35">IFERROR(VLOOKUP($A35,'The List'!$B1:$AS671,4,FALSE)," ")</f>
        <v xml:space="preserve"> </v>
      </c>
      <c r="D35" s="18" t="str" cm="1">
        <f t="array" ref="D35">IFERROR(VLOOKUP($A35,'The List'!$B1:$AS671,5,FALSE)," ")</f>
        <v xml:space="preserve"> </v>
      </c>
      <c r="E35" s="18" t="str" cm="1">
        <f t="array" ref="E35">IFERROR(VLOOKUP($A35,'The List'!$B1:$AS671,6,FALSE)," ")</f>
        <v xml:space="preserve"> </v>
      </c>
      <c r="F35" s="93" t="str" cm="1">
        <f t="array" ref="F35">IFERROR(VLOOKUP($A35,'The List'!$B1:$AS671,8,FALSE)," ")</f>
        <v xml:space="preserve"> </v>
      </c>
      <c r="G35" s="93" t="str" cm="1">
        <f t="array" ref="G35">IFERROR(VLOOKUP($A35,'The List'!$B1:$AS671,10,FALSE)," ")</f>
        <v xml:space="preserve"> </v>
      </c>
      <c r="H35" s="55"/>
      <c r="I35" s="85" t="str" cm="1">
        <f t="array" ref="I35">IFERROR(VLOOKUP($A35,'The List'!$B1:$AS671,16,FALSE)," ")</f>
        <v xml:space="preserve"> </v>
      </c>
      <c r="J35" s="85" t="str" cm="1">
        <f t="array" ref="J35">IFERROR(VLOOKUP($A35,'The List'!$B1:$AS671,17,FALSE)," ")</f>
        <v xml:space="preserve"> </v>
      </c>
      <c r="K35" s="85" t="str" cm="1">
        <f t="array" ref="K35">IFERROR(VLOOKUP($A35,'The List'!$B1:$AS671,18,FALSE)," ")</f>
        <v xml:space="preserve"> </v>
      </c>
      <c r="L35" s="85" t="str" cm="1">
        <f t="array" ref="L35">IFERROR(VLOOKUP($A35,'The List'!$B1:$AS671,19,FALSE)," ")</f>
        <v xml:space="preserve"> </v>
      </c>
      <c r="M35" s="85" t="str" cm="1">
        <f t="array" ref="M35">IFERROR(VLOOKUP($A35,'The List'!$B1:$AS671,20,FALSE)," ")</f>
        <v xml:space="preserve"> </v>
      </c>
      <c r="N35" s="85" t="str" cm="1">
        <f t="array" ref="N35">IFERROR(VLOOKUP($A35,'The List'!$B1:$AS671,21,FALSE)," ")</f>
        <v xml:space="preserve"> </v>
      </c>
      <c r="O35" s="85" t="str" cm="1">
        <f t="array" ref="O35">IFERROR(VLOOKUP($A35,'The List'!$B1:$AS671,22,FALSE)," ")</f>
        <v xml:space="preserve"> </v>
      </c>
      <c r="P35" s="85" t="str" cm="1">
        <f t="array" ref="P35">IFERROR(VLOOKUP($A35,'The List'!$B1:$AS671,23,FALSE)," ")</f>
        <v xml:space="preserve"> </v>
      </c>
      <c r="Q35" s="85" t="str" cm="1">
        <f t="array" ref="Q35">IFERROR(VLOOKUP($A35,'The List'!$B1:$AS671,24,FALSE)," ")</f>
        <v xml:space="preserve"> </v>
      </c>
      <c r="R35" s="85" t="str" cm="1">
        <f t="array" ref="R35">IFERROR(VLOOKUP($A35,'The List'!$B1:$AS671,25,FALSE)," ")</f>
        <v xml:space="preserve"> </v>
      </c>
      <c r="S35" s="85" t="str" cm="1">
        <f t="array" ref="S35">IFERROR(VLOOKUP($A35,'The List'!$B1:$AS671,26,FALSE)," ")</f>
        <v xml:space="preserve"> </v>
      </c>
      <c r="T35" s="85" t="str" cm="1">
        <f t="array" ref="T35">IFERROR(VLOOKUP($A35,'The List'!$B1:$AS671,27,FALSE)," ")</f>
        <v xml:space="preserve"> </v>
      </c>
      <c r="U35" s="85" t="str" cm="1">
        <f t="array" ref="U35">IFERROR(VLOOKUP($A35,'The List'!$B1:$AS671,28,FALSE)," ")</f>
        <v xml:space="preserve"> </v>
      </c>
      <c r="V35" s="85" t="str" cm="1">
        <f t="array" ref="V35">IFERROR(VLOOKUP($A35,'The List'!$B1:$AS671,29,FALSE)," ")</f>
        <v xml:space="preserve"> </v>
      </c>
      <c r="W35" s="85" t="str" cm="1">
        <f t="array" ref="W35">IFERROR(VLOOKUP($A35,'The List'!$B1:$AS671,30,FALSE)," ")</f>
        <v xml:space="preserve"> </v>
      </c>
      <c r="X35" s="85" t="str" cm="1">
        <f t="array" ref="X35">IFERROR(VLOOKUP($A35,'The List'!$B1:$AS671,31,FALSE)," ")</f>
        <v xml:space="preserve"> </v>
      </c>
      <c r="Y35" s="85" t="str" cm="1">
        <f t="array" ref="Y35">IFERROR(VLOOKUP($A35,'The List'!$B1:$AS671,32,FALSE)," ")</f>
        <v xml:space="preserve"> </v>
      </c>
      <c r="Z35" s="85" t="str" cm="1">
        <f t="array" ref="Z35">IFERROR(VLOOKUP($A35,'The List'!$B1:$AS671,33,FALSE)," ")</f>
        <v xml:space="preserve"> </v>
      </c>
      <c r="AA35" s="86"/>
      <c r="AB35" s="91"/>
      <c r="AC35" s="91"/>
      <c r="AD35" s="91"/>
      <c r="AE35" s="91"/>
      <c r="AF35" s="91"/>
    </row>
    <row r="36" spans="1:32" ht="21.25" customHeight="1" x14ac:dyDescent="0.15">
      <c r="A36" s="24"/>
      <c r="B36" s="94" t="str" cm="1">
        <f t="array" ref="B36">IFERROR(VLOOKUP($A36,'The List'!$B1:$AS671,3,FALSE)," ")</f>
        <v xml:space="preserve"> </v>
      </c>
      <c r="C36" s="96" t="str" cm="1">
        <f t="array" ref="C36">IFERROR(VLOOKUP($A36,'The List'!$B1:$AS671,4,FALSE)," ")</f>
        <v xml:space="preserve"> </v>
      </c>
      <c r="D36" s="18" t="str" cm="1">
        <f t="array" ref="D36">IFERROR(VLOOKUP($A36,'The List'!$B1:$AS671,5,FALSE)," ")</f>
        <v xml:space="preserve"> </v>
      </c>
      <c r="E36" s="18" t="str" cm="1">
        <f t="array" ref="E36">IFERROR(VLOOKUP($A36,'The List'!$B1:$AS671,6,FALSE)," ")</f>
        <v xml:space="preserve"> </v>
      </c>
      <c r="F36" s="93" t="str" cm="1">
        <f t="array" ref="F36">IFERROR(VLOOKUP($A36,'The List'!$B1:$AS671,8,FALSE)," ")</f>
        <v xml:space="preserve"> </v>
      </c>
      <c r="G36" s="93" t="str" cm="1">
        <f t="array" ref="G36">IFERROR(VLOOKUP($A36,'The List'!$B1:$AS671,10,FALSE)," ")</f>
        <v xml:space="preserve"> </v>
      </c>
      <c r="H36" s="55"/>
      <c r="I36" s="85" t="str" cm="1">
        <f t="array" ref="I36">IFERROR(VLOOKUP($A36,'The List'!$B1:$AS671,16,FALSE)," ")</f>
        <v xml:space="preserve"> </v>
      </c>
      <c r="J36" s="85" t="str" cm="1">
        <f t="array" ref="J36">IFERROR(VLOOKUP($A36,'The List'!$B1:$AS671,17,FALSE)," ")</f>
        <v xml:space="preserve"> </v>
      </c>
      <c r="K36" s="85" t="str" cm="1">
        <f t="array" ref="K36">IFERROR(VLOOKUP($A36,'The List'!$B1:$AS671,18,FALSE)," ")</f>
        <v xml:space="preserve"> </v>
      </c>
      <c r="L36" s="85" t="str" cm="1">
        <f t="array" ref="L36">IFERROR(VLOOKUP($A36,'The List'!$B1:$AS671,19,FALSE)," ")</f>
        <v xml:space="preserve"> </v>
      </c>
      <c r="M36" s="85" t="str" cm="1">
        <f t="array" ref="M36">IFERROR(VLOOKUP($A36,'The List'!$B1:$AS671,20,FALSE)," ")</f>
        <v xml:space="preserve"> </v>
      </c>
      <c r="N36" s="85" t="str" cm="1">
        <f t="array" ref="N36">IFERROR(VLOOKUP($A36,'The List'!$B1:$AS671,21,FALSE)," ")</f>
        <v xml:space="preserve"> </v>
      </c>
      <c r="O36" s="85" t="str" cm="1">
        <f t="array" ref="O36">IFERROR(VLOOKUP($A36,'The List'!$B1:$AS671,22,FALSE)," ")</f>
        <v xml:space="preserve"> </v>
      </c>
      <c r="P36" s="85" t="str" cm="1">
        <f t="array" ref="P36">IFERROR(VLOOKUP($A36,'The List'!$B1:$AS671,23,FALSE)," ")</f>
        <v xml:space="preserve"> </v>
      </c>
      <c r="Q36" s="85" t="str" cm="1">
        <f t="array" ref="Q36">IFERROR(VLOOKUP($A36,'The List'!$B1:$AS671,24,FALSE)," ")</f>
        <v xml:space="preserve"> </v>
      </c>
      <c r="R36" s="85" t="str" cm="1">
        <f t="array" ref="R36">IFERROR(VLOOKUP($A36,'The List'!$B1:$AS671,25,FALSE)," ")</f>
        <v xml:space="preserve"> </v>
      </c>
      <c r="S36" s="85" t="str" cm="1">
        <f t="array" ref="S36">IFERROR(VLOOKUP($A36,'The List'!$B1:$AS671,26,FALSE)," ")</f>
        <v xml:space="preserve"> </v>
      </c>
      <c r="T36" s="85" t="str" cm="1">
        <f t="array" ref="T36">IFERROR(VLOOKUP($A36,'The List'!$B1:$AS671,27,FALSE)," ")</f>
        <v xml:space="preserve"> </v>
      </c>
      <c r="U36" s="85" t="str" cm="1">
        <f t="array" ref="U36">IFERROR(VLOOKUP($A36,'The List'!$B1:$AS671,28,FALSE)," ")</f>
        <v xml:space="preserve"> </v>
      </c>
      <c r="V36" s="85" t="str" cm="1">
        <f t="array" ref="V36">IFERROR(VLOOKUP($A36,'The List'!$B1:$AS671,29,FALSE)," ")</f>
        <v xml:space="preserve"> </v>
      </c>
      <c r="W36" s="85" t="str" cm="1">
        <f t="array" ref="W36">IFERROR(VLOOKUP($A36,'The List'!$B1:$AS671,30,FALSE)," ")</f>
        <v xml:space="preserve"> </v>
      </c>
      <c r="X36" s="85" t="str" cm="1">
        <f t="array" ref="X36">IFERROR(VLOOKUP($A36,'The List'!$B1:$AS671,31,FALSE)," ")</f>
        <v xml:space="preserve"> </v>
      </c>
      <c r="Y36" s="85" t="str" cm="1">
        <f t="array" ref="Y36">IFERROR(VLOOKUP($A36,'The List'!$B1:$AS671,32,FALSE)," ")</f>
        <v xml:space="preserve"> </v>
      </c>
      <c r="Z36" s="85" t="str" cm="1">
        <f t="array" ref="Z36">IFERROR(VLOOKUP($A36,'The List'!$B1:$AS671,33,FALSE)," ")</f>
        <v xml:space="preserve"> </v>
      </c>
      <c r="AA36" s="86"/>
      <c r="AB36" s="91"/>
      <c r="AC36" s="91"/>
      <c r="AD36" s="91"/>
      <c r="AE36" s="91"/>
      <c r="AF36" s="91"/>
    </row>
    <row r="37" spans="1:32" ht="21.25" customHeight="1" x14ac:dyDescent="0.15">
      <c r="A37" s="24"/>
      <c r="B37" s="94" t="str" cm="1">
        <f t="array" ref="B37">IFERROR(VLOOKUP($A37,'The List'!$B1:$AS671,3,FALSE)," ")</f>
        <v xml:space="preserve"> </v>
      </c>
      <c r="C37" s="96" t="str" cm="1">
        <f t="array" ref="C37">IFERROR(VLOOKUP($A37,'The List'!$B1:$AS671,4,FALSE)," ")</f>
        <v xml:space="preserve"> </v>
      </c>
      <c r="D37" s="18" t="str" cm="1">
        <f t="array" ref="D37">IFERROR(VLOOKUP($A37,'The List'!$B1:$AS671,5,FALSE)," ")</f>
        <v xml:space="preserve"> </v>
      </c>
      <c r="E37" s="18" t="str" cm="1">
        <f t="array" ref="E37">IFERROR(VLOOKUP($A37,'The List'!$B1:$AS671,6,FALSE)," ")</f>
        <v xml:space="preserve"> </v>
      </c>
      <c r="F37" s="93" t="str" cm="1">
        <f t="array" ref="F37">IFERROR(VLOOKUP($A37,'The List'!$B1:$AS671,8,FALSE)," ")</f>
        <v xml:space="preserve"> </v>
      </c>
      <c r="G37" s="93" t="str" cm="1">
        <f t="array" ref="G37">IFERROR(VLOOKUP($A37,'The List'!$B1:$AS671,10,FALSE)," ")</f>
        <v xml:space="preserve"> </v>
      </c>
      <c r="H37" s="55"/>
      <c r="I37" s="85" t="str" cm="1">
        <f t="array" ref="I37">IFERROR(VLOOKUP($A37,'The List'!$B1:$AS671,16,FALSE)," ")</f>
        <v xml:space="preserve"> </v>
      </c>
      <c r="J37" s="85" t="str" cm="1">
        <f t="array" ref="J37">IFERROR(VLOOKUP($A37,'The List'!$B1:$AS671,17,FALSE)," ")</f>
        <v xml:space="preserve"> </v>
      </c>
      <c r="K37" s="85" t="str" cm="1">
        <f t="array" ref="K37">IFERROR(VLOOKUP($A37,'The List'!$B1:$AS671,18,FALSE)," ")</f>
        <v xml:space="preserve"> </v>
      </c>
      <c r="L37" s="85" t="str" cm="1">
        <f t="array" ref="L37">IFERROR(VLOOKUP($A37,'The List'!$B1:$AS671,19,FALSE)," ")</f>
        <v xml:space="preserve"> </v>
      </c>
      <c r="M37" s="85" t="str" cm="1">
        <f t="array" ref="M37">IFERROR(VLOOKUP($A37,'The List'!$B1:$AS671,20,FALSE)," ")</f>
        <v xml:space="preserve"> </v>
      </c>
      <c r="N37" s="85" t="str" cm="1">
        <f t="array" ref="N37">IFERROR(VLOOKUP($A37,'The List'!$B1:$AS671,21,FALSE)," ")</f>
        <v xml:space="preserve"> </v>
      </c>
      <c r="O37" s="85" t="str" cm="1">
        <f t="array" ref="O37">IFERROR(VLOOKUP($A37,'The List'!$B1:$AS671,22,FALSE)," ")</f>
        <v xml:space="preserve"> </v>
      </c>
      <c r="P37" s="85" t="str" cm="1">
        <f t="array" ref="P37">IFERROR(VLOOKUP($A37,'The List'!$B1:$AS671,23,FALSE)," ")</f>
        <v xml:space="preserve"> </v>
      </c>
      <c r="Q37" s="85" t="str" cm="1">
        <f t="array" ref="Q37">IFERROR(VLOOKUP($A37,'The List'!$B1:$AS671,24,FALSE)," ")</f>
        <v xml:space="preserve"> </v>
      </c>
      <c r="R37" s="85" t="str" cm="1">
        <f t="array" ref="R37">IFERROR(VLOOKUP($A37,'The List'!$B1:$AS671,25,FALSE)," ")</f>
        <v xml:space="preserve"> </v>
      </c>
      <c r="S37" s="85" t="str" cm="1">
        <f t="array" ref="S37">IFERROR(VLOOKUP($A37,'The List'!$B1:$AS671,26,FALSE)," ")</f>
        <v xml:space="preserve"> </v>
      </c>
      <c r="T37" s="85" t="str" cm="1">
        <f t="array" ref="T37">IFERROR(VLOOKUP($A37,'The List'!$B1:$AS671,27,FALSE)," ")</f>
        <v xml:space="preserve"> </v>
      </c>
      <c r="U37" s="85" t="str" cm="1">
        <f t="array" ref="U37">IFERROR(VLOOKUP($A37,'The List'!$B1:$AS671,28,FALSE)," ")</f>
        <v xml:space="preserve"> </v>
      </c>
      <c r="V37" s="85" t="str" cm="1">
        <f t="array" ref="V37">IFERROR(VLOOKUP($A37,'The List'!$B1:$AS671,29,FALSE)," ")</f>
        <v xml:space="preserve"> </v>
      </c>
      <c r="W37" s="85" t="str" cm="1">
        <f t="array" ref="W37">IFERROR(VLOOKUP($A37,'The List'!$B1:$AS671,30,FALSE)," ")</f>
        <v xml:space="preserve"> </v>
      </c>
      <c r="X37" s="85" t="str" cm="1">
        <f t="array" ref="X37">IFERROR(VLOOKUP($A37,'The List'!$B1:$AS671,31,FALSE)," ")</f>
        <v xml:space="preserve"> </v>
      </c>
      <c r="Y37" s="85" t="str" cm="1">
        <f t="array" ref="Y37">IFERROR(VLOOKUP($A37,'The List'!$B1:$AS671,32,FALSE)," ")</f>
        <v xml:space="preserve"> </v>
      </c>
      <c r="Z37" s="85" t="str" cm="1">
        <f t="array" ref="Z37">IFERROR(VLOOKUP($A37,'The List'!$B1:$AS671,33,FALSE)," ")</f>
        <v xml:space="preserve"> </v>
      </c>
      <c r="AA37" s="86"/>
      <c r="AB37" s="91"/>
      <c r="AC37" s="91"/>
      <c r="AD37" s="91"/>
      <c r="AE37" s="91"/>
      <c r="AF37" s="91"/>
    </row>
    <row r="38" spans="1:32" ht="21.25" customHeight="1" x14ac:dyDescent="0.15">
      <c r="A38" s="24"/>
      <c r="B38" s="94" t="str" cm="1">
        <f t="array" ref="B38">IFERROR(VLOOKUP($A38,'The List'!$B1:$AS671,3,FALSE)," ")</f>
        <v xml:space="preserve"> </v>
      </c>
      <c r="C38" s="96" t="str" cm="1">
        <f t="array" ref="C38">IFERROR(VLOOKUP($A38,'The List'!$B1:$AS671,4,FALSE)," ")</f>
        <v xml:space="preserve"> </v>
      </c>
      <c r="D38" s="18" t="str" cm="1">
        <f t="array" ref="D38">IFERROR(VLOOKUP($A38,'The List'!$B1:$AS671,5,FALSE)," ")</f>
        <v xml:space="preserve"> </v>
      </c>
      <c r="E38" s="18" t="str" cm="1">
        <f t="array" ref="E38">IFERROR(VLOOKUP($A38,'The List'!$B1:$AS671,6,FALSE)," ")</f>
        <v xml:space="preserve"> </v>
      </c>
      <c r="F38" s="93" t="str" cm="1">
        <f t="array" ref="F38">IFERROR(VLOOKUP($A38,'The List'!$B1:$AS671,8,FALSE)," ")</f>
        <v xml:space="preserve"> </v>
      </c>
      <c r="G38" s="93" t="str" cm="1">
        <f t="array" ref="G38">IFERROR(VLOOKUP($A38,'The List'!$B1:$AS671,10,FALSE)," ")</f>
        <v xml:space="preserve"> </v>
      </c>
      <c r="H38" s="55"/>
      <c r="I38" s="85" t="str" cm="1">
        <f t="array" ref="I38">IFERROR(VLOOKUP($A38,'The List'!$B1:$AS671,16,FALSE)," ")</f>
        <v xml:space="preserve"> </v>
      </c>
      <c r="J38" s="85" t="str" cm="1">
        <f t="array" ref="J38">IFERROR(VLOOKUP($A38,'The List'!$B1:$AS671,17,FALSE)," ")</f>
        <v xml:space="preserve"> </v>
      </c>
      <c r="K38" s="85" t="str" cm="1">
        <f t="array" ref="K38">IFERROR(VLOOKUP($A38,'The List'!$B1:$AS671,18,FALSE)," ")</f>
        <v xml:space="preserve"> </v>
      </c>
      <c r="L38" s="85" t="str" cm="1">
        <f t="array" ref="L38">IFERROR(VLOOKUP($A38,'The List'!$B1:$AS671,19,FALSE)," ")</f>
        <v xml:space="preserve"> </v>
      </c>
      <c r="M38" s="85" t="str" cm="1">
        <f t="array" ref="M38">IFERROR(VLOOKUP($A38,'The List'!$B1:$AS671,20,FALSE)," ")</f>
        <v xml:space="preserve"> </v>
      </c>
      <c r="N38" s="85" t="str" cm="1">
        <f t="array" ref="N38">IFERROR(VLOOKUP($A38,'The List'!$B1:$AS671,21,FALSE)," ")</f>
        <v xml:space="preserve"> </v>
      </c>
      <c r="O38" s="85" t="str" cm="1">
        <f t="array" ref="O38">IFERROR(VLOOKUP($A38,'The List'!$B1:$AS671,22,FALSE)," ")</f>
        <v xml:space="preserve"> </v>
      </c>
      <c r="P38" s="85" t="str" cm="1">
        <f t="array" ref="P38">IFERROR(VLOOKUP($A38,'The List'!$B1:$AS671,23,FALSE)," ")</f>
        <v xml:space="preserve"> </v>
      </c>
      <c r="Q38" s="85" t="str" cm="1">
        <f t="array" ref="Q38">IFERROR(VLOOKUP($A38,'The List'!$B1:$AS671,24,FALSE)," ")</f>
        <v xml:space="preserve"> </v>
      </c>
      <c r="R38" s="85" t="str" cm="1">
        <f t="array" ref="R38">IFERROR(VLOOKUP($A38,'The List'!$B1:$AS671,25,FALSE)," ")</f>
        <v xml:space="preserve"> </v>
      </c>
      <c r="S38" s="85" t="str" cm="1">
        <f t="array" ref="S38">IFERROR(VLOOKUP($A38,'The List'!$B1:$AS671,26,FALSE)," ")</f>
        <v xml:space="preserve"> </v>
      </c>
      <c r="T38" s="85" t="str" cm="1">
        <f t="array" ref="T38">IFERROR(VLOOKUP($A38,'The List'!$B1:$AS671,27,FALSE)," ")</f>
        <v xml:space="preserve"> </v>
      </c>
      <c r="U38" s="85" t="str" cm="1">
        <f t="array" ref="U38">IFERROR(VLOOKUP($A38,'The List'!$B1:$AS671,28,FALSE)," ")</f>
        <v xml:space="preserve"> </v>
      </c>
      <c r="V38" s="85" t="str" cm="1">
        <f t="array" ref="V38">IFERROR(VLOOKUP($A38,'The List'!$B1:$AS671,29,FALSE)," ")</f>
        <v xml:space="preserve"> </v>
      </c>
      <c r="W38" s="85" t="str" cm="1">
        <f t="array" ref="W38">IFERROR(VLOOKUP($A38,'The List'!$B1:$AS671,30,FALSE)," ")</f>
        <v xml:space="preserve"> </v>
      </c>
      <c r="X38" s="85" t="str" cm="1">
        <f t="array" ref="X38">IFERROR(VLOOKUP($A38,'The List'!$B1:$AS671,31,FALSE)," ")</f>
        <v xml:space="preserve"> </v>
      </c>
      <c r="Y38" s="85" t="str" cm="1">
        <f t="array" ref="Y38">IFERROR(VLOOKUP($A38,'The List'!$B1:$AS671,32,FALSE)," ")</f>
        <v xml:space="preserve"> </v>
      </c>
      <c r="Z38" s="85" t="str" cm="1">
        <f t="array" ref="Z38">IFERROR(VLOOKUP($A38,'The List'!$B1:$AS671,33,FALSE)," ")</f>
        <v xml:space="preserve"> </v>
      </c>
      <c r="AA38" s="86"/>
      <c r="AB38" s="91"/>
      <c r="AC38" s="91"/>
      <c r="AD38" s="91"/>
      <c r="AE38" s="91"/>
      <c r="AF38" s="91"/>
    </row>
    <row r="39" spans="1:32" ht="21.25" customHeight="1" x14ac:dyDescent="0.15">
      <c r="A39" s="24"/>
      <c r="B39" s="97" t="str" cm="1">
        <f t="array" ref="B39">IFERROR(VLOOKUP($A39,'The List'!$B1:$AS671,3,FALSE)," ")</f>
        <v xml:space="preserve"> </v>
      </c>
      <c r="C39" s="99" t="str" cm="1">
        <f t="array" ref="C39">IFERROR(VLOOKUP($A39,'The List'!$B1:$AS671,4,FALSE)," ")</f>
        <v xml:space="preserve"> </v>
      </c>
      <c r="D39" s="18" t="str" cm="1">
        <f t="array" ref="D39">IFERROR(VLOOKUP($A39,'The List'!$B1:$AS671,5,FALSE)," ")</f>
        <v xml:space="preserve"> </v>
      </c>
      <c r="E39" s="18" t="str" cm="1">
        <f t="array" ref="E39">IFERROR(VLOOKUP($A39,'The List'!$B1:$AS671,6,FALSE)," ")</f>
        <v xml:space="preserve"> </v>
      </c>
      <c r="F39" s="93" t="str" cm="1">
        <f t="array" ref="F39">IFERROR(VLOOKUP($A39,'The List'!$B1:$AS671,8,FALSE)," ")</f>
        <v xml:space="preserve"> </v>
      </c>
      <c r="G39" s="93" t="str" cm="1">
        <f t="array" ref="G39">IFERROR(VLOOKUP($A39,'The List'!$B1:$AS671,10,FALSE)," ")</f>
        <v xml:space="preserve"> </v>
      </c>
      <c r="H39" s="55"/>
      <c r="I39" s="85" t="str" cm="1">
        <f t="array" ref="I39">IFERROR(VLOOKUP($A39,'The List'!$B1:$AS671,16,FALSE)," ")</f>
        <v xml:space="preserve"> </v>
      </c>
      <c r="J39" s="85" t="str" cm="1">
        <f t="array" ref="J39">IFERROR(VLOOKUP($A39,'The List'!$B1:$AS671,17,FALSE)," ")</f>
        <v xml:space="preserve"> </v>
      </c>
      <c r="K39" s="85" t="str" cm="1">
        <f t="array" ref="K39">IFERROR(VLOOKUP($A39,'The List'!$B1:$AS671,18,FALSE)," ")</f>
        <v xml:space="preserve"> </v>
      </c>
      <c r="L39" s="85" t="str" cm="1">
        <f t="array" ref="L39">IFERROR(VLOOKUP($A39,'The List'!$B1:$AS671,19,FALSE)," ")</f>
        <v xml:space="preserve"> </v>
      </c>
      <c r="M39" s="85" t="str" cm="1">
        <f t="array" ref="M39">IFERROR(VLOOKUP($A39,'The List'!$B1:$AS671,20,FALSE)," ")</f>
        <v xml:space="preserve"> </v>
      </c>
      <c r="N39" s="85" t="str" cm="1">
        <f t="array" ref="N39">IFERROR(VLOOKUP($A39,'The List'!$B1:$AS671,21,FALSE)," ")</f>
        <v xml:space="preserve"> </v>
      </c>
      <c r="O39" s="85" t="str" cm="1">
        <f t="array" ref="O39">IFERROR(VLOOKUP($A39,'The List'!$B1:$AS671,22,FALSE)," ")</f>
        <v xml:space="preserve"> </v>
      </c>
      <c r="P39" s="85" t="str" cm="1">
        <f t="array" ref="P39">IFERROR(VLOOKUP($A39,'The List'!$B1:$AS671,23,FALSE)," ")</f>
        <v xml:space="preserve"> </v>
      </c>
      <c r="Q39" s="85" t="str" cm="1">
        <f t="array" ref="Q39">IFERROR(VLOOKUP($A39,'The List'!$B1:$AS671,24,FALSE)," ")</f>
        <v xml:space="preserve"> </v>
      </c>
      <c r="R39" s="85" t="str" cm="1">
        <f t="array" ref="R39">IFERROR(VLOOKUP($A39,'The List'!$B1:$AS671,25,FALSE)," ")</f>
        <v xml:space="preserve"> </v>
      </c>
      <c r="S39" s="85" t="str" cm="1">
        <f t="array" ref="S39">IFERROR(VLOOKUP($A39,'The List'!$B1:$AS671,26,FALSE)," ")</f>
        <v xml:space="preserve"> </v>
      </c>
      <c r="T39" s="85" t="str" cm="1">
        <f t="array" ref="T39">IFERROR(VLOOKUP($A39,'The List'!$B1:$AS671,27,FALSE)," ")</f>
        <v xml:space="preserve"> </v>
      </c>
      <c r="U39" s="85" t="str" cm="1">
        <f t="array" ref="U39">IFERROR(VLOOKUP($A39,'The List'!$B1:$AS671,28,FALSE)," ")</f>
        <v xml:space="preserve"> </v>
      </c>
      <c r="V39" s="85" t="str" cm="1">
        <f t="array" ref="V39">IFERROR(VLOOKUP($A39,'The List'!$B1:$AS671,29,FALSE)," ")</f>
        <v xml:space="preserve"> </v>
      </c>
      <c r="W39" s="85" t="str" cm="1">
        <f t="array" ref="W39">IFERROR(VLOOKUP($A39,'The List'!$B1:$AS671,30,FALSE)," ")</f>
        <v xml:space="preserve"> </v>
      </c>
      <c r="X39" s="85" t="str" cm="1">
        <f t="array" ref="X39">IFERROR(VLOOKUP($A39,'The List'!$B1:$AS671,31,FALSE)," ")</f>
        <v xml:space="preserve"> </v>
      </c>
      <c r="Y39" s="85" t="str" cm="1">
        <f t="array" ref="Y39">IFERROR(VLOOKUP($A39,'The List'!$B1:$AS671,32,FALSE)," ")</f>
        <v xml:space="preserve"> </v>
      </c>
      <c r="Z39" s="85" t="str" cm="1">
        <f t="array" ref="Z39">IFERROR(VLOOKUP($A39,'The List'!$B1:$AS671,33,FALSE)," ")</f>
        <v xml:space="preserve"> </v>
      </c>
      <c r="AA39" s="86"/>
      <c r="AB39" s="91"/>
      <c r="AC39" s="91"/>
      <c r="AD39" s="91"/>
      <c r="AE39" s="91"/>
      <c r="AF39" s="91"/>
    </row>
    <row r="40" spans="1:32" ht="21.25" customHeight="1" x14ac:dyDescent="0.15">
      <c r="A40" s="24"/>
      <c r="B40" s="97" t="str" cm="1">
        <f t="array" ref="B40">IFERROR(VLOOKUP($A40,'The List'!$B1:$AS671,3,FALSE)," ")</f>
        <v xml:space="preserve"> </v>
      </c>
      <c r="C40" s="99" t="str" cm="1">
        <f t="array" ref="C40">IFERROR(VLOOKUP($A40,'The List'!$B1:$AS671,4,FALSE)," ")</f>
        <v xml:space="preserve"> </v>
      </c>
      <c r="D40" s="18" t="str" cm="1">
        <f t="array" ref="D40">IFERROR(VLOOKUP($A40,'The List'!$B1:$AS671,5,FALSE)," ")</f>
        <v xml:space="preserve"> </v>
      </c>
      <c r="E40" s="18" t="str" cm="1">
        <f t="array" ref="E40">IFERROR(VLOOKUP($A40,'The List'!$B1:$AS671,6,FALSE)," ")</f>
        <v xml:space="preserve"> </v>
      </c>
      <c r="F40" s="93" t="str" cm="1">
        <f t="array" ref="F40">IFERROR(VLOOKUP($A40,'The List'!$B1:$AS671,8,FALSE)," ")</f>
        <v xml:space="preserve"> </v>
      </c>
      <c r="G40" s="93" t="str" cm="1">
        <f t="array" ref="G40">IFERROR(VLOOKUP($A40,'The List'!$B1:$AS671,10,FALSE)," ")</f>
        <v xml:space="preserve"> </v>
      </c>
      <c r="H40" s="55"/>
      <c r="I40" s="85" t="str" cm="1">
        <f t="array" ref="I40">IFERROR(VLOOKUP($A40,'The List'!$B1:$AS671,16,FALSE)," ")</f>
        <v xml:space="preserve"> </v>
      </c>
      <c r="J40" s="85" t="str" cm="1">
        <f t="array" ref="J40">IFERROR(VLOOKUP($A40,'The List'!$B1:$AS671,17,FALSE)," ")</f>
        <v xml:space="preserve"> </v>
      </c>
      <c r="K40" s="85" t="str" cm="1">
        <f t="array" ref="K40">IFERROR(VLOOKUP($A40,'The List'!$B1:$AS671,18,FALSE)," ")</f>
        <v xml:space="preserve"> </v>
      </c>
      <c r="L40" s="85" t="str" cm="1">
        <f t="array" ref="L40">IFERROR(VLOOKUP($A40,'The List'!$B1:$AS671,19,FALSE)," ")</f>
        <v xml:space="preserve"> </v>
      </c>
      <c r="M40" s="85" t="str" cm="1">
        <f t="array" ref="M40">IFERROR(VLOOKUP($A40,'The List'!$B1:$AS671,20,FALSE)," ")</f>
        <v xml:space="preserve"> </v>
      </c>
      <c r="N40" s="85" t="str" cm="1">
        <f t="array" ref="N40">IFERROR(VLOOKUP($A40,'The List'!$B1:$AS671,21,FALSE)," ")</f>
        <v xml:space="preserve"> </v>
      </c>
      <c r="O40" s="85" t="str" cm="1">
        <f t="array" ref="O40">IFERROR(VLOOKUP($A40,'The List'!$B1:$AS671,22,FALSE)," ")</f>
        <v xml:space="preserve"> </v>
      </c>
      <c r="P40" s="85" t="str" cm="1">
        <f t="array" ref="P40">IFERROR(VLOOKUP($A40,'The List'!$B1:$AS671,23,FALSE)," ")</f>
        <v xml:space="preserve"> </v>
      </c>
      <c r="Q40" s="85" t="str" cm="1">
        <f t="array" ref="Q40">IFERROR(VLOOKUP($A40,'The List'!$B1:$AS671,24,FALSE)," ")</f>
        <v xml:space="preserve"> </v>
      </c>
      <c r="R40" s="85" t="str" cm="1">
        <f t="array" ref="R40">IFERROR(VLOOKUP($A40,'The List'!$B1:$AS671,25,FALSE)," ")</f>
        <v xml:space="preserve"> </v>
      </c>
      <c r="S40" s="85" t="str" cm="1">
        <f t="array" ref="S40">IFERROR(VLOOKUP($A40,'The List'!$B1:$AS671,26,FALSE)," ")</f>
        <v xml:space="preserve"> </v>
      </c>
      <c r="T40" s="85" t="str" cm="1">
        <f t="array" ref="T40">IFERROR(VLOOKUP($A40,'The List'!$B1:$AS671,27,FALSE)," ")</f>
        <v xml:space="preserve"> </v>
      </c>
      <c r="U40" s="85" t="str" cm="1">
        <f t="array" ref="U40">IFERROR(VLOOKUP($A40,'The List'!$B1:$AS671,28,FALSE)," ")</f>
        <v xml:space="preserve"> </v>
      </c>
      <c r="V40" s="85" t="str" cm="1">
        <f t="array" ref="V40">IFERROR(VLOOKUP($A40,'The List'!$B1:$AS671,29,FALSE)," ")</f>
        <v xml:space="preserve"> </v>
      </c>
      <c r="W40" s="85" t="str" cm="1">
        <f t="array" ref="W40">IFERROR(VLOOKUP($A40,'The List'!$B1:$AS671,30,FALSE)," ")</f>
        <v xml:space="preserve"> </v>
      </c>
      <c r="X40" s="85" t="str" cm="1">
        <f t="array" ref="X40">IFERROR(VLOOKUP($A40,'The List'!$B1:$AS671,31,FALSE)," ")</f>
        <v xml:space="preserve"> </v>
      </c>
      <c r="Y40" s="85" t="str" cm="1">
        <f t="array" ref="Y40">IFERROR(VLOOKUP($A40,'The List'!$B1:$AS671,32,FALSE)," ")</f>
        <v xml:space="preserve"> </v>
      </c>
      <c r="Z40" s="85" t="str" cm="1">
        <f t="array" ref="Z40">IFERROR(VLOOKUP($A40,'The List'!$B1:$AS671,33,FALSE)," ")</f>
        <v xml:space="preserve"> </v>
      </c>
      <c r="AA40" s="86"/>
      <c r="AB40" s="91"/>
      <c r="AC40" s="91"/>
      <c r="AD40" s="91"/>
      <c r="AE40" s="91"/>
      <c r="AF40" s="91"/>
    </row>
    <row r="41" spans="1:32" ht="21.25" customHeight="1" x14ac:dyDescent="0.15">
      <c r="A41" s="24"/>
      <c r="B41" s="97" t="str" cm="1">
        <f t="array" ref="B41">IFERROR(VLOOKUP($A41,'The List'!$B1:$AS671,3,FALSE)," ")</f>
        <v xml:space="preserve"> </v>
      </c>
      <c r="C41" s="99" t="str" cm="1">
        <f t="array" ref="C41">IFERROR(VLOOKUP($A41,'The List'!$B1:$AS671,4,FALSE)," ")</f>
        <v xml:space="preserve"> </v>
      </c>
      <c r="D41" s="18" t="str" cm="1">
        <f t="array" ref="D41">IFERROR(VLOOKUP($A41,'The List'!$B1:$AS671,5,FALSE)," ")</f>
        <v xml:space="preserve"> </v>
      </c>
      <c r="E41" s="18" t="str" cm="1">
        <f t="array" ref="E41">IFERROR(VLOOKUP($A41,'The List'!$B1:$AS671,6,FALSE)," ")</f>
        <v xml:space="preserve"> </v>
      </c>
      <c r="F41" s="93" t="str" cm="1">
        <f t="array" ref="F41">IFERROR(VLOOKUP($A41,'The List'!$B1:$AS671,8,FALSE)," ")</f>
        <v xml:space="preserve"> </v>
      </c>
      <c r="G41" s="93" t="str" cm="1">
        <f t="array" ref="G41">IFERROR(VLOOKUP($A41,'The List'!$B1:$AS671,10,FALSE)," ")</f>
        <v xml:space="preserve"> </v>
      </c>
      <c r="H41" s="55"/>
      <c r="I41" s="85" t="str" cm="1">
        <f t="array" ref="I41">IFERROR(VLOOKUP($A41,'The List'!$B1:$AS671,16,FALSE)," ")</f>
        <v xml:space="preserve"> </v>
      </c>
      <c r="J41" s="85" t="str" cm="1">
        <f t="array" ref="J41">IFERROR(VLOOKUP($A41,'The List'!$B1:$AS671,17,FALSE)," ")</f>
        <v xml:space="preserve"> </v>
      </c>
      <c r="K41" s="85" t="str" cm="1">
        <f t="array" ref="K41">IFERROR(VLOOKUP($A41,'The List'!$B1:$AS671,18,FALSE)," ")</f>
        <v xml:space="preserve"> </v>
      </c>
      <c r="L41" s="85" t="str" cm="1">
        <f t="array" ref="L41">IFERROR(VLOOKUP($A41,'The List'!$B1:$AS671,19,FALSE)," ")</f>
        <v xml:space="preserve"> </v>
      </c>
      <c r="M41" s="85" t="str" cm="1">
        <f t="array" ref="M41">IFERROR(VLOOKUP($A41,'The List'!$B1:$AS671,20,FALSE)," ")</f>
        <v xml:space="preserve"> </v>
      </c>
      <c r="N41" s="85" t="str" cm="1">
        <f t="array" ref="N41">IFERROR(VLOOKUP($A41,'The List'!$B1:$AS671,21,FALSE)," ")</f>
        <v xml:space="preserve"> </v>
      </c>
      <c r="O41" s="85" t="str" cm="1">
        <f t="array" ref="O41">IFERROR(VLOOKUP($A41,'The List'!$B1:$AS671,22,FALSE)," ")</f>
        <v xml:space="preserve"> </v>
      </c>
      <c r="P41" s="85" t="str" cm="1">
        <f t="array" ref="P41">IFERROR(VLOOKUP($A41,'The List'!$B1:$AS671,23,FALSE)," ")</f>
        <v xml:space="preserve"> </v>
      </c>
      <c r="Q41" s="85" t="str" cm="1">
        <f t="array" ref="Q41">IFERROR(VLOOKUP($A41,'The List'!$B1:$AS671,24,FALSE)," ")</f>
        <v xml:space="preserve"> </v>
      </c>
      <c r="R41" s="85" t="str" cm="1">
        <f t="array" ref="R41">IFERROR(VLOOKUP($A41,'The List'!$B1:$AS671,25,FALSE)," ")</f>
        <v xml:space="preserve"> </v>
      </c>
      <c r="S41" s="85" t="str" cm="1">
        <f t="array" ref="S41">IFERROR(VLOOKUP($A41,'The List'!$B1:$AS671,26,FALSE)," ")</f>
        <v xml:space="preserve"> </v>
      </c>
      <c r="T41" s="85" t="str" cm="1">
        <f t="array" ref="T41">IFERROR(VLOOKUP($A41,'The List'!$B1:$AS671,27,FALSE)," ")</f>
        <v xml:space="preserve"> </v>
      </c>
      <c r="U41" s="85" t="str" cm="1">
        <f t="array" ref="U41">IFERROR(VLOOKUP($A41,'The List'!$B1:$AS671,28,FALSE)," ")</f>
        <v xml:space="preserve"> </v>
      </c>
      <c r="V41" s="85" t="str" cm="1">
        <f t="array" ref="V41">IFERROR(VLOOKUP($A41,'The List'!$B1:$AS671,29,FALSE)," ")</f>
        <v xml:space="preserve"> </v>
      </c>
      <c r="W41" s="85" t="str" cm="1">
        <f t="array" ref="W41">IFERROR(VLOOKUP($A41,'The List'!$B1:$AS671,30,FALSE)," ")</f>
        <v xml:space="preserve"> </v>
      </c>
      <c r="X41" s="85" t="str" cm="1">
        <f t="array" ref="X41">IFERROR(VLOOKUP($A41,'The List'!$B1:$AS671,31,FALSE)," ")</f>
        <v xml:space="preserve"> </v>
      </c>
      <c r="Y41" s="85" t="str" cm="1">
        <f t="array" ref="Y41">IFERROR(VLOOKUP($A41,'The List'!$B1:$AS671,32,FALSE)," ")</f>
        <v xml:space="preserve"> </v>
      </c>
      <c r="Z41" s="85" t="str" cm="1">
        <f t="array" ref="Z41">IFERROR(VLOOKUP($A41,'The List'!$B1:$AS671,33,FALSE)," ")</f>
        <v xml:space="preserve"> </v>
      </c>
      <c r="AA41" s="86"/>
      <c r="AB41" s="91"/>
      <c r="AC41" s="91"/>
      <c r="AD41" s="91"/>
      <c r="AE41" s="91"/>
      <c r="AF41" s="91"/>
    </row>
    <row r="42" spans="1:32" ht="21.25" customHeight="1" x14ac:dyDescent="0.15">
      <c r="A42" s="24"/>
      <c r="B42" s="97" t="str" cm="1">
        <f t="array" ref="B42">IFERROR(VLOOKUP($A42,'The List'!$B1:$AS671,3,FALSE)," ")</f>
        <v xml:space="preserve"> </v>
      </c>
      <c r="C42" s="99" t="str" cm="1">
        <f t="array" ref="C42">IFERROR(VLOOKUP($A42,'The List'!$B1:$AS671,4,FALSE)," ")</f>
        <v xml:space="preserve"> </v>
      </c>
      <c r="D42" s="18" t="str" cm="1">
        <f t="array" ref="D42">IFERROR(VLOOKUP($A42,'The List'!$B1:$AS671,5,FALSE)," ")</f>
        <v xml:space="preserve"> </v>
      </c>
      <c r="E42" s="18" t="str" cm="1">
        <f t="array" ref="E42">IFERROR(VLOOKUP($A42,'The List'!$B1:$AS671,6,FALSE)," ")</f>
        <v xml:space="preserve"> </v>
      </c>
      <c r="F42" s="93" t="str" cm="1">
        <f t="array" ref="F42">IFERROR(VLOOKUP($A42,'The List'!$B1:$AS671,8,FALSE)," ")</f>
        <v xml:space="preserve"> </v>
      </c>
      <c r="G42" s="93" t="str" cm="1">
        <f t="array" ref="G42">IFERROR(VLOOKUP($A42,'The List'!$B1:$AS671,10,FALSE)," ")</f>
        <v xml:space="preserve"> </v>
      </c>
      <c r="H42" s="55"/>
      <c r="I42" s="85" t="str" cm="1">
        <f t="array" ref="I42">IFERROR(VLOOKUP($A42,'The List'!$B1:$AS671,16,FALSE)," ")</f>
        <v xml:space="preserve"> </v>
      </c>
      <c r="J42" s="85" t="str" cm="1">
        <f t="array" ref="J42">IFERROR(VLOOKUP($A42,'The List'!$B1:$AS671,17,FALSE)," ")</f>
        <v xml:space="preserve"> </v>
      </c>
      <c r="K42" s="85" t="str" cm="1">
        <f t="array" ref="K42">IFERROR(VLOOKUP($A42,'The List'!$B1:$AS671,18,FALSE)," ")</f>
        <v xml:space="preserve"> </v>
      </c>
      <c r="L42" s="85" t="str" cm="1">
        <f t="array" ref="L42">IFERROR(VLOOKUP($A42,'The List'!$B1:$AS671,19,FALSE)," ")</f>
        <v xml:space="preserve"> </v>
      </c>
      <c r="M42" s="85" t="str" cm="1">
        <f t="array" ref="M42">IFERROR(VLOOKUP($A42,'The List'!$B1:$AS671,20,FALSE)," ")</f>
        <v xml:space="preserve"> </v>
      </c>
      <c r="N42" s="85" t="str" cm="1">
        <f t="array" ref="N42">IFERROR(VLOOKUP($A42,'The List'!$B1:$AS671,21,FALSE)," ")</f>
        <v xml:space="preserve"> </v>
      </c>
      <c r="O42" s="85" t="str" cm="1">
        <f t="array" ref="O42">IFERROR(VLOOKUP($A42,'The List'!$B1:$AS671,22,FALSE)," ")</f>
        <v xml:space="preserve"> </v>
      </c>
      <c r="P42" s="85" t="str" cm="1">
        <f t="array" ref="P42">IFERROR(VLOOKUP($A42,'The List'!$B1:$AS671,23,FALSE)," ")</f>
        <v xml:space="preserve"> </v>
      </c>
      <c r="Q42" s="85" t="str" cm="1">
        <f t="array" ref="Q42">IFERROR(VLOOKUP($A42,'The List'!$B1:$AS671,24,FALSE)," ")</f>
        <v xml:space="preserve"> </v>
      </c>
      <c r="R42" s="85" t="str" cm="1">
        <f t="array" ref="R42">IFERROR(VLOOKUP($A42,'The List'!$B1:$AS671,25,FALSE)," ")</f>
        <v xml:space="preserve"> </v>
      </c>
      <c r="S42" s="85" t="str" cm="1">
        <f t="array" ref="S42">IFERROR(VLOOKUP($A42,'The List'!$B1:$AS671,26,FALSE)," ")</f>
        <v xml:space="preserve"> </v>
      </c>
      <c r="T42" s="85" t="str" cm="1">
        <f t="array" ref="T42">IFERROR(VLOOKUP($A42,'The List'!$B1:$AS671,27,FALSE)," ")</f>
        <v xml:space="preserve"> </v>
      </c>
      <c r="U42" s="85" t="str" cm="1">
        <f t="array" ref="U42">IFERROR(VLOOKUP($A42,'The List'!$B1:$AS671,28,FALSE)," ")</f>
        <v xml:space="preserve"> </v>
      </c>
      <c r="V42" s="85" t="str" cm="1">
        <f t="array" ref="V42">IFERROR(VLOOKUP($A42,'The List'!$B1:$AS671,29,FALSE)," ")</f>
        <v xml:space="preserve"> </v>
      </c>
      <c r="W42" s="85" t="str" cm="1">
        <f t="array" ref="W42">IFERROR(VLOOKUP($A42,'The List'!$B1:$AS671,30,FALSE)," ")</f>
        <v xml:space="preserve"> </v>
      </c>
      <c r="X42" s="85" t="str" cm="1">
        <f t="array" ref="X42">IFERROR(VLOOKUP($A42,'The List'!$B1:$AS671,31,FALSE)," ")</f>
        <v xml:space="preserve"> </v>
      </c>
      <c r="Y42" s="85" t="str" cm="1">
        <f t="array" ref="Y42">IFERROR(VLOOKUP($A42,'The List'!$B1:$AS671,32,FALSE)," ")</f>
        <v xml:space="preserve"> </v>
      </c>
      <c r="Z42" s="85" t="str" cm="1">
        <f t="array" ref="Z42">IFERROR(VLOOKUP($A42,'The List'!$B1:$AS671,33,FALSE)," ")</f>
        <v xml:space="preserve"> </v>
      </c>
      <c r="AA42" s="86"/>
      <c r="AB42" s="91"/>
      <c r="AC42" s="91"/>
      <c r="AD42" s="91"/>
      <c r="AE42" s="91"/>
      <c r="AF42" s="91"/>
    </row>
    <row r="43" spans="1:32" ht="21.25" customHeight="1" x14ac:dyDescent="0.15">
      <c r="A43" s="24"/>
      <c r="B43" s="100" t="str" cm="1">
        <f t="array" ref="B43">IFERROR(VLOOKUP($A43,'The List'!$B1:$AS671,3,FALSE)," ")</f>
        <v xml:space="preserve"> </v>
      </c>
      <c r="C43" s="102" t="str" cm="1">
        <f t="array" ref="C43">IFERROR(VLOOKUP($A43,'The List'!$B1:$AS671,4,FALSE)," ")</f>
        <v xml:space="preserve"> </v>
      </c>
      <c r="D43" s="18" t="str" cm="1">
        <f t="array" ref="D43">IFERROR(VLOOKUP($A43,'The List'!$B1:$AS671,5,FALSE)," ")</f>
        <v xml:space="preserve"> </v>
      </c>
      <c r="E43" s="18" t="str" cm="1">
        <f t="array" ref="E43">IFERROR(VLOOKUP($A43,'The List'!$B1:$AS671,6,FALSE)," ")</f>
        <v xml:space="preserve"> </v>
      </c>
      <c r="F43" s="93" t="str" cm="1">
        <f t="array" ref="F43">IFERROR(VLOOKUP($A43,'The List'!$B1:$AS671,8,FALSE)," ")</f>
        <v xml:space="preserve"> </v>
      </c>
      <c r="G43" s="93" t="str" cm="1">
        <f t="array" ref="G43">IFERROR(VLOOKUP($A43,'The List'!$B1:$AS671,10,FALSE)," ")</f>
        <v xml:space="preserve"> </v>
      </c>
      <c r="H43" s="55"/>
      <c r="I43" s="85" t="str" cm="1">
        <f t="array" ref="I43">IFERROR(VLOOKUP($A43,'The List'!$B1:$AS671,16,FALSE)," ")</f>
        <v xml:space="preserve"> </v>
      </c>
      <c r="J43" s="85" t="str" cm="1">
        <f t="array" ref="J43">IFERROR(VLOOKUP($A43,'The List'!$B1:$AS671,17,FALSE)," ")</f>
        <v xml:space="preserve"> </v>
      </c>
      <c r="K43" s="85" t="str" cm="1">
        <f t="array" ref="K43">IFERROR(VLOOKUP($A43,'The List'!$B1:$AS671,18,FALSE)," ")</f>
        <v xml:space="preserve"> </v>
      </c>
      <c r="L43" s="85" t="str" cm="1">
        <f t="array" ref="L43">IFERROR(VLOOKUP($A43,'The List'!$B1:$AS671,19,FALSE)," ")</f>
        <v xml:space="preserve"> </v>
      </c>
      <c r="M43" s="85" t="str" cm="1">
        <f t="array" ref="M43">IFERROR(VLOOKUP($A43,'The List'!$B1:$AS671,20,FALSE)," ")</f>
        <v xml:space="preserve"> </v>
      </c>
      <c r="N43" s="85" t="str" cm="1">
        <f t="array" ref="N43">IFERROR(VLOOKUP($A43,'The List'!$B1:$AS671,21,FALSE)," ")</f>
        <v xml:space="preserve"> </v>
      </c>
      <c r="O43" s="85" t="str" cm="1">
        <f t="array" ref="O43">IFERROR(VLOOKUP($A43,'The List'!$B1:$AS671,22,FALSE)," ")</f>
        <v xml:space="preserve"> </v>
      </c>
      <c r="P43" s="85" t="str" cm="1">
        <f t="array" ref="P43">IFERROR(VLOOKUP($A43,'The List'!$B1:$AS671,23,FALSE)," ")</f>
        <v xml:space="preserve"> </v>
      </c>
      <c r="Q43" s="85" t="str" cm="1">
        <f t="array" ref="Q43">IFERROR(VLOOKUP($A43,'The List'!$B1:$AS671,24,FALSE)," ")</f>
        <v xml:space="preserve"> </v>
      </c>
      <c r="R43" s="85" t="str" cm="1">
        <f t="array" ref="R43">IFERROR(VLOOKUP($A43,'The List'!$B1:$AS671,25,FALSE)," ")</f>
        <v xml:space="preserve"> </v>
      </c>
      <c r="S43" s="85" t="str" cm="1">
        <f t="array" ref="S43">IFERROR(VLOOKUP($A43,'The List'!$B1:$AS671,26,FALSE)," ")</f>
        <v xml:space="preserve"> </v>
      </c>
      <c r="T43" s="85" t="str" cm="1">
        <f t="array" ref="T43">IFERROR(VLOOKUP($A43,'The List'!$B1:$AS671,27,FALSE)," ")</f>
        <v xml:space="preserve"> </v>
      </c>
      <c r="U43" s="85" t="str" cm="1">
        <f t="array" ref="U43">IFERROR(VLOOKUP($A43,'The List'!$B1:$AS671,28,FALSE)," ")</f>
        <v xml:space="preserve"> </v>
      </c>
      <c r="V43" s="85" t="str" cm="1">
        <f t="array" ref="V43">IFERROR(VLOOKUP($A43,'The List'!$B1:$AS671,29,FALSE)," ")</f>
        <v xml:space="preserve"> </v>
      </c>
      <c r="W43" s="85" t="str" cm="1">
        <f t="array" ref="W43">IFERROR(VLOOKUP($A43,'The List'!$B1:$AS671,30,FALSE)," ")</f>
        <v xml:space="preserve"> </v>
      </c>
      <c r="X43" s="85" t="str" cm="1">
        <f t="array" ref="X43">IFERROR(VLOOKUP($A43,'The List'!$B1:$AS671,31,FALSE)," ")</f>
        <v xml:space="preserve"> </v>
      </c>
      <c r="Y43" s="85" t="str" cm="1">
        <f t="array" ref="Y43">IFERROR(VLOOKUP($A43,'The List'!$B1:$AS671,32,FALSE)," ")</f>
        <v xml:space="preserve"> </v>
      </c>
      <c r="Z43" s="85" t="str" cm="1">
        <f t="array" ref="Z43">IFERROR(VLOOKUP($A43,'The List'!$B1:$AS671,33,FALSE)," ")</f>
        <v xml:space="preserve"> </v>
      </c>
      <c r="AA43" s="86"/>
      <c r="AB43" s="91"/>
      <c r="AC43" s="91"/>
      <c r="AD43" s="91"/>
      <c r="AE43" s="91"/>
      <c r="AF43" s="91"/>
    </row>
    <row r="44" spans="1:32" ht="21.25" customHeight="1" x14ac:dyDescent="0.15">
      <c r="A44" s="24"/>
      <c r="B44" s="100" t="str" cm="1">
        <f t="array" ref="B44">IFERROR(VLOOKUP($A44,'The List'!$B1:$AS671,3,FALSE)," ")</f>
        <v xml:space="preserve"> </v>
      </c>
      <c r="C44" s="102" t="str" cm="1">
        <f t="array" ref="C44">IFERROR(VLOOKUP($A44,'The List'!$B1:$AS671,4,FALSE)," ")</f>
        <v xml:space="preserve"> </v>
      </c>
      <c r="D44" s="18" t="str" cm="1">
        <f t="array" ref="D44">IFERROR(VLOOKUP($A44,'The List'!$B1:$AS671,5,FALSE)," ")</f>
        <v xml:space="preserve"> </v>
      </c>
      <c r="E44" s="18" t="str" cm="1">
        <f t="array" ref="E44">IFERROR(VLOOKUP($A44,'The List'!$B1:$AS671,6,FALSE)," ")</f>
        <v xml:space="preserve"> </v>
      </c>
      <c r="F44" s="93" t="str" cm="1">
        <f t="array" ref="F44">IFERROR(VLOOKUP($A44,'The List'!$B1:$AS671,8,FALSE)," ")</f>
        <v xml:space="preserve"> </v>
      </c>
      <c r="G44" s="93" t="str" cm="1">
        <f t="array" ref="G44">IFERROR(VLOOKUP($A44,'The List'!$B1:$AS671,10,FALSE)," ")</f>
        <v xml:space="preserve"> </v>
      </c>
      <c r="H44" s="55"/>
      <c r="I44" s="85" t="str" cm="1">
        <f t="array" ref="I44">IFERROR(VLOOKUP($A44,'The List'!$B1:$AS671,16,FALSE)," ")</f>
        <v xml:space="preserve"> </v>
      </c>
      <c r="J44" s="85" t="str" cm="1">
        <f t="array" ref="J44">IFERROR(VLOOKUP($A44,'The List'!$B1:$AS671,17,FALSE)," ")</f>
        <v xml:space="preserve"> </v>
      </c>
      <c r="K44" s="85" t="str" cm="1">
        <f t="array" ref="K44">IFERROR(VLOOKUP($A44,'The List'!$B1:$AS671,18,FALSE)," ")</f>
        <v xml:space="preserve"> </v>
      </c>
      <c r="L44" s="85" t="str" cm="1">
        <f t="array" ref="L44">IFERROR(VLOOKUP($A44,'The List'!$B1:$AS671,19,FALSE)," ")</f>
        <v xml:space="preserve"> </v>
      </c>
      <c r="M44" s="85" t="str" cm="1">
        <f t="array" ref="M44">IFERROR(VLOOKUP($A44,'The List'!$B1:$AS671,20,FALSE)," ")</f>
        <v xml:space="preserve"> </v>
      </c>
      <c r="N44" s="85" t="str" cm="1">
        <f t="array" ref="N44">IFERROR(VLOOKUP($A44,'The List'!$B1:$AS671,21,FALSE)," ")</f>
        <v xml:space="preserve"> </v>
      </c>
      <c r="O44" s="85" t="str" cm="1">
        <f t="array" ref="O44">IFERROR(VLOOKUP($A44,'The List'!$B1:$AS671,22,FALSE)," ")</f>
        <v xml:space="preserve"> </v>
      </c>
      <c r="P44" s="85" t="str" cm="1">
        <f t="array" ref="P44">IFERROR(VLOOKUP($A44,'The List'!$B1:$AS671,23,FALSE)," ")</f>
        <v xml:space="preserve"> </v>
      </c>
      <c r="Q44" s="85" t="str" cm="1">
        <f t="array" ref="Q44">IFERROR(VLOOKUP($A44,'The List'!$B1:$AS671,24,FALSE)," ")</f>
        <v xml:space="preserve"> </v>
      </c>
      <c r="R44" s="85" t="str" cm="1">
        <f t="array" ref="R44">IFERROR(VLOOKUP($A44,'The List'!$B1:$AS671,25,FALSE)," ")</f>
        <v xml:space="preserve"> </v>
      </c>
      <c r="S44" s="85" t="str" cm="1">
        <f t="array" ref="S44">IFERROR(VLOOKUP($A44,'The List'!$B1:$AS671,26,FALSE)," ")</f>
        <v xml:space="preserve"> </v>
      </c>
      <c r="T44" s="85" t="str" cm="1">
        <f t="array" ref="T44">IFERROR(VLOOKUP($A44,'The List'!$B1:$AS671,27,FALSE)," ")</f>
        <v xml:space="preserve"> </v>
      </c>
      <c r="U44" s="85" t="str" cm="1">
        <f t="array" ref="U44">IFERROR(VLOOKUP($A44,'The List'!$B1:$AS671,28,FALSE)," ")</f>
        <v xml:space="preserve"> </v>
      </c>
      <c r="V44" s="85" t="str" cm="1">
        <f t="array" ref="V44">IFERROR(VLOOKUP($A44,'The List'!$B1:$AS671,29,FALSE)," ")</f>
        <v xml:space="preserve"> </v>
      </c>
      <c r="W44" s="85" t="str" cm="1">
        <f t="array" ref="W44">IFERROR(VLOOKUP($A44,'The List'!$B1:$AS671,30,FALSE)," ")</f>
        <v xml:space="preserve"> </v>
      </c>
      <c r="X44" s="85" t="str" cm="1">
        <f t="array" ref="X44">IFERROR(VLOOKUP($A44,'The List'!$B1:$AS671,31,FALSE)," ")</f>
        <v xml:space="preserve"> </v>
      </c>
      <c r="Y44" s="85" t="str" cm="1">
        <f t="array" ref="Y44">IFERROR(VLOOKUP($A44,'The List'!$B1:$AS671,32,FALSE)," ")</f>
        <v xml:space="preserve"> </v>
      </c>
      <c r="Z44" s="85" t="str" cm="1">
        <f t="array" ref="Z44">IFERROR(VLOOKUP($A44,'The List'!$B1:$AS671,33,FALSE)," ")</f>
        <v xml:space="preserve"> </v>
      </c>
      <c r="AA44" s="86"/>
      <c r="AB44" s="91"/>
      <c r="AC44" s="91"/>
      <c r="AD44" s="91"/>
      <c r="AE44" s="91"/>
      <c r="AF44" s="91"/>
    </row>
    <row r="45" spans="1:32" ht="21.25" customHeight="1" x14ac:dyDescent="0.15">
      <c r="A45" s="24"/>
      <c r="B45" s="100" t="str" cm="1">
        <f t="array" ref="B45">IFERROR(VLOOKUP($A45,'The List'!$B1:$AS671,3,FALSE)," ")</f>
        <v xml:space="preserve"> </v>
      </c>
      <c r="C45" s="102" t="str" cm="1">
        <f t="array" ref="C45">IFERROR(VLOOKUP($A45,'The List'!$B1:$AS671,4,FALSE)," ")</f>
        <v xml:space="preserve"> </v>
      </c>
      <c r="D45" s="18" t="str" cm="1">
        <f t="array" ref="D45">IFERROR(VLOOKUP($A45,'The List'!$B1:$AS671,5,FALSE)," ")</f>
        <v xml:space="preserve"> </v>
      </c>
      <c r="E45" s="18" t="str" cm="1">
        <f t="array" ref="E45">IFERROR(VLOOKUP($A45,'The List'!$B1:$AS671,6,FALSE)," ")</f>
        <v xml:space="preserve"> </v>
      </c>
      <c r="F45" s="93" t="str" cm="1">
        <f t="array" ref="F45">IFERROR(VLOOKUP($A45,'The List'!$B1:$AS671,8,FALSE)," ")</f>
        <v xml:space="preserve"> </v>
      </c>
      <c r="G45" s="93" t="str" cm="1">
        <f t="array" ref="G45">IFERROR(VLOOKUP($A45,'The List'!$B1:$AS671,10,FALSE)," ")</f>
        <v xml:space="preserve"> </v>
      </c>
      <c r="H45" s="55"/>
      <c r="I45" s="85" t="str" cm="1">
        <f t="array" ref="I45">IFERROR(VLOOKUP($A45,'The List'!$B1:$AS671,16,FALSE)," ")</f>
        <v xml:space="preserve"> </v>
      </c>
      <c r="J45" s="85" t="str" cm="1">
        <f t="array" ref="J45">IFERROR(VLOOKUP($A45,'The List'!$B1:$AS671,17,FALSE)," ")</f>
        <v xml:space="preserve"> </v>
      </c>
      <c r="K45" s="85" t="str" cm="1">
        <f t="array" ref="K45">IFERROR(VLOOKUP($A45,'The List'!$B1:$AS671,18,FALSE)," ")</f>
        <v xml:space="preserve"> </v>
      </c>
      <c r="L45" s="85" t="str" cm="1">
        <f t="array" ref="L45">IFERROR(VLOOKUP($A45,'The List'!$B1:$AS671,19,FALSE)," ")</f>
        <v xml:space="preserve"> </v>
      </c>
      <c r="M45" s="85" t="str" cm="1">
        <f t="array" ref="M45">IFERROR(VLOOKUP($A45,'The List'!$B1:$AS671,20,FALSE)," ")</f>
        <v xml:space="preserve"> </v>
      </c>
      <c r="N45" s="85" t="str" cm="1">
        <f t="array" ref="N45">IFERROR(VLOOKUP($A45,'The List'!$B1:$AS671,21,FALSE)," ")</f>
        <v xml:space="preserve"> </v>
      </c>
      <c r="O45" s="85" t="str" cm="1">
        <f t="array" ref="O45">IFERROR(VLOOKUP($A45,'The List'!$B1:$AS671,22,FALSE)," ")</f>
        <v xml:space="preserve"> </v>
      </c>
      <c r="P45" s="85" t="str" cm="1">
        <f t="array" ref="P45">IFERROR(VLOOKUP($A45,'The List'!$B1:$AS671,23,FALSE)," ")</f>
        <v xml:space="preserve"> </v>
      </c>
      <c r="Q45" s="85" t="str" cm="1">
        <f t="array" ref="Q45">IFERROR(VLOOKUP($A45,'The List'!$B1:$AS671,24,FALSE)," ")</f>
        <v xml:space="preserve"> </v>
      </c>
      <c r="R45" s="85" t="str" cm="1">
        <f t="array" ref="R45">IFERROR(VLOOKUP($A45,'The List'!$B1:$AS671,25,FALSE)," ")</f>
        <v xml:space="preserve"> </v>
      </c>
      <c r="S45" s="85" t="str" cm="1">
        <f t="array" ref="S45">IFERROR(VLOOKUP($A45,'The List'!$B1:$AS671,26,FALSE)," ")</f>
        <v xml:space="preserve"> </v>
      </c>
      <c r="T45" s="85" t="str" cm="1">
        <f t="array" ref="T45">IFERROR(VLOOKUP($A45,'The List'!$B1:$AS671,27,FALSE)," ")</f>
        <v xml:space="preserve"> </v>
      </c>
      <c r="U45" s="85" t="str" cm="1">
        <f t="array" ref="U45">IFERROR(VLOOKUP($A45,'The List'!$B1:$AS671,28,FALSE)," ")</f>
        <v xml:space="preserve"> </v>
      </c>
      <c r="V45" s="85" t="str" cm="1">
        <f t="array" ref="V45">IFERROR(VLOOKUP($A45,'The List'!$B1:$AS671,29,FALSE)," ")</f>
        <v xml:space="preserve"> </v>
      </c>
      <c r="W45" s="85" t="str" cm="1">
        <f t="array" ref="W45">IFERROR(VLOOKUP($A45,'The List'!$B1:$AS671,30,FALSE)," ")</f>
        <v xml:space="preserve"> </v>
      </c>
      <c r="X45" s="85" t="str" cm="1">
        <f t="array" ref="X45">IFERROR(VLOOKUP($A45,'The List'!$B1:$AS671,31,FALSE)," ")</f>
        <v xml:space="preserve"> </v>
      </c>
      <c r="Y45" s="85" t="str" cm="1">
        <f t="array" ref="Y45">IFERROR(VLOOKUP($A45,'The List'!$B1:$AS671,32,FALSE)," ")</f>
        <v xml:space="preserve"> </v>
      </c>
      <c r="Z45" s="85" t="str" cm="1">
        <f t="array" ref="Z45">IFERROR(VLOOKUP($A45,'The List'!$B1:$AS671,33,FALSE)," ")</f>
        <v xml:space="preserve"> </v>
      </c>
      <c r="AA45" s="86"/>
      <c r="AB45" s="91"/>
      <c r="AC45" s="91"/>
      <c r="AD45" s="91"/>
      <c r="AE45" s="91"/>
      <c r="AF45" s="91"/>
    </row>
    <row r="46" spans="1:32" ht="21.25" customHeight="1" x14ac:dyDescent="0.15">
      <c r="A46" s="24"/>
      <c r="B46" s="100" t="str" cm="1">
        <f t="array" ref="B46">IFERROR(VLOOKUP($A46,'The List'!$B1:$AS671,3,FALSE)," ")</f>
        <v xml:space="preserve"> </v>
      </c>
      <c r="C46" s="102" t="str" cm="1">
        <f t="array" ref="C46">IFERROR(VLOOKUP($A46,'The List'!$B1:$AS671,4,FALSE)," ")</f>
        <v xml:space="preserve"> </v>
      </c>
      <c r="D46" s="18" t="str" cm="1">
        <f t="array" ref="D46">IFERROR(VLOOKUP($A46,'The List'!$B1:$AS671,5,FALSE)," ")</f>
        <v xml:space="preserve"> </v>
      </c>
      <c r="E46" s="18" t="str" cm="1">
        <f t="array" ref="E46">IFERROR(VLOOKUP($A46,'The List'!$B1:$AS671,6,FALSE)," ")</f>
        <v xml:space="preserve"> </v>
      </c>
      <c r="F46" s="93" t="str" cm="1">
        <f t="array" ref="F46">IFERROR(VLOOKUP($A46,'The List'!$B1:$AS671,8,FALSE)," ")</f>
        <v xml:space="preserve"> </v>
      </c>
      <c r="G46" s="93" t="str" cm="1">
        <f t="array" ref="G46">IFERROR(VLOOKUP($A46,'The List'!$B1:$AS671,10,FALSE)," ")</f>
        <v xml:space="preserve"> </v>
      </c>
      <c r="H46" s="55"/>
      <c r="I46" s="85" t="str" cm="1">
        <f t="array" ref="I46">IFERROR(VLOOKUP($A46,'The List'!$B1:$AS671,16,FALSE)," ")</f>
        <v xml:space="preserve"> </v>
      </c>
      <c r="J46" s="85" t="str" cm="1">
        <f t="array" ref="J46">IFERROR(VLOOKUP($A46,'The List'!$B1:$AS671,17,FALSE)," ")</f>
        <v xml:space="preserve"> </v>
      </c>
      <c r="K46" s="85" t="str" cm="1">
        <f t="array" ref="K46">IFERROR(VLOOKUP($A46,'The List'!$B1:$AS671,18,FALSE)," ")</f>
        <v xml:space="preserve"> </v>
      </c>
      <c r="L46" s="85" t="str" cm="1">
        <f t="array" ref="L46">IFERROR(VLOOKUP($A46,'The List'!$B1:$AS671,19,FALSE)," ")</f>
        <v xml:space="preserve"> </v>
      </c>
      <c r="M46" s="85" t="str" cm="1">
        <f t="array" ref="M46">IFERROR(VLOOKUP($A46,'The List'!$B1:$AS671,20,FALSE)," ")</f>
        <v xml:space="preserve"> </v>
      </c>
      <c r="N46" s="85" t="str" cm="1">
        <f t="array" ref="N46">IFERROR(VLOOKUP($A46,'The List'!$B1:$AS671,21,FALSE)," ")</f>
        <v xml:space="preserve"> </v>
      </c>
      <c r="O46" s="85" t="str" cm="1">
        <f t="array" ref="O46">IFERROR(VLOOKUP($A46,'The List'!$B1:$AS671,22,FALSE)," ")</f>
        <v xml:space="preserve"> </v>
      </c>
      <c r="P46" s="85" t="str" cm="1">
        <f t="array" ref="P46">IFERROR(VLOOKUP($A46,'The List'!$B1:$AS671,23,FALSE)," ")</f>
        <v xml:space="preserve"> </v>
      </c>
      <c r="Q46" s="85" t="str" cm="1">
        <f t="array" ref="Q46">IFERROR(VLOOKUP($A46,'The List'!$B1:$AS671,24,FALSE)," ")</f>
        <v xml:space="preserve"> </v>
      </c>
      <c r="R46" s="85" t="str" cm="1">
        <f t="array" ref="R46">IFERROR(VLOOKUP($A46,'The List'!$B1:$AS671,25,FALSE)," ")</f>
        <v xml:space="preserve"> </v>
      </c>
      <c r="S46" s="85" t="str" cm="1">
        <f t="array" ref="S46">IFERROR(VLOOKUP($A46,'The List'!$B1:$AS671,26,FALSE)," ")</f>
        <v xml:space="preserve"> </v>
      </c>
      <c r="T46" s="85" t="str" cm="1">
        <f t="array" ref="T46">IFERROR(VLOOKUP($A46,'The List'!$B1:$AS671,27,FALSE)," ")</f>
        <v xml:space="preserve"> </v>
      </c>
      <c r="U46" s="85" t="str" cm="1">
        <f t="array" ref="U46">IFERROR(VLOOKUP($A46,'The List'!$B1:$AS671,28,FALSE)," ")</f>
        <v xml:space="preserve"> </v>
      </c>
      <c r="V46" s="85" t="str" cm="1">
        <f t="array" ref="V46">IFERROR(VLOOKUP($A46,'The List'!$B1:$AS671,29,FALSE)," ")</f>
        <v xml:space="preserve"> </v>
      </c>
      <c r="W46" s="85" t="str" cm="1">
        <f t="array" ref="W46">IFERROR(VLOOKUP($A46,'The List'!$B1:$AS671,30,FALSE)," ")</f>
        <v xml:space="preserve"> </v>
      </c>
      <c r="X46" s="85" t="str" cm="1">
        <f t="array" ref="X46">IFERROR(VLOOKUP($A46,'The List'!$B1:$AS671,31,FALSE)," ")</f>
        <v xml:space="preserve"> </v>
      </c>
      <c r="Y46" s="85" t="str" cm="1">
        <f t="array" ref="Y46">IFERROR(VLOOKUP($A46,'The List'!$B1:$AS671,32,FALSE)," ")</f>
        <v xml:space="preserve"> </v>
      </c>
      <c r="Z46" s="85" t="str" cm="1">
        <f t="array" ref="Z46">IFERROR(VLOOKUP($A46,'The List'!$B1:$AS671,33,FALSE)," ")</f>
        <v xml:space="preserve"> </v>
      </c>
      <c r="AA46" s="86"/>
      <c r="AB46" s="91"/>
      <c r="AC46" s="91"/>
      <c r="AD46" s="91"/>
      <c r="AE46" s="91"/>
      <c r="AF46" s="91"/>
    </row>
    <row r="47" spans="1:32" ht="21.25" customHeight="1" x14ac:dyDescent="0.15">
      <c r="A47" s="24"/>
      <c r="B47" s="100" t="str" cm="1">
        <f t="array" ref="B47">IFERROR(VLOOKUP($A47,'The List'!$B1:$AS671,3,FALSE)," ")</f>
        <v xml:space="preserve"> </v>
      </c>
      <c r="C47" s="102" t="str" cm="1">
        <f t="array" ref="C47">IFERROR(VLOOKUP($A47,'The List'!$B1:$AS671,4,FALSE)," ")</f>
        <v xml:space="preserve"> </v>
      </c>
      <c r="D47" s="18" t="str" cm="1">
        <f t="array" ref="D47">IFERROR(VLOOKUP($A47,'The List'!$B1:$AS671,5,FALSE)," ")</f>
        <v xml:space="preserve"> </v>
      </c>
      <c r="E47" s="18" t="str" cm="1">
        <f t="array" ref="E47">IFERROR(VLOOKUP($A47,'The List'!$B1:$AS671,6,FALSE)," ")</f>
        <v xml:space="preserve"> </v>
      </c>
      <c r="F47" s="93" t="str" cm="1">
        <f t="array" ref="F47">IFERROR(VLOOKUP($A47,'The List'!$B1:$AS671,8,FALSE)," ")</f>
        <v xml:space="preserve"> </v>
      </c>
      <c r="G47" s="93" t="str" cm="1">
        <f t="array" ref="G47">IFERROR(VLOOKUP($A47,'The List'!$B1:$AS671,10,FALSE)," ")</f>
        <v xml:space="preserve"> </v>
      </c>
      <c r="H47" s="55"/>
      <c r="I47" s="85" t="str" cm="1">
        <f t="array" ref="I47">IFERROR(VLOOKUP($A47,'The List'!$B1:$AS671,16,FALSE)," ")</f>
        <v xml:space="preserve"> </v>
      </c>
      <c r="J47" s="85" t="str" cm="1">
        <f t="array" ref="J47">IFERROR(VLOOKUP($A47,'The List'!$B1:$AS671,17,FALSE)," ")</f>
        <v xml:space="preserve"> </v>
      </c>
      <c r="K47" s="85" t="str" cm="1">
        <f t="array" ref="K47">IFERROR(VLOOKUP($A47,'The List'!$B1:$AS671,18,FALSE)," ")</f>
        <v xml:space="preserve"> </v>
      </c>
      <c r="L47" s="85" t="str" cm="1">
        <f t="array" ref="L47">IFERROR(VLOOKUP($A47,'The List'!$B1:$AS671,19,FALSE)," ")</f>
        <v xml:space="preserve"> </v>
      </c>
      <c r="M47" s="85" t="str" cm="1">
        <f t="array" ref="M47">IFERROR(VLOOKUP($A47,'The List'!$B1:$AS671,20,FALSE)," ")</f>
        <v xml:space="preserve"> </v>
      </c>
      <c r="N47" s="85" t="str" cm="1">
        <f t="array" ref="N47">IFERROR(VLOOKUP($A47,'The List'!$B1:$AS671,21,FALSE)," ")</f>
        <v xml:space="preserve"> </v>
      </c>
      <c r="O47" s="85" t="str" cm="1">
        <f t="array" ref="O47">IFERROR(VLOOKUP($A47,'The List'!$B1:$AS671,22,FALSE)," ")</f>
        <v xml:space="preserve"> </v>
      </c>
      <c r="P47" s="85" t="str" cm="1">
        <f t="array" ref="P47">IFERROR(VLOOKUP($A47,'The List'!$B1:$AS671,23,FALSE)," ")</f>
        <v xml:space="preserve"> </v>
      </c>
      <c r="Q47" s="85" t="str" cm="1">
        <f t="array" ref="Q47">IFERROR(VLOOKUP($A47,'The List'!$B1:$AS671,24,FALSE)," ")</f>
        <v xml:space="preserve"> </v>
      </c>
      <c r="R47" s="85" t="str" cm="1">
        <f t="array" ref="R47">IFERROR(VLOOKUP($A47,'The List'!$B1:$AS671,25,FALSE)," ")</f>
        <v xml:space="preserve"> </v>
      </c>
      <c r="S47" s="85" t="str" cm="1">
        <f t="array" ref="S47">IFERROR(VLOOKUP($A47,'The List'!$B1:$AS671,26,FALSE)," ")</f>
        <v xml:space="preserve"> </v>
      </c>
      <c r="T47" s="85" t="str" cm="1">
        <f t="array" ref="T47">IFERROR(VLOOKUP($A47,'The List'!$B1:$AS671,27,FALSE)," ")</f>
        <v xml:space="preserve"> </v>
      </c>
      <c r="U47" s="85" t="str" cm="1">
        <f t="array" ref="U47">IFERROR(VLOOKUP($A47,'The List'!$B1:$AS671,28,FALSE)," ")</f>
        <v xml:space="preserve"> </v>
      </c>
      <c r="V47" s="85" t="str" cm="1">
        <f t="array" ref="V47">IFERROR(VLOOKUP($A47,'The List'!$B1:$AS671,29,FALSE)," ")</f>
        <v xml:space="preserve"> </v>
      </c>
      <c r="W47" s="85" t="str" cm="1">
        <f t="array" ref="W47">IFERROR(VLOOKUP($A47,'The List'!$B1:$AS671,30,FALSE)," ")</f>
        <v xml:space="preserve"> </v>
      </c>
      <c r="X47" s="85" t="str" cm="1">
        <f t="array" ref="X47">IFERROR(VLOOKUP($A47,'The List'!$B1:$AS671,31,FALSE)," ")</f>
        <v xml:space="preserve"> </v>
      </c>
      <c r="Y47" s="85" t="str" cm="1">
        <f t="array" ref="Y47">IFERROR(VLOOKUP($A47,'The List'!$B1:$AS671,32,FALSE)," ")</f>
        <v xml:space="preserve"> </v>
      </c>
      <c r="Z47" s="85" t="str" cm="1">
        <f t="array" ref="Z47">IFERROR(VLOOKUP($A47,'The List'!$B1:$AS671,33,FALSE)," ")</f>
        <v xml:space="preserve"> </v>
      </c>
      <c r="AA47" s="86"/>
      <c r="AB47" s="91"/>
      <c r="AC47" s="91"/>
      <c r="AD47" s="91"/>
      <c r="AE47" s="91"/>
      <c r="AF47" s="91"/>
    </row>
    <row r="48" spans="1:32" ht="21.25" customHeight="1" x14ac:dyDescent="0.15">
      <c r="A48" s="24"/>
      <c r="B48" s="100" t="str" cm="1">
        <f t="array" ref="B48">IFERROR(VLOOKUP($A48,'The List'!$B1:$AS671,3,FALSE)," ")</f>
        <v xml:space="preserve"> </v>
      </c>
      <c r="C48" s="102" t="str" cm="1">
        <f t="array" ref="C48">IFERROR(VLOOKUP($A48,'The List'!$B1:$AS671,4,FALSE)," ")</f>
        <v xml:space="preserve"> </v>
      </c>
      <c r="D48" s="18" t="str" cm="1">
        <f t="array" ref="D48">IFERROR(VLOOKUP($A48,'The List'!$B1:$AS671,5,FALSE)," ")</f>
        <v xml:space="preserve"> </v>
      </c>
      <c r="E48" s="18" t="str" cm="1">
        <f t="array" ref="E48">IFERROR(VLOOKUP($A48,'The List'!$B1:$AS671,6,FALSE)," ")</f>
        <v xml:space="preserve"> </v>
      </c>
      <c r="F48" s="93" t="str" cm="1">
        <f t="array" ref="F48">IFERROR(VLOOKUP($A48,'The List'!$B1:$AS671,8,FALSE)," ")</f>
        <v xml:space="preserve"> </v>
      </c>
      <c r="G48" s="93" t="str" cm="1">
        <f t="array" ref="G48">IFERROR(VLOOKUP($A48,'The List'!$B1:$AS671,10,FALSE)," ")</f>
        <v xml:space="preserve"> </v>
      </c>
      <c r="H48" s="55"/>
      <c r="I48" s="85" t="str" cm="1">
        <f t="array" ref="I48">IFERROR(VLOOKUP($A48,'The List'!$B1:$AS671,16,FALSE)," ")</f>
        <v xml:space="preserve"> </v>
      </c>
      <c r="J48" s="85" t="str" cm="1">
        <f t="array" ref="J48">IFERROR(VLOOKUP($A48,'The List'!$B1:$AS671,17,FALSE)," ")</f>
        <v xml:space="preserve"> </v>
      </c>
      <c r="K48" s="85" t="str" cm="1">
        <f t="array" ref="K48">IFERROR(VLOOKUP($A48,'The List'!$B1:$AS671,18,FALSE)," ")</f>
        <v xml:space="preserve"> </v>
      </c>
      <c r="L48" s="85" t="str" cm="1">
        <f t="array" ref="L48">IFERROR(VLOOKUP($A48,'The List'!$B1:$AS671,19,FALSE)," ")</f>
        <v xml:space="preserve"> </v>
      </c>
      <c r="M48" s="85" t="str" cm="1">
        <f t="array" ref="M48">IFERROR(VLOOKUP($A48,'The List'!$B1:$AS671,20,FALSE)," ")</f>
        <v xml:space="preserve"> </v>
      </c>
      <c r="N48" s="85" t="str" cm="1">
        <f t="array" ref="N48">IFERROR(VLOOKUP($A48,'The List'!$B1:$AS671,21,FALSE)," ")</f>
        <v xml:space="preserve"> </v>
      </c>
      <c r="O48" s="85" t="str" cm="1">
        <f t="array" ref="O48">IFERROR(VLOOKUP($A48,'The List'!$B1:$AS671,22,FALSE)," ")</f>
        <v xml:space="preserve"> </v>
      </c>
      <c r="P48" s="85" t="str" cm="1">
        <f t="array" ref="P48">IFERROR(VLOOKUP($A48,'The List'!$B1:$AS671,23,FALSE)," ")</f>
        <v xml:space="preserve"> </v>
      </c>
      <c r="Q48" s="85" t="str" cm="1">
        <f t="array" ref="Q48">IFERROR(VLOOKUP($A48,'The List'!$B1:$AS671,24,FALSE)," ")</f>
        <v xml:space="preserve"> </v>
      </c>
      <c r="R48" s="85" t="str" cm="1">
        <f t="array" ref="R48">IFERROR(VLOOKUP($A48,'The List'!$B1:$AS671,25,FALSE)," ")</f>
        <v xml:space="preserve"> </v>
      </c>
      <c r="S48" s="85" t="str" cm="1">
        <f t="array" ref="S48">IFERROR(VLOOKUP($A48,'The List'!$B1:$AS671,26,FALSE)," ")</f>
        <v xml:space="preserve"> </v>
      </c>
      <c r="T48" s="85" t="str" cm="1">
        <f t="array" ref="T48">IFERROR(VLOOKUP($A48,'The List'!$B1:$AS671,27,FALSE)," ")</f>
        <v xml:space="preserve"> </v>
      </c>
      <c r="U48" s="85" t="str" cm="1">
        <f t="array" ref="U48">IFERROR(VLOOKUP($A48,'The List'!$B1:$AS671,28,FALSE)," ")</f>
        <v xml:space="preserve"> </v>
      </c>
      <c r="V48" s="85" t="str" cm="1">
        <f t="array" ref="V48">IFERROR(VLOOKUP($A48,'The List'!$B1:$AS671,29,FALSE)," ")</f>
        <v xml:space="preserve"> </v>
      </c>
      <c r="W48" s="85" t="str" cm="1">
        <f t="array" ref="W48">IFERROR(VLOOKUP($A48,'The List'!$B1:$AS671,30,FALSE)," ")</f>
        <v xml:space="preserve"> </v>
      </c>
      <c r="X48" s="85" t="str" cm="1">
        <f t="array" ref="X48">IFERROR(VLOOKUP($A48,'The List'!$B1:$AS671,31,FALSE)," ")</f>
        <v xml:space="preserve"> </v>
      </c>
      <c r="Y48" s="85" t="str" cm="1">
        <f t="array" ref="Y48">IFERROR(VLOOKUP($A48,'The List'!$B1:$AS671,32,FALSE)," ")</f>
        <v xml:space="preserve"> </v>
      </c>
      <c r="Z48" s="85" t="str" cm="1">
        <f t="array" ref="Z48">IFERROR(VLOOKUP($A48,'The List'!$B1:$AS671,33,FALSE)," ")</f>
        <v xml:space="preserve"> </v>
      </c>
      <c r="AA48" s="86"/>
      <c r="AB48" s="91"/>
      <c r="AC48" s="91"/>
      <c r="AD48" s="91"/>
      <c r="AE48" s="91"/>
      <c r="AF48" s="91"/>
    </row>
    <row r="49" spans="1:32" ht="21.25" customHeight="1" x14ac:dyDescent="0.15">
      <c r="A49" s="24"/>
      <c r="B49" s="100" t="str" cm="1">
        <f t="array" ref="B49">IFERROR(VLOOKUP($A49,'The List'!$B1:$AS671,3,FALSE)," ")</f>
        <v xml:space="preserve"> </v>
      </c>
      <c r="C49" s="102" t="str" cm="1">
        <f t="array" ref="C49">IFERROR(VLOOKUP($A49,'The List'!$B1:$AS671,4,FALSE)," ")</f>
        <v xml:space="preserve"> </v>
      </c>
      <c r="D49" s="18" t="str" cm="1">
        <f t="array" ref="D49">IFERROR(VLOOKUP($A49,'The List'!$B1:$AS671,5,FALSE)," ")</f>
        <v xml:space="preserve"> </v>
      </c>
      <c r="E49" s="18" t="str" cm="1">
        <f t="array" ref="E49">IFERROR(VLOOKUP($A49,'The List'!$B1:$AS671,6,FALSE)," ")</f>
        <v xml:space="preserve"> </v>
      </c>
      <c r="F49" s="93" t="str" cm="1">
        <f t="array" ref="F49">IFERROR(VLOOKUP($A49,'The List'!$B1:$AS671,8,FALSE)," ")</f>
        <v xml:space="preserve"> </v>
      </c>
      <c r="G49" s="93" t="str" cm="1">
        <f t="array" ref="G49">IFERROR(VLOOKUP($A49,'The List'!$B1:$AS671,10,FALSE)," ")</f>
        <v xml:space="preserve"> </v>
      </c>
      <c r="H49" s="55"/>
      <c r="I49" s="85" t="str" cm="1">
        <f t="array" ref="I49">IFERROR(VLOOKUP($A49,'The List'!$B1:$AS671,16,FALSE)," ")</f>
        <v xml:space="preserve"> </v>
      </c>
      <c r="J49" s="85" t="str" cm="1">
        <f t="array" ref="J49">IFERROR(VLOOKUP($A49,'The List'!$B1:$AS671,17,FALSE)," ")</f>
        <v xml:space="preserve"> </v>
      </c>
      <c r="K49" s="85" t="str" cm="1">
        <f t="array" ref="K49">IFERROR(VLOOKUP($A49,'The List'!$B1:$AS671,18,FALSE)," ")</f>
        <v xml:space="preserve"> </v>
      </c>
      <c r="L49" s="85" t="str" cm="1">
        <f t="array" ref="L49">IFERROR(VLOOKUP($A49,'The List'!$B1:$AS671,19,FALSE)," ")</f>
        <v xml:space="preserve"> </v>
      </c>
      <c r="M49" s="85" t="str" cm="1">
        <f t="array" ref="M49">IFERROR(VLOOKUP($A49,'The List'!$B1:$AS671,20,FALSE)," ")</f>
        <v xml:space="preserve"> </v>
      </c>
      <c r="N49" s="85" t="str" cm="1">
        <f t="array" ref="N49">IFERROR(VLOOKUP($A49,'The List'!$B1:$AS671,21,FALSE)," ")</f>
        <v xml:space="preserve"> </v>
      </c>
      <c r="O49" s="85" t="str" cm="1">
        <f t="array" ref="O49">IFERROR(VLOOKUP($A49,'The List'!$B1:$AS671,22,FALSE)," ")</f>
        <v xml:space="preserve"> </v>
      </c>
      <c r="P49" s="85" t="str" cm="1">
        <f t="array" ref="P49">IFERROR(VLOOKUP($A49,'The List'!$B1:$AS671,23,FALSE)," ")</f>
        <v xml:space="preserve"> </v>
      </c>
      <c r="Q49" s="85" t="str" cm="1">
        <f t="array" ref="Q49">IFERROR(VLOOKUP($A49,'The List'!$B1:$AS671,24,FALSE)," ")</f>
        <v xml:space="preserve"> </v>
      </c>
      <c r="R49" s="85" t="str" cm="1">
        <f t="array" ref="R49">IFERROR(VLOOKUP($A49,'The List'!$B1:$AS671,25,FALSE)," ")</f>
        <v xml:space="preserve"> </v>
      </c>
      <c r="S49" s="85" t="str" cm="1">
        <f t="array" ref="S49">IFERROR(VLOOKUP($A49,'The List'!$B1:$AS671,26,FALSE)," ")</f>
        <v xml:space="preserve"> </v>
      </c>
      <c r="T49" s="85" t="str" cm="1">
        <f t="array" ref="T49">IFERROR(VLOOKUP($A49,'The List'!$B1:$AS671,27,FALSE)," ")</f>
        <v xml:space="preserve"> </v>
      </c>
      <c r="U49" s="85" t="str" cm="1">
        <f t="array" ref="U49">IFERROR(VLOOKUP($A49,'The List'!$B1:$AS671,28,FALSE)," ")</f>
        <v xml:space="preserve"> </v>
      </c>
      <c r="V49" s="85" t="str" cm="1">
        <f t="array" ref="V49">IFERROR(VLOOKUP($A49,'The List'!$B1:$AS671,29,FALSE)," ")</f>
        <v xml:space="preserve"> </v>
      </c>
      <c r="W49" s="85" t="str" cm="1">
        <f t="array" ref="W49">IFERROR(VLOOKUP($A49,'The List'!$B1:$AS671,30,FALSE)," ")</f>
        <v xml:space="preserve"> </v>
      </c>
      <c r="X49" s="85" t="str" cm="1">
        <f t="array" ref="X49">IFERROR(VLOOKUP($A49,'The List'!$B1:$AS671,31,FALSE)," ")</f>
        <v xml:space="preserve"> </v>
      </c>
      <c r="Y49" s="85" t="str" cm="1">
        <f t="array" ref="Y49">IFERROR(VLOOKUP($A49,'The List'!$B1:$AS671,32,FALSE)," ")</f>
        <v xml:space="preserve"> </v>
      </c>
      <c r="Z49" s="85" t="str" cm="1">
        <f t="array" ref="Z49">IFERROR(VLOOKUP($A49,'The List'!$B1:$AS671,33,FALSE)," ")</f>
        <v xml:space="preserve"> </v>
      </c>
      <c r="AA49" s="86"/>
      <c r="AB49" s="91"/>
      <c r="AC49" s="91"/>
      <c r="AD49" s="91"/>
      <c r="AE49" s="91"/>
      <c r="AF49" s="91"/>
    </row>
    <row r="50" spans="1:32" ht="21.25" customHeight="1" x14ac:dyDescent="0.15">
      <c r="A50" s="104"/>
      <c r="B50" s="105" t="str" cm="1">
        <f t="array" ref="B50">IFERROR(VLOOKUP($A50,'The List'!$B1:$AS671,3,FALSE)," ")</f>
        <v xml:space="preserve"> </v>
      </c>
      <c r="C50" s="106" t="str" cm="1">
        <f t="array" ref="C50">IFERROR(VLOOKUP($A50,'The List'!$B1:$AS671,4,FALSE)," ")</f>
        <v xml:space="preserve"> </v>
      </c>
      <c r="D50" s="107" t="str" cm="1">
        <f t="array" ref="D50">IFERROR(VLOOKUP($A50,'The List'!$B1:$AS671,5,FALSE)," ")</f>
        <v xml:space="preserve"> </v>
      </c>
      <c r="E50" s="107" t="str" cm="1">
        <f t="array" ref="E50">IFERROR(VLOOKUP($A50,'The List'!$B1:$AS671,6,FALSE)," ")</f>
        <v xml:space="preserve"> </v>
      </c>
      <c r="F50" s="108" t="str" cm="1">
        <f t="array" ref="F50">IFERROR(VLOOKUP($A50,'The List'!$B1:$AS671,8,FALSE)," ")</f>
        <v xml:space="preserve"> </v>
      </c>
      <c r="G50" s="108" t="str" cm="1">
        <f t="array" ref="G50">IFERROR(VLOOKUP($A50,'The List'!$B1:$AS671,10,FALSE)," ")</f>
        <v xml:space="preserve"> </v>
      </c>
      <c r="H50" s="109"/>
      <c r="I50" s="110" t="str" cm="1">
        <f t="array" ref="I50">IFERROR(VLOOKUP($A50,'The List'!$B1:$AS671,16,FALSE)," ")</f>
        <v xml:space="preserve"> </v>
      </c>
      <c r="J50" s="110" t="str" cm="1">
        <f t="array" ref="J50">IFERROR(VLOOKUP($A50,'The List'!$B1:$AS671,17,FALSE)," ")</f>
        <v xml:space="preserve"> </v>
      </c>
      <c r="K50" s="110" t="str" cm="1">
        <f t="array" ref="K50">IFERROR(VLOOKUP($A50,'The List'!$B1:$AS671,18,FALSE)," ")</f>
        <v xml:space="preserve"> </v>
      </c>
      <c r="L50" s="110" t="str" cm="1">
        <f t="array" ref="L50">IFERROR(VLOOKUP($A50,'The List'!$B1:$AS671,19,FALSE)," ")</f>
        <v xml:space="preserve"> </v>
      </c>
      <c r="M50" s="110" t="str" cm="1">
        <f t="array" ref="M50">IFERROR(VLOOKUP($A50,'The List'!$B1:$AS671,20,FALSE)," ")</f>
        <v xml:space="preserve"> </v>
      </c>
      <c r="N50" s="110" t="str" cm="1">
        <f t="array" ref="N50">IFERROR(VLOOKUP($A50,'The List'!$B1:$AS671,21,FALSE)," ")</f>
        <v xml:space="preserve"> </v>
      </c>
      <c r="O50" s="110" t="str" cm="1">
        <f t="array" ref="O50">IFERROR(VLOOKUP($A50,'The List'!$B1:$AS671,22,FALSE)," ")</f>
        <v xml:space="preserve"> </v>
      </c>
      <c r="P50" s="110" t="str" cm="1">
        <f t="array" ref="P50">IFERROR(VLOOKUP($A50,'The List'!$B1:$AS671,23,FALSE)," ")</f>
        <v xml:space="preserve"> </v>
      </c>
      <c r="Q50" s="110" t="str" cm="1">
        <f t="array" ref="Q50">IFERROR(VLOOKUP($A50,'The List'!$B1:$AS671,24,FALSE)," ")</f>
        <v xml:space="preserve"> </v>
      </c>
      <c r="R50" s="110" t="str" cm="1">
        <f t="array" ref="R50">IFERROR(VLOOKUP($A50,'The List'!$B1:$AS671,25,FALSE)," ")</f>
        <v xml:space="preserve"> </v>
      </c>
      <c r="S50" s="110" t="str" cm="1">
        <f t="array" ref="S50">IFERROR(VLOOKUP($A50,'The List'!$B1:$AS671,26,FALSE)," ")</f>
        <v xml:space="preserve"> </v>
      </c>
      <c r="T50" s="110" t="str" cm="1">
        <f t="array" ref="T50">IFERROR(VLOOKUP($A50,'The List'!$B1:$AS671,27,FALSE)," ")</f>
        <v xml:space="preserve"> </v>
      </c>
      <c r="U50" s="110" t="str" cm="1">
        <f t="array" ref="U50">IFERROR(VLOOKUP($A50,'The List'!$B1:$AS671,28,FALSE)," ")</f>
        <v xml:space="preserve"> </v>
      </c>
      <c r="V50" s="110" t="str" cm="1">
        <f t="array" ref="V50">IFERROR(VLOOKUP($A50,'The List'!$B1:$AS671,29,FALSE)," ")</f>
        <v xml:space="preserve"> </v>
      </c>
      <c r="W50" s="110" t="str" cm="1">
        <f t="array" ref="W50">IFERROR(VLOOKUP($A50,'The List'!$B1:$AS671,30,FALSE)," ")</f>
        <v xml:space="preserve"> </v>
      </c>
      <c r="X50" s="110" t="str" cm="1">
        <f t="array" ref="X50">IFERROR(VLOOKUP($A50,'The List'!$B1:$AS671,31,FALSE)," ")</f>
        <v xml:space="preserve"> </v>
      </c>
      <c r="Y50" s="110" t="str" cm="1">
        <f t="array" ref="Y50">IFERROR(VLOOKUP($A50,'The List'!$B1:$AS671,32,FALSE)," ")</f>
        <v xml:space="preserve"> </v>
      </c>
      <c r="Z50" s="110" t="str" cm="1">
        <f t="array" ref="Z50">IFERROR(VLOOKUP($A50,'The List'!$B1:$AS671,33,FALSE)," ")</f>
        <v xml:space="preserve"> </v>
      </c>
      <c r="AA50" s="86"/>
      <c r="AB50" s="91"/>
      <c r="AC50" s="91"/>
      <c r="AD50" s="91"/>
      <c r="AE50" s="91"/>
      <c r="AF50" s="91"/>
    </row>
    <row r="51" spans="1:32" ht="21.25" customHeight="1" x14ac:dyDescent="0.15">
      <c r="A51" s="111"/>
      <c r="B51" s="112"/>
      <c r="C51" s="113"/>
      <c r="D51" s="114"/>
      <c r="E51" s="114" t="str" cm="1">
        <f t="array" ref="E51">IFERROR(AVERAGE(E31:E50)," ")</f>
        <v xml:space="preserve"> </v>
      </c>
      <c r="F51" s="116" cm="1">
        <f t="array" ref="F51">SUM(F31:F50)</f>
        <v>0</v>
      </c>
      <c r="G51" s="116" cm="1">
        <f t="array" ref="G51">SUM(G31:G50)</f>
        <v>0</v>
      </c>
      <c r="H51" s="117"/>
      <c r="I51" s="118" cm="1">
        <f t="array" ref="I51">SUM(I31:I50)</f>
        <v>0</v>
      </c>
      <c r="J51" s="117" t="e" cm="1">
        <f t="array" ref="J51">AVERAGE(J31:J50)</f>
        <v>#DIV/0!</v>
      </c>
      <c r="K51" s="118" cm="1">
        <f t="array" ref="K51">SUM(K31:K50)</f>
        <v>0</v>
      </c>
      <c r="L51" s="118" cm="1">
        <f t="array" ref="L51">SUM(L31:L50)</f>
        <v>0</v>
      </c>
      <c r="M51" s="118" cm="1">
        <f t="array" ref="M51">SUM(M31:M50)</f>
        <v>0</v>
      </c>
      <c r="N51" s="118" cm="1">
        <f t="array" ref="N51">SUM(N31:N50)</f>
        <v>0</v>
      </c>
      <c r="O51" s="118" cm="1">
        <f t="array" ref="O51">SUM(O31:O50)</f>
        <v>0</v>
      </c>
      <c r="P51" s="118" cm="1">
        <f t="array" ref="P51">SUM(P31:P50)</f>
        <v>0</v>
      </c>
      <c r="Q51" s="118" cm="1">
        <f t="array" ref="Q51">SUM(Q31:Q50)</f>
        <v>0</v>
      </c>
      <c r="R51" s="118" cm="1">
        <f t="array" ref="R51">SUM(R31:R50)</f>
        <v>0</v>
      </c>
      <c r="S51" s="118" cm="1">
        <f t="array" ref="S51">SUM(S31:S50)</f>
        <v>0</v>
      </c>
      <c r="T51" s="118" cm="1">
        <f t="array" ref="T51">SUM(T31:T50)</f>
        <v>0</v>
      </c>
      <c r="U51" s="118" cm="1">
        <f t="array" ref="U51">SUM(U31:U50)</f>
        <v>0</v>
      </c>
      <c r="V51" s="118" cm="1">
        <f t="array" ref="V51">SUM(V31:V50)</f>
        <v>0</v>
      </c>
      <c r="W51" s="118" cm="1">
        <f t="array" ref="W51">SUM(W31:W50)</f>
        <v>0</v>
      </c>
      <c r="X51" s="118" cm="1">
        <f t="array" ref="X51">SUM(X31:X50)</f>
        <v>0</v>
      </c>
      <c r="Y51" s="118" cm="1">
        <f t="array" ref="Y51">SUM(Y31:Y50)</f>
        <v>0</v>
      </c>
      <c r="Z51" s="119" cm="1">
        <f t="array" ref="Z51">IFERROR(X51/(X51+Y51),0)</f>
        <v>0</v>
      </c>
      <c r="AA51" s="86"/>
      <c r="AB51" s="91"/>
      <c r="AC51" s="120"/>
      <c r="AD51" s="120"/>
      <c r="AE51" s="120"/>
      <c r="AF51" s="120"/>
    </row>
    <row r="52" spans="1:32" ht="21.25" customHeight="1" x14ac:dyDescent="0.15">
      <c r="A52" s="37"/>
      <c r="B52" s="121"/>
      <c r="C52" s="122"/>
      <c r="D52" s="13"/>
      <c r="E52" s="13"/>
      <c r="F52" s="123"/>
      <c r="G52" s="124"/>
      <c r="H52" s="125"/>
      <c r="I52" s="12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91"/>
      <c r="AC52" s="91"/>
      <c r="AD52" s="91"/>
      <c r="AE52" s="91"/>
      <c r="AF52" s="91"/>
    </row>
    <row r="53" spans="1:32" ht="21.25" customHeight="1" x14ac:dyDescent="0.15">
      <c r="A53" s="40" t="s">
        <v>91</v>
      </c>
      <c r="B53" s="205" t="s">
        <v>93</v>
      </c>
      <c r="C53" s="197"/>
      <c r="D53" s="127" t="s">
        <v>94</v>
      </c>
      <c r="E53" s="127" t="s">
        <v>95</v>
      </c>
      <c r="F53" s="128" t="s">
        <v>97</v>
      </c>
      <c r="G53" s="128" t="s">
        <v>99</v>
      </c>
      <c r="H53" s="129"/>
      <c r="I53" s="130" t="s">
        <v>104</v>
      </c>
      <c r="J53" s="130" t="s">
        <v>119</v>
      </c>
      <c r="K53" s="130" t="s">
        <v>120</v>
      </c>
      <c r="L53" s="130" t="s">
        <v>121</v>
      </c>
      <c r="M53" s="130" t="s">
        <v>122</v>
      </c>
      <c r="N53" s="130" t="s">
        <v>123</v>
      </c>
      <c r="O53" s="130" t="s">
        <v>124</v>
      </c>
      <c r="P53" s="130" t="s">
        <v>125</v>
      </c>
      <c r="Q53" s="130" t="s">
        <v>126</v>
      </c>
      <c r="R53" s="86"/>
      <c r="S53" s="86"/>
      <c r="T53" s="86"/>
      <c r="U53" s="205" t="s">
        <v>818</v>
      </c>
      <c r="V53" s="206"/>
      <c r="W53" s="206"/>
      <c r="X53" s="205" t="s">
        <v>819</v>
      </c>
      <c r="Y53" s="206"/>
      <c r="Z53" s="206"/>
      <c r="AA53" s="86"/>
      <c r="AB53" s="91"/>
      <c r="AC53" s="86"/>
      <c r="AD53" s="86"/>
      <c r="AE53" s="86"/>
      <c r="AF53" s="86"/>
    </row>
    <row r="54" spans="1:32" ht="21.25" customHeight="1" x14ac:dyDescent="0.15">
      <c r="A54" s="147"/>
      <c r="B54" s="132" t="str" cm="1">
        <f t="array" ref="B54">IFERROR(VLOOKUP($A54,'The List'!$B1:$AS671,3,FALSE)," ")</f>
        <v xml:space="preserve"> </v>
      </c>
      <c r="C54" s="148" t="str" cm="1">
        <f t="array" ref="C54">IFERROR(VLOOKUP($A54,'The List'!$B1:$AS671,4,FALSE)," ")</f>
        <v xml:space="preserve"> </v>
      </c>
      <c r="D54" s="134" t="str" cm="1">
        <f t="array" ref="D54">IFERROR(VLOOKUP($A54,'The List'!$B1:$AS671,5,FALSE)," ")</f>
        <v xml:space="preserve"> </v>
      </c>
      <c r="E54" s="134" t="str" cm="1">
        <f t="array" ref="E54">IFERROR(VLOOKUP($A54,'The List'!$B1:$AS671,6,FALSE)," ")</f>
        <v xml:space="preserve"> </v>
      </c>
      <c r="F54" s="149" t="str" cm="1">
        <f t="array" ref="F54">IFERROR(VLOOKUP($A54,'The List'!$B1:$AS671,8,FALSE)," ")</f>
        <v xml:space="preserve"> </v>
      </c>
      <c r="G54" s="149" t="str" cm="1">
        <f t="array" ref="G54">IFERROR(VLOOKUP($A54,'The List'!$B1:$AS671,10,FALSE)," ")</f>
        <v xml:space="preserve"> </v>
      </c>
      <c r="H54" s="83"/>
      <c r="I54" s="150" t="str" cm="1">
        <f t="array" ref="I54">IFERROR(VLOOKUP($A54,'The List'!$B1:$AS671,35,FALSE)," ")</f>
        <v xml:space="preserve"> </v>
      </c>
      <c r="J54" s="150" t="str" cm="1">
        <f t="array" ref="J54">IFERROR(VLOOKUP($A54,'The List'!$B1:$AS671,36,FALSE)," ")</f>
        <v xml:space="preserve"> </v>
      </c>
      <c r="K54" s="150" t="str" cm="1">
        <f t="array" ref="K54">IFERROR(VLOOKUP($A54,'The List'!$B1:$AS671,37,FALSE)," ")</f>
        <v xml:space="preserve"> </v>
      </c>
      <c r="L54" s="150" t="str" cm="1">
        <f t="array" ref="L54">IFERROR(VLOOKUP($A54,'The List'!$B1:$AS671,38,FALSE)," ")</f>
        <v xml:space="preserve"> </v>
      </c>
      <c r="M54" s="150" t="str" cm="1">
        <f t="array" ref="M54">IFERROR(VLOOKUP($A54,'The List'!$B1:$AS671,39,FALSE)," ")</f>
        <v xml:space="preserve"> </v>
      </c>
      <c r="N54" s="150" t="str" cm="1">
        <f t="array" ref="N54">IFERROR(VLOOKUP($A54,'The List'!$B1:$AS671,40,FALSE)," ")</f>
        <v xml:space="preserve"> </v>
      </c>
      <c r="O54" s="150" t="str" cm="1">
        <f t="array" ref="O54">IFERROR(VLOOKUP($A54,'The List'!$B1:$AS671,41,FALSE)," ")</f>
        <v xml:space="preserve"> </v>
      </c>
      <c r="P54" s="150" t="str" cm="1">
        <f t="array" ref="P54">IFERROR(VLOOKUP($A54,'The List'!$B1:$AS671,42,FALSE)," ")</f>
        <v xml:space="preserve"> </v>
      </c>
      <c r="Q54" s="150" t="str" cm="1">
        <f t="array" ref="Q54">IFERROR(VLOOKUP($A54,'The List'!$B1:$AS671,43,FALSE)," ")</f>
        <v xml:space="preserve"> </v>
      </c>
      <c r="R54" s="86"/>
      <c r="S54" s="86"/>
      <c r="T54" s="140" t="str" cm="1">
        <f t="array" ref="T54">A30</f>
        <v>TEAM 2</v>
      </c>
      <c r="U54" s="207" cm="1">
        <f t="array" ref="U54">F51+F57</f>
        <v>0</v>
      </c>
      <c r="V54" s="197"/>
      <c r="W54" s="197"/>
      <c r="X54" s="207" cm="1">
        <f t="array" ref="X54">G57+G51</f>
        <v>0</v>
      </c>
      <c r="Y54" s="197"/>
      <c r="Z54" s="197"/>
      <c r="AA54" s="86"/>
      <c r="AB54" s="91"/>
      <c r="AC54" s="86"/>
      <c r="AD54" s="86"/>
      <c r="AE54" s="86"/>
      <c r="AF54" s="86"/>
    </row>
    <row r="55" spans="1:32" ht="21.25" customHeight="1" x14ac:dyDescent="0.15">
      <c r="A55" s="24"/>
      <c r="B55" s="141" t="str" cm="1">
        <f t="array" ref="B55">IFERROR(VLOOKUP($A55,'The List'!$B1:$AS671,3,FALSE)," ")</f>
        <v xml:space="preserve"> </v>
      </c>
      <c r="C55" s="142" t="str" cm="1">
        <f t="array" ref="C55">IFERROR(VLOOKUP($A55,'The List'!$B1:$AS671,4,FALSE)," ")</f>
        <v xml:space="preserve"> </v>
      </c>
      <c r="D55" s="18" t="str" cm="1">
        <f t="array" ref="D55">IFERROR(VLOOKUP($A55,'The List'!$B1:$AS671,5,FALSE)," ")</f>
        <v xml:space="preserve"> </v>
      </c>
      <c r="E55" s="18" t="str" cm="1">
        <f t="array" ref="E55">IFERROR(VLOOKUP($A55,'The List'!$B1:$AS671,6,FALSE)," ")</f>
        <v xml:space="preserve"> </v>
      </c>
      <c r="F55" s="93" t="str" cm="1">
        <f t="array" ref="F55">IFERROR(VLOOKUP($A55,'The List'!$B1:$AS671,8,FALSE)," ")</f>
        <v xml:space="preserve"> </v>
      </c>
      <c r="G55" s="93" t="str" cm="1">
        <f t="array" ref="G55">IFERROR(VLOOKUP($A55,'The List'!$B1:$AS671,10,FALSE)," ")</f>
        <v xml:space="preserve"> </v>
      </c>
      <c r="H55" s="55"/>
      <c r="I55" s="85" t="str" cm="1">
        <f t="array" ref="I55">IFERROR(VLOOKUP($A55,'The List'!$B1:$AS671,35,FALSE)," ")</f>
        <v xml:space="preserve"> </v>
      </c>
      <c r="J55" s="85" t="str" cm="1">
        <f t="array" ref="J55">IFERROR(VLOOKUP($A55,'The List'!$B1:$AS671,36,FALSE)," ")</f>
        <v xml:space="preserve"> </v>
      </c>
      <c r="K55" s="85" t="str" cm="1">
        <f t="array" ref="K55">IFERROR(VLOOKUP($A55,'The List'!$B1:$AS671,37,FALSE)," ")</f>
        <v xml:space="preserve"> </v>
      </c>
      <c r="L55" s="85" t="str" cm="1">
        <f t="array" ref="L55">IFERROR(VLOOKUP($A55,'The List'!$B1:$AS671,38,FALSE)," ")</f>
        <v xml:space="preserve"> </v>
      </c>
      <c r="M55" s="85" t="str" cm="1">
        <f t="array" ref="M55">IFERROR(VLOOKUP($A55,'The List'!$B1:$AS671,39,FALSE)," ")</f>
        <v xml:space="preserve"> </v>
      </c>
      <c r="N55" s="85" t="str" cm="1">
        <f t="array" ref="N55">IFERROR(VLOOKUP($A55,'The List'!$B1:$AS671,40,FALSE)," ")</f>
        <v xml:space="preserve"> </v>
      </c>
      <c r="O55" s="85" t="str" cm="1">
        <f t="array" ref="O55">IFERROR(VLOOKUP($A55,'The List'!$B1:$AS671,41,FALSE)," ")</f>
        <v xml:space="preserve"> </v>
      </c>
      <c r="P55" s="85" t="str" cm="1">
        <f t="array" ref="P55">IFERROR(VLOOKUP($A55,'The List'!$B1:$AS671,42,FALSE)," ")</f>
        <v xml:space="preserve"> </v>
      </c>
      <c r="Q55" s="85" t="str" cm="1">
        <f t="array" ref="Q55">IFERROR(VLOOKUP($A55,'The List'!$B1:$AS671,43,FALSE)," ")</f>
        <v xml:space="preserve"> </v>
      </c>
      <c r="R55" s="86"/>
      <c r="S55" s="86"/>
      <c r="T55" s="86"/>
      <c r="U55" s="197"/>
      <c r="V55" s="197"/>
      <c r="W55" s="197"/>
      <c r="X55" s="197"/>
      <c r="Y55" s="197"/>
      <c r="Z55" s="197"/>
      <c r="AA55" s="86"/>
      <c r="AB55" s="91"/>
      <c r="AC55" s="86"/>
      <c r="AD55" s="86"/>
      <c r="AE55" s="86"/>
      <c r="AF55" s="86"/>
    </row>
    <row r="56" spans="1:32" ht="21.25" customHeight="1" x14ac:dyDescent="0.15">
      <c r="A56" s="104"/>
      <c r="B56" s="143" t="str" cm="1">
        <f t="array" ref="B56">IFERROR(VLOOKUP($A56,'The List'!$B1:$AS671,3,FALSE)," ")</f>
        <v xml:space="preserve"> </v>
      </c>
      <c r="C56" s="144" t="str" cm="1">
        <f t="array" ref="C56">IFERROR(VLOOKUP($A56,'The List'!$B1:$AS671,4,FALSE)," ")</f>
        <v xml:space="preserve"> </v>
      </c>
      <c r="D56" s="107" t="str" cm="1">
        <f t="array" ref="D56">IFERROR(VLOOKUP($A56,'The List'!$B1:$AS671,5,FALSE)," ")</f>
        <v xml:space="preserve"> </v>
      </c>
      <c r="E56" s="107" t="str" cm="1">
        <f t="array" ref="E56">IFERROR(VLOOKUP($A56,'The List'!$B1:$AS671,6,FALSE)," ")</f>
        <v xml:space="preserve"> </v>
      </c>
      <c r="F56" s="108" t="str" cm="1">
        <f t="array" ref="F56">IFERROR(VLOOKUP($A56,'The List'!$B1:$AS671,8,FALSE)," ")</f>
        <v xml:space="preserve"> </v>
      </c>
      <c r="G56" s="108" t="str" cm="1">
        <f t="array" ref="G56">IFERROR(VLOOKUP($A56,'The List'!$B1:$AS671,10,FALSE)," ")</f>
        <v xml:space="preserve"> </v>
      </c>
      <c r="H56" s="109"/>
      <c r="I56" s="110" t="str" cm="1">
        <f t="array" ref="I56">IFERROR(VLOOKUP($A56,'The List'!$B1:$AS671,35,FALSE)," ")</f>
        <v xml:space="preserve"> </v>
      </c>
      <c r="J56" s="110" t="str" cm="1">
        <f t="array" ref="J56">IFERROR(VLOOKUP($A56,'The List'!$B1:$AS671,36,FALSE)," ")</f>
        <v xml:space="preserve"> </v>
      </c>
      <c r="K56" s="110" t="str" cm="1">
        <f t="array" ref="K56">IFERROR(VLOOKUP($A56,'The List'!$B1:$AS671,37,FALSE)," ")</f>
        <v xml:space="preserve"> </v>
      </c>
      <c r="L56" s="110" t="str" cm="1">
        <f t="array" ref="L56">IFERROR(VLOOKUP($A56,'The List'!$B1:$AS671,38,FALSE)," ")</f>
        <v xml:space="preserve"> </v>
      </c>
      <c r="M56" s="110" t="str" cm="1">
        <f t="array" ref="M56">IFERROR(VLOOKUP($A56,'The List'!$B1:$AS671,39,FALSE)," ")</f>
        <v xml:space="preserve"> </v>
      </c>
      <c r="N56" s="110" t="str" cm="1">
        <f t="array" ref="N56">IFERROR(VLOOKUP($A56,'The List'!$B1:$AS671,40,FALSE)," ")</f>
        <v xml:space="preserve"> </v>
      </c>
      <c r="O56" s="110" t="str" cm="1">
        <f t="array" ref="O56">IFERROR(VLOOKUP($A56,'The List'!$B1:$AS671,41,FALSE)," ")</f>
        <v xml:space="preserve"> </v>
      </c>
      <c r="P56" s="110" t="str" cm="1">
        <f t="array" ref="P56">IFERROR(VLOOKUP($A56,'The List'!$B1:$AS671,42,FALSE)," ")</f>
        <v xml:space="preserve"> </v>
      </c>
      <c r="Q56" s="110" t="str" cm="1">
        <f t="array" ref="Q56">IFERROR(VLOOKUP($A56,'The List'!$B1:$AS671,43,FALSE)," ")</f>
        <v xml:space="preserve"> </v>
      </c>
      <c r="R56" s="86"/>
      <c r="S56" s="86"/>
      <c r="T56" s="86"/>
      <c r="U56" s="197"/>
      <c r="V56" s="197"/>
      <c r="W56" s="197"/>
      <c r="X56" s="197"/>
      <c r="Y56" s="197"/>
      <c r="Z56" s="197"/>
      <c r="AA56" s="86"/>
      <c r="AB56" s="91"/>
      <c r="AC56" s="86"/>
      <c r="AD56" s="86"/>
      <c r="AE56" s="86"/>
      <c r="AF56" s="86"/>
    </row>
    <row r="57" spans="1:32" ht="21.25" customHeight="1" x14ac:dyDescent="0.15">
      <c r="A57" s="111"/>
      <c r="B57" s="112"/>
      <c r="C57" s="113"/>
      <c r="D57" s="114"/>
      <c r="E57" s="114" t="str" cm="1">
        <f t="array" ref="E57">IFERROR(AVERAGE(E54:E56)," ")</f>
        <v xml:space="preserve"> </v>
      </c>
      <c r="F57" s="116" cm="1">
        <f t="array" ref="F57">SUM(F54:F56)</f>
        <v>0</v>
      </c>
      <c r="G57" s="116" cm="1">
        <f t="array" ref="G57">SUM(G54:G56)</f>
        <v>0</v>
      </c>
      <c r="H57" s="117"/>
      <c r="I57" s="118" cm="1">
        <f t="array" ref="I57">SUM(I54:I56)</f>
        <v>0</v>
      </c>
      <c r="J57" s="117" cm="1">
        <f t="array" ref="J57">SUM(J54:J56)</f>
        <v>0</v>
      </c>
      <c r="K57" s="118" cm="1">
        <f t="array" ref="K57">SUM(K54:K56)</f>
        <v>0</v>
      </c>
      <c r="L57" s="118" cm="1">
        <f t="array" ref="L57">SUM(L54:L56)</f>
        <v>0</v>
      </c>
      <c r="M57" s="118" cm="1">
        <f t="array" ref="M57">SUM(M54:M56)</f>
        <v>0</v>
      </c>
      <c r="N57" s="118" cm="1">
        <f t="array" ref="N57">SUM(N54:N56)</f>
        <v>0</v>
      </c>
      <c r="O57" s="118" cm="1">
        <f t="array" ref="O57">SUM(O54:O56)</f>
        <v>0</v>
      </c>
      <c r="P57" s="145" t="e" cm="1">
        <f t="array" ref="P57">1-(O57/(N57+O57))</f>
        <v>#DIV/0!</v>
      </c>
      <c r="Q57" s="146" t="e" cm="1">
        <f t="array" ref="Q57">O57/I57</f>
        <v>#DIV/0!</v>
      </c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121"/>
      <c r="AC57" s="86"/>
      <c r="AD57" s="86"/>
      <c r="AE57" s="86"/>
      <c r="AF57" s="86"/>
    </row>
    <row r="58" spans="1:32" ht="70.75" customHeight="1" x14ac:dyDescent="0.15">
      <c r="A58" s="37"/>
      <c r="B58" s="121"/>
      <c r="C58" s="122"/>
      <c r="D58" s="13"/>
      <c r="E58" s="13"/>
      <c r="F58" s="123"/>
      <c r="G58" s="124"/>
      <c r="H58" s="125"/>
      <c r="I58" s="12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91"/>
      <c r="AB58" s="91"/>
      <c r="AC58" s="91"/>
      <c r="AD58" s="91"/>
      <c r="AE58" s="91"/>
      <c r="AF58" s="91"/>
    </row>
    <row r="59" spans="1:32" ht="21.25" customHeight="1" x14ac:dyDescent="0.15">
      <c r="A59" s="41" t="s">
        <v>804</v>
      </c>
      <c r="B59" s="194" t="s">
        <v>93</v>
      </c>
      <c r="C59" s="195"/>
      <c r="D59" s="42" t="s">
        <v>94</v>
      </c>
      <c r="E59" s="42" t="s">
        <v>95</v>
      </c>
      <c r="F59" s="43" t="s">
        <v>97</v>
      </c>
      <c r="G59" s="43" t="s">
        <v>99</v>
      </c>
      <c r="H59" s="44"/>
      <c r="I59" s="46" t="s">
        <v>104</v>
      </c>
      <c r="J59" s="46" t="s">
        <v>56</v>
      </c>
      <c r="K59" s="46" t="s">
        <v>105</v>
      </c>
      <c r="L59" s="46" t="s">
        <v>106</v>
      </c>
      <c r="M59" s="46" t="s">
        <v>107</v>
      </c>
      <c r="N59" s="46" t="s">
        <v>108</v>
      </c>
      <c r="O59" s="46" t="s">
        <v>64</v>
      </c>
      <c r="P59" s="46" t="s">
        <v>68</v>
      </c>
      <c r="Q59" s="46" t="s">
        <v>109</v>
      </c>
      <c r="R59" s="46" t="s">
        <v>110</v>
      </c>
      <c r="S59" s="46" t="s">
        <v>111</v>
      </c>
      <c r="T59" s="46" t="s">
        <v>112</v>
      </c>
      <c r="U59" s="46" t="s">
        <v>113</v>
      </c>
      <c r="V59" s="46" t="s">
        <v>114</v>
      </c>
      <c r="W59" s="46" t="s">
        <v>115</v>
      </c>
      <c r="X59" s="46" t="s">
        <v>116</v>
      </c>
      <c r="Y59" s="46" t="s">
        <v>117</v>
      </c>
      <c r="Z59" s="46" t="s">
        <v>118</v>
      </c>
      <c r="AA59" s="86"/>
      <c r="AB59" s="87"/>
      <c r="AC59" s="87"/>
      <c r="AD59" s="87"/>
      <c r="AE59" s="87"/>
      <c r="AF59" s="87"/>
    </row>
    <row r="60" spans="1:32" ht="21.25" customHeight="1" x14ac:dyDescent="0.15">
      <c r="A60" s="24"/>
      <c r="B60" s="88" t="str" cm="1">
        <f t="array" ref="B60">IFERROR(VLOOKUP($A60,'The List'!$B1:$AS671,3,FALSE)," ")</f>
        <v xml:space="preserve"> </v>
      </c>
      <c r="C60" s="92" t="str" cm="1">
        <f t="array" ref="C60">IFERROR(VLOOKUP($A60,'The List'!$B1:$AS671,4,FALSE)," ")</f>
        <v xml:space="preserve"> </v>
      </c>
      <c r="D60" s="18" t="str" cm="1">
        <f t="array" ref="D60">IFERROR(VLOOKUP($A60,'The List'!$B1:$AS671,5,FALSE)," ")</f>
        <v xml:space="preserve"> </v>
      </c>
      <c r="E60" s="18" t="str" cm="1">
        <f t="array" ref="E60">IFERROR(VLOOKUP($A60,'The List'!$B1:$AS671,6,FALSE)," ")</f>
        <v xml:space="preserve"> </v>
      </c>
      <c r="F60" s="93" t="str" cm="1">
        <f t="array" ref="F60">IFERROR(VLOOKUP($A60,'The List'!$B1:$AS671,8,FALSE)," ")</f>
        <v xml:space="preserve"> </v>
      </c>
      <c r="G60" s="93" t="str" cm="1">
        <f t="array" ref="G60">IFERROR(VLOOKUP($A60,'The List'!$B1:$AS671,10,FALSE)," ")</f>
        <v xml:space="preserve"> </v>
      </c>
      <c r="H60" s="55"/>
      <c r="I60" s="85" t="str" cm="1">
        <f t="array" ref="I60">IFERROR(VLOOKUP($A60,'The List'!$B1:$AS671,16,FALSE)," ")</f>
        <v xml:space="preserve"> </v>
      </c>
      <c r="J60" s="85" t="str" cm="1">
        <f t="array" ref="J60">IFERROR(VLOOKUP($A60,'The List'!$B1:$AS671,17,FALSE)," ")</f>
        <v xml:space="preserve"> </v>
      </c>
      <c r="K60" s="85" t="str" cm="1">
        <f t="array" ref="K60">IFERROR(VLOOKUP($A60,'The List'!$B1:$AS671,18,FALSE)," ")</f>
        <v xml:space="preserve"> </v>
      </c>
      <c r="L60" s="85" t="str" cm="1">
        <f t="array" ref="L60">IFERROR(VLOOKUP($A60,'The List'!$B1:$AS671,19,FALSE)," ")</f>
        <v xml:space="preserve"> </v>
      </c>
      <c r="M60" s="85" t="str" cm="1">
        <f t="array" ref="M60">IFERROR(VLOOKUP($A60,'The List'!$B1:$AS671,20,FALSE)," ")</f>
        <v xml:space="preserve"> </v>
      </c>
      <c r="N60" s="85" t="str" cm="1">
        <f t="array" ref="N60">IFERROR(VLOOKUP($A60,'The List'!$B1:$AS671,21,FALSE)," ")</f>
        <v xml:space="preserve"> </v>
      </c>
      <c r="O60" s="85" t="str" cm="1">
        <f t="array" ref="O60">IFERROR(VLOOKUP($A60,'The List'!$B1:$AS671,22,FALSE)," ")</f>
        <v xml:space="preserve"> </v>
      </c>
      <c r="P60" s="85" t="str" cm="1">
        <f t="array" ref="P60">IFERROR(VLOOKUP($A60,'The List'!$B1:$AS671,23,FALSE)," ")</f>
        <v xml:space="preserve"> </v>
      </c>
      <c r="Q60" s="85" t="str" cm="1">
        <f t="array" ref="Q60">IFERROR(VLOOKUP($A60,'The List'!$B1:$AS671,24,FALSE)," ")</f>
        <v xml:space="preserve"> </v>
      </c>
      <c r="R60" s="85" t="str" cm="1">
        <f t="array" ref="R60">IFERROR(VLOOKUP($A60,'The List'!$B1:$AS671,25,FALSE)," ")</f>
        <v xml:space="preserve"> </v>
      </c>
      <c r="S60" s="85" t="str" cm="1">
        <f t="array" ref="S60">IFERROR(VLOOKUP($A60,'The List'!$B1:$AS671,26,FALSE)," ")</f>
        <v xml:space="preserve"> </v>
      </c>
      <c r="T60" s="85" t="str" cm="1">
        <f t="array" ref="T60">IFERROR(VLOOKUP($A60,'The List'!$B1:$AS671,27,FALSE)," ")</f>
        <v xml:space="preserve"> </v>
      </c>
      <c r="U60" s="85" t="str" cm="1">
        <f t="array" ref="U60">IFERROR(VLOOKUP($A60,'The List'!$B1:$AS671,28,FALSE)," ")</f>
        <v xml:space="preserve"> </v>
      </c>
      <c r="V60" s="85" t="str" cm="1">
        <f t="array" ref="V60">IFERROR(VLOOKUP($A60,'The List'!$B1:$AS671,29,FALSE)," ")</f>
        <v xml:space="preserve"> </v>
      </c>
      <c r="W60" s="85" t="str" cm="1">
        <f t="array" ref="W60">IFERROR(VLOOKUP($A60,'The List'!$B1:$AS671,30,FALSE)," ")</f>
        <v xml:space="preserve"> </v>
      </c>
      <c r="X60" s="85" t="str" cm="1">
        <f t="array" ref="X60">IFERROR(VLOOKUP($A60,'The List'!$B1:$AS671,31,FALSE)," ")</f>
        <v xml:space="preserve"> </v>
      </c>
      <c r="Y60" s="85" t="str" cm="1">
        <f t="array" ref="Y60">IFERROR(VLOOKUP($A60,'The List'!$B1:$AS671,32,FALSE)," ")</f>
        <v xml:space="preserve"> </v>
      </c>
      <c r="Z60" s="85" t="str" cm="1">
        <f t="array" ref="Z60">IFERROR(VLOOKUP($A60,'The List'!$B1:$AS671,33,FALSE)," ")</f>
        <v xml:space="preserve"> </v>
      </c>
      <c r="AA60" s="86"/>
      <c r="AB60" s="91"/>
      <c r="AC60" s="91"/>
      <c r="AD60" s="91"/>
      <c r="AE60" s="91"/>
      <c r="AF60" s="91"/>
    </row>
    <row r="61" spans="1:32" ht="21.25" customHeight="1" x14ac:dyDescent="0.15">
      <c r="A61" s="24"/>
      <c r="B61" s="88" t="str" cm="1">
        <f t="array" ref="B61">IFERROR(VLOOKUP($A61,'The List'!$B1:$AS671,3,FALSE)," ")</f>
        <v xml:space="preserve"> </v>
      </c>
      <c r="C61" s="92" t="str" cm="1">
        <f t="array" ref="C61">IFERROR(VLOOKUP($A61,'The List'!$B1:$AS671,4,FALSE)," ")</f>
        <v xml:space="preserve"> </v>
      </c>
      <c r="D61" s="18" t="str" cm="1">
        <f t="array" ref="D61">IFERROR(VLOOKUP($A61,'The List'!$B1:$AS671,5,FALSE)," ")</f>
        <v xml:space="preserve"> </v>
      </c>
      <c r="E61" s="18" t="str" cm="1">
        <f t="array" ref="E61">IFERROR(VLOOKUP($A61,'The List'!$B1:$AS671,6,FALSE)," ")</f>
        <v xml:space="preserve"> </v>
      </c>
      <c r="F61" s="93" t="str" cm="1">
        <f t="array" ref="F61">IFERROR(VLOOKUP($A61,'The List'!$B1:$AS671,8,FALSE)," ")</f>
        <v xml:space="preserve"> </v>
      </c>
      <c r="G61" s="93" t="str" cm="1">
        <f t="array" ref="G61">IFERROR(VLOOKUP($A61,'The List'!$B1:$AS671,10,FALSE)," ")</f>
        <v xml:space="preserve"> </v>
      </c>
      <c r="H61" s="55"/>
      <c r="I61" s="85" t="str" cm="1">
        <f t="array" ref="I61">IFERROR(VLOOKUP($A61,'The List'!$B1:$AS671,16,FALSE)," ")</f>
        <v xml:space="preserve"> </v>
      </c>
      <c r="J61" s="85" t="str" cm="1">
        <f t="array" ref="J61">IFERROR(VLOOKUP($A61,'The List'!$B1:$AS671,17,FALSE)," ")</f>
        <v xml:space="preserve"> </v>
      </c>
      <c r="K61" s="85" t="str" cm="1">
        <f t="array" ref="K61">IFERROR(VLOOKUP($A61,'The List'!$B1:$AS671,18,FALSE)," ")</f>
        <v xml:space="preserve"> </v>
      </c>
      <c r="L61" s="85" t="str" cm="1">
        <f t="array" ref="L61">IFERROR(VLOOKUP($A61,'The List'!$B1:$AS671,19,FALSE)," ")</f>
        <v xml:space="preserve"> </v>
      </c>
      <c r="M61" s="85" t="str" cm="1">
        <f t="array" ref="M61">IFERROR(VLOOKUP($A61,'The List'!$B1:$AS671,20,FALSE)," ")</f>
        <v xml:space="preserve"> </v>
      </c>
      <c r="N61" s="85" t="str" cm="1">
        <f t="array" ref="N61">IFERROR(VLOOKUP($A61,'The List'!$B1:$AS671,21,FALSE)," ")</f>
        <v xml:space="preserve"> </v>
      </c>
      <c r="O61" s="85" t="str" cm="1">
        <f t="array" ref="O61">IFERROR(VLOOKUP($A61,'The List'!$B1:$AS671,22,FALSE)," ")</f>
        <v xml:space="preserve"> </v>
      </c>
      <c r="P61" s="85" t="str" cm="1">
        <f t="array" ref="P61">IFERROR(VLOOKUP($A61,'The List'!$B1:$AS671,23,FALSE)," ")</f>
        <v xml:space="preserve"> </v>
      </c>
      <c r="Q61" s="85" t="str" cm="1">
        <f t="array" ref="Q61">IFERROR(VLOOKUP($A61,'The List'!$B1:$AS671,24,FALSE)," ")</f>
        <v xml:space="preserve"> </v>
      </c>
      <c r="R61" s="85" t="str" cm="1">
        <f t="array" ref="R61">IFERROR(VLOOKUP($A61,'The List'!$B1:$AS671,25,FALSE)," ")</f>
        <v xml:space="preserve"> </v>
      </c>
      <c r="S61" s="85" t="str" cm="1">
        <f t="array" ref="S61">IFERROR(VLOOKUP($A61,'The List'!$B1:$AS671,26,FALSE)," ")</f>
        <v xml:space="preserve"> </v>
      </c>
      <c r="T61" s="85" t="str" cm="1">
        <f t="array" ref="T61">IFERROR(VLOOKUP($A61,'The List'!$B1:$AS671,27,FALSE)," ")</f>
        <v xml:space="preserve"> </v>
      </c>
      <c r="U61" s="85" t="str" cm="1">
        <f t="array" ref="U61">IFERROR(VLOOKUP($A61,'The List'!$B1:$AS671,28,FALSE)," ")</f>
        <v xml:space="preserve"> </v>
      </c>
      <c r="V61" s="85" t="str" cm="1">
        <f t="array" ref="V61">IFERROR(VLOOKUP($A61,'The List'!$B1:$AS671,29,FALSE)," ")</f>
        <v xml:space="preserve"> </v>
      </c>
      <c r="W61" s="85" t="str" cm="1">
        <f t="array" ref="W61">IFERROR(VLOOKUP($A61,'The List'!$B1:$AS671,30,FALSE)," ")</f>
        <v xml:space="preserve"> </v>
      </c>
      <c r="X61" s="85" t="str" cm="1">
        <f t="array" ref="X61">IFERROR(VLOOKUP($A61,'The List'!$B1:$AS671,31,FALSE)," ")</f>
        <v xml:space="preserve"> </v>
      </c>
      <c r="Y61" s="85" t="str" cm="1">
        <f t="array" ref="Y61">IFERROR(VLOOKUP($A61,'The List'!$B1:$AS671,32,FALSE)," ")</f>
        <v xml:space="preserve"> </v>
      </c>
      <c r="Z61" s="85" t="str" cm="1">
        <f t="array" ref="Z61">IFERROR(VLOOKUP($A61,'The List'!$B1:$AS671,33,FALSE)," ")</f>
        <v xml:space="preserve"> </v>
      </c>
      <c r="AA61" s="86"/>
      <c r="AB61" s="91"/>
      <c r="AC61" s="91"/>
      <c r="AD61" s="91"/>
      <c r="AE61" s="91"/>
      <c r="AF61" s="91"/>
    </row>
    <row r="62" spans="1:32" ht="21.25" customHeight="1" x14ac:dyDescent="0.15">
      <c r="A62" s="24"/>
      <c r="B62" s="88" t="str" cm="1">
        <f t="array" ref="B62">IFERROR(VLOOKUP($A62,'The List'!$B1:$AS671,3,FALSE)," ")</f>
        <v xml:space="preserve"> </v>
      </c>
      <c r="C62" s="92" t="str" cm="1">
        <f t="array" ref="C62">IFERROR(VLOOKUP($A62,'The List'!$B1:$AS671,4,FALSE)," ")</f>
        <v xml:space="preserve"> </v>
      </c>
      <c r="D62" s="18" t="str" cm="1">
        <f t="array" ref="D62">IFERROR(VLOOKUP($A62,'The List'!$B1:$AS671,5,FALSE)," ")</f>
        <v xml:space="preserve"> </v>
      </c>
      <c r="E62" s="18" t="str" cm="1">
        <f t="array" ref="E62">IFERROR(VLOOKUP($A62,'The List'!$B1:$AS671,6,FALSE)," ")</f>
        <v xml:space="preserve"> </v>
      </c>
      <c r="F62" s="93" t="str" cm="1">
        <f t="array" ref="F62">IFERROR(VLOOKUP($A62,'The List'!$B1:$AS671,8,FALSE)," ")</f>
        <v xml:space="preserve"> </v>
      </c>
      <c r="G62" s="93" t="str" cm="1">
        <f t="array" ref="G62">IFERROR(VLOOKUP($A62,'The List'!$B1:$AS671,10,FALSE)," ")</f>
        <v xml:space="preserve"> </v>
      </c>
      <c r="H62" s="55"/>
      <c r="I62" s="85" t="str" cm="1">
        <f t="array" ref="I62">IFERROR(VLOOKUP($A62,'The List'!$B1:$AS671,16,FALSE)," ")</f>
        <v xml:space="preserve"> </v>
      </c>
      <c r="J62" s="85" t="str" cm="1">
        <f t="array" ref="J62">IFERROR(VLOOKUP($A62,'The List'!$B1:$AS671,17,FALSE)," ")</f>
        <v xml:space="preserve"> </v>
      </c>
      <c r="K62" s="85" t="str" cm="1">
        <f t="array" ref="K62">IFERROR(VLOOKUP($A62,'The List'!$B1:$AS671,18,FALSE)," ")</f>
        <v xml:space="preserve"> </v>
      </c>
      <c r="L62" s="85" t="str" cm="1">
        <f t="array" ref="L62">IFERROR(VLOOKUP($A62,'The List'!$B1:$AS671,19,FALSE)," ")</f>
        <v xml:space="preserve"> </v>
      </c>
      <c r="M62" s="85" t="str" cm="1">
        <f t="array" ref="M62">IFERROR(VLOOKUP($A62,'The List'!$B1:$AS671,20,FALSE)," ")</f>
        <v xml:space="preserve"> </v>
      </c>
      <c r="N62" s="85" t="str" cm="1">
        <f t="array" ref="N62">IFERROR(VLOOKUP($A62,'The List'!$B1:$AS671,21,FALSE)," ")</f>
        <v xml:space="preserve"> </v>
      </c>
      <c r="O62" s="85" t="str" cm="1">
        <f t="array" ref="O62">IFERROR(VLOOKUP($A62,'The List'!$B1:$AS671,22,FALSE)," ")</f>
        <v xml:space="preserve"> </v>
      </c>
      <c r="P62" s="85" t="str" cm="1">
        <f t="array" ref="P62">IFERROR(VLOOKUP($A62,'The List'!$B1:$AS671,23,FALSE)," ")</f>
        <v xml:space="preserve"> </v>
      </c>
      <c r="Q62" s="85" t="str" cm="1">
        <f t="array" ref="Q62">IFERROR(VLOOKUP($A62,'The List'!$B1:$AS671,24,FALSE)," ")</f>
        <v xml:space="preserve"> </v>
      </c>
      <c r="R62" s="85" t="str" cm="1">
        <f t="array" ref="R62">IFERROR(VLOOKUP($A62,'The List'!$B1:$AS671,25,FALSE)," ")</f>
        <v xml:space="preserve"> </v>
      </c>
      <c r="S62" s="85" t="str" cm="1">
        <f t="array" ref="S62">IFERROR(VLOOKUP($A62,'The List'!$B1:$AS671,26,FALSE)," ")</f>
        <v xml:space="preserve"> </v>
      </c>
      <c r="T62" s="85" t="str" cm="1">
        <f t="array" ref="T62">IFERROR(VLOOKUP($A62,'The List'!$B1:$AS671,27,FALSE)," ")</f>
        <v xml:space="preserve"> </v>
      </c>
      <c r="U62" s="85" t="str" cm="1">
        <f t="array" ref="U62">IFERROR(VLOOKUP($A62,'The List'!$B1:$AS671,28,FALSE)," ")</f>
        <v xml:space="preserve"> </v>
      </c>
      <c r="V62" s="85" t="str" cm="1">
        <f t="array" ref="V62">IFERROR(VLOOKUP($A62,'The List'!$B1:$AS671,29,FALSE)," ")</f>
        <v xml:space="preserve"> </v>
      </c>
      <c r="W62" s="85" t="str" cm="1">
        <f t="array" ref="W62">IFERROR(VLOOKUP($A62,'The List'!$B1:$AS671,30,FALSE)," ")</f>
        <v xml:space="preserve"> </v>
      </c>
      <c r="X62" s="85" t="str" cm="1">
        <f t="array" ref="X62">IFERROR(VLOOKUP($A62,'The List'!$B1:$AS671,31,FALSE)," ")</f>
        <v xml:space="preserve"> </v>
      </c>
      <c r="Y62" s="85" t="str" cm="1">
        <f t="array" ref="Y62">IFERROR(VLOOKUP($A62,'The List'!$B1:$AS671,32,FALSE)," ")</f>
        <v xml:space="preserve"> </v>
      </c>
      <c r="Z62" s="85" t="str" cm="1">
        <f t="array" ref="Z62">IFERROR(VLOOKUP($A62,'The List'!$B1:$AS671,33,FALSE)," ")</f>
        <v xml:space="preserve"> </v>
      </c>
      <c r="AA62" s="86"/>
      <c r="AB62" s="91"/>
      <c r="AC62" s="91"/>
      <c r="AD62" s="91"/>
      <c r="AE62" s="91"/>
      <c r="AF62" s="91"/>
    </row>
    <row r="63" spans="1:32" ht="21.25" customHeight="1" x14ac:dyDescent="0.15">
      <c r="A63" s="24"/>
      <c r="B63" s="88" t="str" cm="1">
        <f t="array" ref="B63">IFERROR(VLOOKUP($A63,'The List'!$B1:$AS671,3,FALSE)," ")</f>
        <v xml:space="preserve"> </v>
      </c>
      <c r="C63" s="92" t="str" cm="1">
        <f t="array" ref="C63">IFERROR(VLOOKUP($A63,'The List'!$B1:$AS671,4,FALSE)," ")</f>
        <v xml:space="preserve"> </v>
      </c>
      <c r="D63" s="18" t="str" cm="1">
        <f t="array" ref="D63">IFERROR(VLOOKUP($A63,'The List'!$B1:$AS671,5,FALSE)," ")</f>
        <v xml:space="preserve"> </v>
      </c>
      <c r="E63" s="18" t="str" cm="1">
        <f t="array" ref="E63">IFERROR(VLOOKUP($A63,'The List'!$B1:$AS671,6,FALSE)," ")</f>
        <v xml:space="preserve"> </v>
      </c>
      <c r="F63" s="93" t="str" cm="1">
        <f t="array" ref="F63">IFERROR(VLOOKUP($A63,'The List'!$B1:$AS671,8,FALSE)," ")</f>
        <v xml:space="preserve"> </v>
      </c>
      <c r="G63" s="93" t="str" cm="1">
        <f t="array" ref="G63">IFERROR(VLOOKUP($A63,'The List'!$B1:$AS671,10,FALSE)," ")</f>
        <v xml:space="preserve"> </v>
      </c>
      <c r="H63" s="55"/>
      <c r="I63" s="85" t="str" cm="1">
        <f t="array" ref="I63">IFERROR(VLOOKUP($A63,'The List'!$B1:$AS671,16,FALSE)," ")</f>
        <v xml:space="preserve"> </v>
      </c>
      <c r="J63" s="85" t="str" cm="1">
        <f t="array" ref="J63">IFERROR(VLOOKUP($A63,'The List'!$B1:$AS671,17,FALSE)," ")</f>
        <v xml:space="preserve"> </v>
      </c>
      <c r="K63" s="85" t="str" cm="1">
        <f t="array" ref="K63">IFERROR(VLOOKUP($A63,'The List'!$B1:$AS671,18,FALSE)," ")</f>
        <v xml:space="preserve"> </v>
      </c>
      <c r="L63" s="85" t="str" cm="1">
        <f t="array" ref="L63">IFERROR(VLOOKUP($A63,'The List'!$B1:$AS671,19,FALSE)," ")</f>
        <v xml:space="preserve"> </v>
      </c>
      <c r="M63" s="85" t="str" cm="1">
        <f t="array" ref="M63">IFERROR(VLOOKUP($A63,'The List'!$B1:$AS671,20,FALSE)," ")</f>
        <v xml:space="preserve"> </v>
      </c>
      <c r="N63" s="85" t="str" cm="1">
        <f t="array" ref="N63">IFERROR(VLOOKUP($A63,'The List'!$B1:$AS671,21,FALSE)," ")</f>
        <v xml:space="preserve"> </v>
      </c>
      <c r="O63" s="85" t="str" cm="1">
        <f t="array" ref="O63">IFERROR(VLOOKUP($A63,'The List'!$B1:$AS671,22,FALSE)," ")</f>
        <v xml:space="preserve"> </v>
      </c>
      <c r="P63" s="85" t="str" cm="1">
        <f t="array" ref="P63">IFERROR(VLOOKUP($A63,'The List'!$B1:$AS671,23,FALSE)," ")</f>
        <v xml:space="preserve"> </v>
      </c>
      <c r="Q63" s="85" t="str" cm="1">
        <f t="array" ref="Q63">IFERROR(VLOOKUP($A63,'The List'!$B1:$AS671,24,FALSE)," ")</f>
        <v xml:space="preserve"> </v>
      </c>
      <c r="R63" s="85" t="str" cm="1">
        <f t="array" ref="R63">IFERROR(VLOOKUP($A63,'The List'!$B1:$AS671,25,FALSE)," ")</f>
        <v xml:space="preserve"> </v>
      </c>
      <c r="S63" s="85" t="str" cm="1">
        <f t="array" ref="S63">IFERROR(VLOOKUP($A63,'The List'!$B1:$AS671,26,FALSE)," ")</f>
        <v xml:space="preserve"> </v>
      </c>
      <c r="T63" s="85" t="str" cm="1">
        <f t="array" ref="T63">IFERROR(VLOOKUP($A63,'The List'!$B1:$AS671,27,FALSE)," ")</f>
        <v xml:space="preserve"> </v>
      </c>
      <c r="U63" s="85" t="str" cm="1">
        <f t="array" ref="U63">IFERROR(VLOOKUP($A63,'The List'!$B1:$AS671,28,FALSE)," ")</f>
        <v xml:space="preserve"> </v>
      </c>
      <c r="V63" s="85" t="str" cm="1">
        <f t="array" ref="V63">IFERROR(VLOOKUP($A63,'The List'!$B1:$AS671,29,FALSE)," ")</f>
        <v xml:space="preserve"> </v>
      </c>
      <c r="W63" s="85" t="str" cm="1">
        <f t="array" ref="W63">IFERROR(VLOOKUP($A63,'The List'!$B1:$AS671,30,FALSE)," ")</f>
        <v xml:space="preserve"> </v>
      </c>
      <c r="X63" s="85" t="str" cm="1">
        <f t="array" ref="X63">IFERROR(VLOOKUP($A63,'The List'!$B1:$AS671,31,FALSE)," ")</f>
        <v xml:space="preserve"> </v>
      </c>
      <c r="Y63" s="85" t="str" cm="1">
        <f t="array" ref="Y63">IFERROR(VLOOKUP($A63,'The List'!$B1:$AS671,32,FALSE)," ")</f>
        <v xml:space="preserve"> </v>
      </c>
      <c r="Z63" s="85" t="str" cm="1">
        <f t="array" ref="Z63">IFERROR(VLOOKUP($A63,'The List'!$B1:$AS671,33,FALSE)," ")</f>
        <v xml:space="preserve"> </v>
      </c>
      <c r="AA63" s="86"/>
      <c r="AB63" s="91"/>
      <c r="AC63" s="91"/>
      <c r="AD63" s="91"/>
      <c r="AE63" s="91"/>
      <c r="AF63" s="91"/>
    </row>
    <row r="64" spans="1:32" ht="21.25" customHeight="1" x14ac:dyDescent="0.15">
      <c r="A64" s="24"/>
      <c r="B64" s="94" t="str" cm="1">
        <f t="array" ref="B64">IFERROR(VLOOKUP($A64,'The List'!$B1:$AS671,3,FALSE)," ")</f>
        <v xml:space="preserve"> </v>
      </c>
      <c r="C64" s="96" t="str" cm="1">
        <f t="array" ref="C64">IFERROR(VLOOKUP($A64,'The List'!$B1:$AS671,4,FALSE)," ")</f>
        <v xml:space="preserve"> </v>
      </c>
      <c r="D64" s="18" t="str" cm="1">
        <f t="array" ref="D64">IFERROR(VLOOKUP($A64,'The List'!$B1:$AS671,5,FALSE)," ")</f>
        <v xml:space="preserve"> </v>
      </c>
      <c r="E64" s="18" t="str" cm="1">
        <f t="array" ref="E64">IFERROR(VLOOKUP($A64,'The List'!$B1:$AS671,6,FALSE)," ")</f>
        <v xml:space="preserve"> </v>
      </c>
      <c r="F64" s="93" t="str" cm="1">
        <f t="array" ref="F64">IFERROR(VLOOKUP($A64,'The List'!$B1:$AS671,8,FALSE)," ")</f>
        <v xml:space="preserve"> </v>
      </c>
      <c r="G64" s="93" t="str" cm="1">
        <f t="array" ref="G64">IFERROR(VLOOKUP($A64,'The List'!$B1:$AS671,10,FALSE)," ")</f>
        <v xml:space="preserve"> </v>
      </c>
      <c r="H64" s="55"/>
      <c r="I64" s="85" t="str" cm="1">
        <f t="array" ref="I64">IFERROR(VLOOKUP($A64,'The List'!$B1:$AS671,16,FALSE)," ")</f>
        <v xml:space="preserve"> </v>
      </c>
      <c r="J64" s="85" t="str" cm="1">
        <f t="array" ref="J64">IFERROR(VLOOKUP($A64,'The List'!$B1:$AS671,17,FALSE)," ")</f>
        <v xml:space="preserve"> </v>
      </c>
      <c r="K64" s="85" t="str" cm="1">
        <f t="array" ref="K64">IFERROR(VLOOKUP($A64,'The List'!$B1:$AS671,18,FALSE)," ")</f>
        <v xml:space="preserve"> </v>
      </c>
      <c r="L64" s="85" t="str" cm="1">
        <f t="array" ref="L64">IFERROR(VLOOKUP($A64,'The List'!$B1:$AS671,19,FALSE)," ")</f>
        <v xml:space="preserve"> </v>
      </c>
      <c r="M64" s="85" t="str" cm="1">
        <f t="array" ref="M64">IFERROR(VLOOKUP($A64,'The List'!$B1:$AS671,20,FALSE)," ")</f>
        <v xml:space="preserve"> </v>
      </c>
      <c r="N64" s="85" t="str" cm="1">
        <f t="array" ref="N64">IFERROR(VLOOKUP($A64,'The List'!$B1:$AS671,21,FALSE)," ")</f>
        <v xml:space="preserve"> </v>
      </c>
      <c r="O64" s="85" t="str" cm="1">
        <f t="array" ref="O64">IFERROR(VLOOKUP($A64,'The List'!$B1:$AS671,22,FALSE)," ")</f>
        <v xml:space="preserve"> </v>
      </c>
      <c r="P64" s="85" t="str" cm="1">
        <f t="array" ref="P64">IFERROR(VLOOKUP($A64,'The List'!$B1:$AS671,23,FALSE)," ")</f>
        <v xml:space="preserve"> </v>
      </c>
      <c r="Q64" s="85" t="str" cm="1">
        <f t="array" ref="Q64">IFERROR(VLOOKUP($A64,'The List'!$B1:$AS671,24,FALSE)," ")</f>
        <v xml:space="preserve"> </v>
      </c>
      <c r="R64" s="85" t="str" cm="1">
        <f t="array" ref="R64">IFERROR(VLOOKUP($A64,'The List'!$B1:$AS671,25,FALSE)," ")</f>
        <v xml:space="preserve"> </v>
      </c>
      <c r="S64" s="85" t="str" cm="1">
        <f t="array" ref="S64">IFERROR(VLOOKUP($A64,'The List'!$B1:$AS671,26,FALSE)," ")</f>
        <v xml:space="preserve"> </v>
      </c>
      <c r="T64" s="85" t="str" cm="1">
        <f t="array" ref="T64">IFERROR(VLOOKUP($A64,'The List'!$B1:$AS671,27,FALSE)," ")</f>
        <v xml:space="preserve"> </v>
      </c>
      <c r="U64" s="85" t="str" cm="1">
        <f t="array" ref="U64">IFERROR(VLOOKUP($A64,'The List'!$B1:$AS671,28,FALSE)," ")</f>
        <v xml:space="preserve"> </v>
      </c>
      <c r="V64" s="85" t="str" cm="1">
        <f t="array" ref="V64">IFERROR(VLOOKUP($A64,'The List'!$B1:$AS671,29,FALSE)," ")</f>
        <v xml:space="preserve"> </v>
      </c>
      <c r="W64" s="85" t="str" cm="1">
        <f t="array" ref="W64">IFERROR(VLOOKUP($A64,'The List'!$B1:$AS671,30,FALSE)," ")</f>
        <v xml:space="preserve"> </v>
      </c>
      <c r="X64" s="85" t="str" cm="1">
        <f t="array" ref="X64">IFERROR(VLOOKUP($A64,'The List'!$B1:$AS671,31,FALSE)," ")</f>
        <v xml:space="preserve"> </v>
      </c>
      <c r="Y64" s="85" t="str" cm="1">
        <f t="array" ref="Y64">IFERROR(VLOOKUP($A64,'The List'!$B1:$AS671,32,FALSE)," ")</f>
        <v xml:space="preserve"> </v>
      </c>
      <c r="Z64" s="85" t="str" cm="1">
        <f t="array" ref="Z64">IFERROR(VLOOKUP($A64,'The List'!$B1:$AS671,33,FALSE)," ")</f>
        <v xml:space="preserve"> </v>
      </c>
      <c r="AA64" s="86"/>
      <c r="AB64" s="91"/>
      <c r="AC64" s="91"/>
      <c r="AD64" s="91"/>
      <c r="AE64" s="91"/>
      <c r="AF64" s="91"/>
    </row>
    <row r="65" spans="1:32" ht="21.25" customHeight="1" x14ac:dyDescent="0.15">
      <c r="A65" s="24"/>
      <c r="B65" s="94" t="str" cm="1">
        <f t="array" ref="B65">IFERROR(VLOOKUP($A65,'The List'!$B1:$AS671,3,FALSE)," ")</f>
        <v xml:space="preserve"> </v>
      </c>
      <c r="C65" s="96" t="str" cm="1">
        <f t="array" ref="C65">IFERROR(VLOOKUP($A65,'The List'!$B1:$AS671,4,FALSE)," ")</f>
        <v xml:space="preserve"> </v>
      </c>
      <c r="D65" s="18" t="str" cm="1">
        <f t="array" ref="D65">IFERROR(VLOOKUP($A65,'The List'!$B1:$AS671,5,FALSE)," ")</f>
        <v xml:space="preserve"> </v>
      </c>
      <c r="E65" s="18" t="str" cm="1">
        <f t="array" ref="E65">IFERROR(VLOOKUP($A65,'The List'!$B1:$AS671,6,FALSE)," ")</f>
        <v xml:space="preserve"> </v>
      </c>
      <c r="F65" s="93" t="str" cm="1">
        <f t="array" ref="F65">IFERROR(VLOOKUP($A65,'The List'!$B1:$AS671,8,FALSE)," ")</f>
        <v xml:space="preserve"> </v>
      </c>
      <c r="G65" s="93" t="str" cm="1">
        <f t="array" ref="G65">IFERROR(VLOOKUP($A65,'The List'!$B1:$AS671,10,FALSE)," ")</f>
        <v xml:space="preserve"> </v>
      </c>
      <c r="H65" s="55"/>
      <c r="I65" s="85" t="str" cm="1">
        <f t="array" ref="I65">IFERROR(VLOOKUP($A65,'The List'!$B1:$AS671,16,FALSE)," ")</f>
        <v xml:space="preserve"> </v>
      </c>
      <c r="J65" s="85" t="str" cm="1">
        <f t="array" ref="J65">IFERROR(VLOOKUP($A65,'The List'!$B1:$AS671,17,FALSE)," ")</f>
        <v xml:space="preserve"> </v>
      </c>
      <c r="K65" s="85" t="str" cm="1">
        <f t="array" ref="K65">IFERROR(VLOOKUP($A65,'The List'!$B1:$AS671,18,FALSE)," ")</f>
        <v xml:space="preserve"> </v>
      </c>
      <c r="L65" s="85" t="str" cm="1">
        <f t="array" ref="L65">IFERROR(VLOOKUP($A65,'The List'!$B1:$AS671,19,FALSE)," ")</f>
        <v xml:space="preserve"> </v>
      </c>
      <c r="M65" s="85" t="str" cm="1">
        <f t="array" ref="M65">IFERROR(VLOOKUP($A65,'The List'!$B1:$AS671,20,FALSE)," ")</f>
        <v xml:space="preserve"> </v>
      </c>
      <c r="N65" s="85" t="str" cm="1">
        <f t="array" ref="N65">IFERROR(VLOOKUP($A65,'The List'!$B1:$AS671,21,FALSE)," ")</f>
        <v xml:space="preserve"> </v>
      </c>
      <c r="O65" s="85" t="str" cm="1">
        <f t="array" ref="O65">IFERROR(VLOOKUP($A65,'The List'!$B1:$AS671,22,FALSE)," ")</f>
        <v xml:space="preserve"> </v>
      </c>
      <c r="P65" s="85" t="str" cm="1">
        <f t="array" ref="P65">IFERROR(VLOOKUP($A65,'The List'!$B1:$AS671,23,FALSE)," ")</f>
        <v xml:space="preserve"> </v>
      </c>
      <c r="Q65" s="85" t="str" cm="1">
        <f t="array" ref="Q65">IFERROR(VLOOKUP($A65,'The List'!$B1:$AS671,24,FALSE)," ")</f>
        <v xml:space="preserve"> </v>
      </c>
      <c r="R65" s="85" t="str" cm="1">
        <f t="array" ref="R65">IFERROR(VLOOKUP($A65,'The List'!$B1:$AS671,25,FALSE)," ")</f>
        <v xml:space="preserve"> </v>
      </c>
      <c r="S65" s="85" t="str" cm="1">
        <f t="array" ref="S65">IFERROR(VLOOKUP($A65,'The List'!$B1:$AS671,26,FALSE)," ")</f>
        <v xml:space="preserve"> </v>
      </c>
      <c r="T65" s="85" t="str" cm="1">
        <f t="array" ref="T65">IFERROR(VLOOKUP($A65,'The List'!$B1:$AS671,27,FALSE)," ")</f>
        <v xml:space="preserve"> </v>
      </c>
      <c r="U65" s="85" t="str" cm="1">
        <f t="array" ref="U65">IFERROR(VLOOKUP($A65,'The List'!$B1:$AS671,28,FALSE)," ")</f>
        <v xml:space="preserve"> </v>
      </c>
      <c r="V65" s="85" t="str" cm="1">
        <f t="array" ref="V65">IFERROR(VLOOKUP($A65,'The List'!$B1:$AS671,29,FALSE)," ")</f>
        <v xml:space="preserve"> </v>
      </c>
      <c r="W65" s="85" t="str" cm="1">
        <f t="array" ref="W65">IFERROR(VLOOKUP($A65,'The List'!$B1:$AS671,30,FALSE)," ")</f>
        <v xml:space="preserve"> </v>
      </c>
      <c r="X65" s="85" t="str" cm="1">
        <f t="array" ref="X65">IFERROR(VLOOKUP($A65,'The List'!$B1:$AS671,31,FALSE)," ")</f>
        <v xml:space="preserve"> </v>
      </c>
      <c r="Y65" s="85" t="str" cm="1">
        <f t="array" ref="Y65">IFERROR(VLOOKUP($A65,'The List'!$B1:$AS671,32,FALSE)," ")</f>
        <v xml:space="preserve"> </v>
      </c>
      <c r="Z65" s="85" t="str" cm="1">
        <f t="array" ref="Z65">IFERROR(VLOOKUP($A65,'The List'!$B1:$AS671,33,FALSE)," ")</f>
        <v xml:space="preserve"> </v>
      </c>
      <c r="AA65" s="86"/>
      <c r="AB65" s="91"/>
      <c r="AC65" s="91"/>
      <c r="AD65" s="91"/>
      <c r="AE65" s="91"/>
      <c r="AF65" s="91"/>
    </row>
    <row r="66" spans="1:32" ht="21.25" customHeight="1" x14ac:dyDescent="0.15">
      <c r="A66" s="24"/>
      <c r="B66" s="94" t="str" cm="1">
        <f t="array" ref="B66">IFERROR(VLOOKUP($A66,'The List'!$B1:$AS671,3,FALSE)," ")</f>
        <v xml:space="preserve"> </v>
      </c>
      <c r="C66" s="96" t="str" cm="1">
        <f t="array" ref="C66">IFERROR(VLOOKUP($A66,'The List'!$B1:$AS671,4,FALSE)," ")</f>
        <v xml:space="preserve"> </v>
      </c>
      <c r="D66" s="18" t="str" cm="1">
        <f t="array" ref="D66">IFERROR(VLOOKUP($A66,'The List'!$B1:$AS671,5,FALSE)," ")</f>
        <v xml:space="preserve"> </v>
      </c>
      <c r="E66" s="18" t="str" cm="1">
        <f t="array" ref="E66">IFERROR(VLOOKUP($A66,'The List'!$B1:$AS671,6,FALSE)," ")</f>
        <v xml:space="preserve"> </v>
      </c>
      <c r="F66" s="93" t="str" cm="1">
        <f t="array" ref="F66">IFERROR(VLOOKUP($A66,'The List'!$B1:$AS671,8,FALSE)," ")</f>
        <v xml:space="preserve"> </v>
      </c>
      <c r="G66" s="93" t="str" cm="1">
        <f t="array" ref="G66">IFERROR(VLOOKUP($A66,'The List'!$B1:$AS671,10,FALSE)," ")</f>
        <v xml:space="preserve"> </v>
      </c>
      <c r="H66" s="55"/>
      <c r="I66" s="85" t="str" cm="1">
        <f t="array" ref="I66">IFERROR(VLOOKUP($A66,'The List'!$B1:$AS671,16,FALSE)," ")</f>
        <v xml:space="preserve"> </v>
      </c>
      <c r="J66" s="85" t="str" cm="1">
        <f t="array" ref="J66">IFERROR(VLOOKUP($A66,'The List'!$B1:$AS671,17,FALSE)," ")</f>
        <v xml:space="preserve"> </v>
      </c>
      <c r="K66" s="85" t="str" cm="1">
        <f t="array" ref="K66">IFERROR(VLOOKUP($A66,'The List'!$B1:$AS671,18,FALSE)," ")</f>
        <v xml:space="preserve"> </v>
      </c>
      <c r="L66" s="85" t="str" cm="1">
        <f t="array" ref="L66">IFERROR(VLOOKUP($A66,'The List'!$B1:$AS671,19,FALSE)," ")</f>
        <v xml:space="preserve"> </v>
      </c>
      <c r="M66" s="85" t="str" cm="1">
        <f t="array" ref="M66">IFERROR(VLOOKUP($A66,'The List'!$B1:$AS671,20,FALSE)," ")</f>
        <v xml:space="preserve"> </v>
      </c>
      <c r="N66" s="85" t="str" cm="1">
        <f t="array" ref="N66">IFERROR(VLOOKUP($A66,'The List'!$B1:$AS671,21,FALSE)," ")</f>
        <v xml:space="preserve"> </v>
      </c>
      <c r="O66" s="85" t="str" cm="1">
        <f t="array" ref="O66">IFERROR(VLOOKUP($A66,'The List'!$B1:$AS671,22,FALSE)," ")</f>
        <v xml:space="preserve"> </v>
      </c>
      <c r="P66" s="85" t="str" cm="1">
        <f t="array" ref="P66">IFERROR(VLOOKUP($A66,'The List'!$B1:$AS671,23,FALSE)," ")</f>
        <v xml:space="preserve"> </v>
      </c>
      <c r="Q66" s="85" t="str" cm="1">
        <f t="array" ref="Q66">IFERROR(VLOOKUP($A66,'The List'!$B1:$AS671,24,FALSE)," ")</f>
        <v xml:space="preserve"> </v>
      </c>
      <c r="R66" s="85" t="str" cm="1">
        <f t="array" ref="R66">IFERROR(VLOOKUP($A66,'The List'!$B1:$AS671,25,FALSE)," ")</f>
        <v xml:space="preserve"> </v>
      </c>
      <c r="S66" s="85" t="str" cm="1">
        <f t="array" ref="S66">IFERROR(VLOOKUP($A66,'The List'!$B1:$AS671,26,FALSE)," ")</f>
        <v xml:space="preserve"> </v>
      </c>
      <c r="T66" s="85" t="str" cm="1">
        <f t="array" ref="T66">IFERROR(VLOOKUP($A66,'The List'!$B1:$AS671,27,FALSE)," ")</f>
        <v xml:space="preserve"> </v>
      </c>
      <c r="U66" s="85" t="str" cm="1">
        <f t="array" ref="U66">IFERROR(VLOOKUP($A66,'The List'!$B1:$AS671,28,FALSE)," ")</f>
        <v xml:space="preserve"> </v>
      </c>
      <c r="V66" s="85" t="str" cm="1">
        <f t="array" ref="V66">IFERROR(VLOOKUP($A66,'The List'!$B1:$AS671,29,FALSE)," ")</f>
        <v xml:space="preserve"> </v>
      </c>
      <c r="W66" s="85" t="str" cm="1">
        <f t="array" ref="W66">IFERROR(VLOOKUP($A66,'The List'!$B1:$AS671,30,FALSE)," ")</f>
        <v xml:space="preserve"> </v>
      </c>
      <c r="X66" s="85" t="str" cm="1">
        <f t="array" ref="X66">IFERROR(VLOOKUP($A66,'The List'!$B1:$AS671,31,FALSE)," ")</f>
        <v xml:space="preserve"> </v>
      </c>
      <c r="Y66" s="85" t="str" cm="1">
        <f t="array" ref="Y66">IFERROR(VLOOKUP($A66,'The List'!$B1:$AS671,32,FALSE)," ")</f>
        <v xml:space="preserve"> </v>
      </c>
      <c r="Z66" s="85" t="str" cm="1">
        <f t="array" ref="Z66">IFERROR(VLOOKUP($A66,'The List'!$B1:$AS671,33,FALSE)," ")</f>
        <v xml:space="preserve"> </v>
      </c>
      <c r="AA66" s="86"/>
      <c r="AB66" s="91"/>
      <c r="AC66" s="91"/>
      <c r="AD66" s="91"/>
      <c r="AE66" s="91"/>
      <c r="AF66" s="91"/>
    </row>
    <row r="67" spans="1:32" ht="21.25" customHeight="1" x14ac:dyDescent="0.15">
      <c r="A67" s="24"/>
      <c r="B67" s="94" t="str" cm="1">
        <f t="array" ref="B67">IFERROR(VLOOKUP($A67,'The List'!$B1:$AS671,3,FALSE)," ")</f>
        <v xml:space="preserve"> </v>
      </c>
      <c r="C67" s="96" t="str" cm="1">
        <f t="array" ref="C67">IFERROR(VLOOKUP($A67,'The List'!$B1:$AS671,4,FALSE)," ")</f>
        <v xml:space="preserve"> </v>
      </c>
      <c r="D67" s="18" t="str" cm="1">
        <f t="array" ref="D67">IFERROR(VLOOKUP($A67,'The List'!$B1:$AS671,5,FALSE)," ")</f>
        <v xml:space="preserve"> </v>
      </c>
      <c r="E67" s="18" t="str" cm="1">
        <f t="array" ref="E67">IFERROR(VLOOKUP($A67,'The List'!$B1:$AS671,6,FALSE)," ")</f>
        <v xml:space="preserve"> </v>
      </c>
      <c r="F67" s="93" t="str" cm="1">
        <f t="array" ref="F67">IFERROR(VLOOKUP($A67,'The List'!$B1:$AS671,8,FALSE)," ")</f>
        <v xml:space="preserve"> </v>
      </c>
      <c r="G67" s="93" t="str" cm="1">
        <f t="array" ref="G67">IFERROR(VLOOKUP($A67,'The List'!$B1:$AS671,10,FALSE)," ")</f>
        <v xml:space="preserve"> </v>
      </c>
      <c r="H67" s="55"/>
      <c r="I67" s="85" t="str" cm="1">
        <f t="array" ref="I67">IFERROR(VLOOKUP($A67,'The List'!$B1:$AS671,16,FALSE)," ")</f>
        <v xml:space="preserve"> </v>
      </c>
      <c r="J67" s="85" t="str" cm="1">
        <f t="array" ref="J67">IFERROR(VLOOKUP($A67,'The List'!$B1:$AS671,17,FALSE)," ")</f>
        <v xml:space="preserve"> </v>
      </c>
      <c r="K67" s="85" t="str" cm="1">
        <f t="array" ref="K67">IFERROR(VLOOKUP($A67,'The List'!$B1:$AS671,18,FALSE)," ")</f>
        <v xml:space="preserve"> </v>
      </c>
      <c r="L67" s="85" t="str" cm="1">
        <f t="array" ref="L67">IFERROR(VLOOKUP($A67,'The List'!$B1:$AS671,19,FALSE)," ")</f>
        <v xml:space="preserve"> </v>
      </c>
      <c r="M67" s="85" t="str" cm="1">
        <f t="array" ref="M67">IFERROR(VLOOKUP($A67,'The List'!$B1:$AS671,20,FALSE)," ")</f>
        <v xml:space="preserve"> </v>
      </c>
      <c r="N67" s="85" t="str" cm="1">
        <f t="array" ref="N67">IFERROR(VLOOKUP($A67,'The List'!$B1:$AS671,21,FALSE)," ")</f>
        <v xml:space="preserve"> </v>
      </c>
      <c r="O67" s="85" t="str" cm="1">
        <f t="array" ref="O67">IFERROR(VLOOKUP($A67,'The List'!$B1:$AS671,22,FALSE)," ")</f>
        <v xml:space="preserve"> </v>
      </c>
      <c r="P67" s="85" t="str" cm="1">
        <f t="array" ref="P67">IFERROR(VLOOKUP($A67,'The List'!$B1:$AS671,23,FALSE)," ")</f>
        <v xml:space="preserve"> </v>
      </c>
      <c r="Q67" s="85" t="str" cm="1">
        <f t="array" ref="Q67">IFERROR(VLOOKUP($A67,'The List'!$B1:$AS671,24,FALSE)," ")</f>
        <v xml:space="preserve"> </v>
      </c>
      <c r="R67" s="85" t="str" cm="1">
        <f t="array" ref="R67">IFERROR(VLOOKUP($A67,'The List'!$B1:$AS671,25,FALSE)," ")</f>
        <v xml:space="preserve"> </v>
      </c>
      <c r="S67" s="85" t="str" cm="1">
        <f t="array" ref="S67">IFERROR(VLOOKUP($A67,'The List'!$B1:$AS671,26,FALSE)," ")</f>
        <v xml:space="preserve"> </v>
      </c>
      <c r="T67" s="85" t="str" cm="1">
        <f t="array" ref="T67">IFERROR(VLOOKUP($A67,'The List'!$B1:$AS671,27,FALSE)," ")</f>
        <v xml:space="preserve"> </v>
      </c>
      <c r="U67" s="85" t="str" cm="1">
        <f t="array" ref="U67">IFERROR(VLOOKUP($A67,'The List'!$B1:$AS671,28,FALSE)," ")</f>
        <v xml:space="preserve"> </v>
      </c>
      <c r="V67" s="85" t="str" cm="1">
        <f t="array" ref="V67">IFERROR(VLOOKUP($A67,'The List'!$B1:$AS671,29,FALSE)," ")</f>
        <v xml:space="preserve"> </v>
      </c>
      <c r="W67" s="85" t="str" cm="1">
        <f t="array" ref="W67">IFERROR(VLOOKUP($A67,'The List'!$B1:$AS671,30,FALSE)," ")</f>
        <v xml:space="preserve"> </v>
      </c>
      <c r="X67" s="85" t="str" cm="1">
        <f t="array" ref="X67">IFERROR(VLOOKUP($A67,'The List'!$B1:$AS671,31,FALSE)," ")</f>
        <v xml:space="preserve"> </v>
      </c>
      <c r="Y67" s="85" t="str" cm="1">
        <f t="array" ref="Y67">IFERROR(VLOOKUP($A67,'The List'!$B1:$AS671,32,FALSE)," ")</f>
        <v xml:space="preserve"> </v>
      </c>
      <c r="Z67" s="85" t="str" cm="1">
        <f t="array" ref="Z67">IFERROR(VLOOKUP($A67,'The List'!$B1:$AS671,33,FALSE)," ")</f>
        <v xml:space="preserve"> </v>
      </c>
      <c r="AA67" s="86"/>
      <c r="AB67" s="91"/>
      <c r="AC67" s="91"/>
      <c r="AD67" s="91"/>
      <c r="AE67" s="91"/>
      <c r="AF67" s="91"/>
    </row>
    <row r="68" spans="1:32" ht="21.25" customHeight="1" x14ac:dyDescent="0.15">
      <c r="A68" s="24"/>
      <c r="B68" s="97" t="str" cm="1">
        <f t="array" ref="B68">IFERROR(VLOOKUP($A68,'The List'!$B1:$AS671,3,FALSE)," ")</f>
        <v xml:space="preserve"> </v>
      </c>
      <c r="C68" s="99" t="str" cm="1">
        <f t="array" ref="C68">IFERROR(VLOOKUP($A68,'The List'!$B1:$AS671,4,FALSE)," ")</f>
        <v xml:space="preserve"> </v>
      </c>
      <c r="D68" s="18" t="str" cm="1">
        <f t="array" ref="D68">IFERROR(VLOOKUP($A68,'The List'!$B1:$AS671,5,FALSE)," ")</f>
        <v xml:space="preserve"> </v>
      </c>
      <c r="E68" s="18" t="str" cm="1">
        <f t="array" ref="E68">IFERROR(VLOOKUP($A68,'The List'!$B1:$AS671,6,FALSE)," ")</f>
        <v xml:space="preserve"> </v>
      </c>
      <c r="F68" s="93" t="str" cm="1">
        <f t="array" ref="F68">IFERROR(VLOOKUP($A68,'The List'!$B1:$AS671,8,FALSE)," ")</f>
        <v xml:space="preserve"> </v>
      </c>
      <c r="G68" s="93" t="str" cm="1">
        <f t="array" ref="G68">IFERROR(VLOOKUP($A68,'The List'!$B1:$AS671,10,FALSE)," ")</f>
        <v xml:space="preserve"> </v>
      </c>
      <c r="H68" s="55"/>
      <c r="I68" s="85" t="str" cm="1">
        <f t="array" ref="I68">IFERROR(VLOOKUP($A68,'The List'!$B1:$AS671,16,FALSE)," ")</f>
        <v xml:space="preserve"> </v>
      </c>
      <c r="J68" s="85" t="str" cm="1">
        <f t="array" ref="J68">IFERROR(VLOOKUP($A68,'The List'!$B1:$AS671,17,FALSE)," ")</f>
        <v xml:space="preserve"> </v>
      </c>
      <c r="K68" s="85" t="str" cm="1">
        <f t="array" ref="K68">IFERROR(VLOOKUP($A68,'The List'!$B1:$AS671,18,FALSE)," ")</f>
        <v xml:space="preserve"> </v>
      </c>
      <c r="L68" s="85" t="str" cm="1">
        <f t="array" ref="L68">IFERROR(VLOOKUP($A68,'The List'!$B1:$AS671,19,FALSE)," ")</f>
        <v xml:space="preserve"> </v>
      </c>
      <c r="M68" s="85" t="str" cm="1">
        <f t="array" ref="M68">IFERROR(VLOOKUP($A68,'The List'!$B1:$AS671,20,FALSE)," ")</f>
        <v xml:space="preserve"> </v>
      </c>
      <c r="N68" s="85" t="str" cm="1">
        <f t="array" ref="N68">IFERROR(VLOOKUP($A68,'The List'!$B1:$AS671,21,FALSE)," ")</f>
        <v xml:space="preserve"> </v>
      </c>
      <c r="O68" s="85" t="str" cm="1">
        <f t="array" ref="O68">IFERROR(VLOOKUP($A68,'The List'!$B1:$AS671,22,FALSE)," ")</f>
        <v xml:space="preserve"> </v>
      </c>
      <c r="P68" s="85" t="str" cm="1">
        <f t="array" ref="P68">IFERROR(VLOOKUP($A68,'The List'!$B1:$AS671,23,FALSE)," ")</f>
        <v xml:space="preserve"> </v>
      </c>
      <c r="Q68" s="85" t="str" cm="1">
        <f t="array" ref="Q68">IFERROR(VLOOKUP($A68,'The List'!$B1:$AS671,24,FALSE)," ")</f>
        <v xml:space="preserve"> </v>
      </c>
      <c r="R68" s="85" t="str" cm="1">
        <f t="array" ref="R68">IFERROR(VLOOKUP($A68,'The List'!$B1:$AS671,25,FALSE)," ")</f>
        <v xml:space="preserve"> </v>
      </c>
      <c r="S68" s="85" t="str" cm="1">
        <f t="array" ref="S68">IFERROR(VLOOKUP($A68,'The List'!$B1:$AS671,26,FALSE)," ")</f>
        <v xml:space="preserve"> </v>
      </c>
      <c r="T68" s="85" t="str" cm="1">
        <f t="array" ref="T68">IFERROR(VLOOKUP($A68,'The List'!$B1:$AS671,27,FALSE)," ")</f>
        <v xml:space="preserve"> </v>
      </c>
      <c r="U68" s="85" t="str" cm="1">
        <f t="array" ref="U68">IFERROR(VLOOKUP($A68,'The List'!$B1:$AS671,28,FALSE)," ")</f>
        <v xml:space="preserve"> </v>
      </c>
      <c r="V68" s="85" t="str" cm="1">
        <f t="array" ref="V68">IFERROR(VLOOKUP($A68,'The List'!$B1:$AS671,29,FALSE)," ")</f>
        <v xml:space="preserve"> </v>
      </c>
      <c r="W68" s="85" t="str" cm="1">
        <f t="array" ref="W68">IFERROR(VLOOKUP($A68,'The List'!$B1:$AS671,30,FALSE)," ")</f>
        <v xml:space="preserve"> </v>
      </c>
      <c r="X68" s="85" t="str" cm="1">
        <f t="array" ref="X68">IFERROR(VLOOKUP($A68,'The List'!$B1:$AS671,31,FALSE)," ")</f>
        <v xml:space="preserve"> </v>
      </c>
      <c r="Y68" s="85" t="str" cm="1">
        <f t="array" ref="Y68">IFERROR(VLOOKUP($A68,'The List'!$B1:$AS671,32,FALSE)," ")</f>
        <v xml:space="preserve"> </v>
      </c>
      <c r="Z68" s="85" t="str" cm="1">
        <f t="array" ref="Z68">IFERROR(VLOOKUP($A68,'The List'!$B1:$AS671,33,FALSE)," ")</f>
        <v xml:space="preserve"> </v>
      </c>
      <c r="AA68" s="86"/>
      <c r="AB68" s="91"/>
      <c r="AC68" s="91"/>
      <c r="AD68" s="91"/>
      <c r="AE68" s="91"/>
      <c r="AF68" s="91"/>
    </row>
    <row r="69" spans="1:32" ht="21.25" customHeight="1" x14ac:dyDescent="0.15">
      <c r="A69" s="24"/>
      <c r="B69" s="97" t="str" cm="1">
        <f t="array" ref="B69">IFERROR(VLOOKUP($A69,'The List'!$B1:$AS671,3,FALSE)," ")</f>
        <v xml:space="preserve"> </v>
      </c>
      <c r="C69" s="99" t="str" cm="1">
        <f t="array" ref="C69">IFERROR(VLOOKUP($A69,'The List'!$B1:$AS671,4,FALSE)," ")</f>
        <v xml:space="preserve"> </v>
      </c>
      <c r="D69" s="18" t="str" cm="1">
        <f t="array" ref="D69">IFERROR(VLOOKUP($A69,'The List'!$B1:$AS671,5,FALSE)," ")</f>
        <v xml:space="preserve"> </v>
      </c>
      <c r="E69" s="18" t="str" cm="1">
        <f t="array" ref="E69">IFERROR(VLOOKUP($A69,'The List'!$B1:$AS671,6,FALSE)," ")</f>
        <v xml:space="preserve"> </v>
      </c>
      <c r="F69" s="93" t="str" cm="1">
        <f t="array" ref="F69">IFERROR(VLOOKUP($A69,'The List'!$B1:$AS671,8,FALSE)," ")</f>
        <v xml:space="preserve"> </v>
      </c>
      <c r="G69" s="93" t="str" cm="1">
        <f t="array" ref="G69">IFERROR(VLOOKUP($A69,'The List'!$B1:$AS671,10,FALSE)," ")</f>
        <v xml:space="preserve"> </v>
      </c>
      <c r="H69" s="55"/>
      <c r="I69" s="85" t="str" cm="1">
        <f t="array" ref="I69">IFERROR(VLOOKUP($A69,'The List'!$B1:$AS671,16,FALSE)," ")</f>
        <v xml:space="preserve"> </v>
      </c>
      <c r="J69" s="85" t="str" cm="1">
        <f t="array" ref="J69">IFERROR(VLOOKUP($A69,'The List'!$B1:$AS671,17,FALSE)," ")</f>
        <v xml:space="preserve"> </v>
      </c>
      <c r="K69" s="85" t="str" cm="1">
        <f t="array" ref="K69">IFERROR(VLOOKUP($A69,'The List'!$B1:$AS671,18,FALSE)," ")</f>
        <v xml:space="preserve"> </v>
      </c>
      <c r="L69" s="85" t="str" cm="1">
        <f t="array" ref="L69">IFERROR(VLOOKUP($A69,'The List'!$B1:$AS671,19,FALSE)," ")</f>
        <v xml:space="preserve"> </v>
      </c>
      <c r="M69" s="85" t="str" cm="1">
        <f t="array" ref="M69">IFERROR(VLOOKUP($A69,'The List'!$B1:$AS671,20,FALSE)," ")</f>
        <v xml:space="preserve"> </v>
      </c>
      <c r="N69" s="85" t="str" cm="1">
        <f t="array" ref="N69">IFERROR(VLOOKUP($A69,'The List'!$B1:$AS671,21,FALSE)," ")</f>
        <v xml:space="preserve"> </v>
      </c>
      <c r="O69" s="85" t="str" cm="1">
        <f t="array" ref="O69">IFERROR(VLOOKUP($A69,'The List'!$B1:$AS671,22,FALSE)," ")</f>
        <v xml:space="preserve"> </v>
      </c>
      <c r="P69" s="85" t="str" cm="1">
        <f t="array" ref="P69">IFERROR(VLOOKUP($A69,'The List'!$B1:$AS671,23,FALSE)," ")</f>
        <v xml:space="preserve"> </v>
      </c>
      <c r="Q69" s="85" t="str" cm="1">
        <f t="array" ref="Q69">IFERROR(VLOOKUP($A69,'The List'!$B1:$AS671,24,FALSE)," ")</f>
        <v xml:space="preserve"> </v>
      </c>
      <c r="R69" s="85" t="str" cm="1">
        <f t="array" ref="R69">IFERROR(VLOOKUP($A69,'The List'!$B1:$AS671,25,FALSE)," ")</f>
        <v xml:space="preserve"> </v>
      </c>
      <c r="S69" s="85" t="str" cm="1">
        <f t="array" ref="S69">IFERROR(VLOOKUP($A69,'The List'!$B1:$AS671,26,FALSE)," ")</f>
        <v xml:space="preserve"> </v>
      </c>
      <c r="T69" s="85" t="str" cm="1">
        <f t="array" ref="T69">IFERROR(VLOOKUP($A69,'The List'!$B1:$AS671,27,FALSE)," ")</f>
        <v xml:space="preserve"> </v>
      </c>
      <c r="U69" s="85" t="str" cm="1">
        <f t="array" ref="U69">IFERROR(VLOOKUP($A69,'The List'!$B1:$AS671,28,FALSE)," ")</f>
        <v xml:space="preserve"> </v>
      </c>
      <c r="V69" s="85" t="str" cm="1">
        <f t="array" ref="V69">IFERROR(VLOOKUP($A69,'The List'!$B1:$AS671,29,FALSE)," ")</f>
        <v xml:space="preserve"> </v>
      </c>
      <c r="W69" s="85" t="str" cm="1">
        <f t="array" ref="W69">IFERROR(VLOOKUP($A69,'The List'!$B1:$AS671,30,FALSE)," ")</f>
        <v xml:space="preserve"> </v>
      </c>
      <c r="X69" s="85" t="str" cm="1">
        <f t="array" ref="X69">IFERROR(VLOOKUP($A69,'The List'!$B1:$AS671,31,FALSE)," ")</f>
        <v xml:space="preserve"> </v>
      </c>
      <c r="Y69" s="85" t="str" cm="1">
        <f t="array" ref="Y69">IFERROR(VLOOKUP($A69,'The List'!$B1:$AS671,32,FALSE)," ")</f>
        <v xml:space="preserve"> </v>
      </c>
      <c r="Z69" s="85" t="str" cm="1">
        <f t="array" ref="Z69">IFERROR(VLOOKUP($A69,'The List'!$B1:$AS671,33,FALSE)," ")</f>
        <v xml:space="preserve"> </v>
      </c>
      <c r="AA69" s="86"/>
      <c r="AB69" s="91"/>
      <c r="AC69" s="91"/>
      <c r="AD69" s="91"/>
      <c r="AE69" s="91"/>
      <c r="AF69" s="91"/>
    </row>
    <row r="70" spans="1:32" ht="21.25" customHeight="1" x14ac:dyDescent="0.15">
      <c r="A70" s="24"/>
      <c r="B70" s="97" t="str" cm="1">
        <f t="array" ref="B70">IFERROR(VLOOKUP($A70,'The List'!$B1:$AS671,3,FALSE)," ")</f>
        <v xml:space="preserve"> </v>
      </c>
      <c r="C70" s="99" t="str" cm="1">
        <f t="array" ref="C70">IFERROR(VLOOKUP($A70,'The List'!$B1:$AS671,4,FALSE)," ")</f>
        <v xml:space="preserve"> </v>
      </c>
      <c r="D70" s="18" t="str" cm="1">
        <f t="array" ref="D70">IFERROR(VLOOKUP($A70,'The List'!$B1:$AS671,5,FALSE)," ")</f>
        <v xml:space="preserve"> </v>
      </c>
      <c r="E70" s="18" t="str" cm="1">
        <f t="array" ref="E70">IFERROR(VLOOKUP($A70,'The List'!$B1:$AS671,6,FALSE)," ")</f>
        <v xml:space="preserve"> </v>
      </c>
      <c r="F70" s="93" t="str" cm="1">
        <f t="array" ref="F70">IFERROR(VLOOKUP($A70,'The List'!$B1:$AS671,8,FALSE)," ")</f>
        <v xml:space="preserve"> </v>
      </c>
      <c r="G70" s="93" t="str" cm="1">
        <f t="array" ref="G70">IFERROR(VLOOKUP($A70,'The List'!$B1:$AS671,10,FALSE)," ")</f>
        <v xml:space="preserve"> </v>
      </c>
      <c r="H70" s="55"/>
      <c r="I70" s="85" t="str" cm="1">
        <f t="array" ref="I70">IFERROR(VLOOKUP($A70,'The List'!$B1:$AS671,16,FALSE)," ")</f>
        <v xml:space="preserve"> </v>
      </c>
      <c r="J70" s="85" t="str" cm="1">
        <f t="array" ref="J70">IFERROR(VLOOKUP($A70,'The List'!$B1:$AS671,17,FALSE)," ")</f>
        <v xml:space="preserve"> </v>
      </c>
      <c r="K70" s="85" t="str" cm="1">
        <f t="array" ref="K70">IFERROR(VLOOKUP($A70,'The List'!$B1:$AS671,18,FALSE)," ")</f>
        <v xml:space="preserve"> </v>
      </c>
      <c r="L70" s="85" t="str" cm="1">
        <f t="array" ref="L70">IFERROR(VLOOKUP($A70,'The List'!$B1:$AS671,19,FALSE)," ")</f>
        <v xml:space="preserve"> </v>
      </c>
      <c r="M70" s="85" t="str" cm="1">
        <f t="array" ref="M70">IFERROR(VLOOKUP($A70,'The List'!$B1:$AS671,20,FALSE)," ")</f>
        <v xml:space="preserve"> </v>
      </c>
      <c r="N70" s="85" t="str" cm="1">
        <f t="array" ref="N70">IFERROR(VLOOKUP($A70,'The List'!$B1:$AS671,21,FALSE)," ")</f>
        <v xml:space="preserve"> </v>
      </c>
      <c r="O70" s="85" t="str" cm="1">
        <f t="array" ref="O70">IFERROR(VLOOKUP($A70,'The List'!$B1:$AS671,22,FALSE)," ")</f>
        <v xml:space="preserve"> </v>
      </c>
      <c r="P70" s="85" t="str" cm="1">
        <f t="array" ref="P70">IFERROR(VLOOKUP($A70,'The List'!$B1:$AS671,23,FALSE)," ")</f>
        <v xml:space="preserve"> </v>
      </c>
      <c r="Q70" s="85" t="str" cm="1">
        <f t="array" ref="Q70">IFERROR(VLOOKUP($A70,'The List'!$B1:$AS671,24,FALSE)," ")</f>
        <v xml:space="preserve"> </v>
      </c>
      <c r="R70" s="85" t="str" cm="1">
        <f t="array" ref="R70">IFERROR(VLOOKUP($A70,'The List'!$B1:$AS671,25,FALSE)," ")</f>
        <v xml:space="preserve"> </v>
      </c>
      <c r="S70" s="85" t="str" cm="1">
        <f t="array" ref="S70">IFERROR(VLOOKUP($A70,'The List'!$B1:$AS671,26,FALSE)," ")</f>
        <v xml:space="preserve"> </v>
      </c>
      <c r="T70" s="85" t="str" cm="1">
        <f t="array" ref="T70">IFERROR(VLOOKUP($A70,'The List'!$B1:$AS671,27,FALSE)," ")</f>
        <v xml:space="preserve"> </v>
      </c>
      <c r="U70" s="85" t="str" cm="1">
        <f t="array" ref="U70">IFERROR(VLOOKUP($A70,'The List'!$B1:$AS671,28,FALSE)," ")</f>
        <v xml:space="preserve"> </v>
      </c>
      <c r="V70" s="85" t="str" cm="1">
        <f t="array" ref="V70">IFERROR(VLOOKUP($A70,'The List'!$B1:$AS671,29,FALSE)," ")</f>
        <v xml:space="preserve"> </v>
      </c>
      <c r="W70" s="85" t="str" cm="1">
        <f t="array" ref="W70">IFERROR(VLOOKUP($A70,'The List'!$B1:$AS671,30,FALSE)," ")</f>
        <v xml:space="preserve"> </v>
      </c>
      <c r="X70" s="85" t="str" cm="1">
        <f t="array" ref="X70">IFERROR(VLOOKUP($A70,'The List'!$B1:$AS671,31,FALSE)," ")</f>
        <v xml:space="preserve"> </v>
      </c>
      <c r="Y70" s="85" t="str" cm="1">
        <f t="array" ref="Y70">IFERROR(VLOOKUP($A70,'The List'!$B1:$AS671,32,FALSE)," ")</f>
        <v xml:space="preserve"> </v>
      </c>
      <c r="Z70" s="85" t="str" cm="1">
        <f t="array" ref="Z70">IFERROR(VLOOKUP($A70,'The List'!$B1:$AS671,33,FALSE)," ")</f>
        <v xml:space="preserve"> </v>
      </c>
      <c r="AA70" s="86"/>
      <c r="AB70" s="91"/>
      <c r="AC70" s="91"/>
      <c r="AD70" s="91"/>
      <c r="AE70" s="91"/>
      <c r="AF70" s="91"/>
    </row>
    <row r="71" spans="1:32" ht="21.25" customHeight="1" x14ac:dyDescent="0.15">
      <c r="A71" s="24"/>
      <c r="B71" s="97" t="str" cm="1">
        <f t="array" ref="B71">IFERROR(VLOOKUP($A71,'The List'!$B1:$AS671,3,FALSE)," ")</f>
        <v xml:space="preserve"> </v>
      </c>
      <c r="C71" s="99" t="str" cm="1">
        <f t="array" ref="C71">IFERROR(VLOOKUP($A71,'The List'!$B1:$AS671,4,FALSE)," ")</f>
        <v xml:space="preserve"> </v>
      </c>
      <c r="D71" s="18" t="str" cm="1">
        <f t="array" ref="D71">IFERROR(VLOOKUP($A71,'The List'!$B1:$AS671,5,FALSE)," ")</f>
        <v xml:space="preserve"> </v>
      </c>
      <c r="E71" s="18" t="str" cm="1">
        <f t="array" ref="E71">IFERROR(VLOOKUP($A71,'The List'!$B1:$AS671,6,FALSE)," ")</f>
        <v xml:space="preserve"> </v>
      </c>
      <c r="F71" s="93" t="str" cm="1">
        <f t="array" ref="F71">IFERROR(VLOOKUP($A71,'The List'!$B1:$AS671,8,FALSE)," ")</f>
        <v xml:space="preserve"> </v>
      </c>
      <c r="G71" s="93" t="str" cm="1">
        <f t="array" ref="G71">IFERROR(VLOOKUP($A71,'The List'!$B1:$AS671,10,FALSE)," ")</f>
        <v xml:space="preserve"> </v>
      </c>
      <c r="H71" s="55"/>
      <c r="I71" s="85" t="str" cm="1">
        <f t="array" ref="I71">IFERROR(VLOOKUP($A71,'The List'!$B1:$AS671,16,FALSE)," ")</f>
        <v xml:space="preserve"> </v>
      </c>
      <c r="J71" s="85" t="str" cm="1">
        <f t="array" ref="J71">IFERROR(VLOOKUP($A71,'The List'!$B1:$AS671,17,FALSE)," ")</f>
        <v xml:space="preserve"> </v>
      </c>
      <c r="K71" s="85" t="str" cm="1">
        <f t="array" ref="K71">IFERROR(VLOOKUP($A71,'The List'!$B1:$AS671,18,FALSE)," ")</f>
        <v xml:space="preserve"> </v>
      </c>
      <c r="L71" s="85" t="str" cm="1">
        <f t="array" ref="L71">IFERROR(VLOOKUP($A71,'The List'!$B1:$AS671,19,FALSE)," ")</f>
        <v xml:space="preserve"> </v>
      </c>
      <c r="M71" s="85" t="str" cm="1">
        <f t="array" ref="M71">IFERROR(VLOOKUP($A71,'The List'!$B1:$AS671,20,FALSE)," ")</f>
        <v xml:space="preserve"> </v>
      </c>
      <c r="N71" s="85" t="str" cm="1">
        <f t="array" ref="N71">IFERROR(VLOOKUP($A71,'The List'!$B1:$AS671,21,FALSE)," ")</f>
        <v xml:space="preserve"> </v>
      </c>
      <c r="O71" s="85" t="str" cm="1">
        <f t="array" ref="O71">IFERROR(VLOOKUP($A71,'The List'!$B1:$AS671,22,FALSE)," ")</f>
        <v xml:space="preserve"> </v>
      </c>
      <c r="P71" s="85" t="str" cm="1">
        <f t="array" ref="P71">IFERROR(VLOOKUP($A71,'The List'!$B1:$AS671,23,FALSE)," ")</f>
        <v xml:space="preserve"> </v>
      </c>
      <c r="Q71" s="85" t="str" cm="1">
        <f t="array" ref="Q71">IFERROR(VLOOKUP($A71,'The List'!$B1:$AS671,24,FALSE)," ")</f>
        <v xml:space="preserve"> </v>
      </c>
      <c r="R71" s="85" t="str" cm="1">
        <f t="array" ref="R71">IFERROR(VLOOKUP($A71,'The List'!$B1:$AS671,25,FALSE)," ")</f>
        <v xml:space="preserve"> </v>
      </c>
      <c r="S71" s="85" t="str" cm="1">
        <f t="array" ref="S71">IFERROR(VLOOKUP($A71,'The List'!$B1:$AS671,26,FALSE)," ")</f>
        <v xml:space="preserve"> </v>
      </c>
      <c r="T71" s="85" t="str" cm="1">
        <f t="array" ref="T71">IFERROR(VLOOKUP($A71,'The List'!$B1:$AS671,27,FALSE)," ")</f>
        <v xml:space="preserve"> </v>
      </c>
      <c r="U71" s="85" t="str" cm="1">
        <f t="array" ref="U71">IFERROR(VLOOKUP($A71,'The List'!$B1:$AS671,28,FALSE)," ")</f>
        <v xml:space="preserve"> </v>
      </c>
      <c r="V71" s="85" t="str" cm="1">
        <f t="array" ref="V71">IFERROR(VLOOKUP($A71,'The List'!$B1:$AS671,29,FALSE)," ")</f>
        <v xml:space="preserve"> </v>
      </c>
      <c r="W71" s="85" t="str" cm="1">
        <f t="array" ref="W71">IFERROR(VLOOKUP($A71,'The List'!$B1:$AS671,30,FALSE)," ")</f>
        <v xml:space="preserve"> </v>
      </c>
      <c r="X71" s="85" t="str" cm="1">
        <f t="array" ref="X71">IFERROR(VLOOKUP($A71,'The List'!$B1:$AS671,31,FALSE)," ")</f>
        <v xml:space="preserve"> </v>
      </c>
      <c r="Y71" s="85" t="str" cm="1">
        <f t="array" ref="Y71">IFERROR(VLOOKUP($A71,'The List'!$B1:$AS671,32,FALSE)," ")</f>
        <v xml:space="preserve"> </v>
      </c>
      <c r="Z71" s="85" t="str" cm="1">
        <f t="array" ref="Z71">IFERROR(VLOOKUP($A71,'The List'!$B1:$AS671,33,FALSE)," ")</f>
        <v xml:space="preserve"> </v>
      </c>
      <c r="AA71" s="86"/>
      <c r="AB71" s="91"/>
      <c r="AC71" s="91"/>
      <c r="AD71" s="91"/>
      <c r="AE71" s="91"/>
      <c r="AF71" s="91"/>
    </row>
    <row r="72" spans="1:32" ht="21.25" customHeight="1" x14ac:dyDescent="0.15">
      <c r="A72" s="24"/>
      <c r="B72" s="100" t="str" cm="1">
        <f t="array" ref="B72">IFERROR(VLOOKUP($A72,'The List'!$B1:$AS671,3,FALSE)," ")</f>
        <v xml:space="preserve"> </v>
      </c>
      <c r="C72" s="102" t="str" cm="1">
        <f t="array" ref="C72">IFERROR(VLOOKUP($A72,'The List'!$B1:$AS671,4,FALSE)," ")</f>
        <v xml:space="preserve"> </v>
      </c>
      <c r="D72" s="18" t="str" cm="1">
        <f t="array" ref="D72">IFERROR(VLOOKUP($A72,'The List'!$B1:$AS671,5,FALSE)," ")</f>
        <v xml:space="preserve"> </v>
      </c>
      <c r="E72" s="18" t="str" cm="1">
        <f t="array" ref="E72">IFERROR(VLOOKUP($A72,'The List'!$B1:$AS671,6,FALSE)," ")</f>
        <v xml:space="preserve"> </v>
      </c>
      <c r="F72" s="93" t="str" cm="1">
        <f t="array" ref="F72">IFERROR(VLOOKUP($A72,'The List'!$B1:$AS671,8,FALSE)," ")</f>
        <v xml:space="preserve"> </v>
      </c>
      <c r="G72" s="93" t="str" cm="1">
        <f t="array" ref="G72">IFERROR(VLOOKUP($A72,'The List'!$B1:$AS671,10,FALSE)," ")</f>
        <v xml:space="preserve"> </v>
      </c>
      <c r="H72" s="55"/>
      <c r="I72" s="85" t="str" cm="1">
        <f t="array" ref="I72">IFERROR(VLOOKUP($A72,'The List'!$B1:$AS671,16,FALSE)," ")</f>
        <v xml:space="preserve"> </v>
      </c>
      <c r="J72" s="85" t="str" cm="1">
        <f t="array" ref="J72">IFERROR(VLOOKUP($A72,'The List'!$B1:$AS671,17,FALSE)," ")</f>
        <v xml:space="preserve"> </v>
      </c>
      <c r="K72" s="85" t="str" cm="1">
        <f t="array" ref="K72">IFERROR(VLOOKUP($A72,'The List'!$B1:$AS671,18,FALSE)," ")</f>
        <v xml:space="preserve"> </v>
      </c>
      <c r="L72" s="85" t="str" cm="1">
        <f t="array" ref="L72">IFERROR(VLOOKUP($A72,'The List'!$B1:$AS671,19,FALSE)," ")</f>
        <v xml:space="preserve"> </v>
      </c>
      <c r="M72" s="85" t="str" cm="1">
        <f t="array" ref="M72">IFERROR(VLOOKUP($A72,'The List'!$B1:$AS671,20,FALSE)," ")</f>
        <v xml:space="preserve"> </v>
      </c>
      <c r="N72" s="85" t="str" cm="1">
        <f t="array" ref="N72">IFERROR(VLOOKUP($A72,'The List'!$B1:$AS671,21,FALSE)," ")</f>
        <v xml:space="preserve"> </v>
      </c>
      <c r="O72" s="85" t="str" cm="1">
        <f t="array" ref="O72">IFERROR(VLOOKUP($A72,'The List'!$B1:$AS671,22,FALSE)," ")</f>
        <v xml:space="preserve"> </v>
      </c>
      <c r="P72" s="85" t="str" cm="1">
        <f t="array" ref="P72">IFERROR(VLOOKUP($A72,'The List'!$B1:$AS671,23,FALSE)," ")</f>
        <v xml:space="preserve"> </v>
      </c>
      <c r="Q72" s="85" t="str" cm="1">
        <f t="array" ref="Q72">IFERROR(VLOOKUP($A72,'The List'!$B1:$AS671,24,FALSE)," ")</f>
        <v xml:space="preserve"> </v>
      </c>
      <c r="R72" s="85" t="str" cm="1">
        <f t="array" ref="R72">IFERROR(VLOOKUP($A72,'The List'!$B1:$AS671,25,FALSE)," ")</f>
        <v xml:space="preserve"> </v>
      </c>
      <c r="S72" s="85" t="str" cm="1">
        <f t="array" ref="S72">IFERROR(VLOOKUP($A72,'The List'!$B1:$AS671,26,FALSE)," ")</f>
        <v xml:space="preserve"> </v>
      </c>
      <c r="T72" s="85" t="str" cm="1">
        <f t="array" ref="T72">IFERROR(VLOOKUP($A72,'The List'!$B1:$AS671,27,FALSE)," ")</f>
        <v xml:space="preserve"> </v>
      </c>
      <c r="U72" s="85" t="str" cm="1">
        <f t="array" ref="U72">IFERROR(VLOOKUP($A72,'The List'!$B1:$AS671,28,FALSE)," ")</f>
        <v xml:space="preserve"> </v>
      </c>
      <c r="V72" s="85" t="str" cm="1">
        <f t="array" ref="V72">IFERROR(VLOOKUP($A72,'The List'!$B1:$AS671,29,FALSE)," ")</f>
        <v xml:space="preserve"> </v>
      </c>
      <c r="W72" s="85" t="str" cm="1">
        <f t="array" ref="W72">IFERROR(VLOOKUP($A72,'The List'!$B1:$AS671,30,FALSE)," ")</f>
        <v xml:space="preserve"> </v>
      </c>
      <c r="X72" s="85" t="str" cm="1">
        <f t="array" ref="X72">IFERROR(VLOOKUP($A72,'The List'!$B1:$AS671,31,FALSE)," ")</f>
        <v xml:space="preserve"> </v>
      </c>
      <c r="Y72" s="85" t="str" cm="1">
        <f t="array" ref="Y72">IFERROR(VLOOKUP($A72,'The List'!$B1:$AS671,32,FALSE)," ")</f>
        <v xml:space="preserve"> </v>
      </c>
      <c r="Z72" s="85" t="str" cm="1">
        <f t="array" ref="Z72">IFERROR(VLOOKUP($A72,'The List'!$B1:$AS671,33,FALSE)," ")</f>
        <v xml:space="preserve"> </v>
      </c>
      <c r="AA72" s="86"/>
      <c r="AB72" s="91"/>
      <c r="AC72" s="91"/>
      <c r="AD72" s="91"/>
      <c r="AE72" s="91"/>
      <c r="AF72" s="91"/>
    </row>
    <row r="73" spans="1:32" ht="21.25" customHeight="1" x14ac:dyDescent="0.15">
      <c r="A73" s="24"/>
      <c r="B73" s="100" t="str" cm="1">
        <f t="array" ref="B73">IFERROR(VLOOKUP($A73,'The List'!$B1:$AS671,3,FALSE)," ")</f>
        <v xml:space="preserve"> </v>
      </c>
      <c r="C73" s="102" t="str" cm="1">
        <f t="array" ref="C73">IFERROR(VLOOKUP($A73,'The List'!$B1:$AS671,4,FALSE)," ")</f>
        <v xml:space="preserve"> </v>
      </c>
      <c r="D73" s="18" t="str" cm="1">
        <f t="array" ref="D73">IFERROR(VLOOKUP($A73,'The List'!$B1:$AS671,5,FALSE)," ")</f>
        <v xml:space="preserve"> </v>
      </c>
      <c r="E73" s="18" t="str" cm="1">
        <f t="array" ref="E73">IFERROR(VLOOKUP($A73,'The List'!$B1:$AS671,6,FALSE)," ")</f>
        <v xml:space="preserve"> </v>
      </c>
      <c r="F73" s="93" t="str" cm="1">
        <f t="array" ref="F73">IFERROR(VLOOKUP($A73,'The List'!$B1:$AS671,8,FALSE)," ")</f>
        <v xml:space="preserve"> </v>
      </c>
      <c r="G73" s="93" t="str" cm="1">
        <f t="array" ref="G73">IFERROR(VLOOKUP($A73,'The List'!$B1:$AS671,10,FALSE)," ")</f>
        <v xml:space="preserve"> </v>
      </c>
      <c r="H73" s="55"/>
      <c r="I73" s="85" t="str" cm="1">
        <f t="array" ref="I73">IFERROR(VLOOKUP($A73,'The List'!$B1:$AS671,16,FALSE)," ")</f>
        <v xml:space="preserve"> </v>
      </c>
      <c r="J73" s="85" t="str" cm="1">
        <f t="array" ref="J73">IFERROR(VLOOKUP($A73,'The List'!$B1:$AS671,17,FALSE)," ")</f>
        <v xml:space="preserve"> </v>
      </c>
      <c r="K73" s="85" t="str" cm="1">
        <f t="array" ref="K73">IFERROR(VLOOKUP($A73,'The List'!$B1:$AS671,18,FALSE)," ")</f>
        <v xml:space="preserve"> </v>
      </c>
      <c r="L73" s="85" t="str" cm="1">
        <f t="array" ref="L73">IFERROR(VLOOKUP($A73,'The List'!$B1:$AS671,19,FALSE)," ")</f>
        <v xml:space="preserve"> </v>
      </c>
      <c r="M73" s="85" t="str" cm="1">
        <f t="array" ref="M73">IFERROR(VLOOKUP($A73,'The List'!$B1:$AS671,20,FALSE)," ")</f>
        <v xml:space="preserve"> </v>
      </c>
      <c r="N73" s="85" t="str" cm="1">
        <f t="array" ref="N73">IFERROR(VLOOKUP($A73,'The List'!$B1:$AS671,21,FALSE)," ")</f>
        <v xml:space="preserve"> </v>
      </c>
      <c r="O73" s="85" t="str" cm="1">
        <f t="array" ref="O73">IFERROR(VLOOKUP($A73,'The List'!$B1:$AS671,22,FALSE)," ")</f>
        <v xml:space="preserve"> </v>
      </c>
      <c r="P73" s="85" t="str" cm="1">
        <f t="array" ref="P73">IFERROR(VLOOKUP($A73,'The List'!$B1:$AS671,23,FALSE)," ")</f>
        <v xml:space="preserve"> </v>
      </c>
      <c r="Q73" s="85" t="str" cm="1">
        <f t="array" ref="Q73">IFERROR(VLOOKUP($A73,'The List'!$B1:$AS671,24,FALSE)," ")</f>
        <v xml:space="preserve"> </v>
      </c>
      <c r="R73" s="85" t="str" cm="1">
        <f t="array" ref="R73">IFERROR(VLOOKUP($A73,'The List'!$B1:$AS671,25,FALSE)," ")</f>
        <v xml:space="preserve"> </v>
      </c>
      <c r="S73" s="85" t="str" cm="1">
        <f t="array" ref="S73">IFERROR(VLOOKUP($A73,'The List'!$B1:$AS671,26,FALSE)," ")</f>
        <v xml:space="preserve"> </v>
      </c>
      <c r="T73" s="85" t="str" cm="1">
        <f t="array" ref="T73">IFERROR(VLOOKUP($A73,'The List'!$B1:$AS671,27,FALSE)," ")</f>
        <v xml:space="preserve"> </v>
      </c>
      <c r="U73" s="85" t="str" cm="1">
        <f t="array" ref="U73">IFERROR(VLOOKUP($A73,'The List'!$B1:$AS671,28,FALSE)," ")</f>
        <v xml:space="preserve"> </v>
      </c>
      <c r="V73" s="85" t="str" cm="1">
        <f t="array" ref="V73">IFERROR(VLOOKUP($A73,'The List'!$B1:$AS671,29,FALSE)," ")</f>
        <v xml:space="preserve"> </v>
      </c>
      <c r="W73" s="85" t="str" cm="1">
        <f t="array" ref="W73">IFERROR(VLOOKUP($A73,'The List'!$B1:$AS671,30,FALSE)," ")</f>
        <v xml:space="preserve"> </v>
      </c>
      <c r="X73" s="85" t="str" cm="1">
        <f t="array" ref="X73">IFERROR(VLOOKUP($A73,'The List'!$B1:$AS671,31,FALSE)," ")</f>
        <v xml:space="preserve"> </v>
      </c>
      <c r="Y73" s="85" t="str" cm="1">
        <f t="array" ref="Y73">IFERROR(VLOOKUP($A73,'The List'!$B1:$AS671,32,FALSE)," ")</f>
        <v xml:space="preserve"> </v>
      </c>
      <c r="Z73" s="85" t="str" cm="1">
        <f t="array" ref="Z73">IFERROR(VLOOKUP($A73,'The List'!$B1:$AS671,33,FALSE)," ")</f>
        <v xml:space="preserve"> </v>
      </c>
      <c r="AA73" s="86"/>
      <c r="AB73" s="91"/>
      <c r="AC73" s="91"/>
      <c r="AD73" s="91"/>
      <c r="AE73" s="91"/>
      <c r="AF73" s="91"/>
    </row>
    <row r="74" spans="1:32" ht="21.25" customHeight="1" x14ac:dyDescent="0.15">
      <c r="A74" s="24"/>
      <c r="B74" s="100" t="str" cm="1">
        <f t="array" ref="B74">IFERROR(VLOOKUP($A74,'The List'!$B1:$AS671,3,FALSE)," ")</f>
        <v xml:space="preserve"> </v>
      </c>
      <c r="C74" s="102" t="str" cm="1">
        <f t="array" ref="C74">IFERROR(VLOOKUP($A74,'The List'!$B1:$AS671,4,FALSE)," ")</f>
        <v xml:space="preserve"> </v>
      </c>
      <c r="D74" s="18" t="str" cm="1">
        <f t="array" ref="D74">IFERROR(VLOOKUP($A74,'The List'!$B1:$AS671,5,FALSE)," ")</f>
        <v xml:space="preserve"> </v>
      </c>
      <c r="E74" s="18" t="str" cm="1">
        <f t="array" ref="E74">IFERROR(VLOOKUP($A74,'The List'!$B1:$AS671,6,FALSE)," ")</f>
        <v xml:space="preserve"> </v>
      </c>
      <c r="F74" s="93" t="str" cm="1">
        <f t="array" ref="F74">IFERROR(VLOOKUP($A74,'The List'!$B1:$AS671,8,FALSE)," ")</f>
        <v xml:space="preserve"> </v>
      </c>
      <c r="G74" s="93" t="str" cm="1">
        <f t="array" ref="G74">IFERROR(VLOOKUP($A74,'The List'!$B1:$AS671,10,FALSE)," ")</f>
        <v xml:space="preserve"> </v>
      </c>
      <c r="H74" s="55"/>
      <c r="I74" s="85" t="str" cm="1">
        <f t="array" ref="I74">IFERROR(VLOOKUP($A74,'The List'!$B1:$AS671,16,FALSE)," ")</f>
        <v xml:space="preserve"> </v>
      </c>
      <c r="J74" s="85" t="str" cm="1">
        <f t="array" ref="J74">IFERROR(VLOOKUP($A74,'The List'!$B1:$AS671,17,FALSE)," ")</f>
        <v xml:space="preserve"> </v>
      </c>
      <c r="K74" s="85" t="str" cm="1">
        <f t="array" ref="K74">IFERROR(VLOOKUP($A74,'The List'!$B1:$AS671,18,FALSE)," ")</f>
        <v xml:space="preserve"> </v>
      </c>
      <c r="L74" s="85" t="str" cm="1">
        <f t="array" ref="L74">IFERROR(VLOOKUP($A74,'The List'!$B1:$AS671,19,FALSE)," ")</f>
        <v xml:space="preserve"> </v>
      </c>
      <c r="M74" s="85" t="str" cm="1">
        <f t="array" ref="M74">IFERROR(VLOOKUP($A74,'The List'!$B1:$AS671,20,FALSE)," ")</f>
        <v xml:space="preserve"> </v>
      </c>
      <c r="N74" s="85" t="str" cm="1">
        <f t="array" ref="N74">IFERROR(VLOOKUP($A74,'The List'!$B1:$AS671,21,FALSE)," ")</f>
        <v xml:space="preserve"> </v>
      </c>
      <c r="O74" s="85" t="str" cm="1">
        <f t="array" ref="O74">IFERROR(VLOOKUP($A74,'The List'!$B1:$AS671,22,FALSE)," ")</f>
        <v xml:space="preserve"> </v>
      </c>
      <c r="P74" s="85" t="str" cm="1">
        <f t="array" ref="P74">IFERROR(VLOOKUP($A74,'The List'!$B1:$AS671,23,FALSE)," ")</f>
        <v xml:space="preserve"> </v>
      </c>
      <c r="Q74" s="85" t="str" cm="1">
        <f t="array" ref="Q74">IFERROR(VLOOKUP($A74,'The List'!$B1:$AS671,24,FALSE)," ")</f>
        <v xml:space="preserve"> </v>
      </c>
      <c r="R74" s="85" t="str" cm="1">
        <f t="array" ref="R74">IFERROR(VLOOKUP($A74,'The List'!$B1:$AS671,25,FALSE)," ")</f>
        <v xml:space="preserve"> </v>
      </c>
      <c r="S74" s="85" t="str" cm="1">
        <f t="array" ref="S74">IFERROR(VLOOKUP($A74,'The List'!$B1:$AS671,26,FALSE)," ")</f>
        <v xml:space="preserve"> </v>
      </c>
      <c r="T74" s="85" t="str" cm="1">
        <f t="array" ref="T74">IFERROR(VLOOKUP($A74,'The List'!$B1:$AS671,27,FALSE)," ")</f>
        <v xml:space="preserve"> </v>
      </c>
      <c r="U74" s="85" t="str" cm="1">
        <f t="array" ref="U74">IFERROR(VLOOKUP($A74,'The List'!$B1:$AS671,28,FALSE)," ")</f>
        <v xml:space="preserve"> </v>
      </c>
      <c r="V74" s="85" t="str" cm="1">
        <f t="array" ref="V74">IFERROR(VLOOKUP($A74,'The List'!$B1:$AS671,29,FALSE)," ")</f>
        <v xml:space="preserve"> </v>
      </c>
      <c r="W74" s="85" t="str" cm="1">
        <f t="array" ref="W74">IFERROR(VLOOKUP($A74,'The List'!$B1:$AS671,30,FALSE)," ")</f>
        <v xml:space="preserve"> </v>
      </c>
      <c r="X74" s="85" t="str" cm="1">
        <f t="array" ref="X74">IFERROR(VLOOKUP($A74,'The List'!$B1:$AS671,31,FALSE)," ")</f>
        <v xml:space="preserve"> </v>
      </c>
      <c r="Y74" s="85" t="str" cm="1">
        <f t="array" ref="Y74">IFERROR(VLOOKUP($A74,'The List'!$B1:$AS671,32,FALSE)," ")</f>
        <v xml:space="preserve"> </v>
      </c>
      <c r="Z74" s="85" t="str" cm="1">
        <f t="array" ref="Z74">IFERROR(VLOOKUP($A74,'The List'!$B1:$AS671,33,FALSE)," ")</f>
        <v xml:space="preserve"> </v>
      </c>
      <c r="AA74" s="86"/>
      <c r="AB74" s="91"/>
      <c r="AC74" s="91"/>
      <c r="AD74" s="91"/>
      <c r="AE74" s="91"/>
      <c r="AF74" s="91"/>
    </row>
    <row r="75" spans="1:32" ht="21.25" customHeight="1" x14ac:dyDescent="0.15">
      <c r="A75" s="24"/>
      <c r="B75" s="100" t="str" cm="1">
        <f t="array" ref="B75">IFERROR(VLOOKUP($A75,'The List'!$B1:$AS671,3,FALSE)," ")</f>
        <v xml:space="preserve"> </v>
      </c>
      <c r="C75" s="102" t="str" cm="1">
        <f t="array" ref="C75">IFERROR(VLOOKUP($A75,'The List'!$B1:$AS671,4,FALSE)," ")</f>
        <v xml:space="preserve"> </v>
      </c>
      <c r="D75" s="18" t="str" cm="1">
        <f t="array" ref="D75">IFERROR(VLOOKUP($A75,'The List'!$B1:$AS671,5,FALSE)," ")</f>
        <v xml:space="preserve"> </v>
      </c>
      <c r="E75" s="18" t="str" cm="1">
        <f t="array" ref="E75">IFERROR(VLOOKUP($A75,'The List'!$B1:$AS671,6,FALSE)," ")</f>
        <v xml:space="preserve"> </v>
      </c>
      <c r="F75" s="93" t="str" cm="1">
        <f t="array" ref="F75">IFERROR(VLOOKUP($A75,'The List'!$B1:$AS671,8,FALSE)," ")</f>
        <v xml:space="preserve"> </v>
      </c>
      <c r="G75" s="93" t="str" cm="1">
        <f t="array" ref="G75">IFERROR(VLOOKUP($A75,'The List'!$B1:$AS671,10,FALSE)," ")</f>
        <v xml:space="preserve"> </v>
      </c>
      <c r="H75" s="55"/>
      <c r="I75" s="85" t="str" cm="1">
        <f t="array" ref="I75">IFERROR(VLOOKUP($A75,'The List'!$B1:$AS671,16,FALSE)," ")</f>
        <v xml:space="preserve"> </v>
      </c>
      <c r="J75" s="85" t="str" cm="1">
        <f t="array" ref="J75">IFERROR(VLOOKUP($A75,'The List'!$B1:$AS671,17,FALSE)," ")</f>
        <v xml:space="preserve"> </v>
      </c>
      <c r="K75" s="85" t="str" cm="1">
        <f t="array" ref="K75">IFERROR(VLOOKUP($A75,'The List'!$B1:$AS671,18,FALSE)," ")</f>
        <v xml:space="preserve"> </v>
      </c>
      <c r="L75" s="85" t="str" cm="1">
        <f t="array" ref="L75">IFERROR(VLOOKUP($A75,'The List'!$B1:$AS671,19,FALSE)," ")</f>
        <v xml:space="preserve"> </v>
      </c>
      <c r="M75" s="85" t="str" cm="1">
        <f t="array" ref="M75">IFERROR(VLOOKUP($A75,'The List'!$B1:$AS671,20,FALSE)," ")</f>
        <v xml:space="preserve"> </v>
      </c>
      <c r="N75" s="85" t="str" cm="1">
        <f t="array" ref="N75">IFERROR(VLOOKUP($A75,'The List'!$B1:$AS671,21,FALSE)," ")</f>
        <v xml:space="preserve"> </v>
      </c>
      <c r="O75" s="85" t="str" cm="1">
        <f t="array" ref="O75">IFERROR(VLOOKUP($A75,'The List'!$B1:$AS671,22,FALSE)," ")</f>
        <v xml:space="preserve"> </v>
      </c>
      <c r="P75" s="85" t="str" cm="1">
        <f t="array" ref="P75">IFERROR(VLOOKUP($A75,'The List'!$B1:$AS671,23,FALSE)," ")</f>
        <v xml:space="preserve"> </v>
      </c>
      <c r="Q75" s="85" t="str" cm="1">
        <f t="array" ref="Q75">IFERROR(VLOOKUP($A75,'The List'!$B1:$AS671,24,FALSE)," ")</f>
        <v xml:space="preserve"> </v>
      </c>
      <c r="R75" s="85" t="str" cm="1">
        <f t="array" ref="R75">IFERROR(VLOOKUP($A75,'The List'!$B1:$AS671,25,FALSE)," ")</f>
        <v xml:space="preserve"> </v>
      </c>
      <c r="S75" s="85" t="str" cm="1">
        <f t="array" ref="S75">IFERROR(VLOOKUP($A75,'The List'!$B1:$AS671,26,FALSE)," ")</f>
        <v xml:space="preserve"> </v>
      </c>
      <c r="T75" s="85" t="str" cm="1">
        <f t="array" ref="T75">IFERROR(VLOOKUP($A75,'The List'!$B1:$AS671,27,FALSE)," ")</f>
        <v xml:space="preserve"> </v>
      </c>
      <c r="U75" s="85" t="str" cm="1">
        <f t="array" ref="U75">IFERROR(VLOOKUP($A75,'The List'!$B1:$AS671,28,FALSE)," ")</f>
        <v xml:space="preserve"> </v>
      </c>
      <c r="V75" s="85" t="str" cm="1">
        <f t="array" ref="V75">IFERROR(VLOOKUP($A75,'The List'!$B1:$AS671,29,FALSE)," ")</f>
        <v xml:space="preserve"> </v>
      </c>
      <c r="W75" s="85" t="str" cm="1">
        <f t="array" ref="W75">IFERROR(VLOOKUP($A75,'The List'!$B1:$AS671,30,FALSE)," ")</f>
        <v xml:space="preserve"> </v>
      </c>
      <c r="X75" s="85" t="str" cm="1">
        <f t="array" ref="X75">IFERROR(VLOOKUP($A75,'The List'!$B1:$AS671,31,FALSE)," ")</f>
        <v xml:space="preserve"> </v>
      </c>
      <c r="Y75" s="85" t="str" cm="1">
        <f t="array" ref="Y75">IFERROR(VLOOKUP($A75,'The List'!$B1:$AS671,32,FALSE)," ")</f>
        <v xml:space="preserve"> </v>
      </c>
      <c r="Z75" s="85" t="str" cm="1">
        <f t="array" ref="Z75">IFERROR(VLOOKUP($A75,'The List'!$B1:$AS671,33,FALSE)," ")</f>
        <v xml:space="preserve"> </v>
      </c>
      <c r="AA75" s="86"/>
      <c r="AB75" s="91"/>
      <c r="AC75" s="91"/>
      <c r="AD75" s="91"/>
      <c r="AE75" s="91"/>
      <c r="AF75" s="91"/>
    </row>
    <row r="76" spans="1:32" ht="21.25" customHeight="1" x14ac:dyDescent="0.15">
      <c r="A76" s="24"/>
      <c r="B76" s="100" t="str" cm="1">
        <f t="array" ref="B76">IFERROR(VLOOKUP($A76,'The List'!$B1:$AS671,3,FALSE)," ")</f>
        <v xml:space="preserve"> </v>
      </c>
      <c r="C76" s="102" t="str" cm="1">
        <f t="array" ref="C76">IFERROR(VLOOKUP($A76,'The List'!$B1:$AS671,4,FALSE)," ")</f>
        <v xml:space="preserve"> </v>
      </c>
      <c r="D76" s="18" t="str" cm="1">
        <f t="array" ref="D76">IFERROR(VLOOKUP($A76,'The List'!$B1:$AS671,5,FALSE)," ")</f>
        <v xml:space="preserve"> </v>
      </c>
      <c r="E76" s="18" t="str" cm="1">
        <f t="array" ref="E76">IFERROR(VLOOKUP($A76,'The List'!$B1:$AS671,6,FALSE)," ")</f>
        <v xml:space="preserve"> </v>
      </c>
      <c r="F76" s="93" t="str" cm="1">
        <f t="array" ref="F76">IFERROR(VLOOKUP($A76,'The List'!$B1:$AS671,8,FALSE)," ")</f>
        <v xml:space="preserve"> </v>
      </c>
      <c r="G76" s="93" t="str" cm="1">
        <f t="array" ref="G76">IFERROR(VLOOKUP($A76,'The List'!$B1:$AS671,10,FALSE)," ")</f>
        <v xml:space="preserve"> </v>
      </c>
      <c r="H76" s="55"/>
      <c r="I76" s="85" t="str" cm="1">
        <f t="array" ref="I76">IFERROR(VLOOKUP($A76,'The List'!$B1:$AS671,16,FALSE)," ")</f>
        <v xml:space="preserve"> </v>
      </c>
      <c r="J76" s="85" t="str" cm="1">
        <f t="array" ref="J76">IFERROR(VLOOKUP($A76,'The List'!$B1:$AS671,17,FALSE)," ")</f>
        <v xml:space="preserve"> </v>
      </c>
      <c r="K76" s="85" t="str" cm="1">
        <f t="array" ref="K76">IFERROR(VLOOKUP($A76,'The List'!$B1:$AS671,18,FALSE)," ")</f>
        <v xml:space="preserve"> </v>
      </c>
      <c r="L76" s="85" t="str" cm="1">
        <f t="array" ref="L76">IFERROR(VLOOKUP($A76,'The List'!$B1:$AS671,19,FALSE)," ")</f>
        <v xml:space="preserve"> </v>
      </c>
      <c r="M76" s="85" t="str" cm="1">
        <f t="array" ref="M76">IFERROR(VLOOKUP($A76,'The List'!$B1:$AS671,20,FALSE)," ")</f>
        <v xml:space="preserve"> </v>
      </c>
      <c r="N76" s="85" t="str" cm="1">
        <f t="array" ref="N76">IFERROR(VLOOKUP($A76,'The List'!$B1:$AS671,21,FALSE)," ")</f>
        <v xml:space="preserve"> </v>
      </c>
      <c r="O76" s="85" t="str" cm="1">
        <f t="array" ref="O76">IFERROR(VLOOKUP($A76,'The List'!$B1:$AS671,22,FALSE)," ")</f>
        <v xml:space="preserve"> </v>
      </c>
      <c r="P76" s="85" t="str" cm="1">
        <f t="array" ref="P76">IFERROR(VLOOKUP($A76,'The List'!$B1:$AS671,23,FALSE)," ")</f>
        <v xml:space="preserve"> </v>
      </c>
      <c r="Q76" s="85" t="str" cm="1">
        <f t="array" ref="Q76">IFERROR(VLOOKUP($A76,'The List'!$B1:$AS671,24,FALSE)," ")</f>
        <v xml:space="preserve"> </v>
      </c>
      <c r="R76" s="85" t="str" cm="1">
        <f t="array" ref="R76">IFERROR(VLOOKUP($A76,'The List'!$B1:$AS671,25,FALSE)," ")</f>
        <v xml:space="preserve"> </v>
      </c>
      <c r="S76" s="85" t="str" cm="1">
        <f t="array" ref="S76">IFERROR(VLOOKUP($A76,'The List'!$B1:$AS671,26,FALSE)," ")</f>
        <v xml:space="preserve"> </v>
      </c>
      <c r="T76" s="85" t="str" cm="1">
        <f t="array" ref="T76">IFERROR(VLOOKUP($A76,'The List'!$B1:$AS671,27,FALSE)," ")</f>
        <v xml:space="preserve"> </v>
      </c>
      <c r="U76" s="85" t="str" cm="1">
        <f t="array" ref="U76">IFERROR(VLOOKUP($A76,'The List'!$B1:$AS671,28,FALSE)," ")</f>
        <v xml:space="preserve"> </v>
      </c>
      <c r="V76" s="85" t="str" cm="1">
        <f t="array" ref="V76">IFERROR(VLOOKUP($A76,'The List'!$B1:$AS671,29,FALSE)," ")</f>
        <v xml:space="preserve"> </v>
      </c>
      <c r="W76" s="85" t="str" cm="1">
        <f t="array" ref="W76">IFERROR(VLOOKUP($A76,'The List'!$B1:$AS671,30,FALSE)," ")</f>
        <v xml:space="preserve"> </v>
      </c>
      <c r="X76" s="85" t="str" cm="1">
        <f t="array" ref="X76">IFERROR(VLOOKUP($A76,'The List'!$B1:$AS671,31,FALSE)," ")</f>
        <v xml:space="preserve"> </v>
      </c>
      <c r="Y76" s="85" t="str" cm="1">
        <f t="array" ref="Y76">IFERROR(VLOOKUP($A76,'The List'!$B1:$AS671,32,FALSE)," ")</f>
        <v xml:space="preserve"> </v>
      </c>
      <c r="Z76" s="85" t="str" cm="1">
        <f t="array" ref="Z76">IFERROR(VLOOKUP($A76,'The List'!$B1:$AS671,33,FALSE)," ")</f>
        <v xml:space="preserve"> </v>
      </c>
      <c r="AA76" s="86"/>
      <c r="AB76" s="91"/>
      <c r="AC76" s="91"/>
      <c r="AD76" s="91"/>
      <c r="AE76" s="91"/>
      <c r="AF76" s="91"/>
    </row>
    <row r="77" spans="1:32" ht="21.25" customHeight="1" x14ac:dyDescent="0.15">
      <c r="A77" s="24"/>
      <c r="B77" s="100" t="str" cm="1">
        <f t="array" ref="B77">IFERROR(VLOOKUP($A77,'The List'!$B1:$AS671,3,FALSE)," ")</f>
        <v xml:space="preserve"> </v>
      </c>
      <c r="C77" s="102" t="str" cm="1">
        <f t="array" ref="C77">IFERROR(VLOOKUP($A77,'The List'!$B1:$AS671,4,FALSE)," ")</f>
        <v xml:space="preserve"> </v>
      </c>
      <c r="D77" s="18" t="str" cm="1">
        <f t="array" ref="D77">IFERROR(VLOOKUP($A77,'The List'!$B1:$AS671,5,FALSE)," ")</f>
        <v xml:space="preserve"> </v>
      </c>
      <c r="E77" s="18" t="str" cm="1">
        <f t="array" ref="E77">IFERROR(VLOOKUP($A77,'The List'!$B1:$AS671,6,FALSE)," ")</f>
        <v xml:space="preserve"> </v>
      </c>
      <c r="F77" s="93" t="str" cm="1">
        <f t="array" ref="F77">IFERROR(VLOOKUP($A77,'The List'!$B1:$AS671,8,FALSE)," ")</f>
        <v xml:space="preserve"> </v>
      </c>
      <c r="G77" s="93" t="str" cm="1">
        <f t="array" ref="G77">IFERROR(VLOOKUP($A77,'The List'!$B1:$AS671,10,FALSE)," ")</f>
        <v xml:space="preserve"> </v>
      </c>
      <c r="H77" s="55"/>
      <c r="I77" s="85" t="str" cm="1">
        <f t="array" ref="I77">IFERROR(VLOOKUP($A77,'The List'!$B1:$AS671,16,FALSE)," ")</f>
        <v xml:space="preserve"> </v>
      </c>
      <c r="J77" s="85" t="str" cm="1">
        <f t="array" ref="J77">IFERROR(VLOOKUP($A77,'The List'!$B1:$AS671,17,FALSE)," ")</f>
        <v xml:space="preserve"> </v>
      </c>
      <c r="K77" s="85" t="str" cm="1">
        <f t="array" ref="K77">IFERROR(VLOOKUP($A77,'The List'!$B1:$AS671,18,FALSE)," ")</f>
        <v xml:space="preserve"> </v>
      </c>
      <c r="L77" s="85" t="str" cm="1">
        <f t="array" ref="L77">IFERROR(VLOOKUP($A77,'The List'!$B1:$AS671,19,FALSE)," ")</f>
        <v xml:space="preserve"> </v>
      </c>
      <c r="M77" s="85" t="str" cm="1">
        <f t="array" ref="M77">IFERROR(VLOOKUP($A77,'The List'!$B1:$AS671,20,FALSE)," ")</f>
        <v xml:space="preserve"> </v>
      </c>
      <c r="N77" s="85" t="str" cm="1">
        <f t="array" ref="N77">IFERROR(VLOOKUP($A77,'The List'!$B1:$AS671,21,FALSE)," ")</f>
        <v xml:space="preserve"> </v>
      </c>
      <c r="O77" s="85" t="str" cm="1">
        <f t="array" ref="O77">IFERROR(VLOOKUP($A77,'The List'!$B1:$AS671,22,FALSE)," ")</f>
        <v xml:space="preserve"> </v>
      </c>
      <c r="P77" s="85" t="str" cm="1">
        <f t="array" ref="P77">IFERROR(VLOOKUP($A77,'The List'!$B1:$AS671,23,FALSE)," ")</f>
        <v xml:space="preserve"> </v>
      </c>
      <c r="Q77" s="85" t="str" cm="1">
        <f t="array" ref="Q77">IFERROR(VLOOKUP($A77,'The List'!$B1:$AS671,24,FALSE)," ")</f>
        <v xml:space="preserve"> </v>
      </c>
      <c r="R77" s="85" t="str" cm="1">
        <f t="array" ref="R77">IFERROR(VLOOKUP($A77,'The List'!$B1:$AS671,25,FALSE)," ")</f>
        <v xml:space="preserve"> </v>
      </c>
      <c r="S77" s="85" t="str" cm="1">
        <f t="array" ref="S77">IFERROR(VLOOKUP($A77,'The List'!$B1:$AS671,26,FALSE)," ")</f>
        <v xml:space="preserve"> </v>
      </c>
      <c r="T77" s="85" t="str" cm="1">
        <f t="array" ref="T77">IFERROR(VLOOKUP($A77,'The List'!$B1:$AS671,27,FALSE)," ")</f>
        <v xml:space="preserve"> </v>
      </c>
      <c r="U77" s="85" t="str" cm="1">
        <f t="array" ref="U77">IFERROR(VLOOKUP($A77,'The List'!$B1:$AS671,28,FALSE)," ")</f>
        <v xml:space="preserve"> </v>
      </c>
      <c r="V77" s="85" t="str" cm="1">
        <f t="array" ref="V77">IFERROR(VLOOKUP($A77,'The List'!$B1:$AS671,29,FALSE)," ")</f>
        <v xml:space="preserve"> </v>
      </c>
      <c r="W77" s="85" t="str" cm="1">
        <f t="array" ref="W77">IFERROR(VLOOKUP($A77,'The List'!$B1:$AS671,30,FALSE)," ")</f>
        <v xml:space="preserve"> </v>
      </c>
      <c r="X77" s="85" t="str" cm="1">
        <f t="array" ref="X77">IFERROR(VLOOKUP($A77,'The List'!$B1:$AS671,31,FALSE)," ")</f>
        <v xml:space="preserve"> </v>
      </c>
      <c r="Y77" s="85" t="str" cm="1">
        <f t="array" ref="Y77">IFERROR(VLOOKUP($A77,'The List'!$B1:$AS671,32,FALSE)," ")</f>
        <v xml:space="preserve"> </v>
      </c>
      <c r="Z77" s="85" t="str" cm="1">
        <f t="array" ref="Z77">IFERROR(VLOOKUP($A77,'The List'!$B1:$AS671,33,FALSE)," ")</f>
        <v xml:space="preserve"> </v>
      </c>
      <c r="AA77" s="86"/>
      <c r="AB77" s="91"/>
      <c r="AC77" s="91"/>
      <c r="AD77" s="91"/>
      <c r="AE77" s="91"/>
      <c r="AF77" s="91"/>
    </row>
    <row r="78" spans="1:32" ht="21.25" customHeight="1" x14ac:dyDescent="0.15">
      <c r="A78" s="24"/>
      <c r="B78" s="100" t="str" cm="1">
        <f t="array" ref="B78">IFERROR(VLOOKUP($A78,'The List'!$B1:$AS671,3,FALSE)," ")</f>
        <v xml:space="preserve"> </v>
      </c>
      <c r="C78" s="102" t="str" cm="1">
        <f t="array" ref="C78">IFERROR(VLOOKUP($A78,'The List'!$B1:$AS671,4,FALSE)," ")</f>
        <v xml:space="preserve"> </v>
      </c>
      <c r="D78" s="18" t="str" cm="1">
        <f t="array" ref="D78">IFERROR(VLOOKUP($A78,'The List'!$B1:$AS671,5,FALSE)," ")</f>
        <v xml:space="preserve"> </v>
      </c>
      <c r="E78" s="18" t="str" cm="1">
        <f t="array" ref="E78">IFERROR(VLOOKUP($A78,'The List'!$B1:$AS671,6,FALSE)," ")</f>
        <v xml:space="preserve"> </v>
      </c>
      <c r="F78" s="93" t="str" cm="1">
        <f t="array" ref="F78">IFERROR(VLOOKUP($A78,'The List'!$B1:$AS671,8,FALSE)," ")</f>
        <v xml:space="preserve"> </v>
      </c>
      <c r="G78" s="93" t="str" cm="1">
        <f t="array" ref="G78">IFERROR(VLOOKUP($A78,'The List'!$B1:$AS671,10,FALSE)," ")</f>
        <v xml:space="preserve"> </v>
      </c>
      <c r="H78" s="55"/>
      <c r="I78" s="85" t="str" cm="1">
        <f t="array" ref="I78">IFERROR(VLOOKUP($A78,'The List'!$B1:$AS671,16,FALSE)," ")</f>
        <v xml:space="preserve"> </v>
      </c>
      <c r="J78" s="85" t="str" cm="1">
        <f t="array" ref="J78">IFERROR(VLOOKUP($A78,'The List'!$B1:$AS671,17,FALSE)," ")</f>
        <v xml:space="preserve"> </v>
      </c>
      <c r="K78" s="85" t="str" cm="1">
        <f t="array" ref="K78">IFERROR(VLOOKUP($A78,'The List'!$B1:$AS671,18,FALSE)," ")</f>
        <v xml:space="preserve"> </v>
      </c>
      <c r="L78" s="85" t="str" cm="1">
        <f t="array" ref="L78">IFERROR(VLOOKUP($A78,'The List'!$B1:$AS671,19,FALSE)," ")</f>
        <v xml:space="preserve"> </v>
      </c>
      <c r="M78" s="85" t="str" cm="1">
        <f t="array" ref="M78">IFERROR(VLOOKUP($A78,'The List'!$B1:$AS671,20,FALSE)," ")</f>
        <v xml:space="preserve"> </v>
      </c>
      <c r="N78" s="85" t="str" cm="1">
        <f t="array" ref="N78">IFERROR(VLOOKUP($A78,'The List'!$B1:$AS671,21,FALSE)," ")</f>
        <v xml:space="preserve"> </v>
      </c>
      <c r="O78" s="85" t="str" cm="1">
        <f t="array" ref="O78">IFERROR(VLOOKUP($A78,'The List'!$B1:$AS671,22,FALSE)," ")</f>
        <v xml:space="preserve"> </v>
      </c>
      <c r="P78" s="85" t="str" cm="1">
        <f t="array" ref="P78">IFERROR(VLOOKUP($A78,'The List'!$B1:$AS671,23,FALSE)," ")</f>
        <v xml:space="preserve"> </v>
      </c>
      <c r="Q78" s="85" t="str" cm="1">
        <f t="array" ref="Q78">IFERROR(VLOOKUP($A78,'The List'!$B1:$AS671,24,FALSE)," ")</f>
        <v xml:space="preserve"> </v>
      </c>
      <c r="R78" s="85" t="str" cm="1">
        <f t="array" ref="R78">IFERROR(VLOOKUP($A78,'The List'!$B1:$AS671,25,FALSE)," ")</f>
        <v xml:space="preserve"> </v>
      </c>
      <c r="S78" s="85" t="str" cm="1">
        <f t="array" ref="S78">IFERROR(VLOOKUP($A78,'The List'!$B1:$AS671,26,FALSE)," ")</f>
        <v xml:space="preserve"> </v>
      </c>
      <c r="T78" s="85" t="str" cm="1">
        <f t="array" ref="T78">IFERROR(VLOOKUP($A78,'The List'!$B1:$AS671,27,FALSE)," ")</f>
        <v xml:space="preserve"> </v>
      </c>
      <c r="U78" s="85" t="str" cm="1">
        <f t="array" ref="U78">IFERROR(VLOOKUP($A78,'The List'!$B1:$AS671,28,FALSE)," ")</f>
        <v xml:space="preserve"> </v>
      </c>
      <c r="V78" s="85" t="str" cm="1">
        <f t="array" ref="V78">IFERROR(VLOOKUP($A78,'The List'!$B1:$AS671,29,FALSE)," ")</f>
        <v xml:space="preserve"> </v>
      </c>
      <c r="W78" s="85" t="str" cm="1">
        <f t="array" ref="W78">IFERROR(VLOOKUP($A78,'The List'!$B1:$AS671,30,FALSE)," ")</f>
        <v xml:space="preserve"> </v>
      </c>
      <c r="X78" s="85" t="str" cm="1">
        <f t="array" ref="X78">IFERROR(VLOOKUP($A78,'The List'!$B1:$AS671,31,FALSE)," ")</f>
        <v xml:space="preserve"> </v>
      </c>
      <c r="Y78" s="85" t="str" cm="1">
        <f t="array" ref="Y78">IFERROR(VLOOKUP($A78,'The List'!$B1:$AS671,32,FALSE)," ")</f>
        <v xml:space="preserve"> </v>
      </c>
      <c r="Z78" s="85" t="str" cm="1">
        <f t="array" ref="Z78">IFERROR(VLOOKUP($A78,'The List'!$B1:$AS671,33,FALSE)," ")</f>
        <v xml:space="preserve"> </v>
      </c>
      <c r="AA78" s="86"/>
      <c r="AB78" s="91"/>
      <c r="AC78" s="91"/>
      <c r="AD78" s="91"/>
      <c r="AE78" s="91"/>
      <c r="AF78" s="91"/>
    </row>
    <row r="79" spans="1:32" ht="21.25" customHeight="1" x14ac:dyDescent="0.15">
      <c r="A79" s="104"/>
      <c r="B79" s="105" t="str" cm="1">
        <f t="array" ref="B79">IFERROR(VLOOKUP($A79,'The List'!$B1:$AS671,3,FALSE)," ")</f>
        <v xml:space="preserve"> </v>
      </c>
      <c r="C79" s="106" t="str" cm="1">
        <f t="array" ref="C79">IFERROR(VLOOKUP($A79,'The List'!$B1:$AS671,4,FALSE)," ")</f>
        <v xml:space="preserve"> </v>
      </c>
      <c r="D79" s="107" t="str" cm="1">
        <f t="array" ref="D79">IFERROR(VLOOKUP($A79,'The List'!$B1:$AS671,5,FALSE)," ")</f>
        <v xml:space="preserve"> </v>
      </c>
      <c r="E79" s="107" t="str" cm="1">
        <f t="array" ref="E79">IFERROR(VLOOKUP($A79,'The List'!$B1:$AS671,6,FALSE)," ")</f>
        <v xml:space="preserve"> </v>
      </c>
      <c r="F79" s="108" t="str" cm="1">
        <f t="array" ref="F79">IFERROR(VLOOKUP($A79,'The List'!$B1:$AS671,8,FALSE)," ")</f>
        <v xml:space="preserve"> </v>
      </c>
      <c r="G79" s="108" t="str" cm="1">
        <f t="array" ref="G79">IFERROR(VLOOKUP($A79,'The List'!$B1:$AS671,10,FALSE)," ")</f>
        <v xml:space="preserve"> </v>
      </c>
      <c r="H79" s="109"/>
      <c r="I79" s="110" t="str" cm="1">
        <f t="array" ref="I79">IFERROR(VLOOKUP($A79,'The List'!$B1:$AS671,16,FALSE)," ")</f>
        <v xml:space="preserve"> </v>
      </c>
      <c r="J79" s="110" t="str" cm="1">
        <f t="array" ref="J79">IFERROR(VLOOKUP($A79,'The List'!$B1:$AS671,17,FALSE)," ")</f>
        <v xml:space="preserve"> </v>
      </c>
      <c r="K79" s="110" t="str" cm="1">
        <f t="array" ref="K79">IFERROR(VLOOKUP($A79,'The List'!$B1:$AS671,18,FALSE)," ")</f>
        <v xml:space="preserve"> </v>
      </c>
      <c r="L79" s="110" t="str" cm="1">
        <f t="array" ref="L79">IFERROR(VLOOKUP($A79,'The List'!$B1:$AS671,19,FALSE)," ")</f>
        <v xml:space="preserve"> </v>
      </c>
      <c r="M79" s="110" t="str" cm="1">
        <f t="array" ref="M79">IFERROR(VLOOKUP($A79,'The List'!$B1:$AS671,20,FALSE)," ")</f>
        <v xml:space="preserve"> </v>
      </c>
      <c r="N79" s="110" t="str" cm="1">
        <f t="array" ref="N79">IFERROR(VLOOKUP($A79,'The List'!$B1:$AS671,21,FALSE)," ")</f>
        <v xml:space="preserve"> </v>
      </c>
      <c r="O79" s="110" t="str" cm="1">
        <f t="array" ref="O79">IFERROR(VLOOKUP($A79,'The List'!$B1:$AS671,22,FALSE)," ")</f>
        <v xml:space="preserve"> </v>
      </c>
      <c r="P79" s="110" t="str" cm="1">
        <f t="array" ref="P79">IFERROR(VLOOKUP($A79,'The List'!$B1:$AS671,23,FALSE)," ")</f>
        <v xml:space="preserve"> </v>
      </c>
      <c r="Q79" s="110" t="str" cm="1">
        <f t="array" ref="Q79">IFERROR(VLOOKUP($A79,'The List'!$B1:$AS671,24,FALSE)," ")</f>
        <v xml:space="preserve"> </v>
      </c>
      <c r="R79" s="110" t="str" cm="1">
        <f t="array" ref="R79">IFERROR(VLOOKUP($A79,'The List'!$B1:$AS671,25,FALSE)," ")</f>
        <v xml:space="preserve"> </v>
      </c>
      <c r="S79" s="110" t="str" cm="1">
        <f t="array" ref="S79">IFERROR(VLOOKUP($A79,'The List'!$B1:$AS671,26,FALSE)," ")</f>
        <v xml:space="preserve"> </v>
      </c>
      <c r="T79" s="110" t="str" cm="1">
        <f t="array" ref="T79">IFERROR(VLOOKUP($A79,'The List'!$B1:$AS671,27,FALSE)," ")</f>
        <v xml:space="preserve"> </v>
      </c>
      <c r="U79" s="110" t="str" cm="1">
        <f t="array" ref="U79">IFERROR(VLOOKUP($A79,'The List'!$B1:$AS671,28,FALSE)," ")</f>
        <v xml:space="preserve"> </v>
      </c>
      <c r="V79" s="110" t="str" cm="1">
        <f t="array" ref="V79">IFERROR(VLOOKUP($A79,'The List'!$B1:$AS671,29,FALSE)," ")</f>
        <v xml:space="preserve"> </v>
      </c>
      <c r="W79" s="110" t="str" cm="1">
        <f t="array" ref="W79">IFERROR(VLOOKUP($A79,'The List'!$B1:$AS671,30,FALSE)," ")</f>
        <v xml:space="preserve"> </v>
      </c>
      <c r="X79" s="110" t="str" cm="1">
        <f t="array" ref="X79">IFERROR(VLOOKUP($A79,'The List'!$B1:$AS671,31,FALSE)," ")</f>
        <v xml:space="preserve"> </v>
      </c>
      <c r="Y79" s="110" t="str" cm="1">
        <f t="array" ref="Y79">IFERROR(VLOOKUP($A79,'The List'!$B1:$AS671,32,FALSE)," ")</f>
        <v xml:space="preserve"> </v>
      </c>
      <c r="Z79" s="110" t="str" cm="1">
        <f t="array" ref="Z79">IFERROR(VLOOKUP($A79,'The List'!$B1:$AS671,33,FALSE)," ")</f>
        <v xml:space="preserve"> </v>
      </c>
      <c r="AA79" s="86"/>
      <c r="AB79" s="91"/>
      <c r="AC79" s="91"/>
      <c r="AD79" s="91"/>
      <c r="AE79" s="91"/>
      <c r="AF79" s="91"/>
    </row>
    <row r="80" spans="1:32" ht="21.25" customHeight="1" x14ac:dyDescent="0.15">
      <c r="A80" s="111"/>
      <c r="B80" s="112"/>
      <c r="C80" s="113"/>
      <c r="D80" s="114"/>
      <c r="E80" s="114" t="str" cm="1">
        <f t="array" ref="E80">IFERROR(AVERAGE(E60:E79)," ")</f>
        <v xml:space="preserve"> </v>
      </c>
      <c r="F80" s="116" cm="1">
        <f t="array" ref="F80">SUM(F60:F79)</f>
        <v>0</v>
      </c>
      <c r="G80" s="116" cm="1">
        <f t="array" ref="G80">SUM(G60:G79)</f>
        <v>0</v>
      </c>
      <c r="H80" s="117"/>
      <c r="I80" s="118" cm="1">
        <f t="array" ref="I80">SUM(I60:I79)</f>
        <v>0</v>
      </c>
      <c r="J80" s="117" t="e" cm="1">
        <f t="array" ref="J80">AVERAGE(J60:J79)</f>
        <v>#DIV/0!</v>
      </c>
      <c r="K80" s="118" cm="1">
        <f t="array" ref="K80">SUM(K60:K79)</f>
        <v>0</v>
      </c>
      <c r="L80" s="118" cm="1">
        <f t="array" ref="L80">SUM(L60:L79)</f>
        <v>0</v>
      </c>
      <c r="M80" s="118" cm="1">
        <f t="array" ref="M80">SUM(M60:M79)</f>
        <v>0</v>
      </c>
      <c r="N80" s="118" cm="1">
        <f t="array" ref="N80">SUM(N60:N79)</f>
        <v>0</v>
      </c>
      <c r="O80" s="118" cm="1">
        <f t="array" ref="O80">SUM(O60:O79)</f>
        <v>0</v>
      </c>
      <c r="P80" s="118" cm="1">
        <f t="array" ref="P80">SUM(P60:P79)</f>
        <v>0</v>
      </c>
      <c r="Q80" s="118" cm="1">
        <f t="array" ref="Q80">SUM(Q60:Q79)</f>
        <v>0</v>
      </c>
      <c r="R80" s="118" cm="1">
        <f t="array" ref="R80">SUM(R60:R79)</f>
        <v>0</v>
      </c>
      <c r="S80" s="118" cm="1">
        <f t="array" ref="S80">SUM(S60:S79)</f>
        <v>0</v>
      </c>
      <c r="T80" s="118" cm="1">
        <f t="array" ref="T80">SUM(T60:T79)</f>
        <v>0</v>
      </c>
      <c r="U80" s="118" cm="1">
        <f t="array" ref="U80">SUM(U60:U79)</f>
        <v>0</v>
      </c>
      <c r="V80" s="118" cm="1">
        <f t="array" ref="V80">SUM(V60:V79)</f>
        <v>0</v>
      </c>
      <c r="W80" s="118" cm="1">
        <f t="array" ref="W80">SUM(W60:W79)</f>
        <v>0</v>
      </c>
      <c r="X80" s="118" cm="1">
        <f t="array" ref="X80">SUM(X60:X79)</f>
        <v>0</v>
      </c>
      <c r="Y80" s="118" cm="1">
        <f t="array" ref="Y80">SUM(Y60:Y79)</f>
        <v>0</v>
      </c>
      <c r="Z80" s="119" cm="1">
        <f t="array" ref="Z80">IFERROR(X80/(X80+Y80),0)</f>
        <v>0</v>
      </c>
      <c r="AA80" s="86"/>
      <c r="AB80" s="120"/>
      <c r="AC80" s="120"/>
      <c r="AD80" s="120"/>
      <c r="AE80" s="120"/>
      <c r="AF80" s="120"/>
    </row>
    <row r="81" spans="1:32" ht="21.25" customHeight="1" x14ac:dyDescent="0.15">
      <c r="A81" s="37"/>
      <c r="B81" s="121"/>
      <c r="C81" s="122"/>
      <c r="D81" s="13"/>
      <c r="E81" s="13"/>
      <c r="F81" s="123"/>
      <c r="G81" s="124"/>
      <c r="H81" s="125"/>
      <c r="I81" s="12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91"/>
      <c r="AC81" s="91"/>
      <c r="AD81" s="91"/>
      <c r="AE81" s="91"/>
      <c r="AF81" s="91"/>
    </row>
    <row r="82" spans="1:32" ht="21.25" customHeight="1" x14ac:dyDescent="0.15">
      <c r="A82" s="40" t="s">
        <v>91</v>
      </c>
      <c r="B82" s="205" t="s">
        <v>93</v>
      </c>
      <c r="C82" s="197"/>
      <c r="D82" s="127" t="s">
        <v>94</v>
      </c>
      <c r="E82" s="127" t="s">
        <v>95</v>
      </c>
      <c r="F82" s="128" t="s">
        <v>97</v>
      </c>
      <c r="G82" s="128" t="s">
        <v>99</v>
      </c>
      <c r="H82" s="129"/>
      <c r="I82" s="130" t="s">
        <v>104</v>
      </c>
      <c r="J82" s="130" t="s">
        <v>119</v>
      </c>
      <c r="K82" s="130" t="s">
        <v>120</v>
      </c>
      <c r="L82" s="130" t="s">
        <v>121</v>
      </c>
      <c r="M82" s="130" t="s">
        <v>122</v>
      </c>
      <c r="N82" s="130" t="s">
        <v>123</v>
      </c>
      <c r="O82" s="130" t="s">
        <v>124</v>
      </c>
      <c r="P82" s="130" t="s">
        <v>125</v>
      </c>
      <c r="Q82" s="130" t="s">
        <v>126</v>
      </c>
      <c r="R82" s="86"/>
      <c r="S82" s="86"/>
      <c r="T82" s="86"/>
      <c r="U82" s="205" t="s">
        <v>818</v>
      </c>
      <c r="V82" s="206"/>
      <c r="W82" s="206"/>
      <c r="X82" s="205" t="s">
        <v>819</v>
      </c>
      <c r="Y82" s="206"/>
      <c r="Z82" s="206"/>
      <c r="AA82" s="86"/>
      <c r="AB82" s="86"/>
      <c r="AC82" s="86"/>
      <c r="AD82" s="86"/>
      <c r="AE82" s="86"/>
      <c r="AF82" s="86"/>
    </row>
    <row r="83" spans="1:32" ht="21.25" customHeight="1" x14ac:dyDescent="0.15">
      <c r="A83" s="147"/>
      <c r="B83" s="132" t="str" cm="1">
        <f t="array" ref="B83">IFERROR(VLOOKUP($A83,'The List'!$B1:$AS671,3,FALSE)," ")</f>
        <v xml:space="preserve"> </v>
      </c>
      <c r="C83" s="148" t="str" cm="1">
        <f t="array" ref="C83">IFERROR(VLOOKUP($A83,'The List'!$B1:$AS671,4,FALSE)," ")</f>
        <v xml:space="preserve"> </v>
      </c>
      <c r="D83" s="134" t="str" cm="1">
        <f t="array" ref="D83">IFERROR(VLOOKUP($A83,'The List'!$B1:$AS671,5,FALSE)," ")</f>
        <v xml:space="preserve"> </v>
      </c>
      <c r="E83" s="134" t="str" cm="1">
        <f t="array" ref="E83">IFERROR(VLOOKUP($A83,'The List'!$B1:$AS671,6,FALSE)," ")</f>
        <v xml:space="preserve"> </v>
      </c>
      <c r="F83" s="149" t="str" cm="1">
        <f t="array" ref="F83">IFERROR(VLOOKUP($A83,'The List'!$B1:$AS671,8,FALSE)," ")</f>
        <v xml:space="preserve"> </v>
      </c>
      <c r="G83" s="149" t="str" cm="1">
        <f t="array" ref="G83">IFERROR(VLOOKUP($A83,'The List'!$B1:$AS671,10,FALSE)," ")</f>
        <v xml:space="preserve"> </v>
      </c>
      <c r="H83" s="83"/>
      <c r="I83" s="150" t="str" cm="1">
        <f t="array" ref="I83">IFERROR(VLOOKUP($A83,'The List'!$B1:$AS671,35,FALSE)," ")</f>
        <v xml:space="preserve"> </v>
      </c>
      <c r="J83" s="150" t="str" cm="1">
        <f t="array" ref="J83">IFERROR(VLOOKUP($A83,'The List'!$B1:$AS671,36,FALSE)," ")</f>
        <v xml:space="preserve"> </v>
      </c>
      <c r="K83" s="150" t="str" cm="1">
        <f t="array" ref="K83">IFERROR(VLOOKUP($A83,'The List'!$B1:$AS671,37,FALSE)," ")</f>
        <v xml:space="preserve"> </v>
      </c>
      <c r="L83" s="150" t="str" cm="1">
        <f t="array" ref="L83">IFERROR(VLOOKUP($A83,'The List'!$B1:$AS671,38,FALSE)," ")</f>
        <v xml:space="preserve"> </v>
      </c>
      <c r="M83" s="150" t="str" cm="1">
        <f t="array" ref="M83">IFERROR(VLOOKUP($A83,'The List'!$B1:$AS671,39,FALSE)," ")</f>
        <v xml:space="preserve"> </v>
      </c>
      <c r="N83" s="150" t="str" cm="1">
        <f t="array" ref="N83">IFERROR(VLOOKUP($A83,'The List'!$B1:$AS671,40,FALSE)," ")</f>
        <v xml:space="preserve"> </v>
      </c>
      <c r="O83" s="150" t="str" cm="1">
        <f t="array" ref="O83">IFERROR(VLOOKUP($A83,'The List'!$B1:$AS671,41,FALSE)," ")</f>
        <v xml:space="preserve"> </v>
      </c>
      <c r="P83" s="150" t="str" cm="1">
        <f t="array" ref="P83">IFERROR(VLOOKUP($A83,'The List'!$B1:$AS671,42,FALSE)," ")</f>
        <v xml:space="preserve"> </v>
      </c>
      <c r="Q83" s="150" t="str" cm="1">
        <f t="array" ref="Q83">IFERROR(VLOOKUP($A83,'The List'!$B1:$AS671,43,FALSE)," ")</f>
        <v xml:space="preserve"> </v>
      </c>
      <c r="R83" s="86"/>
      <c r="S83" s="86"/>
      <c r="T83" s="140" t="str" cm="1">
        <f t="array" ref="T83">A59</f>
        <v>TEAM 3</v>
      </c>
      <c r="U83" s="207" cm="1">
        <f t="array" ref="U83">F80+F86</f>
        <v>0</v>
      </c>
      <c r="V83" s="197"/>
      <c r="W83" s="197"/>
      <c r="X83" s="207" cm="1">
        <f t="array" ref="X83">G86+G80</f>
        <v>0</v>
      </c>
      <c r="Y83" s="197"/>
      <c r="Z83" s="197"/>
      <c r="AA83" s="86"/>
      <c r="AB83" s="86"/>
      <c r="AC83" s="86"/>
      <c r="AD83" s="86"/>
      <c r="AE83" s="86"/>
      <c r="AF83" s="86"/>
    </row>
    <row r="84" spans="1:32" ht="21.25" customHeight="1" x14ac:dyDescent="0.15">
      <c r="A84" s="24"/>
      <c r="B84" s="141" t="str" cm="1">
        <f t="array" ref="B84">IFERROR(VLOOKUP($A84,'The List'!$B1:$AS671,3,FALSE)," ")</f>
        <v xml:space="preserve"> </v>
      </c>
      <c r="C84" s="142" t="str" cm="1">
        <f t="array" ref="C84">IFERROR(VLOOKUP($A84,'The List'!$B1:$AS671,4,FALSE)," ")</f>
        <v xml:space="preserve"> </v>
      </c>
      <c r="D84" s="18" t="str" cm="1">
        <f t="array" ref="D84">IFERROR(VLOOKUP($A84,'The List'!$B1:$AS671,5,FALSE)," ")</f>
        <v xml:space="preserve"> </v>
      </c>
      <c r="E84" s="18" t="str" cm="1">
        <f t="array" ref="E84">IFERROR(VLOOKUP($A84,'The List'!$B1:$AS671,6,FALSE)," ")</f>
        <v xml:space="preserve"> </v>
      </c>
      <c r="F84" s="93" t="str" cm="1">
        <f t="array" ref="F84">IFERROR(VLOOKUP($A84,'The List'!$B1:$AS671,8,FALSE)," ")</f>
        <v xml:space="preserve"> </v>
      </c>
      <c r="G84" s="93" t="str" cm="1">
        <f t="array" ref="G84">IFERROR(VLOOKUP($A84,'The List'!$B1:$AS671,10,FALSE)," ")</f>
        <v xml:space="preserve"> </v>
      </c>
      <c r="H84" s="55"/>
      <c r="I84" s="85" t="str" cm="1">
        <f t="array" ref="I84">IFERROR(VLOOKUP($A84,'The List'!$B1:$AS671,35,FALSE)," ")</f>
        <v xml:space="preserve"> </v>
      </c>
      <c r="J84" s="85" t="str" cm="1">
        <f t="array" ref="J84">IFERROR(VLOOKUP($A84,'The List'!$B1:$AS671,36,FALSE)," ")</f>
        <v xml:space="preserve"> </v>
      </c>
      <c r="K84" s="85" t="str" cm="1">
        <f t="array" ref="K84">IFERROR(VLOOKUP($A84,'The List'!$B1:$AS671,37,FALSE)," ")</f>
        <v xml:space="preserve"> </v>
      </c>
      <c r="L84" s="85" t="str" cm="1">
        <f t="array" ref="L84">IFERROR(VLOOKUP($A84,'The List'!$B1:$AS671,38,FALSE)," ")</f>
        <v xml:space="preserve"> </v>
      </c>
      <c r="M84" s="85" t="str" cm="1">
        <f t="array" ref="M84">IFERROR(VLOOKUP($A84,'The List'!$B1:$AS671,39,FALSE)," ")</f>
        <v xml:space="preserve"> </v>
      </c>
      <c r="N84" s="85" t="str" cm="1">
        <f t="array" ref="N84">IFERROR(VLOOKUP($A84,'The List'!$B1:$AS671,40,FALSE)," ")</f>
        <v xml:space="preserve"> </v>
      </c>
      <c r="O84" s="85" t="str" cm="1">
        <f t="array" ref="O84">IFERROR(VLOOKUP($A84,'The List'!$B1:$AS671,41,FALSE)," ")</f>
        <v xml:space="preserve"> </v>
      </c>
      <c r="P84" s="85" t="str" cm="1">
        <f t="array" ref="P84">IFERROR(VLOOKUP($A84,'The List'!$B1:$AS671,42,FALSE)," ")</f>
        <v xml:space="preserve"> </v>
      </c>
      <c r="Q84" s="85" t="str" cm="1">
        <f t="array" ref="Q84">IFERROR(VLOOKUP($A84,'The List'!$B1:$AS671,43,FALSE)," ")</f>
        <v xml:space="preserve"> </v>
      </c>
      <c r="R84" s="86"/>
      <c r="S84" s="86"/>
      <c r="T84" s="86"/>
      <c r="U84" s="197"/>
      <c r="V84" s="197"/>
      <c r="W84" s="197"/>
      <c r="X84" s="197"/>
      <c r="Y84" s="197"/>
      <c r="Z84" s="197"/>
      <c r="AA84" s="86"/>
      <c r="AB84" s="86"/>
      <c r="AC84" s="86"/>
      <c r="AD84" s="86"/>
      <c r="AE84" s="86"/>
      <c r="AF84" s="86"/>
    </row>
    <row r="85" spans="1:32" ht="21.25" customHeight="1" x14ac:dyDescent="0.15">
      <c r="A85" s="104"/>
      <c r="B85" s="143" t="str" cm="1">
        <f t="array" ref="B85">IFERROR(VLOOKUP($A85,'The List'!$B1:$AS671,3,FALSE)," ")</f>
        <v xml:space="preserve"> </v>
      </c>
      <c r="C85" s="144" t="str" cm="1">
        <f t="array" ref="C85">IFERROR(VLOOKUP($A85,'The List'!$B1:$AS671,4,FALSE)," ")</f>
        <v xml:space="preserve"> </v>
      </c>
      <c r="D85" s="107" t="str" cm="1">
        <f t="array" ref="D85">IFERROR(VLOOKUP($A85,'The List'!$B1:$AS671,5,FALSE)," ")</f>
        <v xml:space="preserve"> </v>
      </c>
      <c r="E85" s="107" t="str" cm="1">
        <f t="array" ref="E85">IFERROR(VLOOKUP($A85,'The List'!$B1:$AS671,6,FALSE)," ")</f>
        <v xml:space="preserve"> </v>
      </c>
      <c r="F85" s="108" t="str" cm="1">
        <f t="array" ref="F85">IFERROR(VLOOKUP($A85,'The List'!$B1:$AS671,8,FALSE)," ")</f>
        <v xml:space="preserve"> </v>
      </c>
      <c r="G85" s="108" t="str" cm="1">
        <f t="array" ref="G85">IFERROR(VLOOKUP($A85,'The List'!$B1:$AS671,10,FALSE)," ")</f>
        <v xml:space="preserve"> </v>
      </c>
      <c r="H85" s="109"/>
      <c r="I85" s="110" t="str" cm="1">
        <f t="array" ref="I85">IFERROR(VLOOKUP($A85,'The List'!$B1:$AS671,35,FALSE)," ")</f>
        <v xml:space="preserve"> </v>
      </c>
      <c r="J85" s="110" t="str" cm="1">
        <f t="array" ref="J85">IFERROR(VLOOKUP($A85,'The List'!$B1:$AS671,36,FALSE)," ")</f>
        <v xml:space="preserve"> </v>
      </c>
      <c r="K85" s="110" t="str" cm="1">
        <f t="array" ref="K85">IFERROR(VLOOKUP($A85,'The List'!$B1:$AS671,37,FALSE)," ")</f>
        <v xml:space="preserve"> </v>
      </c>
      <c r="L85" s="110" t="str" cm="1">
        <f t="array" ref="L85">IFERROR(VLOOKUP($A85,'The List'!$B1:$AS671,38,FALSE)," ")</f>
        <v xml:space="preserve"> </v>
      </c>
      <c r="M85" s="110" t="str" cm="1">
        <f t="array" ref="M85">IFERROR(VLOOKUP($A85,'The List'!$B1:$AS671,39,FALSE)," ")</f>
        <v xml:space="preserve"> </v>
      </c>
      <c r="N85" s="110" t="str" cm="1">
        <f t="array" ref="N85">IFERROR(VLOOKUP($A85,'The List'!$B1:$AS671,40,FALSE)," ")</f>
        <v xml:space="preserve"> </v>
      </c>
      <c r="O85" s="110" t="str" cm="1">
        <f t="array" ref="O85">IFERROR(VLOOKUP($A85,'The List'!$B1:$AS671,41,FALSE)," ")</f>
        <v xml:space="preserve"> </v>
      </c>
      <c r="P85" s="110" t="str" cm="1">
        <f t="array" ref="P85">IFERROR(VLOOKUP($A85,'The List'!$B1:$AS671,42,FALSE)," ")</f>
        <v xml:space="preserve"> </v>
      </c>
      <c r="Q85" s="110" t="str" cm="1">
        <f t="array" ref="Q85">IFERROR(VLOOKUP($A85,'The List'!$B1:$AS671,43,FALSE)," ")</f>
        <v xml:space="preserve"> </v>
      </c>
      <c r="R85" s="86"/>
      <c r="S85" s="86"/>
      <c r="T85" s="86"/>
      <c r="U85" s="197"/>
      <c r="V85" s="197"/>
      <c r="W85" s="197"/>
      <c r="X85" s="197"/>
      <c r="Y85" s="197"/>
      <c r="Z85" s="197"/>
      <c r="AA85" s="86"/>
      <c r="AB85" s="86"/>
      <c r="AC85" s="86"/>
      <c r="AD85" s="86"/>
      <c r="AE85" s="86"/>
      <c r="AF85" s="86"/>
    </row>
    <row r="86" spans="1:32" ht="21.25" customHeight="1" x14ac:dyDescent="0.15">
      <c r="A86" s="111"/>
      <c r="B86" s="112"/>
      <c r="C86" s="113"/>
      <c r="D86" s="114"/>
      <c r="E86" s="114" t="str" cm="1">
        <f t="array" ref="E86">IFERROR(AVERAGE(E83:E85)," ")</f>
        <v xml:space="preserve"> </v>
      </c>
      <c r="F86" s="116" cm="1">
        <f t="array" ref="F86">SUM(F83:F85)</f>
        <v>0</v>
      </c>
      <c r="G86" s="116" cm="1">
        <f t="array" ref="G86">SUM(G83:G85)</f>
        <v>0</v>
      </c>
      <c r="H86" s="117"/>
      <c r="I86" s="118" cm="1">
        <f t="array" ref="I86">SUM(I83:I85)</f>
        <v>0</v>
      </c>
      <c r="J86" s="117" cm="1">
        <f t="array" ref="J86">SUM(J83:J85)</f>
        <v>0</v>
      </c>
      <c r="K86" s="118" cm="1">
        <f t="array" ref="K86">SUM(K83:K85)</f>
        <v>0</v>
      </c>
      <c r="L86" s="118" cm="1">
        <f t="array" ref="L86">SUM(L83:L85)</f>
        <v>0</v>
      </c>
      <c r="M86" s="118" cm="1">
        <f t="array" ref="M86">SUM(M83:M85)</f>
        <v>0</v>
      </c>
      <c r="N86" s="118" cm="1">
        <f t="array" ref="N86">SUM(N83:N85)</f>
        <v>0</v>
      </c>
      <c r="O86" s="118" cm="1">
        <f t="array" ref="O86">SUM(O83:O85)</f>
        <v>0</v>
      </c>
      <c r="P86" s="145" t="e" cm="1">
        <f t="array" ref="P86">1-(O86/(N86+O86))</f>
        <v>#DIV/0!</v>
      </c>
      <c r="Q86" s="146" t="e" cm="1">
        <f t="array" ref="Q86">O86/I86</f>
        <v>#DIV/0!</v>
      </c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</row>
    <row r="87" spans="1:32" ht="70.75" customHeight="1" x14ac:dyDescent="0.15">
      <c r="A87" s="37"/>
      <c r="B87" s="121"/>
      <c r="C87" s="122"/>
      <c r="D87" s="13"/>
      <c r="E87" s="13"/>
      <c r="F87" s="123"/>
      <c r="G87" s="124"/>
      <c r="H87" s="125"/>
      <c r="I87" s="12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91"/>
      <c r="AB87" s="91"/>
      <c r="AC87" s="91"/>
      <c r="AD87" s="91"/>
      <c r="AE87" s="91"/>
      <c r="AF87" s="91"/>
    </row>
    <row r="88" spans="1:32" ht="21.25" customHeight="1" x14ac:dyDescent="0.15">
      <c r="A88" s="41" t="s">
        <v>805</v>
      </c>
      <c r="B88" s="194" t="s">
        <v>93</v>
      </c>
      <c r="C88" s="195"/>
      <c r="D88" s="42" t="s">
        <v>94</v>
      </c>
      <c r="E88" s="42" t="s">
        <v>95</v>
      </c>
      <c r="F88" s="43" t="s">
        <v>97</v>
      </c>
      <c r="G88" s="43" t="s">
        <v>99</v>
      </c>
      <c r="H88" s="44"/>
      <c r="I88" s="46" t="s">
        <v>104</v>
      </c>
      <c r="J88" s="46" t="s">
        <v>56</v>
      </c>
      <c r="K88" s="46" t="s">
        <v>105</v>
      </c>
      <c r="L88" s="46" t="s">
        <v>106</v>
      </c>
      <c r="M88" s="46" t="s">
        <v>107</v>
      </c>
      <c r="N88" s="46" t="s">
        <v>108</v>
      </c>
      <c r="O88" s="46" t="s">
        <v>64</v>
      </c>
      <c r="P88" s="46" t="s">
        <v>68</v>
      </c>
      <c r="Q88" s="46" t="s">
        <v>109</v>
      </c>
      <c r="R88" s="46" t="s">
        <v>110</v>
      </c>
      <c r="S88" s="46" t="s">
        <v>111</v>
      </c>
      <c r="T88" s="46" t="s">
        <v>112</v>
      </c>
      <c r="U88" s="46" t="s">
        <v>113</v>
      </c>
      <c r="V88" s="46" t="s">
        <v>114</v>
      </c>
      <c r="W88" s="46" t="s">
        <v>115</v>
      </c>
      <c r="X88" s="46" t="s">
        <v>116</v>
      </c>
      <c r="Y88" s="46" t="s">
        <v>117</v>
      </c>
      <c r="Z88" s="46" t="s">
        <v>118</v>
      </c>
      <c r="AA88" s="86"/>
      <c r="AB88" s="87"/>
      <c r="AC88" s="87"/>
      <c r="AD88" s="87"/>
      <c r="AE88" s="87"/>
      <c r="AF88" s="87"/>
    </row>
    <row r="89" spans="1:32" ht="21.25" customHeight="1" x14ac:dyDescent="0.15">
      <c r="A89" s="24"/>
      <c r="B89" s="88" t="str" cm="1">
        <f t="array" ref="B89">IFERROR(VLOOKUP($A89,'The List'!$B1:$AS671,3,FALSE)," ")</f>
        <v xml:space="preserve"> </v>
      </c>
      <c r="C89" s="92" t="str" cm="1">
        <f t="array" ref="C89">IFERROR(VLOOKUP($A89,'The List'!$B1:$AS671,4,FALSE)," ")</f>
        <v xml:space="preserve"> </v>
      </c>
      <c r="D89" s="18" t="str" cm="1">
        <f t="array" ref="D89">IFERROR(VLOOKUP($A89,'The List'!$B1:$AS671,5,FALSE)," ")</f>
        <v xml:space="preserve"> </v>
      </c>
      <c r="E89" s="18" t="str" cm="1">
        <f t="array" ref="E89">IFERROR(VLOOKUP($A89,'The List'!$B1:$AS671,6,FALSE)," ")</f>
        <v xml:space="preserve"> </v>
      </c>
      <c r="F89" s="93" t="str" cm="1">
        <f t="array" ref="F89">IFERROR(VLOOKUP($A89,'The List'!$B1:$AS671,8,FALSE)," ")</f>
        <v xml:space="preserve"> </v>
      </c>
      <c r="G89" s="93" t="str" cm="1">
        <f t="array" ref="G89">IFERROR(VLOOKUP($A89,'The List'!$B1:$AS671,10,FALSE)," ")</f>
        <v xml:space="preserve"> </v>
      </c>
      <c r="H89" s="55"/>
      <c r="I89" s="85" t="str" cm="1">
        <f t="array" ref="I89">IFERROR(VLOOKUP($A89,'The List'!$B1:$AS671,16,FALSE)," ")</f>
        <v xml:space="preserve"> </v>
      </c>
      <c r="J89" s="85" t="str" cm="1">
        <f t="array" ref="J89">IFERROR(VLOOKUP($A89,'The List'!$B1:$AS671,17,FALSE)," ")</f>
        <v xml:space="preserve"> </v>
      </c>
      <c r="K89" s="85" t="str" cm="1">
        <f t="array" ref="K89">IFERROR(VLOOKUP($A89,'The List'!$B1:$AS671,18,FALSE)," ")</f>
        <v xml:space="preserve"> </v>
      </c>
      <c r="L89" s="85" t="str" cm="1">
        <f t="array" ref="L89">IFERROR(VLOOKUP($A89,'The List'!$B1:$AS671,19,FALSE)," ")</f>
        <v xml:space="preserve"> </v>
      </c>
      <c r="M89" s="85" t="str" cm="1">
        <f t="array" ref="M89">IFERROR(VLOOKUP($A89,'The List'!$B1:$AS671,20,FALSE)," ")</f>
        <v xml:space="preserve"> </v>
      </c>
      <c r="N89" s="85" t="str" cm="1">
        <f t="array" ref="N89">IFERROR(VLOOKUP($A89,'The List'!$B1:$AS671,21,FALSE)," ")</f>
        <v xml:space="preserve"> </v>
      </c>
      <c r="O89" s="85" t="str" cm="1">
        <f t="array" ref="O89">IFERROR(VLOOKUP($A89,'The List'!$B1:$AS671,22,FALSE)," ")</f>
        <v xml:space="preserve"> </v>
      </c>
      <c r="P89" s="85" t="str" cm="1">
        <f t="array" ref="P89">IFERROR(VLOOKUP($A89,'The List'!$B1:$AS671,23,FALSE)," ")</f>
        <v xml:space="preserve"> </v>
      </c>
      <c r="Q89" s="85" t="str" cm="1">
        <f t="array" ref="Q89">IFERROR(VLOOKUP($A89,'The List'!$B1:$AS671,24,FALSE)," ")</f>
        <v xml:space="preserve"> </v>
      </c>
      <c r="R89" s="85" t="str" cm="1">
        <f t="array" ref="R89">IFERROR(VLOOKUP($A89,'The List'!$B1:$AS671,25,FALSE)," ")</f>
        <v xml:space="preserve"> </v>
      </c>
      <c r="S89" s="85" t="str" cm="1">
        <f t="array" ref="S89">IFERROR(VLOOKUP($A89,'The List'!$B1:$AS671,26,FALSE)," ")</f>
        <v xml:space="preserve"> </v>
      </c>
      <c r="T89" s="85" t="str" cm="1">
        <f t="array" ref="T89">IFERROR(VLOOKUP($A89,'The List'!$B1:$AS671,27,FALSE)," ")</f>
        <v xml:space="preserve"> </v>
      </c>
      <c r="U89" s="85" t="str" cm="1">
        <f t="array" ref="U89">IFERROR(VLOOKUP($A89,'The List'!$B1:$AS671,28,FALSE)," ")</f>
        <v xml:space="preserve"> </v>
      </c>
      <c r="V89" s="85" t="str" cm="1">
        <f t="array" ref="V89">IFERROR(VLOOKUP($A89,'The List'!$B1:$AS671,29,FALSE)," ")</f>
        <v xml:space="preserve"> </v>
      </c>
      <c r="W89" s="85" t="str" cm="1">
        <f t="array" ref="W89">IFERROR(VLOOKUP($A89,'The List'!$B1:$AS671,30,FALSE)," ")</f>
        <v xml:space="preserve"> </v>
      </c>
      <c r="X89" s="85" t="str" cm="1">
        <f t="array" ref="X89">IFERROR(VLOOKUP($A89,'The List'!$B1:$AS671,31,FALSE)," ")</f>
        <v xml:space="preserve"> </v>
      </c>
      <c r="Y89" s="85" t="str" cm="1">
        <f t="array" ref="Y89">IFERROR(VLOOKUP($A89,'The List'!$B1:$AS671,32,FALSE)," ")</f>
        <v xml:space="preserve"> </v>
      </c>
      <c r="Z89" s="85" t="str" cm="1">
        <f t="array" ref="Z89">IFERROR(VLOOKUP($A89,'The List'!$B1:$AS671,33,FALSE)," ")</f>
        <v xml:space="preserve"> </v>
      </c>
      <c r="AA89" s="86"/>
      <c r="AB89" s="91"/>
      <c r="AC89" s="91"/>
      <c r="AD89" s="91"/>
      <c r="AE89" s="91"/>
      <c r="AF89" s="91"/>
    </row>
    <row r="90" spans="1:32" ht="21.25" customHeight="1" x14ac:dyDescent="0.15">
      <c r="A90" s="24"/>
      <c r="B90" s="88" t="str" cm="1">
        <f t="array" ref="B90">IFERROR(VLOOKUP($A90,'The List'!$B1:$AS671,3,FALSE)," ")</f>
        <v xml:space="preserve"> </v>
      </c>
      <c r="C90" s="92" t="str" cm="1">
        <f t="array" ref="C90">IFERROR(VLOOKUP($A90,'The List'!$B1:$AS671,4,FALSE)," ")</f>
        <v xml:space="preserve"> </v>
      </c>
      <c r="D90" s="18" t="str" cm="1">
        <f t="array" ref="D90">IFERROR(VLOOKUP($A90,'The List'!$B1:$AS671,5,FALSE)," ")</f>
        <v xml:space="preserve"> </v>
      </c>
      <c r="E90" s="18" t="str" cm="1">
        <f t="array" ref="E90">IFERROR(VLOOKUP($A90,'The List'!$B1:$AS671,6,FALSE)," ")</f>
        <v xml:space="preserve"> </v>
      </c>
      <c r="F90" s="93" t="str" cm="1">
        <f t="array" ref="F90">IFERROR(VLOOKUP($A90,'The List'!$B1:$AS671,8,FALSE)," ")</f>
        <v xml:space="preserve"> </v>
      </c>
      <c r="G90" s="93" t="str" cm="1">
        <f t="array" ref="G90">IFERROR(VLOOKUP($A90,'The List'!$B1:$AS671,10,FALSE)," ")</f>
        <v xml:space="preserve"> </v>
      </c>
      <c r="H90" s="55"/>
      <c r="I90" s="85" t="str" cm="1">
        <f t="array" ref="I90">IFERROR(VLOOKUP($A90,'The List'!$B1:$AS671,16,FALSE)," ")</f>
        <v xml:space="preserve"> </v>
      </c>
      <c r="J90" s="85" t="str" cm="1">
        <f t="array" ref="J90">IFERROR(VLOOKUP($A90,'The List'!$B1:$AS671,17,FALSE)," ")</f>
        <v xml:space="preserve"> </v>
      </c>
      <c r="K90" s="85" t="str" cm="1">
        <f t="array" ref="K90">IFERROR(VLOOKUP($A90,'The List'!$B1:$AS671,18,FALSE)," ")</f>
        <v xml:space="preserve"> </v>
      </c>
      <c r="L90" s="85" t="str" cm="1">
        <f t="array" ref="L90">IFERROR(VLOOKUP($A90,'The List'!$B1:$AS671,19,FALSE)," ")</f>
        <v xml:space="preserve"> </v>
      </c>
      <c r="M90" s="85" t="str" cm="1">
        <f t="array" ref="M90">IFERROR(VLOOKUP($A90,'The List'!$B1:$AS671,20,FALSE)," ")</f>
        <v xml:space="preserve"> </v>
      </c>
      <c r="N90" s="85" t="str" cm="1">
        <f t="array" ref="N90">IFERROR(VLOOKUP($A90,'The List'!$B1:$AS671,21,FALSE)," ")</f>
        <v xml:space="preserve"> </v>
      </c>
      <c r="O90" s="85" t="str" cm="1">
        <f t="array" ref="O90">IFERROR(VLOOKUP($A90,'The List'!$B1:$AS671,22,FALSE)," ")</f>
        <v xml:space="preserve"> </v>
      </c>
      <c r="P90" s="85" t="str" cm="1">
        <f t="array" ref="P90">IFERROR(VLOOKUP($A90,'The List'!$B1:$AS671,23,FALSE)," ")</f>
        <v xml:space="preserve"> </v>
      </c>
      <c r="Q90" s="85" t="str" cm="1">
        <f t="array" ref="Q90">IFERROR(VLOOKUP($A90,'The List'!$B1:$AS671,24,FALSE)," ")</f>
        <v xml:space="preserve"> </v>
      </c>
      <c r="R90" s="85" t="str" cm="1">
        <f t="array" ref="R90">IFERROR(VLOOKUP($A90,'The List'!$B1:$AS671,25,FALSE)," ")</f>
        <v xml:space="preserve"> </v>
      </c>
      <c r="S90" s="85" t="str" cm="1">
        <f t="array" ref="S90">IFERROR(VLOOKUP($A90,'The List'!$B1:$AS671,26,FALSE)," ")</f>
        <v xml:space="preserve"> </v>
      </c>
      <c r="T90" s="85" t="str" cm="1">
        <f t="array" ref="T90">IFERROR(VLOOKUP($A90,'The List'!$B1:$AS671,27,FALSE)," ")</f>
        <v xml:space="preserve"> </v>
      </c>
      <c r="U90" s="85" t="str" cm="1">
        <f t="array" ref="U90">IFERROR(VLOOKUP($A90,'The List'!$B1:$AS671,28,FALSE)," ")</f>
        <v xml:space="preserve"> </v>
      </c>
      <c r="V90" s="85" t="str" cm="1">
        <f t="array" ref="V90">IFERROR(VLOOKUP($A90,'The List'!$B1:$AS671,29,FALSE)," ")</f>
        <v xml:space="preserve"> </v>
      </c>
      <c r="W90" s="85" t="str" cm="1">
        <f t="array" ref="W90">IFERROR(VLOOKUP($A90,'The List'!$B1:$AS671,30,FALSE)," ")</f>
        <v xml:space="preserve"> </v>
      </c>
      <c r="X90" s="85" t="str" cm="1">
        <f t="array" ref="X90">IFERROR(VLOOKUP($A90,'The List'!$B1:$AS671,31,FALSE)," ")</f>
        <v xml:space="preserve"> </v>
      </c>
      <c r="Y90" s="85" t="str" cm="1">
        <f t="array" ref="Y90">IFERROR(VLOOKUP($A90,'The List'!$B1:$AS671,32,FALSE)," ")</f>
        <v xml:space="preserve"> </v>
      </c>
      <c r="Z90" s="85" t="str" cm="1">
        <f t="array" ref="Z90">IFERROR(VLOOKUP($A90,'The List'!$B1:$AS671,33,FALSE)," ")</f>
        <v xml:space="preserve"> </v>
      </c>
      <c r="AA90" s="86"/>
      <c r="AB90" s="91"/>
      <c r="AC90" s="91"/>
      <c r="AD90" s="91"/>
      <c r="AE90" s="91"/>
      <c r="AF90" s="91"/>
    </row>
    <row r="91" spans="1:32" ht="21.25" customHeight="1" x14ac:dyDescent="0.15">
      <c r="A91" s="24"/>
      <c r="B91" s="88" t="str" cm="1">
        <f t="array" ref="B91">IFERROR(VLOOKUP($A91,'The List'!$B1:$AS671,3,FALSE)," ")</f>
        <v xml:space="preserve"> </v>
      </c>
      <c r="C91" s="92" t="str" cm="1">
        <f t="array" ref="C91">IFERROR(VLOOKUP($A91,'The List'!$B1:$AS671,4,FALSE)," ")</f>
        <v xml:space="preserve"> </v>
      </c>
      <c r="D91" s="18" t="str" cm="1">
        <f t="array" ref="D91">IFERROR(VLOOKUP($A91,'The List'!$B1:$AS671,5,FALSE)," ")</f>
        <v xml:space="preserve"> </v>
      </c>
      <c r="E91" s="18" t="str" cm="1">
        <f t="array" ref="E91">IFERROR(VLOOKUP($A91,'The List'!$B1:$AS671,6,FALSE)," ")</f>
        <v xml:space="preserve"> </v>
      </c>
      <c r="F91" s="93" t="str" cm="1">
        <f t="array" ref="F91">IFERROR(VLOOKUP($A91,'The List'!$B1:$AS671,8,FALSE)," ")</f>
        <v xml:space="preserve"> </v>
      </c>
      <c r="G91" s="93" t="str" cm="1">
        <f t="array" ref="G91">IFERROR(VLOOKUP($A91,'The List'!$B1:$AS671,10,FALSE)," ")</f>
        <v xml:space="preserve"> </v>
      </c>
      <c r="H91" s="55"/>
      <c r="I91" s="85" t="str" cm="1">
        <f t="array" ref="I91">IFERROR(VLOOKUP($A91,'The List'!$B1:$AS671,16,FALSE)," ")</f>
        <v xml:space="preserve"> </v>
      </c>
      <c r="J91" s="85" t="str" cm="1">
        <f t="array" ref="J91">IFERROR(VLOOKUP($A91,'The List'!$B1:$AS671,17,FALSE)," ")</f>
        <v xml:space="preserve"> </v>
      </c>
      <c r="K91" s="85" t="str" cm="1">
        <f t="array" ref="K91">IFERROR(VLOOKUP($A91,'The List'!$B1:$AS671,18,FALSE)," ")</f>
        <v xml:space="preserve"> </v>
      </c>
      <c r="L91" s="85" t="str" cm="1">
        <f t="array" ref="L91">IFERROR(VLOOKUP($A91,'The List'!$B1:$AS671,19,FALSE)," ")</f>
        <v xml:space="preserve"> </v>
      </c>
      <c r="M91" s="85" t="str" cm="1">
        <f t="array" ref="M91">IFERROR(VLOOKUP($A91,'The List'!$B1:$AS671,20,FALSE)," ")</f>
        <v xml:space="preserve"> </v>
      </c>
      <c r="N91" s="85" t="str" cm="1">
        <f t="array" ref="N91">IFERROR(VLOOKUP($A91,'The List'!$B1:$AS671,21,FALSE)," ")</f>
        <v xml:space="preserve"> </v>
      </c>
      <c r="O91" s="85" t="str" cm="1">
        <f t="array" ref="O91">IFERROR(VLOOKUP($A91,'The List'!$B1:$AS671,22,FALSE)," ")</f>
        <v xml:space="preserve"> </v>
      </c>
      <c r="P91" s="85" t="str" cm="1">
        <f t="array" ref="P91">IFERROR(VLOOKUP($A91,'The List'!$B1:$AS671,23,FALSE)," ")</f>
        <v xml:space="preserve"> </v>
      </c>
      <c r="Q91" s="85" t="str" cm="1">
        <f t="array" ref="Q91">IFERROR(VLOOKUP($A91,'The List'!$B1:$AS671,24,FALSE)," ")</f>
        <v xml:space="preserve"> </v>
      </c>
      <c r="R91" s="85" t="str" cm="1">
        <f t="array" ref="R91">IFERROR(VLOOKUP($A91,'The List'!$B1:$AS671,25,FALSE)," ")</f>
        <v xml:space="preserve"> </v>
      </c>
      <c r="S91" s="85" t="str" cm="1">
        <f t="array" ref="S91">IFERROR(VLOOKUP($A91,'The List'!$B1:$AS671,26,FALSE)," ")</f>
        <v xml:space="preserve"> </v>
      </c>
      <c r="T91" s="85" t="str" cm="1">
        <f t="array" ref="T91">IFERROR(VLOOKUP($A91,'The List'!$B1:$AS671,27,FALSE)," ")</f>
        <v xml:space="preserve"> </v>
      </c>
      <c r="U91" s="85" t="str" cm="1">
        <f t="array" ref="U91">IFERROR(VLOOKUP($A91,'The List'!$B1:$AS671,28,FALSE)," ")</f>
        <v xml:space="preserve"> </v>
      </c>
      <c r="V91" s="85" t="str" cm="1">
        <f t="array" ref="V91">IFERROR(VLOOKUP($A91,'The List'!$B1:$AS671,29,FALSE)," ")</f>
        <v xml:space="preserve"> </v>
      </c>
      <c r="W91" s="85" t="str" cm="1">
        <f t="array" ref="W91">IFERROR(VLOOKUP($A91,'The List'!$B1:$AS671,30,FALSE)," ")</f>
        <v xml:space="preserve"> </v>
      </c>
      <c r="X91" s="85" t="str" cm="1">
        <f t="array" ref="X91">IFERROR(VLOOKUP($A91,'The List'!$B1:$AS671,31,FALSE)," ")</f>
        <v xml:space="preserve"> </v>
      </c>
      <c r="Y91" s="85" t="str" cm="1">
        <f t="array" ref="Y91">IFERROR(VLOOKUP($A91,'The List'!$B1:$AS671,32,FALSE)," ")</f>
        <v xml:space="preserve"> </v>
      </c>
      <c r="Z91" s="85" t="str" cm="1">
        <f t="array" ref="Z91">IFERROR(VLOOKUP($A91,'The List'!$B1:$AS671,33,FALSE)," ")</f>
        <v xml:space="preserve"> </v>
      </c>
      <c r="AA91" s="86"/>
      <c r="AB91" s="91"/>
      <c r="AC91" s="91"/>
      <c r="AD91" s="91"/>
      <c r="AE91" s="91"/>
      <c r="AF91" s="91"/>
    </row>
    <row r="92" spans="1:32" ht="21.25" customHeight="1" x14ac:dyDescent="0.15">
      <c r="A92" s="24"/>
      <c r="B92" s="88" t="str" cm="1">
        <f t="array" ref="B92">IFERROR(VLOOKUP($A92,'The List'!$B1:$AS671,3,FALSE)," ")</f>
        <v xml:space="preserve"> </v>
      </c>
      <c r="C92" s="92" t="str" cm="1">
        <f t="array" ref="C92">IFERROR(VLOOKUP($A92,'The List'!$B1:$AS671,4,FALSE)," ")</f>
        <v xml:space="preserve"> </v>
      </c>
      <c r="D92" s="18" t="str" cm="1">
        <f t="array" ref="D92">IFERROR(VLOOKUP($A92,'The List'!$B1:$AS671,5,FALSE)," ")</f>
        <v xml:space="preserve"> </v>
      </c>
      <c r="E92" s="18" t="str" cm="1">
        <f t="array" ref="E92">IFERROR(VLOOKUP($A92,'The List'!$B1:$AS671,6,FALSE)," ")</f>
        <v xml:space="preserve"> </v>
      </c>
      <c r="F92" s="93" t="str" cm="1">
        <f t="array" ref="F92">IFERROR(VLOOKUP($A92,'The List'!$B1:$AS671,8,FALSE)," ")</f>
        <v xml:space="preserve"> </v>
      </c>
      <c r="G92" s="93" t="str" cm="1">
        <f t="array" ref="G92">IFERROR(VLOOKUP($A92,'The List'!$B1:$AS671,10,FALSE)," ")</f>
        <v xml:space="preserve"> </v>
      </c>
      <c r="H92" s="55"/>
      <c r="I92" s="85" t="str" cm="1">
        <f t="array" ref="I92">IFERROR(VLOOKUP($A92,'The List'!$B1:$AS671,16,FALSE)," ")</f>
        <v xml:space="preserve"> </v>
      </c>
      <c r="J92" s="85" t="str" cm="1">
        <f t="array" ref="J92">IFERROR(VLOOKUP($A92,'The List'!$B1:$AS671,17,FALSE)," ")</f>
        <v xml:space="preserve"> </v>
      </c>
      <c r="K92" s="85" t="str" cm="1">
        <f t="array" ref="K92">IFERROR(VLOOKUP($A92,'The List'!$B1:$AS671,18,FALSE)," ")</f>
        <v xml:space="preserve"> </v>
      </c>
      <c r="L92" s="85" t="str" cm="1">
        <f t="array" ref="L92">IFERROR(VLOOKUP($A92,'The List'!$B1:$AS671,19,FALSE)," ")</f>
        <v xml:space="preserve"> </v>
      </c>
      <c r="M92" s="85" t="str" cm="1">
        <f t="array" ref="M92">IFERROR(VLOOKUP($A92,'The List'!$B1:$AS671,20,FALSE)," ")</f>
        <v xml:space="preserve"> </v>
      </c>
      <c r="N92" s="85" t="str" cm="1">
        <f t="array" ref="N92">IFERROR(VLOOKUP($A92,'The List'!$B1:$AS671,21,FALSE)," ")</f>
        <v xml:space="preserve"> </v>
      </c>
      <c r="O92" s="85" t="str" cm="1">
        <f t="array" ref="O92">IFERROR(VLOOKUP($A92,'The List'!$B1:$AS671,22,FALSE)," ")</f>
        <v xml:space="preserve"> </v>
      </c>
      <c r="P92" s="85" t="str" cm="1">
        <f t="array" ref="P92">IFERROR(VLOOKUP($A92,'The List'!$B1:$AS671,23,FALSE)," ")</f>
        <v xml:space="preserve"> </v>
      </c>
      <c r="Q92" s="85" t="str" cm="1">
        <f t="array" ref="Q92">IFERROR(VLOOKUP($A92,'The List'!$B1:$AS671,24,FALSE)," ")</f>
        <v xml:space="preserve"> </v>
      </c>
      <c r="R92" s="85" t="str" cm="1">
        <f t="array" ref="R92">IFERROR(VLOOKUP($A92,'The List'!$B1:$AS671,25,FALSE)," ")</f>
        <v xml:space="preserve"> </v>
      </c>
      <c r="S92" s="85" t="str" cm="1">
        <f t="array" ref="S92">IFERROR(VLOOKUP($A92,'The List'!$B1:$AS671,26,FALSE)," ")</f>
        <v xml:space="preserve"> </v>
      </c>
      <c r="T92" s="85" t="str" cm="1">
        <f t="array" ref="T92">IFERROR(VLOOKUP($A92,'The List'!$B1:$AS671,27,FALSE)," ")</f>
        <v xml:space="preserve"> </v>
      </c>
      <c r="U92" s="85" t="str" cm="1">
        <f t="array" ref="U92">IFERROR(VLOOKUP($A92,'The List'!$B1:$AS671,28,FALSE)," ")</f>
        <v xml:space="preserve"> </v>
      </c>
      <c r="V92" s="85" t="str" cm="1">
        <f t="array" ref="V92">IFERROR(VLOOKUP($A92,'The List'!$B1:$AS671,29,FALSE)," ")</f>
        <v xml:space="preserve"> </v>
      </c>
      <c r="W92" s="85" t="str" cm="1">
        <f t="array" ref="W92">IFERROR(VLOOKUP($A92,'The List'!$B1:$AS671,30,FALSE)," ")</f>
        <v xml:space="preserve"> </v>
      </c>
      <c r="X92" s="85" t="str" cm="1">
        <f t="array" ref="X92">IFERROR(VLOOKUP($A92,'The List'!$B1:$AS671,31,FALSE)," ")</f>
        <v xml:space="preserve"> </v>
      </c>
      <c r="Y92" s="85" t="str" cm="1">
        <f t="array" ref="Y92">IFERROR(VLOOKUP($A92,'The List'!$B1:$AS671,32,FALSE)," ")</f>
        <v xml:space="preserve"> </v>
      </c>
      <c r="Z92" s="85" t="str" cm="1">
        <f t="array" ref="Z92">IFERROR(VLOOKUP($A92,'The List'!$B1:$AS671,33,FALSE)," ")</f>
        <v xml:space="preserve"> </v>
      </c>
      <c r="AA92" s="86"/>
      <c r="AB92" s="91"/>
      <c r="AC92" s="91"/>
      <c r="AD92" s="91"/>
      <c r="AE92" s="91"/>
      <c r="AF92" s="91"/>
    </row>
    <row r="93" spans="1:32" ht="21.25" customHeight="1" x14ac:dyDescent="0.15">
      <c r="A93" s="24"/>
      <c r="B93" s="94" t="str" cm="1">
        <f t="array" ref="B93">IFERROR(VLOOKUP($A93,'The List'!$B1:$AS671,3,FALSE)," ")</f>
        <v xml:space="preserve"> </v>
      </c>
      <c r="C93" s="96" t="str" cm="1">
        <f t="array" ref="C93">IFERROR(VLOOKUP($A93,'The List'!$B1:$AS671,4,FALSE)," ")</f>
        <v xml:space="preserve"> </v>
      </c>
      <c r="D93" s="18" t="str" cm="1">
        <f t="array" ref="D93">IFERROR(VLOOKUP($A93,'The List'!$B1:$AS671,5,FALSE)," ")</f>
        <v xml:space="preserve"> </v>
      </c>
      <c r="E93" s="18" t="str" cm="1">
        <f t="array" ref="E93">IFERROR(VLOOKUP($A93,'The List'!$B1:$AS671,6,FALSE)," ")</f>
        <v xml:space="preserve"> </v>
      </c>
      <c r="F93" s="93" t="str" cm="1">
        <f t="array" ref="F93">IFERROR(VLOOKUP($A93,'The List'!$B1:$AS671,8,FALSE)," ")</f>
        <v xml:space="preserve"> </v>
      </c>
      <c r="G93" s="93" t="str" cm="1">
        <f t="array" ref="G93">IFERROR(VLOOKUP($A93,'The List'!$B1:$AS671,10,FALSE)," ")</f>
        <v xml:space="preserve"> </v>
      </c>
      <c r="H93" s="55"/>
      <c r="I93" s="85" t="str" cm="1">
        <f t="array" ref="I93">IFERROR(VLOOKUP($A93,'The List'!$B1:$AS671,16,FALSE)," ")</f>
        <v xml:space="preserve"> </v>
      </c>
      <c r="J93" s="85" t="str" cm="1">
        <f t="array" ref="J93">IFERROR(VLOOKUP($A93,'The List'!$B1:$AS671,17,FALSE)," ")</f>
        <v xml:space="preserve"> </v>
      </c>
      <c r="K93" s="85" t="str" cm="1">
        <f t="array" ref="K93">IFERROR(VLOOKUP($A93,'The List'!$B1:$AS671,18,FALSE)," ")</f>
        <v xml:space="preserve"> </v>
      </c>
      <c r="L93" s="85" t="str" cm="1">
        <f t="array" ref="L93">IFERROR(VLOOKUP($A93,'The List'!$B1:$AS671,19,FALSE)," ")</f>
        <v xml:space="preserve"> </v>
      </c>
      <c r="M93" s="85" t="str" cm="1">
        <f t="array" ref="M93">IFERROR(VLOOKUP($A93,'The List'!$B1:$AS671,20,FALSE)," ")</f>
        <v xml:space="preserve"> </v>
      </c>
      <c r="N93" s="85" t="str" cm="1">
        <f t="array" ref="N93">IFERROR(VLOOKUP($A93,'The List'!$B1:$AS671,21,FALSE)," ")</f>
        <v xml:space="preserve"> </v>
      </c>
      <c r="O93" s="85" t="str" cm="1">
        <f t="array" ref="O93">IFERROR(VLOOKUP($A93,'The List'!$B1:$AS671,22,FALSE)," ")</f>
        <v xml:space="preserve"> </v>
      </c>
      <c r="P93" s="85" t="str" cm="1">
        <f t="array" ref="P93">IFERROR(VLOOKUP($A93,'The List'!$B1:$AS671,23,FALSE)," ")</f>
        <v xml:space="preserve"> </v>
      </c>
      <c r="Q93" s="85" t="str" cm="1">
        <f t="array" ref="Q93">IFERROR(VLOOKUP($A93,'The List'!$B1:$AS671,24,FALSE)," ")</f>
        <v xml:space="preserve"> </v>
      </c>
      <c r="R93" s="85" t="str" cm="1">
        <f t="array" ref="R93">IFERROR(VLOOKUP($A93,'The List'!$B1:$AS671,25,FALSE)," ")</f>
        <v xml:space="preserve"> </v>
      </c>
      <c r="S93" s="85" t="str" cm="1">
        <f t="array" ref="S93">IFERROR(VLOOKUP($A93,'The List'!$B1:$AS671,26,FALSE)," ")</f>
        <v xml:space="preserve"> </v>
      </c>
      <c r="T93" s="85" t="str" cm="1">
        <f t="array" ref="T93">IFERROR(VLOOKUP($A93,'The List'!$B1:$AS671,27,FALSE)," ")</f>
        <v xml:space="preserve"> </v>
      </c>
      <c r="U93" s="85" t="str" cm="1">
        <f t="array" ref="U93">IFERROR(VLOOKUP($A93,'The List'!$B1:$AS671,28,FALSE)," ")</f>
        <v xml:space="preserve"> </v>
      </c>
      <c r="V93" s="85" t="str" cm="1">
        <f t="array" ref="V93">IFERROR(VLOOKUP($A93,'The List'!$B1:$AS671,29,FALSE)," ")</f>
        <v xml:space="preserve"> </v>
      </c>
      <c r="W93" s="85" t="str" cm="1">
        <f t="array" ref="W93">IFERROR(VLOOKUP($A93,'The List'!$B1:$AS671,30,FALSE)," ")</f>
        <v xml:space="preserve"> </v>
      </c>
      <c r="X93" s="85" t="str" cm="1">
        <f t="array" ref="X93">IFERROR(VLOOKUP($A93,'The List'!$B1:$AS671,31,FALSE)," ")</f>
        <v xml:space="preserve"> </v>
      </c>
      <c r="Y93" s="85" t="str" cm="1">
        <f t="array" ref="Y93">IFERROR(VLOOKUP($A93,'The List'!$B1:$AS671,32,FALSE)," ")</f>
        <v xml:space="preserve"> </v>
      </c>
      <c r="Z93" s="85" t="str" cm="1">
        <f t="array" ref="Z93">IFERROR(VLOOKUP($A93,'The List'!$B1:$AS671,33,FALSE)," ")</f>
        <v xml:space="preserve"> </v>
      </c>
      <c r="AA93" s="86"/>
      <c r="AB93" s="91"/>
      <c r="AC93" s="91"/>
      <c r="AD93" s="91"/>
      <c r="AE93" s="91"/>
      <c r="AF93" s="91"/>
    </row>
    <row r="94" spans="1:32" ht="21.25" customHeight="1" x14ac:dyDescent="0.15">
      <c r="A94" s="24"/>
      <c r="B94" s="94" t="str" cm="1">
        <f t="array" ref="B94">IFERROR(VLOOKUP($A94,'The List'!$B1:$AS671,3,FALSE)," ")</f>
        <v xml:space="preserve"> </v>
      </c>
      <c r="C94" s="96" t="str" cm="1">
        <f t="array" ref="C94">IFERROR(VLOOKUP($A94,'The List'!$B1:$AS671,4,FALSE)," ")</f>
        <v xml:space="preserve"> </v>
      </c>
      <c r="D94" s="18" t="str" cm="1">
        <f t="array" ref="D94">IFERROR(VLOOKUP($A94,'The List'!$B1:$AS671,5,FALSE)," ")</f>
        <v xml:space="preserve"> </v>
      </c>
      <c r="E94" s="18" t="str" cm="1">
        <f t="array" ref="E94">IFERROR(VLOOKUP($A94,'The List'!$B1:$AS671,6,FALSE)," ")</f>
        <v xml:space="preserve"> </v>
      </c>
      <c r="F94" s="93" t="str" cm="1">
        <f t="array" ref="F94">IFERROR(VLOOKUP($A94,'The List'!$B1:$AS671,8,FALSE)," ")</f>
        <v xml:space="preserve"> </v>
      </c>
      <c r="G94" s="93" t="str" cm="1">
        <f t="array" ref="G94">IFERROR(VLOOKUP($A94,'The List'!$B1:$AS671,10,FALSE)," ")</f>
        <v xml:space="preserve"> </v>
      </c>
      <c r="H94" s="55"/>
      <c r="I94" s="85" t="str" cm="1">
        <f t="array" ref="I94">IFERROR(VLOOKUP($A94,'The List'!$B1:$AS671,16,FALSE)," ")</f>
        <v xml:space="preserve"> </v>
      </c>
      <c r="J94" s="85" t="str" cm="1">
        <f t="array" ref="J94">IFERROR(VLOOKUP($A94,'The List'!$B1:$AS671,17,FALSE)," ")</f>
        <v xml:space="preserve"> </v>
      </c>
      <c r="K94" s="85" t="str" cm="1">
        <f t="array" ref="K94">IFERROR(VLOOKUP($A94,'The List'!$B1:$AS671,18,FALSE)," ")</f>
        <v xml:space="preserve"> </v>
      </c>
      <c r="L94" s="85" t="str" cm="1">
        <f t="array" ref="L94">IFERROR(VLOOKUP($A94,'The List'!$B1:$AS671,19,FALSE)," ")</f>
        <v xml:space="preserve"> </v>
      </c>
      <c r="M94" s="85" t="str" cm="1">
        <f t="array" ref="M94">IFERROR(VLOOKUP($A94,'The List'!$B1:$AS671,20,FALSE)," ")</f>
        <v xml:space="preserve"> </v>
      </c>
      <c r="N94" s="85" t="str" cm="1">
        <f t="array" ref="N94">IFERROR(VLOOKUP($A94,'The List'!$B1:$AS671,21,FALSE)," ")</f>
        <v xml:space="preserve"> </v>
      </c>
      <c r="O94" s="85" t="str" cm="1">
        <f t="array" ref="O94">IFERROR(VLOOKUP($A94,'The List'!$B1:$AS671,22,FALSE)," ")</f>
        <v xml:space="preserve"> </v>
      </c>
      <c r="P94" s="85" t="str" cm="1">
        <f t="array" ref="P94">IFERROR(VLOOKUP($A94,'The List'!$B1:$AS671,23,FALSE)," ")</f>
        <v xml:space="preserve"> </v>
      </c>
      <c r="Q94" s="85" t="str" cm="1">
        <f t="array" ref="Q94">IFERROR(VLOOKUP($A94,'The List'!$B1:$AS671,24,FALSE)," ")</f>
        <v xml:space="preserve"> </v>
      </c>
      <c r="R94" s="85" t="str" cm="1">
        <f t="array" ref="R94">IFERROR(VLOOKUP($A94,'The List'!$B1:$AS671,25,FALSE)," ")</f>
        <v xml:space="preserve"> </v>
      </c>
      <c r="S94" s="85" t="str" cm="1">
        <f t="array" ref="S94">IFERROR(VLOOKUP($A94,'The List'!$B1:$AS671,26,FALSE)," ")</f>
        <v xml:space="preserve"> </v>
      </c>
      <c r="T94" s="85" t="str" cm="1">
        <f t="array" ref="T94">IFERROR(VLOOKUP($A94,'The List'!$B1:$AS671,27,FALSE)," ")</f>
        <v xml:space="preserve"> </v>
      </c>
      <c r="U94" s="85" t="str" cm="1">
        <f t="array" ref="U94">IFERROR(VLOOKUP($A94,'The List'!$B1:$AS671,28,FALSE)," ")</f>
        <v xml:space="preserve"> </v>
      </c>
      <c r="V94" s="85" t="str" cm="1">
        <f t="array" ref="V94">IFERROR(VLOOKUP($A94,'The List'!$B1:$AS671,29,FALSE)," ")</f>
        <v xml:space="preserve"> </v>
      </c>
      <c r="W94" s="85" t="str" cm="1">
        <f t="array" ref="W94">IFERROR(VLOOKUP($A94,'The List'!$B1:$AS671,30,FALSE)," ")</f>
        <v xml:space="preserve"> </v>
      </c>
      <c r="X94" s="85" t="str" cm="1">
        <f t="array" ref="X94">IFERROR(VLOOKUP($A94,'The List'!$B1:$AS671,31,FALSE)," ")</f>
        <v xml:space="preserve"> </v>
      </c>
      <c r="Y94" s="85" t="str" cm="1">
        <f t="array" ref="Y94">IFERROR(VLOOKUP($A94,'The List'!$B1:$AS671,32,FALSE)," ")</f>
        <v xml:space="preserve"> </v>
      </c>
      <c r="Z94" s="85" t="str" cm="1">
        <f t="array" ref="Z94">IFERROR(VLOOKUP($A94,'The List'!$B1:$AS671,33,FALSE)," ")</f>
        <v xml:space="preserve"> </v>
      </c>
      <c r="AA94" s="86"/>
      <c r="AB94" s="91"/>
      <c r="AC94" s="91"/>
      <c r="AD94" s="91"/>
      <c r="AE94" s="91"/>
      <c r="AF94" s="91"/>
    </row>
    <row r="95" spans="1:32" ht="21.25" customHeight="1" x14ac:dyDescent="0.15">
      <c r="A95" s="24"/>
      <c r="B95" s="94" t="str" cm="1">
        <f t="array" ref="B95">IFERROR(VLOOKUP($A95,'The List'!$B1:$AS671,3,FALSE)," ")</f>
        <v xml:space="preserve"> </v>
      </c>
      <c r="C95" s="96" t="str" cm="1">
        <f t="array" ref="C95">IFERROR(VLOOKUP($A95,'The List'!$B1:$AS671,4,FALSE)," ")</f>
        <v xml:space="preserve"> </v>
      </c>
      <c r="D95" s="18" t="str" cm="1">
        <f t="array" ref="D95">IFERROR(VLOOKUP($A95,'The List'!$B1:$AS671,5,FALSE)," ")</f>
        <v xml:space="preserve"> </v>
      </c>
      <c r="E95" s="18" t="str" cm="1">
        <f t="array" ref="E95">IFERROR(VLOOKUP($A95,'The List'!$B1:$AS671,6,FALSE)," ")</f>
        <v xml:space="preserve"> </v>
      </c>
      <c r="F95" s="93" t="str" cm="1">
        <f t="array" ref="F95">IFERROR(VLOOKUP($A95,'The List'!$B1:$AS671,8,FALSE)," ")</f>
        <v xml:space="preserve"> </v>
      </c>
      <c r="G95" s="93" t="str" cm="1">
        <f t="array" ref="G95">IFERROR(VLOOKUP($A95,'The List'!$B1:$AS671,10,FALSE)," ")</f>
        <v xml:space="preserve"> </v>
      </c>
      <c r="H95" s="55"/>
      <c r="I95" s="85" t="str" cm="1">
        <f t="array" ref="I95">IFERROR(VLOOKUP($A95,'The List'!$B1:$AS671,16,FALSE)," ")</f>
        <v xml:space="preserve"> </v>
      </c>
      <c r="J95" s="85" t="str" cm="1">
        <f t="array" ref="J95">IFERROR(VLOOKUP($A95,'The List'!$B1:$AS671,17,FALSE)," ")</f>
        <v xml:space="preserve"> </v>
      </c>
      <c r="K95" s="85" t="str" cm="1">
        <f t="array" ref="K95">IFERROR(VLOOKUP($A95,'The List'!$B1:$AS671,18,FALSE)," ")</f>
        <v xml:space="preserve"> </v>
      </c>
      <c r="L95" s="85" t="str" cm="1">
        <f t="array" ref="L95">IFERROR(VLOOKUP($A95,'The List'!$B1:$AS671,19,FALSE)," ")</f>
        <v xml:space="preserve"> </v>
      </c>
      <c r="M95" s="85" t="str" cm="1">
        <f t="array" ref="M95">IFERROR(VLOOKUP($A95,'The List'!$B1:$AS671,20,FALSE)," ")</f>
        <v xml:space="preserve"> </v>
      </c>
      <c r="N95" s="85" t="str" cm="1">
        <f t="array" ref="N95">IFERROR(VLOOKUP($A95,'The List'!$B1:$AS671,21,FALSE)," ")</f>
        <v xml:space="preserve"> </v>
      </c>
      <c r="O95" s="85" t="str" cm="1">
        <f t="array" ref="O95">IFERROR(VLOOKUP($A95,'The List'!$B1:$AS671,22,FALSE)," ")</f>
        <v xml:space="preserve"> </v>
      </c>
      <c r="P95" s="85" t="str" cm="1">
        <f t="array" ref="P95">IFERROR(VLOOKUP($A95,'The List'!$B1:$AS671,23,FALSE)," ")</f>
        <v xml:space="preserve"> </v>
      </c>
      <c r="Q95" s="85" t="str" cm="1">
        <f t="array" ref="Q95">IFERROR(VLOOKUP($A95,'The List'!$B1:$AS671,24,FALSE)," ")</f>
        <v xml:space="preserve"> </v>
      </c>
      <c r="R95" s="85" t="str" cm="1">
        <f t="array" ref="R95">IFERROR(VLOOKUP($A95,'The List'!$B1:$AS671,25,FALSE)," ")</f>
        <v xml:space="preserve"> </v>
      </c>
      <c r="S95" s="85" t="str" cm="1">
        <f t="array" ref="S95">IFERROR(VLOOKUP($A95,'The List'!$B1:$AS671,26,FALSE)," ")</f>
        <v xml:space="preserve"> </v>
      </c>
      <c r="T95" s="85" t="str" cm="1">
        <f t="array" ref="T95">IFERROR(VLOOKUP($A95,'The List'!$B1:$AS671,27,FALSE)," ")</f>
        <v xml:space="preserve"> </v>
      </c>
      <c r="U95" s="85" t="str" cm="1">
        <f t="array" ref="U95">IFERROR(VLOOKUP($A95,'The List'!$B1:$AS671,28,FALSE)," ")</f>
        <v xml:space="preserve"> </v>
      </c>
      <c r="V95" s="85" t="str" cm="1">
        <f t="array" ref="V95">IFERROR(VLOOKUP($A95,'The List'!$B1:$AS671,29,FALSE)," ")</f>
        <v xml:space="preserve"> </v>
      </c>
      <c r="W95" s="85" t="str" cm="1">
        <f t="array" ref="W95">IFERROR(VLOOKUP($A95,'The List'!$B1:$AS671,30,FALSE)," ")</f>
        <v xml:space="preserve"> </v>
      </c>
      <c r="X95" s="85" t="str" cm="1">
        <f t="array" ref="X95">IFERROR(VLOOKUP($A95,'The List'!$B1:$AS671,31,FALSE)," ")</f>
        <v xml:space="preserve"> </v>
      </c>
      <c r="Y95" s="85" t="str" cm="1">
        <f t="array" ref="Y95">IFERROR(VLOOKUP($A95,'The List'!$B1:$AS671,32,FALSE)," ")</f>
        <v xml:space="preserve"> </v>
      </c>
      <c r="Z95" s="85" t="str" cm="1">
        <f t="array" ref="Z95">IFERROR(VLOOKUP($A95,'The List'!$B1:$AS671,33,FALSE)," ")</f>
        <v xml:space="preserve"> </v>
      </c>
      <c r="AA95" s="86"/>
      <c r="AB95" s="91"/>
      <c r="AC95" s="91"/>
      <c r="AD95" s="91"/>
      <c r="AE95" s="91"/>
      <c r="AF95" s="91"/>
    </row>
    <row r="96" spans="1:32" ht="21.25" customHeight="1" x14ac:dyDescent="0.15">
      <c r="A96" s="24"/>
      <c r="B96" s="94" t="str" cm="1">
        <f t="array" ref="B96">IFERROR(VLOOKUP($A96,'The List'!$B1:$AS671,3,FALSE)," ")</f>
        <v xml:space="preserve"> </v>
      </c>
      <c r="C96" s="96" t="str" cm="1">
        <f t="array" ref="C96">IFERROR(VLOOKUP($A96,'The List'!$B1:$AS671,4,FALSE)," ")</f>
        <v xml:space="preserve"> </v>
      </c>
      <c r="D96" s="18" t="str" cm="1">
        <f t="array" ref="D96">IFERROR(VLOOKUP($A96,'The List'!$B1:$AS671,5,FALSE)," ")</f>
        <v xml:space="preserve"> </v>
      </c>
      <c r="E96" s="18" t="str" cm="1">
        <f t="array" ref="E96">IFERROR(VLOOKUP($A96,'The List'!$B1:$AS671,6,FALSE)," ")</f>
        <v xml:space="preserve"> </v>
      </c>
      <c r="F96" s="93" t="str" cm="1">
        <f t="array" ref="F96">IFERROR(VLOOKUP($A96,'The List'!$B1:$AS671,8,FALSE)," ")</f>
        <v xml:space="preserve"> </v>
      </c>
      <c r="G96" s="93" t="str" cm="1">
        <f t="array" ref="G96">IFERROR(VLOOKUP($A96,'The List'!$B1:$AS671,10,FALSE)," ")</f>
        <v xml:space="preserve"> </v>
      </c>
      <c r="H96" s="55"/>
      <c r="I96" s="85" t="str" cm="1">
        <f t="array" ref="I96">IFERROR(VLOOKUP($A96,'The List'!$B1:$AS671,16,FALSE)," ")</f>
        <v xml:space="preserve"> </v>
      </c>
      <c r="J96" s="85" t="str" cm="1">
        <f t="array" ref="J96">IFERROR(VLOOKUP($A96,'The List'!$B1:$AS671,17,FALSE)," ")</f>
        <v xml:space="preserve"> </v>
      </c>
      <c r="K96" s="85" t="str" cm="1">
        <f t="array" ref="K96">IFERROR(VLOOKUP($A96,'The List'!$B1:$AS671,18,FALSE)," ")</f>
        <v xml:space="preserve"> </v>
      </c>
      <c r="L96" s="85" t="str" cm="1">
        <f t="array" ref="L96">IFERROR(VLOOKUP($A96,'The List'!$B1:$AS671,19,FALSE)," ")</f>
        <v xml:space="preserve"> </v>
      </c>
      <c r="M96" s="85" t="str" cm="1">
        <f t="array" ref="M96">IFERROR(VLOOKUP($A96,'The List'!$B1:$AS671,20,FALSE)," ")</f>
        <v xml:space="preserve"> </v>
      </c>
      <c r="N96" s="85" t="str" cm="1">
        <f t="array" ref="N96">IFERROR(VLOOKUP($A96,'The List'!$B1:$AS671,21,FALSE)," ")</f>
        <v xml:space="preserve"> </v>
      </c>
      <c r="O96" s="85" t="str" cm="1">
        <f t="array" ref="O96">IFERROR(VLOOKUP($A96,'The List'!$B1:$AS671,22,FALSE)," ")</f>
        <v xml:space="preserve"> </v>
      </c>
      <c r="P96" s="85" t="str" cm="1">
        <f t="array" ref="P96">IFERROR(VLOOKUP($A96,'The List'!$B1:$AS671,23,FALSE)," ")</f>
        <v xml:space="preserve"> </v>
      </c>
      <c r="Q96" s="85" t="str" cm="1">
        <f t="array" ref="Q96">IFERROR(VLOOKUP($A96,'The List'!$B1:$AS671,24,FALSE)," ")</f>
        <v xml:space="preserve"> </v>
      </c>
      <c r="R96" s="85" t="str" cm="1">
        <f t="array" ref="R96">IFERROR(VLOOKUP($A96,'The List'!$B1:$AS671,25,FALSE)," ")</f>
        <v xml:space="preserve"> </v>
      </c>
      <c r="S96" s="85" t="str" cm="1">
        <f t="array" ref="S96">IFERROR(VLOOKUP($A96,'The List'!$B1:$AS671,26,FALSE)," ")</f>
        <v xml:space="preserve"> </v>
      </c>
      <c r="T96" s="85" t="str" cm="1">
        <f t="array" ref="T96">IFERROR(VLOOKUP($A96,'The List'!$B1:$AS671,27,FALSE)," ")</f>
        <v xml:space="preserve"> </v>
      </c>
      <c r="U96" s="85" t="str" cm="1">
        <f t="array" ref="U96">IFERROR(VLOOKUP($A96,'The List'!$B1:$AS671,28,FALSE)," ")</f>
        <v xml:space="preserve"> </v>
      </c>
      <c r="V96" s="85" t="str" cm="1">
        <f t="array" ref="V96">IFERROR(VLOOKUP($A96,'The List'!$B1:$AS671,29,FALSE)," ")</f>
        <v xml:space="preserve"> </v>
      </c>
      <c r="W96" s="85" t="str" cm="1">
        <f t="array" ref="W96">IFERROR(VLOOKUP($A96,'The List'!$B1:$AS671,30,FALSE)," ")</f>
        <v xml:space="preserve"> </v>
      </c>
      <c r="X96" s="85" t="str" cm="1">
        <f t="array" ref="X96">IFERROR(VLOOKUP($A96,'The List'!$B1:$AS671,31,FALSE)," ")</f>
        <v xml:space="preserve"> </v>
      </c>
      <c r="Y96" s="85" t="str" cm="1">
        <f t="array" ref="Y96">IFERROR(VLOOKUP($A96,'The List'!$B1:$AS671,32,FALSE)," ")</f>
        <v xml:space="preserve"> </v>
      </c>
      <c r="Z96" s="85" t="str" cm="1">
        <f t="array" ref="Z96">IFERROR(VLOOKUP($A96,'The List'!$B1:$AS671,33,FALSE)," ")</f>
        <v xml:space="preserve"> </v>
      </c>
      <c r="AA96" s="86"/>
      <c r="AB96" s="91"/>
      <c r="AC96" s="91"/>
      <c r="AD96" s="91"/>
      <c r="AE96" s="91"/>
      <c r="AF96" s="91"/>
    </row>
    <row r="97" spans="1:32" ht="21.25" customHeight="1" x14ac:dyDescent="0.15">
      <c r="A97" s="24"/>
      <c r="B97" s="97" t="str" cm="1">
        <f t="array" ref="B97">IFERROR(VLOOKUP($A97,'The List'!$B1:$AS671,3,FALSE)," ")</f>
        <v xml:space="preserve"> </v>
      </c>
      <c r="C97" s="99" t="str" cm="1">
        <f t="array" ref="C97">IFERROR(VLOOKUP($A97,'The List'!$B1:$AS671,4,FALSE)," ")</f>
        <v xml:space="preserve"> </v>
      </c>
      <c r="D97" s="18" t="str" cm="1">
        <f t="array" ref="D97">IFERROR(VLOOKUP($A97,'The List'!$B1:$AS671,5,FALSE)," ")</f>
        <v xml:space="preserve"> </v>
      </c>
      <c r="E97" s="18" t="str" cm="1">
        <f t="array" ref="E97">IFERROR(VLOOKUP($A97,'The List'!$B1:$AS671,6,FALSE)," ")</f>
        <v xml:space="preserve"> </v>
      </c>
      <c r="F97" s="93" t="str" cm="1">
        <f t="array" ref="F97">IFERROR(VLOOKUP($A97,'The List'!$B1:$AS671,8,FALSE)," ")</f>
        <v xml:space="preserve"> </v>
      </c>
      <c r="G97" s="93" t="str" cm="1">
        <f t="array" ref="G97">IFERROR(VLOOKUP($A97,'The List'!$B1:$AS671,10,FALSE)," ")</f>
        <v xml:space="preserve"> </v>
      </c>
      <c r="H97" s="55"/>
      <c r="I97" s="85" t="str" cm="1">
        <f t="array" ref="I97">IFERROR(VLOOKUP($A97,'The List'!$B1:$AS671,16,FALSE)," ")</f>
        <v xml:space="preserve"> </v>
      </c>
      <c r="J97" s="85" t="str" cm="1">
        <f t="array" ref="J97">IFERROR(VLOOKUP($A97,'The List'!$B1:$AS671,17,FALSE)," ")</f>
        <v xml:space="preserve"> </v>
      </c>
      <c r="K97" s="85" t="str" cm="1">
        <f t="array" ref="K97">IFERROR(VLOOKUP($A97,'The List'!$B1:$AS671,18,FALSE)," ")</f>
        <v xml:space="preserve"> </v>
      </c>
      <c r="L97" s="85" t="str" cm="1">
        <f t="array" ref="L97">IFERROR(VLOOKUP($A97,'The List'!$B1:$AS671,19,FALSE)," ")</f>
        <v xml:space="preserve"> </v>
      </c>
      <c r="M97" s="85" t="str" cm="1">
        <f t="array" ref="M97">IFERROR(VLOOKUP($A97,'The List'!$B1:$AS671,20,FALSE)," ")</f>
        <v xml:space="preserve"> </v>
      </c>
      <c r="N97" s="85" t="str" cm="1">
        <f t="array" ref="N97">IFERROR(VLOOKUP($A97,'The List'!$B1:$AS671,21,FALSE)," ")</f>
        <v xml:space="preserve"> </v>
      </c>
      <c r="O97" s="85" t="str" cm="1">
        <f t="array" ref="O97">IFERROR(VLOOKUP($A97,'The List'!$B1:$AS671,22,FALSE)," ")</f>
        <v xml:space="preserve"> </v>
      </c>
      <c r="P97" s="85" t="str" cm="1">
        <f t="array" ref="P97">IFERROR(VLOOKUP($A97,'The List'!$B1:$AS671,23,FALSE)," ")</f>
        <v xml:space="preserve"> </v>
      </c>
      <c r="Q97" s="85" t="str" cm="1">
        <f t="array" ref="Q97">IFERROR(VLOOKUP($A97,'The List'!$B1:$AS671,24,FALSE)," ")</f>
        <v xml:space="preserve"> </v>
      </c>
      <c r="R97" s="85" t="str" cm="1">
        <f t="array" ref="R97">IFERROR(VLOOKUP($A97,'The List'!$B1:$AS671,25,FALSE)," ")</f>
        <v xml:space="preserve"> </v>
      </c>
      <c r="S97" s="85" t="str" cm="1">
        <f t="array" ref="S97">IFERROR(VLOOKUP($A97,'The List'!$B1:$AS671,26,FALSE)," ")</f>
        <v xml:space="preserve"> </v>
      </c>
      <c r="T97" s="85" t="str" cm="1">
        <f t="array" ref="T97">IFERROR(VLOOKUP($A97,'The List'!$B1:$AS671,27,FALSE)," ")</f>
        <v xml:space="preserve"> </v>
      </c>
      <c r="U97" s="85" t="str" cm="1">
        <f t="array" ref="U97">IFERROR(VLOOKUP($A97,'The List'!$B1:$AS671,28,FALSE)," ")</f>
        <v xml:space="preserve"> </v>
      </c>
      <c r="V97" s="85" t="str" cm="1">
        <f t="array" ref="V97">IFERROR(VLOOKUP($A97,'The List'!$B1:$AS671,29,FALSE)," ")</f>
        <v xml:space="preserve"> </v>
      </c>
      <c r="W97" s="85" t="str" cm="1">
        <f t="array" ref="W97">IFERROR(VLOOKUP($A97,'The List'!$B1:$AS671,30,FALSE)," ")</f>
        <v xml:space="preserve"> </v>
      </c>
      <c r="X97" s="85" t="str" cm="1">
        <f t="array" ref="X97">IFERROR(VLOOKUP($A97,'The List'!$B1:$AS671,31,FALSE)," ")</f>
        <v xml:space="preserve"> </v>
      </c>
      <c r="Y97" s="85" t="str" cm="1">
        <f t="array" ref="Y97">IFERROR(VLOOKUP($A97,'The List'!$B1:$AS671,32,FALSE)," ")</f>
        <v xml:space="preserve"> </v>
      </c>
      <c r="Z97" s="85" t="str" cm="1">
        <f t="array" ref="Z97">IFERROR(VLOOKUP($A97,'The List'!$B1:$AS671,33,FALSE)," ")</f>
        <v xml:space="preserve"> </v>
      </c>
      <c r="AA97" s="86"/>
      <c r="AB97" s="91"/>
      <c r="AC97" s="91"/>
      <c r="AD97" s="91"/>
      <c r="AE97" s="91"/>
      <c r="AF97" s="91"/>
    </row>
    <row r="98" spans="1:32" ht="21.25" customHeight="1" x14ac:dyDescent="0.15">
      <c r="A98" s="24"/>
      <c r="B98" s="97" t="str" cm="1">
        <f t="array" ref="B98">IFERROR(VLOOKUP($A98,'The List'!$B1:$AS671,3,FALSE)," ")</f>
        <v xml:space="preserve"> </v>
      </c>
      <c r="C98" s="99" t="str" cm="1">
        <f t="array" ref="C98">IFERROR(VLOOKUP($A98,'The List'!$B1:$AS671,4,FALSE)," ")</f>
        <v xml:space="preserve"> </v>
      </c>
      <c r="D98" s="18" t="str" cm="1">
        <f t="array" ref="D98">IFERROR(VLOOKUP($A98,'The List'!$B1:$AS671,5,FALSE)," ")</f>
        <v xml:space="preserve"> </v>
      </c>
      <c r="E98" s="18" t="str" cm="1">
        <f t="array" ref="E98">IFERROR(VLOOKUP($A98,'The List'!$B1:$AS671,6,FALSE)," ")</f>
        <v xml:space="preserve"> </v>
      </c>
      <c r="F98" s="93" t="str" cm="1">
        <f t="array" ref="F98">IFERROR(VLOOKUP($A98,'The List'!$B1:$AS671,8,FALSE)," ")</f>
        <v xml:space="preserve"> </v>
      </c>
      <c r="G98" s="93" t="str" cm="1">
        <f t="array" ref="G98">IFERROR(VLOOKUP($A98,'The List'!$B1:$AS671,10,FALSE)," ")</f>
        <v xml:space="preserve"> </v>
      </c>
      <c r="H98" s="55"/>
      <c r="I98" s="85" t="str" cm="1">
        <f t="array" ref="I98">IFERROR(VLOOKUP($A98,'The List'!$B1:$AS671,16,FALSE)," ")</f>
        <v xml:space="preserve"> </v>
      </c>
      <c r="J98" s="85" t="str" cm="1">
        <f t="array" ref="J98">IFERROR(VLOOKUP($A98,'The List'!$B1:$AS671,17,FALSE)," ")</f>
        <v xml:space="preserve"> </v>
      </c>
      <c r="K98" s="85" t="str" cm="1">
        <f t="array" ref="K98">IFERROR(VLOOKUP($A98,'The List'!$B1:$AS671,18,FALSE)," ")</f>
        <v xml:space="preserve"> </v>
      </c>
      <c r="L98" s="85" t="str" cm="1">
        <f t="array" ref="L98">IFERROR(VLOOKUP($A98,'The List'!$B1:$AS671,19,FALSE)," ")</f>
        <v xml:space="preserve"> </v>
      </c>
      <c r="M98" s="85" t="str" cm="1">
        <f t="array" ref="M98">IFERROR(VLOOKUP($A98,'The List'!$B1:$AS671,20,FALSE)," ")</f>
        <v xml:space="preserve"> </v>
      </c>
      <c r="N98" s="85" t="str" cm="1">
        <f t="array" ref="N98">IFERROR(VLOOKUP($A98,'The List'!$B1:$AS671,21,FALSE)," ")</f>
        <v xml:space="preserve"> </v>
      </c>
      <c r="O98" s="85" t="str" cm="1">
        <f t="array" ref="O98">IFERROR(VLOOKUP($A98,'The List'!$B1:$AS671,22,FALSE)," ")</f>
        <v xml:space="preserve"> </v>
      </c>
      <c r="P98" s="85" t="str" cm="1">
        <f t="array" ref="P98">IFERROR(VLOOKUP($A98,'The List'!$B1:$AS671,23,FALSE)," ")</f>
        <v xml:space="preserve"> </v>
      </c>
      <c r="Q98" s="85" t="str" cm="1">
        <f t="array" ref="Q98">IFERROR(VLOOKUP($A98,'The List'!$B1:$AS671,24,FALSE)," ")</f>
        <v xml:space="preserve"> </v>
      </c>
      <c r="R98" s="85" t="str" cm="1">
        <f t="array" ref="R98">IFERROR(VLOOKUP($A98,'The List'!$B1:$AS671,25,FALSE)," ")</f>
        <v xml:space="preserve"> </v>
      </c>
      <c r="S98" s="85" t="str" cm="1">
        <f t="array" ref="S98">IFERROR(VLOOKUP($A98,'The List'!$B1:$AS671,26,FALSE)," ")</f>
        <v xml:space="preserve"> </v>
      </c>
      <c r="T98" s="85" t="str" cm="1">
        <f t="array" ref="T98">IFERROR(VLOOKUP($A98,'The List'!$B1:$AS671,27,FALSE)," ")</f>
        <v xml:space="preserve"> </v>
      </c>
      <c r="U98" s="85" t="str" cm="1">
        <f t="array" ref="U98">IFERROR(VLOOKUP($A98,'The List'!$B1:$AS671,28,FALSE)," ")</f>
        <v xml:space="preserve"> </v>
      </c>
      <c r="V98" s="85" t="str" cm="1">
        <f t="array" ref="V98">IFERROR(VLOOKUP($A98,'The List'!$B1:$AS671,29,FALSE)," ")</f>
        <v xml:space="preserve"> </v>
      </c>
      <c r="W98" s="85" t="str" cm="1">
        <f t="array" ref="W98">IFERROR(VLOOKUP($A98,'The List'!$B1:$AS671,30,FALSE)," ")</f>
        <v xml:space="preserve"> </v>
      </c>
      <c r="X98" s="85" t="str" cm="1">
        <f t="array" ref="X98">IFERROR(VLOOKUP($A98,'The List'!$B1:$AS671,31,FALSE)," ")</f>
        <v xml:space="preserve"> </v>
      </c>
      <c r="Y98" s="85" t="str" cm="1">
        <f t="array" ref="Y98">IFERROR(VLOOKUP($A98,'The List'!$B1:$AS671,32,FALSE)," ")</f>
        <v xml:space="preserve"> </v>
      </c>
      <c r="Z98" s="85" t="str" cm="1">
        <f t="array" ref="Z98">IFERROR(VLOOKUP($A98,'The List'!$B1:$AS671,33,FALSE)," ")</f>
        <v xml:space="preserve"> </v>
      </c>
      <c r="AA98" s="86"/>
      <c r="AB98" s="91"/>
      <c r="AC98" s="91"/>
      <c r="AD98" s="91"/>
      <c r="AE98" s="91"/>
      <c r="AF98" s="91"/>
    </row>
    <row r="99" spans="1:32" ht="21.25" customHeight="1" x14ac:dyDescent="0.15">
      <c r="A99" s="24"/>
      <c r="B99" s="97" t="str" cm="1">
        <f t="array" ref="B99">IFERROR(VLOOKUP($A99,'The List'!$B1:$AS671,3,FALSE)," ")</f>
        <v xml:space="preserve"> </v>
      </c>
      <c r="C99" s="99" t="str" cm="1">
        <f t="array" ref="C99">IFERROR(VLOOKUP($A99,'The List'!$B1:$AS671,4,FALSE)," ")</f>
        <v xml:space="preserve"> </v>
      </c>
      <c r="D99" s="18" t="str" cm="1">
        <f t="array" ref="D99">IFERROR(VLOOKUP($A99,'The List'!$B1:$AS671,5,FALSE)," ")</f>
        <v xml:space="preserve"> </v>
      </c>
      <c r="E99" s="18" t="str" cm="1">
        <f t="array" ref="E99">IFERROR(VLOOKUP($A99,'The List'!$B1:$AS671,6,FALSE)," ")</f>
        <v xml:space="preserve"> </v>
      </c>
      <c r="F99" s="93" t="str" cm="1">
        <f t="array" ref="F99">IFERROR(VLOOKUP($A99,'The List'!$B1:$AS671,8,FALSE)," ")</f>
        <v xml:space="preserve"> </v>
      </c>
      <c r="G99" s="93" t="str" cm="1">
        <f t="array" ref="G99">IFERROR(VLOOKUP($A99,'The List'!$B1:$AS671,10,FALSE)," ")</f>
        <v xml:space="preserve"> </v>
      </c>
      <c r="H99" s="55"/>
      <c r="I99" s="85" t="str" cm="1">
        <f t="array" ref="I99">IFERROR(VLOOKUP($A99,'The List'!$B1:$AS671,16,FALSE)," ")</f>
        <v xml:space="preserve"> </v>
      </c>
      <c r="J99" s="85" t="str" cm="1">
        <f t="array" ref="J99">IFERROR(VLOOKUP($A99,'The List'!$B1:$AS671,17,FALSE)," ")</f>
        <v xml:space="preserve"> </v>
      </c>
      <c r="K99" s="85" t="str" cm="1">
        <f t="array" ref="K99">IFERROR(VLOOKUP($A99,'The List'!$B1:$AS671,18,FALSE)," ")</f>
        <v xml:space="preserve"> </v>
      </c>
      <c r="L99" s="85" t="str" cm="1">
        <f t="array" ref="L99">IFERROR(VLOOKUP($A99,'The List'!$B1:$AS671,19,FALSE)," ")</f>
        <v xml:space="preserve"> </v>
      </c>
      <c r="M99" s="85" t="str" cm="1">
        <f t="array" ref="M99">IFERROR(VLOOKUP($A99,'The List'!$B1:$AS671,20,FALSE)," ")</f>
        <v xml:space="preserve"> </v>
      </c>
      <c r="N99" s="85" t="str" cm="1">
        <f t="array" ref="N99">IFERROR(VLOOKUP($A99,'The List'!$B1:$AS671,21,FALSE)," ")</f>
        <v xml:space="preserve"> </v>
      </c>
      <c r="O99" s="85" t="str" cm="1">
        <f t="array" ref="O99">IFERROR(VLOOKUP($A99,'The List'!$B1:$AS671,22,FALSE)," ")</f>
        <v xml:space="preserve"> </v>
      </c>
      <c r="P99" s="85" t="str" cm="1">
        <f t="array" ref="P99">IFERROR(VLOOKUP($A99,'The List'!$B1:$AS671,23,FALSE)," ")</f>
        <v xml:space="preserve"> </v>
      </c>
      <c r="Q99" s="85" t="str" cm="1">
        <f t="array" ref="Q99">IFERROR(VLOOKUP($A99,'The List'!$B1:$AS671,24,FALSE)," ")</f>
        <v xml:space="preserve"> </v>
      </c>
      <c r="R99" s="85" t="str" cm="1">
        <f t="array" ref="R99">IFERROR(VLOOKUP($A99,'The List'!$B1:$AS671,25,FALSE)," ")</f>
        <v xml:space="preserve"> </v>
      </c>
      <c r="S99" s="85" t="str" cm="1">
        <f t="array" ref="S99">IFERROR(VLOOKUP($A99,'The List'!$B1:$AS671,26,FALSE)," ")</f>
        <v xml:space="preserve"> </v>
      </c>
      <c r="T99" s="85" t="str" cm="1">
        <f t="array" ref="T99">IFERROR(VLOOKUP($A99,'The List'!$B1:$AS671,27,FALSE)," ")</f>
        <v xml:space="preserve"> </v>
      </c>
      <c r="U99" s="85" t="str" cm="1">
        <f t="array" ref="U99">IFERROR(VLOOKUP($A99,'The List'!$B1:$AS671,28,FALSE)," ")</f>
        <v xml:space="preserve"> </v>
      </c>
      <c r="V99" s="85" t="str" cm="1">
        <f t="array" ref="V99">IFERROR(VLOOKUP($A99,'The List'!$B1:$AS671,29,FALSE)," ")</f>
        <v xml:space="preserve"> </v>
      </c>
      <c r="W99" s="85" t="str" cm="1">
        <f t="array" ref="W99">IFERROR(VLOOKUP($A99,'The List'!$B1:$AS671,30,FALSE)," ")</f>
        <v xml:space="preserve"> </v>
      </c>
      <c r="X99" s="85" t="str" cm="1">
        <f t="array" ref="X99">IFERROR(VLOOKUP($A99,'The List'!$B1:$AS671,31,FALSE)," ")</f>
        <v xml:space="preserve"> </v>
      </c>
      <c r="Y99" s="85" t="str" cm="1">
        <f t="array" ref="Y99">IFERROR(VLOOKUP($A99,'The List'!$B1:$AS671,32,FALSE)," ")</f>
        <v xml:space="preserve"> </v>
      </c>
      <c r="Z99" s="85" t="str" cm="1">
        <f t="array" ref="Z99">IFERROR(VLOOKUP($A99,'The List'!$B1:$AS671,33,FALSE)," ")</f>
        <v xml:space="preserve"> </v>
      </c>
      <c r="AA99" s="86"/>
      <c r="AB99" s="91"/>
      <c r="AC99" s="91"/>
      <c r="AD99" s="91"/>
      <c r="AE99" s="91"/>
      <c r="AF99" s="91"/>
    </row>
    <row r="100" spans="1:32" ht="21.25" customHeight="1" x14ac:dyDescent="0.15">
      <c r="A100" s="24"/>
      <c r="B100" s="97" t="str" cm="1">
        <f t="array" ref="B100">IFERROR(VLOOKUP($A100,'The List'!$B1:$AS671,3,FALSE)," ")</f>
        <v xml:space="preserve"> </v>
      </c>
      <c r="C100" s="99" t="str" cm="1">
        <f t="array" ref="C100">IFERROR(VLOOKUP($A100,'The List'!$B1:$AS671,4,FALSE)," ")</f>
        <v xml:space="preserve"> </v>
      </c>
      <c r="D100" s="18" t="str" cm="1">
        <f t="array" ref="D100">IFERROR(VLOOKUP($A100,'The List'!$B1:$AS671,5,FALSE)," ")</f>
        <v xml:space="preserve"> </v>
      </c>
      <c r="E100" s="18" t="str" cm="1">
        <f t="array" ref="E100">IFERROR(VLOOKUP($A100,'The List'!$B1:$AS671,6,FALSE)," ")</f>
        <v xml:space="preserve"> </v>
      </c>
      <c r="F100" s="93" t="str" cm="1">
        <f t="array" ref="F100">IFERROR(VLOOKUP($A100,'The List'!$B1:$AS671,8,FALSE)," ")</f>
        <v xml:space="preserve"> </v>
      </c>
      <c r="G100" s="93" t="str" cm="1">
        <f t="array" ref="G100">IFERROR(VLOOKUP($A100,'The List'!$B1:$AS671,10,FALSE)," ")</f>
        <v xml:space="preserve"> </v>
      </c>
      <c r="H100" s="55"/>
      <c r="I100" s="85" t="str" cm="1">
        <f t="array" ref="I100">IFERROR(VLOOKUP($A100,'The List'!$B1:$AS671,16,FALSE)," ")</f>
        <v xml:space="preserve"> </v>
      </c>
      <c r="J100" s="85" t="str" cm="1">
        <f t="array" ref="J100">IFERROR(VLOOKUP($A100,'The List'!$B1:$AS671,17,FALSE)," ")</f>
        <v xml:space="preserve"> </v>
      </c>
      <c r="K100" s="85" t="str" cm="1">
        <f t="array" ref="K100">IFERROR(VLOOKUP($A100,'The List'!$B1:$AS671,18,FALSE)," ")</f>
        <v xml:space="preserve"> </v>
      </c>
      <c r="L100" s="85" t="str" cm="1">
        <f t="array" ref="L100">IFERROR(VLOOKUP($A100,'The List'!$B1:$AS671,19,FALSE)," ")</f>
        <v xml:space="preserve"> </v>
      </c>
      <c r="M100" s="85" t="str" cm="1">
        <f t="array" ref="M100">IFERROR(VLOOKUP($A100,'The List'!$B1:$AS671,20,FALSE)," ")</f>
        <v xml:space="preserve"> </v>
      </c>
      <c r="N100" s="85" t="str" cm="1">
        <f t="array" ref="N100">IFERROR(VLOOKUP($A100,'The List'!$B1:$AS671,21,FALSE)," ")</f>
        <v xml:space="preserve"> </v>
      </c>
      <c r="O100" s="85" t="str" cm="1">
        <f t="array" ref="O100">IFERROR(VLOOKUP($A100,'The List'!$B1:$AS671,22,FALSE)," ")</f>
        <v xml:space="preserve"> </v>
      </c>
      <c r="P100" s="85" t="str" cm="1">
        <f t="array" ref="P100">IFERROR(VLOOKUP($A100,'The List'!$B1:$AS671,23,FALSE)," ")</f>
        <v xml:space="preserve"> </v>
      </c>
      <c r="Q100" s="85" t="str" cm="1">
        <f t="array" ref="Q100">IFERROR(VLOOKUP($A100,'The List'!$B1:$AS671,24,FALSE)," ")</f>
        <v xml:space="preserve"> </v>
      </c>
      <c r="R100" s="85" t="str" cm="1">
        <f t="array" ref="R100">IFERROR(VLOOKUP($A100,'The List'!$B1:$AS671,25,FALSE)," ")</f>
        <v xml:space="preserve"> </v>
      </c>
      <c r="S100" s="85" t="str" cm="1">
        <f t="array" ref="S100">IFERROR(VLOOKUP($A100,'The List'!$B1:$AS671,26,FALSE)," ")</f>
        <v xml:space="preserve"> </v>
      </c>
      <c r="T100" s="85" t="str" cm="1">
        <f t="array" ref="T100">IFERROR(VLOOKUP($A100,'The List'!$B1:$AS671,27,FALSE)," ")</f>
        <v xml:space="preserve"> </v>
      </c>
      <c r="U100" s="85" t="str" cm="1">
        <f t="array" ref="U100">IFERROR(VLOOKUP($A100,'The List'!$B1:$AS671,28,FALSE)," ")</f>
        <v xml:space="preserve"> </v>
      </c>
      <c r="V100" s="85" t="str" cm="1">
        <f t="array" ref="V100">IFERROR(VLOOKUP($A100,'The List'!$B1:$AS671,29,FALSE)," ")</f>
        <v xml:space="preserve"> </v>
      </c>
      <c r="W100" s="85" t="str" cm="1">
        <f t="array" ref="W100">IFERROR(VLOOKUP($A100,'The List'!$B1:$AS671,30,FALSE)," ")</f>
        <v xml:space="preserve"> </v>
      </c>
      <c r="X100" s="85" t="str" cm="1">
        <f t="array" ref="X100">IFERROR(VLOOKUP($A100,'The List'!$B1:$AS671,31,FALSE)," ")</f>
        <v xml:space="preserve"> </v>
      </c>
      <c r="Y100" s="85" t="str" cm="1">
        <f t="array" ref="Y100">IFERROR(VLOOKUP($A100,'The List'!$B1:$AS671,32,FALSE)," ")</f>
        <v xml:space="preserve"> </v>
      </c>
      <c r="Z100" s="85" t="str" cm="1">
        <f t="array" ref="Z100">IFERROR(VLOOKUP($A100,'The List'!$B1:$AS671,33,FALSE)," ")</f>
        <v xml:space="preserve"> </v>
      </c>
      <c r="AA100" s="86"/>
      <c r="AB100" s="91"/>
      <c r="AC100" s="91"/>
      <c r="AD100" s="91"/>
      <c r="AE100" s="91"/>
      <c r="AF100" s="91"/>
    </row>
    <row r="101" spans="1:32" ht="21.25" customHeight="1" x14ac:dyDescent="0.15">
      <c r="A101" s="24"/>
      <c r="B101" s="100" t="str" cm="1">
        <f t="array" ref="B101">IFERROR(VLOOKUP($A101,'The List'!$B1:$AS671,3,FALSE)," ")</f>
        <v xml:space="preserve"> </v>
      </c>
      <c r="C101" s="102" t="str" cm="1">
        <f t="array" ref="C101">IFERROR(VLOOKUP($A101,'The List'!$B1:$AS671,4,FALSE)," ")</f>
        <v xml:space="preserve"> </v>
      </c>
      <c r="D101" s="18" t="str" cm="1">
        <f t="array" ref="D101">IFERROR(VLOOKUP($A101,'The List'!$B1:$AS671,5,FALSE)," ")</f>
        <v xml:space="preserve"> </v>
      </c>
      <c r="E101" s="18" t="str" cm="1">
        <f t="array" ref="E101">IFERROR(VLOOKUP($A101,'The List'!$B1:$AS671,6,FALSE)," ")</f>
        <v xml:space="preserve"> </v>
      </c>
      <c r="F101" s="93" t="str" cm="1">
        <f t="array" ref="F101">IFERROR(VLOOKUP($A101,'The List'!$B1:$AS671,8,FALSE)," ")</f>
        <v xml:space="preserve"> </v>
      </c>
      <c r="G101" s="93" t="str" cm="1">
        <f t="array" ref="G101">IFERROR(VLOOKUP($A101,'The List'!$B1:$AS671,10,FALSE)," ")</f>
        <v xml:space="preserve"> </v>
      </c>
      <c r="H101" s="55"/>
      <c r="I101" s="85" t="str" cm="1">
        <f t="array" ref="I101">IFERROR(VLOOKUP($A101,'The List'!$B1:$AS671,16,FALSE)," ")</f>
        <v xml:space="preserve"> </v>
      </c>
      <c r="J101" s="85" t="str" cm="1">
        <f t="array" ref="J101">IFERROR(VLOOKUP($A101,'The List'!$B1:$AS671,17,FALSE)," ")</f>
        <v xml:space="preserve"> </v>
      </c>
      <c r="K101" s="85" t="str" cm="1">
        <f t="array" ref="K101">IFERROR(VLOOKUP($A101,'The List'!$B1:$AS671,18,FALSE)," ")</f>
        <v xml:space="preserve"> </v>
      </c>
      <c r="L101" s="85" t="str" cm="1">
        <f t="array" ref="L101">IFERROR(VLOOKUP($A101,'The List'!$B1:$AS671,19,FALSE)," ")</f>
        <v xml:space="preserve"> </v>
      </c>
      <c r="M101" s="85" t="str" cm="1">
        <f t="array" ref="M101">IFERROR(VLOOKUP($A101,'The List'!$B1:$AS671,20,FALSE)," ")</f>
        <v xml:space="preserve"> </v>
      </c>
      <c r="N101" s="85" t="str" cm="1">
        <f t="array" ref="N101">IFERROR(VLOOKUP($A101,'The List'!$B1:$AS671,21,FALSE)," ")</f>
        <v xml:space="preserve"> </v>
      </c>
      <c r="O101" s="85" t="str" cm="1">
        <f t="array" ref="O101">IFERROR(VLOOKUP($A101,'The List'!$B1:$AS671,22,FALSE)," ")</f>
        <v xml:space="preserve"> </v>
      </c>
      <c r="P101" s="85" t="str" cm="1">
        <f t="array" ref="P101">IFERROR(VLOOKUP($A101,'The List'!$B1:$AS671,23,FALSE)," ")</f>
        <v xml:space="preserve"> </v>
      </c>
      <c r="Q101" s="85" t="str" cm="1">
        <f t="array" ref="Q101">IFERROR(VLOOKUP($A101,'The List'!$B1:$AS671,24,FALSE)," ")</f>
        <v xml:space="preserve"> </v>
      </c>
      <c r="R101" s="85" t="str" cm="1">
        <f t="array" ref="R101">IFERROR(VLOOKUP($A101,'The List'!$B1:$AS671,25,FALSE)," ")</f>
        <v xml:space="preserve"> </v>
      </c>
      <c r="S101" s="85" t="str" cm="1">
        <f t="array" ref="S101">IFERROR(VLOOKUP($A101,'The List'!$B1:$AS671,26,FALSE)," ")</f>
        <v xml:space="preserve"> </v>
      </c>
      <c r="T101" s="85" t="str" cm="1">
        <f t="array" ref="T101">IFERROR(VLOOKUP($A101,'The List'!$B1:$AS671,27,FALSE)," ")</f>
        <v xml:space="preserve"> </v>
      </c>
      <c r="U101" s="85" t="str" cm="1">
        <f t="array" ref="U101">IFERROR(VLOOKUP($A101,'The List'!$B1:$AS671,28,FALSE)," ")</f>
        <v xml:space="preserve"> </v>
      </c>
      <c r="V101" s="85" t="str" cm="1">
        <f t="array" ref="V101">IFERROR(VLOOKUP($A101,'The List'!$B1:$AS671,29,FALSE)," ")</f>
        <v xml:space="preserve"> </v>
      </c>
      <c r="W101" s="85" t="str" cm="1">
        <f t="array" ref="W101">IFERROR(VLOOKUP($A101,'The List'!$B1:$AS671,30,FALSE)," ")</f>
        <v xml:space="preserve"> </v>
      </c>
      <c r="X101" s="85" t="str" cm="1">
        <f t="array" ref="X101">IFERROR(VLOOKUP($A101,'The List'!$B1:$AS671,31,FALSE)," ")</f>
        <v xml:space="preserve"> </v>
      </c>
      <c r="Y101" s="85" t="str" cm="1">
        <f t="array" ref="Y101">IFERROR(VLOOKUP($A101,'The List'!$B1:$AS671,32,FALSE)," ")</f>
        <v xml:space="preserve"> </v>
      </c>
      <c r="Z101" s="85" t="str" cm="1">
        <f t="array" ref="Z101">IFERROR(VLOOKUP($A101,'The List'!$B1:$AS671,33,FALSE)," ")</f>
        <v xml:space="preserve"> </v>
      </c>
      <c r="AA101" s="86"/>
      <c r="AB101" s="91"/>
      <c r="AC101" s="91"/>
      <c r="AD101" s="91"/>
      <c r="AE101" s="91"/>
      <c r="AF101" s="91"/>
    </row>
    <row r="102" spans="1:32" ht="21.25" customHeight="1" x14ac:dyDescent="0.15">
      <c r="A102" s="24"/>
      <c r="B102" s="100" t="str" cm="1">
        <f t="array" ref="B102">IFERROR(VLOOKUP($A102,'The List'!$B1:$AS671,3,FALSE)," ")</f>
        <v xml:space="preserve"> </v>
      </c>
      <c r="C102" s="102" t="str" cm="1">
        <f t="array" ref="C102">IFERROR(VLOOKUP($A102,'The List'!$B1:$AS671,4,FALSE)," ")</f>
        <v xml:space="preserve"> </v>
      </c>
      <c r="D102" s="18" t="str" cm="1">
        <f t="array" ref="D102">IFERROR(VLOOKUP($A102,'The List'!$B1:$AS671,5,FALSE)," ")</f>
        <v xml:space="preserve"> </v>
      </c>
      <c r="E102" s="18" t="str" cm="1">
        <f t="array" ref="E102">IFERROR(VLOOKUP($A102,'The List'!$B1:$AS671,6,FALSE)," ")</f>
        <v xml:space="preserve"> </v>
      </c>
      <c r="F102" s="93" t="str" cm="1">
        <f t="array" ref="F102">IFERROR(VLOOKUP($A102,'The List'!$B1:$AS671,8,FALSE)," ")</f>
        <v xml:space="preserve"> </v>
      </c>
      <c r="G102" s="93" t="str" cm="1">
        <f t="array" ref="G102">IFERROR(VLOOKUP($A102,'The List'!$B1:$AS671,10,FALSE)," ")</f>
        <v xml:space="preserve"> </v>
      </c>
      <c r="H102" s="55"/>
      <c r="I102" s="85" t="str" cm="1">
        <f t="array" ref="I102">IFERROR(VLOOKUP($A102,'The List'!$B1:$AS671,16,FALSE)," ")</f>
        <v xml:space="preserve"> </v>
      </c>
      <c r="J102" s="85" t="str" cm="1">
        <f t="array" ref="J102">IFERROR(VLOOKUP($A102,'The List'!$B1:$AS671,17,FALSE)," ")</f>
        <v xml:space="preserve"> </v>
      </c>
      <c r="K102" s="85" t="str" cm="1">
        <f t="array" ref="K102">IFERROR(VLOOKUP($A102,'The List'!$B1:$AS671,18,FALSE)," ")</f>
        <v xml:space="preserve"> </v>
      </c>
      <c r="L102" s="85" t="str" cm="1">
        <f t="array" ref="L102">IFERROR(VLOOKUP($A102,'The List'!$B1:$AS671,19,FALSE)," ")</f>
        <v xml:space="preserve"> </v>
      </c>
      <c r="M102" s="85" t="str" cm="1">
        <f t="array" ref="M102">IFERROR(VLOOKUP($A102,'The List'!$B1:$AS671,20,FALSE)," ")</f>
        <v xml:space="preserve"> </v>
      </c>
      <c r="N102" s="85" t="str" cm="1">
        <f t="array" ref="N102">IFERROR(VLOOKUP($A102,'The List'!$B1:$AS671,21,FALSE)," ")</f>
        <v xml:space="preserve"> </v>
      </c>
      <c r="O102" s="85" t="str" cm="1">
        <f t="array" ref="O102">IFERROR(VLOOKUP($A102,'The List'!$B1:$AS671,22,FALSE)," ")</f>
        <v xml:space="preserve"> </v>
      </c>
      <c r="P102" s="85" t="str" cm="1">
        <f t="array" ref="P102">IFERROR(VLOOKUP($A102,'The List'!$B1:$AS671,23,FALSE)," ")</f>
        <v xml:space="preserve"> </v>
      </c>
      <c r="Q102" s="85" t="str" cm="1">
        <f t="array" ref="Q102">IFERROR(VLOOKUP($A102,'The List'!$B1:$AS671,24,FALSE)," ")</f>
        <v xml:space="preserve"> </v>
      </c>
      <c r="R102" s="85" t="str" cm="1">
        <f t="array" ref="R102">IFERROR(VLOOKUP($A102,'The List'!$B1:$AS671,25,FALSE)," ")</f>
        <v xml:space="preserve"> </v>
      </c>
      <c r="S102" s="85" t="str" cm="1">
        <f t="array" ref="S102">IFERROR(VLOOKUP($A102,'The List'!$B1:$AS671,26,FALSE)," ")</f>
        <v xml:space="preserve"> </v>
      </c>
      <c r="T102" s="85" t="str" cm="1">
        <f t="array" ref="T102">IFERROR(VLOOKUP($A102,'The List'!$B1:$AS671,27,FALSE)," ")</f>
        <v xml:space="preserve"> </v>
      </c>
      <c r="U102" s="85" t="str" cm="1">
        <f t="array" ref="U102">IFERROR(VLOOKUP($A102,'The List'!$B1:$AS671,28,FALSE)," ")</f>
        <v xml:space="preserve"> </v>
      </c>
      <c r="V102" s="85" t="str" cm="1">
        <f t="array" ref="V102">IFERROR(VLOOKUP($A102,'The List'!$B1:$AS671,29,FALSE)," ")</f>
        <v xml:space="preserve"> </v>
      </c>
      <c r="W102" s="85" t="str" cm="1">
        <f t="array" ref="W102">IFERROR(VLOOKUP($A102,'The List'!$B1:$AS671,30,FALSE)," ")</f>
        <v xml:space="preserve"> </v>
      </c>
      <c r="X102" s="85" t="str" cm="1">
        <f t="array" ref="X102">IFERROR(VLOOKUP($A102,'The List'!$B1:$AS671,31,FALSE)," ")</f>
        <v xml:space="preserve"> </v>
      </c>
      <c r="Y102" s="85" t="str" cm="1">
        <f t="array" ref="Y102">IFERROR(VLOOKUP($A102,'The List'!$B1:$AS671,32,FALSE)," ")</f>
        <v xml:space="preserve"> </v>
      </c>
      <c r="Z102" s="85" t="str" cm="1">
        <f t="array" ref="Z102">IFERROR(VLOOKUP($A102,'The List'!$B1:$AS671,33,FALSE)," ")</f>
        <v xml:space="preserve"> </v>
      </c>
      <c r="AA102" s="86"/>
      <c r="AB102" s="91"/>
      <c r="AC102" s="91"/>
      <c r="AD102" s="91"/>
      <c r="AE102" s="91"/>
      <c r="AF102" s="91"/>
    </row>
    <row r="103" spans="1:32" ht="21.25" customHeight="1" x14ac:dyDescent="0.15">
      <c r="A103" s="24"/>
      <c r="B103" s="100" t="str" cm="1">
        <f t="array" ref="B103">IFERROR(VLOOKUP($A103,'The List'!$B1:$AS671,3,FALSE)," ")</f>
        <v xml:space="preserve"> </v>
      </c>
      <c r="C103" s="102" t="str" cm="1">
        <f t="array" ref="C103">IFERROR(VLOOKUP($A103,'The List'!$B1:$AS671,4,FALSE)," ")</f>
        <v xml:space="preserve"> </v>
      </c>
      <c r="D103" s="18" t="str" cm="1">
        <f t="array" ref="D103">IFERROR(VLOOKUP($A103,'The List'!$B1:$AS671,5,FALSE)," ")</f>
        <v xml:space="preserve"> </v>
      </c>
      <c r="E103" s="18" t="str" cm="1">
        <f t="array" ref="E103">IFERROR(VLOOKUP($A103,'The List'!$B1:$AS671,6,FALSE)," ")</f>
        <v xml:space="preserve"> </v>
      </c>
      <c r="F103" s="93" t="str" cm="1">
        <f t="array" ref="F103">IFERROR(VLOOKUP($A103,'The List'!$B1:$AS671,8,FALSE)," ")</f>
        <v xml:space="preserve"> </v>
      </c>
      <c r="G103" s="93" t="str" cm="1">
        <f t="array" ref="G103">IFERROR(VLOOKUP($A103,'The List'!$B1:$AS671,10,FALSE)," ")</f>
        <v xml:space="preserve"> </v>
      </c>
      <c r="H103" s="55"/>
      <c r="I103" s="85" t="str" cm="1">
        <f t="array" ref="I103">IFERROR(VLOOKUP($A103,'The List'!$B1:$AS671,16,FALSE)," ")</f>
        <v xml:space="preserve"> </v>
      </c>
      <c r="J103" s="85" t="str" cm="1">
        <f t="array" ref="J103">IFERROR(VLOOKUP($A103,'The List'!$B1:$AS671,17,FALSE)," ")</f>
        <v xml:space="preserve"> </v>
      </c>
      <c r="K103" s="85" t="str" cm="1">
        <f t="array" ref="K103">IFERROR(VLOOKUP($A103,'The List'!$B1:$AS671,18,FALSE)," ")</f>
        <v xml:space="preserve"> </v>
      </c>
      <c r="L103" s="85" t="str" cm="1">
        <f t="array" ref="L103">IFERROR(VLOOKUP($A103,'The List'!$B1:$AS671,19,FALSE)," ")</f>
        <v xml:space="preserve"> </v>
      </c>
      <c r="M103" s="85" t="str" cm="1">
        <f t="array" ref="M103">IFERROR(VLOOKUP($A103,'The List'!$B1:$AS671,20,FALSE)," ")</f>
        <v xml:space="preserve"> </v>
      </c>
      <c r="N103" s="85" t="str" cm="1">
        <f t="array" ref="N103">IFERROR(VLOOKUP($A103,'The List'!$B1:$AS671,21,FALSE)," ")</f>
        <v xml:space="preserve"> </v>
      </c>
      <c r="O103" s="85" t="str" cm="1">
        <f t="array" ref="O103">IFERROR(VLOOKUP($A103,'The List'!$B1:$AS671,22,FALSE)," ")</f>
        <v xml:space="preserve"> </v>
      </c>
      <c r="P103" s="85" t="str" cm="1">
        <f t="array" ref="P103">IFERROR(VLOOKUP($A103,'The List'!$B1:$AS671,23,FALSE)," ")</f>
        <v xml:space="preserve"> </v>
      </c>
      <c r="Q103" s="85" t="str" cm="1">
        <f t="array" ref="Q103">IFERROR(VLOOKUP($A103,'The List'!$B1:$AS671,24,FALSE)," ")</f>
        <v xml:space="preserve"> </v>
      </c>
      <c r="R103" s="85" t="str" cm="1">
        <f t="array" ref="R103">IFERROR(VLOOKUP($A103,'The List'!$B1:$AS671,25,FALSE)," ")</f>
        <v xml:space="preserve"> </v>
      </c>
      <c r="S103" s="85" t="str" cm="1">
        <f t="array" ref="S103">IFERROR(VLOOKUP($A103,'The List'!$B1:$AS671,26,FALSE)," ")</f>
        <v xml:space="preserve"> </v>
      </c>
      <c r="T103" s="85" t="str" cm="1">
        <f t="array" ref="T103">IFERROR(VLOOKUP($A103,'The List'!$B1:$AS671,27,FALSE)," ")</f>
        <v xml:space="preserve"> </v>
      </c>
      <c r="U103" s="85" t="str" cm="1">
        <f t="array" ref="U103">IFERROR(VLOOKUP($A103,'The List'!$B1:$AS671,28,FALSE)," ")</f>
        <v xml:space="preserve"> </v>
      </c>
      <c r="V103" s="85" t="str" cm="1">
        <f t="array" ref="V103">IFERROR(VLOOKUP($A103,'The List'!$B1:$AS671,29,FALSE)," ")</f>
        <v xml:space="preserve"> </v>
      </c>
      <c r="W103" s="85" t="str" cm="1">
        <f t="array" ref="W103">IFERROR(VLOOKUP($A103,'The List'!$B1:$AS671,30,FALSE)," ")</f>
        <v xml:space="preserve"> </v>
      </c>
      <c r="X103" s="85" t="str" cm="1">
        <f t="array" ref="X103">IFERROR(VLOOKUP($A103,'The List'!$B1:$AS671,31,FALSE)," ")</f>
        <v xml:space="preserve"> </v>
      </c>
      <c r="Y103" s="85" t="str" cm="1">
        <f t="array" ref="Y103">IFERROR(VLOOKUP($A103,'The List'!$B1:$AS671,32,FALSE)," ")</f>
        <v xml:space="preserve"> </v>
      </c>
      <c r="Z103" s="85" t="str" cm="1">
        <f t="array" ref="Z103">IFERROR(VLOOKUP($A103,'The List'!$B1:$AS671,33,FALSE)," ")</f>
        <v xml:space="preserve"> </v>
      </c>
      <c r="AA103" s="86"/>
      <c r="AB103" s="91"/>
      <c r="AC103" s="91"/>
      <c r="AD103" s="91"/>
      <c r="AE103" s="91"/>
      <c r="AF103" s="91"/>
    </row>
    <row r="104" spans="1:32" ht="21.25" customHeight="1" x14ac:dyDescent="0.15">
      <c r="A104" s="24"/>
      <c r="B104" s="100" t="str" cm="1">
        <f t="array" ref="B104">IFERROR(VLOOKUP($A104,'The List'!$B1:$AS671,3,FALSE)," ")</f>
        <v xml:space="preserve"> </v>
      </c>
      <c r="C104" s="102" t="str" cm="1">
        <f t="array" ref="C104">IFERROR(VLOOKUP($A104,'The List'!$B1:$AS671,4,FALSE)," ")</f>
        <v xml:space="preserve"> </v>
      </c>
      <c r="D104" s="18" t="str" cm="1">
        <f t="array" ref="D104">IFERROR(VLOOKUP($A104,'The List'!$B1:$AS671,5,FALSE)," ")</f>
        <v xml:space="preserve"> </v>
      </c>
      <c r="E104" s="18" t="str" cm="1">
        <f t="array" ref="E104">IFERROR(VLOOKUP($A104,'The List'!$B1:$AS671,6,FALSE)," ")</f>
        <v xml:space="preserve"> </v>
      </c>
      <c r="F104" s="93" t="str" cm="1">
        <f t="array" ref="F104">IFERROR(VLOOKUP($A104,'The List'!$B1:$AS671,8,FALSE)," ")</f>
        <v xml:space="preserve"> </v>
      </c>
      <c r="G104" s="93" t="str" cm="1">
        <f t="array" ref="G104">IFERROR(VLOOKUP($A104,'The List'!$B1:$AS671,10,FALSE)," ")</f>
        <v xml:space="preserve"> </v>
      </c>
      <c r="H104" s="55"/>
      <c r="I104" s="85" t="str" cm="1">
        <f t="array" ref="I104">IFERROR(VLOOKUP($A104,'The List'!$B1:$AS671,16,FALSE)," ")</f>
        <v xml:space="preserve"> </v>
      </c>
      <c r="J104" s="85" t="str" cm="1">
        <f t="array" ref="J104">IFERROR(VLOOKUP($A104,'The List'!$B1:$AS671,17,FALSE)," ")</f>
        <v xml:space="preserve"> </v>
      </c>
      <c r="K104" s="85" t="str" cm="1">
        <f t="array" ref="K104">IFERROR(VLOOKUP($A104,'The List'!$B1:$AS671,18,FALSE)," ")</f>
        <v xml:space="preserve"> </v>
      </c>
      <c r="L104" s="85" t="str" cm="1">
        <f t="array" ref="L104">IFERROR(VLOOKUP($A104,'The List'!$B1:$AS671,19,FALSE)," ")</f>
        <v xml:space="preserve"> </v>
      </c>
      <c r="M104" s="85" t="str" cm="1">
        <f t="array" ref="M104">IFERROR(VLOOKUP($A104,'The List'!$B1:$AS671,20,FALSE)," ")</f>
        <v xml:space="preserve"> </v>
      </c>
      <c r="N104" s="85" t="str" cm="1">
        <f t="array" ref="N104">IFERROR(VLOOKUP($A104,'The List'!$B1:$AS671,21,FALSE)," ")</f>
        <v xml:space="preserve"> </v>
      </c>
      <c r="O104" s="85" t="str" cm="1">
        <f t="array" ref="O104">IFERROR(VLOOKUP($A104,'The List'!$B1:$AS671,22,FALSE)," ")</f>
        <v xml:space="preserve"> </v>
      </c>
      <c r="P104" s="85" t="str" cm="1">
        <f t="array" ref="P104">IFERROR(VLOOKUP($A104,'The List'!$B1:$AS671,23,FALSE)," ")</f>
        <v xml:space="preserve"> </v>
      </c>
      <c r="Q104" s="85" t="str" cm="1">
        <f t="array" ref="Q104">IFERROR(VLOOKUP($A104,'The List'!$B1:$AS671,24,FALSE)," ")</f>
        <v xml:space="preserve"> </v>
      </c>
      <c r="R104" s="85" t="str" cm="1">
        <f t="array" ref="R104">IFERROR(VLOOKUP($A104,'The List'!$B1:$AS671,25,FALSE)," ")</f>
        <v xml:space="preserve"> </v>
      </c>
      <c r="S104" s="85" t="str" cm="1">
        <f t="array" ref="S104">IFERROR(VLOOKUP($A104,'The List'!$B1:$AS671,26,FALSE)," ")</f>
        <v xml:space="preserve"> </v>
      </c>
      <c r="T104" s="85" t="str" cm="1">
        <f t="array" ref="T104">IFERROR(VLOOKUP($A104,'The List'!$B1:$AS671,27,FALSE)," ")</f>
        <v xml:space="preserve"> </v>
      </c>
      <c r="U104" s="85" t="str" cm="1">
        <f t="array" ref="U104">IFERROR(VLOOKUP($A104,'The List'!$B1:$AS671,28,FALSE)," ")</f>
        <v xml:space="preserve"> </v>
      </c>
      <c r="V104" s="85" t="str" cm="1">
        <f t="array" ref="V104">IFERROR(VLOOKUP($A104,'The List'!$B1:$AS671,29,FALSE)," ")</f>
        <v xml:space="preserve"> </v>
      </c>
      <c r="W104" s="85" t="str" cm="1">
        <f t="array" ref="W104">IFERROR(VLOOKUP($A104,'The List'!$B1:$AS671,30,FALSE)," ")</f>
        <v xml:space="preserve"> </v>
      </c>
      <c r="X104" s="85" t="str" cm="1">
        <f t="array" ref="X104">IFERROR(VLOOKUP($A104,'The List'!$B1:$AS671,31,FALSE)," ")</f>
        <v xml:space="preserve"> </v>
      </c>
      <c r="Y104" s="85" t="str" cm="1">
        <f t="array" ref="Y104">IFERROR(VLOOKUP($A104,'The List'!$B1:$AS671,32,FALSE)," ")</f>
        <v xml:space="preserve"> </v>
      </c>
      <c r="Z104" s="85" t="str" cm="1">
        <f t="array" ref="Z104">IFERROR(VLOOKUP($A104,'The List'!$B1:$AS671,33,FALSE)," ")</f>
        <v xml:space="preserve"> </v>
      </c>
      <c r="AA104" s="86"/>
      <c r="AB104" s="91"/>
      <c r="AC104" s="91"/>
      <c r="AD104" s="91"/>
      <c r="AE104" s="91"/>
      <c r="AF104" s="91"/>
    </row>
    <row r="105" spans="1:32" ht="21.25" customHeight="1" x14ac:dyDescent="0.15">
      <c r="A105" s="24"/>
      <c r="B105" s="100" t="str" cm="1">
        <f t="array" ref="B105">IFERROR(VLOOKUP($A105,'The List'!$B1:$AS671,3,FALSE)," ")</f>
        <v xml:space="preserve"> </v>
      </c>
      <c r="C105" s="102" t="str" cm="1">
        <f t="array" ref="C105">IFERROR(VLOOKUP($A105,'The List'!$B1:$AS671,4,FALSE)," ")</f>
        <v xml:space="preserve"> </v>
      </c>
      <c r="D105" s="18" t="str" cm="1">
        <f t="array" ref="D105">IFERROR(VLOOKUP($A105,'The List'!$B1:$AS671,5,FALSE)," ")</f>
        <v xml:space="preserve"> </v>
      </c>
      <c r="E105" s="18" t="str" cm="1">
        <f t="array" ref="E105">IFERROR(VLOOKUP($A105,'The List'!$B1:$AS671,6,FALSE)," ")</f>
        <v xml:space="preserve"> </v>
      </c>
      <c r="F105" s="93" t="str" cm="1">
        <f t="array" ref="F105">IFERROR(VLOOKUP($A105,'The List'!$B1:$AS671,8,FALSE)," ")</f>
        <v xml:space="preserve"> </v>
      </c>
      <c r="G105" s="93" t="str" cm="1">
        <f t="array" ref="G105">IFERROR(VLOOKUP($A105,'The List'!$B1:$AS671,10,FALSE)," ")</f>
        <v xml:space="preserve"> </v>
      </c>
      <c r="H105" s="55"/>
      <c r="I105" s="85" t="str" cm="1">
        <f t="array" ref="I105">IFERROR(VLOOKUP($A105,'The List'!$B1:$AS671,16,FALSE)," ")</f>
        <v xml:space="preserve"> </v>
      </c>
      <c r="J105" s="85" t="str" cm="1">
        <f t="array" ref="J105">IFERROR(VLOOKUP($A105,'The List'!$B1:$AS671,17,FALSE)," ")</f>
        <v xml:space="preserve"> </v>
      </c>
      <c r="K105" s="85" t="str" cm="1">
        <f t="array" ref="K105">IFERROR(VLOOKUP($A105,'The List'!$B1:$AS671,18,FALSE)," ")</f>
        <v xml:space="preserve"> </v>
      </c>
      <c r="L105" s="85" t="str" cm="1">
        <f t="array" ref="L105">IFERROR(VLOOKUP($A105,'The List'!$B1:$AS671,19,FALSE)," ")</f>
        <v xml:space="preserve"> </v>
      </c>
      <c r="M105" s="85" t="str" cm="1">
        <f t="array" ref="M105">IFERROR(VLOOKUP($A105,'The List'!$B1:$AS671,20,FALSE)," ")</f>
        <v xml:space="preserve"> </v>
      </c>
      <c r="N105" s="85" t="str" cm="1">
        <f t="array" ref="N105">IFERROR(VLOOKUP($A105,'The List'!$B1:$AS671,21,FALSE)," ")</f>
        <v xml:space="preserve"> </v>
      </c>
      <c r="O105" s="85" t="str" cm="1">
        <f t="array" ref="O105">IFERROR(VLOOKUP($A105,'The List'!$B1:$AS671,22,FALSE)," ")</f>
        <v xml:space="preserve"> </v>
      </c>
      <c r="P105" s="85" t="str" cm="1">
        <f t="array" ref="P105">IFERROR(VLOOKUP($A105,'The List'!$B1:$AS671,23,FALSE)," ")</f>
        <v xml:space="preserve"> </v>
      </c>
      <c r="Q105" s="85" t="str" cm="1">
        <f t="array" ref="Q105">IFERROR(VLOOKUP($A105,'The List'!$B1:$AS671,24,FALSE)," ")</f>
        <v xml:space="preserve"> </v>
      </c>
      <c r="R105" s="85" t="str" cm="1">
        <f t="array" ref="R105">IFERROR(VLOOKUP($A105,'The List'!$B1:$AS671,25,FALSE)," ")</f>
        <v xml:space="preserve"> </v>
      </c>
      <c r="S105" s="85" t="str" cm="1">
        <f t="array" ref="S105">IFERROR(VLOOKUP($A105,'The List'!$B1:$AS671,26,FALSE)," ")</f>
        <v xml:space="preserve"> </v>
      </c>
      <c r="T105" s="85" t="str" cm="1">
        <f t="array" ref="T105">IFERROR(VLOOKUP($A105,'The List'!$B1:$AS671,27,FALSE)," ")</f>
        <v xml:space="preserve"> </v>
      </c>
      <c r="U105" s="85" t="str" cm="1">
        <f t="array" ref="U105">IFERROR(VLOOKUP($A105,'The List'!$B1:$AS671,28,FALSE)," ")</f>
        <v xml:space="preserve"> </v>
      </c>
      <c r="V105" s="85" t="str" cm="1">
        <f t="array" ref="V105">IFERROR(VLOOKUP($A105,'The List'!$B1:$AS671,29,FALSE)," ")</f>
        <v xml:space="preserve"> </v>
      </c>
      <c r="W105" s="85" t="str" cm="1">
        <f t="array" ref="W105">IFERROR(VLOOKUP($A105,'The List'!$B1:$AS671,30,FALSE)," ")</f>
        <v xml:space="preserve"> </v>
      </c>
      <c r="X105" s="85" t="str" cm="1">
        <f t="array" ref="X105">IFERROR(VLOOKUP($A105,'The List'!$B1:$AS671,31,FALSE)," ")</f>
        <v xml:space="preserve"> </v>
      </c>
      <c r="Y105" s="85" t="str" cm="1">
        <f t="array" ref="Y105">IFERROR(VLOOKUP($A105,'The List'!$B1:$AS671,32,FALSE)," ")</f>
        <v xml:space="preserve"> </v>
      </c>
      <c r="Z105" s="85" t="str" cm="1">
        <f t="array" ref="Z105">IFERROR(VLOOKUP($A105,'The List'!$B1:$AS671,33,FALSE)," ")</f>
        <v xml:space="preserve"> </v>
      </c>
      <c r="AA105" s="86"/>
      <c r="AB105" s="91"/>
      <c r="AC105" s="91"/>
      <c r="AD105" s="91"/>
      <c r="AE105" s="91"/>
      <c r="AF105" s="91"/>
    </row>
    <row r="106" spans="1:32" ht="21.25" customHeight="1" x14ac:dyDescent="0.15">
      <c r="A106" s="24"/>
      <c r="B106" s="100" t="str" cm="1">
        <f t="array" ref="B106">IFERROR(VLOOKUP($A106,'The List'!$B1:$AS671,3,FALSE)," ")</f>
        <v xml:space="preserve"> </v>
      </c>
      <c r="C106" s="102" t="str" cm="1">
        <f t="array" ref="C106">IFERROR(VLOOKUP($A106,'The List'!$B1:$AS671,4,FALSE)," ")</f>
        <v xml:space="preserve"> </v>
      </c>
      <c r="D106" s="18" t="str" cm="1">
        <f t="array" ref="D106">IFERROR(VLOOKUP($A106,'The List'!$B1:$AS671,5,FALSE)," ")</f>
        <v xml:space="preserve"> </v>
      </c>
      <c r="E106" s="18" t="str" cm="1">
        <f t="array" ref="E106">IFERROR(VLOOKUP($A106,'The List'!$B1:$AS671,6,FALSE)," ")</f>
        <v xml:space="preserve"> </v>
      </c>
      <c r="F106" s="93" t="str" cm="1">
        <f t="array" ref="F106">IFERROR(VLOOKUP($A106,'The List'!$B1:$AS671,8,FALSE)," ")</f>
        <v xml:space="preserve"> </v>
      </c>
      <c r="G106" s="93" t="str" cm="1">
        <f t="array" ref="G106">IFERROR(VLOOKUP($A106,'The List'!$B1:$AS671,10,FALSE)," ")</f>
        <v xml:space="preserve"> </v>
      </c>
      <c r="H106" s="55"/>
      <c r="I106" s="85" t="str" cm="1">
        <f t="array" ref="I106">IFERROR(VLOOKUP($A106,'The List'!$B1:$AS671,16,FALSE)," ")</f>
        <v xml:space="preserve"> </v>
      </c>
      <c r="J106" s="85" t="str" cm="1">
        <f t="array" ref="J106">IFERROR(VLOOKUP($A106,'The List'!$B1:$AS671,17,FALSE)," ")</f>
        <v xml:space="preserve"> </v>
      </c>
      <c r="K106" s="85" t="str" cm="1">
        <f t="array" ref="K106">IFERROR(VLOOKUP($A106,'The List'!$B1:$AS671,18,FALSE)," ")</f>
        <v xml:space="preserve"> </v>
      </c>
      <c r="L106" s="85" t="str" cm="1">
        <f t="array" ref="L106">IFERROR(VLOOKUP($A106,'The List'!$B1:$AS671,19,FALSE)," ")</f>
        <v xml:space="preserve"> </v>
      </c>
      <c r="M106" s="85" t="str" cm="1">
        <f t="array" ref="M106">IFERROR(VLOOKUP($A106,'The List'!$B1:$AS671,20,FALSE)," ")</f>
        <v xml:space="preserve"> </v>
      </c>
      <c r="N106" s="85" t="str" cm="1">
        <f t="array" ref="N106">IFERROR(VLOOKUP($A106,'The List'!$B1:$AS671,21,FALSE)," ")</f>
        <v xml:space="preserve"> </v>
      </c>
      <c r="O106" s="85" t="str" cm="1">
        <f t="array" ref="O106">IFERROR(VLOOKUP($A106,'The List'!$B1:$AS671,22,FALSE)," ")</f>
        <v xml:space="preserve"> </v>
      </c>
      <c r="P106" s="85" t="str" cm="1">
        <f t="array" ref="P106">IFERROR(VLOOKUP($A106,'The List'!$B1:$AS671,23,FALSE)," ")</f>
        <v xml:space="preserve"> </v>
      </c>
      <c r="Q106" s="85" t="str" cm="1">
        <f t="array" ref="Q106">IFERROR(VLOOKUP($A106,'The List'!$B1:$AS671,24,FALSE)," ")</f>
        <v xml:space="preserve"> </v>
      </c>
      <c r="R106" s="85" t="str" cm="1">
        <f t="array" ref="R106">IFERROR(VLOOKUP($A106,'The List'!$B1:$AS671,25,FALSE)," ")</f>
        <v xml:space="preserve"> </v>
      </c>
      <c r="S106" s="85" t="str" cm="1">
        <f t="array" ref="S106">IFERROR(VLOOKUP($A106,'The List'!$B1:$AS671,26,FALSE)," ")</f>
        <v xml:space="preserve"> </v>
      </c>
      <c r="T106" s="85" t="str" cm="1">
        <f t="array" ref="T106">IFERROR(VLOOKUP($A106,'The List'!$B1:$AS671,27,FALSE)," ")</f>
        <v xml:space="preserve"> </v>
      </c>
      <c r="U106" s="85" t="str" cm="1">
        <f t="array" ref="U106">IFERROR(VLOOKUP($A106,'The List'!$B1:$AS671,28,FALSE)," ")</f>
        <v xml:space="preserve"> </v>
      </c>
      <c r="V106" s="85" t="str" cm="1">
        <f t="array" ref="V106">IFERROR(VLOOKUP($A106,'The List'!$B1:$AS671,29,FALSE)," ")</f>
        <v xml:space="preserve"> </v>
      </c>
      <c r="W106" s="85" t="str" cm="1">
        <f t="array" ref="W106">IFERROR(VLOOKUP($A106,'The List'!$B1:$AS671,30,FALSE)," ")</f>
        <v xml:space="preserve"> </v>
      </c>
      <c r="X106" s="85" t="str" cm="1">
        <f t="array" ref="X106">IFERROR(VLOOKUP($A106,'The List'!$B1:$AS671,31,FALSE)," ")</f>
        <v xml:space="preserve"> </v>
      </c>
      <c r="Y106" s="85" t="str" cm="1">
        <f t="array" ref="Y106">IFERROR(VLOOKUP($A106,'The List'!$B1:$AS671,32,FALSE)," ")</f>
        <v xml:space="preserve"> </v>
      </c>
      <c r="Z106" s="85" t="str" cm="1">
        <f t="array" ref="Z106">IFERROR(VLOOKUP($A106,'The List'!$B1:$AS671,33,FALSE)," ")</f>
        <v xml:space="preserve"> </v>
      </c>
      <c r="AA106" s="86"/>
      <c r="AB106" s="91"/>
      <c r="AC106" s="91"/>
      <c r="AD106" s="91"/>
      <c r="AE106" s="91"/>
      <c r="AF106" s="91"/>
    </row>
    <row r="107" spans="1:32" ht="21.25" customHeight="1" x14ac:dyDescent="0.15">
      <c r="A107" s="24"/>
      <c r="B107" s="100" t="str" cm="1">
        <f t="array" ref="B107">IFERROR(VLOOKUP($A107,'The List'!$B1:$AS671,3,FALSE)," ")</f>
        <v xml:space="preserve"> </v>
      </c>
      <c r="C107" s="102" t="str" cm="1">
        <f t="array" ref="C107">IFERROR(VLOOKUP($A107,'The List'!$B1:$AS671,4,FALSE)," ")</f>
        <v xml:space="preserve"> </v>
      </c>
      <c r="D107" s="18" t="str" cm="1">
        <f t="array" ref="D107">IFERROR(VLOOKUP($A107,'The List'!$B1:$AS671,5,FALSE)," ")</f>
        <v xml:space="preserve"> </v>
      </c>
      <c r="E107" s="18" t="str" cm="1">
        <f t="array" ref="E107">IFERROR(VLOOKUP($A107,'The List'!$B1:$AS671,6,FALSE)," ")</f>
        <v xml:space="preserve"> </v>
      </c>
      <c r="F107" s="93" t="str" cm="1">
        <f t="array" ref="F107">IFERROR(VLOOKUP($A107,'The List'!$B1:$AS671,8,FALSE)," ")</f>
        <v xml:space="preserve"> </v>
      </c>
      <c r="G107" s="93" t="str" cm="1">
        <f t="array" ref="G107">IFERROR(VLOOKUP($A107,'The List'!$B1:$AS671,10,FALSE)," ")</f>
        <v xml:space="preserve"> </v>
      </c>
      <c r="H107" s="55"/>
      <c r="I107" s="85" t="str" cm="1">
        <f t="array" ref="I107">IFERROR(VLOOKUP($A107,'The List'!$B1:$AS671,16,FALSE)," ")</f>
        <v xml:space="preserve"> </v>
      </c>
      <c r="J107" s="85" t="str" cm="1">
        <f t="array" ref="J107">IFERROR(VLOOKUP($A107,'The List'!$B1:$AS671,17,FALSE)," ")</f>
        <v xml:space="preserve"> </v>
      </c>
      <c r="K107" s="85" t="str" cm="1">
        <f t="array" ref="K107">IFERROR(VLOOKUP($A107,'The List'!$B1:$AS671,18,FALSE)," ")</f>
        <v xml:space="preserve"> </v>
      </c>
      <c r="L107" s="85" t="str" cm="1">
        <f t="array" ref="L107">IFERROR(VLOOKUP($A107,'The List'!$B1:$AS671,19,FALSE)," ")</f>
        <v xml:space="preserve"> </v>
      </c>
      <c r="M107" s="85" t="str" cm="1">
        <f t="array" ref="M107">IFERROR(VLOOKUP($A107,'The List'!$B1:$AS671,20,FALSE)," ")</f>
        <v xml:space="preserve"> </v>
      </c>
      <c r="N107" s="85" t="str" cm="1">
        <f t="array" ref="N107">IFERROR(VLOOKUP($A107,'The List'!$B1:$AS671,21,FALSE)," ")</f>
        <v xml:space="preserve"> </v>
      </c>
      <c r="O107" s="85" t="str" cm="1">
        <f t="array" ref="O107">IFERROR(VLOOKUP($A107,'The List'!$B1:$AS671,22,FALSE)," ")</f>
        <v xml:space="preserve"> </v>
      </c>
      <c r="P107" s="85" t="str" cm="1">
        <f t="array" ref="P107">IFERROR(VLOOKUP($A107,'The List'!$B1:$AS671,23,FALSE)," ")</f>
        <v xml:space="preserve"> </v>
      </c>
      <c r="Q107" s="85" t="str" cm="1">
        <f t="array" ref="Q107">IFERROR(VLOOKUP($A107,'The List'!$B1:$AS671,24,FALSE)," ")</f>
        <v xml:space="preserve"> </v>
      </c>
      <c r="R107" s="85" t="str" cm="1">
        <f t="array" ref="R107">IFERROR(VLOOKUP($A107,'The List'!$B1:$AS671,25,FALSE)," ")</f>
        <v xml:space="preserve"> </v>
      </c>
      <c r="S107" s="85" t="str" cm="1">
        <f t="array" ref="S107">IFERROR(VLOOKUP($A107,'The List'!$B1:$AS671,26,FALSE)," ")</f>
        <v xml:space="preserve"> </v>
      </c>
      <c r="T107" s="85" t="str" cm="1">
        <f t="array" ref="T107">IFERROR(VLOOKUP($A107,'The List'!$B1:$AS671,27,FALSE)," ")</f>
        <v xml:space="preserve"> </v>
      </c>
      <c r="U107" s="85" t="str" cm="1">
        <f t="array" ref="U107">IFERROR(VLOOKUP($A107,'The List'!$B1:$AS671,28,FALSE)," ")</f>
        <v xml:space="preserve"> </v>
      </c>
      <c r="V107" s="85" t="str" cm="1">
        <f t="array" ref="V107">IFERROR(VLOOKUP($A107,'The List'!$B1:$AS671,29,FALSE)," ")</f>
        <v xml:space="preserve"> </v>
      </c>
      <c r="W107" s="85" t="str" cm="1">
        <f t="array" ref="W107">IFERROR(VLOOKUP($A107,'The List'!$B1:$AS671,30,FALSE)," ")</f>
        <v xml:space="preserve"> </v>
      </c>
      <c r="X107" s="85" t="str" cm="1">
        <f t="array" ref="X107">IFERROR(VLOOKUP($A107,'The List'!$B1:$AS671,31,FALSE)," ")</f>
        <v xml:space="preserve"> </v>
      </c>
      <c r="Y107" s="85" t="str" cm="1">
        <f t="array" ref="Y107">IFERROR(VLOOKUP($A107,'The List'!$B1:$AS671,32,FALSE)," ")</f>
        <v xml:space="preserve"> </v>
      </c>
      <c r="Z107" s="85" t="str" cm="1">
        <f t="array" ref="Z107">IFERROR(VLOOKUP($A107,'The List'!$B1:$AS671,33,FALSE)," ")</f>
        <v xml:space="preserve"> </v>
      </c>
      <c r="AA107" s="86"/>
      <c r="AB107" s="91"/>
      <c r="AC107" s="91"/>
      <c r="AD107" s="91"/>
      <c r="AE107" s="91"/>
      <c r="AF107" s="91"/>
    </row>
    <row r="108" spans="1:32" ht="21.25" customHeight="1" x14ac:dyDescent="0.15">
      <c r="A108" s="104"/>
      <c r="B108" s="105" t="str" cm="1">
        <f t="array" ref="B108">IFERROR(VLOOKUP($A108,'The List'!$B1:$AS671,3,FALSE)," ")</f>
        <v xml:space="preserve"> </v>
      </c>
      <c r="C108" s="106" t="str" cm="1">
        <f t="array" ref="C108">IFERROR(VLOOKUP($A108,'The List'!$B1:$AS671,4,FALSE)," ")</f>
        <v xml:space="preserve"> </v>
      </c>
      <c r="D108" s="107" t="str" cm="1">
        <f t="array" ref="D108">IFERROR(VLOOKUP($A108,'The List'!$B1:$AS671,5,FALSE)," ")</f>
        <v xml:space="preserve"> </v>
      </c>
      <c r="E108" s="107" t="str" cm="1">
        <f t="array" ref="E108">IFERROR(VLOOKUP($A108,'The List'!$B1:$AS671,6,FALSE)," ")</f>
        <v xml:space="preserve"> </v>
      </c>
      <c r="F108" s="108" t="str" cm="1">
        <f t="array" ref="F108">IFERROR(VLOOKUP($A108,'The List'!$B1:$AS671,8,FALSE)," ")</f>
        <v xml:space="preserve"> </v>
      </c>
      <c r="G108" s="108" t="str" cm="1">
        <f t="array" ref="G108">IFERROR(VLOOKUP($A108,'The List'!$B1:$AS671,10,FALSE)," ")</f>
        <v xml:space="preserve"> </v>
      </c>
      <c r="H108" s="109"/>
      <c r="I108" s="110" t="str" cm="1">
        <f t="array" ref="I108">IFERROR(VLOOKUP($A108,'The List'!$B1:$AS671,16,FALSE)," ")</f>
        <v xml:space="preserve"> </v>
      </c>
      <c r="J108" s="110" t="str" cm="1">
        <f t="array" ref="J108">IFERROR(VLOOKUP($A108,'The List'!$B1:$AS671,17,FALSE)," ")</f>
        <v xml:space="preserve"> </v>
      </c>
      <c r="K108" s="110" t="str" cm="1">
        <f t="array" ref="K108">IFERROR(VLOOKUP($A108,'The List'!$B1:$AS671,18,FALSE)," ")</f>
        <v xml:space="preserve"> </v>
      </c>
      <c r="L108" s="110" t="str" cm="1">
        <f t="array" ref="L108">IFERROR(VLOOKUP($A108,'The List'!$B1:$AS671,19,FALSE)," ")</f>
        <v xml:space="preserve"> </v>
      </c>
      <c r="M108" s="110" t="str" cm="1">
        <f t="array" ref="M108">IFERROR(VLOOKUP($A108,'The List'!$B1:$AS671,20,FALSE)," ")</f>
        <v xml:space="preserve"> </v>
      </c>
      <c r="N108" s="110" t="str" cm="1">
        <f t="array" ref="N108">IFERROR(VLOOKUP($A108,'The List'!$B1:$AS671,21,FALSE)," ")</f>
        <v xml:space="preserve"> </v>
      </c>
      <c r="O108" s="110" t="str" cm="1">
        <f t="array" ref="O108">IFERROR(VLOOKUP($A108,'The List'!$B1:$AS671,22,FALSE)," ")</f>
        <v xml:space="preserve"> </v>
      </c>
      <c r="P108" s="110" t="str" cm="1">
        <f t="array" ref="P108">IFERROR(VLOOKUP($A108,'The List'!$B1:$AS671,23,FALSE)," ")</f>
        <v xml:space="preserve"> </v>
      </c>
      <c r="Q108" s="110" t="str" cm="1">
        <f t="array" ref="Q108">IFERROR(VLOOKUP($A108,'The List'!$B1:$AS671,24,FALSE)," ")</f>
        <v xml:space="preserve"> </v>
      </c>
      <c r="R108" s="110" t="str" cm="1">
        <f t="array" ref="R108">IFERROR(VLOOKUP($A108,'The List'!$B1:$AS671,25,FALSE)," ")</f>
        <v xml:space="preserve"> </v>
      </c>
      <c r="S108" s="110" t="str" cm="1">
        <f t="array" ref="S108">IFERROR(VLOOKUP($A108,'The List'!$B1:$AS671,26,FALSE)," ")</f>
        <v xml:space="preserve"> </v>
      </c>
      <c r="T108" s="110" t="str" cm="1">
        <f t="array" ref="T108">IFERROR(VLOOKUP($A108,'The List'!$B1:$AS671,27,FALSE)," ")</f>
        <v xml:space="preserve"> </v>
      </c>
      <c r="U108" s="110" t="str" cm="1">
        <f t="array" ref="U108">IFERROR(VLOOKUP($A108,'The List'!$B1:$AS671,28,FALSE)," ")</f>
        <v xml:space="preserve"> </v>
      </c>
      <c r="V108" s="110" t="str" cm="1">
        <f t="array" ref="V108">IFERROR(VLOOKUP($A108,'The List'!$B1:$AS671,29,FALSE)," ")</f>
        <v xml:space="preserve"> </v>
      </c>
      <c r="W108" s="110" t="str" cm="1">
        <f t="array" ref="W108">IFERROR(VLOOKUP($A108,'The List'!$B1:$AS671,30,FALSE)," ")</f>
        <v xml:space="preserve"> </v>
      </c>
      <c r="X108" s="110" t="str" cm="1">
        <f t="array" ref="X108">IFERROR(VLOOKUP($A108,'The List'!$B1:$AS671,31,FALSE)," ")</f>
        <v xml:space="preserve"> </v>
      </c>
      <c r="Y108" s="110" t="str" cm="1">
        <f t="array" ref="Y108">IFERROR(VLOOKUP($A108,'The List'!$B1:$AS671,32,FALSE)," ")</f>
        <v xml:space="preserve"> </v>
      </c>
      <c r="Z108" s="110" t="str" cm="1">
        <f t="array" ref="Z108">IFERROR(VLOOKUP($A108,'The List'!$B1:$AS671,33,FALSE)," ")</f>
        <v xml:space="preserve"> </v>
      </c>
      <c r="AA108" s="86"/>
      <c r="AB108" s="91"/>
      <c r="AC108" s="91"/>
      <c r="AD108" s="91"/>
      <c r="AE108" s="91"/>
      <c r="AF108" s="91"/>
    </row>
    <row r="109" spans="1:32" ht="21.25" customHeight="1" x14ac:dyDescent="0.15">
      <c r="A109" s="111"/>
      <c r="B109" s="112"/>
      <c r="C109" s="113"/>
      <c r="D109" s="114"/>
      <c r="E109" s="114" t="str" cm="1">
        <f t="array" ref="E109">IFERROR(AVERAGE(E89:E108)," ")</f>
        <v xml:space="preserve"> </v>
      </c>
      <c r="F109" s="116" cm="1">
        <f t="array" ref="F109">SUM(F89:F108)</f>
        <v>0</v>
      </c>
      <c r="G109" s="116" cm="1">
        <f t="array" ref="G109">SUM(G89:G108)</f>
        <v>0</v>
      </c>
      <c r="H109" s="117"/>
      <c r="I109" s="118" cm="1">
        <f t="array" ref="I109">SUM(I89:I108)</f>
        <v>0</v>
      </c>
      <c r="J109" s="117" t="e" cm="1">
        <f t="array" ref="J109">AVERAGE(J89:J108)</f>
        <v>#DIV/0!</v>
      </c>
      <c r="K109" s="118" cm="1">
        <f t="array" ref="K109">SUM(K89:K108)</f>
        <v>0</v>
      </c>
      <c r="L109" s="118" cm="1">
        <f t="array" ref="L109">SUM(L89:L108)</f>
        <v>0</v>
      </c>
      <c r="M109" s="118" cm="1">
        <f t="array" ref="M109">SUM(M89:M108)</f>
        <v>0</v>
      </c>
      <c r="N109" s="118" cm="1">
        <f t="array" ref="N109">SUM(N89:N108)</f>
        <v>0</v>
      </c>
      <c r="O109" s="118" cm="1">
        <f t="array" ref="O109">SUM(O89:O108)</f>
        <v>0</v>
      </c>
      <c r="P109" s="118" cm="1">
        <f t="array" ref="P109">SUM(P89:P108)</f>
        <v>0</v>
      </c>
      <c r="Q109" s="118" cm="1">
        <f t="array" ref="Q109">SUM(Q89:Q108)</f>
        <v>0</v>
      </c>
      <c r="R109" s="118" cm="1">
        <f t="array" ref="R109">SUM(R89:R108)</f>
        <v>0</v>
      </c>
      <c r="S109" s="118" cm="1">
        <f t="array" ref="S109">SUM(S89:S108)</f>
        <v>0</v>
      </c>
      <c r="T109" s="118" cm="1">
        <f t="array" ref="T109">SUM(T89:T108)</f>
        <v>0</v>
      </c>
      <c r="U109" s="118" cm="1">
        <f t="array" ref="U109">SUM(U89:U108)</f>
        <v>0</v>
      </c>
      <c r="V109" s="118" cm="1">
        <f t="array" ref="V109">SUM(V89:V108)</f>
        <v>0</v>
      </c>
      <c r="W109" s="118" cm="1">
        <f t="array" ref="W109">SUM(W89:W108)</f>
        <v>0</v>
      </c>
      <c r="X109" s="118" cm="1">
        <f t="array" ref="X109">SUM(X89:X108)</f>
        <v>0</v>
      </c>
      <c r="Y109" s="118" cm="1">
        <f t="array" ref="Y109">SUM(Y89:Y108)</f>
        <v>0</v>
      </c>
      <c r="Z109" s="119" cm="1">
        <f t="array" ref="Z109">IFERROR(X109/(X109+Y109),0)</f>
        <v>0</v>
      </c>
      <c r="AA109" s="86"/>
      <c r="AB109" s="120"/>
      <c r="AC109" s="120"/>
      <c r="AD109" s="120"/>
      <c r="AE109" s="120"/>
      <c r="AF109" s="120"/>
    </row>
    <row r="110" spans="1:32" ht="21.25" customHeight="1" x14ac:dyDescent="0.15">
      <c r="A110" s="37"/>
      <c r="B110" s="121"/>
      <c r="C110" s="122"/>
      <c r="D110" s="13"/>
      <c r="E110" s="13"/>
      <c r="F110" s="123"/>
      <c r="G110" s="124"/>
      <c r="H110" s="125"/>
      <c r="I110" s="12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91"/>
      <c r="AC110" s="91"/>
      <c r="AD110" s="91"/>
      <c r="AE110" s="91"/>
      <c r="AF110" s="91"/>
    </row>
    <row r="111" spans="1:32" ht="21.25" customHeight="1" x14ac:dyDescent="0.15">
      <c r="A111" s="40" t="s">
        <v>91</v>
      </c>
      <c r="B111" s="205" t="s">
        <v>93</v>
      </c>
      <c r="C111" s="197"/>
      <c r="D111" s="127" t="s">
        <v>94</v>
      </c>
      <c r="E111" s="127" t="s">
        <v>95</v>
      </c>
      <c r="F111" s="128" t="s">
        <v>97</v>
      </c>
      <c r="G111" s="128" t="s">
        <v>99</v>
      </c>
      <c r="H111" s="129"/>
      <c r="I111" s="130" t="s">
        <v>104</v>
      </c>
      <c r="J111" s="130" t="s">
        <v>119</v>
      </c>
      <c r="K111" s="130" t="s">
        <v>120</v>
      </c>
      <c r="L111" s="130" t="s">
        <v>121</v>
      </c>
      <c r="M111" s="130" t="s">
        <v>122</v>
      </c>
      <c r="N111" s="130" t="s">
        <v>123</v>
      </c>
      <c r="O111" s="130" t="s">
        <v>124</v>
      </c>
      <c r="P111" s="130" t="s">
        <v>125</v>
      </c>
      <c r="Q111" s="130" t="s">
        <v>126</v>
      </c>
      <c r="R111" s="86"/>
      <c r="S111" s="86"/>
      <c r="T111" s="86"/>
      <c r="U111" s="205" t="s">
        <v>818</v>
      </c>
      <c r="V111" s="206"/>
      <c r="W111" s="206"/>
      <c r="X111" s="205" t="s">
        <v>819</v>
      </c>
      <c r="Y111" s="206"/>
      <c r="Z111" s="206"/>
      <c r="AA111" s="86"/>
      <c r="AB111" s="86"/>
      <c r="AC111" s="86"/>
      <c r="AD111" s="86"/>
      <c r="AE111" s="86"/>
      <c r="AF111" s="86"/>
    </row>
    <row r="112" spans="1:32" ht="21.25" customHeight="1" x14ac:dyDescent="0.15">
      <c r="A112" s="147"/>
      <c r="B112" s="132" t="str" cm="1">
        <f t="array" ref="B112">IFERROR(VLOOKUP($A112,'The List'!$B1:$AS671,3,FALSE)," ")</f>
        <v xml:space="preserve"> </v>
      </c>
      <c r="C112" s="148" t="str" cm="1">
        <f t="array" ref="C112">IFERROR(VLOOKUP($A112,'The List'!$B1:$AS671,4,FALSE)," ")</f>
        <v xml:space="preserve"> </v>
      </c>
      <c r="D112" s="134" t="str" cm="1">
        <f t="array" ref="D112">IFERROR(VLOOKUP($A112,'The List'!$B1:$AS671,5,FALSE)," ")</f>
        <v xml:space="preserve"> </v>
      </c>
      <c r="E112" s="134" t="str" cm="1">
        <f t="array" ref="E112">IFERROR(VLOOKUP($A112,'The List'!$B1:$AS671,6,FALSE)," ")</f>
        <v xml:space="preserve"> </v>
      </c>
      <c r="F112" s="149" t="str" cm="1">
        <f t="array" ref="F112">IFERROR(VLOOKUP($A112,'The List'!$B1:$AS671,8,FALSE)," ")</f>
        <v xml:space="preserve"> </v>
      </c>
      <c r="G112" s="149" t="str" cm="1">
        <f t="array" ref="G112">IFERROR(VLOOKUP($A112,'The List'!$B1:$AS671,10,FALSE)," ")</f>
        <v xml:space="preserve"> </v>
      </c>
      <c r="H112" s="83"/>
      <c r="I112" s="150" t="str" cm="1">
        <f t="array" ref="I112">IFERROR(VLOOKUP($A112,'The List'!$B1:$AS671,35,FALSE)," ")</f>
        <v xml:space="preserve"> </v>
      </c>
      <c r="J112" s="150" t="str" cm="1">
        <f t="array" ref="J112">IFERROR(VLOOKUP($A112,'The List'!$B1:$AS671,36,FALSE)," ")</f>
        <v xml:space="preserve"> </v>
      </c>
      <c r="K112" s="150" t="str" cm="1">
        <f t="array" ref="K112">IFERROR(VLOOKUP($A112,'The List'!$B1:$AS671,37,FALSE)," ")</f>
        <v xml:space="preserve"> </v>
      </c>
      <c r="L112" s="150" t="str" cm="1">
        <f t="array" ref="L112">IFERROR(VLOOKUP($A112,'The List'!$B1:$AS671,38,FALSE)," ")</f>
        <v xml:space="preserve"> </v>
      </c>
      <c r="M112" s="150" t="str" cm="1">
        <f t="array" ref="M112">IFERROR(VLOOKUP($A112,'The List'!$B1:$AS671,39,FALSE)," ")</f>
        <v xml:space="preserve"> </v>
      </c>
      <c r="N112" s="150" t="str" cm="1">
        <f t="array" ref="N112">IFERROR(VLOOKUP($A112,'The List'!$B1:$AS671,40,FALSE)," ")</f>
        <v xml:space="preserve"> </v>
      </c>
      <c r="O112" s="150" t="str" cm="1">
        <f t="array" ref="O112">IFERROR(VLOOKUP($A112,'The List'!$B1:$AS671,41,FALSE)," ")</f>
        <v xml:space="preserve"> </v>
      </c>
      <c r="P112" s="150" t="str" cm="1">
        <f t="array" ref="P112">IFERROR(VLOOKUP($A112,'The List'!$B1:$AS671,42,FALSE)," ")</f>
        <v xml:space="preserve"> </v>
      </c>
      <c r="Q112" s="150" t="str" cm="1">
        <f t="array" ref="Q112">IFERROR(VLOOKUP($A112,'The List'!$B1:$AS671,43,FALSE)," ")</f>
        <v xml:space="preserve"> </v>
      </c>
      <c r="R112" s="86"/>
      <c r="S112" s="86"/>
      <c r="T112" s="140" t="str" cm="1">
        <f t="array" ref="T112">A88</f>
        <v>TEAM 4</v>
      </c>
      <c r="U112" s="207" cm="1">
        <f t="array" ref="U112">F109+F115</f>
        <v>0</v>
      </c>
      <c r="V112" s="197"/>
      <c r="W112" s="197"/>
      <c r="X112" s="207" cm="1">
        <f t="array" ref="X112">G115+G109</f>
        <v>0</v>
      </c>
      <c r="Y112" s="197"/>
      <c r="Z112" s="197"/>
      <c r="AA112" s="86"/>
      <c r="AB112" s="86"/>
      <c r="AC112" s="86"/>
      <c r="AD112" s="86"/>
      <c r="AE112" s="86"/>
      <c r="AF112" s="86"/>
    </row>
    <row r="113" spans="1:32" ht="21.25" customHeight="1" x14ac:dyDescent="0.15">
      <c r="A113" s="24"/>
      <c r="B113" s="141" t="str" cm="1">
        <f t="array" ref="B113">IFERROR(VLOOKUP($A113,'The List'!$B1:$AS671,3,FALSE)," ")</f>
        <v xml:space="preserve"> </v>
      </c>
      <c r="C113" s="142" t="str" cm="1">
        <f t="array" ref="C113">IFERROR(VLOOKUP($A113,'The List'!$B1:$AS671,4,FALSE)," ")</f>
        <v xml:space="preserve"> </v>
      </c>
      <c r="D113" s="18" t="str" cm="1">
        <f t="array" ref="D113">IFERROR(VLOOKUP($A113,'The List'!$B1:$AS671,5,FALSE)," ")</f>
        <v xml:space="preserve"> </v>
      </c>
      <c r="E113" s="18" t="str" cm="1">
        <f t="array" ref="E113">IFERROR(VLOOKUP($A113,'The List'!$B1:$AS671,6,FALSE)," ")</f>
        <v xml:space="preserve"> </v>
      </c>
      <c r="F113" s="93" t="str" cm="1">
        <f t="array" ref="F113">IFERROR(VLOOKUP($A113,'The List'!$B1:$AS671,8,FALSE)," ")</f>
        <v xml:space="preserve"> </v>
      </c>
      <c r="G113" s="93" t="str" cm="1">
        <f t="array" ref="G113">IFERROR(VLOOKUP($A113,'The List'!$B1:$AS671,10,FALSE)," ")</f>
        <v xml:space="preserve"> </v>
      </c>
      <c r="H113" s="55"/>
      <c r="I113" s="85" t="str" cm="1">
        <f t="array" ref="I113">IFERROR(VLOOKUP($A113,'The List'!$B1:$AS671,35,FALSE)," ")</f>
        <v xml:space="preserve"> </v>
      </c>
      <c r="J113" s="85" t="str" cm="1">
        <f t="array" ref="J113">IFERROR(VLOOKUP($A113,'The List'!$B1:$AS671,36,FALSE)," ")</f>
        <v xml:space="preserve"> </v>
      </c>
      <c r="K113" s="85" t="str" cm="1">
        <f t="array" ref="K113">IFERROR(VLOOKUP($A113,'The List'!$B1:$AS671,37,FALSE)," ")</f>
        <v xml:space="preserve"> </v>
      </c>
      <c r="L113" s="85" t="str" cm="1">
        <f t="array" ref="L113">IFERROR(VLOOKUP($A113,'The List'!$B1:$AS671,38,FALSE)," ")</f>
        <v xml:space="preserve"> </v>
      </c>
      <c r="M113" s="85" t="str" cm="1">
        <f t="array" ref="M113">IFERROR(VLOOKUP($A113,'The List'!$B1:$AS671,39,FALSE)," ")</f>
        <v xml:space="preserve"> </v>
      </c>
      <c r="N113" s="85" t="str" cm="1">
        <f t="array" ref="N113">IFERROR(VLOOKUP($A113,'The List'!$B1:$AS671,40,FALSE)," ")</f>
        <v xml:space="preserve"> </v>
      </c>
      <c r="O113" s="85" t="str" cm="1">
        <f t="array" ref="O113">IFERROR(VLOOKUP($A113,'The List'!$B1:$AS671,41,FALSE)," ")</f>
        <v xml:space="preserve"> </v>
      </c>
      <c r="P113" s="85" t="str" cm="1">
        <f t="array" ref="P113">IFERROR(VLOOKUP($A113,'The List'!$B1:$AS671,42,FALSE)," ")</f>
        <v xml:space="preserve"> </v>
      </c>
      <c r="Q113" s="85" t="str" cm="1">
        <f t="array" ref="Q113">IFERROR(VLOOKUP($A113,'The List'!$B1:$AS671,43,FALSE)," ")</f>
        <v xml:space="preserve"> </v>
      </c>
      <c r="R113" s="86"/>
      <c r="S113" s="86"/>
      <c r="T113" s="86"/>
      <c r="U113" s="197"/>
      <c r="V113" s="197"/>
      <c r="W113" s="197"/>
      <c r="X113" s="197"/>
      <c r="Y113" s="197"/>
      <c r="Z113" s="197"/>
      <c r="AA113" s="86"/>
      <c r="AB113" s="86"/>
      <c r="AC113" s="86"/>
      <c r="AD113" s="86"/>
      <c r="AE113" s="86"/>
      <c r="AF113" s="86"/>
    </row>
    <row r="114" spans="1:32" ht="21.25" customHeight="1" x14ac:dyDescent="0.15">
      <c r="A114" s="104"/>
      <c r="B114" s="143" t="str" cm="1">
        <f t="array" ref="B114">IFERROR(VLOOKUP($A114,'The List'!$B1:$AS671,3,FALSE)," ")</f>
        <v xml:space="preserve"> </v>
      </c>
      <c r="C114" s="144" t="str" cm="1">
        <f t="array" ref="C114">IFERROR(VLOOKUP($A114,'The List'!$B1:$AS671,4,FALSE)," ")</f>
        <v xml:space="preserve"> </v>
      </c>
      <c r="D114" s="107" t="str" cm="1">
        <f t="array" ref="D114">IFERROR(VLOOKUP($A114,'The List'!$B1:$AS671,5,FALSE)," ")</f>
        <v xml:space="preserve"> </v>
      </c>
      <c r="E114" s="107" t="str" cm="1">
        <f t="array" ref="E114">IFERROR(VLOOKUP($A114,'The List'!$B1:$AS671,6,FALSE)," ")</f>
        <v xml:space="preserve"> </v>
      </c>
      <c r="F114" s="108" t="str" cm="1">
        <f t="array" ref="F114">IFERROR(VLOOKUP($A114,'The List'!$B1:$AS671,8,FALSE)," ")</f>
        <v xml:space="preserve"> </v>
      </c>
      <c r="G114" s="108" t="str" cm="1">
        <f t="array" ref="G114">IFERROR(VLOOKUP($A114,'The List'!$B1:$AS671,10,FALSE)," ")</f>
        <v xml:space="preserve"> </v>
      </c>
      <c r="H114" s="109"/>
      <c r="I114" s="110" t="str" cm="1">
        <f t="array" ref="I114">IFERROR(VLOOKUP($A114,'The List'!$B1:$AS671,35,FALSE)," ")</f>
        <v xml:space="preserve"> </v>
      </c>
      <c r="J114" s="110" t="str" cm="1">
        <f t="array" ref="J114">IFERROR(VLOOKUP($A114,'The List'!$B1:$AS671,36,FALSE)," ")</f>
        <v xml:space="preserve"> </v>
      </c>
      <c r="K114" s="110" t="str" cm="1">
        <f t="array" ref="K114">IFERROR(VLOOKUP($A114,'The List'!$B1:$AS671,37,FALSE)," ")</f>
        <v xml:space="preserve"> </v>
      </c>
      <c r="L114" s="110" t="str" cm="1">
        <f t="array" ref="L114">IFERROR(VLOOKUP($A114,'The List'!$B1:$AS671,38,FALSE)," ")</f>
        <v xml:space="preserve"> </v>
      </c>
      <c r="M114" s="110" t="str" cm="1">
        <f t="array" ref="M114">IFERROR(VLOOKUP($A114,'The List'!$B1:$AS671,39,FALSE)," ")</f>
        <v xml:space="preserve"> </v>
      </c>
      <c r="N114" s="110" t="str" cm="1">
        <f t="array" ref="N114">IFERROR(VLOOKUP($A114,'The List'!$B1:$AS671,40,FALSE)," ")</f>
        <v xml:space="preserve"> </v>
      </c>
      <c r="O114" s="110" t="str" cm="1">
        <f t="array" ref="O114">IFERROR(VLOOKUP($A114,'The List'!$B1:$AS671,41,FALSE)," ")</f>
        <v xml:space="preserve"> </v>
      </c>
      <c r="P114" s="110" t="str" cm="1">
        <f t="array" ref="P114">IFERROR(VLOOKUP($A114,'The List'!$B1:$AS671,42,FALSE)," ")</f>
        <v xml:space="preserve"> </v>
      </c>
      <c r="Q114" s="110" t="str" cm="1">
        <f t="array" ref="Q114">IFERROR(VLOOKUP($A114,'The List'!$B1:$AS671,43,FALSE)," ")</f>
        <v xml:space="preserve"> </v>
      </c>
      <c r="R114" s="86"/>
      <c r="S114" s="86"/>
      <c r="T114" s="86"/>
      <c r="U114" s="197"/>
      <c r="V114" s="197"/>
      <c r="W114" s="197"/>
      <c r="X114" s="197"/>
      <c r="Y114" s="197"/>
      <c r="Z114" s="197"/>
      <c r="AA114" s="86"/>
      <c r="AB114" s="86"/>
      <c r="AC114" s="86"/>
      <c r="AD114" s="86"/>
      <c r="AE114" s="86"/>
      <c r="AF114" s="86"/>
    </row>
    <row r="115" spans="1:32" ht="21.25" customHeight="1" x14ac:dyDescent="0.15">
      <c r="A115" s="111"/>
      <c r="B115" s="112"/>
      <c r="C115" s="113"/>
      <c r="D115" s="114"/>
      <c r="E115" s="114" t="str" cm="1">
        <f t="array" ref="E115">IFERROR(AVERAGE(E112:E114)," ")</f>
        <v xml:space="preserve"> </v>
      </c>
      <c r="F115" s="116" cm="1">
        <f t="array" ref="F115">SUM(F112:F114)</f>
        <v>0</v>
      </c>
      <c r="G115" s="116" cm="1">
        <f t="array" ref="G115">SUM(G112:G114)</f>
        <v>0</v>
      </c>
      <c r="H115" s="117"/>
      <c r="I115" s="118" cm="1">
        <f t="array" ref="I115">SUM(I112:I114)</f>
        <v>0</v>
      </c>
      <c r="J115" s="117" cm="1">
        <f t="array" ref="J115">SUM(J112:J114)</f>
        <v>0</v>
      </c>
      <c r="K115" s="118" cm="1">
        <f t="array" ref="K115">SUM(K112:K114)</f>
        <v>0</v>
      </c>
      <c r="L115" s="118" cm="1">
        <f t="array" ref="L115">SUM(L112:L114)</f>
        <v>0</v>
      </c>
      <c r="M115" s="118" cm="1">
        <f t="array" ref="M115">SUM(M112:M114)</f>
        <v>0</v>
      </c>
      <c r="N115" s="118" cm="1">
        <f t="array" ref="N115">SUM(N112:N114)</f>
        <v>0</v>
      </c>
      <c r="O115" s="118" cm="1">
        <f t="array" ref="O115">SUM(O112:O114)</f>
        <v>0</v>
      </c>
      <c r="P115" s="145" t="e" cm="1">
        <f t="array" ref="P115">1-(O115/(N115+O115))</f>
        <v>#DIV/0!</v>
      </c>
      <c r="Q115" s="146" t="e" cm="1">
        <f t="array" ref="Q115">O115/I115</f>
        <v>#DIV/0!</v>
      </c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</row>
    <row r="116" spans="1:32" ht="70.75" customHeight="1" x14ac:dyDescent="0.15">
      <c r="A116" s="37"/>
      <c r="B116" s="121"/>
      <c r="C116" s="122"/>
      <c r="D116" s="13"/>
      <c r="E116" s="13"/>
      <c r="F116" s="123"/>
      <c r="G116" s="124"/>
      <c r="H116" s="125"/>
      <c r="I116" s="12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91"/>
      <c r="AB116" s="91"/>
      <c r="AC116" s="91"/>
      <c r="AD116" s="91"/>
      <c r="AE116" s="91"/>
      <c r="AF116" s="91"/>
    </row>
    <row r="117" spans="1:32" ht="21.25" customHeight="1" x14ac:dyDescent="0.15">
      <c r="A117" s="41" t="s">
        <v>806</v>
      </c>
      <c r="B117" s="194" t="s">
        <v>93</v>
      </c>
      <c r="C117" s="195"/>
      <c r="D117" s="42" t="s">
        <v>94</v>
      </c>
      <c r="E117" s="42" t="s">
        <v>95</v>
      </c>
      <c r="F117" s="43" t="s">
        <v>97</v>
      </c>
      <c r="G117" s="43" t="s">
        <v>99</v>
      </c>
      <c r="H117" s="44"/>
      <c r="I117" s="46" t="s">
        <v>104</v>
      </c>
      <c r="J117" s="46" t="s">
        <v>56</v>
      </c>
      <c r="K117" s="46" t="s">
        <v>105</v>
      </c>
      <c r="L117" s="46" t="s">
        <v>106</v>
      </c>
      <c r="M117" s="46" t="s">
        <v>107</v>
      </c>
      <c r="N117" s="46" t="s">
        <v>108</v>
      </c>
      <c r="O117" s="46" t="s">
        <v>64</v>
      </c>
      <c r="P117" s="46" t="s">
        <v>68</v>
      </c>
      <c r="Q117" s="46" t="s">
        <v>109</v>
      </c>
      <c r="R117" s="46" t="s">
        <v>110</v>
      </c>
      <c r="S117" s="46" t="s">
        <v>111</v>
      </c>
      <c r="T117" s="46" t="s">
        <v>112</v>
      </c>
      <c r="U117" s="46" t="s">
        <v>113</v>
      </c>
      <c r="V117" s="46" t="s">
        <v>114</v>
      </c>
      <c r="W117" s="46" t="s">
        <v>115</v>
      </c>
      <c r="X117" s="46" t="s">
        <v>116</v>
      </c>
      <c r="Y117" s="46" t="s">
        <v>117</v>
      </c>
      <c r="Z117" s="46" t="s">
        <v>118</v>
      </c>
      <c r="AA117" s="86"/>
      <c r="AB117" s="87"/>
      <c r="AC117" s="87"/>
      <c r="AD117" s="87"/>
      <c r="AE117" s="87"/>
      <c r="AF117" s="87"/>
    </row>
    <row r="118" spans="1:32" ht="21.25" customHeight="1" x14ac:dyDescent="0.15">
      <c r="A118" s="24"/>
      <c r="B118" s="88" t="str" cm="1">
        <f t="array" ref="B118">IFERROR(VLOOKUP($A118,'The List'!$B1:$AS671,3,FALSE)," ")</f>
        <v xml:space="preserve"> </v>
      </c>
      <c r="C118" s="92" t="str" cm="1">
        <f t="array" ref="C118">IFERROR(VLOOKUP($A118,'The List'!$B1:$AS671,4,FALSE)," ")</f>
        <v xml:space="preserve"> </v>
      </c>
      <c r="D118" s="18" t="str" cm="1">
        <f t="array" ref="D118">IFERROR(VLOOKUP($A118,'The List'!$B1:$AS671,5,FALSE)," ")</f>
        <v xml:space="preserve"> </v>
      </c>
      <c r="E118" s="18" t="str" cm="1">
        <f t="array" ref="E118">IFERROR(VLOOKUP($A118,'The List'!$B1:$AS671,6,FALSE)," ")</f>
        <v xml:space="preserve"> </v>
      </c>
      <c r="F118" s="93" t="str" cm="1">
        <f t="array" ref="F118">IFERROR(VLOOKUP($A118,'The List'!$B1:$AS671,8,FALSE)," ")</f>
        <v xml:space="preserve"> </v>
      </c>
      <c r="G118" s="93" t="str" cm="1">
        <f t="array" ref="G118">IFERROR(VLOOKUP($A118,'The List'!$B1:$AS671,10,FALSE)," ")</f>
        <v xml:space="preserve"> </v>
      </c>
      <c r="H118" s="55"/>
      <c r="I118" s="85" t="str" cm="1">
        <f t="array" ref="I118">IFERROR(VLOOKUP($A118,'The List'!$B1:$AS671,16,FALSE)," ")</f>
        <v xml:space="preserve"> </v>
      </c>
      <c r="J118" s="85" t="str" cm="1">
        <f t="array" ref="J118">IFERROR(VLOOKUP($A118,'The List'!$B1:$AS671,17,FALSE)," ")</f>
        <v xml:space="preserve"> </v>
      </c>
      <c r="K118" s="85" t="str" cm="1">
        <f t="array" ref="K118">IFERROR(VLOOKUP($A118,'The List'!$B1:$AS671,18,FALSE)," ")</f>
        <v xml:space="preserve"> </v>
      </c>
      <c r="L118" s="85" t="str" cm="1">
        <f t="array" ref="L118">IFERROR(VLOOKUP($A118,'The List'!$B1:$AS671,19,FALSE)," ")</f>
        <v xml:space="preserve"> </v>
      </c>
      <c r="M118" s="85" t="str" cm="1">
        <f t="array" ref="M118">IFERROR(VLOOKUP($A118,'The List'!$B1:$AS671,20,FALSE)," ")</f>
        <v xml:space="preserve"> </v>
      </c>
      <c r="N118" s="85" t="str" cm="1">
        <f t="array" ref="N118">IFERROR(VLOOKUP($A118,'The List'!$B1:$AS671,21,FALSE)," ")</f>
        <v xml:space="preserve"> </v>
      </c>
      <c r="O118" s="85" t="str" cm="1">
        <f t="array" ref="O118">IFERROR(VLOOKUP($A118,'The List'!$B1:$AS671,22,FALSE)," ")</f>
        <v xml:space="preserve"> </v>
      </c>
      <c r="P118" s="85" t="str" cm="1">
        <f t="array" ref="P118">IFERROR(VLOOKUP($A118,'The List'!$B1:$AS671,23,FALSE)," ")</f>
        <v xml:space="preserve"> </v>
      </c>
      <c r="Q118" s="85" t="str" cm="1">
        <f t="array" ref="Q118">IFERROR(VLOOKUP($A118,'The List'!$B1:$AS671,24,FALSE)," ")</f>
        <v xml:space="preserve"> </v>
      </c>
      <c r="R118" s="85" t="str" cm="1">
        <f t="array" ref="R118">IFERROR(VLOOKUP($A118,'The List'!$B1:$AS671,25,FALSE)," ")</f>
        <v xml:space="preserve"> </v>
      </c>
      <c r="S118" s="85" t="str" cm="1">
        <f t="array" ref="S118">IFERROR(VLOOKUP($A118,'The List'!$B1:$AS671,26,FALSE)," ")</f>
        <v xml:space="preserve"> </v>
      </c>
      <c r="T118" s="85" t="str" cm="1">
        <f t="array" ref="T118">IFERROR(VLOOKUP($A118,'The List'!$B1:$AS671,27,FALSE)," ")</f>
        <v xml:space="preserve"> </v>
      </c>
      <c r="U118" s="85" t="str" cm="1">
        <f t="array" ref="U118">IFERROR(VLOOKUP($A118,'The List'!$B1:$AS671,28,FALSE)," ")</f>
        <v xml:space="preserve"> </v>
      </c>
      <c r="V118" s="85" t="str" cm="1">
        <f t="array" ref="V118">IFERROR(VLOOKUP($A118,'The List'!$B1:$AS671,29,FALSE)," ")</f>
        <v xml:space="preserve"> </v>
      </c>
      <c r="W118" s="85" t="str" cm="1">
        <f t="array" ref="W118">IFERROR(VLOOKUP($A118,'The List'!$B1:$AS671,30,FALSE)," ")</f>
        <v xml:space="preserve"> </v>
      </c>
      <c r="X118" s="85" t="str" cm="1">
        <f t="array" ref="X118">IFERROR(VLOOKUP($A118,'The List'!$B1:$AS671,31,FALSE)," ")</f>
        <v xml:space="preserve"> </v>
      </c>
      <c r="Y118" s="85" t="str" cm="1">
        <f t="array" ref="Y118">IFERROR(VLOOKUP($A118,'The List'!$B1:$AS671,32,FALSE)," ")</f>
        <v xml:space="preserve"> </v>
      </c>
      <c r="Z118" s="85" t="str" cm="1">
        <f t="array" ref="Z118">IFERROR(VLOOKUP($A118,'The List'!$B1:$AS671,33,FALSE)," ")</f>
        <v xml:space="preserve"> </v>
      </c>
      <c r="AA118" s="86"/>
      <c r="AB118" s="91"/>
      <c r="AC118" s="91"/>
      <c r="AD118" s="91"/>
      <c r="AE118" s="91"/>
      <c r="AF118" s="91"/>
    </row>
    <row r="119" spans="1:32" ht="21.25" customHeight="1" x14ac:dyDescent="0.15">
      <c r="A119" s="24"/>
      <c r="B119" s="88" t="str" cm="1">
        <f t="array" ref="B119">IFERROR(VLOOKUP($A119,'The List'!$B1:$AS671,3,FALSE)," ")</f>
        <v xml:space="preserve"> </v>
      </c>
      <c r="C119" s="92" t="str" cm="1">
        <f t="array" ref="C119">IFERROR(VLOOKUP($A119,'The List'!$B1:$AS671,4,FALSE)," ")</f>
        <v xml:space="preserve"> </v>
      </c>
      <c r="D119" s="18" t="str" cm="1">
        <f t="array" ref="D119">IFERROR(VLOOKUP($A119,'The List'!$B1:$AS671,5,FALSE)," ")</f>
        <v xml:space="preserve"> </v>
      </c>
      <c r="E119" s="18" t="str" cm="1">
        <f t="array" ref="E119">IFERROR(VLOOKUP($A119,'The List'!$B1:$AS671,6,FALSE)," ")</f>
        <v xml:space="preserve"> </v>
      </c>
      <c r="F119" s="93" t="str" cm="1">
        <f t="array" ref="F119">IFERROR(VLOOKUP($A119,'The List'!$B1:$AS671,8,FALSE)," ")</f>
        <v xml:space="preserve"> </v>
      </c>
      <c r="G119" s="93" t="str" cm="1">
        <f t="array" ref="G119">IFERROR(VLOOKUP($A119,'The List'!$B1:$AS671,10,FALSE)," ")</f>
        <v xml:space="preserve"> </v>
      </c>
      <c r="H119" s="55"/>
      <c r="I119" s="85" t="str" cm="1">
        <f t="array" ref="I119">IFERROR(VLOOKUP($A119,'The List'!$B1:$AS671,16,FALSE)," ")</f>
        <v xml:space="preserve"> </v>
      </c>
      <c r="J119" s="85" t="str" cm="1">
        <f t="array" ref="J119">IFERROR(VLOOKUP($A119,'The List'!$B1:$AS671,17,FALSE)," ")</f>
        <v xml:space="preserve"> </v>
      </c>
      <c r="K119" s="85" t="str" cm="1">
        <f t="array" ref="K119">IFERROR(VLOOKUP($A119,'The List'!$B1:$AS671,18,FALSE)," ")</f>
        <v xml:space="preserve"> </v>
      </c>
      <c r="L119" s="85" t="str" cm="1">
        <f t="array" ref="L119">IFERROR(VLOOKUP($A119,'The List'!$B1:$AS671,19,FALSE)," ")</f>
        <v xml:space="preserve"> </v>
      </c>
      <c r="M119" s="85" t="str" cm="1">
        <f t="array" ref="M119">IFERROR(VLOOKUP($A119,'The List'!$B1:$AS671,20,FALSE)," ")</f>
        <v xml:space="preserve"> </v>
      </c>
      <c r="N119" s="85" t="str" cm="1">
        <f t="array" ref="N119">IFERROR(VLOOKUP($A119,'The List'!$B1:$AS671,21,FALSE)," ")</f>
        <v xml:space="preserve"> </v>
      </c>
      <c r="O119" s="85" t="str" cm="1">
        <f t="array" ref="O119">IFERROR(VLOOKUP($A119,'The List'!$B1:$AS671,22,FALSE)," ")</f>
        <v xml:space="preserve"> </v>
      </c>
      <c r="P119" s="85" t="str" cm="1">
        <f t="array" ref="P119">IFERROR(VLOOKUP($A119,'The List'!$B1:$AS671,23,FALSE)," ")</f>
        <v xml:space="preserve"> </v>
      </c>
      <c r="Q119" s="85" t="str" cm="1">
        <f t="array" ref="Q119">IFERROR(VLOOKUP($A119,'The List'!$B1:$AS671,24,FALSE)," ")</f>
        <v xml:space="preserve"> </v>
      </c>
      <c r="R119" s="85" t="str" cm="1">
        <f t="array" ref="R119">IFERROR(VLOOKUP($A119,'The List'!$B1:$AS671,25,FALSE)," ")</f>
        <v xml:space="preserve"> </v>
      </c>
      <c r="S119" s="85" t="str" cm="1">
        <f t="array" ref="S119">IFERROR(VLOOKUP($A119,'The List'!$B1:$AS671,26,FALSE)," ")</f>
        <v xml:space="preserve"> </v>
      </c>
      <c r="T119" s="85" t="str" cm="1">
        <f t="array" ref="T119">IFERROR(VLOOKUP($A119,'The List'!$B1:$AS671,27,FALSE)," ")</f>
        <v xml:space="preserve"> </v>
      </c>
      <c r="U119" s="85" t="str" cm="1">
        <f t="array" ref="U119">IFERROR(VLOOKUP($A119,'The List'!$B1:$AS671,28,FALSE)," ")</f>
        <v xml:space="preserve"> </v>
      </c>
      <c r="V119" s="85" t="str" cm="1">
        <f t="array" ref="V119">IFERROR(VLOOKUP($A119,'The List'!$B1:$AS671,29,FALSE)," ")</f>
        <v xml:space="preserve"> </v>
      </c>
      <c r="W119" s="85" t="str" cm="1">
        <f t="array" ref="W119">IFERROR(VLOOKUP($A119,'The List'!$B1:$AS671,30,FALSE)," ")</f>
        <v xml:space="preserve"> </v>
      </c>
      <c r="X119" s="85" t="str" cm="1">
        <f t="array" ref="X119">IFERROR(VLOOKUP($A119,'The List'!$B1:$AS671,31,FALSE)," ")</f>
        <v xml:space="preserve"> </v>
      </c>
      <c r="Y119" s="85" t="str" cm="1">
        <f t="array" ref="Y119">IFERROR(VLOOKUP($A119,'The List'!$B1:$AS671,32,FALSE)," ")</f>
        <v xml:space="preserve"> </v>
      </c>
      <c r="Z119" s="85" t="str" cm="1">
        <f t="array" ref="Z119">IFERROR(VLOOKUP($A119,'The List'!$B1:$AS671,33,FALSE)," ")</f>
        <v xml:space="preserve"> </v>
      </c>
      <c r="AA119" s="86"/>
      <c r="AB119" s="91"/>
      <c r="AC119" s="91"/>
      <c r="AD119" s="91"/>
      <c r="AE119" s="91"/>
      <c r="AF119" s="91"/>
    </row>
    <row r="120" spans="1:32" ht="21.25" customHeight="1" x14ac:dyDescent="0.15">
      <c r="A120" s="24"/>
      <c r="B120" s="88" t="str" cm="1">
        <f t="array" ref="B120">IFERROR(VLOOKUP($A120,'The List'!$B1:$AS671,3,FALSE)," ")</f>
        <v xml:space="preserve"> </v>
      </c>
      <c r="C120" s="92" t="str" cm="1">
        <f t="array" ref="C120">IFERROR(VLOOKUP($A120,'The List'!$B1:$AS671,4,FALSE)," ")</f>
        <v xml:space="preserve"> </v>
      </c>
      <c r="D120" s="18" t="str" cm="1">
        <f t="array" ref="D120">IFERROR(VLOOKUP($A120,'The List'!$B1:$AS671,5,FALSE)," ")</f>
        <v xml:space="preserve"> </v>
      </c>
      <c r="E120" s="18" t="str" cm="1">
        <f t="array" ref="E120">IFERROR(VLOOKUP($A120,'The List'!$B1:$AS671,6,FALSE)," ")</f>
        <v xml:space="preserve"> </v>
      </c>
      <c r="F120" s="93" t="str" cm="1">
        <f t="array" ref="F120">IFERROR(VLOOKUP($A120,'The List'!$B1:$AS671,8,FALSE)," ")</f>
        <v xml:space="preserve"> </v>
      </c>
      <c r="G120" s="93" t="str" cm="1">
        <f t="array" ref="G120">IFERROR(VLOOKUP($A120,'The List'!$B1:$AS671,10,FALSE)," ")</f>
        <v xml:space="preserve"> </v>
      </c>
      <c r="H120" s="55"/>
      <c r="I120" s="85" t="str" cm="1">
        <f t="array" ref="I120">IFERROR(VLOOKUP($A120,'The List'!$B1:$AS671,16,FALSE)," ")</f>
        <v xml:space="preserve"> </v>
      </c>
      <c r="J120" s="85" t="str" cm="1">
        <f t="array" ref="J120">IFERROR(VLOOKUP($A120,'The List'!$B1:$AS671,17,FALSE)," ")</f>
        <v xml:space="preserve"> </v>
      </c>
      <c r="K120" s="85" t="str" cm="1">
        <f t="array" ref="K120">IFERROR(VLOOKUP($A120,'The List'!$B1:$AS671,18,FALSE)," ")</f>
        <v xml:space="preserve"> </v>
      </c>
      <c r="L120" s="85" t="str" cm="1">
        <f t="array" ref="L120">IFERROR(VLOOKUP($A120,'The List'!$B1:$AS671,19,FALSE)," ")</f>
        <v xml:space="preserve"> </v>
      </c>
      <c r="M120" s="85" t="str" cm="1">
        <f t="array" ref="M120">IFERROR(VLOOKUP($A120,'The List'!$B1:$AS671,20,FALSE)," ")</f>
        <v xml:space="preserve"> </v>
      </c>
      <c r="N120" s="85" t="str" cm="1">
        <f t="array" ref="N120">IFERROR(VLOOKUP($A120,'The List'!$B1:$AS671,21,FALSE)," ")</f>
        <v xml:space="preserve"> </v>
      </c>
      <c r="O120" s="85" t="str" cm="1">
        <f t="array" ref="O120">IFERROR(VLOOKUP($A120,'The List'!$B1:$AS671,22,FALSE)," ")</f>
        <v xml:space="preserve"> </v>
      </c>
      <c r="P120" s="85" t="str" cm="1">
        <f t="array" ref="P120">IFERROR(VLOOKUP($A120,'The List'!$B1:$AS671,23,FALSE)," ")</f>
        <v xml:space="preserve"> </v>
      </c>
      <c r="Q120" s="85" t="str" cm="1">
        <f t="array" ref="Q120">IFERROR(VLOOKUP($A120,'The List'!$B1:$AS671,24,FALSE)," ")</f>
        <v xml:space="preserve"> </v>
      </c>
      <c r="R120" s="85" t="str" cm="1">
        <f t="array" ref="R120">IFERROR(VLOOKUP($A120,'The List'!$B1:$AS671,25,FALSE)," ")</f>
        <v xml:space="preserve"> </v>
      </c>
      <c r="S120" s="85" t="str" cm="1">
        <f t="array" ref="S120">IFERROR(VLOOKUP($A120,'The List'!$B1:$AS671,26,FALSE)," ")</f>
        <v xml:space="preserve"> </v>
      </c>
      <c r="T120" s="85" t="str" cm="1">
        <f t="array" ref="T120">IFERROR(VLOOKUP($A120,'The List'!$B1:$AS671,27,FALSE)," ")</f>
        <v xml:space="preserve"> </v>
      </c>
      <c r="U120" s="85" t="str" cm="1">
        <f t="array" ref="U120">IFERROR(VLOOKUP($A120,'The List'!$B1:$AS671,28,FALSE)," ")</f>
        <v xml:space="preserve"> </v>
      </c>
      <c r="V120" s="85" t="str" cm="1">
        <f t="array" ref="V120">IFERROR(VLOOKUP($A120,'The List'!$B1:$AS671,29,FALSE)," ")</f>
        <v xml:space="preserve"> </v>
      </c>
      <c r="W120" s="85" t="str" cm="1">
        <f t="array" ref="W120">IFERROR(VLOOKUP($A120,'The List'!$B1:$AS671,30,FALSE)," ")</f>
        <v xml:space="preserve"> </v>
      </c>
      <c r="X120" s="85" t="str" cm="1">
        <f t="array" ref="X120">IFERROR(VLOOKUP($A120,'The List'!$B1:$AS671,31,FALSE)," ")</f>
        <v xml:space="preserve"> </v>
      </c>
      <c r="Y120" s="85" t="str" cm="1">
        <f t="array" ref="Y120">IFERROR(VLOOKUP($A120,'The List'!$B1:$AS671,32,FALSE)," ")</f>
        <v xml:space="preserve"> </v>
      </c>
      <c r="Z120" s="85" t="str" cm="1">
        <f t="array" ref="Z120">IFERROR(VLOOKUP($A120,'The List'!$B1:$AS671,33,FALSE)," ")</f>
        <v xml:space="preserve"> </v>
      </c>
      <c r="AA120" s="86"/>
      <c r="AB120" s="91"/>
      <c r="AC120" s="91"/>
      <c r="AD120" s="91"/>
      <c r="AE120" s="91"/>
      <c r="AF120" s="91"/>
    </row>
    <row r="121" spans="1:32" ht="21.25" customHeight="1" x14ac:dyDescent="0.15">
      <c r="A121" s="24"/>
      <c r="B121" s="88" t="str" cm="1">
        <f t="array" ref="B121">IFERROR(VLOOKUP($A121,'The List'!$B1:$AS671,3,FALSE)," ")</f>
        <v xml:space="preserve"> </v>
      </c>
      <c r="C121" s="92" t="str" cm="1">
        <f t="array" ref="C121">IFERROR(VLOOKUP($A121,'The List'!$B1:$AS671,4,FALSE)," ")</f>
        <v xml:space="preserve"> </v>
      </c>
      <c r="D121" s="18" t="str" cm="1">
        <f t="array" ref="D121">IFERROR(VLOOKUP($A121,'The List'!$B1:$AS671,5,FALSE)," ")</f>
        <v xml:space="preserve"> </v>
      </c>
      <c r="E121" s="18" t="str" cm="1">
        <f t="array" ref="E121">IFERROR(VLOOKUP($A121,'The List'!$B1:$AS671,6,FALSE)," ")</f>
        <v xml:space="preserve"> </v>
      </c>
      <c r="F121" s="93" t="str" cm="1">
        <f t="array" ref="F121">IFERROR(VLOOKUP($A121,'The List'!$B1:$AS671,8,FALSE)," ")</f>
        <v xml:space="preserve"> </v>
      </c>
      <c r="G121" s="93" t="str" cm="1">
        <f t="array" ref="G121">IFERROR(VLOOKUP($A121,'The List'!$B1:$AS671,10,FALSE)," ")</f>
        <v xml:space="preserve"> </v>
      </c>
      <c r="H121" s="55"/>
      <c r="I121" s="85" t="str" cm="1">
        <f t="array" ref="I121">IFERROR(VLOOKUP($A121,'The List'!$B1:$AS671,16,FALSE)," ")</f>
        <v xml:space="preserve"> </v>
      </c>
      <c r="J121" s="85" t="str" cm="1">
        <f t="array" ref="J121">IFERROR(VLOOKUP($A121,'The List'!$B1:$AS671,17,FALSE)," ")</f>
        <v xml:space="preserve"> </v>
      </c>
      <c r="K121" s="85" t="str" cm="1">
        <f t="array" ref="K121">IFERROR(VLOOKUP($A121,'The List'!$B1:$AS671,18,FALSE)," ")</f>
        <v xml:space="preserve"> </v>
      </c>
      <c r="L121" s="85" t="str" cm="1">
        <f t="array" ref="L121">IFERROR(VLOOKUP($A121,'The List'!$B1:$AS671,19,FALSE)," ")</f>
        <v xml:space="preserve"> </v>
      </c>
      <c r="M121" s="85" t="str" cm="1">
        <f t="array" ref="M121">IFERROR(VLOOKUP($A121,'The List'!$B1:$AS671,20,FALSE)," ")</f>
        <v xml:space="preserve"> </v>
      </c>
      <c r="N121" s="85" t="str" cm="1">
        <f t="array" ref="N121">IFERROR(VLOOKUP($A121,'The List'!$B1:$AS671,21,FALSE)," ")</f>
        <v xml:space="preserve"> </v>
      </c>
      <c r="O121" s="85" t="str" cm="1">
        <f t="array" ref="O121">IFERROR(VLOOKUP($A121,'The List'!$B1:$AS671,22,FALSE)," ")</f>
        <v xml:space="preserve"> </v>
      </c>
      <c r="P121" s="85" t="str" cm="1">
        <f t="array" ref="P121">IFERROR(VLOOKUP($A121,'The List'!$B1:$AS671,23,FALSE)," ")</f>
        <v xml:space="preserve"> </v>
      </c>
      <c r="Q121" s="85" t="str" cm="1">
        <f t="array" ref="Q121">IFERROR(VLOOKUP($A121,'The List'!$B1:$AS671,24,FALSE)," ")</f>
        <v xml:space="preserve"> </v>
      </c>
      <c r="R121" s="85" t="str" cm="1">
        <f t="array" ref="R121">IFERROR(VLOOKUP($A121,'The List'!$B1:$AS671,25,FALSE)," ")</f>
        <v xml:space="preserve"> </v>
      </c>
      <c r="S121" s="85" t="str" cm="1">
        <f t="array" ref="S121">IFERROR(VLOOKUP($A121,'The List'!$B1:$AS671,26,FALSE)," ")</f>
        <v xml:space="preserve"> </v>
      </c>
      <c r="T121" s="85" t="str" cm="1">
        <f t="array" ref="T121">IFERROR(VLOOKUP($A121,'The List'!$B1:$AS671,27,FALSE)," ")</f>
        <v xml:space="preserve"> </v>
      </c>
      <c r="U121" s="85" t="str" cm="1">
        <f t="array" ref="U121">IFERROR(VLOOKUP($A121,'The List'!$B1:$AS671,28,FALSE)," ")</f>
        <v xml:space="preserve"> </v>
      </c>
      <c r="V121" s="85" t="str" cm="1">
        <f t="array" ref="V121">IFERROR(VLOOKUP($A121,'The List'!$B1:$AS671,29,FALSE)," ")</f>
        <v xml:space="preserve"> </v>
      </c>
      <c r="W121" s="85" t="str" cm="1">
        <f t="array" ref="W121">IFERROR(VLOOKUP($A121,'The List'!$B1:$AS671,30,FALSE)," ")</f>
        <v xml:space="preserve"> </v>
      </c>
      <c r="X121" s="85" t="str" cm="1">
        <f t="array" ref="X121">IFERROR(VLOOKUP($A121,'The List'!$B1:$AS671,31,FALSE)," ")</f>
        <v xml:space="preserve"> </v>
      </c>
      <c r="Y121" s="85" t="str" cm="1">
        <f t="array" ref="Y121">IFERROR(VLOOKUP($A121,'The List'!$B1:$AS671,32,FALSE)," ")</f>
        <v xml:space="preserve"> </v>
      </c>
      <c r="Z121" s="85" t="str" cm="1">
        <f t="array" ref="Z121">IFERROR(VLOOKUP($A121,'The List'!$B1:$AS671,33,FALSE)," ")</f>
        <v xml:space="preserve"> </v>
      </c>
      <c r="AA121" s="86"/>
      <c r="AB121" s="91"/>
      <c r="AC121" s="91"/>
      <c r="AD121" s="91"/>
      <c r="AE121" s="91"/>
      <c r="AF121" s="91"/>
    </row>
    <row r="122" spans="1:32" ht="21.25" customHeight="1" x14ac:dyDescent="0.15">
      <c r="A122" s="24"/>
      <c r="B122" s="94" t="str" cm="1">
        <f t="array" ref="B122">IFERROR(VLOOKUP($A122,'The List'!$B1:$AS671,3,FALSE)," ")</f>
        <v xml:space="preserve"> </v>
      </c>
      <c r="C122" s="96" t="str" cm="1">
        <f t="array" ref="C122">IFERROR(VLOOKUP($A122,'The List'!$B1:$AS671,4,FALSE)," ")</f>
        <v xml:space="preserve"> </v>
      </c>
      <c r="D122" s="18" t="str" cm="1">
        <f t="array" ref="D122">IFERROR(VLOOKUP($A122,'The List'!$B1:$AS671,5,FALSE)," ")</f>
        <v xml:space="preserve"> </v>
      </c>
      <c r="E122" s="18" t="str" cm="1">
        <f t="array" ref="E122">IFERROR(VLOOKUP($A122,'The List'!$B1:$AS671,6,FALSE)," ")</f>
        <v xml:space="preserve"> </v>
      </c>
      <c r="F122" s="93" t="str" cm="1">
        <f t="array" ref="F122">IFERROR(VLOOKUP($A122,'The List'!$B1:$AS671,8,FALSE)," ")</f>
        <v xml:space="preserve"> </v>
      </c>
      <c r="G122" s="93" t="str" cm="1">
        <f t="array" ref="G122">IFERROR(VLOOKUP($A122,'The List'!$B1:$AS671,10,FALSE)," ")</f>
        <v xml:space="preserve"> </v>
      </c>
      <c r="H122" s="55"/>
      <c r="I122" s="85" t="str" cm="1">
        <f t="array" ref="I122">IFERROR(VLOOKUP($A122,'The List'!$B1:$AS671,16,FALSE)," ")</f>
        <v xml:space="preserve"> </v>
      </c>
      <c r="J122" s="85" t="str" cm="1">
        <f t="array" ref="J122">IFERROR(VLOOKUP($A122,'The List'!$B1:$AS671,17,FALSE)," ")</f>
        <v xml:space="preserve"> </v>
      </c>
      <c r="K122" s="85" t="str" cm="1">
        <f t="array" ref="K122">IFERROR(VLOOKUP($A122,'The List'!$B1:$AS671,18,FALSE)," ")</f>
        <v xml:space="preserve"> </v>
      </c>
      <c r="L122" s="85" t="str" cm="1">
        <f t="array" ref="L122">IFERROR(VLOOKUP($A122,'The List'!$B1:$AS671,19,FALSE)," ")</f>
        <v xml:space="preserve"> </v>
      </c>
      <c r="M122" s="85" t="str" cm="1">
        <f t="array" ref="M122">IFERROR(VLOOKUP($A122,'The List'!$B1:$AS671,20,FALSE)," ")</f>
        <v xml:space="preserve"> </v>
      </c>
      <c r="N122" s="85" t="str" cm="1">
        <f t="array" ref="N122">IFERROR(VLOOKUP($A122,'The List'!$B1:$AS671,21,FALSE)," ")</f>
        <v xml:space="preserve"> </v>
      </c>
      <c r="O122" s="85" t="str" cm="1">
        <f t="array" ref="O122">IFERROR(VLOOKUP($A122,'The List'!$B1:$AS671,22,FALSE)," ")</f>
        <v xml:space="preserve"> </v>
      </c>
      <c r="P122" s="85" t="str" cm="1">
        <f t="array" ref="P122">IFERROR(VLOOKUP($A122,'The List'!$B1:$AS671,23,FALSE)," ")</f>
        <v xml:space="preserve"> </v>
      </c>
      <c r="Q122" s="85" t="str" cm="1">
        <f t="array" ref="Q122">IFERROR(VLOOKUP($A122,'The List'!$B1:$AS671,24,FALSE)," ")</f>
        <v xml:space="preserve"> </v>
      </c>
      <c r="R122" s="85" t="str" cm="1">
        <f t="array" ref="R122">IFERROR(VLOOKUP($A122,'The List'!$B1:$AS671,25,FALSE)," ")</f>
        <v xml:space="preserve"> </v>
      </c>
      <c r="S122" s="85" t="str" cm="1">
        <f t="array" ref="S122">IFERROR(VLOOKUP($A122,'The List'!$B1:$AS671,26,FALSE)," ")</f>
        <v xml:space="preserve"> </v>
      </c>
      <c r="T122" s="85" t="str" cm="1">
        <f t="array" ref="T122">IFERROR(VLOOKUP($A122,'The List'!$B1:$AS671,27,FALSE)," ")</f>
        <v xml:space="preserve"> </v>
      </c>
      <c r="U122" s="85" t="str" cm="1">
        <f t="array" ref="U122">IFERROR(VLOOKUP($A122,'The List'!$B1:$AS671,28,FALSE)," ")</f>
        <v xml:space="preserve"> </v>
      </c>
      <c r="V122" s="85" t="str" cm="1">
        <f t="array" ref="V122">IFERROR(VLOOKUP($A122,'The List'!$B1:$AS671,29,FALSE)," ")</f>
        <v xml:space="preserve"> </v>
      </c>
      <c r="W122" s="85" t="str" cm="1">
        <f t="array" ref="W122">IFERROR(VLOOKUP($A122,'The List'!$B1:$AS671,30,FALSE)," ")</f>
        <v xml:space="preserve"> </v>
      </c>
      <c r="X122" s="85" t="str" cm="1">
        <f t="array" ref="X122">IFERROR(VLOOKUP($A122,'The List'!$B1:$AS671,31,FALSE)," ")</f>
        <v xml:space="preserve"> </v>
      </c>
      <c r="Y122" s="85" t="str" cm="1">
        <f t="array" ref="Y122">IFERROR(VLOOKUP($A122,'The List'!$B1:$AS671,32,FALSE)," ")</f>
        <v xml:space="preserve"> </v>
      </c>
      <c r="Z122" s="85" t="str" cm="1">
        <f t="array" ref="Z122">IFERROR(VLOOKUP($A122,'The List'!$B1:$AS671,33,FALSE)," ")</f>
        <v xml:space="preserve"> </v>
      </c>
      <c r="AA122" s="86"/>
      <c r="AB122" s="91"/>
      <c r="AC122" s="91"/>
      <c r="AD122" s="91"/>
      <c r="AE122" s="91"/>
      <c r="AF122" s="91"/>
    </row>
    <row r="123" spans="1:32" ht="21.25" customHeight="1" x14ac:dyDescent="0.15">
      <c r="A123" s="24"/>
      <c r="B123" s="94" t="str" cm="1">
        <f t="array" ref="B123">IFERROR(VLOOKUP($A123,'The List'!$B1:$AS671,3,FALSE)," ")</f>
        <v xml:space="preserve"> </v>
      </c>
      <c r="C123" s="96" t="str" cm="1">
        <f t="array" ref="C123">IFERROR(VLOOKUP($A123,'The List'!$B1:$AS671,4,FALSE)," ")</f>
        <v xml:space="preserve"> </v>
      </c>
      <c r="D123" s="18" t="str" cm="1">
        <f t="array" ref="D123">IFERROR(VLOOKUP($A123,'The List'!$B1:$AS671,5,FALSE)," ")</f>
        <v xml:space="preserve"> </v>
      </c>
      <c r="E123" s="18" t="str" cm="1">
        <f t="array" ref="E123">IFERROR(VLOOKUP($A123,'The List'!$B1:$AS671,6,FALSE)," ")</f>
        <v xml:space="preserve"> </v>
      </c>
      <c r="F123" s="93" t="str" cm="1">
        <f t="array" ref="F123">IFERROR(VLOOKUP($A123,'The List'!$B1:$AS671,8,FALSE)," ")</f>
        <v xml:space="preserve"> </v>
      </c>
      <c r="G123" s="93" t="str" cm="1">
        <f t="array" ref="G123">IFERROR(VLOOKUP($A123,'The List'!$B1:$AS671,10,FALSE)," ")</f>
        <v xml:space="preserve"> </v>
      </c>
      <c r="H123" s="55"/>
      <c r="I123" s="85" t="str" cm="1">
        <f t="array" ref="I123">IFERROR(VLOOKUP($A123,'The List'!$B1:$AS671,16,FALSE)," ")</f>
        <v xml:space="preserve"> </v>
      </c>
      <c r="J123" s="85" t="str" cm="1">
        <f t="array" ref="J123">IFERROR(VLOOKUP($A123,'The List'!$B1:$AS671,17,FALSE)," ")</f>
        <v xml:space="preserve"> </v>
      </c>
      <c r="K123" s="85" t="str" cm="1">
        <f t="array" ref="K123">IFERROR(VLOOKUP($A123,'The List'!$B1:$AS671,18,FALSE)," ")</f>
        <v xml:space="preserve"> </v>
      </c>
      <c r="L123" s="85" t="str" cm="1">
        <f t="array" ref="L123">IFERROR(VLOOKUP($A123,'The List'!$B1:$AS671,19,FALSE)," ")</f>
        <v xml:space="preserve"> </v>
      </c>
      <c r="M123" s="85" t="str" cm="1">
        <f t="array" ref="M123">IFERROR(VLOOKUP($A123,'The List'!$B1:$AS671,20,FALSE)," ")</f>
        <v xml:space="preserve"> </v>
      </c>
      <c r="N123" s="85" t="str" cm="1">
        <f t="array" ref="N123">IFERROR(VLOOKUP($A123,'The List'!$B1:$AS671,21,FALSE)," ")</f>
        <v xml:space="preserve"> </v>
      </c>
      <c r="O123" s="85" t="str" cm="1">
        <f t="array" ref="O123">IFERROR(VLOOKUP($A123,'The List'!$B1:$AS671,22,FALSE)," ")</f>
        <v xml:space="preserve"> </v>
      </c>
      <c r="P123" s="85" t="str" cm="1">
        <f t="array" ref="P123">IFERROR(VLOOKUP($A123,'The List'!$B1:$AS671,23,FALSE)," ")</f>
        <v xml:space="preserve"> </v>
      </c>
      <c r="Q123" s="85" t="str" cm="1">
        <f t="array" ref="Q123">IFERROR(VLOOKUP($A123,'The List'!$B1:$AS671,24,FALSE)," ")</f>
        <v xml:space="preserve"> </v>
      </c>
      <c r="R123" s="85" t="str" cm="1">
        <f t="array" ref="R123">IFERROR(VLOOKUP($A123,'The List'!$B1:$AS671,25,FALSE)," ")</f>
        <v xml:space="preserve"> </v>
      </c>
      <c r="S123" s="85" t="str" cm="1">
        <f t="array" ref="S123">IFERROR(VLOOKUP($A123,'The List'!$B1:$AS671,26,FALSE)," ")</f>
        <v xml:space="preserve"> </v>
      </c>
      <c r="T123" s="85" t="str" cm="1">
        <f t="array" ref="T123">IFERROR(VLOOKUP($A123,'The List'!$B1:$AS671,27,FALSE)," ")</f>
        <v xml:space="preserve"> </v>
      </c>
      <c r="U123" s="85" t="str" cm="1">
        <f t="array" ref="U123">IFERROR(VLOOKUP($A123,'The List'!$B1:$AS671,28,FALSE)," ")</f>
        <v xml:space="preserve"> </v>
      </c>
      <c r="V123" s="85" t="str" cm="1">
        <f t="array" ref="V123">IFERROR(VLOOKUP($A123,'The List'!$B1:$AS671,29,FALSE)," ")</f>
        <v xml:space="preserve"> </v>
      </c>
      <c r="W123" s="85" t="str" cm="1">
        <f t="array" ref="W123">IFERROR(VLOOKUP($A123,'The List'!$B1:$AS671,30,FALSE)," ")</f>
        <v xml:space="preserve"> </v>
      </c>
      <c r="X123" s="85" t="str" cm="1">
        <f t="array" ref="X123">IFERROR(VLOOKUP($A123,'The List'!$B1:$AS671,31,FALSE)," ")</f>
        <v xml:space="preserve"> </v>
      </c>
      <c r="Y123" s="85" t="str" cm="1">
        <f t="array" ref="Y123">IFERROR(VLOOKUP($A123,'The List'!$B1:$AS671,32,FALSE)," ")</f>
        <v xml:space="preserve"> </v>
      </c>
      <c r="Z123" s="85" t="str" cm="1">
        <f t="array" ref="Z123">IFERROR(VLOOKUP($A123,'The List'!$B1:$AS671,33,FALSE)," ")</f>
        <v xml:space="preserve"> </v>
      </c>
      <c r="AA123" s="86"/>
      <c r="AB123" s="91"/>
      <c r="AC123" s="91"/>
      <c r="AD123" s="91"/>
      <c r="AE123" s="91"/>
      <c r="AF123" s="91"/>
    </row>
    <row r="124" spans="1:32" ht="21.25" customHeight="1" x14ac:dyDescent="0.15">
      <c r="A124" s="24"/>
      <c r="B124" s="94" t="str" cm="1">
        <f t="array" ref="B124">IFERROR(VLOOKUP($A124,'The List'!$B1:$AS671,3,FALSE)," ")</f>
        <v xml:space="preserve"> </v>
      </c>
      <c r="C124" s="96" t="str" cm="1">
        <f t="array" ref="C124">IFERROR(VLOOKUP($A124,'The List'!$B1:$AS671,4,FALSE)," ")</f>
        <v xml:space="preserve"> </v>
      </c>
      <c r="D124" s="18" t="str" cm="1">
        <f t="array" ref="D124">IFERROR(VLOOKUP($A124,'The List'!$B1:$AS671,5,FALSE)," ")</f>
        <v xml:space="preserve"> </v>
      </c>
      <c r="E124" s="18" t="str" cm="1">
        <f t="array" ref="E124">IFERROR(VLOOKUP($A124,'The List'!$B1:$AS671,6,FALSE)," ")</f>
        <v xml:space="preserve"> </v>
      </c>
      <c r="F124" s="93" t="str" cm="1">
        <f t="array" ref="F124">IFERROR(VLOOKUP($A124,'The List'!$B1:$AS671,8,FALSE)," ")</f>
        <v xml:space="preserve"> </v>
      </c>
      <c r="G124" s="93" t="str" cm="1">
        <f t="array" ref="G124">IFERROR(VLOOKUP($A124,'The List'!$B1:$AS671,10,FALSE)," ")</f>
        <v xml:space="preserve"> </v>
      </c>
      <c r="H124" s="55"/>
      <c r="I124" s="85" t="str" cm="1">
        <f t="array" ref="I124">IFERROR(VLOOKUP($A124,'The List'!$B1:$AS671,16,FALSE)," ")</f>
        <v xml:space="preserve"> </v>
      </c>
      <c r="J124" s="85" t="str" cm="1">
        <f t="array" ref="J124">IFERROR(VLOOKUP($A124,'The List'!$B1:$AS671,17,FALSE)," ")</f>
        <v xml:space="preserve"> </v>
      </c>
      <c r="K124" s="85" t="str" cm="1">
        <f t="array" ref="K124">IFERROR(VLOOKUP($A124,'The List'!$B1:$AS671,18,FALSE)," ")</f>
        <v xml:space="preserve"> </v>
      </c>
      <c r="L124" s="85" t="str" cm="1">
        <f t="array" ref="L124">IFERROR(VLOOKUP($A124,'The List'!$B1:$AS671,19,FALSE)," ")</f>
        <v xml:space="preserve"> </v>
      </c>
      <c r="M124" s="85" t="str" cm="1">
        <f t="array" ref="M124">IFERROR(VLOOKUP($A124,'The List'!$B1:$AS671,20,FALSE)," ")</f>
        <v xml:space="preserve"> </v>
      </c>
      <c r="N124" s="85" t="str" cm="1">
        <f t="array" ref="N124">IFERROR(VLOOKUP($A124,'The List'!$B1:$AS671,21,FALSE)," ")</f>
        <v xml:space="preserve"> </v>
      </c>
      <c r="O124" s="85" t="str" cm="1">
        <f t="array" ref="O124">IFERROR(VLOOKUP($A124,'The List'!$B1:$AS671,22,FALSE)," ")</f>
        <v xml:space="preserve"> </v>
      </c>
      <c r="P124" s="85" t="str" cm="1">
        <f t="array" ref="P124">IFERROR(VLOOKUP($A124,'The List'!$B1:$AS671,23,FALSE)," ")</f>
        <v xml:space="preserve"> </v>
      </c>
      <c r="Q124" s="85" t="str" cm="1">
        <f t="array" ref="Q124">IFERROR(VLOOKUP($A124,'The List'!$B1:$AS671,24,FALSE)," ")</f>
        <v xml:space="preserve"> </v>
      </c>
      <c r="R124" s="85" t="str" cm="1">
        <f t="array" ref="R124">IFERROR(VLOOKUP($A124,'The List'!$B1:$AS671,25,FALSE)," ")</f>
        <v xml:space="preserve"> </v>
      </c>
      <c r="S124" s="85" t="str" cm="1">
        <f t="array" ref="S124">IFERROR(VLOOKUP($A124,'The List'!$B1:$AS671,26,FALSE)," ")</f>
        <v xml:space="preserve"> </v>
      </c>
      <c r="T124" s="85" t="str" cm="1">
        <f t="array" ref="T124">IFERROR(VLOOKUP($A124,'The List'!$B1:$AS671,27,FALSE)," ")</f>
        <v xml:space="preserve"> </v>
      </c>
      <c r="U124" s="85" t="str" cm="1">
        <f t="array" ref="U124">IFERROR(VLOOKUP($A124,'The List'!$B1:$AS671,28,FALSE)," ")</f>
        <v xml:space="preserve"> </v>
      </c>
      <c r="V124" s="85" t="str" cm="1">
        <f t="array" ref="V124">IFERROR(VLOOKUP($A124,'The List'!$B1:$AS671,29,FALSE)," ")</f>
        <v xml:space="preserve"> </v>
      </c>
      <c r="W124" s="85" t="str" cm="1">
        <f t="array" ref="W124">IFERROR(VLOOKUP($A124,'The List'!$B1:$AS671,30,FALSE)," ")</f>
        <v xml:space="preserve"> </v>
      </c>
      <c r="X124" s="85" t="str" cm="1">
        <f t="array" ref="X124">IFERROR(VLOOKUP($A124,'The List'!$B1:$AS671,31,FALSE)," ")</f>
        <v xml:space="preserve"> </v>
      </c>
      <c r="Y124" s="85" t="str" cm="1">
        <f t="array" ref="Y124">IFERROR(VLOOKUP($A124,'The List'!$B1:$AS671,32,FALSE)," ")</f>
        <v xml:space="preserve"> </v>
      </c>
      <c r="Z124" s="85" t="str" cm="1">
        <f t="array" ref="Z124">IFERROR(VLOOKUP($A124,'The List'!$B1:$AS671,33,FALSE)," ")</f>
        <v xml:space="preserve"> </v>
      </c>
      <c r="AA124" s="86"/>
      <c r="AB124" s="91"/>
      <c r="AC124" s="91"/>
      <c r="AD124" s="91"/>
      <c r="AE124" s="91"/>
      <c r="AF124" s="91"/>
    </row>
    <row r="125" spans="1:32" ht="21.25" customHeight="1" x14ac:dyDescent="0.15">
      <c r="A125" s="24"/>
      <c r="B125" s="94" t="str" cm="1">
        <f t="array" ref="B125">IFERROR(VLOOKUP($A125,'The List'!$B1:$AS671,3,FALSE)," ")</f>
        <v xml:space="preserve"> </v>
      </c>
      <c r="C125" s="96" t="str" cm="1">
        <f t="array" ref="C125">IFERROR(VLOOKUP($A125,'The List'!$B1:$AS671,4,FALSE)," ")</f>
        <v xml:space="preserve"> </v>
      </c>
      <c r="D125" s="18" t="str" cm="1">
        <f t="array" ref="D125">IFERROR(VLOOKUP($A125,'The List'!$B1:$AS671,5,FALSE)," ")</f>
        <v xml:space="preserve"> </v>
      </c>
      <c r="E125" s="18" t="str" cm="1">
        <f t="array" ref="E125">IFERROR(VLOOKUP($A125,'The List'!$B1:$AS671,6,FALSE)," ")</f>
        <v xml:space="preserve"> </v>
      </c>
      <c r="F125" s="93" t="str" cm="1">
        <f t="array" ref="F125">IFERROR(VLOOKUP($A125,'The List'!$B1:$AS671,8,FALSE)," ")</f>
        <v xml:space="preserve"> </v>
      </c>
      <c r="G125" s="93" t="str" cm="1">
        <f t="array" ref="G125">IFERROR(VLOOKUP($A125,'The List'!$B1:$AS671,10,FALSE)," ")</f>
        <v xml:space="preserve"> </v>
      </c>
      <c r="H125" s="55"/>
      <c r="I125" s="85" t="str" cm="1">
        <f t="array" ref="I125">IFERROR(VLOOKUP($A125,'The List'!$B1:$AS671,16,FALSE)," ")</f>
        <v xml:space="preserve"> </v>
      </c>
      <c r="J125" s="85" t="str" cm="1">
        <f t="array" ref="J125">IFERROR(VLOOKUP($A125,'The List'!$B1:$AS671,17,FALSE)," ")</f>
        <v xml:space="preserve"> </v>
      </c>
      <c r="K125" s="85" t="str" cm="1">
        <f t="array" ref="K125">IFERROR(VLOOKUP($A125,'The List'!$B1:$AS671,18,FALSE)," ")</f>
        <v xml:space="preserve"> </v>
      </c>
      <c r="L125" s="85" t="str" cm="1">
        <f t="array" ref="L125">IFERROR(VLOOKUP($A125,'The List'!$B1:$AS671,19,FALSE)," ")</f>
        <v xml:space="preserve"> </v>
      </c>
      <c r="M125" s="85" t="str" cm="1">
        <f t="array" ref="M125">IFERROR(VLOOKUP($A125,'The List'!$B1:$AS671,20,FALSE)," ")</f>
        <v xml:space="preserve"> </v>
      </c>
      <c r="N125" s="85" t="str" cm="1">
        <f t="array" ref="N125">IFERROR(VLOOKUP($A125,'The List'!$B1:$AS671,21,FALSE)," ")</f>
        <v xml:space="preserve"> </v>
      </c>
      <c r="O125" s="85" t="str" cm="1">
        <f t="array" ref="O125">IFERROR(VLOOKUP($A125,'The List'!$B1:$AS671,22,FALSE)," ")</f>
        <v xml:space="preserve"> </v>
      </c>
      <c r="P125" s="85" t="str" cm="1">
        <f t="array" ref="P125">IFERROR(VLOOKUP($A125,'The List'!$B1:$AS671,23,FALSE)," ")</f>
        <v xml:space="preserve"> </v>
      </c>
      <c r="Q125" s="85" t="str" cm="1">
        <f t="array" ref="Q125">IFERROR(VLOOKUP($A125,'The List'!$B1:$AS671,24,FALSE)," ")</f>
        <v xml:space="preserve"> </v>
      </c>
      <c r="R125" s="85" t="str" cm="1">
        <f t="array" ref="R125">IFERROR(VLOOKUP($A125,'The List'!$B1:$AS671,25,FALSE)," ")</f>
        <v xml:space="preserve"> </v>
      </c>
      <c r="S125" s="85" t="str" cm="1">
        <f t="array" ref="S125">IFERROR(VLOOKUP($A125,'The List'!$B1:$AS671,26,FALSE)," ")</f>
        <v xml:space="preserve"> </v>
      </c>
      <c r="T125" s="85" t="str" cm="1">
        <f t="array" ref="T125">IFERROR(VLOOKUP($A125,'The List'!$B1:$AS671,27,FALSE)," ")</f>
        <v xml:space="preserve"> </v>
      </c>
      <c r="U125" s="85" t="str" cm="1">
        <f t="array" ref="U125">IFERROR(VLOOKUP($A125,'The List'!$B1:$AS671,28,FALSE)," ")</f>
        <v xml:space="preserve"> </v>
      </c>
      <c r="V125" s="85" t="str" cm="1">
        <f t="array" ref="V125">IFERROR(VLOOKUP($A125,'The List'!$B1:$AS671,29,FALSE)," ")</f>
        <v xml:space="preserve"> </v>
      </c>
      <c r="W125" s="85" t="str" cm="1">
        <f t="array" ref="W125">IFERROR(VLOOKUP($A125,'The List'!$B1:$AS671,30,FALSE)," ")</f>
        <v xml:space="preserve"> </v>
      </c>
      <c r="X125" s="85" t="str" cm="1">
        <f t="array" ref="X125">IFERROR(VLOOKUP($A125,'The List'!$B1:$AS671,31,FALSE)," ")</f>
        <v xml:space="preserve"> </v>
      </c>
      <c r="Y125" s="85" t="str" cm="1">
        <f t="array" ref="Y125">IFERROR(VLOOKUP($A125,'The List'!$B1:$AS671,32,FALSE)," ")</f>
        <v xml:space="preserve"> </v>
      </c>
      <c r="Z125" s="85" t="str" cm="1">
        <f t="array" ref="Z125">IFERROR(VLOOKUP($A125,'The List'!$B1:$AS671,33,FALSE)," ")</f>
        <v xml:space="preserve"> </v>
      </c>
      <c r="AA125" s="86"/>
      <c r="AB125" s="91"/>
      <c r="AC125" s="91"/>
      <c r="AD125" s="91"/>
      <c r="AE125" s="91"/>
      <c r="AF125" s="91"/>
    </row>
    <row r="126" spans="1:32" ht="21.25" customHeight="1" x14ac:dyDescent="0.15">
      <c r="A126" s="24"/>
      <c r="B126" s="97" t="str" cm="1">
        <f t="array" ref="B126">IFERROR(VLOOKUP($A126,'The List'!$B1:$AS671,3,FALSE)," ")</f>
        <v xml:space="preserve"> </v>
      </c>
      <c r="C126" s="99" t="str" cm="1">
        <f t="array" ref="C126">IFERROR(VLOOKUP($A126,'The List'!$B1:$AS671,4,FALSE)," ")</f>
        <v xml:space="preserve"> </v>
      </c>
      <c r="D126" s="18" t="str" cm="1">
        <f t="array" ref="D126">IFERROR(VLOOKUP($A126,'The List'!$B1:$AS671,5,FALSE)," ")</f>
        <v xml:space="preserve"> </v>
      </c>
      <c r="E126" s="18" t="str" cm="1">
        <f t="array" ref="E126">IFERROR(VLOOKUP($A126,'The List'!$B1:$AS671,6,FALSE)," ")</f>
        <v xml:space="preserve"> </v>
      </c>
      <c r="F126" s="93" t="str" cm="1">
        <f t="array" ref="F126">IFERROR(VLOOKUP($A126,'The List'!$B1:$AS671,8,FALSE)," ")</f>
        <v xml:space="preserve"> </v>
      </c>
      <c r="G126" s="93" t="str" cm="1">
        <f t="array" ref="G126">IFERROR(VLOOKUP($A126,'The List'!$B1:$AS671,10,FALSE)," ")</f>
        <v xml:space="preserve"> </v>
      </c>
      <c r="H126" s="55"/>
      <c r="I126" s="85" t="str" cm="1">
        <f t="array" ref="I126">IFERROR(VLOOKUP($A126,'The List'!$B1:$AS671,16,FALSE)," ")</f>
        <v xml:space="preserve"> </v>
      </c>
      <c r="J126" s="85" t="str" cm="1">
        <f t="array" ref="J126">IFERROR(VLOOKUP($A126,'The List'!$B1:$AS671,17,FALSE)," ")</f>
        <v xml:space="preserve"> </v>
      </c>
      <c r="K126" s="85" t="str" cm="1">
        <f t="array" ref="K126">IFERROR(VLOOKUP($A126,'The List'!$B1:$AS671,18,FALSE)," ")</f>
        <v xml:space="preserve"> </v>
      </c>
      <c r="L126" s="85" t="str" cm="1">
        <f t="array" ref="L126">IFERROR(VLOOKUP($A126,'The List'!$B1:$AS671,19,FALSE)," ")</f>
        <v xml:space="preserve"> </v>
      </c>
      <c r="M126" s="85" t="str" cm="1">
        <f t="array" ref="M126">IFERROR(VLOOKUP($A126,'The List'!$B1:$AS671,20,FALSE)," ")</f>
        <v xml:space="preserve"> </v>
      </c>
      <c r="N126" s="85" t="str" cm="1">
        <f t="array" ref="N126">IFERROR(VLOOKUP($A126,'The List'!$B1:$AS671,21,FALSE)," ")</f>
        <v xml:space="preserve"> </v>
      </c>
      <c r="O126" s="85" t="str" cm="1">
        <f t="array" ref="O126">IFERROR(VLOOKUP($A126,'The List'!$B1:$AS671,22,FALSE)," ")</f>
        <v xml:space="preserve"> </v>
      </c>
      <c r="P126" s="85" t="str" cm="1">
        <f t="array" ref="P126">IFERROR(VLOOKUP($A126,'The List'!$B1:$AS671,23,FALSE)," ")</f>
        <v xml:space="preserve"> </v>
      </c>
      <c r="Q126" s="85" t="str" cm="1">
        <f t="array" ref="Q126">IFERROR(VLOOKUP($A126,'The List'!$B1:$AS671,24,FALSE)," ")</f>
        <v xml:space="preserve"> </v>
      </c>
      <c r="R126" s="85" t="str" cm="1">
        <f t="array" ref="R126">IFERROR(VLOOKUP($A126,'The List'!$B1:$AS671,25,FALSE)," ")</f>
        <v xml:space="preserve"> </v>
      </c>
      <c r="S126" s="85" t="str" cm="1">
        <f t="array" ref="S126">IFERROR(VLOOKUP($A126,'The List'!$B1:$AS671,26,FALSE)," ")</f>
        <v xml:space="preserve"> </v>
      </c>
      <c r="T126" s="85" t="str" cm="1">
        <f t="array" ref="T126">IFERROR(VLOOKUP($A126,'The List'!$B1:$AS671,27,FALSE)," ")</f>
        <v xml:space="preserve"> </v>
      </c>
      <c r="U126" s="85" t="str" cm="1">
        <f t="array" ref="U126">IFERROR(VLOOKUP($A126,'The List'!$B1:$AS671,28,FALSE)," ")</f>
        <v xml:space="preserve"> </v>
      </c>
      <c r="V126" s="85" t="str" cm="1">
        <f t="array" ref="V126">IFERROR(VLOOKUP($A126,'The List'!$B1:$AS671,29,FALSE)," ")</f>
        <v xml:space="preserve"> </v>
      </c>
      <c r="W126" s="85" t="str" cm="1">
        <f t="array" ref="W126">IFERROR(VLOOKUP($A126,'The List'!$B1:$AS671,30,FALSE)," ")</f>
        <v xml:space="preserve"> </v>
      </c>
      <c r="X126" s="85" t="str" cm="1">
        <f t="array" ref="X126">IFERROR(VLOOKUP($A126,'The List'!$B1:$AS671,31,FALSE)," ")</f>
        <v xml:space="preserve"> </v>
      </c>
      <c r="Y126" s="85" t="str" cm="1">
        <f t="array" ref="Y126">IFERROR(VLOOKUP($A126,'The List'!$B1:$AS671,32,FALSE)," ")</f>
        <v xml:space="preserve"> </v>
      </c>
      <c r="Z126" s="85" t="str" cm="1">
        <f t="array" ref="Z126">IFERROR(VLOOKUP($A126,'The List'!$B1:$AS671,33,FALSE)," ")</f>
        <v xml:space="preserve"> </v>
      </c>
      <c r="AA126" s="86"/>
      <c r="AB126" s="91"/>
      <c r="AC126" s="91"/>
      <c r="AD126" s="91"/>
      <c r="AE126" s="91"/>
      <c r="AF126" s="91"/>
    </row>
    <row r="127" spans="1:32" ht="21.25" customHeight="1" x14ac:dyDescent="0.15">
      <c r="A127" s="24"/>
      <c r="B127" s="97" t="str" cm="1">
        <f t="array" ref="B127">IFERROR(VLOOKUP($A127,'The List'!$B1:$AS671,3,FALSE)," ")</f>
        <v xml:space="preserve"> </v>
      </c>
      <c r="C127" s="99" t="str" cm="1">
        <f t="array" ref="C127">IFERROR(VLOOKUP($A127,'The List'!$B1:$AS671,4,FALSE)," ")</f>
        <v xml:space="preserve"> </v>
      </c>
      <c r="D127" s="18" t="str" cm="1">
        <f t="array" ref="D127">IFERROR(VLOOKUP($A127,'The List'!$B1:$AS671,5,FALSE)," ")</f>
        <v xml:space="preserve"> </v>
      </c>
      <c r="E127" s="18" t="str" cm="1">
        <f t="array" ref="E127">IFERROR(VLOOKUP($A127,'The List'!$B1:$AS671,6,FALSE)," ")</f>
        <v xml:space="preserve"> </v>
      </c>
      <c r="F127" s="93" t="str" cm="1">
        <f t="array" ref="F127">IFERROR(VLOOKUP($A127,'The List'!$B1:$AS671,8,FALSE)," ")</f>
        <v xml:space="preserve"> </v>
      </c>
      <c r="G127" s="93" t="str" cm="1">
        <f t="array" ref="G127">IFERROR(VLOOKUP($A127,'The List'!$B1:$AS671,10,FALSE)," ")</f>
        <v xml:space="preserve"> </v>
      </c>
      <c r="H127" s="55"/>
      <c r="I127" s="85" t="str" cm="1">
        <f t="array" ref="I127">IFERROR(VLOOKUP($A127,'The List'!$B1:$AS671,16,FALSE)," ")</f>
        <v xml:space="preserve"> </v>
      </c>
      <c r="J127" s="85" t="str" cm="1">
        <f t="array" ref="J127">IFERROR(VLOOKUP($A127,'The List'!$B1:$AS671,17,FALSE)," ")</f>
        <v xml:space="preserve"> </v>
      </c>
      <c r="K127" s="85" t="str" cm="1">
        <f t="array" ref="K127">IFERROR(VLOOKUP($A127,'The List'!$B1:$AS671,18,FALSE)," ")</f>
        <v xml:space="preserve"> </v>
      </c>
      <c r="L127" s="85" t="str" cm="1">
        <f t="array" ref="L127">IFERROR(VLOOKUP($A127,'The List'!$B1:$AS671,19,FALSE)," ")</f>
        <v xml:space="preserve"> </v>
      </c>
      <c r="M127" s="85" t="str" cm="1">
        <f t="array" ref="M127">IFERROR(VLOOKUP($A127,'The List'!$B1:$AS671,20,FALSE)," ")</f>
        <v xml:space="preserve"> </v>
      </c>
      <c r="N127" s="85" t="str" cm="1">
        <f t="array" ref="N127">IFERROR(VLOOKUP($A127,'The List'!$B1:$AS671,21,FALSE)," ")</f>
        <v xml:space="preserve"> </v>
      </c>
      <c r="O127" s="85" t="str" cm="1">
        <f t="array" ref="O127">IFERROR(VLOOKUP($A127,'The List'!$B1:$AS671,22,FALSE)," ")</f>
        <v xml:space="preserve"> </v>
      </c>
      <c r="P127" s="85" t="str" cm="1">
        <f t="array" ref="P127">IFERROR(VLOOKUP($A127,'The List'!$B1:$AS671,23,FALSE)," ")</f>
        <v xml:space="preserve"> </v>
      </c>
      <c r="Q127" s="85" t="str" cm="1">
        <f t="array" ref="Q127">IFERROR(VLOOKUP($A127,'The List'!$B1:$AS671,24,FALSE)," ")</f>
        <v xml:space="preserve"> </v>
      </c>
      <c r="R127" s="85" t="str" cm="1">
        <f t="array" ref="R127">IFERROR(VLOOKUP($A127,'The List'!$B1:$AS671,25,FALSE)," ")</f>
        <v xml:space="preserve"> </v>
      </c>
      <c r="S127" s="85" t="str" cm="1">
        <f t="array" ref="S127">IFERROR(VLOOKUP($A127,'The List'!$B1:$AS671,26,FALSE)," ")</f>
        <v xml:space="preserve"> </v>
      </c>
      <c r="T127" s="85" t="str" cm="1">
        <f t="array" ref="T127">IFERROR(VLOOKUP($A127,'The List'!$B1:$AS671,27,FALSE)," ")</f>
        <v xml:space="preserve"> </v>
      </c>
      <c r="U127" s="85" t="str" cm="1">
        <f t="array" ref="U127">IFERROR(VLOOKUP($A127,'The List'!$B1:$AS671,28,FALSE)," ")</f>
        <v xml:space="preserve"> </v>
      </c>
      <c r="V127" s="85" t="str" cm="1">
        <f t="array" ref="V127">IFERROR(VLOOKUP($A127,'The List'!$B1:$AS671,29,FALSE)," ")</f>
        <v xml:space="preserve"> </v>
      </c>
      <c r="W127" s="85" t="str" cm="1">
        <f t="array" ref="W127">IFERROR(VLOOKUP($A127,'The List'!$B1:$AS671,30,FALSE)," ")</f>
        <v xml:space="preserve"> </v>
      </c>
      <c r="X127" s="85" t="str" cm="1">
        <f t="array" ref="X127">IFERROR(VLOOKUP($A127,'The List'!$B1:$AS671,31,FALSE)," ")</f>
        <v xml:space="preserve"> </v>
      </c>
      <c r="Y127" s="85" t="str" cm="1">
        <f t="array" ref="Y127">IFERROR(VLOOKUP($A127,'The List'!$B1:$AS671,32,FALSE)," ")</f>
        <v xml:space="preserve"> </v>
      </c>
      <c r="Z127" s="85" t="str" cm="1">
        <f t="array" ref="Z127">IFERROR(VLOOKUP($A127,'The List'!$B1:$AS671,33,FALSE)," ")</f>
        <v xml:space="preserve"> </v>
      </c>
      <c r="AA127" s="86"/>
      <c r="AB127" s="91"/>
      <c r="AC127" s="91"/>
      <c r="AD127" s="91"/>
      <c r="AE127" s="91"/>
      <c r="AF127" s="91"/>
    </row>
    <row r="128" spans="1:32" ht="21.25" customHeight="1" x14ac:dyDescent="0.15">
      <c r="A128" s="24"/>
      <c r="B128" s="97" t="str" cm="1">
        <f t="array" ref="B128">IFERROR(VLOOKUP($A128,'The List'!$B1:$AS671,3,FALSE)," ")</f>
        <v xml:space="preserve"> </v>
      </c>
      <c r="C128" s="99" t="str" cm="1">
        <f t="array" ref="C128">IFERROR(VLOOKUP($A128,'The List'!$B1:$AS671,4,FALSE)," ")</f>
        <v xml:space="preserve"> </v>
      </c>
      <c r="D128" s="18" t="str" cm="1">
        <f t="array" ref="D128">IFERROR(VLOOKUP($A128,'The List'!$B1:$AS671,5,FALSE)," ")</f>
        <v xml:space="preserve"> </v>
      </c>
      <c r="E128" s="18" t="str" cm="1">
        <f t="array" ref="E128">IFERROR(VLOOKUP($A128,'The List'!$B1:$AS671,6,FALSE)," ")</f>
        <v xml:space="preserve"> </v>
      </c>
      <c r="F128" s="93" t="str" cm="1">
        <f t="array" ref="F128">IFERROR(VLOOKUP($A128,'The List'!$B1:$AS671,8,FALSE)," ")</f>
        <v xml:space="preserve"> </v>
      </c>
      <c r="G128" s="93" t="str" cm="1">
        <f t="array" ref="G128">IFERROR(VLOOKUP($A128,'The List'!$B1:$AS671,10,FALSE)," ")</f>
        <v xml:space="preserve"> </v>
      </c>
      <c r="H128" s="55"/>
      <c r="I128" s="85" t="str" cm="1">
        <f t="array" ref="I128">IFERROR(VLOOKUP($A128,'The List'!$B1:$AS671,16,FALSE)," ")</f>
        <v xml:space="preserve"> </v>
      </c>
      <c r="J128" s="85" t="str" cm="1">
        <f t="array" ref="J128">IFERROR(VLOOKUP($A128,'The List'!$B1:$AS671,17,FALSE)," ")</f>
        <v xml:space="preserve"> </v>
      </c>
      <c r="K128" s="85" t="str" cm="1">
        <f t="array" ref="K128">IFERROR(VLOOKUP($A128,'The List'!$B1:$AS671,18,FALSE)," ")</f>
        <v xml:space="preserve"> </v>
      </c>
      <c r="L128" s="85" t="str" cm="1">
        <f t="array" ref="L128">IFERROR(VLOOKUP($A128,'The List'!$B1:$AS671,19,FALSE)," ")</f>
        <v xml:space="preserve"> </v>
      </c>
      <c r="M128" s="85" t="str" cm="1">
        <f t="array" ref="M128">IFERROR(VLOOKUP($A128,'The List'!$B1:$AS671,20,FALSE)," ")</f>
        <v xml:space="preserve"> </v>
      </c>
      <c r="N128" s="85" t="str" cm="1">
        <f t="array" ref="N128">IFERROR(VLOOKUP($A128,'The List'!$B1:$AS671,21,FALSE)," ")</f>
        <v xml:space="preserve"> </v>
      </c>
      <c r="O128" s="85" t="str" cm="1">
        <f t="array" ref="O128">IFERROR(VLOOKUP($A128,'The List'!$B1:$AS671,22,FALSE)," ")</f>
        <v xml:space="preserve"> </v>
      </c>
      <c r="P128" s="85" t="str" cm="1">
        <f t="array" ref="P128">IFERROR(VLOOKUP($A128,'The List'!$B1:$AS671,23,FALSE)," ")</f>
        <v xml:space="preserve"> </v>
      </c>
      <c r="Q128" s="85" t="str" cm="1">
        <f t="array" ref="Q128">IFERROR(VLOOKUP($A128,'The List'!$B1:$AS671,24,FALSE)," ")</f>
        <v xml:space="preserve"> </v>
      </c>
      <c r="R128" s="85" t="str" cm="1">
        <f t="array" ref="R128">IFERROR(VLOOKUP($A128,'The List'!$B1:$AS671,25,FALSE)," ")</f>
        <v xml:space="preserve"> </v>
      </c>
      <c r="S128" s="85" t="str" cm="1">
        <f t="array" ref="S128">IFERROR(VLOOKUP($A128,'The List'!$B1:$AS671,26,FALSE)," ")</f>
        <v xml:space="preserve"> </v>
      </c>
      <c r="T128" s="85" t="str" cm="1">
        <f t="array" ref="T128">IFERROR(VLOOKUP($A128,'The List'!$B1:$AS671,27,FALSE)," ")</f>
        <v xml:space="preserve"> </v>
      </c>
      <c r="U128" s="85" t="str" cm="1">
        <f t="array" ref="U128">IFERROR(VLOOKUP($A128,'The List'!$B1:$AS671,28,FALSE)," ")</f>
        <v xml:space="preserve"> </v>
      </c>
      <c r="V128" s="85" t="str" cm="1">
        <f t="array" ref="V128">IFERROR(VLOOKUP($A128,'The List'!$B1:$AS671,29,FALSE)," ")</f>
        <v xml:space="preserve"> </v>
      </c>
      <c r="W128" s="85" t="str" cm="1">
        <f t="array" ref="W128">IFERROR(VLOOKUP($A128,'The List'!$B1:$AS671,30,FALSE)," ")</f>
        <v xml:space="preserve"> </v>
      </c>
      <c r="X128" s="85" t="str" cm="1">
        <f t="array" ref="X128">IFERROR(VLOOKUP($A128,'The List'!$B1:$AS671,31,FALSE)," ")</f>
        <v xml:space="preserve"> </v>
      </c>
      <c r="Y128" s="85" t="str" cm="1">
        <f t="array" ref="Y128">IFERROR(VLOOKUP($A128,'The List'!$B1:$AS671,32,FALSE)," ")</f>
        <v xml:space="preserve"> </v>
      </c>
      <c r="Z128" s="85" t="str" cm="1">
        <f t="array" ref="Z128">IFERROR(VLOOKUP($A128,'The List'!$B1:$AS671,33,FALSE)," ")</f>
        <v xml:space="preserve"> </v>
      </c>
      <c r="AA128" s="86"/>
      <c r="AB128" s="91"/>
      <c r="AC128" s="91"/>
      <c r="AD128" s="91"/>
      <c r="AE128" s="91"/>
      <c r="AF128" s="91"/>
    </row>
    <row r="129" spans="1:32" ht="21.25" customHeight="1" x14ac:dyDescent="0.15">
      <c r="A129" s="24"/>
      <c r="B129" s="97" t="str" cm="1">
        <f t="array" ref="B129">IFERROR(VLOOKUP($A129,'The List'!$B1:$AS671,3,FALSE)," ")</f>
        <v xml:space="preserve"> </v>
      </c>
      <c r="C129" s="99" t="str" cm="1">
        <f t="array" ref="C129">IFERROR(VLOOKUP($A129,'The List'!$B1:$AS671,4,FALSE)," ")</f>
        <v xml:space="preserve"> </v>
      </c>
      <c r="D129" s="18" t="str" cm="1">
        <f t="array" ref="D129">IFERROR(VLOOKUP($A129,'The List'!$B1:$AS671,5,FALSE)," ")</f>
        <v xml:space="preserve"> </v>
      </c>
      <c r="E129" s="18" t="str" cm="1">
        <f t="array" ref="E129">IFERROR(VLOOKUP($A129,'The List'!$B1:$AS671,6,FALSE)," ")</f>
        <v xml:space="preserve"> </v>
      </c>
      <c r="F129" s="93" t="str" cm="1">
        <f t="array" ref="F129">IFERROR(VLOOKUP($A129,'The List'!$B1:$AS671,8,FALSE)," ")</f>
        <v xml:space="preserve"> </v>
      </c>
      <c r="G129" s="93" t="str" cm="1">
        <f t="array" ref="G129">IFERROR(VLOOKUP($A129,'The List'!$B1:$AS671,10,FALSE)," ")</f>
        <v xml:space="preserve"> </v>
      </c>
      <c r="H129" s="55"/>
      <c r="I129" s="85" t="str" cm="1">
        <f t="array" ref="I129">IFERROR(VLOOKUP($A129,'The List'!$B1:$AS671,16,FALSE)," ")</f>
        <v xml:space="preserve"> </v>
      </c>
      <c r="J129" s="85" t="str" cm="1">
        <f t="array" ref="J129">IFERROR(VLOOKUP($A129,'The List'!$B1:$AS671,17,FALSE)," ")</f>
        <v xml:space="preserve"> </v>
      </c>
      <c r="K129" s="85" t="str" cm="1">
        <f t="array" ref="K129">IFERROR(VLOOKUP($A129,'The List'!$B1:$AS671,18,FALSE)," ")</f>
        <v xml:space="preserve"> </v>
      </c>
      <c r="L129" s="85" t="str" cm="1">
        <f t="array" ref="L129">IFERROR(VLOOKUP($A129,'The List'!$B1:$AS671,19,FALSE)," ")</f>
        <v xml:space="preserve"> </v>
      </c>
      <c r="M129" s="85" t="str" cm="1">
        <f t="array" ref="M129">IFERROR(VLOOKUP($A129,'The List'!$B1:$AS671,20,FALSE)," ")</f>
        <v xml:space="preserve"> </v>
      </c>
      <c r="N129" s="85" t="str" cm="1">
        <f t="array" ref="N129">IFERROR(VLOOKUP($A129,'The List'!$B1:$AS671,21,FALSE)," ")</f>
        <v xml:space="preserve"> </v>
      </c>
      <c r="O129" s="85" t="str" cm="1">
        <f t="array" ref="O129">IFERROR(VLOOKUP($A129,'The List'!$B1:$AS671,22,FALSE)," ")</f>
        <v xml:space="preserve"> </v>
      </c>
      <c r="P129" s="85" t="str" cm="1">
        <f t="array" ref="P129">IFERROR(VLOOKUP($A129,'The List'!$B1:$AS671,23,FALSE)," ")</f>
        <v xml:space="preserve"> </v>
      </c>
      <c r="Q129" s="85" t="str" cm="1">
        <f t="array" ref="Q129">IFERROR(VLOOKUP($A129,'The List'!$B1:$AS671,24,FALSE)," ")</f>
        <v xml:space="preserve"> </v>
      </c>
      <c r="R129" s="85" t="str" cm="1">
        <f t="array" ref="R129">IFERROR(VLOOKUP($A129,'The List'!$B1:$AS671,25,FALSE)," ")</f>
        <v xml:space="preserve"> </v>
      </c>
      <c r="S129" s="85" t="str" cm="1">
        <f t="array" ref="S129">IFERROR(VLOOKUP($A129,'The List'!$B1:$AS671,26,FALSE)," ")</f>
        <v xml:space="preserve"> </v>
      </c>
      <c r="T129" s="85" t="str" cm="1">
        <f t="array" ref="T129">IFERROR(VLOOKUP($A129,'The List'!$B1:$AS671,27,FALSE)," ")</f>
        <v xml:space="preserve"> </v>
      </c>
      <c r="U129" s="85" t="str" cm="1">
        <f t="array" ref="U129">IFERROR(VLOOKUP($A129,'The List'!$B1:$AS671,28,FALSE)," ")</f>
        <v xml:space="preserve"> </v>
      </c>
      <c r="V129" s="85" t="str" cm="1">
        <f t="array" ref="V129">IFERROR(VLOOKUP($A129,'The List'!$B1:$AS671,29,FALSE)," ")</f>
        <v xml:space="preserve"> </v>
      </c>
      <c r="W129" s="85" t="str" cm="1">
        <f t="array" ref="W129">IFERROR(VLOOKUP($A129,'The List'!$B1:$AS671,30,FALSE)," ")</f>
        <v xml:space="preserve"> </v>
      </c>
      <c r="X129" s="85" t="str" cm="1">
        <f t="array" ref="X129">IFERROR(VLOOKUP($A129,'The List'!$B1:$AS671,31,FALSE)," ")</f>
        <v xml:space="preserve"> </v>
      </c>
      <c r="Y129" s="85" t="str" cm="1">
        <f t="array" ref="Y129">IFERROR(VLOOKUP($A129,'The List'!$B1:$AS671,32,FALSE)," ")</f>
        <v xml:space="preserve"> </v>
      </c>
      <c r="Z129" s="85" t="str" cm="1">
        <f t="array" ref="Z129">IFERROR(VLOOKUP($A129,'The List'!$B1:$AS671,33,FALSE)," ")</f>
        <v xml:space="preserve"> </v>
      </c>
      <c r="AA129" s="86"/>
      <c r="AB129" s="91"/>
      <c r="AC129" s="91"/>
      <c r="AD129" s="91"/>
      <c r="AE129" s="91"/>
      <c r="AF129" s="91"/>
    </row>
    <row r="130" spans="1:32" ht="21.25" customHeight="1" x14ac:dyDescent="0.15">
      <c r="A130" s="24"/>
      <c r="B130" s="100" t="str" cm="1">
        <f t="array" ref="B130">IFERROR(VLOOKUP($A130,'The List'!$B1:$AS671,3,FALSE)," ")</f>
        <v xml:space="preserve"> </v>
      </c>
      <c r="C130" s="102" t="str" cm="1">
        <f t="array" ref="C130">IFERROR(VLOOKUP($A130,'The List'!$B1:$AS671,4,FALSE)," ")</f>
        <v xml:space="preserve"> </v>
      </c>
      <c r="D130" s="18" t="str" cm="1">
        <f t="array" ref="D130">IFERROR(VLOOKUP($A130,'The List'!$B1:$AS671,5,FALSE)," ")</f>
        <v xml:space="preserve"> </v>
      </c>
      <c r="E130" s="18" t="str" cm="1">
        <f t="array" ref="E130">IFERROR(VLOOKUP($A130,'The List'!$B1:$AS671,6,FALSE)," ")</f>
        <v xml:space="preserve"> </v>
      </c>
      <c r="F130" s="93" t="str" cm="1">
        <f t="array" ref="F130">IFERROR(VLOOKUP($A130,'The List'!$B1:$AS671,8,FALSE)," ")</f>
        <v xml:space="preserve"> </v>
      </c>
      <c r="G130" s="93" t="str" cm="1">
        <f t="array" ref="G130">IFERROR(VLOOKUP($A130,'The List'!$B1:$AS671,10,FALSE)," ")</f>
        <v xml:space="preserve"> </v>
      </c>
      <c r="H130" s="55"/>
      <c r="I130" s="85" t="str" cm="1">
        <f t="array" ref="I130">IFERROR(VLOOKUP($A130,'The List'!$B1:$AS671,16,FALSE)," ")</f>
        <v xml:space="preserve"> </v>
      </c>
      <c r="J130" s="85" t="str" cm="1">
        <f t="array" ref="J130">IFERROR(VLOOKUP($A130,'The List'!$B1:$AS671,17,FALSE)," ")</f>
        <v xml:space="preserve"> </v>
      </c>
      <c r="K130" s="85" t="str" cm="1">
        <f t="array" ref="K130">IFERROR(VLOOKUP($A130,'The List'!$B1:$AS671,18,FALSE)," ")</f>
        <v xml:space="preserve"> </v>
      </c>
      <c r="L130" s="85" t="str" cm="1">
        <f t="array" ref="L130">IFERROR(VLOOKUP($A130,'The List'!$B1:$AS671,19,FALSE)," ")</f>
        <v xml:space="preserve"> </v>
      </c>
      <c r="M130" s="85" t="str" cm="1">
        <f t="array" ref="M130">IFERROR(VLOOKUP($A130,'The List'!$B1:$AS671,20,FALSE)," ")</f>
        <v xml:space="preserve"> </v>
      </c>
      <c r="N130" s="85" t="str" cm="1">
        <f t="array" ref="N130">IFERROR(VLOOKUP($A130,'The List'!$B1:$AS671,21,FALSE)," ")</f>
        <v xml:space="preserve"> </v>
      </c>
      <c r="O130" s="85" t="str" cm="1">
        <f t="array" ref="O130">IFERROR(VLOOKUP($A130,'The List'!$B1:$AS671,22,FALSE)," ")</f>
        <v xml:space="preserve"> </v>
      </c>
      <c r="P130" s="85" t="str" cm="1">
        <f t="array" ref="P130">IFERROR(VLOOKUP($A130,'The List'!$B1:$AS671,23,FALSE)," ")</f>
        <v xml:space="preserve"> </v>
      </c>
      <c r="Q130" s="85" t="str" cm="1">
        <f t="array" ref="Q130">IFERROR(VLOOKUP($A130,'The List'!$B1:$AS671,24,FALSE)," ")</f>
        <v xml:space="preserve"> </v>
      </c>
      <c r="R130" s="85" t="str" cm="1">
        <f t="array" ref="R130">IFERROR(VLOOKUP($A130,'The List'!$B1:$AS671,25,FALSE)," ")</f>
        <v xml:space="preserve"> </v>
      </c>
      <c r="S130" s="85" t="str" cm="1">
        <f t="array" ref="S130">IFERROR(VLOOKUP($A130,'The List'!$B1:$AS671,26,FALSE)," ")</f>
        <v xml:space="preserve"> </v>
      </c>
      <c r="T130" s="85" t="str" cm="1">
        <f t="array" ref="T130">IFERROR(VLOOKUP($A130,'The List'!$B1:$AS671,27,FALSE)," ")</f>
        <v xml:space="preserve"> </v>
      </c>
      <c r="U130" s="85" t="str" cm="1">
        <f t="array" ref="U130">IFERROR(VLOOKUP($A130,'The List'!$B1:$AS671,28,FALSE)," ")</f>
        <v xml:space="preserve"> </v>
      </c>
      <c r="V130" s="85" t="str" cm="1">
        <f t="array" ref="V130">IFERROR(VLOOKUP($A130,'The List'!$B1:$AS671,29,FALSE)," ")</f>
        <v xml:space="preserve"> </v>
      </c>
      <c r="W130" s="85" t="str" cm="1">
        <f t="array" ref="W130">IFERROR(VLOOKUP($A130,'The List'!$B1:$AS671,30,FALSE)," ")</f>
        <v xml:space="preserve"> </v>
      </c>
      <c r="X130" s="85" t="str" cm="1">
        <f t="array" ref="X130">IFERROR(VLOOKUP($A130,'The List'!$B1:$AS671,31,FALSE)," ")</f>
        <v xml:space="preserve"> </v>
      </c>
      <c r="Y130" s="85" t="str" cm="1">
        <f t="array" ref="Y130">IFERROR(VLOOKUP($A130,'The List'!$B1:$AS671,32,FALSE)," ")</f>
        <v xml:space="preserve"> </v>
      </c>
      <c r="Z130" s="85" t="str" cm="1">
        <f t="array" ref="Z130">IFERROR(VLOOKUP($A130,'The List'!$B1:$AS671,33,FALSE)," ")</f>
        <v xml:space="preserve"> </v>
      </c>
      <c r="AA130" s="86"/>
      <c r="AB130" s="91"/>
      <c r="AC130" s="91"/>
      <c r="AD130" s="91"/>
      <c r="AE130" s="91"/>
      <c r="AF130" s="91"/>
    </row>
    <row r="131" spans="1:32" ht="21.25" customHeight="1" x14ac:dyDescent="0.15">
      <c r="A131" s="24"/>
      <c r="B131" s="100" t="str" cm="1">
        <f t="array" ref="B131">IFERROR(VLOOKUP($A131,'The List'!$B1:$AS671,3,FALSE)," ")</f>
        <v xml:space="preserve"> </v>
      </c>
      <c r="C131" s="102" t="str" cm="1">
        <f t="array" ref="C131">IFERROR(VLOOKUP($A131,'The List'!$B1:$AS671,4,FALSE)," ")</f>
        <v xml:space="preserve"> </v>
      </c>
      <c r="D131" s="18" t="str" cm="1">
        <f t="array" ref="D131">IFERROR(VLOOKUP($A131,'The List'!$B1:$AS671,5,FALSE)," ")</f>
        <v xml:space="preserve"> </v>
      </c>
      <c r="E131" s="18" t="str" cm="1">
        <f t="array" ref="E131">IFERROR(VLOOKUP($A131,'The List'!$B1:$AS671,6,FALSE)," ")</f>
        <v xml:space="preserve"> </v>
      </c>
      <c r="F131" s="93" t="str" cm="1">
        <f t="array" ref="F131">IFERROR(VLOOKUP($A131,'The List'!$B1:$AS671,8,FALSE)," ")</f>
        <v xml:space="preserve"> </v>
      </c>
      <c r="G131" s="93" t="str" cm="1">
        <f t="array" ref="G131">IFERROR(VLOOKUP($A131,'The List'!$B1:$AS671,10,FALSE)," ")</f>
        <v xml:space="preserve"> </v>
      </c>
      <c r="H131" s="55"/>
      <c r="I131" s="85" t="str" cm="1">
        <f t="array" ref="I131">IFERROR(VLOOKUP($A131,'The List'!$B1:$AS671,16,FALSE)," ")</f>
        <v xml:space="preserve"> </v>
      </c>
      <c r="J131" s="85" t="str" cm="1">
        <f t="array" ref="J131">IFERROR(VLOOKUP($A131,'The List'!$B1:$AS671,17,FALSE)," ")</f>
        <v xml:space="preserve"> </v>
      </c>
      <c r="K131" s="85" t="str" cm="1">
        <f t="array" ref="K131">IFERROR(VLOOKUP($A131,'The List'!$B1:$AS671,18,FALSE)," ")</f>
        <v xml:space="preserve"> </v>
      </c>
      <c r="L131" s="85" t="str" cm="1">
        <f t="array" ref="L131">IFERROR(VLOOKUP($A131,'The List'!$B1:$AS671,19,FALSE)," ")</f>
        <v xml:space="preserve"> </v>
      </c>
      <c r="M131" s="85" t="str" cm="1">
        <f t="array" ref="M131">IFERROR(VLOOKUP($A131,'The List'!$B1:$AS671,20,FALSE)," ")</f>
        <v xml:space="preserve"> </v>
      </c>
      <c r="N131" s="85" t="str" cm="1">
        <f t="array" ref="N131">IFERROR(VLOOKUP($A131,'The List'!$B1:$AS671,21,FALSE)," ")</f>
        <v xml:space="preserve"> </v>
      </c>
      <c r="O131" s="85" t="str" cm="1">
        <f t="array" ref="O131">IFERROR(VLOOKUP($A131,'The List'!$B1:$AS671,22,FALSE)," ")</f>
        <v xml:space="preserve"> </v>
      </c>
      <c r="P131" s="85" t="str" cm="1">
        <f t="array" ref="P131">IFERROR(VLOOKUP($A131,'The List'!$B1:$AS671,23,FALSE)," ")</f>
        <v xml:space="preserve"> </v>
      </c>
      <c r="Q131" s="85" t="str" cm="1">
        <f t="array" ref="Q131">IFERROR(VLOOKUP($A131,'The List'!$B1:$AS671,24,FALSE)," ")</f>
        <v xml:space="preserve"> </v>
      </c>
      <c r="R131" s="85" t="str" cm="1">
        <f t="array" ref="R131">IFERROR(VLOOKUP($A131,'The List'!$B1:$AS671,25,FALSE)," ")</f>
        <v xml:space="preserve"> </v>
      </c>
      <c r="S131" s="85" t="str" cm="1">
        <f t="array" ref="S131">IFERROR(VLOOKUP($A131,'The List'!$B1:$AS671,26,FALSE)," ")</f>
        <v xml:space="preserve"> </v>
      </c>
      <c r="T131" s="85" t="str" cm="1">
        <f t="array" ref="T131">IFERROR(VLOOKUP($A131,'The List'!$B1:$AS671,27,FALSE)," ")</f>
        <v xml:space="preserve"> </v>
      </c>
      <c r="U131" s="85" t="str" cm="1">
        <f t="array" ref="U131">IFERROR(VLOOKUP($A131,'The List'!$B1:$AS671,28,FALSE)," ")</f>
        <v xml:space="preserve"> </v>
      </c>
      <c r="V131" s="85" t="str" cm="1">
        <f t="array" ref="V131">IFERROR(VLOOKUP($A131,'The List'!$B1:$AS671,29,FALSE)," ")</f>
        <v xml:space="preserve"> </v>
      </c>
      <c r="W131" s="85" t="str" cm="1">
        <f t="array" ref="W131">IFERROR(VLOOKUP($A131,'The List'!$B1:$AS671,30,FALSE)," ")</f>
        <v xml:space="preserve"> </v>
      </c>
      <c r="X131" s="85" t="str" cm="1">
        <f t="array" ref="X131">IFERROR(VLOOKUP($A131,'The List'!$B1:$AS671,31,FALSE)," ")</f>
        <v xml:space="preserve"> </v>
      </c>
      <c r="Y131" s="85" t="str" cm="1">
        <f t="array" ref="Y131">IFERROR(VLOOKUP($A131,'The List'!$B1:$AS671,32,FALSE)," ")</f>
        <v xml:space="preserve"> </v>
      </c>
      <c r="Z131" s="85" t="str" cm="1">
        <f t="array" ref="Z131">IFERROR(VLOOKUP($A131,'The List'!$B1:$AS671,33,FALSE)," ")</f>
        <v xml:space="preserve"> </v>
      </c>
      <c r="AA131" s="86"/>
      <c r="AB131" s="91"/>
      <c r="AC131" s="91"/>
      <c r="AD131" s="91"/>
      <c r="AE131" s="91"/>
      <c r="AF131" s="91"/>
    </row>
    <row r="132" spans="1:32" ht="21.25" customHeight="1" x14ac:dyDescent="0.15">
      <c r="A132" s="24"/>
      <c r="B132" s="100" t="str" cm="1">
        <f t="array" ref="B132">IFERROR(VLOOKUP($A132,'The List'!$B1:$AS671,3,FALSE)," ")</f>
        <v xml:space="preserve"> </v>
      </c>
      <c r="C132" s="102" t="str" cm="1">
        <f t="array" ref="C132">IFERROR(VLOOKUP($A132,'The List'!$B1:$AS671,4,FALSE)," ")</f>
        <v xml:space="preserve"> </v>
      </c>
      <c r="D132" s="18" t="str" cm="1">
        <f t="array" ref="D132">IFERROR(VLOOKUP($A132,'The List'!$B1:$AS671,5,FALSE)," ")</f>
        <v xml:space="preserve"> </v>
      </c>
      <c r="E132" s="18" t="str" cm="1">
        <f t="array" ref="E132">IFERROR(VLOOKUP($A132,'The List'!$B1:$AS671,6,FALSE)," ")</f>
        <v xml:space="preserve"> </v>
      </c>
      <c r="F132" s="93" t="str" cm="1">
        <f t="array" ref="F132">IFERROR(VLOOKUP($A132,'The List'!$B1:$AS671,8,FALSE)," ")</f>
        <v xml:space="preserve"> </v>
      </c>
      <c r="G132" s="93" t="str" cm="1">
        <f t="array" ref="G132">IFERROR(VLOOKUP($A132,'The List'!$B1:$AS671,10,FALSE)," ")</f>
        <v xml:space="preserve"> </v>
      </c>
      <c r="H132" s="55"/>
      <c r="I132" s="85" t="str" cm="1">
        <f t="array" ref="I132">IFERROR(VLOOKUP($A132,'The List'!$B1:$AS671,16,FALSE)," ")</f>
        <v xml:space="preserve"> </v>
      </c>
      <c r="J132" s="85" t="str" cm="1">
        <f t="array" ref="J132">IFERROR(VLOOKUP($A132,'The List'!$B1:$AS671,17,FALSE)," ")</f>
        <v xml:space="preserve"> </v>
      </c>
      <c r="K132" s="85" t="str" cm="1">
        <f t="array" ref="K132">IFERROR(VLOOKUP($A132,'The List'!$B1:$AS671,18,FALSE)," ")</f>
        <v xml:space="preserve"> </v>
      </c>
      <c r="L132" s="85" t="str" cm="1">
        <f t="array" ref="L132">IFERROR(VLOOKUP($A132,'The List'!$B1:$AS671,19,FALSE)," ")</f>
        <v xml:space="preserve"> </v>
      </c>
      <c r="M132" s="85" t="str" cm="1">
        <f t="array" ref="M132">IFERROR(VLOOKUP($A132,'The List'!$B1:$AS671,20,FALSE)," ")</f>
        <v xml:space="preserve"> </v>
      </c>
      <c r="N132" s="85" t="str" cm="1">
        <f t="array" ref="N132">IFERROR(VLOOKUP($A132,'The List'!$B1:$AS671,21,FALSE)," ")</f>
        <v xml:space="preserve"> </v>
      </c>
      <c r="O132" s="85" t="str" cm="1">
        <f t="array" ref="O132">IFERROR(VLOOKUP($A132,'The List'!$B1:$AS671,22,FALSE)," ")</f>
        <v xml:space="preserve"> </v>
      </c>
      <c r="P132" s="85" t="str" cm="1">
        <f t="array" ref="P132">IFERROR(VLOOKUP($A132,'The List'!$B1:$AS671,23,FALSE)," ")</f>
        <v xml:space="preserve"> </v>
      </c>
      <c r="Q132" s="85" t="str" cm="1">
        <f t="array" ref="Q132">IFERROR(VLOOKUP($A132,'The List'!$B1:$AS671,24,FALSE)," ")</f>
        <v xml:space="preserve"> </v>
      </c>
      <c r="R132" s="85" t="str" cm="1">
        <f t="array" ref="R132">IFERROR(VLOOKUP($A132,'The List'!$B1:$AS671,25,FALSE)," ")</f>
        <v xml:space="preserve"> </v>
      </c>
      <c r="S132" s="85" t="str" cm="1">
        <f t="array" ref="S132">IFERROR(VLOOKUP($A132,'The List'!$B1:$AS671,26,FALSE)," ")</f>
        <v xml:space="preserve"> </v>
      </c>
      <c r="T132" s="85" t="str" cm="1">
        <f t="array" ref="T132">IFERROR(VLOOKUP($A132,'The List'!$B1:$AS671,27,FALSE)," ")</f>
        <v xml:space="preserve"> </v>
      </c>
      <c r="U132" s="85" t="str" cm="1">
        <f t="array" ref="U132">IFERROR(VLOOKUP($A132,'The List'!$B1:$AS671,28,FALSE)," ")</f>
        <v xml:space="preserve"> </v>
      </c>
      <c r="V132" s="85" t="str" cm="1">
        <f t="array" ref="V132">IFERROR(VLOOKUP($A132,'The List'!$B1:$AS671,29,FALSE)," ")</f>
        <v xml:space="preserve"> </v>
      </c>
      <c r="W132" s="85" t="str" cm="1">
        <f t="array" ref="W132">IFERROR(VLOOKUP($A132,'The List'!$B1:$AS671,30,FALSE)," ")</f>
        <v xml:space="preserve"> </v>
      </c>
      <c r="X132" s="85" t="str" cm="1">
        <f t="array" ref="X132">IFERROR(VLOOKUP($A132,'The List'!$B1:$AS671,31,FALSE)," ")</f>
        <v xml:space="preserve"> </v>
      </c>
      <c r="Y132" s="85" t="str" cm="1">
        <f t="array" ref="Y132">IFERROR(VLOOKUP($A132,'The List'!$B1:$AS671,32,FALSE)," ")</f>
        <v xml:space="preserve"> </v>
      </c>
      <c r="Z132" s="85" t="str" cm="1">
        <f t="array" ref="Z132">IFERROR(VLOOKUP($A132,'The List'!$B1:$AS671,33,FALSE)," ")</f>
        <v xml:space="preserve"> </v>
      </c>
      <c r="AA132" s="86"/>
      <c r="AB132" s="91"/>
      <c r="AC132" s="91"/>
      <c r="AD132" s="91"/>
      <c r="AE132" s="91"/>
      <c r="AF132" s="91"/>
    </row>
    <row r="133" spans="1:32" ht="21.25" customHeight="1" x14ac:dyDescent="0.15">
      <c r="A133" s="24"/>
      <c r="B133" s="100" t="str" cm="1">
        <f t="array" ref="B133">IFERROR(VLOOKUP($A133,'The List'!$B1:$AS671,3,FALSE)," ")</f>
        <v xml:space="preserve"> </v>
      </c>
      <c r="C133" s="102" t="str" cm="1">
        <f t="array" ref="C133">IFERROR(VLOOKUP($A133,'The List'!$B1:$AS671,4,FALSE)," ")</f>
        <v xml:space="preserve"> </v>
      </c>
      <c r="D133" s="18" t="str" cm="1">
        <f t="array" ref="D133">IFERROR(VLOOKUP($A133,'The List'!$B1:$AS671,5,FALSE)," ")</f>
        <v xml:space="preserve"> </v>
      </c>
      <c r="E133" s="18" t="str" cm="1">
        <f t="array" ref="E133">IFERROR(VLOOKUP($A133,'The List'!$B1:$AS671,6,FALSE)," ")</f>
        <v xml:space="preserve"> </v>
      </c>
      <c r="F133" s="93" t="str" cm="1">
        <f t="array" ref="F133">IFERROR(VLOOKUP($A133,'The List'!$B1:$AS671,8,FALSE)," ")</f>
        <v xml:space="preserve"> </v>
      </c>
      <c r="G133" s="93" t="str" cm="1">
        <f t="array" ref="G133">IFERROR(VLOOKUP($A133,'The List'!$B1:$AS671,10,FALSE)," ")</f>
        <v xml:space="preserve"> </v>
      </c>
      <c r="H133" s="55"/>
      <c r="I133" s="85" t="str" cm="1">
        <f t="array" ref="I133">IFERROR(VLOOKUP($A133,'The List'!$B1:$AS671,16,FALSE)," ")</f>
        <v xml:space="preserve"> </v>
      </c>
      <c r="J133" s="85" t="str" cm="1">
        <f t="array" ref="J133">IFERROR(VLOOKUP($A133,'The List'!$B1:$AS671,17,FALSE)," ")</f>
        <v xml:space="preserve"> </v>
      </c>
      <c r="K133" s="85" t="str" cm="1">
        <f t="array" ref="K133">IFERROR(VLOOKUP($A133,'The List'!$B1:$AS671,18,FALSE)," ")</f>
        <v xml:space="preserve"> </v>
      </c>
      <c r="L133" s="85" t="str" cm="1">
        <f t="array" ref="L133">IFERROR(VLOOKUP($A133,'The List'!$B1:$AS671,19,FALSE)," ")</f>
        <v xml:space="preserve"> </v>
      </c>
      <c r="M133" s="85" t="str" cm="1">
        <f t="array" ref="M133">IFERROR(VLOOKUP($A133,'The List'!$B1:$AS671,20,FALSE)," ")</f>
        <v xml:space="preserve"> </v>
      </c>
      <c r="N133" s="85" t="str" cm="1">
        <f t="array" ref="N133">IFERROR(VLOOKUP($A133,'The List'!$B1:$AS671,21,FALSE)," ")</f>
        <v xml:space="preserve"> </v>
      </c>
      <c r="O133" s="85" t="str" cm="1">
        <f t="array" ref="O133">IFERROR(VLOOKUP($A133,'The List'!$B1:$AS671,22,FALSE)," ")</f>
        <v xml:space="preserve"> </v>
      </c>
      <c r="P133" s="85" t="str" cm="1">
        <f t="array" ref="P133">IFERROR(VLOOKUP($A133,'The List'!$B1:$AS671,23,FALSE)," ")</f>
        <v xml:space="preserve"> </v>
      </c>
      <c r="Q133" s="85" t="str" cm="1">
        <f t="array" ref="Q133">IFERROR(VLOOKUP($A133,'The List'!$B1:$AS671,24,FALSE)," ")</f>
        <v xml:space="preserve"> </v>
      </c>
      <c r="R133" s="85" t="str" cm="1">
        <f t="array" ref="R133">IFERROR(VLOOKUP($A133,'The List'!$B1:$AS671,25,FALSE)," ")</f>
        <v xml:space="preserve"> </v>
      </c>
      <c r="S133" s="85" t="str" cm="1">
        <f t="array" ref="S133">IFERROR(VLOOKUP($A133,'The List'!$B1:$AS671,26,FALSE)," ")</f>
        <v xml:space="preserve"> </v>
      </c>
      <c r="T133" s="85" t="str" cm="1">
        <f t="array" ref="T133">IFERROR(VLOOKUP($A133,'The List'!$B1:$AS671,27,FALSE)," ")</f>
        <v xml:space="preserve"> </v>
      </c>
      <c r="U133" s="85" t="str" cm="1">
        <f t="array" ref="U133">IFERROR(VLOOKUP($A133,'The List'!$B1:$AS671,28,FALSE)," ")</f>
        <v xml:space="preserve"> </v>
      </c>
      <c r="V133" s="85" t="str" cm="1">
        <f t="array" ref="V133">IFERROR(VLOOKUP($A133,'The List'!$B1:$AS671,29,FALSE)," ")</f>
        <v xml:space="preserve"> </v>
      </c>
      <c r="W133" s="85" t="str" cm="1">
        <f t="array" ref="W133">IFERROR(VLOOKUP($A133,'The List'!$B1:$AS671,30,FALSE)," ")</f>
        <v xml:space="preserve"> </v>
      </c>
      <c r="X133" s="85" t="str" cm="1">
        <f t="array" ref="X133">IFERROR(VLOOKUP($A133,'The List'!$B1:$AS671,31,FALSE)," ")</f>
        <v xml:space="preserve"> </v>
      </c>
      <c r="Y133" s="85" t="str" cm="1">
        <f t="array" ref="Y133">IFERROR(VLOOKUP($A133,'The List'!$B1:$AS671,32,FALSE)," ")</f>
        <v xml:space="preserve"> </v>
      </c>
      <c r="Z133" s="85" t="str" cm="1">
        <f t="array" ref="Z133">IFERROR(VLOOKUP($A133,'The List'!$B1:$AS671,33,FALSE)," ")</f>
        <v xml:space="preserve"> </v>
      </c>
      <c r="AA133" s="86"/>
      <c r="AB133" s="91"/>
      <c r="AC133" s="91"/>
      <c r="AD133" s="91"/>
      <c r="AE133" s="91"/>
      <c r="AF133" s="91"/>
    </row>
    <row r="134" spans="1:32" ht="21.25" customHeight="1" x14ac:dyDescent="0.15">
      <c r="A134" s="24"/>
      <c r="B134" s="100" t="str" cm="1">
        <f t="array" ref="B134">IFERROR(VLOOKUP($A134,'The List'!$B1:$AS671,3,FALSE)," ")</f>
        <v xml:space="preserve"> </v>
      </c>
      <c r="C134" s="102" t="str" cm="1">
        <f t="array" ref="C134">IFERROR(VLOOKUP($A134,'The List'!$B1:$AS671,4,FALSE)," ")</f>
        <v xml:space="preserve"> </v>
      </c>
      <c r="D134" s="18" t="str" cm="1">
        <f t="array" ref="D134">IFERROR(VLOOKUP($A134,'The List'!$B1:$AS671,5,FALSE)," ")</f>
        <v xml:space="preserve"> </v>
      </c>
      <c r="E134" s="18" t="str" cm="1">
        <f t="array" ref="E134">IFERROR(VLOOKUP($A134,'The List'!$B1:$AS671,6,FALSE)," ")</f>
        <v xml:space="preserve"> </v>
      </c>
      <c r="F134" s="93" t="str" cm="1">
        <f t="array" ref="F134">IFERROR(VLOOKUP($A134,'The List'!$B1:$AS671,8,FALSE)," ")</f>
        <v xml:space="preserve"> </v>
      </c>
      <c r="G134" s="93" t="str" cm="1">
        <f t="array" ref="G134">IFERROR(VLOOKUP($A134,'The List'!$B1:$AS671,10,FALSE)," ")</f>
        <v xml:space="preserve"> </v>
      </c>
      <c r="H134" s="55"/>
      <c r="I134" s="85" t="str" cm="1">
        <f t="array" ref="I134">IFERROR(VLOOKUP($A134,'The List'!$B1:$AS671,16,FALSE)," ")</f>
        <v xml:space="preserve"> </v>
      </c>
      <c r="J134" s="85" t="str" cm="1">
        <f t="array" ref="J134">IFERROR(VLOOKUP($A134,'The List'!$B1:$AS671,17,FALSE)," ")</f>
        <v xml:space="preserve"> </v>
      </c>
      <c r="K134" s="85" t="str" cm="1">
        <f t="array" ref="K134">IFERROR(VLOOKUP($A134,'The List'!$B1:$AS671,18,FALSE)," ")</f>
        <v xml:space="preserve"> </v>
      </c>
      <c r="L134" s="85" t="str" cm="1">
        <f t="array" ref="L134">IFERROR(VLOOKUP($A134,'The List'!$B1:$AS671,19,FALSE)," ")</f>
        <v xml:space="preserve"> </v>
      </c>
      <c r="M134" s="85" t="str" cm="1">
        <f t="array" ref="M134">IFERROR(VLOOKUP($A134,'The List'!$B1:$AS671,20,FALSE)," ")</f>
        <v xml:space="preserve"> </v>
      </c>
      <c r="N134" s="85" t="str" cm="1">
        <f t="array" ref="N134">IFERROR(VLOOKUP($A134,'The List'!$B1:$AS671,21,FALSE)," ")</f>
        <v xml:space="preserve"> </v>
      </c>
      <c r="O134" s="85" t="str" cm="1">
        <f t="array" ref="O134">IFERROR(VLOOKUP($A134,'The List'!$B1:$AS671,22,FALSE)," ")</f>
        <v xml:space="preserve"> </v>
      </c>
      <c r="P134" s="85" t="str" cm="1">
        <f t="array" ref="P134">IFERROR(VLOOKUP($A134,'The List'!$B1:$AS671,23,FALSE)," ")</f>
        <v xml:space="preserve"> </v>
      </c>
      <c r="Q134" s="85" t="str" cm="1">
        <f t="array" ref="Q134">IFERROR(VLOOKUP($A134,'The List'!$B1:$AS671,24,FALSE)," ")</f>
        <v xml:space="preserve"> </v>
      </c>
      <c r="R134" s="85" t="str" cm="1">
        <f t="array" ref="R134">IFERROR(VLOOKUP($A134,'The List'!$B1:$AS671,25,FALSE)," ")</f>
        <v xml:space="preserve"> </v>
      </c>
      <c r="S134" s="85" t="str" cm="1">
        <f t="array" ref="S134">IFERROR(VLOOKUP($A134,'The List'!$B1:$AS671,26,FALSE)," ")</f>
        <v xml:space="preserve"> </v>
      </c>
      <c r="T134" s="85" t="str" cm="1">
        <f t="array" ref="T134">IFERROR(VLOOKUP($A134,'The List'!$B1:$AS671,27,FALSE)," ")</f>
        <v xml:space="preserve"> </v>
      </c>
      <c r="U134" s="85" t="str" cm="1">
        <f t="array" ref="U134">IFERROR(VLOOKUP($A134,'The List'!$B1:$AS671,28,FALSE)," ")</f>
        <v xml:space="preserve"> </v>
      </c>
      <c r="V134" s="85" t="str" cm="1">
        <f t="array" ref="V134">IFERROR(VLOOKUP($A134,'The List'!$B1:$AS671,29,FALSE)," ")</f>
        <v xml:space="preserve"> </v>
      </c>
      <c r="W134" s="85" t="str" cm="1">
        <f t="array" ref="W134">IFERROR(VLOOKUP($A134,'The List'!$B1:$AS671,30,FALSE)," ")</f>
        <v xml:space="preserve"> </v>
      </c>
      <c r="X134" s="85" t="str" cm="1">
        <f t="array" ref="X134">IFERROR(VLOOKUP($A134,'The List'!$B1:$AS671,31,FALSE)," ")</f>
        <v xml:space="preserve"> </v>
      </c>
      <c r="Y134" s="85" t="str" cm="1">
        <f t="array" ref="Y134">IFERROR(VLOOKUP($A134,'The List'!$B1:$AS671,32,FALSE)," ")</f>
        <v xml:space="preserve"> </v>
      </c>
      <c r="Z134" s="85" t="str" cm="1">
        <f t="array" ref="Z134">IFERROR(VLOOKUP($A134,'The List'!$B1:$AS671,33,FALSE)," ")</f>
        <v xml:space="preserve"> </v>
      </c>
      <c r="AA134" s="86"/>
      <c r="AB134" s="91"/>
      <c r="AC134" s="91"/>
      <c r="AD134" s="91"/>
      <c r="AE134" s="91"/>
      <c r="AF134" s="91"/>
    </row>
    <row r="135" spans="1:32" ht="21.25" customHeight="1" x14ac:dyDescent="0.15">
      <c r="A135" s="24"/>
      <c r="B135" s="100" t="str" cm="1">
        <f t="array" ref="B135">IFERROR(VLOOKUP($A135,'The List'!$B1:$AS671,3,FALSE)," ")</f>
        <v xml:space="preserve"> </v>
      </c>
      <c r="C135" s="102" t="str" cm="1">
        <f t="array" ref="C135">IFERROR(VLOOKUP($A135,'The List'!$B1:$AS671,4,FALSE)," ")</f>
        <v xml:space="preserve"> </v>
      </c>
      <c r="D135" s="18" t="str" cm="1">
        <f t="array" ref="D135">IFERROR(VLOOKUP($A135,'The List'!$B1:$AS671,5,FALSE)," ")</f>
        <v xml:space="preserve"> </v>
      </c>
      <c r="E135" s="18" t="str" cm="1">
        <f t="array" ref="E135">IFERROR(VLOOKUP($A135,'The List'!$B1:$AS671,6,FALSE)," ")</f>
        <v xml:space="preserve"> </v>
      </c>
      <c r="F135" s="93" t="str" cm="1">
        <f t="array" ref="F135">IFERROR(VLOOKUP($A135,'The List'!$B1:$AS671,8,FALSE)," ")</f>
        <v xml:space="preserve"> </v>
      </c>
      <c r="G135" s="93" t="str" cm="1">
        <f t="array" ref="G135">IFERROR(VLOOKUP($A135,'The List'!$B1:$AS671,10,FALSE)," ")</f>
        <v xml:space="preserve"> </v>
      </c>
      <c r="H135" s="55"/>
      <c r="I135" s="85" t="str" cm="1">
        <f t="array" ref="I135">IFERROR(VLOOKUP($A135,'The List'!$B1:$AS671,16,FALSE)," ")</f>
        <v xml:space="preserve"> </v>
      </c>
      <c r="J135" s="85" t="str" cm="1">
        <f t="array" ref="J135">IFERROR(VLOOKUP($A135,'The List'!$B1:$AS671,17,FALSE)," ")</f>
        <v xml:space="preserve"> </v>
      </c>
      <c r="K135" s="85" t="str" cm="1">
        <f t="array" ref="K135">IFERROR(VLOOKUP($A135,'The List'!$B1:$AS671,18,FALSE)," ")</f>
        <v xml:space="preserve"> </v>
      </c>
      <c r="L135" s="85" t="str" cm="1">
        <f t="array" ref="L135">IFERROR(VLOOKUP($A135,'The List'!$B1:$AS671,19,FALSE)," ")</f>
        <v xml:space="preserve"> </v>
      </c>
      <c r="M135" s="85" t="str" cm="1">
        <f t="array" ref="M135">IFERROR(VLOOKUP($A135,'The List'!$B1:$AS671,20,FALSE)," ")</f>
        <v xml:space="preserve"> </v>
      </c>
      <c r="N135" s="85" t="str" cm="1">
        <f t="array" ref="N135">IFERROR(VLOOKUP($A135,'The List'!$B1:$AS671,21,FALSE)," ")</f>
        <v xml:space="preserve"> </v>
      </c>
      <c r="O135" s="85" t="str" cm="1">
        <f t="array" ref="O135">IFERROR(VLOOKUP($A135,'The List'!$B1:$AS671,22,FALSE)," ")</f>
        <v xml:space="preserve"> </v>
      </c>
      <c r="P135" s="85" t="str" cm="1">
        <f t="array" ref="P135">IFERROR(VLOOKUP($A135,'The List'!$B1:$AS671,23,FALSE)," ")</f>
        <v xml:space="preserve"> </v>
      </c>
      <c r="Q135" s="85" t="str" cm="1">
        <f t="array" ref="Q135">IFERROR(VLOOKUP($A135,'The List'!$B1:$AS671,24,FALSE)," ")</f>
        <v xml:space="preserve"> </v>
      </c>
      <c r="R135" s="85" t="str" cm="1">
        <f t="array" ref="R135">IFERROR(VLOOKUP($A135,'The List'!$B1:$AS671,25,FALSE)," ")</f>
        <v xml:space="preserve"> </v>
      </c>
      <c r="S135" s="85" t="str" cm="1">
        <f t="array" ref="S135">IFERROR(VLOOKUP($A135,'The List'!$B1:$AS671,26,FALSE)," ")</f>
        <v xml:space="preserve"> </v>
      </c>
      <c r="T135" s="85" t="str" cm="1">
        <f t="array" ref="T135">IFERROR(VLOOKUP($A135,'The List'!$B1:$AS671,27,FALSE)," ")</f>
        <v xml:space="preserve"> </v>
      </c>
      <c r="U135" s="85" t="str" cm="1">
        <f t="array" ref="U135">IFERROR(VLOOKUP($A135,'The List'!$B1:$AS671,28,FALSE)," ")</f>
        <v xml:space="preserve"> </v>
      </c>
      <c r="V135" s="85" t="str" cm="1">
        <f t="array" ref="V135">IFERROR(VLOOKUP($A135,'The List'!$B1:$AS671,29,FALSE)," ")</f>
        <v xml:space="preserve"> </v>
      </c>
      <c r="W135" s="85" t="str" cm="1">
        <f t="array" ref="W135">IFERROR(VLOOKUP($A135,'The List'!$B1:$AS671,30,FALSE)," ")</f>
        <v xml:space="preserve"> </v>
      </c>
      <c r="X135" s="85" t="str" cm="1">
        <f t="array" ref="X135">IFERROR(VLOOKUP($A135,'The List'!$B1:$AS671,31,FALSE)," ")</f>
        <v xml:space="preserve"> </v>
      </c>
      <c r="Y135" s="85" t="str" cm="1">
        <f t="array" ref="Y135">IFERROR(VLOOKUP($A135,'The List'!$B1:$AS671,32,FALSE)," ")</f>
        <v xml:space="preserve"> </v>
      </c>
      <c r="Z135" s="85" t="str" cm="1">
        <f t="array" ref="Z135">IFERROR(VLOOKUP($A135,'The List'!$B1:$AS671,33,FALSE)," ")</f>
        <v xml:space="preserve"> </v>
      </c>
      <c r="AA135" s="86"/>
      <c r="AB135" s="91"/>
      <c r="AC135" s="91"/>
      <c r="AD135" s="91"/>
      <c r="AE135" s="91"/>
      <c r="AF135" s="91"/>
    </row>
    <row r="136" spans="1:32" ht="21.25" customHeight="1" x14ac:dyDescent="0.15">
      <c r="A136" s="24"/>
      <c r="B136" s="100" t="str" cm="1">
        <f t="array" ref="B136">IFERROR(VLOOKUP($A136,'The List'!$B1:$AS671,3,FALSE)," ")</f>
        <v xml:space="preserve"> </v>
      </c>
      <c r="C136" s="102" t="str" cm="1">
        <f t="array" ref="C136">IFERROR(VLOOKUP($A136,'The List'!$B1:$AS671,4,FALSE)," ")</f>
        <v xml:space="preserve"> </v>
      </c>
      <c r="D136" s="18" t="str" cm="1">
        <f t="array" ref="D136">IFERROR(VLOOKUP($A136,'The List'!$B1:$AS671,5,FALSE)," ")</f>
        <v xml:space="preserve"> </v>
      </c>
      <c r="E136" s="18" t="str" cm="1">
        <f t="array" ref="E136">IFERROR(VLOOKUP($A136,'The List'!$B1:$AS671,6,FALSE)," ")</f>
        <v xml:space="preserve"> </v>
      </c>
      <c r="F136" s="93" t="str" cm="1">
        <f t="array" ref="F136">IFERROR(VLOOKUP($A136,'The List'!$B1:$AS671,8,FALSE)," ")</f>
        <v xml:space="preserve"> </v>
      </c>
      <c r="G136" s="93" t="str" cm="1">
        <f t="array" ref="G136">IFERROR(VLOOKUP($A136,'The List'!$B1:$AS671,10,FALSE)," ")</f>
        <v xml:space="preserve"> </v>
      </c>
      <c r="H136" s="55"/>
      <c r="I136" s="85" t="str" cm="1">
        <f t="array" ref="I136">IFERROR(VLOOKUP($A136,'The List'!$B1:$AS671,16,FALSE)," ")</f>
        <v xml:space="preserve"> </v>
      </c>
      <c r="J136" s="85" t="str" cm="1">
        <f t="array" ref="J136">IFERROR(VLOOKUP($A136,'The List'!$B1:$AS671,17,FALSE)," ")</f>
        <v xml:space="preserve"> </v>
      </c>
      <c r="K136" s="85" t="str" cm="1">
        <f t="array" ref="K136">IFERROR(VLOOKUP($A136,'The List'!$B1:$AS671,18,FALSE)," ")</f>
        <v xml:space="preserve"> </v>
      </c>
      <c r="L136" s="85" t="str" cm="1">
        <f t="array" ref="L136">IFERROR(VLOOKUP($A136,'The List'!$B1:$AS671,19,FALSE)," ")</f>
        <v xml:space="preserve"> </v>
      </c>
      <c r="M136" s="85" t="str" cm="1">
        <f t="array" ref="M136">IFERROR(VLOOKUP($A136,'The List'!$B1:$AS671,20,FALSE)," ")</f>
        <v xml:space="preserve"> </v>
      </c>
      <c r="N136" s="85" t="str" cm="1">
        <f t="array" ref="N136">IFERROR(VLOOKUP($A136,'The List'!$B1:$AS671,21,FALSE)," ")</f>
        <v xml:space="preserve"> </v>
      </c>
      <c r="O136" s="85" t="str" cm="1">
        <f t="array" ref="O136">IFERROR(VLOOKUP($A136,'The List'!$B1:$AS671,22,FALSE)," ")</f>
        <v xml:space="preserve"> </v>
      </c>
      <c r="P136" s="85" t="str" cm="1">
        <f t="array" ref="P136">IFERROR(VLOOKUP($A136,'The List'!$B1:$AS671,23,FALSE)," ")</f>
        <v xml:space="preserve"> </v>
      </c>
      <c r="Q136" s="85" t="str" cm="1">
        <f t="array" ref="Q136">IFERROR(VLOOKUP($A136,'The List'!$B1:$AS671,24,FALSE)," ")</f>
        <v xml:space="preserve"> </v>
      </c>
      <c r="R136" s="85" t="str" cm="1">
        <f t="array" ref="R136">IFERROR(VLOOKUP($A136,'The List'!$B1:$AS671,25,FALSE)," ")</f>
        <v xml:space="preserve"> </v>
      </c>
      <c r="S136" s="85" t="str" cm="1">
        <f t="array" ref="S136">IFERROR(VLOOKUP($A136,'The List'!$B1:$AS671,26,FALSE)," ")</f>
        <v xml:space="preserve"> </v>
      </c>
      <c r="T136" s="85" t="str" cm="1">
        <f t="array" ref="T136">IFERROR(VLOOKUP($A136,'The List'!$B1:$AS671,27,FALSE)," ")</f>
        <v xml:space="preserve"> </v>
      </c>
      <c r="U136" s="85" t="str" cm="1">
        <f t="array" ref="U136">IFERROR(VLOOKUP($A136,'The List'!$B1:$AS671,28,FALSE)," ")</f>
        <v xml:space="preserve"> </v>
      </c>
      <c r="V136" s="85" t="str" cm="1">
        <f t="array" ref="V136">IFERROR(VLOOKUP($A136,'The List'!$B1:$AS671,29,FALSE)," ")</f>
        <v xml:space="preserve"> </v>
      </c>
      <c r="W136" s="85" t="str" cm="1">
        <f t="array" ref="W136">IFERROR(VLOOKUP($A136,'The List'!$B1:$AS671,30,FALSE)," ")</f>
        <v xml:space="preserve"> </v>
      </c>
      <c r="X136" s="85" t="str" cm="1">
        <f t="array" ref="X136">IFERROR(VLOOKUP($A136,'The List'!$B1:$AS671,31,FALSE)," ")</f>
        <v xml:space="preserve"> </v>
      </c>
      <c r="Y136" s="85" t="str" cm="1">
        <f t="array" ref="Y136">IFERROR(VLOOKUP($A136,'The List'!$B1:$AS671,32,FALSE)," ")</f>
        <v xml:space="preserve"> </v>
      </c>
      <c r="Z136" s="85" t="str" cm="1">
        <f t="array" ref="Z136">IFERROR(VLOOKUP($A136,'The List'!$B1:$AS671,33,FALSE)," ")</f>
        <v xml:space="preserve"> </v>
      </c>
      <c r="AA136" s="86"/>
      <c r="AB136" s="91"/>
      <c r="AC136" s="91"/>
      <c r="AD136" s="91"/>
      <c r="AE136" s="91"/>
      <c r="AF136" s="91"/>
    </row>
    <row r="137" spans="1:32" ht="21.25" customHeight="1" x14ac:dyDescent="0.15">
      <c r="A137" s="104"/>
      <c r="B137" s="105" t="str" cm="1">
        <f t="array" ref="B137">IFERROR(VLOOKUP($A137,'The List'!$B1:$AS671,3,FALSE)," ")</f>
        <v xml:space="preserve"> </v>
      </c>
      <c r="C137" s="106" t="str" cm="1">
        <f t="array" ref="C137">IFERROR(VLOOKUP($A137,'The List'!$B1:$AS671,4,FALSE)," ")</f>
        <v xml:space="preserve"> </v>
      </c>
      <c r="D137" s="107" t="str" cm="1">
        <f t="array" ref="D137">IFERROR(VLOOKUP($A137,'The List'!$B1:$AS671,5,FALSE)," ")</f>
        <v xml:space="preserve"> </v>
      </c>
      <c r="E137" s="107" t="str" cm="1">
        <f t="array" ref="E137">IFERROR(VLOOKUP($A137,'The List'!$B1:$AS671,6,FALSE)," ")</f>
        <v xml:space="preserve"> </v>
      </c>
      <c r="F137" s="108" t="str" cm="1">
        <f t="array" ref="F137">IFERROR(VLOOKUP($A137,'The List'!$B1:$AS671,8,FALSE)," ")</f>
        <v xml:space="preserve"> </v>
      </c>
      <c r="G137" s="108" t="str" cm="1">
        <f t="array" ref="G137">IFERROR(VLOOKUP($A137,'The List'!$B1:$AS671,10,FALSE)," ")</f>
        <v xml:space="preserve"> </v>
      </c>
      <c r="H137" s="109"/>
      <c r="I137" s="110" t="str" cm="1">
        <f t="array" ref="I137">IFERROR(VLOOKUP($A137,'The List'!$B1:$AS671,16,FALSE)," ")</f>
        <v xml:space="preserve"> </v>
      </c>
      <c r="J137" s="110" t="str" cm="1">
        <f t="array" ref="J137">IFERROR(VLOOKUP($A137,'The List'!$B1:$AS671,17,FALSE)," ")</f>
        <v xml:space="preserve"> </v>
      </c>
      <c r="K137" s="110" t="str" cm="1">
        <f t="array" ref="K137">IFERROR(VLOOKUP($A137,'The List'!$B1:$AS671,18,FALSE)," ")</f>
        <v xml:space="preserve"> </v>
      </c>
      <c r="L137" s="110" t="str" cm="1">
        <f t="array" ref="L137">IFERROR(VLOOKUP($A137,'The List'!$B1:$AS671,19,FALSE)," ")</f>
        <v xml:space="preserve"> </v>
      </c>
      <c r="M137" s="110" t="str" cm="1">
        <f t="array" ref="M137">IFERROR(VLOOKUP($A137,'The List'!$B1:$AS671,20,FALSE)," ")</f>
        <v xml:space="preserve"> </v>
      </c>
      <c r="N137" s="110" t="str" cm="1">
        <f t="array" ref="N137">IFERROR(VLOOKUP($A137,'The List'!$B1:$AS671,21,FALSE)," ")</f>
        <v xml:space="preserve"> </v>
      </c>
      <c r="O137" s="110" t="str" cm="1">
        <f t="array" ref="O137">IFERROR(VLOOKUP($A137,'The List'!$B1:$AS671,22,FALSE)," ")</f>
        <v xml:space="preserve"> </v>
      </c>
      <c r="P137" s="110" t="str" cm="1">
        <f t="array" ref="P137">IFERROR(VLOOKUP($A137,'The List'!$B1:$AS671,23,FALSE)," ")</f>
        <v xml:space="preserve"> </v>
      </c>
      <c r="Q137" s="110" t="str" cm="1">
        <f t="array" ref="Q137">IFERROR(VLOOKUP($A137,'The List'!$B1:$AS671,24,FALSE)," ")</f>
        <v xml:space="preserve"> </v>
      </c>
      <c r="R137" s="110" t="str" cm="1">
        <f t="array" ref="R137">IFERROR(VLOOKUP($A137,'The List'!$B1:$AS671,25,FALSE)," ")</f>
        <v xml:space="preserve"> </v>
      </c>
      <c r="S137" s="110" t="str" cm="1">
        <f t="array" ref="S137">IFERROR(VLOOKUP($A137,'The List'!$B1:$AS671,26,FALSE)," ")</f>
        <v xml:space="preserve"> </v>
      </c>
      <c r="T137" s="110" t="str" cm="1">
        <f t="array" ref="T137">IFERROR(VLOOKUP($A137,'The List'!$B1:$AS671,27,FALSE)," ")</f>
        <v xml:space="preserve"> </v>
      </c>
      <c r="U137" s="110" t="str" cm="1">
        <f t="array" ref="U137">IFERROR(VLOOKUP($A137,'The List'!$B1:$AS671,28,FALSE)," ")</f>
        <v xml:space="preserve"> </v>
      </c>
      <c r="V137" s="110" t="str" cm="1">
        <f t="array" ref="V137">IFERROR(VLOOKUP($A137,'The List'!$B1:$AS671,29,FALSE)," ")</f>
        <v xml:space="preserve"> </v>
      </c>
      <c r="W137" s="110" t="str" cm="1">
        <f t="array" ref="W137">IFERROR(VLOOKUP($A137,'The List'!$B1:$AS671,30,FALSE)," ")</f>
        <v xml:space="preserve"> </v>
      </c>
      <c r="X137" s="110" t="str" cm="1">
        <f t="array" ref="X137">IFERROR(VLOOKUP($A137,'The List'!$B1:$AS671,31,FALSE)," ")</f>
        <v xml:space="preserve"> </v>
      </c>
      <c r="Y137" s="110" t="str" cm="1">
        <f t="array" ref="Y137">IFERROR(VLOOKUP($A137,'The List'!$B1:$AS671,32,FALSE)," ")</f>
        <v xml:space="preserve"> </v>
      </c>
      <c r="Z137" s="110" t="str" cm="1">
        <f t="array" ref="Z137">IFERROR(VLOOKUP($A137,'The List'!$B1:$AS671,33,FALSE)," ")</f>
        <v xml:space="preserve"> </v>
      </c>
      <c r="AA137" s="86"/>
      <c r="AB137" s="91"/>
      <c r="AC137" s="91"/>
      <c r="AD137" s="91"/>
      <c r="AE137" s="91"/>
      <c r="AF137" s="91"/>
    </row>
    <row r="138" spans="1:32" ht="21.25" customHeight="1" x14ac:dyDescent="0.15">
      <c r="A138" s="111"/>
      <c r="B138" s="112"/>
      <c r="C138" s="113"/>
      <c r="D138" s="114"/>
      <c r="E138" s="114" t="str" cm="1">
        <f t="array" ref="E138">IFERROR(AVERAGE(E118:E137)," ")</f>
        <v xml:space="preserve"> </v>
      </c>
      <c r="F138" s="116" cm="1">
        <f t="array" ref="F138">SUM(F118:F137)</f>
        <v>0</v>
      </c>
      <c r="G138" s="116" cm="1">
        <f t="array" ref="G138">SUM(G118:G137)</f>
        <v>0</v>
      </c>
      <c r="H138" s="117"/>
      <c r="I138" s="118" cm="1">
        <f t="array" ref="I138">SUM(I118:I137)</f>
        <v>0</v>
      </c>
      <c r="J138" s="117" t="e" cm="1">
        <f t="array" ref="J138">AVERAGE(J118:J137)</f>
        <v>#DIV/0!</v>
      </c>
      <c r="K138" s="118" cm="1">
        <f t="array" ref="K138">SUM(K118:K137)</f>
        <v>0</v>
      </c>
      <c r="L138" s="118" cm="1">
        <f t="array" ref="L138">SUM(L118:L137)</f>
        <v>0</v>
      </c>
      <c r="M138" s="118" cm="1">
        <f t="array" ref="M138">SUM(M118:M137)</f>
        <v>0</v>
      </c>
      <c r="N138" s="118" cm="1">
        <f t="array" ref="N138">SUM(N118:N137)</f>
        <v>0</v>
      </c>
      <c r="O138" s="118" cm="1">
        <f t="array" ref="O138">SUM(O118:O137)</f>
        <v>0</v>
      </c>
      <c r="P138" s="118" cm="1">
        <f t="array" ref="P138">SUM(P118:P137)</f>
        <v>0</v>
      </c>
      <c r="Q138" s="118" cm="1">
        <f t="array" ref="Q138">SUM(Q118:Q137)</f>
        <v>0</v>
      </c>
      <c r="R138" s="118" cm="1">
        <f t="array" ref="R138">SUM(R118:R137)</f>
        <v>0</v>
      </c>
      <c r="S138" s="118" cm="1">
        <f t="array" ref="S138">SUM(S118:S137)</f>
        <v>0</v>
      </c>
      <c r="T138" s="118" cm="1">
        <f t="array" ref="T138">SUM(T118:T137)</f>
        <v>0</v>
      </c>
      <c r="U138" s="118" cm="1">
        <f t="array" ref="U138">SUM(U118:U137)</f>
        <v>0</v>
      </c>
      <c r="V138" s="118" cm="1">
        <f t="array" ref="V138">SUM(V118:V137)</f>
        <v>0</v>
      </c>
      <c r="W138" s="118" cm="1">
        <f t="array" ref="W138">SUM(W118:W137)</f>
        <v>0</v>
      </c>
      <c r="X138" s="118" cm="1">
        <f t="array" ref="X138">SUM(X118:X137)</f>
        <v>0</v>
      </c>
      <c r="Y138" s="118" cm="1">
        <f t="array" ref="Y138">SUM(Y118:Y137)</f>
        <v>0</v>
      </c>
      <c r="Z138" s="119" cm="1">
        <f t="array" ref="Z138">IFERROR(X138/(X138+Y138),0)</f>
        <v>0</v>
      </c>
      <c r="AA138" s="86"/>
      <c r="AB138" s="120"/>
      <c r="AC138" s="120"/>
      <c r="AD138" s="120"/>
      <c r="AE138" s="120"/>
      <c r="AF138" s="120"/>
    </row>
    <row r="139" spans="1:32" ht="21.25" customHeight="1" x14ac:dyDescent="0.15">
      <c r="A139" s="37"/>
      <c r="B139" s="121"/>
      <c r="C139" s="122"/>
      <c r="D139" s="13"/>
      <c r="E139" s="13"/>
      <c r="F139" s="123"/>
      <c r="G139" s="124"/>
      <c r="H139" s="125"/>
      <c r="I139" s="12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91"/>
      <c r="AC139" s="91"/>
      <c r="AD139" s="91"/>
      <c r="AE139" s="91"/>
      <c r="AF139" s="91"/>
    </row>
    <row r="140" spans="1:32" ht="21.25" customHeight="1" x14ac:dyDescent="0.15">
      <c r="A140" s="40" t="s">
        <v>91</v>
      </c>
      <c r="B140" s="205" t="s">
        <v>93</v>
      </c>
      <c r="C140" s="197"/>
      <c r="D140" s="127" t="s">
        <v>94</v>
      </c>
      <c r="E140" s="127" t="s">
        <v>95</v>
      </c>
      <c r="F140" s="128" t="s">
        <v>97</v>
      </c>
      <c r="G140" s="128" t="s">
        <v>99</v>
      </c>
      <c r="H140" s="129"/>
      <c r="I140" s="130" t="s">
        <v>104</v>
      </c>
      <c r="J140" s="130" t="s">
        <v>119</v>
      </c>
      <c r="K140" s="130" t="s">
        <v>120</v>
      </c>
      <c r="L140" s="130" t="s">
        <v>121</v>
      </c>
      <c r="M140" s="130" t="s">
        <v>122</v>
      </c>
      <c r="N140" s="130" t="s">
        <v>123</v>
      </c>
      <c r="O140" s="130" t="s">
        <v>124</v>
      </c>
      <c r="P140" s="130" t="s">
        <v>125</v>
      </c>
      <c r="Q140" s="130" t="s">
        <v>126</v>
      </c>
      <c r="R140" s="86"/>
      <c r="S140" s="86"/>
      <c r="T140" s="86"/>
      <c r="U140" s="205" t="s">
        <v>818</v>
      </c>
      <c r="V140" s="206"/>
      <c r="W140" s="206"/>
      <c r="X140" s="205" t="s">
        <v>819</v>
      </c>
      <c r="Y140" s="206"/>
      <c r="Z140" s="206"/>
      <c r="AA140" s="86"/>
      <c r="AB140" s="86"/>
      <c r="AC140" s="86"/>
      <c r="AD140" s="86"/>
      <c r="AE140" s="86"/>
      <c r="AF140" s="86"/>
    </row>
    <row r="141" spans="1:32" ht="21.25" customHeight="1" x14ac:dyDescent="0.15">
      <c r="A141" s="147"/>
      <c r="B141" s="132" t="str" cm="1">
        <f t="array" ref="B141">IFERROR(VLOOKUP($A141,'The List'!$B1:$AS671,3,FALSE)," ")</f>
        <v xml:space="preserve"> </v>
      </c>
      <c r="C141" s="148" t="str" cm="1">
        <f t="array" ref="C141">IFERROR(VLOOKUP($A141,'The List'!$B1:$AS671,4,FALSE)," ")</f>
        <v xml:space="preserve"> </v>
      </c>
      <c r="D141" s="134" t="str" cm="1">
        <f t="array" ref="D141">IFERROR(VLOOKUP($A141,'The List'!$B1:$AS671,5,FALSE)," ")</f>
        <v xml:space="preserve"> </v>
      </c>
      <c r="E141" s="134" t="str" cm="1">
        <f t="array" ref="E141">IFERROR(VLOOKUP($A141,'The List'!$B1:$AS671,6,FALSE)," ")</f>
        <v xml:space="preserve"> </v>
      </c>
      <c r="F141" s="149" t="str" cm="1">
        <f t="array" ref="F141">IFERROR(VLOOKUP($A141,'The List'!$B1:$AS671,8,FALSE)," ")</f>
        <v xml:space="preserve"> </v>
      </c>
      <c r="G141" s="149" t="str" cm="1">
        <f t="array" ref="G141">IFERROR(VLOOKUP($A141,'The List'!$B1:$AS671,10,FALSE)," ")</f>
        <v xml:space="preserve"> </v>
      </c>
      <c r="H141" s="83"/>
      <c r="I141" s="150" t="str" cm="1">
        <f t="array" ref="I141">IFERROR(VLOOKUP($A141,'The List'!$B1:$AS671,35,FALSE)," ")</f>
        <v xml:space="preserve"> </v>
      </c>
      <c r="J141" s="150" t="str" cm="1">
        <f t="array" ref="J141">IFERROR(VLOOKUP($A141,'The List'!$B1:$AS671,36,FALSE)," ")</f>
        <v xml:space="preserve"> </v>
      </c>
      <c r="K141" s="150" t="str" cm="1">
        <f t="array" ref="K141">IFERROR(VLOOKUP($A141,'The List'!$B1:$AS671,37,FALSE)," ")</f>
        <v xml:space="preserve"> </v>
      </c>
      <c r="L141" s="150" t="str" cm="1">
        <f t="array" ref="L141">IFERROR(VLOOKUP($A141,'The List'!$B1:$AS671,38,FALSE)," ")</f>
        <v xml:space="preserve"> </v>
      </c>
      <c r="M141" s="150" t="str" cm="1">
        <f t="array" ref="M141">IFERROR(VLOOKUP($A141,'The List'!$B1:$AS671,39,FALSE)," ")</f>
        <v xml:space="preserve"> </v>
      </c>
      <c r="N141" s="150" t="str" cm="1">
        <f t="array" ref="N141">IFERROR(VLOOKUP($A141,'The List'!$B1:$AS671,40,FALSE)," ")</f>
        <v xml:space="preserve"> </v>
      </c>
      <c r="O141" s="150" t="str" cm="1">
        <f t="array" ref="O141">IFERROR(VLOOKUP($A141,'The List'!$B1:$AS671,41,FALSE)," ")</f>
        <v xml:space="preserve"> </v>
      </c>
      <c r="P141" s="150" t="str" cm="1">
        <f t="array" ref="P141">IFERROR(VLOOKUP($A141,'The List'!$B1:$AS671,42,FALSE)," ")</f>
        <v xml:space="preserve"> </v>
      </c>
      <c r="Q141" s="150" t="str" cm="1">
        <f t="array" ref="Q141">IFERROR(VLOOKUP($A141,'The List'!$B1:$AS671,43,FALSE)," ")</f>
        <v xml:space="preserve"> </v>
      </c>
      <c r="R141" s="86"/>
      <c r="S141" s="86"/>
      <c r="T141" s="140" t="str" cm="1">
        <f t="array" ref="T141">A117</f>
        <v>TEAM 5</v>
      </c>
      <c r="U141" s="207" cm="1">
        <f t="array" ref="U141">F138+F144</f>
        <v>0</v>
      </c>
      <c r="V141" s="197"/>
      <c r="W141" s="197"/>
      <c r="X141" s="207" cm="1">
        <f t="array" ref="X141">G144+G138</f>
        <v>0</v>
      </c>
      <c r="Y141" s="197"/>
      <c r="Z141" s="197"/>
      <c r="AA141" s="86"/>
      <c r="AB141" s="86"/>
      <c r="AC141" s="86"/>
      <c r="AD141" s="86"/>
      <c r="AE141" s="86"/>
      <c r="AF141" s="86"/>
    </row>
    <row r="142" spans="1:32" ht="21.25" customHeight="1" x14ac:dyDescent="0.15">
      <c r="A142" s="24"/>
      <c r="B142" s="141" t="str" cm="1">
        <f t="array" ref="B142">IFERROR(VLOOKUP($A142,'The List'!$B1:$AS671,3,FALSE)," ")</f>
        <v xml:space="preserve"> </v>
      </c>
      <c r="C142" s="142" t="str" cm="1">
        <f t="array" ref="C142">IFERROR(VLOOKUP($A142,'The List'!$B1:$AS671,4,FALSE)," ")</f>
        <v xml:space="preserve"> </v>
      </c>
      <c r="D142" s="18" t="str" cm="1">
        <f t="array" ref="D142">IFERROR(VLOOKUP($A142,'The List'!$B1:$AS671,5,FALSE)," ")</f>
        <v xml:space="preserve"> </v>
      </c>
      <c r="E142" s="18" t="str" cm="1">
        <f t="array" ref="E142">IFERROR(VLOOKUP($A142,'The List'!$B1:$AS671,6,FALSE)," ")</f>
        <v xml:space="preserve"> </v>
      </c>
      <c r="F142" s="93" t="str" cm="1">
        <f t="array" ref="F142">IFERROR(VLOOKUP($A142,'The List'!$B1:$AS671,8,FALSE)," ")</f>
        <v xml:space="preserve"> </v>
      </c>
      <c r="G142" s="93" t="str" cm="1">
        <f t="array" ref="G142">IFERROR(VLOOKUP($A142,'The List'!$B1:$AS671,10,FALSE)," ")</f>
        <v xml:space="preserve"> </v>
      </c>
      <c r="H142" s="55"/>
      <c r="I142" s="85" t="str" cm="1">
        <f t="array" ref="I142">IFERROR(VLOOKUP($A142,'The List'!$B1:$AS671,35,FALSE)," ")</f>
        <v xml:space="preserve"> </v>
      </c>
      <c r="J142" s="85" t="str" cm="1">
        <f t="array" ref="J142">IFERROR(VLOOKUP($A142,'The List'!$B1:$AS671,36,FALSE)," ")</f>
        <v xml:space="preserve"> </v>
      </c>
      <c r="K142" s="85" t="str" cm="1">
        <f t="array" ref="K142">IFERROR(VLOOKUP($A142,'The List'!$B1:$AS671,37,FALSE)," ")</f>
        <v xml:space="preserve"> </v>
      </c>
      <c r="L142" s="85" t="str" cm="1">
        <f t="array" ref="L142">IFERROR(VLOOKUP($A142,'The List'!$B1:$AS671,38,FALSE)," ")</f>
        <v xml:space="preserve"> </v>
      </c>
      <c r="M142" s="85" t="str" cm="1">
        <f t="array" ref="M142">IFERROR(VLOOKUP($A142,'The List'!$B1:$AS671,39,FALSE)," ")</f>
        <v xml:space="preserve"> </v>
      </c>
      <c r="N142" s="85" t="str" cm="1">
        <f t="array" ref="N142">IFERROR(VLOOKUP($A142,'The List'!$B1:$AS671,40,FALSE)," ")</f>
        <v xml:space="preserve"> </v>
      </c>
      <c r="O142" s="85" t="str" cm="1">
        <f t="array" ref="O142">IFERROR(VLOOKUP($A142,'The List'!$B1:$AS671,41,FALSE)," ")</f>
        <v xml:space="preserve"> </v>
      </c>
      <c r="P142" s="85" t="str" cm="1">
        <f t="array" ref="P142">IFERROR(VLOOKUP($A142,'The List'!$B1:$AS671,42,FALSE)," ")</f>
        <v xml:space="preserve"> </v>
      </c>
      <c r="Q142" s="85" t="str" cm="1">
        <f t="array" ref="Q142">IFERROR(VLOOKUP($A142,'The List'!$B1:$AS671,43,FALSE)," ")</f>
        <v xml:space="preserve"> </v>
      </c>
      <c r="R142" s="86"/>
      <c r="S142" s="86"/>
      <c r="T142" s="86"/>
      <c r="U142" s="197"/>
      <c r="V142" s="197"/>
      <c r="W142" s="197"/>
      <c r="X142" s="197"/>
      <c r="Y142" s="197"/>
      <c r="Z142" s="197"/>
      <c r="AA142" s="86"/>
      <c r="AB142" s="86"/>
      <c r="AC142" s="86"/>
      <c r="AD142" s="86"/>
      <c r="AE142" s="86"/>
      <c r="AF142" s="86"/>
    </row>
    <row r="143" spans="1:32" ht="21.25" customHeight="1" x14ac:dyDescent="0.15">
      <c r="A143" s="104"/>
      <c r="B143" s="143" t="str" cm="1">
        <f t="array" ref="B143">IFERROR(VLOOKUP($A143,'The List'!$B1:$AS671,3,FALSE)," ")</f>
        <v xml:space="preserve"> </v>
      </c>
      <c r="C143" s="144" t="str" cm="1">
        <f t="array" ref="C143">IFERROR(VLOOKUP($A143,'The List'!$B1:$AS671,4,FALSE)," ")</f>
        <v xml:space="preserve"> </v>
      </c>
      <c r="D143" s="107" t="str" cm="1">
        <f t="array" ref="D143">IFERROR(VLOOKUP($A143,'The List'!$B1:$AS671,5,FALSE)," ")</f>
        <v xml:space="preserve"> </v>
      </c>
      <c r="E143" s="107" t="str" cm="1">
        <f t="array" ref="E143">IFERROR(VLOOKUP($A143,'The List'!$B1:$AS671,6,FALSE)," ")</f>
        <v xml:space="preserve"> </v>
      </c>
      <c r="F143" s="108" t="str" cm="1">
        <f t="array" ref="F143">IFERROR(VLOOKUP($A143,'The List'!$B1:$AS671,8,FALSE)," ")</f>
        <v xml:space="preserve"> </v>
      </c>
      <c r="G143" s="108" t="str" cm="1">
        <f t="array" ref="G143">IFERROR(VLOOKUP($A143,'The List'!$B1:$AS671,10,FALSE)," ")</f>
        <v xml:space="preserve"> </v>
      </c>
      <c r="H143" s="109"/>
      <c r="I143" s="110" t="str" cm="1">
        <f t="array" ref="I143">IFERROR(VLOOKUP($A143,'The List'!$B1:$AS671,35,FALSE)," ")</f>
        <v xml:space="preserve"> </v>
      </c>
      <c r="J143" s="110" t="str" cm="1">
        <f t="array" ref="J143">IFERROR(VLOOKUP($A143,'The List'!$B1:$AS671,36,FALSE)," ")</f>
        <v xml:space="preserve"> </v>
      </c>
      <c r="K143" s="110" t="str" cm="1">
        <f t="array" ref="K143">IFERROR(VLOOKUP($A143,'The List'!$B1:$AS671,37,FALSE)," ")</f>
        <v xml:space="preserve"> </v>
      </c>
      <c r="L143" s="110" t="str" cm="1">
        <f t="array" ref="L143">IFERROR(VLOOKUP($A143,'The List'!$B1:$AS671,38,FALSE)," ")</f>
        <v xml:space="preserve"> </v>
      </c>
      <c r="M143" s="110" t="str" cm="1">
        <f t="array" ref="M143">IFERROR(VLOOKUP($A143,'The List'!$B1:$AS671,39,FALSE)," ")</f>
        <v xml:space="preserve"> </v>
      </c>
      <c r="N143" s="110" t="str" cm="1">
        <f t="array" ref="N143">IFERROR(VLOOKUP($A143,'The List'!$B1:$AS671,40,FALSE)," ")</f>
        <v xml:space="preserve"> </v>
      </c>
      <c r="O143" s="110" t="str" cm="1">
        <f t="array" ref="O143">IFERROR(VLOOKUP($A143,'The List'!$B1:$AS671,41,FALSE)," ")</f>
        <v xml:space="preserve"> </v>
      </c>
      <c r="P143" s="110" t="str" cm="1">
        <f t="array" ref="P143">IFERROR(VLOOKUP($A143,'The List'!$B1:$AS671,42,FALSE)," ")</f>
        <v xml:space="preserve"> </v>
      </c>
      <c r="Q143" s="110" t="str" cm="1">
        <f t="array" ref="Q143">IFERROR(VLOOKUP($A143,'The List'!$B1:$AS671,43,FALSE)," ")</f>
        <v xml:space="preserve"> </v>
      </c>
      <c r="R143" s="86"/>
      <c r="S143" s="86"/>
      <c r="T143" s="86"/>
      <c r="U143" s="197"/>
      <c r="V143" s="197"/>
      <c r="W143" s="197"/>
      <c r="X143" s="197"/>
      <c r="Y143" s="197"/>
      <c r="Z143" s="197"/>
      <c r="AA143" s="86"/>
      <c r="AB143" s="86"/>
      <c r="AC143" s="86"/>
      <c r="AD143" s="86"/>
      <c r="AE143" s="86"/>
      <c r="AF143" s="86"/>
    </row>
    <row r="144" spans="1:32" ht="21.25" customHeight="1" x14ac:dyDescent="0.15">
      <c r="A144" s="111"/>
      <c r="B144" s="112"/>
      <c r="C144" s="113"/>
      <c r="D144" s="114"/>
      <c r="E144" s="114" t="str" cm="1">
        <f t="array" ref="E144">IFERROR(AVERAGE(E141:E143)," ")</f>
        <v xml:space="preserve"> </v>
      </c>
      <c r="F144" s="116" cm="1">
        <f t="array" ref="F144">SUM(F141:F143)</f>
        <v>0</v>
      </c>
      <c r="G144" s="116" cm="1">
        <f t="array" ref="G144">SUM(G141:G143)</f>
        <v>0</v>
      </c>
      <c r="H144" s="117"/>
      <c r="I144" s="118" cm="1">
        <f t="array" ref="I144">SUM(I141:I143)</f>
        <v>0</v>
      </c>
      <c r="J144" s="117" cm="1">
        <f t="array" ref="J144">SUM(J141:J143)</f>
        <v>0</v>
      </c>
      <c r="K144" s="118" cm="1">
        <f t="array" ref="K144">SUM(K141:K143)</f>
        <v>0</v>
      </c>
      <c r="L144" s="118" cm="1">
        <f t="array" ref="L144">SUM(L141:L143)</f>
        <v>0</v>
      </c>
      <c r="M144" s="118" cm="1">
        <f t="array" ref="M144">SUM(M141:M143)</f>
        <v>0</v>
      </c>
      <c r="N144" s="118" cm="1">
        <f t="array" ref="N144">SUM(N141:N143)</f>
        <v>0</v>
      </c>
      <c r="O144" s="118" cm="1">
        <f t="array" ref="O144">SUM(O141:O143)</f>
        <v>0</v>
      </c>
      <c r="P144" s="145" t="e" cm="1">
        <f t="array" ref="P144">1-(O144/(N144+O144))</f>
        <v>#DIV/0!</v>
      </c>
      <c r="Q144" s="146" t="e" cm="1">
        <f t="array" ref="Q144">O144/I144</f>
        <v>#DIV/0!</v>
      </c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</row>
    <row r="145" spans="1:32" ht="70.75" customHeight="1" x14ac:dyDescent="0.15">
      <c r="A145" s="37"/>
      <c r="B145" s="121"/>
      <c r="C145" s="122"/>
      <c r="D145" s="13"/>
      <c r="E145" s="13"/>
      <c r="F145" s="123"/>
      <c r="G145" s="124"/>
      <c r="H145" s="125"/>
      <c r="I145" s="12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91"/>
      <c r="AB145" s="91"/>
      <c r="AC145" s="91"/>
      <c r="AD145" s="91"/>
      <c r="AE145" s="91"/>
      <c r="AF145" s="91"/>
    </row>
    <row r="146" spans="1:32" ht="21.25" customHeight="1" x14ac:dyDescent="0.15">
      <c r="A146" s="41" t="s">
        <v>807</v>
      </c>
      <c r="B146" s="194" t="s">
        <v>93</v>
      </c>
      <c r="C146" s="195"/>
      <c r="D146" s="42" t="s">
        <v>94</v>
      </c>
      <c r="E146" s="42" t="s">
        <v>95</v>
      </c>
      <c r="F146" s="43" t="s">
        <v>97</v>
      </c>
      <c r="G146" s="43" t="s">
        <v>99</v>
      </c>
      <c r="H146" s="44"/>
      <c r="I146" s="46" t="s">
        <v>104</v>
      </c>
      <c r="J146" s="46" t="s">
        <v>56</v>
      </c>
      <c r="K146" s="46" t="s">
        <v>105</v>
      </c>
      <c r="L146" s="46" t="s">
        <v>106</v>
      </c>
      <c r="M146" s="46" t="s">
        <v>107</v>
      </c>
      <c r="N146" s="46" t="s">
        <v>108</v>
      </c>
      <c r="O146" s="46" t="s">
        <v>64</v>
      </c>
      <c r="P146" s="46" t="s">
        <v>68</v>
      </c>
      <c r="Q146" s="46" t="s">
        <v>109</v>
      </c>
      <c r="R146" s="46" t="s">
        <v>110</v>
      </c>
      <c r="S146" s="46" t="s">
        <v>111</v>
      </c>
      <c r="T146" s="46" t="s">
        <v>112</v>
      </c>
      <c r="U146" s="46" t="s">
        <v>113</v>
      </c>
      <c r="V146" s="46" t="s">
        <v>114</v>
      </c>
      <c r="W146" s="46" t="s">
        <v>115</v>
      </c>
      <c r="X146" s="46" t="s">
        <v>116</v>
      </c>
      <c r="Y146" s="46" t="s">
        <v>117</v>
      </c>
      <c r="Z146" s="46" t="s">
        <v>118</v>
      </c>
      <c r="AA146" s="86"/>
      <c r="AB146" s="87"/>
      <c r="AC146" s="87"/>
      <c r="AD146" s="87"/>
      <c r="AE146" s="87"/>
      <c r="AF146" s="87"/>
    </row>
    <row r="147" spans="1:32" ht="21.25" customHeight="1" x14ac:dyDescent="0.15">
      <c r="A147" s="24"/>
      <c r="B147" s="88" t="str" cm="1">
        <f t="array" ref="B147">IFERROR(VLOOKUP($A147,'The List'!$B1:$AS671,3,FALSE)," ")</f>
        <v xml:space="preserve"> </v>
      </c>
      <c r="C147" s="92" t="str" cm="1">
        <f t="array" ref="C147">IFERROR(VLOOKUP($A147,'The List'!$B1:$AS671,4,FALSE)," ")</f>
        <v xml:space="preserve"> </v>
      </c>
      <c r="D147" s="18" t="str" cm="1">
        <f t="array" ref="D147">IFERROR(VLOOKUP($A147,'The List'!$B1:$AS671,5,FALSE)," ")</f>
        <v xml:space="preserve"> </v>
      </c>
      <c r="E147" s="18" t="str" cm="1">
        <f t="array" ref="E147">IFERROR(VLOOKUP($A147,'The List'!$B1:$AS671,6,FALSE)," ")</f>
        <v xml:space="preserve"> </v>
      </c>
      <c r="F147" s="93" t="str" cm="1">
        <f t="array" ref="F147">IFERROR(VLOOKUP($A147,'The List'!$B1:$AS671,8,FALSE)," ")</f>
        <v xml:space="preserve"> </v>
      </c>
      <c r="G147" s="93" t="str" cm="1">
        <f t="array" ref="G147">IFERROR(VLOOKUP($A147,'The List'!$B1:$AS671,10,FALSE)," ")</f>
        <v xml:space="preserve"> </v>
      </c>
      <c r="H147" s="55"/>
      <c r="I147" s="85" t="str" cm="1">
        <f t="array" ref="I147">IFERROR(VLOOKUP($A147,'The List'!$B1:$AS671,16,FALSE)," ")</f>
        <v xml:space="preserve"> </v>
      </c>
      <c r="J147" s="85" t="str" cm="1">
        <f t="array" ref="J147">IFERROR(VLOOKUP($A147,'The List'!$B1:$AS671,17,FALSE)," ")</f>
        <v xml:space="preserve"> </v>
      </c>
      <c r="K147" s="85" t="str" cm="1">
        <f t="array" ref="K147">IFERROR(VLOOKUP($A147,'The List'!$B1:$AS671,18,FALSE)," ")</f>
        <v xml:space="preserve"> </v>
      </c>
      <c r="L147" s="85" t="str" cm="1">
        <f t="array" ref="L147">IFERROR(VLOOKUP($A147,'The List'!$B1:$AS671,19,FALSE)," ")</f>
        <v xml:space="preserve"> </v>
      </c>
      <c r="M147" s="85" t="str" cm="1">
        <f t="array" ref="M147">IFERROR(VLOOKUP($A147,'The List'!$B1:$AS671,20,FALSE)," ")</f>
        <v xml:space="preserve"> </v>
      </c>
      <c r="N147" s="85" t="str" cm="1">
        <f t="array" ref="N147">IFERROR(VLOOKUP($A147,'The List'!$B1:$AS671,21,FALSE)," ")</f>
        <v xml:space="preserve"> </v>
      </c>
      <c r="O147" s="85" t="str" cm="1">
        <f t="array" ref="O147">IFERROR(VLOOKUP($A147,'The List'!$B1:$AS671,22,FALSE)," ")</f>
        <v xml:space="preserve"> </v>
      </c>
      <c r="P147" s="85" t="str" cm="1">
        <f t="array" ref="P147">IFERROR(VLOOKUP($A147,'The List'!$B1:$AS671,23,FALSE)," ")</f>
        <v xml:space="preserve"> </v>
      </c>
      <c r="Q147" s="85" t="str" cm="1">
        <f t="array" ref="Q147">IFERROR(VLOOKUP($A147,'The List'!$B1:$AS671,24,FALSE)," ")</f>
        <v xml:space="preserve"> </v>
      </c>
      <c r="R147" s="85" t="str" cm="1">
        <f t="array" ref="R147">IFERROR(VLOOKUP($A147,'The List'!$B1:$AS671,25,FALSE)," ")</f>
        <v xml:space="preserve"> </v>
      </c>
      <c r="S147" s="85" t="str" cm="1">
        <f t="array" ref="S147">IFERROR(VLOOKUP($A147,'The List'!$B1:$AS671,26,FALSE)," ")</f>
        <v xml:space="preserve"> </v>
      </c>
      <c r="T147" s="85" t="str" cm="1">
        <f t="array" ref="T147">IFERROR(VLOOKUP($A147,'The List'!$B1:$AS671,27,FALSE)," ")</f>
        <v xml:space="preserve"> </v>
      </c>
      <c r="U147" s="85" t="str" cm="1">
        <f t="array" ref="U147">IFERROR(VLOOKUP($A147,'The List'!$B1:$AS671,28,FALSE)," ")</f>
        <v xml:space="preserve"> </v>
      </c>
      <c r="V147" s="85" t="str" cm="1">
        <f t="array" ref="V147">IFERROR(VLOOKUP($A147,'The List'!$B1:$AS671,29,FALSE)," ")</f>
        <v xml:space="preserve"> </v>
      </c>
      <c r="W147" s="85" t="str" cm="1">
        <f t="array" ref="W147">IFERROR(VLOOKUP($A147,'The List'!$B1:$AS671,30,FALSE)," ")</f>
        <v xml:space="preserve"> </v>
      </c>
      <c r="X147" s="85" t="str" cm="1">
        <f t="array" ref="X147">IFERROR(VLOOKUP($A147,'The List'!$B1:$AS671,31,FALSE)," ")</f>
        <v xml:space="preserve"> </v>
      </c>
      <c r="Y147" s="85" t="str" cm="1">
        <f t="array" ref="Y147">IFERROR(VLOOKUP($A147,'The List'!$B1:$AS671,32,FALSE)," ")</f>
        <v xml:space="preserve"> </v>
      </c>
      <c r="Z147" s="85" t="str" cm="1">
        <f t="array" ref="Z147">IFERROR(VLOOKUP($A147,'The List'!$B1:$AS671,33,FALSE)," ")</f>
        <v xml:space="preserve"> </v>
      </c>
      <c r="AA147" s="86"/>
      <c r="AB147" s="91"/>
      <c r="AC147" s="91"/>
      <c r="AD147" s="91"/>
      <c r="AE147" s="91"/>
      <c r="AF147" s="91"/>
    </row>
    <row r="148" spans="1:32" ht="21.25" customHeight="1" x14ac:dyDescent="0.15">
      <c r="A148" s="24"/>
      <c r="B148" s="88" t="str" cm="1">
        <f t="array" ref="B148">IFERROR(VLOOKUP($A148,'The List'!$B1:$AS671,3,FALSE)," ")</f>
        <v xml:space="preserve"> </v>
      </c>
      <c r="C148" s="92" t="str" cm="1">
        <f t="array" ref="C148">IFERROR(VLOOKUP($A148,'The List'!$B1:$AS671,4,FALSE)," ")</f>
        <v xml:space="preserve"> </v>
      </c>
      <c r="D148" s="18" t="str" cm="1">
        <f t="array" ref="D148">IFERROR(VLOOKUP($A148,'The List'!$B1:$AS671,5,FALSE)," ")</f>
        <v xml:space="preserve"> </v>
      </c>
      <c r="E148" s="18" t="str" cm="1">
        <f t="array" ref="E148">IFERROR(VLOOKUP($A148,'The List'!$B1:$AS671,6,FALSE)," ")</f>
        <v xml:space="preserve"> </v>
      </c>
      <c r="F148" s="93" t="str" cm="1">
        <f t="array" ref="F148">IFERROR(VLOOKUP($A148,'The List'!$B1:$AS671,8,FALSE)," ")</f>
        <v xml:space="preserve"> </v>
      </c>
      <c r="G148" s="93" t="str" cm="1">
        <f t="array" ref="G148">IFERROR(VLOOKUP($A148,'The List'!$B1:$AS671,10,FALSE)," ")</f>
        <v xml:space="preserve"> </v>
      </c>
      <c r="H148" s="55"/>
      <c r="I148" s="85" t="str" cm="1">
        <f t="array" ref="I148">IFERROR(VLOOKUP($A148,'The List'!$B1:$AS671,16,FALSE)," ")</f>
        <v xml:space="preserve"> </v>
      </c>
      <c r="J148" s="85" t="str" cm="1">
        <f t="array" ref="J148">IFERROR(VLOOKUP($A148,'The List'!$B1:$AS671,17,FALSE)," ")</f>
        <v xml:space="preserve"> </v>
      </c>
      <c r="K148" s="85" t="str" cm="1">
        <f t="array" ref="K148">IFERROR(VLOOKUP($A148,'The List'!$B1:$AS671,18,FALSE)," ")</f>
        <v xml:space="preserve"> </v>
      </c>
      <c r="L148" s="85" t="str" cm="1">
        <f t="array" ref="L148">IFERROR(VLOOKUP($A148,'The List'!$B1:$AS671,19,FALSE)," ")</f>
        <v xml:space="preserve"> </v>
      </c>
      <c r="M148" s="85" t="str" cm="1">
        <f t="array" ref="M148">IFERROR(VLOOKUP($A148,'The List'!$B1:$AS671,20,FALSE)," ")</f>
        <v xml:space="preserve"> </v>
      </c>
      <c r="N148" s="85" t="str" cm="1">
        <f t="array" ref="N148">IFERROR(VLOOKUP($A148,'The List'!$B1:$AS671,21,FALSE)," ")</f>
        <v xml:space="preserve"> </v>
      </c>
      <c r="O148" s="85" t="str" cm="1">
        <f t="array" ref="O148">IFERROR(VLOOKUP($A148,'The List'!$B1:$AS671,22,FALSE)," ")</f>
        <v xml:space="preserve"> </v>
      </c>
      <c r="P148" s="85" t="str" cm="1">
        <f t="array" ref="P148">IFERROR(VLOOKUP($A148,'The List'!$B1:$AS671,23,FALSE)," ")</f>
        <v xml:space="preserve"> </v>
      </c>
      <c r="Q148" s="85" t="str" cm="1">
        <f t="array" ref="Q148">IFERROR(VLOOKUP($A148,'The List'!$B1:$AS671,24,FALSE)," ")</f>
        <v xml:space="preserve"> </v>
      </c>
      <c r="R148" s="85" t="str" cm="1">
        <f t="array" ref="R148">IFERROR(VLOOKUP($A148,'The List'!$B1:$AS671,25,FALSE)," ")</f>
        <v xml:space="preserve"> </v>
      </c>
      <c r="S148" s="85" t="str" cm="1">
        <f t="array" ref="S148">IFERROR(VLOOKUP($A148,'The List'!$B1:$AS671,26,FALSE)," ")</f>
        <v xml:space="preserve"> </v>
      </c>
      <c r="T148" s="85" t="str" cm="1">
        <f t="array" ref="T148">IFERROR(VLOOKUP($A148,'The List'!$B1:$AS671,27,FALSE)," ")</f>
        <v xml:space="preserve"> </v>
      </c>
      <c r="U148" s="85" t="str" cm="1">
        <f t="array" ref="U148">IFERROR(VLOOKUP($A148,'The List'!$B1:$AS671,28,FALSE)," ")</f>
        <v xml:space="preserve"> </v>
      </c>
      <c r="V148" s="85" t="str" cm="1">
        <f t="array" ref="V148">IFERROR(VLOOKUP($A148,'The List'!$B1:$AS671,29,FALSE)," ")</f>
        <v xml:space="preserve"> </v>
      </c>
      <c r="W148" s="85" t="str" cm="1">
        <f t="array" ref="W148">IFERROR(VLOOKUP($A148,'The List'!$B1:$AS671,30,FALSE)," ")</f>
        <v xml:space="preserve"> </v>
      </c>
      <c r="X148" s="85" t="str" cm="1">
        <f t="array" ref="X148">IFERROR(VLOOKUP($A148,'The List'!$B1:$AS671,31,FALSE)," ")</f>
        <v xml:space="preserve"> </v>
      </c>
      <c r="Y148" s="85" t="str" cm="1">
        <f t="array" ref="Y148">IFERROR(VLOOKUP($A148,'The List'!$B1:$AS671,32,FALSE)," ")</f>
        <v xml:space="preserve"> </v>
      </c>
      <c r="Z148" s="85" t="str" cm="1">
        <f t="array" ref="Z148">IFERROR(VLOOKUP($A148,'The List'!$B1:$AS671,33,FALSE)," ")</f>
        <v xml:space="preserve"> </v>
      </c>
      <c r="AA148" s="86"/>
      <c r="AB148" s="91"/>
      <c r="AC148" s="91"/>
      <c r="AD148" s="91"/>
      <c r="AE148" s="91"/>
      <c r="AF148" s="91"/>
    </row>
    <row r="149" spans="1:32" ht="21.25" customHeight="1" x14ac:dyDescent="0.15">
      <c r="A149" s="24"/>
      <c r="B149" s="88" t="str" cm="1">
        <f t="array" ref="B149">IFERROR(VLOOKUP($A149,'The List'!$B1:$AS671,3,FALSE)," ")</f>
        <v xml:space="preserve"> </v>
      </c>
      <c r="C149" s="92" t="str" cm="1">
        <f t="array" ref="C149">IFERROR(VLOOKUP($A149,'The List'!$B1:$AS671,4,FALSE)," ")</f>
        <v xml:space="preserve"> </v>
      </c>
      <c r="D149" s="18" t="str" cm="1">
        <f t="array" ref="D149">IFERROR(VLOOKUP($A149,'The List'!$B1:$AS671,5,FALSE)," ")</f>
        <v xml:space="preserve"> </v>
      </c>
      <c r="E149" s="18" t="str" cm="1">
        <f t="array" ref="E149">IFERROR(VLOOKUP($A149,'The List'!$B1:$AS671,6,FALSE)," ")</f>
        <v xml:space="preserve"> </v>
      </c>
      <c r="F149" s="93" t="str" cm="1">
        <f t="array" ref="F149">IFERROR(VLOOKUP($A149,'The List'!$B1:$AS671,8,FALSE)," ")</f>
        <v xml:space="preserve"> </v>
      </c>
      <c r="G149" s="93" t="str" cm="1">
        <f t="array" ref="G149">IFERROR(VLOOKUP($A149,'The List'!$B1:$AS671,10,FALSE)," ")</f>
        <v xml:space="preserve"> </v>
      </c>
      <c r="H149" s="55"/>
      <c r="I149" s="85" t="str" cm="1">
        <f t="array" ref="I149">IFERROR(VLOOKUP($A149,'The List'!$B1:$AS671,16,FALSE)," ")</f>
        <v xml:space="preserve"> </v>
      </c>
      <c r="J149" s="85" t="str" cm="1">
        <f t="array" ref="J149">IFERROR(VLOOKUP($A149,'The List'!$B1:$AS671,17,FALSE)," ")</f>
        <v xml:space="preserve"> </v>
      </c>
      <c r="K149" s="85" t="str" cm="1">
        <f t="array" ref="K149">IFERROR(VLOOKUP($A149,'The List'!$B1:$AS671,18,FALSE)," ")</f>
        <v xml:space="preserve"> </v>
      </c>
      <c r="L149" s="85" t="str" cm="1">
        <f t="array" ref="L149">IFERROR(VLOOKUP($A149,'The List'!$B1:$AS671,19,FALSE)," ")</f>
        <v xml:space="preserve"> </v>
      </c>
      <c r="M149" s="85" t="str" cm="1">
        <f t="array" ref="M149">IFERROR(VLOOKUP($A149,'The List'!$B1:$AS671,20,FALSE)," ")</f>
        <v xml:space="preserve"> </v>
      </c>
      <c r="N149" s="85" t="str" cm="1">
        <f t="array" ref="N149">IFERROR(VLOOKUP($A149,'The List'!$B1:$AS671,21,FALSE)," ")</f>
        <v xml:space="preserve"> </v>
      </c>
      <c r="O149" s="85" t="str" cm="1">
        <f t="array" ref="O149">IFERROR(VLOOKUP($A149,'The List'!$B1:$AS671,22,FALSE)," ")</f>
        <v xml:space="preserve"> </v>
      </c>
      <c r="P149" s="85" t="str" cm="1">
        <f t="array" ref="P149">IFERROR(VLOOKUP($A149,'The List'!$B1:$AS671,23,FALSE)," ")</f>
        <v xml:space="preserve"> </v>
      </c>
      <c r="Q149" s="85" t="str" cm="1">
        <f t="array" ref="Q149">IFERROR(VLOOKUP($A149,'The List'!$B1:$AS671,24,FALSE)," ")</f>
        <v xml:space="preserve"> </v>
      </c>
      <c r="R149" s="85" t="str" cm="1">
        <f t="array" ref="R149">IFERROR(VLOOKUP($A149,'The List'!$B1:$AS671,25,FALSE)," ")</f>
        <v xml:space="preserve"> </v>
      </c>
      <c r="S149" s="85" t="str" cm="1">
        <f t="array" ref="S149">IFERROR(VLOOKUP($A149,'The List'!$B1:$AS671,26,FALSE)," ")</f>
        <v xml:space="preserve"> </v>
      </c>
      <c r="T149" s="85" t="str" cm="1">
        <f t="array" ref="T149">IFERROR(VLOOKUP($A149,'The List'!$B1:$AS671,27,FALSE)," ")</f>
        <v xml:space="preserve"> </v>
      </c>
      <c r="U149" s="85" t="str" cm="1">
        <f t="array" ref="U149">IFERROR(VLOOKUP($A149,'The List'!$B1:$AS671,28,FALSE)," ")</f>
        <v xml:space="preserve"> </v>
      </c>
      <c r="V149" s="85" t="str" cm="1">
        <f t="array" ref="V149">IFERROR(VLOOKUP($A149,'The List'!$B1:$AS671,29,FALSE)," ")</f>
        <v xml:space="preserve"> </v>
      </c>
      <c r="W149" s="85" t="str" cm="1">
        <f t="array" ref="W149">IFERROR(VLOOKUP($A149,'The List'!$B1:$AS671,30,FALSE)," ")</f>
        <v xml:space="preserve"> </v>
      </c>
      <c r="X149" s="85" t="str" cm="1">
        <f t="array" ref="X149">IFERROR(VLOOKUP($A149,'The List'!$B1:$AS671,31,FALSE)," ")</f>
        <v xml:space="preserve"> </v>
      </c>
      <c r="Y149" s="85" t="str" cm="1">
        <f t="array" ref="Y149">IFERROR(VLOOKUP($A149,'The List'!$B1:$AS671,32,FALSE)," ")</f>
        <v xml:space="preserve"> </v>
      </c>
      <c r="Z149" s="85" t="str" cm="1">
        <f t="array" ref="Z149">IFERROR(VLOOKUP($A149,'The List'!$B1:$AS671,33,FALSE)," ")</f>
        <v xml:space="preserve"> </v>
      </c>
      <c r="AA149" s="86"/>
      <c r="AB149" s="91"/>
      <c r="AC149" s="91"/>
      <c r="AD149" s="91"/>
      <c r="AE149" s="91"/>
      <c r="AF149" s="91"/>
    </row>
    <row r="150" spans="1:32" ht="21.25" customHeight="1" x14ac:dyDescent="0.15">
      <c r="A150" s="24"/>
      <c r="B150" s="88" t="str" cm="1">
        <f t="array" ref="B150">IFERROR(VLOOKUP($A150,'The List'!$B1:$AS671,3,FALSE)," ")</f>
        <v xml:space="preserve"> </v>
      </c>
      <c r="C150" s="92" t="str" cm="1">
        <f t="array" ref="C150">IFERROR(VLOOKUP($A150,'The List'!$B1:$AS671,4,FALSE)," ")</f>
        <v xml:space="preserve"> </v>
      </c>
      <c r="D150" s="18" t="str" cm="1">
        <f t="array" ref="D150">IFERROR(VLOOKUP($A150,'The List'!$B1:$AS671,5,FALSE)," ")</f>
        <v xml:space="preserve"> </v>
      </c>
      <c r="E150" s="18" t="str" cm="1">
        <f t="array" ref="E150">IFERROR(VLOOKUP($A150,'The List'!$B1:$AS671,6,FALSE)," ")</f>
        <v xml:space="preserve"> </v>
      </c>
      <c r="F150" s="93" t="str" cm="1">
        <f t="array" ref="F150">IFERROR(VLOOKUP($A150,'The List'!$B1:$AS671,8,FALSE)," ")</f>
        <v xml:space="preserve"> </v>
      </c>
      <c r="G150" s="93" t="str" cm="1">
        <f t="array" ref="G150">IFERROR(VLOOKUP($A150,'The List'!$B1:$AS671,10,FALSE)," ")</f>
        <v xml:space="preserve"> </v>
      </c>
      <c r="H150" s="55"/>
      <c r="I150" s="85" t="str" cm="1">
        <f t="array" ref="I150">IFERROR(VLOOKUP($A150,'The List'!$B1:$AS671,16,FALSE)," ")</f>
        <v xml:space="preserve"> </v>
      </c>
      <c r="J150" s="85" t="str" cm="1">
        <f t="array" ref="J150">IFERROR(VLOOKUP($A150,'The List'!$B1:$AS671,17,FALSE)," ")</f>
        <v xml:space="preserve"> </v>
      </c>
      <c r="K150" s="85" t="str" cm="1">
        <f t="array" ref="K150">IFERROR(VLOOKUP($A150,'The List'!$B1:$AS671,18,FALSE)," ")</f>
        <v xml:space="preserve"> </v>
      </c>
      <c r="L150" s="85" t="str" cm="1">
        <f t="array" ref="L150">IFERROR(VLOOKUP($A150,'The List'!$B1:$AS671,19,FALSE)," ")</f>
        <v xml:space="preserve"> </v>
      </c>
      <c r="M150" s="85" t="str" cm="1">
        <f t="array" ref="M150">IFERROR(VLOOKUP($A150,'The List'!$B1:$AS671,20,FALSE)," ")</f>
        <v xml:space="preserve"> </v>
      </c>
      <c r="N150" s="85" t="str" cm="1">
        <f t="array" ref="N150">IFERROR(VLOOKUP($A150,'The List'!$B1:$AS671,21,FALSE)," ")</f>
        <v xml:space="preserve"> </v>
      </c>
      <c r="O150" s="85" t="str" cm="1">
        <f t="array" ref="O150">IFERROR(VLOOKUP($A150,'The List'!$B1:$AS671,22,FALSE)," ")</f>
        <v xml:space="preserve"> </v>
      </c>
      <c r="P150" s="85" t="str" cm="1">
        <f t="array" ref="P150">IFERROR(VLOOKUP($A150,'The List'!$B1:$AS671,23,FALSE)," ")</f>
        <v xml:space="preserve"> </v>
      </c>
      <c r="Q150" s="85" t="str" cm="1">
        <f t="array" ref="Q150">IFERROR(VLOOKUP($A150,'The List'!$B1:$AS671,24,FALSE)," ")</f>
        <v xml:space="preserve"> </v>
      </c>
      <c r="R150" s="85" t="str" cm="1">
        <f t="array" ref="R150">IFERROR(VLOOKUP($A150,'The List'!$B1:$AS671,25,FALSE)," ")</f>
        <v xml:space="preserve"> </v>
      </c>
      <c r="S150" s="85" t="str" cm="1">
        <f t="array" ref="S150">IFERROR(VLOOKUP($A150,'The List'!$B1:$AS671,26,FALSE)," ")</f>
        <v xml:space="preserve"> </v>
      </c>
      <c r="T150" s="85" t="str" cm="1">
        <f t="array" ref="T150">IFERROR(VLOOKUP($A150,'The List'!$B1:$AS671,27,FALSE)," ")</f>
        <v xml:space="preserve"> </v>
      </c>
      <c r="U150" s="85" t="str" cm="1">
        <f t="array" ref="U150">IFERROR(VLOOKUP($A150,'The List'!$B1:$AS671,28,FALSE)," ")</f>
        <v xml:space="preserve"> </v>
      </c>
      <c r="V150" s="85" t="str" cm="1">
        <f t="array" ref="V150">IFERROR(VLOOKUP($A150,'The List'!$B1:$AS671,29,FALSE)," ")</f>
        <v xml:space="preserve"> </v>
      </c>
      <c r="W150" s="85" t="str" cm="1">
        <f t="array" ref="W150">IFERROR(VLOOKUP($A150,'The List'!$B1:$AS671,30,FALSE)," ")</f>
        <v xml:space="preserve"> </v>
      </c>
      <c r="X150" s="85" t="str" cm="1">
        <f t="array" ref="X150">IFERROR(VLOOKUP($A150,'The List'!$B1:$AS671,31,FALSE)," ")</f>
        <v xml:space="preserve"> </v>
      </c>
      <c r="Y150" s="85" t="str" cm="1">
        <f t="array" ref="Y150">IFERROR(VLOOKUP($A150,'The List'!$B1:$AS671,32,FALSE)," ")</f>
        <v xml:space="preserve"> </v>
      </c>
      <c r="Z150" s="85" t="str" cm="1">
        <f t="array" ref="Z150">IFERROR(VLOOKUP($A150,'The List'!$B1:$AS671,33,FALSE)," ")</f>
        <v xml:space="preserve"> </v>
      </c>
      <c r="AA150" s="86"/>
      <c r="AB150" s="91"/>
      <c r="AC150" s="91"/>
      <c r="AD150" s="91"/>
      <c r="AE150" s="91"/>
      <c r="AF150" s="91"/>
    </row>
    <row r="151" spans="1:32" ht="21.25" customHeight="1" x14ac:dyDescent="0.15">
      <c r="A151" s="24"/>
      <c r="B151" s="94" t="str" cm="1">
        <f t="array" ref="B151">IFERROR(VLOOKUP($A151,'The List'!$B1:$AS671,3,FALSE)," ")</f>
        <v xml:space="preserve"> </v>
      </c>
      <c r="C151" s="96" t="str" cm="1">
        <f t="array" ref="C151">IFERROR(VLOOKUP($A151,'The List'!$B1:$AS671,4,FALSE)," ")</f>
        <v xml:space="preserve"> </v>
      </c>
      <c r="D151" s="18" t="str" cm="1">
        <f t="array" ref="D151">IFERROR(VLOOKUP($A151,'The List'!$B1:$AS671,5,FALSE)," ")</f>
        <v xml:space="preserve"> </v>
      </c>
      <c r="E151" s="18" t="str" cm="1">
        <f t="array" ref="E151">IFERROR(VLOOKUP($A151,'The List'!$B1:$AS671,6,FALSE)," ")</f>
        <v xml:space="preserve"> </v>
      </c>
      <c r="F151" s="93" t="str" cm="1">
        <f t="array" ref="F151">IFERROR(VLOOKUP($A151,'The List'!$B1:$AS671,8,FALSE)," ")</f>
        <v xml:space="preserve"> </v>
      </c>
      <c r="G151" s="93" t="str" cm="1">
        <f t="array" ref="G151">IFERROR(VLOOKUP($A151,'The List'!$B1:$AS671,10,FALSE)," ")</f>
        <v xml:space="preserve"> </v>
      </c>
      <c r="H151" s="55"/>
      <c r="I151" s="85" t="str" cm="1">
        <f t="array" ref="I151">IFERROR(VLOOKUP($A151,'The List'!$B1:$AS671,16,FALSE)," ")</f>
        <v xml:space="preserve"> </v>
      </c>
      <c r="J151" s="85" t="str" cm="1">
        <f t="array" ref="J151">IFERROR(VLOOKUP($A151,'The List'!$B1:$AS671,17,FALSE)," ")</f>
        <v xml:space="preserve"> </v>
      </c>
      <c r="K151" s="85" t="str" cm="1">
        <f t="array" ref="K151">IFERROR(VLOOKUP($A151,'The List'!$B1:$AS671,18,FALSE)," ")</f>
        <v xml:space="preserve"> </v>
      </c>
      <c r="L151" s="85" t="str" cm="1">
        <f t="array" ref="L151">IFERROR(VLOOKUP($A151,'The List'!$B1:$AS671,19,FALSE)," ")</f>
        <v xml:space="preserve"> </v>
      </c>
      <c r="M151" s="85" t="str" cm="1">
        <f t="array" ref="M151">IFERROR(VLOOKUP($A151,'The List'!$B1:$AS671,20,FALSE)," ")</f>
        <v xml:space="preserve"> </v>
      </c>
      <c r="N151" s="85" t="str" cm="1">
        <f t="array" ref="N151">IFERROR(VLOOKUP($A151,'The List'!$B1:$AS671,21,FALSE)," ")</f>
        <v xml:space="preserve"> </v>
      </c>
      <c r="O151" s="85" t="str" cm="1">
        <f t="array" ref="O151">IFERROR(VLOOKUP($A151,'The List'!$B1:$AS671,22,FALSE)," ")</f>
        <v xml:space="preserve"> </v>
      </c>
      <c r="P151" s="85" t="str" cm="1">
        <f t="array" ref="P151">IFERROR(VLOOKUP($A151,'The List'!$B1:$AS671,23,FALSE)," ")</f>
        <v xml:space="preserve"> </v>
      </c>
      <c r="Q151" s="85" t="str" cm="1">
        <f t="array" ref="Q151">IFERROR(VLOOKUP($A151,'The List'!$B1:$AS671,24,FALSE)," ")</f>
        <v xml:space="preserve"> </v>
      </c>
      <c r="R151" s="85" t="str" cm="1">
        <f t="array" ref="R151">IFERROR(VLOOKUP($A151,'The List'!$B1:$AS671,25,FALSE)," ")</f>
        <v xml:space="preserve"> </v>
      </c>
      <c r="S151" s="85" t="str" cm="1">
        <f t="array" ref="S151">IFERROR(VLOOKUP($A151,'The List'!$B1:$AS671,26,FALSE)," ")</f>
        <v xml:space="preserve"> </v>
      </c>
      <c r="T151" s="85" t="str" cm="1">
        <f t="array" ref="T151">IFERROR(VLOOKUP($A151,'The List'!$B1:$AS671,27,FALSE)," ")</f>
        <v xml:space="preserve"> </v>
      </c>
      <c r="U151" s="85" t="str" cm="1">
        <f t="array" ref="U151">IFERROR(VLOOKUP($A151,'The List'!$B1:$AS671,28,FALSE)," ")</f>
        <v xml:space="preserve"> </v>
      </c>
      <c r="V151" s="85" t="str" cm="1">
        <f t="array" ref="V151">IFERROR(VLOOKUP($A151,'The List'!$B1:$AS671,29,FALSE)," ")</f>
        <v xml:space="preserve"> </v>
      </c>
      <c r="W151" s="85" t="str" cm="1">
        <f t="array" ref="W151">IFERROR(VLOOKUP($A151,'The List'!$B1:$AS671,30,FALSE)," ")</f>
        <v xml:space="preserve"> </v>
      </c>
      <c r="X151" s="85" t="str" cm="1">
        <f t="array" ref="X151">IFERROR(VLOOKUP($A151,'The List'!$B1:$AS671,31,FALSE)," ")</f>
        <v xml:space="preserve"> </v>
      </c>
      <c r="Y151" s="85" t="str" cm="1">
        <f t="array" ref="Y151">IFERROR(VLOOKUP($A151,'The List'!$B1:$AS671,32,FALSE)," ")</f>
        <v xml:space="preserve"> </v>
      </c>
      <c r="Z151" s="85" t="str" cm="1">
        <f t="array" ref="Z151">IFERROR(VLOOKUP($A151,'The List'!$B1:$AS671,33,FALSE)," ")</f>
        <v xml:space="preserve"> </v>
      </c>
      <c r="AA151" s="86"/>
      <c r="AB151" s="91"/>
      <c r="AC151" s="91"/>
      <c r="AD151" s="91"/>
      <c r="AE151" s="91"/>
      <c r="AF151" s="91"/>
    </row>
    <row r="152" spans="1:32" ht="21.25" customHeight="1" x14ac:dyDescent="0.15">
      <c r="A152" s="24"/>
      <c r="B152" s="94" t="str" cm="1">
        <f t="array" ref="B152">IFERROR(VLOOKUP($A152,'The List'!$B1:$AS671,3,FALSE)," ")</f>
        <v xml:space="preserve"> </v>
      </c>
      <c r="C152" s="96" t="str" cm="1">
        <f t="array" ref="C152">IFERROR(VLOOKUP($A152,'The List'!$B1:$AS671,4,FALSE)," ")</f>
        <v xml:space="preserve"> </v>
      </c>
      <c r="D152" s="18" t="str" cm="1">
        <f t="array" ref="D152">IFERROR(VLOOKUP($A152,'The List'!$B1:$AS671,5,FALSE)," ")</f>
        <v xml:space="preserve"> </v>
      </c>
      <c r="E152" s="18" t="str" cm="1">
        <f t="array" ref="E152">IFERROR(VLOOKUP($A152,'The List'!$B1:$AS671,6,FALSE)," ")</f>
        <v xml:space="preserve"> </v>
      </c>
      <c r="F152" s="93" t="str" cm="1">
        <f t="array" ref="F152">IFERROR(VLOOKUP($A152,'The List'!$B1:$AS671,8,FALSE)," ")</f>
        <v xml:space="preserve"> </v>
      </c>
      <c r="G152" s="93" t="str" cm="1">
        <f t="array" ref="G152">IFERROR(VLOOKUP($A152,'The List'!$B1:$AS671,10,FALSE)," ")</f>
        <v xml:space="preserve"> </v>
      </c>
      <c r="H152" s="55"/>
      <c r="I152" s="85" t="str" cm="1">
        <f t="array" ref="I152">IFERROR(VLOOKUP($A152,'The List'!$B1:$AS671,16,FALSE)," ")</f>
        <v xml:space="preserve"> </v>
      </c>
      <c r="J152" s="85" t="str" cm="1">
        <f t="array" ref="J152">IFERROR(VLOOKUP($A152,'The List'!$B1:$AS671,17,FALSE)," ")</f>
        <v xml:space="preserve"> </v>
      </c>
      <c r="K152" s="85" t="str" cm="1">
        <f t="array" ref="K152">IFERROR(VLOOKUP($A152,'The List'!$B1:$AS671,18,FALSE)," ")</f>
        <v xml:space="preserve"> </v>
      </c>
      <c r="L152" s="85" t="str" cm="1">
        <f t="array" ref="L152">IFERROR(VLOOKUP($A152,'The List'!$B1:$AS671,19,FALSE)," ")</f>
        <v xml:space="preserve"> </v>
      </c>
      <c r="M152" s="85" t="str" cm="1">
        <f t="array" ref="M152">IFERROR(VLOOKUP($A152,'The List'!$B1:$AS671,20,FALSE)," ")</f>
        <v xml:space="preserve"> </v>
      </c>
      <c r="N152" s="85" t="str" cm="1">
        <f t="array" ref="N152">IFERROR(VLOOKUP($A152,'The List'!$B1:$AS671,21,FALSE)," ")</f>
        <v xml:space="preserve"> </v>
      </c>
      <c r="O152" s="85" t="str" cm="1">
        <f t="array" ref="O152">IFERROR(VLOOKUP($A152,'The List'!$B1:$AS671,22,FALSE)," ")</f>
        <v xml:space="preserve"> </v>
      </c>
      <c r="P152" s="85" t="str" cm="1">
        <f t="array" ref="P152">IFERROR(VLOOKUP($A152,'The List'!$B1:$AS671,23,FALSE)," ")</f>
        <v xml:space="preserve"> </v>
      </c>
      <c r="Q152" s="85" t="str" cm="1">
        <f t="array" ref="Q152">IFERROR(VLOOKUP($A152,'The List'!$B1:$AS671,24,FALSE)," ")</f>
        <v xml:space="preserve"> </v>
      </c>
      <c r="R152" s="85" t="str" cm="1">
        <f t="array" ref="R152">IFERROR(VLOOKUP($A152,'The List'!$B1:$AS671,25,FALSE)," ")</f>
        <v xml:space="preserve"> </v>
      </c>
      <c r="S152" s="85" t="str" cm="1">
        <f t="array" ref="S152">IFERROR(VLOOKUP($A152,'The List'!$B1:$AS671,26,FALSE)," ")</f>
        <v xml:space="preserve"> </v>
      </c>
      <c r="T152" s="85" t="str" cm="1">
        <f t="array" ref="T152">IFERROR(VLOOKUP($A152,'The List'!$B1:$AS671,27,FALSE)," ")</f>
        <v xml:space="preserve"> </v>
      </c>
      <c r="U152" s="85" t="str" cm="1">
        <f t="array" ref="U152">IFERROR(VLOOKUP($A152,'The List'!$B1:$AS671,28,FALSE)," ")</f>
        <v xml:space="preserve"> </v>
      </c>
      <c r="V152" s="85" t="str" cm="1">
        <f t="array" ref="V152">IFERROR(VLOOKUP($A152,'The List'!$B1:$AS671,29,FALSE)," ")</f>
        <v xml:space="preserve"> </v>
      </c>
      <c r="W152" s="85" t="str" cm="1">
        <f t="array" ref="W152">IFERROR(VLOOKUP($A152,'The List'!$B1:$AS671,30,FALSE)," ")</f>
        <v xml:space="preserve"> </v>
      </c>
      <c r="X152" s="85" t="str" cm="1">
        <f t="array" ref="X152">IFERROR(VLOOKUP($A152,'The List'!$B1:$AS671,31,FALSE)," ")</f>
        <v xml:space="preserve"> </v>
      </c>
      <c r="Y152" s="85" t="str" cm="1">
        <f t="array" ref="Y152">IFERROR(VLOOKUP($A152,'The List'!$B1:$AS671,32,FALSE)," ")</f>
        <v xml:space="preserve"> </v>
      </c>
      <c r="Z152" s="85" t="str" cm="1">
        <f t="array" ref="Z152">IFERROR(VLOOKUP($A152,'The List'!$B1:$AS671,33,FALSE)," ")</f>
        <v xml:space="preserve"> </v>
      </c>
      <c r="AA152" s="86"/>
      <c r="AB152" s="91"/>
      <c r="AC152" s="91"/>
      <c r="AD152" s="91"/>
      <c r="AE152" s="91"/>
      <c r="AF152" s="91"/>
    </row>
    <row r="153" spans="1:32" ht="21.25" customHeight="1" x14ac:dyDescent="0.15">
      <c r="A153" s="24"/>
      <c r="B153" s="94" t="str" cm="1">
        <f t="array" ref="B153">IFERROR(VLOOKUP($A153,'The List'!$B1:$AS671,3,FALSE)," ")</f>
        <v xml:space="preserve"> </v>
      </c>
      <c r="C153" s="96" t="str" cm="1">
        <f t="array" ref="C153">IFERROR(VLOOKUP($A153,'The List'!$B1:$AS671,4,FALSE)," ")</f>
        <v xml:space="preserve"> </v>
      </c>
      <c r="D153" s="18" t="str" cm="1">
        <f t="array" ref="D153">IFERROR(VLOOKUP($A153,'The List'!$B1:$AS671,5,FALSE)," ")</f>
        <v xml:space="preserve"> </v>
      </c>
      <c r="E153" s="18" t="str" cm="1">
        <f t="array" ref="E153">IFERROR(VLOOKUP($A153,'The List'!$B1:$AS671,6,FALSE)," ")</f>
        <v xml:space="preserve"> </v>
      </c>
      <c r="F153" s="93" t="str" cm="1">
        <f t="array" ref="F153">IFERROR(VLOOKUP($A153,'The List'!$B1:$AS671,8,FALSE)," ")</f>
        <v xml:space="preserve"> </v>
      </c>
      <c r="G153" s="93" t="str" cm="1">
        <f t="array" ref="G153">IFERROR(VLOOKUP($A153,'The List'!$B1:$AS671,10,FALSE)," ")</f>
        <v xml:space="preserve"> </v>
      </c>
      <c r="H153" s="55"/>
      <c r="I153" s="85" t="str" cm="1">
        <f t="array" ref="I153">IFERROR(VLOOKUP($A153,'The List'!$B1:$AS671,16,FALSE)," ")</f>
        <v xml:space="preserve"> </v>
      </c>
      <c r="J153" s="85" t="str" cm="1">
        <f t="array" ref="J153">IFERROR(VLOOKUP($A153,'The List'!$B1:$AS671,17,FALSE)," ")</f>
        <v xml:space="preserve"> </v>
      </c>
      <c r="K153" s="85" t="str" cm="1">
        <f t="array" ref="K153">IFERROR(VLOOKUP($A153,'The List'!$B1:$AS671,18,FALSE)," ")</f>
        <v xml:space="preserve"> </v>
      </c>
      <c r="L153" s="85" t="str" cm="1">
        <f t="array" ref="L153">IFERROR(VLOOKUP($A153,'The List'!$B1:$AS671,19,FALSE)," ")</f>
        <v xml:space="preserve"> </v>
      </c>
      <c r="M153" s="85" t="str" cm="1">
        <f t="array" ref="M153">IFERROR(VLOOKUP($A153,'The List'!$B1:$AS671,20,FALSE)," ")</f>
        <v xml:space="preserve"> </v>
      </c>
      <c r="N153" s="85" t="str" cm="1">
        <f t="array" ref="N153">IFERROR(VLOOKUP($A153,'The List'!$B1:$AS671,21,FALSE)," ")</f>
        <v xml:space="preserve"> </v>
      </c>
      <c r="O153" s="85" t="str" cm="1">
        <f t="array" ref="O153">IFERROR(VLOOKUP($A153,'The List'!$B1:$AS671,22,FALSE)," ")</f>
        <v xml:space="preserve"> </v>
      </c>
      <c r="P153" s="85" t="str" cm="1">
        <f t="array" ref="P153">IFERROR(VLOOKUP($A153,'The List'!$B1:$AS671,23,FALSE)," ")</f>
        <v xml:space="preserve"> </v>
      </c>
      <c r="Q153" s="85" t="str" cm="1">
        <f t="array" ref="Q153">IFERROR(VLOOKUP($A153,'The List'!$B1:$AS671,24,FALSE)," ")</f>
        <v xml:space="preserve"> </v>
      </c>
      <c r="R153" s="85" t="str" cm="1">
        <f t="array" ref="R153">IFERROR(VLOOKUP($A153,'The List'!$B1:$AS671,25,FALSE)," ")</f>
        <v xml:space="preserve"> </v>
      </c>
      <c r="S153" s="85" t="str" cm="1">
        <f t="array" ref="S153">IFERROR(VLOOKUP($A153,'The List'!$B1:$AS671,26,FALSE)," ")</f>
        <v xml:space="preserve"> </v>
      </c>
      <c r="T153" s="85" t="str" cm="1">
        <f t="array" ref="T153">IFERROR(VLOOKUP($A153,'The List'!$B1:$AS671,27,FALSE)," ")</f>
        <v xml:space="preserve"> </v>
      </c>
      <c r="U153" s="85" t="str" cm="1">
        <f t="array" ref="U153">IFERROR(VLOOKUP($A153,'The List'!$B1:$AS671,28,FALSE)," ")</f>
        <v xml:space="preserve"> </v>
      </c>
      <c r="V153" s="85" t="str" cm="1">
        <f t="array" ref="V153">IFERROR(VLOOKUP($A153,'The List'!$B1:$AS671,29,FALSE)," ")</f>
        <v xml:space="preserve"> </v>
      </c>
      <c r="W153" s="85" t="str" cm="1">
        <f t="array" ref="W153">IFERROR(VLOOKUP($A153,'The List'!$B1:$AS671,30,FALSE)," ")</f>
        <v xml:space="preserve"> </v>
      </c>
      <c r="X153" s="85" t="str" cm="1">
        <f t="array" ref="X153">IFERROR(VLOOKUP($A153,'The List'!$B1:$AS671,31,FALSE)," ")</f>
        <v xml:space="preserve"> </v>
      </c>
      <c r="Y153" s="85" t="str" cm="1">
        <f t="array" ref="Y153">IFERROR(VLOOKUP($A153,'The List'!$B1:$AS671,32,FALSE)," ")</f>
        <v xml:space="preserve"> </v>
      </c>
      <c r="Z153" s="85" t="str" cm="1">
        <f t="array" ref="Z153">IFERROR(VLOOKUP($A153,'The List'!$B1:$AS671,33,FALSE)," ")</f>
        <v xml:space="preserve"> </v>
      </c>
      <c r="AA153" s="86"/>
      <c r="AB153" s="91"/>
      <c r="AC153" s="91"/>
      <c r="AD153" s="91"/>
      <c r="AE153" s="91"/>
      <c r="AF153" s="91"/>
    </row>
    <row r="154" spans="1:32" ht="21.25" customHeight="1" x14ac:dyDescent="0.15">
      <c r="A154" s="24"/>
      <c r="B154" s="94" t="str" cm="1">
        <f t="array" ref="B154">IFERROR(VLOOKUP($A154,'The List'!$B1:$AS671,3,FALSE)," ")</f>
        <v xml:space="preserve"> </v>
      </c>
      <c r="C154" s="96" t="str" cm="1">
        <f t="array" ref="C154">IFERROR(VLOOKUP($A154,'The List'!$B1:$AS671,4,FALSE)," ")</f>
        <v xml:space="preserve"> </v>
      </c>
      <c r="D154" s="18" t="str" cm="1">
        <f t="array" ref="D154">IFERROR(VLOOKUP($A154,'The List'!$B1:$AS671,5,FALSE)," ")</f>
        <v xml:space="preserve"> </v>
      </c>
      <c r="E154" s="18" t="str" cm="1">
        <f t="array" ref="E154">IFERROR(VLOOKUP($A154,'The List'!$B1:$AS671,6,FALSE)," ")</f>
        <v xml:space="preserve"> </v>
      </c>
      <c r="F154" s="93" t="str" cm="1">
        <f t="array" ref="F154">IFERROR(VLOOKUP($A154,'The List'!$B1:$AS671,8,FALSE)," ")</f>
        <v xml:space="preserve"> </v>
      </c>
      <c r="G154" s="93" t="str" cm="1">
        <f t="array" ref="G154">IFERROR(VLOOKUP($A154,'The List'!$B1:$AS671,10,FALSE)," ")</f>
        <v xml:space="preserve"> </v>
      </c>
      <c r="H154" s="55"/>
      <c r="I154" s="85" t="str" cm="1">
        <f t="array" ref="I154">IFERROR(VLOOKUP($A154,'The List'!$B1:$AS671,16,FALSE)," ")</f>
        <v xml:space="preserve"> </v>
      </c>
      <c r="J154" s="85" t="str" cm="1">
        <f t="array" ref="J154">IFERROR(VLOOKUP($A154,'The List'!$B1:$AS671,17,FALSE)," ")</f>
        <v xml:space="preserve"> </v>
      </c>
      <c r="K154" s="85" t="str" cm="1">
        <f t="array" ref="K154">IFERROR(VLOOKUP($A154,'The List'!$B1:$AS671,18,FALSE)," ")</f>
        <v xml:space="preserve"> </v>
      </c>
      <c r="L154" s="85" t="str" cm="1">
        <f t="array" ref="L154">IFERROR(VLOOKUP($A154,'The List'!$B1:$AS671,19,FALSE)," ")</f>
        <v xml:space="preserve"> </v>
      </c>
      <c r="M154" s="85" t="str" cm="1">
        <f t="array" ref="M154">IFERROR(VLOOKUP($A154,'The List'!$B1:$AS671,20,FALSE)," ")</f>
        <v xml:space="preserve"> </v>
      </c>
      <c r="N154" s="85" t="str" cm="1">
        <f t="array" ref="N154">IFERROR(VLOOKUP($A154,'The List'!$B1:$AS671,21,FALSE)," ")</f>
        <v xml:space="preserve"> </v>
      </c>
      <c r="O154" s="85" t="str" cm="1">
        <f t="array" ref="O154">IFERROR(VLOOKUP($A154,'The List'!$B1:$AS671,22,FALSE)," ")</f>
        <v xml:space="preserve"> </v>
      </c>
      <c r="P154" s="85" t="str" cm="1">
        <f t="array" ref="P154">IFERROR(VLOOKUP($A154,'The List'!$B1:$AS671,23,FALSE)," ")</f>
        <v xml:space="preserve"> </v>
      </c>
      <c r="Q154" s="85" t="str" cm="1">
        <f t="array" ref="Q154">IFERROR(VLOOKUP($A154,'The List'!$B1:$AS671,24,FALSE)," ")</f>
        <v xml:space="preserve"> </v>
      </c>
      <c r="R154" s="85" t="str" cm="1">
        <f t="array" ref="R154">IFERROR(VLOOKUP($A154,'The List'!$B1:$AS671,25,FALSE)," ")</f>
        <v xml:space="preserve"> </v>
      </c>
      <c r="S154" s="85" t="str" cm="1">
        <f t="array" ref="S154">IFERROR(VLOOKUP($A154,'The List'!$B1:$AS671,26,FALSE)," ")</f>
        <v xml:space="preserve"> </v>
      </c>
      <c r="T154" s="85" t="str" cm="1">
        <f t="array" ref="T154">IFERROR(VLOOKUP($A154,'The List'!$B1:$AS671,27,FALSE)," ")</f>
        <v xml:space="preserve"> </v>
      </c>
      <c r="U154" s="85" t="str" cm="1">
        <f t="array" ref="U154">IFERROR(VLOOKUP($A154,'The List'!$B1:$AS671,28,FALSE)," ")</f>
        <v xml:space="preserve"> </v>
      </c>
      <c r="V154" s="85" t="str" cm="1">
        <f t="array" ref="V154">IFERROR(VLOOKUP($A154,'The List'!$B1:$AS671,29,FALSE)," ")</f>
        <v xml:space="preserve"> </v>
      </c>
      <c r="W154" s="85" t="str" cm="1">
        <f t="array" ref="W154">IFERROR(VLOOKUP($A154,'The List'!$B1:$AS671,30,FALSE)," ")</f>
        <v xml:space="preserve"> </v>
      </c>
      <c r="X154" s="85" t="str" cm="1">
        <f t="array" ref="X154">IFERROR(VLOOKUP($A154,'The List'!$B1:$AS671,31,FALSE)," ")</f>
        <v xml:space="preserve"> </v>
      </c>
      <c r="Y154" s="85" t="str" cm="1">
        <f t="array" ref="Y154">IFERROR(VLOOKUP($A154,'The List'!$B1:$AS671,32,FALSE)," ")</f>
        <v xml:space="preserve"> </v>
      </c>
      <c r="Z154" s="85" t="str" cm="1">
        <f t="array" ref="Z154">IFERROR(VLOOKUP($A154,'The List'!$B1:$AS671,33,FALSE)," ")</f>
        <v xml:space="preserve"> </v>
      </c>
      <c r="AA154" s="86"/>
      <c r="AB154" s="91"/>
      <c r="AC154" s="91"/>
      <c r="AD154" s="91"/>
      <c r="AE154" s="91"/>
      <c r="AF154" s="91"/>
    </row>
    <row r="155" spans="1:32" ht="21.25" customHeight="1" x14ac:dyDescent="0.15">
      <c r="A155" s="24"/>
      <c r="B155" s="97" t="str" cm="1">
        <f t="array" ref="B155">IFERROR(VLOOKUP($A155,'The List'!$B1:$AS671,3,FALSE)," ")</f>
        <v xml:space="preserve"> </v>
      </c>
      <c r="C155" s="99" t="str" cm="1">
        <f t="array" ref="C155">IFERROR(VLOOKUP($A155,'The List'!$B1:$AS671,4,FALSE)," ")</f>
        <v xml:space="preserve"> </v>
      </c>
      <c r="D155" s="18" t="str" cm="1">
        <f t="array" ref="D155">IFERROR(VLOOKUP($A155,'The List'!$B1:$AS671,5,FALSE)," ")</f>
        <v xml:space="preserve"> </v>
      </c>
      <c r="E155" s="18" t="str" cm="1">
        <f t="array" ref="E155">IFERROR(VLOOKUP($A155,'The List'!$B1:$AS671,6,FALSE)," ")</f>
        <v xml:space="preserve"> </v>
      </c>
      <c r="F155" s="93" t="str" cm="1">
        <f t="array" ref="F155">IFERROR(VLOOKUP($A155,'The List'!$B1:$AS671,8,FALSE)," ")</f>
        <v xml:space="preserve"> </v>
      </c>
      <c r="G155" s="93" t="str" cm="1">
        <f t="array" ref="G155">IFERROR(VLOOKUP($A155,'The List'!$B1:$AS671,10,FALSE)," ")</f>
        <v xml:space="preserve"> </v>
      </c>
      <c r="H155" s="55"/>
      <c r="I155" s="85" t="str" cm="1">
        <f t="array" ref="I155">IFERROR(VLOOKUP($A155,'The List'!$B1:$AS671,16,FALSE)," ")</f>
        <v xml:space="preserve"> </v>
      </c>
      <c r="J155" s="85" t="str" cm="1">
        <f t="array" ref="J155">IFERROR(VLOOKUP($A155,'The List'!$B1:$AS671,17,FALSE)," ")</f>
        <v xml:space="preserve"> </v>
      </c>
      <c r="K155" s="85" t="str" cm="1">
        <f t="array" ref="K155">IFERROR(VLOOKUP($A155,'The List'!$B1:$AS671,18,FALSE)," ")</f>
        <v xml:space="preserve"> </v>
      </c>
      <c r="L155" s="85" t="str" cm="1">
        <f t="array" ref="L155">IFERROR(VLOOKUP($A155,'The List'!$B1:$AS671,19,FALSE)," ")</f>
        <v xml:space="preserve"> </v>
      </c>
      <c r="M155" s="85" t="str" cm="1">
        <f t="array" ref="M155">IFERROR(VLOOKUP($A155,'The List'!$B1:$AS671,20,FALSE)," ")</f>
        <v xml:space="preserve"> </v>
      </c>
      <c r="N155" s="85" t="str" cm="1">
        <f t="array" ref="N155">IFERROR(VLOOKUP($A155,'The List'!$B1:$AS671,21,FALSE)," ")</f>
        <v xml:space="preserve"> </v>
      </c>
      <c r="O155" s="85" t="str" cm="1">
        <f t="array" ref="O155">IFERROR(VLOOKUP($A155,'The List'!$B1:$AS671,22,FALSE)," ")</f>
        <v xml:space="preserve"> </v>
      </c>
      <c r="P155" s="85" t="str" cm="1">
        <f t="array" ref="P155">IFERROR(VLOOKUP($A155,'The List'!$B1:$AS671,23,FALSE)," ")</f>
        <v xml:space="preserve"> </v>
      </c>
      <c r="Q155" s="85" t="str" cm="1">
        <f t="array" ref="Q155">IFERROR(VLOOKUP($A155,'The List'!$B1:$AS671,24,FALSE)," ")</f>
        <v xml:space="preserve"> </v>
      </c>
      <c r="R155" s="85" t="str" cm="1">
        <f t="array" ref="R155">IFERROR(VLOOKUP($A155,'The List'!$B1:$AS671,25,FALSE)," ")</f>
        <v xml:space="preserve"> </v>
      </c>
      <c r="S155" s="85" t="str" cm="1">
        <f t="array" ref="S155">IFERROR(VLOOKUP($A155,'The List'!$B1:$AS671,26,FALSE)," ")</f>
        <v xml:space="preserve"> </v>
      </c>
      <c r="T155" s="85" t="str" cm="1">
        <f t="array" ref="T155">IFERROR(VLOOKUP($A155,'The List'!$B1:$AS671,27,FALSE)," ")</f>
        <v xml:space="preserve"> </v>
      </c>
      <c r="U155" s="85" t="str" cm="1">
        <f t="array" ref="U155">IFERROR(VLOOKUP($A155,'The List'!$B1:$AS671,28,FALSE)," ")</f>
        <v xml:space="preserve"> </v>
      </c>
      <c r="V155" s="85" t="str" cm="1">
        <f t="array" ref="V155">IFERROR(VLOOKUP($A155,'The List'!$B1:$AS671,29,FALSE)," ")</f>
        <v xml:space="preserve"> </v>
      </c>
      <c r="W155" s="85" t="str" cm="1">
        <f t="array" ref="W155">IFERROR(VLOOKUP($A155,'The List'!$B1:$AS671,30,FALSE)," ")</f>
        <v xml:space="preserve"> </v>
      </c>
      <c r="X155" s="85" t="str" cm="1">
        <f t="array" ref="X155">IFERROR(VLOOKUP($A155,'The List'!$B1:$AS671,31,FALSE)," ")</f>
        <v xml:space="preserve"> </v>
      </c>
      <c r="Y155" s="85" t="str" cm="1">
        <f t="array" ref="Y155">IFERROR(VLOOKUP($A155,'The List'!$B1:$AS671,32,FALSE)," ")</f>
        <v xml:space="preserve"> </v>
      </c>
      <c r="Z155" s="85" t="str" cm="1">
        <f t="array" ref="Z155">IFERROR(VLOOKUP($A155,'The List'!$B1:$AS671,33,FALSE)," ")</f>
        <v xml:space="preserve"> </v>
      </c>
      <c r="AA155" s="86"/>
      <c r="AB155" s="91"/>
      <c r="AC155" s="91"/>
      <c r="AD155" s="91"/>
      <c r="AE155" s="91"/>
      <c r="AF155" s="91"/>
    </row>
    <row r="156" spans="1:32" ht="21.25" customHeight="1" x14ac:dyDescent="0.15">
      <c r="A156" s="24"/>
      <c r="B156" s="97" t="str" cm="1">
        <f t="array" ref="B156">IFERROR(VLOOKUP($A156,'The List'!$B1:$AS671,3,FALSE)," ")</f>
        <v xml:space="preserve"> </v>
      </c>
      <c r="C156" s="99" t="str" cm="1">
        <f t="array" ref="C156">IFERROR(VLOOKUP($A156,'The List'!$B1:$AS671,4,FALSE)," ")</f>
        <v xml:space="preserve"> </v>
      </c>
      <c r="D156" s="18" t="str" cm="1">
        <f t="array" ref="D156">IFERROR(VLOOKUP($A156,'The List'!$B1:$AS671,5,FALSE)," ")</f>
        <v xml:space="preserve"> </v>
      </c>
      <c r="E156" s="18" t="str" cm="1">
        <f t="array" ref="E156">IFERROR(VLOOKUP($A156,'The List'!$B1:$AS671,6,FALSE)," ")</f>
        <v xml:space="preserve"> </v>
      </c>
      <c r="F156" s="93" t="str" cm="1">
        <f t="array" ref="F156">IFERROR(VLOOKUP($A156,'The List'!$B1:$AS671,8,FALSE)," ")</f>
        <v xml:space="preserve"> </v>
      </c>
      <c r="G156" s="93" t="str" cm="1">
        <f t="array" ref="G156">IFERROR(VLOOKUP($A156,'The List'!$B1:$AS671,10,FALSE)," ")</f>
        <v xml:space="preserve"> </v>
      </c>
      <c r="H156" s="55"/>
      <c r="I156" s="85" t="str" cm="1">
        <f t="array" ref="I156">IFERROR(VLOOKUP($A156,'The List'!$B1:$AS671,16,FALSE)," ")</f>
        <v xml:space="preserve"> </v>
      </c>
      <c r="J156" s="85" t="str" cm="1">
        <f t="array" ref="J156">IFERROR(VLOOKUP($A156,'The List'!$B1:$AS671,17,FALSE)," ")</f>
        <v xml:space="preserve"> </v>
      </c>
      <c r="K156" s="85" t="str" cm="1">
        <f t="array" ref="K156">IFERROR(VLOOKUP($A156,'The List'!$B1:$AS671,18,FALSE)," ")</f>
        <v xml:space="preserve"> </v>
      </c>
      <c r="L156" s="85" t="str" cm="1">
        <f t="array" ref="L156">IFERROR(VLOOKUP($A156,'The List'!$B1:$AS671,19,FALSE)," ")</f>
        <v xml:space="preserve"> </v>
      </c>
      <c r="M156" s="85" t="str" cm="1">
        <f t="array" ref="M156">IFERROR(VLOOKUP($A156,'The List'!$B1:$AS671,20,FALSE)," ")</f>
        <v xml:space="preserve"> </v>
      </c>
      <c r="N156" s="85" t="str" cm="1">
        <f t="array" ref="N156">IFERROR(VLOOKUP($A156,'The List'!$B1:$AS671,21,FALSE)," ")</f>
        <v xml:space="preserve"> </v>
      </c>
      <c r="O156" s="85" t="str" cm="1">
        <f t="array" ref="O156">IFERROR(VLOOKUP($A156,'The List'!$B1:$AS671,22,FALSE)," ")</f>
        <v xml:space="preserve"> </v>
      </c>
      <c r="P156" s="85" t="str" cm="1">
        <f t="array" ref="P156">IFERROR(VLOOKUP($A156,'The List'!$B1:$AS671,23,FALSE)," ")</f>
        <v xml:space="preserve"> </v>
      </c>
      <c r="Q156" s="85" t="str" cm="1">
        <f t="array" ref="Q156">IFERROR(VLOOKUP($A156,'The List'!$B1:$AS671,24,FALSE)," ")</f>
        <v xml:space="preserve"> </v>
      </c>
      <c r="R156" s="85" t="str" cm="1">
        <f t="array" ref="R156">IFERROR(VLOOKUP($A156,'The List'!$B1:$AS671,25,FALSE)," ")</f>
        <v xml:space="preserve"> </v>
      </c>
      <c r="S156" s="85" t="str" cm="1">
        <f t="array" ref="S156">IFERROR(VLOOKUP($A156,'The List'!$B1:$AS671,26,FALSE)," ")</f>
        <v xml:space="preserve"> </v>
      </c>
      <c r="T156" s="85" t="str" cm="1">
        <f t="array" ref="T156">IFERROR(VLOOKUP($A156,'The List'!$B1:$AS671,27,FALSE)," ")</f>
        <v xml:space="preserve"> </v>
      </c>
      <c r="U156" s="85" t="str" cm="1">
        <f t="array" ref="U156">IFERROR(VLOOKUP($A156,'The List'!$B1:$AS671,28,FALSE)," ")</f>
        <v xml:space="preserve"> </v>
      </c>
      <c r="V156" s="85" t="str" cm="1">
        <f t="array" ref="V156">IFERROR(VLOOKUP($A156,'The List'!$B1:$AS671,29,FALSE)," ")</f>
        <v xml:space="preserve"> </v>
      </c>
      <c r="W156" s="85" t="str" cm="1">
        <f t="array" ref="W156">IFERROR(VLOOKUP($A156,'The List'!$B1:$AS671,30,FALSE)," ")</f>
        <v xml:space="preserve"> </v>
      </c>
      <c r="X156" s="85" t="str" cm="1">
        <f t="array" ref="X156">IFERROR(VLOOKUP($A156,'The List'!$B1:$AS671,31,FALSE)," ")</f>
        <v xml:space="preserve"> </v>
      </c>
      <c r="Y156" s="85" t="str" cm="1">
        <f t="array" ref="Y156">IFERROR(VLOOKUP($A156,'The List'!$B1:$AS671,32,FALSE)," ")</f>
        <v xml:space="preserve"> </v>
      </c>
      <c r="Z156" s="85" t="str" cm="1">
        <f t="array" ref="Z156">IFERROR(VLOOKUP($A156,'The List'!$B1:$AS671,33,FALSE)," ")</f>
        <v xml:space="preserve"> </v>
      </c>
      <c r="AA156" s="86"/>
      <c r="AB156" s="91"/>
      <c r="AC156" s="91"/>
      <c r="AD156" s="91"/>
      <c r="AE156" s="91"/>
      <c r="AF156" s="91"/>
    </row>
    <row r="157" spans="1:32" ht="21.25" customHeight="1" x14ac:dyDescent="0.15">
      <c r="A157" s="24"/>
      <c r="B157" s="97" t="str" cm="1">
        <f t="array" ref="B157">IFERROR(VLOOKUP($A157,'The List'!$B1:$AS671,3,FALSE)," ")</f>
        <v xml:space="preserve"> </v>
      </c>
      <c r="C157" s="99" t="str" cm="1">
        <f t="array" ref="C157">IFERROR(VLOOKUP($A157,'The List'!$B1:$AS671,4,FALSE)," ")</f>
        <v xml:space="preserve"> </v>
      </c>
      <c r="D157" s="18" t="str" cm="1">
        <f t="array" ref="D157">IFERROR(VLOOKUP($A157,'The List'!$B1:$AS671,5,FALSE)," ")</f>
        <v xml:space="preserve"> </v>
      </c>
      <c r="E157" s="18" t="str" cm="1">
        <f t="array" ref="E157">IFERROR(VLOOKUP($A157,'The List'!$B1:$AS671,6,FALSE)," ")</f>
        <v xml:space="preserve"> </v>
      </c>
      <c r="F157" s="93" t="str" cm="1">
        <f t="array" ref="F157">IFERROR(VLOOKUP($A157,'The List'!$B1:$AS671,8,FALSE)," ")</f>
        <v xml:space="preserve"> </v>
      </c>
      <c r="G157" s="93" t="str" cm="1">
        <f t="array" ref="G157">IFERROR(VLOOKUP($A157,'The List'!$B1:$AS671,10,FALSE)," ")</f>
        <v xml:space="preserve"> </v>
      </c>
      <c r="H157" s="55"/>
      <c r="I157" s="85" t="str" cm="1">
        <f t="array" ref="I157">IFERROR(VLOOKUP($A157,'The List'!$B1:$AS671,16,FALSE)," ")</f>
        <v xml:space="preserve"> </v>
      </c>
      <c r="J157" s="85" t="str" cm="1">
        <f t="array" ref="J157">IFERROR(VLOOKUP($A157,'The List'!$B1:$AS671,17,FALSE)," ")</f>
        <v xml:space="preserve"> </v>
      </c>
      <c r="K157" s="85" t="str" cm="1">
        <f t="array" ref="K157">IFERROR(VLOOKUP($A157,'The List'!$B1:$AS671,18,FALSE)," ")</f>
        <v xml:space="preserve"> </v>
      </c>
      <c r="L157" s="85" t="str" cm="1">
        <f t="array" ref="L157">IFERROR(VLOOKUP($A157,'The List'!$B1:$AS671,19,FALSE)," ")</f>
        <v xml:space="preserve"> </v>
      </c>
      <c r="M157" s="85" t="str" cm="1">
        <f t="array" ref="M157">IFERROR(VLOOKUP($A157,'The List'!$B1:$AS671,20,FALSE)," ")</f>
        <v xml:space="preserve"> </v>
      </c>
      <c r="N157" s="85" t="str" cm="1">
        <f t="array" ref="N157">IFERROR(VLOOKUP($A157,'The List'!$B1:$AS671,21,FALSE)," ")</f>
        <v xml:space="preserve"> </v>
      </c>
      <c r="O157" s="85" t="str" cm="1">
        <f t="array" ref="O157">IFERROR(VLOOKUP($A157,'The List'!$B1:$AS671,22,FALSE)," ")</f>
        <v xml:space="preserve"> </v>
      </c>
      <c r="P157" s="85" t="str" cm="1">
        <f t="array" ref="P157">IFERROR(VLOOKUP($A157,'The List'!$B1:$AS671,23,FALSE)," ")</f>
        <v xml:space="preserve"> </v>
      </c>
      <c r="Q157" s="85" t="str" cm="1">
        <f t="array" ref="Q157">IFERROR(VLOOKUP($A157,'The List'!$B1:$AS671,24,FALSE)," ")</f>
        <v xml:space="preserve"> </v>
      </c>
      <c r="R157" s="85" t="str" cm="1">
        <f t="array" ref="R157">IFERROR(VLOOKUP($A157,'The List'!$B1:$AS671,25,FALSE)," ")</f>
        <v xml:space="preserve"> </v>
      </c>
      <c r="S157" s="85" t="str" cm="1">
        <f t="array" ref="S157">IFERROR(VLOOKUP($A157,'The List'!$B1:$AS671,26,FALSE)," ")</f>
        <v xml:space="preserve"> </v>
      </c>
      <c r="T157" s="85" t="str" cm="1">
        <f t="array" ref="T157">IFERROR(VLOOKUP($A157,'The List'!$B1:$AS671,27,FALSE)," ")</f>
        <v xml:space="preserve"> </v>
      </c>
      <c r="U157" s="85" t="str" cm="1">
        <f t="array" ref="U157">IFERROR(VLOOKUP($A157,'The List'!$B1:$AS671,28,FALSE)," ")</f>
        <v xml:space="preserve"> </v>
      </c>
      <c r="V157" s="85" t="str" cm="1">
        <f t="array" ref="V157">IFERROR(VLOOKUP($A157,'The List'!$B1:$AS671,29,FALSE)," ")</f>
        <v xml:space="preserve"> </v>
      </c>
      <c r="W157" s="85" t="str" cm="1">
        <f t="array" ref="W157">IFERROR(VLOOKUP($A157,'The List'!$B1:$AS671,30,FALSE)," ")</f>
        <v xml:space="preserve"> </v>
      </c>
      <c r="X157" s="85" t="str" cm="1">
        <f t="array" ref="X157">IFERROR(VLOOKUP($A157,'The List'!$B1:$AS671,31,FALSE)," ")</f>
        <v xml:space="preserve"> </v>
      </c>
      <c r="Y157" s="85" t="str" cm="1">
        <f t="array" ref="Y157">IFERROR(VLOOKUP($A157,'The List'!$B1:$AS671,32,FALSE)," ")</f>
        <v xml:space="preserve"> </v>
      </c>
      <c r="Z157" s="85" t="str" cm="1">
        <f t="array" ref="Z157">IFERROR(VLOOKUP($A157,'The List'!$B1:$AS671,33,FALSE)," ")</f>
        <v xml:space="preserve"> </v>
      </c>
      <c r="AA157" s="86"/>
      <c r="AB157" s="91"/>
      <c r="AC157" s="91"/>
      <c r="AD157" s="91"/>
      <c r="AE157" s="91"/>
      <c r="AF157" s="91"/>
    </row>
    <row r="158" spans="1:32" ht="21.25" customHeight="1" x14ac:dyDescent="0.15">
      <c r="A158" s="24"/>
      <c r="B158" s="97" t="str" cm="1">
        <f t="array" ref="B158">IFERROR(VLOOKUP($A158,'The List'!$B1:$AS671,3,FALSE)," ")</f>
        <v xml:space="preserve"> </v>
      </c>
      <c r="C158" s="99" t="str" cm="1">
        <f t="array" ref="C158">IFERROR(VLOOKUP($A158,'The List'!$B1:$AS671,4,FALSE)," ")</f>
        <v xml:space="preserve"> </v>
      </c>
      <c r="D158" s="18" t="str" cm="1">
        <f t="array" ref="D158">IFERROR(VLOOKUP($A158,'The List'!$B1:$AS671,5,FALSE)," ")</f>
        <v xml:space="preserve"> </v>
      </c>
      <c r="E158" s="18" t="str" cm="1">
        <f t="array" ref="E158">IFERROR(VLOOKUP($A158,'The List'!$B1:$AS671,6,FALSE)," ")</f>
        <v xml:space="preserve"> </v>
      </c>
      <c r="F158" s="93" t="str" cm="1">
        <f t="array" ref="F158">IFERROR(VLOOKUP($A158,'The List'!$B1:$AS671,8,FALSE)," ")</f>
        <v xml:space="preserve"> </v>
      </c>
      <c r="G158" s="93" t="str" cm="1">
        <f t="array" ref="G158">IFERROR(VLOOKUP($A158,'The List'!$B1:$AS671,10,FALSE)," ")</f>
        <v xml:space="preserve"> </v>
      </c>
      <c r="H158" s="55"/>
      <c r="I158" s="85" t="str" cm="1">
        <f t="array" ref="I158">IFERROR(VLOOKUP($A158,'The List'!$B1:$AS671,16,FALSE)," ")</f>
        <v xml:space="preserve"> </v>
      </c>
      <c r="J158" s="85" t="str" cm="1">
        <f t="array" ref="J158">IFERROR(VLOOKUP($A158,'The List'!$B1:$AS671,17,FALSE)," ")</f>
        <v xml:space="preserve"> </v>
      </c>
      <c r="K158" s="85" t="str" cm="1">
        <f t="array" ref="K158">IFERROR(VLOOKUP($A158,'The List'!$B1:$AS671,18,FALSE)," ")</f>
        <v xml:space="preserve"> </v>
      </c>
      <c r="L158" s="85" t="str" cm="1">
        <f t="array" ref="L158">IFERROR(VLOOKUP($A158,'The List'!$B1:$AS671,19,FALSE)," ")</f>
        <v xml:space="preserve"> </v>
      </c>
      <c r="M158" s="85" t="str" cm="1">
        <f t="array" ref="M158">IFERROR(VLOOKUP($A158,'The List'!$B1:$AS671,20,FALSE)," ")</f>
        <v xml:space="preserve"> </v>
      </c>
      <c r="N158" s="85" t="str" cm="1">
        <f t="array" ref="N158">IFERROR(VLOOKUP($A158,'The List'!$B1:$AS671,21,FALSE)," ")</f>
        <v xml:space="preserve"> </v>
      </c>
      <c r="O158" s="85" t="str" cm="1">
        <f t="array" ref="O158">IFERROR(VLOOKUP($A158,'The List'!$B1:$AS671,22,FALSE)," ")</f>
        <v xml:space="preserve"> </v>
      </c>
      <c r="P158" s="85" t="str" cm="1">
        <f t="array" ref="P158">IFERROR(VLOOKUP($A158,'The List'!$B1:$AS671,23,FALSE)," ")</f>
        <v xml:space="preserve"> </v>
      </c>
      <c r="Q158" s="85" t="str" cm="1">
        <f t="array" ref="Q158">IFERROR(VLOOKUP($A158,'The List'!$B1:$AS671,24,FALSE)," ")</f>
        <v xml:space="preserve"> </v>
      </c>
      <c r="R158" s="85" t="str" cm="1">
        <f t="array" ref="R158">IFERROR(VLOOKUP($A158,'The List'!$B1:$AS671,25,FALSE)," ")</f>
        <v xml:space="preserve"> </v>
      </c>
      <c r="S158" s="85" t="str" cm="1">
        <f t="array" ref="S158">IFERROR(VLOOKUP($A158,'The List'!$B1:$AS671,26,FALSE)," ")</f>
        <v xml:space="preserve"> </v>
      </c>
      <c r="T158" s="85" t="str" cm="1">
        <f t="array" ref="T158">IFERROR(VLOOKUP($A158,'The List'!$B1:$AS671,27,FALSE)," ")</f>
        <v xml:space="preserve"> </v>
      </c>
      <c r="U158" s="85" t="str" cm="1">
        <f t="array" ref="U158">IFERROR(VLOOKUP($A158,'The List'!$B1:$AS671,28,FALSE)," ")</f>
        <v xml:space="preserve"> </v>
      </c>
      <c r="V158" s="85" t="str" cm="1">
        <f t="array" ref="V158">IFERROR(VLOOKUP($A158,'The List'!$B1:$AS671,29,FALSE)," ")</f>
        <v xml:space="preserve"> </v>
      </c>
      <c r="W158" s="85" t="str" cm="1">
        <f t="array" ref="W158">IFERROR(VLOOKUP($A158,'The List'!$B1:$AS671,30,FALSE)," ")</f>
        <v xml:space="preserve"> </v>
      </c>
      <c r="X158" s="85" t="str" cm="1">
        <f t="array" ref="X158">IFERROR(VLOOKUP($A158,'The List'!$B1:$AS671,31,FALSE)," ")</f>
        <v xml:space="preserve"> </v>
      </c>
      <c r="Y158" s="85" t="str" cm="1">
        <f t="array" ref="Y158">IFERROR(VLOOKUP($A158,'The List'!$B1:$AS671,32,FALSE)," ")</f>
        <v xml:space="preserve"> </v>
      </c>
      <c r="Z158" s="85" t="str" cm="1">
        <f t="array" ref="Z158">IFERROR(VLOOKUP($A158,'The List'!$B1:$AS671,33,FALSE)," ")</f>
        <v xml:space="preserve"> </v>
      </c>
      <c r="AA158" s="86"/>
      <c r="AB158" s="91"/>
      <c r="AC158" s="91"/>
      <c r="AD158" s="91"/>
      <c r="AE158" s="91"/>
      <c r="AF158" s="91"/>
    </row>
    <row r="159" spans="1:32" ht="21.25" customHeight="1" x14ac:dyDescent="0.15">
      <c r="A159" s="24"/>
      <c r="B159" s="100" t="str" cm="1">
        <f t="array" ref="B159">IFERROR(VLOOKUP($A159,'The List'!$B1:$AS671,3,FALSE)," ")</f>
        <v xml:space="preserve"> </v>
      </c>
      <c r="C159" s="102" t="str" cm="1">
        <f t="array" ref="C159">IFERROR(VLOOKUP($A159,'The List'!$B1:$AS671,4,FALSE)," ")</f>
        <v xml:space="preserve"> </v>
      </c>
      <c r="D159" s="18" t="str" cm="1">
        <f t="array" ref="D159">IFERROR(VLOOKUP($A159,'The List'!$B1:$AS671,5,FALSE)," ")</f>
        <v xml:space="preserve"> </v>
      </c>
      <c r="E159" s="18" t="str" cm="1">
        <f t="array" ref="E159">IFERROR(VLOOKUP($A159,'The List'!$B1:$AS671,6,FALSE)," ")</f>
        <v xml:space="preserve"> </v>
      </c>
      <c r="F159" s="93" t="str" cm="1">
        <f t="array" ref="F159">IFERROR(VLOOKUP($A159,'The List'!$B1:$AS671,8,FALSE)," ")</f>
        <v xml:space="preserve"> </v>
      </c>
      <c r="G159" s="93" t="str" cm="1">
        <f t="array" ref="G159">IFERROR(VLOOKUP($A159,'The List'!$B1:$AS671,10,FALSE)," ")</f>
        <v xml:space="preserve"> </v>
      </c>
      <c r="H159" s="55"/>
      <c r="I159" s="85" t="str" cm="1">
        <f t="array" ref="I159">IFERROR(VLOOKUP($A159,'The List'!$B1:$AS671,16,FALSE)," ")</f>
        <v xml:space="preserve"> </v>
      </c>
      <c r="J159" s="85" t="str" cm="1">
        <f t="array" ref="J159">IFERROR(VLOOKUP($A159,'The List'!$B1:$AS671,17,FALSE)," ")</f>
        <v xml:space="preserve"> </v>
      </c>
      <c r="K159" s="85" t="str" cm="1">
        <f t="array" ref="K159">IFERROR(VLOOKUP($A159,'The List'!$B1:$AS671,18,FALSE)," ")</f>
        <v xml:space="preserve"> </v>
      </c>
      <c r="L159" s="85" t="str" cm="1">
        <f t="array" ref="L159">IFERROR(VLOOKUP($A159,'The List'!$B1:$AS671,19,FALSE)," ")</f>
        <v xml:space="preserve"> </v>
      </c>
      <c r="M159" s="85" t="str" cm="1">
        <f t="array" ref="M159">IFERROR(VLOOKUP($A159,'The List'!$B1:$AS671,20,FALSE)," ")</f>
        <v xml:space="preserve"> </v>
      </c>
      <c r="N159" s="85" t="str" cm="1">
        <f t="array" ref="N159">IFERROR(VLOOKUP($A159,'The List'!$B1:$AS671,21,FALSE)," ")</f>
        <v xml:space="preserve"> </v>
      </c>
      <c r="O159" s="85" t="str" cm="1">
        <f t="array" ref="O159">IFERROR(VLOOKUP($A159,'The List'!$B1:$AS671,22,FALSE)," ")</f>
        <v xml:space="preserve"> </v>
      </c>
      <c r="P159" s="85" t="str" cm="1">
        <f t="array" ref="P159">IFERROR(VLOOKUP($A159,'The List'!$B1:$AS671,23,FALSE)," ")</f>
        <v xml:space="preserve"> </v>
      </c>
      <c r="Q159" s="85" t="str" cm="1">
        <f t="array" ref="Q159">IFERROR(VLOOKUP($A159,'The List'!$B1:$AS671,24,FALSE)," ")</f>
        <v xml:space="preserve"> </v>
      </c>
      <c r="R159" s="85" t="str" cm="1">
        <f t="array" ref="R159">IFERROR(VLOOKUP($A159,'The List'!$B1:$AS671,25,FALSE)," ")</f>
        <v xml:space="preserve"> </v>
      </c>
      <c r="S159" s="85" t="str" cm="1">
        <f t="array" ref="S159">IFERROR(VLOOKUP($A159,'The List'!$B1:$AS671,26,FALSE)," ")</f>
        <v xml:space="preserve"> </v>
      </c>
      <c r="T159" s="85" t="str" cm="1">
        <f t="array" ref="T159">IFERROR(VLOOKUP($A159,'The List'!$B1:$AS671,27,FALSE)," ")</f>
        <v xml:space="preserve"> </v>
      </c>
      <c r="U159" s="85" t="str" cm="1">
        <f t="array" ref="U159">IFERROR(VLOOKUP($A159,'The List'!$B1:$AS671,28,FALSE)," ")</f>
        <v xml:space="preserve"> </v>
      </c>
      <c r="V159" s="85" t="str" cm="1">
        <f t="array" ref="V159">IFERROR(VLOOKUP($A159,'The List'!$B1:$AS671,29,FALSE)," ")</f>
        <v xml:space="preserve"> </v>
      </c>
      <c r="W159" s="85" t="str" cm="1">
        <f t="array" ref="W159">IFERROR(VLOOKUP($A159,'The List'!$B1:$AS671,30,FALSE)," ")</f>
        <v xml:space="preserve"> </v>
      </c>
      <c r="X159" s="85" t="str" cm="1">
        <f t="array" ref="X159">IFERROR(VLOOKUP($A159,'The List'!$B1:$AS671,31,FALSE)," ")</f>
        <v xml:space="preserve"> </v>
      </c>
      <c r="Y159" s="85" t="str" cm="1">
        <f t="array" ref="Y159">IFERROR(VLOOKUP($A159,'The List'!$B1:$AS671,32,FALSE)," ")</f>
        <v xml:space="preserve"> </v>
      </c>
      <c r="Z159" s="85" t="str" cm="1">
        <f t="array" ref="Z159">IFERROR(VLOOKUP($A159,'The List'!$B1:$AS671,33,FALSE)," ")</f>
        <v xml:space="preserve"> </v>
      </c>
      <c r="AA159" s="86"/>
      <c r="AB159" s="91"/>
      <c r="AC159" s="91"/>
      <c r="AD159" s="91"/>
      <c r="AE159" s="91"/>
      <c r="AF159" s="91"/>
    </row>
    <row r="160" spans="1:32" ht="21.25" customHeight="1" x14ac:dyDescent="0.15">
      <c r="A160" s="24"/>
      <c r="B160" s="100" t="str" cm="1">
        <f t="array" ref="B160">IFERROR(VLOOKUP($A160,'The List'!$B1:$AS671,3,FALSE)," ")</f>
        <v xml:space="preserve"> </v>
      </c>
      <c r="C160" s="102" t="str" cm="1">
        <f t="array" ref="C160">IFERROR(VLOOKUP($A160,'The List'!$B1:$AS671,4,FALSE)," ")</f>
        <v xml:space="preserve"> </v>
      </c>
      <c r="D160" s="18" t="str" cm="1">
        <f t="array" ref="D160">IFERROR(VLOOKUP($A160,'The List'!$B1:$AS671,5,FALSE)," ")</f>
        <v xml:space="preserve"> </v>
      </c>
      <c r="E160" s="18" t="str" cm="1">
        <f t="array" ref="E160">IFERROR(VLOOKUP($A160,'The List'!$B1:$AS671,6,FALSE)," ")</f>
        <v xml:space="preserve"> </v>
      </c>
      <c r="F160" s="93" t="str" cm="1">
        <f t="array" ref="F160">IFERROR(VLOOKUP($A160,'The List'!$B1:$AS671,8,FALSE)," ")</f>
        <v xml:space="preserve"> </v>
      </c>
      <c r="G160" s="93" t="str" cm="1">
        <f t="array" ref="G160">IFERROR(VLOOKUP($A160,'The List'!$B1:$AS671,10,FALSE)," ")</f>
        <v xml:space="preserve"> </v>
      </c>
      <c r="H160" s="55"/>
      <c r="I160" s="85" t="str" cm="1">
        <f t="array" ref="I160">IFERROR(VLOOKUP($A160,'The List'!$B1:$AS671,16,FALSE)," ")</f>
        <v xml:space="preserve"> </v>
      </c>
      <c r="J160" s="85" t="str" cm="1">
        <f t="array" ref="J160">IFERROR(VLOOKUP($A160,'The List'!$B1:$AS671,17,FALSE)," ")</f>
        <v xml:space="preserve"> </v>
      </c>
      <c r="K160" s="85" t="str" cm="1">
        <f t="array" ref="K160">IFERROR(VLOOKUP($A160,'The List'!$B1:$AS671,18,FALSE)," ")</f>
        <v xml:space="preserve"> </v>
      </c>
      <c r="L160" s="85" t="str" cm="1">
        <f t="array" ref="L160">IFERROR(VLOOKUP($A160,'The List'!$B1:$AS671,19,FALSE)," ")</f>
        <v xml:space="preserve"> </v>
      </c>
      <c r="M160" s="85" t="str" cm="1">
        <f t="array" ref="M160">IFERROR(VLOOKUP($A160,'The List'!$B1:$AS671,20,FALSE)," ")</f>
        <v xml:space="preserve"> </v>
      </c>
      <c r="N160" s="85" t="str" cm="1">
        <f t="array" ref="N160">IFERROR(VLOOKUP($A160,'The List'!$B1:$AS671,21,FALSE)," ")</f>
        <v xml:space="preserve"> </v>
      </c>
      <c r="O160" s="85" t="str" cm="1">
        <f t="array" ref="O160">IFERROR(VLOOKUP($A160,'The List'!$B1:$AS671,22,FALSE)," ")</f>
        <v xml:space="preserve"> </v>
      </c>
      <c r="P160" s="85" t="str" cm="1">
        <f t="array" ref="P160">IFERROR(VLOOKUP($A160,'The List'!$B1:$AS671,23,FALSE)," ")</f>
        <v xml:space="preserve"> </v>
      </c>
      <c r="Q160" s="85" t="str" cm="1">
        <f t="array" ref="Q160">IFERROR(VLOOKUP($A160,'The List'!$B1:$AS671,24,FALSE)," ")</f>
        <v xml:space="preserve"> </v>
      </c>
      <c r="R160" s="85" t="str" cm="1">
        <f t="array" ref="R160">IFERROR(VLOOKUP($A160,'The List'!$B1:$AS671,25,FALSE)," ")</f>
        <v xml:space="preserve"> </v>
      </c>
      <c r="S160" s="85" t="str" cm="1">
        <f t="array" ref="S160">IFERROR(VLOOKUP($A160,'The List'!$B1:$AS671,26,FALSE)," ")</f>
        <v xml:space="preserve"> </v>
      </c>
      <c r="T160" s="85" t="str" cm="1">
        <f t="array" ref="T160">IFERROR(VLOOKUP($A160,'The List'!$B1:$AS671,27,FALSE)," ")</f>
        <v xml:space="preserve"> </v>
      </c>
      <c r="U160" s="85" t="str" cm="1">
        <f t="array" ref="U160">IFERROR(VLOOKUP($A160,'The List'!$B1:$AS671,28,FALSE)," ")</f>
        <v xml:space="preserve"> </v>
      </c>
      <c r="V160" s="85" t="str" cm="1">
        <f t="array" ref="V160">IFERROR(VLOOKUP($A160,'The List'!$B1:$AS671,29,FALSE)," ")</f>
        <v xml:space="preserve"> </v>
      </c>
      <c r="W160" s="85" t="str" cm="1">
        <f t="array" ref="W160">IFERROR(VLOOKUP($A160,'The List'!$B1:$AS671,30,FALSE)," ")</f>
        <v xml:space="preserve"> </v>
      </c>
      <c r="X160" s="85" t="str" cm="1">
        <f t="array" ref="X160">IFERROR(VLOOKUP($A160,'The List'!$B1:$AS671,31,FALSE)," ")</f>
        <v xml:space="preserve"> </v>
      </c>
      <c r="Y160" s="85" t="str" cm="1">
        <f t="array" ref="Y160">IFERROR(VLOOKUP($A160,'The List'!$B1:$AS671,32,FALSE)," ")</f>
        <v xml:space="preserve"> </v>
      </c>
      <c r="Z160" s="85" t="str" cm="1">
        <f t="array" ref="Z160">IFERROR(VLOOKUP($A160,'The List'!$B1:$AS671,33,FALSE)," ")</f>
        <v xml:space="preserve"> </v>
      </c>
      <c r="AA160" s="86"/>
      <c r="AB160" s="91"/>
      <c r="AC160" s="91"/>
      <c r="AD160" s="91"/>
      <c r="AE160" s="91"/>
      <c r="AF160" s="91"/>
    </row>
    <row r="161" spans="1:32" ht="21.25" customHeight="1" x14ac:dyDescent="0.15">
      <c r="A161" s="24"/>
      <c r="B161" s="100" t="str" cm="1">
        <f t="array" ref="B161">IFERROR(VLOOKUP($A161,'The List'!$B1:$AS671,3,FALSE)," ")</f>
        <v xml:space="preserve"> </v>
      </c>
      <c r="C161" s="102" t="str" cm="1">
        <f t="array" ref="C161">IFERROR(VLOOKUP($A161,'The List'!$B1:$AS671,4,FALSE)," ")</f>
        <v xml:space="preserve"> </v>
      </c>
      <c r="D161" s="18" t="str" cm="1">
        <f t="array" ref="D161">IFERROR(VLOOKUP($A161,'The List'!$B1:$AS671,5,FALSE)," ")</f>
        <v xml:space="preserve"> </v>
      </c>
      <c r="E161" s="18" t="str" cm="1">
        <f t="array" ref="E161">IFERROR(VLOOKUP($A161,'The List'!$B1:$AS671,6,FALSE)," ")</f>
        <v xml:space="preserve"> </v>
      </c>
      <c r="F161" s="93" t="str" cm="1">
        <f t="array" ref="F161">IFERROR(VLOOKUP($A161,'The List'!$B1:$AS671,8,FALSE)," ")</f>
        <v xml:space="preserve"> </v>
      </c>
      <c r="G161" s="93" t="str" cm="1">
        <f t="array" ref="G161">IFERROR(VLOOKUP($A161,'The List'!$B1:$AS671,10,FALSE)," ")</f>
        <v xml:space="preserve"> </v>
      </c>
      <c r="H161" s="55"/>
      <c r="I161" s="85" t="str" cm="1">
        <f t="array" ref="I161">IFERROR(VLOOKUP($A161,'The List'!$B1:$AS671,16,FALSE)," ")</f>
        <v xml:space="preserve"> </v>
      </c>
      <c r="J161" s="85" t="str" cm="1">
        <f t="array" ref="J161">IFERROR(VLOOKUP($A161,'The List'!$B1:$AS671,17,FALSE)," ")</f>
        <v xml:space="preserve"> </v>
      </c>
      <c r="K161" s="85" t="str" cm="1">
        <f t="array" ref="K161">IFERROR(VLOOKUP($A161,'The List'!$B1:$AS671,18,FALSE)," ")</f>
        <v xml:space="preserve"> </v>
      </c>
      <c r="L161" s="85" t="str" cm="1">
        <f t="array" ref="L161">IFERROR(VLOOKUP($A161,'The List'!$B1:$AS671,19,FALSE)," ")</f>
        <v xml:space="preserve"> </v>
      </c>
      <c r="M161" s="85" t="str" cm="1">
        <f t="array" ref="M161">IFERROR(VLOOKUP($A161,'The List'!$B1:$AS671,20,FALSE)," ")</f>
        <v xml:space="preserve"> </v>
      </c>
      <c r="N161" s="85" t="str" cm="1">
        <f t="array" ref="N161">IFERROR(VLOOKUP($A161,'The List'!$B1:$AS671,21,FALSE)," ")</f>
        <v xml:space="preserve"> </v>
      </c>
      <c r="O161" s="85" t="str" cm="1">
        <f t="array" ref="O161">IFERROR(VLOOKUP($A161,'The List'!$B1:$AS671,22,FALSE)," ")</f>
        <v xml:space="preserve"> </v>
      </c>
      <c r="P161" s="85" t="str" cm="1">
        <f t="array" ref="P161">IFERROR(VLOOKUP($A161,'The List'!$B1:$AS671,23,FALSE)," ")</f>
        <v xml:space="preserve"> </v>
      </c>
      <c r="Q161" s="85" t="str" cm="1">
        <f t="array" ref="Q161">IFERROR(VLOOKUP($A161,'The List'!$B1:$AS671,24,FALSE)," ")</f>
        <v xml:space="preserve"> </v>
      </c>
      <c r="R161" s="85" t="str" cm="1">
        <f t="array" ref="R161">IFERROR(VLOOKUP($A161,'The List'!$B1:$AS671,25,FALSE)," ")</f>
        <v xml:space="preserve"> </v>
      </c>
      <c r="S161" s="85" t="str" cm="1">
        <f t="array" ref="S161">IFERROR(VLOOKUP($A161,'The List'!$B1:$AS671,26,FALSE)," ")</f>
        <v xml:space="preserve"> </v>
      </c>
      <c r="T161" s="85" t="str" cm="1">
        <f t="array" ref="T161">IFERROR(VLOOKUP($A161,'The List'!$B1:$AS671,27,FALSE)," ")</f>
        <v xml:space="preserve"> </v>
      </c>
      <c r="U161" s="85" t="str" cm="1">
        <f t="array" ref="U161">IFERROR(VLOOKUP($A161,'The List'!$B1:$AS671,28,FALSE)," ")</f>
        <v xml:space="preserve"> </v>
      </c>
      <c r="V161" s="85" t="str" cm="1">
        <f t="array" ref="V161">IFERROR(VLOOKUP($A161,'The List'!$B1:$AS671,29,FALSE)," ")</f>
        <v xml:space="preserve"> </v>
      </c>
      <c r="W161" s="85" t="str" cm="1">
        <f t="array" ref="W161">IFERROR(VLOOKUP($A161,'The List'!$B1:$AS671,30,FALSE)," ")</f>
        <v xml:space="preserve"> </v>
      </c>
      <c r="X161" s="85" t="str" cm="1">
        <f t="array" ref="X161">IFERROR(VLOOKUP($A161,'The List'!$B1:$AS671,31,FALSE)," ")</f>
        <v xml:space="preserve"> </v>
      </c>
      <c r="Y161" s="85" t="str" cm="1">
        <f t="array" ref="Y161">IFERROR(VLOOKUP($A161,'The List'!$B1:$AS671,32,FALSE)," ")</f>
        <v xml:space="preserve"> </v>
      </c>
      <c r="Z161" s="85" t="str" cm="1">
        <f t="array" ref="Z161">IFERROR(VLOOKUP($A161,'The List'!$B1:$AS671,33,FALSE)," ")</f>
        <v xml:space="preserve"> </v>
      </c>
      <c r="AA161" s="86"/>
      <c r="AB161" s="91"/>
      <c r="AC161" s="91"/>
      <c r="AD161" s="91"/>
      <c r="AE161" s="91"/>
      <c r="AF161" s="91"/>
    </row>
    <row r="162" spans="1:32" ht="21.25" customHeight="1" x14ac:dyDescent="0.15">
      <c r="A162" s="24"/>
      <c r="B162" s="100" t="str" cm="1">
        <f t="array" ref="B162">IFERROR(VLOOKUP($A162,'The List'!$B1:$AS671,3,FALSE)," ")</f>
        <v xml:space="preserve"> </v>
      </c>
      <c r="C162" s="102" t="str" cm="1">
        <f t="array" ref="C162">IFERROR(VLOOKUP($A162,'The List'!$B1:$AS671,4,FALSE)," ")</f>
        <v xml:space="preserve"> </v>
      </c>
      <c r="D162" s="18" t="str" cm="1">
        <f t="array" ref="D162">IFERROR(VLOOKUP($A162,'The List'!$B1:$AS671,5,FALSE)," ")</f>
        <v xml:space="preserve"> </v>
      </c>
      <c r="E162" s="18" t="str" cm="1">
        <f t="array" ref="E162">IFERROR(VLOOKUP($A162,'The List'!$B1:$AS671,6,FALSE)," ")</f>
        <v xml:space="preserve"> </v>
      </c>
      <c r="F162" s="93" t="str" cm="1">
        <f t="array" ref="F162">IFERROR(VLOOKUP($A162,'The List'!$B1:$AS671,8,FALSE)," ")</f>
        <v xml:space="preserve"> </v>
      </c>
      <c r="G162" s="93" t="str" cm="1">
        <f t="array" ref="G162">IFERROR(VLOOKUP($A162,'The List'!$B1:$AS671,10,FALSE)," ")</f>
        <v xml:space="preserve"> </v>
      </c>
      <c r="H162" s="55"/>
      <c r="I162" s="85" t="str" cm="1">
        <f t="array" ref="I162">IFERROR(VLOOKUP($A162,'The List'!$B1:$AS671,16,FALSE)," ")</f>
        <v xml:space="preserve"> </v>
      </c>
      <c r="J162" s="85" t="str" cm="1">
        <f t="array" ref="J162">IFERROR(VLOOKUP($A162,'The List'!$B1:$AS671,17,FALSE)," ")</f>
        <v xml:space="preserve"> </v>
      </c>
      <c r="K162" s="85" t="str" cm="1">
        <f t="array" ref="K162">IFERROR(VLOOKUP($A162,'The List'!$B1:$AS671,18,FALSE)," ")</f>
        <v xml:space="preserve"> </v>
      </c>
      <c r="L162" s="85" t="str" cm="1">
        <f t="array" ref="L162">IFERROR(VLOOKUP($A162,'The List'!$B1:$AS671,19,FALSE)," ")</f>
        <v xml:space="preserve"> </v>
      </c>
      <c r="M162" s="85" t="str" cm="1">
        <f t="array" ref="M162">IFERROR(VLOOKUP($A162,'The List'!$B1:$AS671,20,FALSE)," ")</f>
        <v xml:space="preserve"> </v>
      </c>
      <c r="N162" s="85" t="str" cm="1">
        <f t="array" ref="N162">IFERROR(VLOOKUP($A162,'The List'!$B1:$AS671,21,FALSE)," ")</f>
        <v xml:space="preserve"> </v>
      </c>
      <c r="O162" s="85" t="str" cm="1">
        <f t="array" ref="O162">IFERROR(VLOOKUP($A162,'The List'!$B1:$AS671,22,FALSE)," ")</f>
        <v xml:space="preserve"> </v>
      </c>
      <c r="P162" s="85" t="str" cm="1">
        <f t="array" ref="P162">IFERROR(VLOOKUP($A162,'The List'!$B1:$AS671,23,FALSE)," ")</f>
        <v xml:space="preserve"> </v>
      </c>
      <c r="Q162" s="85" t="str" cm="1">
        <f t="array" ref="Q162">IFERROR(VLOOKUP($A162,'The List'!$B1:$AS671,24,FALSE)," ")</f>
        <v xml:space="preserve"> </v>
      </c>
      <c r="R162" s="85" t="str" cm="1">
        <f t="array" ref="R162">IFERROR(VLOOKUP($A162,'The List'!$B1:$AS671,25,FALSE)," ")</f>
        <v xml:space="preserve"> </v>
      </c>
      <c r="S162" s="85" t="str" cm="1">
        <f t="array" ref="S162">IFERROR(VLOOKUP($A162,'The List'!$B1:$AS671,26,FALSE)," ")</f>
        <v xml:space="preserve"> </v>
      </c>
      <c r="T162" s="85" t="str" cm="1">
        <f t="array" ref="T162">IFERROR(VLOOKUP($A162,'The List'!$B1:$AS671,27,FALSE)," ")</f>
        <v xml:space="preserve"> </v>
      </c>
      <c r="U162" s="85" t="str" cm="1">
        <f t="array" ref="U162">IFERROR(VLOOKUP($A162,'The List'!$B1:$AS671,28,FALSE)," ")</f>
        <v xml:space="preserve"> </v>
      </c>
      <c r="V162" s="85" t="str" cm="1">
        <f t="array" ref="V162">IFERROR(VLOOKUP($A162,'The List'!$B1:$AS671,29,FALSE)," ")</f>
        <v xml:space="preserve"> </v>
      </c>
      <c r="W162" s="85" t="str" cm="1">
        <f t="array" ref="W162">IFERROR(VLOOKUP($A162,'The List'!$B1:$AS671,30,FALSE)," ")</f>
        <v xml:space="preserve"> </v>
      </c>
      <c r="X162" s="85" t="str" cm="1">
        <f t="array" ref="X162">IFERROR(VLOOKUP($A162,'The List'!$B1:$AS671,31,FALSE)," ")</f>
        <v xml:space="preserve"> </v>
      </c>
      <c r="Y162" s="85" t="str" cm="1">
        <f t="array" ref="Y162">IFERROR(VLOOKUP($A162,'The List'!$B1:$AS671,32,FALSE)," ")</f>
        <v xml:space="preserve"> </v>
      </c>
      <c r="Z162" s="85" t="str" cm="1">
        <f t="array" ref="Z162">IFERROR(VLOOKUP($A162,'The List'!$B1:$AS671,33,FALSE)," ")</f>
        <v xml:space="preserve"> </v>
      </c>
      <c r="AA162" s="86"/>
      <c r="AB162" s="91"/>
      <c r="AC162" s="91"/>
      <c r="AD162" s="91"/>
      <c r="AE162" s="91"/>
      <c r="AF162" s="91"/>
    </row>
    <row r="163" spans="1:32" ht="21.25" customHeight="1" x14ac:dyDescent="0.15">
      <c r="A163" s="24"/>
      <c r="B163" s="100" t="str" cm="1">
        <f t="array" ref="B163">IFERROR(VLOOKUP($A163,'The List'!$B1:$AS671,3,FALSE)," ")</f>
        <v xml:space="preserve"> </v>
      </c>
      <c r="C163" s="102" t="str" cm="1">
        <f t="array" ref="C163">IFERROR(VLOOKUP($A163,'The List'!$B1:$AS671,4,FALSE)," ")</f>
        <v xml:space="preserve"> </v>
      </c>
      <c r="D163" s="18" t="str" cm="1">
        <f t="array" ref="D163">IFERROR(VLOOKUP($A163,'The List'!$B1:$AS671,5,FALSE)," ")</f>
        <v xml:space="preserve"> </v>
      </c>
      <c r="E163" s="18" t="str" cm="1">
        <f t="array" ref="E163">IFERROR(VLOOKUP($A163,'The List'!$B1:$AS671,6,FALSE)," ")</f>
        <v xml:space="preserve"> </v>
      </c>
      <c r="F163" s="93" t="str" cm="1">
        <f t="array" ref="F163">IFERROR(VLOOKUP($A163,'The List'!$B1:$AS671,8,FALSE)," ")</f>
        <v xml:space="preserve"> </v>
      </c>
      <c r="G163" s="93" t="str" cm="1">
        <f t="array" ref="G163">IFERROR(VLOOKUP($A163,'The List'!$B1:$AS671,10,FALSE)," ")</f>
        <v xml:space="preserve"> </v>
      </c>
      <c r="H163" s="55"/>
      <c r="I163" s="85" t="str" cm="1">
        <f t="array" ref="I163">IFERROR(VLOOKUP($A163,'The List'!$B1:$AS671,16,FALSE)," ")</f>
        <v xml:space="preserve"> </v>
      </c>
      <c r="J163" s="85" t="str" cm="1">
        <f t="array" ref="J163">IFERROR(VLOOKUP($A163,'The List'!$B1:$AS671,17,FALSE)," ")</f>
        <v xml:space="preserve"> </v>
      </c>
      <c r="K163" s="85" t="str" cm="1">
        <f t="array" ref="K163">IFERROR(VLOOKUP($A163,'The List'!$B1:$AS671,18,FALSE)," ")</f>
        <v xml:space="preserve"> </v>
      </c>
      <c r="L163" s="85" t="str" cm="1">
        <f t="array" ref="L163">IFERROR(VLOOKUP($A163,'The List'!$B1:$AS671,19,FALSE)," ")</f>
        <v xml:space="preserve"> </v>
      </c>
      <c r="M163" s="85" t="str" cm="1">
        <f t="array" ref="M163">IFERROR(VLOOKUP($A163,'The List'!$B1:$AS671,20,FALSE)," ")</f>
        <v xml:space="preserve"> </v>
      </c>
      <c r="N163" s="85" t="str" cm="1">
        <f t="array" ref="N163">IFERROR(VLOOKUP($A163,'The List'!$B1:$AS671,21,FALSE)," ")</f>
        <v xml:space="preserve"> </v>
      </c>
      <c r="O163" s="85" t="str" cm="1">
        <f t="array" ref="O163">IFERROR(VLOOKUP($A163,'The List'!$B1:$AS671,22,FALSE)," ")</f>
        <v xml:space="preserve"> </v>
      </c>
      <c r="P163" s="85" t="str" cm="1">
        <f t="array" ref="P163">IFERROR(VLOOKUP($A163,'The List'!$B1:$AS671,23,FALSE)," ")</f>
        <v xml:space="preserve"> </v>
      </c>
      <c r="Q163" s="85" t="str" cm="1">
        <f t="array" ref="Q163">IFERROR(VLOOKUP($A163,'The List'!$B1:$AS671,24,FALSE)," ")</f>
        <v xml:space="preserve"> </v>
      </c>
      <c r="R163" s="85" t="str" cm="1">
        <f t="array" ref="R163">IFERROR(VLOOKUP($A163,'The List'!$B1:$AS671,25,FALSE)," ")</f>
        <v xml:space="preserve"> </v>
      </c>
      <c r="S163" s="85" t="str" cm="1">
        <f t="array" ref="S163">IFERROR(VLOOKUP($A163,'The List'!$B1:$AS671,26,FALSE)," ")</f>
        <v xml:space="preserve"> </v>
      </c>
      <c r="T163" s="85" t="str" cm="1">
        <f t="array" ref="T163">IFERROR(VLOOKUP($A163,'The List'!$B1:$AS671,27,FALSE)," ")</f>
        <v xml:space="preserve"> </v>
      </c>
      <c r="U163" s="85" t="str" cm="1">
        <f t="array" ref="U163">IFERROR(VLOOKUP($A163,'The List'!$B1:$AS671,28,FALSE)," ")</f>
        <v xml:space="preserve"> </v>
      </c>
      <c r="V163" s="85" t="str" cm="1">
        <f t="array" ref="V163">IFERROR(VLOOKUP($A163,'The List'!$B1:$AS671,29,FALSE)," ")</f>
        <v xml:space="preserve"> </v>
      </c>
      <c r="W163" s="85" t="str" cm="1">
        <f t="array" ref="W163">IFERROR(VLOOKUP($A163,'The List'!$B1:$AS671,30,FALSE)," ")</f>
        <v xml:space="preserve"> </v>
      </c>
      <c r="X163" s="85" t="str" cm="1">
        <f t="array" ref="X163">IFERROR(VLOOKUP($A163,'The List'!$B1:$AS671,31,FALSE)," ")</f>
        <v xml:space="preserve"> </v>
      </c>
      <c r="Y163" s="85" t="str" cm="1">
        <f t="array" ref="Y163">IFERROR(VLOOKUP($A163,'The List'!$B1:$AS671,32,FALSE)," ")</f>
        <v xml:space="preserve"> </v>
      </c>
      <c r="Z163" s="85" t="str" cm="1">
        <f t="array" ref="Z163">IFERROR(VLOOKUP($A163,'The List'!$B1:$AS671,33,FALSE)," ")</f>
        <v xml:space="preserve"> </v>
      </c>
      <c r="AA163" s="86"/>
      <c r="AB163" s="91"/>
      <c r="AC163" s="91"/>
      <c r="AD163" s="91"/>
      <c r="AE163" s="91"/>
      <c r="AF163" s="91"/>
    </row>
    <row r="164" spans="1:32" ht="21.25" customHeight="1" x14ac:dyDescent="0.15">
      <c r="A164" s="24"/>
      <c r="B164" s="100" t="str" cm="1">
        <f t="array" ref="B164">IFERROR(VLOOKUP($A164,'The List'!$B1:$AS671,3,FALSE)," ")</f>
        <v xml:space="preserve"> </v>
      </c>
      <c r="C164" s="102" t="str" cm="1">
        <f t="array" ref="C164">IFERROR(VLOOKUP($A164,'The List'!$B1:$AS671,4,FALSE)," ")</f>
        <v xml:space="preserve"> </v>
      </c>
      <c r="D164" s="18" t="str" cm="1">
        <f t="array" ref="D164">IFERROR(VLOOKUP($A164,'The List'!$B1:$AS671,5,FALSE)," ")</f>
        <v xml:space="preserve"> </v>
      </c>
      <c r="E164" s="18" t="str" cm="1">
        <f t="array" ref="E164">IFERROR(VLOOKUP($A164,'The List'!$B1:$AS671,6,FALSE)," ")</f>
        <v xml:space="preserve"> </v>
      </c>
      <c r="F164" s="93" t="str" cm="1">
        <f t="array" ref="F164">IFERROR(VLOOKUP($A164,'The List'!$B1:$AS671,8,FALSE)," ")</f>
        <v xml:space="preserve"> </v>
      </c>
      <c r="G164" s="93" t="str" cm="1">
        <f t="array" ref="G164">IFERROR(VLOOKUP($A164,'The List'!$B1:$AS671,10,FALSE)," ")</f>
        <v xml:space="preserve"> </v>
      </c>
      <c r="H164" s="55"/>
      <c r="I164" s="85" t="str" cm="1">
        <f t="array" ref="I164">IFERROR(VLOOKUP($A164,'The List'!$B1:$AS671,16,FALSE)," ")</f>
        <v xml:space="preserve"> </v>
      </c>
      <c r="J164" s="85" t="str" cm="1">
        <f t="array" ref="J164">IFERROR(VLOOKUP($A164,'The List'!$B1:$AS671,17,FALSE)," ")</f>
        <v xml:space="preserve"> </v>
      </c>
      <c r="K164" s="85" t="str" cm="1">
        <f t="array" ref="K164">IFERROR(VLOOKUP($A164,'The List'!$B1:$AS671,18,FALSE)," ")</f>
        <v xml:space="preserve"> </v>
      </c>
      <c r="L164" s="85" t="str" cm="1">
        <f t="array" ref="L164">IFERROR(VLOOKUP($A164,'The List'!$B1:$AS671,19,FALSE)," ")</f>
        <v xml:space="preserve"> </v>
      </c>
      <c r="M164" s="85" t="str" cm="1">
        <f t="array" ref="M164">IFERROR(VLOOKUP($A164,'The List'!$B1:$AS671,20,FALSE)," ")</f>
        <v xml:space="preserve"> </v>
      </c>
      <c r="N164" s="85" t="str" cm="1">
        <f t="array" ref="N164">IFERROR(VLOOKUP($A164,'The List'!$B1:$AS671,21,FALSE)," ")</f>
        <v xml:space="preserve"> </v>
      </c>
      <c r="O164" s="85" t="str" cm="1">
        <f t="array" ref="O164">IFERROR(VLOOKUP($A164,'The List'!$B1:$AS671,22,FALSE)," ")</f>
        <v xml:space="preserve"> </v>
      </c>
      <c r="P164" s="85" t="str" cm="1">
        <f t="array" ref="P164">IFERROR(VLOOKUP($A164,'The List'!$B1:$AS671,23,FALSE)," ")</f>
        <v xml:space="preserve"> </v>
      </c>
      <c r="Q164" s="85" t="str" cm="1">
        <f t="array" ref="Q164">IFERROR(VLOOKUP($A164,'The List'!$B1:$AS671,24,FALSE)," ")</f>
        <v xml:space="preserve"> </v>
      </c>
      <c r="R164" s="85" t="str" cm="1">
        <f t="array" ref="R164">IFERROR(VLOOKUP($A164,'The List'!$B1:$AS671,25,FALSE)," ")</f>
        <v xml:space="preserve"> </v>
      </c>
      <c r="S164" s="85" t="str" cm="1">
        <f t="array" ref="S164">IFERROR(VLOOKUP($A164,'The List'!$B1:$AS671,26,FALSE)," ")</f>
        <v xml:space="preserve"> </v>
      </c>
      <c r="T164" s="85" t="str" cm="1">
        <f t="array" ref="T164">IFERROR(VLOOKUP($A164,'The List'!$B1:$AS671,27,FALSE)," ")</f>
        <v xml:space="preserve"> </v>
      </c>
      <c r="U164" s="85" t="str" cm="1">
        <f t="array" ref="U164">IFERROR(VLOOKUP($A164,'The List'!$B1:$AS671,28,FALSE)," ")</f>
        <v xml:space="preserve"> </v>
      </c>
      <c r="V164" s="85" t="str" cm="1">
        <f t="array" ref="V164">IFERROR(VLOOKUP($A164,'The List'!$B1:$AS671,29,FALSE)," ")</f>
        <v xml:space="preserve"> </v>
      </c>
      <c r="W164" s="85" t="str" cm="1">
        <f t="array" ref="W164">IFERROR(VLOOKUP($A164,'The List'!$B1:$AS671,30,FALSE)," ")</f>
        <v xml:space="preserve"> </v>
      </c>
      <c r="X164" s="85" t="str" cm="1">
        <f t="array" ref="X164">IFERROR(VLOOKUP($A164,'The List'!$B1:$AS671,31,FALSE)," ")</f>
        <v xml:space="preserve"> </v>
      </c>
      <c r="Y164" s="85" t="str" cm="1">
        <f t="array" ref="Y164">IFERROR(VLOOKUP($A164,'The List'!$B1:$AS671,32,FALSE)," ")</f>
        <v xml:space="preserve"> </v>
      </c>
      <c r="Z164" s="85" t="str" cm="1">
        <f t="array" ref="Z164">IFERROR(VLOOKUP($A164,'The List'!$B1:$AS671,33,FALSE)," ")</f>
        <v xml:space="preserve"> </v>
      </c>
      <c r="AA164" s="86"/>
      <c r="AB164" s="91"/>
      <c r="AC164" s="91"/>
      <c r="AD164" s="91"/>
      <c r="AE164" s="91"/>
      <c r="AF164" s="91"/>
    </row>
    <row r="165" spans="1:32" ht="21.25" customHeight="1" x14ac:dyDescent="0.15">
      <c r="A165" s="24"/>
      <c r="B165" s="100" t="str" cm="1">
        <f t="array" ref="B165">IFERROR(VLOOKUP($A165,'The List'!$B1:$AS671,3,FALSE)," ")</f>
        <v xml:space="preserve"> </v>
      </c>
      <c r="C165" s="102" t="str" cm="1">
        <f t="array" ref="C165">IFERROR(VLOOKUP($A165,'The List'!$B1:$AS671,4,FALSE)," ")</f>
        <v xml:space="preserve"> </v>
      </c>
      <c r="D165" s="18" t="str" cm="1">
        <f t="array" ref="D165">IFERROR(VLOOKUP($A165,'The List'!$B1:$AS671,5,FALSE)," ")</f>
        <v xml:space="preserve"> </v>
      </c>
      <c r="E165" s="18" t="str" cm="1">
        <f t="array" ref="E165">IFERROR(VLOOKUP($A165,'The List'!$B1:$AS671,6,FALSE)," ")</f>
        <v xml:space="preserve"> </v>
      </c>
      <c r="F165" s="93" t="str" cm="1">
        <f t="array" ref="F165">IFERROR(VLOOKUP($A165,'The List'!$B1:$AS671,8,FALSE)," ")</f>
        <v xml:space="preserve"> </v>
      </c>
      <c r="G165" s="93" t="str" cm="1">
        <f t="array" ref="G165">IFERROR(VLOOKUP($A165,'The List'!$B1:$AS671,10,FALSE)," ")</f>
        <v xml:space="preserve"> </v>
      </c>
      <c r="H165" s="55"/>
      <c r="I165" s="85" t="str" cm="1">
        <f t="array" ref="I165">IFERROR(VLOOKUP($A165,'The List'!$B1:$AS671,16,FALSE)," ")</f>
        <v xml:space="preserve"> </v>
      </c>
      <c r="J165" s="85" t="str" cm="1">
        <f t="array" ref="J165">IFERROR(VLOOKUP($A165,'The List'!$B1:$AS671,17,FALSE)," ")</f>
        <v xml:space="preserve"> </v>
      </c>
      <c r="K165" s="85" t="str" cm="1">
        <f t="array" ref="K165">IFERROR(VLOOKUP($A165,'The List'!$B1:$AS671,18,FALSE)," ")</f>
        <v xml:space="preserve"> </v>
      </c>
      <c r="L165" s="85" t="str" cm="1">
        <f t="array" ref="L165">IFERROR(VLOOKUP($A165,'The List'!$B1:$AS671,19,FALSE)," ")</f>
        <v xml:space="preserve"> </v>
      </c>
      <c r="M165" s="85" t="str" cm="1">
        <f t="array" ref="M165">IFERROR(VLOOKUP($A165,'The List'!$B1:$AS671,20,FALSE)," ")</f>
        <v xml:space="preserve"> </v>
      </c>
      <c r="N165" s="85" t="str" cm="1">
        <f t="array" ref="N165">IFERROR(VLOOKUP($A165,'The List'!$B1:$AS671,21,FALSE)," ")</f>
        <v xml:space="preserve"> </v>
      </c>
      <c r="O165" s="85" t="str" cm="1">
        <f t="array" ref="O165">IFERROR(VLOOKUP($A165,'The List'!$B1:$AS671,22,FALSE)," ")</f>
        <v xml:space="preserve"> </v>
      </c>
      <c r="P165" s="85" t="str" cm="1">
        <f t="array" ref="P165">IFERROR(VLOOKUP($A165,'The List'!$B1:$AS671,23,FALSE)," ")</f>
        <v xml:space="preserve"> </v>
      </c>
      <c r="Q165" s="85" t="str" cm="1">
        <f t="array" ref="Q165">IFERROR(VLOOKUP($A165,'The List'!$B1:$AS671,24,FALSE)," ")</f>
        <v xml:space="preserve"> </v>
      </c>
      <c r="R165" s="85" t="str" cm="1">
        <f t="array" ref="R165">IFERROR(VLOOKUP($A165,'The List'!$B1:$AS671,25,FALSE)," ")</f>
        <v xml:space="preserve"> </v>
      </c>
      <c r="S165" s="85" t="str" cm="1">
        <f t="array" ref="S165">IFERROR(VLOOKUP($A165,'The List'!$B1:$AS671,26,FALSE)," ")</f>
        <v xml:space="preserve"> </v>
      </c>
      <c r="T165" s="85" t="str" cm="1">
        <f t="array" ref="T165">IFERROR(VLOOKUP($A165,'The List'!$B1:$AS671,27,FALSE)," ")</f>
        <v xml:space="preserve"> </v>
      </c>
      <c r="U165" s="85" t="str" cm="1">
        <f t="array" ref="U165">IFERROR(VLOOKUP($A165,'The List'!$B1:$AS671,28,FALSE)," ")</f>
        <v xml:space="preserve"> </v>
      </c>
      <c r="V165" s="85" t="str" cm="1">
        <f t="array" ref="V165">IFERROR(VLOOKUP($A165,'The List'!$B1:$AS671,29,FALSE)," ")</f>
        <v xml:space="preserve"> </v>
      </c>
      <c r="W165" s="85" t="str" cm="1">
        <f t="array" ref="W165">IFERROR(VLOOKUP($A165,'The List'!$B1:$AS671,30,FALSE)," ")</f>
        <v xml:space="preserve"> </v>
      </c>
      <c r="X165" s="85" t="str" cm="1">
        <f t="array" ref="X165">IFERROR(VLOOKUP($A165,'The List'!$B1:$AS671,31,FALSE)," ")</f>
        <v xml:space="preserve"> </v>
      </c>
      <c r="Y165" s="85" t="str" cm="1">
        <f t="array" ref="Y165">IFERROR(VLOOKUP($A165,'The List'!$B1:$AS671,32,FALSE)," ")</f>
        <v xml:space="preserve"> </v>
      </c>
      <c r="Z165" s="85" t="str" cm="1">
        <f t="array" ref="Z165">IFERROR(VLOOKUP($A165,'The List'!$B1:$AS671,33,FALSE)," ")</f>
        <v xml:space="preserve"> </v>
      </c>
      <c r="AA165" s="86"/>
      <c r="AB165" s="91"/>
      <c r="AC165" s="91"/>
      <c r="AD165" s="91"/>
      <c r="AE165" s="91"/>
      <c r="AF165" s="91"/>
    </row>
    <row r="166" spans="1:32" ht="21.25" customHeight="1" x14ac:dyDescent="0.15">
      <c r="A166" s="104"/>
      <c r="B166" s="105" t="str" cm="1">
        <f t="array" ref="B166">IFERROR(VLOOKUP($A166,'The List'!$B1:$AS671,3,FALSE)," ")</f>
        <v xml:space="preserve"> </v>
      </c>
      <c r="C166" s="106" t="str" cm="1">
        <f t="array" ref="C166">IFERROR(VLOOKUP($A166,'The List'!$B1:$AS671,4,FALSE)," ")</f>
        <v xml:space="preserve"> </v>
      </c>
      <c r="D166" s="107" t="str" cm="1">
        <f t="array" ref="D166">IFERROR(VLOOKUP($A166,'The List'!$B1:$AS671,5,FALSE)," ")</f>
        <v xml:space="preserve"> </v>
      </c>
      <c r="E166" s="107" t="str" cm="1">
        <f t="array" ref="E166">IFERROR(VLOOKUP($A166,'The List'!$B1:$AS671,6,FALSE)," ")</f>
        <v xml:space="preserve"> </v>
      </c>
      <c r="F166" s="108" t="str" cm="1">
        <f t="array" ref="F166">IFERROR(VLOOKUP($A166,'The List'!$B1:$AS671,8,FALSE)," ")</f>
        <v xml:space="preserve"> </v>
      </c>
      <c r="G166" s="108" t="str" cm="1">
        <f t="array" ref="G166">IFERROR(VLOOKUP($A166,'The List'!$B1:$AS671,10,FALSE)," ")</f>
        <v xml:space="preserve"> </v>
      </c>
      <c r="H166" s="109"/>
      <c r="I166" s="110" t="str" cm="1">
        <f t="array" ref="I166">IFERROR(VLOOKUP($A166,'The List'!$B1:$AS671,16,FALSE)," ")</f>
        <v xml:space="preserve"> </v>
      </c>
      <c r="J166" s="110" t="str" cm="1">
        <f t="array" ref="J166">IFERROR(VLOOKUP($A166,'The List'!$B1:$AS671,17,FALSE)," ")</f>
        <v xml:space="preserve"> </v>
      </c>
      <c r="K166" s="110" t="str" cm="1">
        <f t="array" ref="K166">IFERROR(VLOOKUP($A166,'The List'!$B1:$AS671,18,FALSE)," ")</f>
        <v xml:space="preserve"> </v>
      </c>
      <c r="L166" s="110" t="str" cm="1">
        <f t="array" ref="L166">IFERROR(VLOOKUP($A166,'The List'!$B1:$AS671,19,FALSE)," ")</f>
        <v xml:space="preserve"> </v>
      </c>
      <c r="M166" s="110" t="str" cm="1">
        <f t="array" ref="M166">IFERROR(VLOOKUP($A166,'The List'!$B1:$AS671,20,FALSE)," ")</f>
        <v xml:space="preserve"> </v>
      </c>
      <c r="N166" s="110" t="str" cm="1">
        <f t="array" ref="N166">IFERROR(VLOOKUP($A166,'The List'!$B1:$AS671,21,FALSE)," ")</f>
        <v xml:space="preserve"> </v>
      </c>
      <c r="O166" s="110" t="str" cm="1">
        <f t="array" ref="O166">IFERROR(VLOOKUP($A166,'The List'!$B1:$AS671,22,FALSE)," ")</f>
        <v xml:space="preserve"> </v>
      </c>
      <c r="P166" s="110" t="str" cm="1">
        <f t="array" ref="P166">IFERROR(VLOOKUP($A166,'The List'!$B1:$AS671,23,FALSE)," ")</f>
        <v xml:space="preserve"> </v>
      </c>
      <c r="Q166" s="110" t="str" cm="1">
        <f t="array" ref="Q166">IFERROR(VLOOKUP($A166,'The List'!$B1:$AS671,24,FALSE)," ")</f>
        <v xml:space="preserve"> </v>
      </c>
      <c r="R166" s="110" t="str" cm="1">
        <f t="array" ref="R166">IFERROR(VLOOKUP($A166,'The List'!$B1:$AS671,25,FALSE)," ")</f>
        <v xml:space="preserve"> </v>
      </c>
      <c r="S166" s="110" t="str" cm="1">
        <f t="array" ref="S166">IFERROR(VLOOKUP($A166,'The List'!$B1:$AS671,26,FALSE)," ")</f>
        <v xml:space="preserve"> </v>
      </c>
      <c r="T166" s="110" t="str" cm="1">
        <f t="array" ref="T166">IFERROR(VLOOKUP($A166,'The List'!$B1:$AS671,27,FALSE)," ")</f>
        <v xml:space="preserve"> </v>
      </c>
      <c r="U166" s="110" t="str" cm="1">
        <f t="array" ref="U166">IFERROR(VLOOKUP($A166,'The List'!$B1:$AS671,28,FALSE)," ")</f>
        <v xml:space="preserve"> </v>
      </c>
      <c r="V166" s="110" t="str" cm="1">
        <f t="array" ref="V166">IFERROR(VLOOKUP($A166,'The List'!$B1:$AS671,29,FALSE)," ")</f>
        <v xml:space="preserve"> </v>
      </c>
      <c r="W166" s="110" t="str" cm="1">
        <f t="array" ref="W166">IFERROR(VLOOKUP($A166,'The List'!$B1:$AS671,30,FALSE)," ")</f>
        <v xml:space="preserve"> </v>
      </c>
      <c r="X166" s="110" t="str" cm="1">
        <f t="array" ref="X166">IFERROR(VLOOKUP($A166,'The List'!$B1:$AS671,31,FALSE)," ")</f>
        <v xml:space="preserve"> </v>
      </c>
      <c r="Y166" s="110" t="str" cm="1">
        <f t="array" ref="Y166">IFERROR(VLOOKUP($A166,'The List'!$B1:$AS671,32,FALSE)," ")</f>
        <v xml:space="preserve"> </v>
      </c>
      <c r="Z166" s="110" t="str" cm="1">
        <f t="array" ref="Z166">IFERROR(VLOOKUP($A166,'The List'!$B1:$AS671,33,FALSE)," ")</f>
        <v xml:space="preserve"> </v>
      </c>
      <c r="AA166" s="86"/>
      <c r="AB166" s="91"/>
      <c r="AC166" s="91"/>
      <c r="AD166" s="91"/>
      <c r="AE166" s="91"/>
      <c r="AF166" s="91"/>
    </row>
    <row r="167" spans="1:32" ht="21.25" customHeight="1" x14ac:dyDescent="0.15">
      <c r="A167" s="111"/>
      <c r="B167" s="112"/>
      <c r="C167" s="113"/>
      <c r="D167" s="114"/>
      <c r="E167" s="114" t="str" cm="1">
        <f t="array" ref="E167">IFERROR(AVERAGE(E147:E166)," ")</f>
        <v xml:space="preserve"> </v>
      </c>
      <c r="F167" s="116" cm="1">
        <f t="array" ref="F167">SUM(F147:F166)</f>
        <v>0</v>
      </c>
      <c r="G167" s="116" cm="1">
        <f t="array" ref="G167">SUM(G147:G166)</f>
        <v>0</v>
      </c>
      <c r="H167" s="117"/>
      <c r="I167" s="118" cm="1">
        <f t="array" ref="I167">SUM(I147:I166)</f>
        <v>0</v>
      </c>
      <c r="J167" s="117" t="e" cm="1">
        <f t="array" ref="J167">AVERAGE(J147:J166)</f>
        <v>#DIV/0!</v>
      </c>
      <c r="K167" s="118" cm="1">
        <f t="array" ref="K167">SUM(K147:K166)</f>
        <v>0</v>
      </c>
      <c r="L167" s="118" cm="1">
        <f t="array" ref="L167">SUM(L147:L166)</f>
        <v>0</v>
      </c>
      <c r="M167" s="118" cm="1">
        <f t="array" ref="M167">SUM(M147:M166)</f>
        <v>0</v>
      </c>
      <c r="N167" s="118" cm="1">
        <f t="array" ref="N167">SUM(N147:N166)</f>
        <v>0</v>
      </c>
      <c r="O167" s="118" cm="1">
        <f t="array" ref="O167">SUM(O147:O166)</f>
        <v>0</v>
      </c>
      <c r="P167" s="118" cm="1">
        <f t="array" ref="P167">SUM(P147:P166)</f>
        <v>0</v>
      </c>
      <c r="Q167" s="118" cm="1">
        <f t="array" ref="Q167">SUM(Q147:Q166)</f>
        <v>0</v>
      </c>
      <c r="R167" s="118" cm="1">
        <f t="array" ref="R167">SUM(R147:R166)</f>
        <v>0</v>
      </c>
      <c r="S167" s="118" cm="1">
        <f t="array" ref="S167">SUM(S147:S166)</f>
        <v>0</v>
      </c>
      <c r="T167" s="118" cm="1">
        <f t="array" ref="T167">SUM(T147:T166)</f>
        <v>0</v>
      </c>
      <c r="U167" s="118" cm="1">
        <f t="array" ref="U167">SUM(U147:U166)</f>
        <v>0</v>
      </c>
      <c r="V167" s="118" cm="1">
        <f t="array" ref="V167">SUM(V147:V166)</f>
        <v>0</v>
      </c>
      <c r="W167" s="118" cm="1">
        <f t="array" ref="W167">SUM(W147:W166)</f>
        <v>0</v>
      </c>
      <c r="X167" s="118" cm="1">
        <f t="array" ref="X167">SUM(X147:X166)</f>
        <v>0</v>
      </c>
      <c r="Y167" s="118" cm="1">
        <f t="array" ref="Y167">SUM(Y147:Y166)</f>
        <v>0</v>
      </c>
      <c r="Z167" s="119" cm="1">
        <f t="array" ref="Z167">IFERROR(X167/(X167+Y167),0)</f>
        <v>0</v>
      </c>
      <c r="AA167" s="86"/>
      <c r="AB167" s="120"/>
      <c r="AC167" s="120"/>
      <c r="AD167" s="120"/>
      <c r="AE167" s="120"/>
      <c r="AF167" s="120"/>
    </row>
    <row r="168" spans="1:32" ht="21.25" customHeight="1" x14ac:dyDescent="0.15">
      <c r="A168" s="37"/>
      <c r="B168" s="121"/>
      <c r="C168" s="122"/>
      <c r="D168" s="13"/>
      <c r="E168" s="13"/>
      <c r="F168" s="123"/>
      <c r="G168" s="124"/>
      <c r="H168" s="125"/>
      <c r="I168" s="12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91"/>
      <c r="AC168" s="91"/>
      <c r="AD168" s="91"/>
      <c r="AE168" s="91"/>
      <c r="AF168" s="91"/>
    </row>
    <row r="169" spans="1:32" ht="21.25" customHeight="1" x14ac:dyDescent="0.15">
      <c r="A169" s="40" t="s">
        <v>91</v>
      </c>
      <c r="B169" s="205" t="s">
        <v>93</v>
      </c>
      <c r="C169" s="197"/>
      <c r="D169" s="127" t="s">
        <v>94</v>
      </c>
      <c r="E169" s="127" t="s">
        <v>95</v>
      </c>
      <c r="F169" s="128" t="s">
        <v>97</v>
      </c>
      <c r="G169" s="128" t="s">
        <v>99</v>
      </c>
      <c r="H169" s="129"/>
      <c r="I169" s="130" t="s">
        <v>104</v>
      </c>
      <c r="J169" s="130" t="s">
        <v>119</v>
      </c>
      <c r="K169" s="130" t="s">
        <v>120</v>
      </c>
      <c r="L169" s="130" t="s">
        <v>121</v>
      </c>
      <c r="M169" s="130" t="s">
        <v>122</v>
      </c>
      <c r="N169" s="130" t="s">
        <v>123</v>
      </c>
      <c r="O169" s="130" t="s">
        <v>124</v>
      </c>
      <c r="P169" s="130" t="s">
        <v>125</v>
      </c>
      <c r="Q169" s="130" t="s">
        <v>126</v>
      </c>
      <c r="R169" s="86"/>
      <c r="S169" s="86"/>
      <c r="T169" s="86"/>
      <c r="U169" s="205" t="s">
        <v>818</v>
      </c>
      <c r="V169" s="206"/>
      <c r="W169" s="206"/>
      <c r="X169" s="205" t="s">
        <v>819</v>
      </c>
      <c r="Y169" s="206"/>
      <c r="Z169" s="206"/>
      <c r="AA169" s="86"/>
      <c r="AB169" s="86"/>
      <c r="AC169" s="86"/>
      <c r="AD169" s="86"/>
      <c r="AE169" s="86"/>
      <c r="AF169" s="86"/>
    </row>
    <row r="170" spans="1:32" ht="21.25" customHeight="1" x14ac:dyDescent="0.15">
      <c r="A170" s="147"/>
      <c r="B170" s="132" t="str" cm="1">
        <f t="array" ref="B170">IFERROR(VLOOKUP($A170,'The List'!$B1:$AS671,3,FALSE)," ")</f>
        <v xml:space="preserve"> </v>
      </c>
      <c r="C170" s="148" t="str" cm="1">
        <f t="array" ref="C170">IFERROR(VLOOKUP($A170,'The List'!$B1:$AS671,4,FALSE)," ")</f>
        <v xml:space="preserve"> </v>
      </c>
      <c r="D170" s="134" t="str" cm="1">
        <f t="array" ref="D170">IFERROR(VLOOKUP($A170,'The List'!$B1:$AS671,5,FALSE)," ")</f>
        <v xml:space="preserve"> </v>
      </c>
      <c r="E170" s="134" t="str" cm="1">
        <f t="array" ref="E170">IFERROR(VLOOKUP($A170,'The List'!$B1:$AS671,6,FALSE)," ")</f>
        <v xml:space="preserve"> </v>
      </c>
      <c r="F170" s="149" t="str" cm="1">
        <f t="array" ref="F170">IFERROR(VLOOKUP($A170,'The List'!$B1:$AS671,8,FALSE)," ")</f>
        <v xml:space="preserve"> </v>
      </c>
      <c r="G170" s="149" t="str" cm="1">
        <f t="array" ref="G170">IFERROR(VLOOKUP($A170,'The List'!$B1:$AS671,10,FALSE)," ")</f>
        <v xml:space="preserve"> </v>
      </c>
      <c r="H170" s="83"/>
      <c r="I170" s="150" t="str" cm="1">
        <f t="array" ref="I170">IFERROR(VLOOKUP($A170,'The List'!$B1:$AS671,35,FALSE)," ")</f>
        <v xml:space="preserve"> </v>
      </c>
      <c r="J170" s="150" t="str" cm="1">
        <f t="array" ref="J170">IFERROR(VLOOKUP($A170,'The List'!$B1:$AS671,36,FALSE)," ")</f>
        <v xml:space="preserve"> </v>
      </c>
      <c r="K170" s="150" t="str" cm="1">
        <f t="array" ref="K170">IFERROR(VLOOKUP($A170,'The List'!$B1:$AS671,37,FALSE)," ")</f>
        <v xml:space="preserve"> </v>
      </c>
      <c r="L170" s="150" t="str" cm="1">
        <f t="array" ref="L170">IFERROR(VLOOKUP($A170,'The List'!$B1:$AS671,38,FALSE)," ")</f>
        <v xml:space="preserve"> </v>
      </c>
      <c r="M170" s="150" t="str" cm="1">
        <f t="array" ref="M170">IFERROR(VLOOKUP($A170,'The List'!$B1:$AS671,39,FALSE)," ")</f>
        <v xml:space="preserve"> </v>
      </c>
      <c r="N170" s="150" t="str" cm="1">
        <f t="array" ref="N170">IFERROR(VLOOKUP($A170,'The List'!$B1:$AS671,40,FALSE)," ")</f>
        <v xml:space="preserve"> </v>
      </c>
      <c r="O170" s="150" t="str" cm="1">
        <f t="array" ref="O170">IFERROR(VLOOKUP($A170,'The List'!$B1:$AS671,41,FALSE)," ")</f>
        <v xml:space="preserve"> </v>
      </c>
      <c r="P170" s="150" t="str" cm="1">
        <f t="array" ref="P170">IFERROR(VLOOKUP($A170,'The List'!$B1:$AS671,42,FALSE)," ")</f>
        <v xml:space="preserve"> </v>
      </c>
      <c r="Q170" s="150" t="str" cm="1">
        <f t="array" ref="Q170">IFERROR(VLOOKUP($A170,'The List'!$B1:$AS671,43,FALSE)," ")</f>
        <v xml:space="preserve"> </v>
      </c>
      <c r="R170" s="86"/>
      <c r="S170" s="86"/>
      <c r="T170" s="140" t="str" cm="1">
        <f t="array" ref="T170">A146</f>
        <v>TEAM 6</v>
      </c>
      <c r="U170" s="207" cm="1">
        <f t="array" ref="U170">F167+F173</f>
        <v>0</v>
      </c>
      <c r="V170" s="197"/>
      <c r="W170" s="197"/>
      <c r="X170" s="207" cm="1">
        <f t="array" ref="X170">G173+G167</f>
        <v>0</v>
      </c>
      <c r="Y170" s="197"/>
      <c r="Z170" s="197"/>
      <c r="AA170" s="86"/>
      <c r="AB170" s="86"/>
      <c r="AC170" s="86"/>
      <c r="AD170" s="86"/>
      <c r="AE170" s="86"/>
      <c r="AF170" s="86"/>
    </row>
    <row r="171" spans="1:32" ht="21.25" customHeight="1" x14ac:dyDescent="0.15">
      <c r="A171" s="24"/>
      <c r="B171" s="141" t="str" cm="1">
        <f t="array" ref="B171">IFERROR(VLOOKUP($A171,'The List'!$B1:$AS671,3,FALSE)," ")</f>
        <v xml:space="preserve"> </v>
      </c>
      <c r="C171" s="142" t="str" cm="1">
        <f t="array" ref="C171">IFERROR(VLOOKUP($A171,'The List'!$B1:$AS671,4,FALSE)," ")</f>
        <v xml:space="preserve"> </v>
      </c>
      <c r="D171" s="18" t="str" cm="1">
        <f t="array" ref="D171">IFERROR(VLOOKUP($A171,'The List'!$B1:$AS671,5,FALSE)," ")</f>
        <v xml:space="preserve"> </v>
      </c>
      <c r="E171" s="18" t="str" cm="1">
        <f t="array" ref="E171">IFERROR(VLOOKUP($A171,'The List'!$B1:$AS671,6,FALSE)," ")</f>
        <v xml:space="preserve"> </v>
      </c>
      <c r="F171" s="93" t="str" cm="1">
        <f t="array" ref="F171">IFERROR(VLOOKUP($A171,'The List'!$B1:$AS671,8,FALSE)," ")</f>
        <v xml:space="preserve"> </v>
      </c>
      <c r="G171" s="93" t="str" cm="1">
        <f t="array" ref="G171">IFERROR(VLOOKUP($A171,'The List'!$B1:$AS671,10,FALSE)," ")</f>
        <v xml:space="preserve"> </v>
      </c>
      <c r="H171" s="55"/>
      <c r="I171" s="85" t="str" cm="1">
        <f t="array" ref="I171">IFERROR(VLOOKUP($A171,'The List'!$B1:$AS671,35,FALSE)," ")</f>
        <v xml:space="preserve"> </v>
      </c>
      <c r="J171" s="85" t="str" cm="1">
        <f t="array" ref="J171">IFERROR(VLOOKUP($A171,'The List'!$B1:$AS671,36,FALSE)," ")</f>
        <v xml:space="preserve"> </v>
      </c>
      <c r="K171" s="85" t="str" cm="1">
        <f t="array" ref="K171">IFERROR(VLOOKUP($A171,'The List'!$B1:$AS671,37,FALSE)," ")</f>
        <v xml:space="preserve"> </v>
      </c>
      <c r="L171" s="85" t="str" cm="1">
        <f t="array" ref="L171">IFERROR(VLOOKUP($A171,'The List'!$B1:$AS671,38,FALSE)," ")</f>
        <v xml:space="preserve"> </v>
      </c>
      <c r="M171" s="85" t="str" cm="1">
        <f t="array" ref="M171">IFERROR(VLOOKUP($A171,'The List'!$B1:$AS671,39,FALSE)," ")</f>
        <v xml:space="preserve"> </v>
      </c>
      <c r="N171" s="85" t="str" cm="1">
        <f t="array" ref="N171">IFERROR(VLOOKUP($A171,'The List'!$B1:$AS671,40,FALSE)," ")</f>
        <v xml:space="preserve"> </v>
      </c>
      <c r="O171" s="85" t="str" cm="1">
        <f t="array" ref="O171">IFERROR(VLOOKUP($A171,'The List'!$B1:$AS671,41,FALSE)," ")</f>
        <v xml:space="preserve"> </v>
      </c>
      <c r="P171" s="85" t="str" cm="1">
        <f t="array" ref="P171">IFERROR(VLOOKUP($A171,'The List'!$B1:$AS671,42,FALSE)," ")</f>
        <v xml:space="preserve"> </v>
      </c>
      <c r="Q171" s="85" t="str" cm="1">
        <f t="array" ref="Q171">IFERROR(VLOOKUP($A171,'The List'!$B1:$AS671,43,FALSE)," ")</f>
        <v xml:space="preserve"> </v>
      </c>
      <c r="R171" s="86"/>
      <c r="S171" s="86"/>
      <c r="T171" s="86"/>
      <c r="U171" s="197"/>
      <c r="V171" s="197"/>
      <c r="W171" s="197"/>
      <c r="X171" s="197"/>
      <c r="Y171" s="197"/>
      <c r="Z171" s="197"/>
      <c r="AA171" s="86"/>
      <c r="AB171" s="86"/>
      <c r="AC171" s="86"/>
      <c r="AD171" s="86"/>
      <c r="AE171" s="86"/>
      <c r="AF171" s="86"/>
    </row>
    <row r="172" spans="1:32" ht="21.25" customHeight="1" x14ac:dyDescent="0.15">
      <c r="A172" s="104"/>
      <c r="B172" s="143" t="str" cm="1">
        <f t="array" ref="B172">IFERROR(VLOOKUP($A172,'The List'!$B1:$AS671,3,FALSE)," ")</f>
        <v xml:space="preserve"> </v>
      </c>
      <c r="C172" s="144" t="str" cm="1">
        <f t="array" ref="C172">IFERROR(VLOOKUP($A172,'The List'!$B1:$AS671,4,FALSE)," ")</f>
        <v xml:space="preserve"> </v>
      </c>
      <c r="D172" s="107" t="str" cm="1">
        <f t="array" ref="D172">IFERROR(VLOOKUP($A172,'The List'!$B1:$AS671,5,FALSE)," ")</f>
        <v xml:space="preserve"> </v>
      </c>
      <c r="E172" s="107" t="str" cm="1">
        <f t="array" ref="E172">IFERROR(VLOOKUP($A172,'The List'!$B1:$AS671,6,FALSE)," ")</f>
        <v xml:space="preserve"> </v>
      </c>
      <c r="F172" s="108" t="str" cm="1">
        <f t="array" ref="F172">IFERROR(VLOOKUP($A172,'The List'!$B1:$AS671,8,FALSE)," ")</f>
        <v xml:space="preserve"> </v>
      </c>
      <c r="G172" s="108" t="str" cm="1">
        <f t="array" ref="G172">IFERROR(VLOOKUP($A172,'The List'!$B1:$AS671,10,FALSE)," ")</f>
        <v xml:space="preserve"> </v>
      </c>
      <c r="H172" s="109"/>
      <c r="I172" s="110" t="str" cm="1">
        <f t="array" ref="I172">IFERROR(VLOOKUP($A172,'The List'!$B1:$AS671,35,FALSE)," ")</f>
        <v xml:space="preserve"> </v>
      </c>
      <c r="J172" s="110" t="str" cm="1">
        <f t="array" ref="J172">IFERROR(VLOOKUP($A172,'The List'!$B1:$AS671,36,FALSE)," ")</f>
        <v xml:space="preserve"> </v>
      </c>
      <c r="K172" s="110" t="str" cm="1">
        <f t="array" ref="K172">IFERROR(VLOOKUP($A172,'The List'!$B1:$AS671,37,FALSE)," ")</f>
        <v xml:space="preserve"> </v>
      </c>
      <c r="L172" s="110" t="str" cm="1">
        <f t="array" ref="L172">IFERROR(VLOOKUP($A172,'The List'!$B1:$AS671,38,FALSE)," ")</f>
        <v xml:space="preserve"> </v>
      </c>
      <c r="M172" s="110" t="str" cm="1">
        <f t="array" ref="M172">IFERROR(VLOOKUP($A172,'The List'!$B1:$AS671,39,FALSE)," ")</f>
        <v xml:space="preserve"> </v>
      </c>
      <c r="N172" s="110" t="str" cm="1">
        <f t="array" ref="N172">IFERROR(VLOOKUP($A172,'The List'!$B1:$AS671,40,FALSE)," ")</f>
        <v xml:space="preserve"> </v>
      </c>
      <c r="O172" s="110" t="str" cm="1">
        <f t="array" ref="O172">IFERROR(VLOOKUP($A172,'The List'!$B1:$AS671,41,FALSE)," ")</f>
        <v xml:space="preserve"> </v>
      </c>
      <c r="P172" s="110" t="str" cm="1">
        <f t="array" ref="P172">IFERROR(VLOOKUP($A172,'The List'!$B1:$AS671,42,FALSE)," ")</f>
        <v xml:space="preserve"> </v>
      </c>
      <c r="Q172" s="110" t="str" cm="1">
        <f t="array" ref="Q172">IFERROR(VLOOKUP($A172,'The List'!$B1:$AS671,43,FALSE)," ")</f>
        <v xml:space="preserve"> </v>
      </c>
      <c r="R172" s="86"/>
      <c r="S172" s="86"/>
      <c r="T172" s="86"/>
      <c r="U172" s="197"/>
      <c r="V172" s="197"/>
      <c r="W172" s="197"/>
      <c r="X172" s="197"/>
      <c r="Y172" s="197"/>
      <c r="Z172" s="197"/>
      <c r="AA172" s="86"/>
      <c r="AB172" s="86"/>
      <c r="AC172" s="86"/>
      <c r="AD172" s="86"/>
      <c r="AE172" s="86"/>
      <c r="AF172" s="86"/>
    </row>
    <row r="173" spans="1:32" ht="21.25" customHeight="1" x14ac:dyDescent="0.15">
      <c r="A173" s="111"/>
      <c r="B173" s="112"/>
      <c r="C173" s="113"/>
      <c r="D173" s="114"/>
      <c r="E173" s="114" t="str" cm="1">
        <f t="array" ref="E173">IFERROR(AVERAGE(E170:E172)," ")</f>
        <v xml:space="preserve"> </v>
      </c>
      <c r="F173" s="116" cm="1">
        <f t="array" ref="F173">SUM(F170:F172)</f>
        <v>0</v>
      </c>
      <c r="G173" s="116" cm="1">
        <f t="array" ref="G173">SUM(G170:G172)</f>
        <v>0</v>
      </c>
      <c r="H173" s="117"/>
      <c r="I173" s="118" cm="1">
        <f t="array" ref="I173">SUM(I170:I172)</f>
        <v>0</v>
      </c>
      <c r="J173" s="117" cm="1">
        <f t="array" ref="J173">SUM(J170:J172)</f>
        <v>0</v>
      </c>
      <c r="K173" s="118" cm="1">
        <f t="array" ref="K173">SUM(K170:K172)</f>
        <v>0</v>
      </c>
      <c r="L173" s="118" cm="1">
        <f t="array" ref="L173">SUM(L170:L172)</f>
        <v>0</v>
      </c>
      <c r="M173" s="118" cm="1">
        <f t="array" ref="M173">SUM(M170:M172)</f>
        <v>0</v>
      </c>
      <c r="N173" s="118" cm="1">
        <f t="array" ref="N173">SUM(N170:N172)</f>
        <v>0</v>
      </c>
      <c r="O173" s="118" cm="1">
        <f t="array" ref="O173">SUM(O170:O172)</f>
        <v>0</v>
      </c>
      <c r="P173" s="145" t="e" cm="1">
        <f t="array" ref="P173">1-(O173/(N173+O173))</f>
        <v>#DIV/0!</v>
      </c>
      <c r="Q173" s="146" t="e" cm="1">
        <f t="array" ref="Q173">O173/I173</f>
        <v>#DIV/0!</v>
      </c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</row>
    <row r="174" spans="1:32" ht="70.75" customHeight="1" x14ac:dyDescent="0.15">
      <c r="A174" s="37"/>
      <c r="B174" s="121"/>
      <c r="C174" s="122"/>
      <c r="D174" s="13"/>
      <c r="E174" s="13"/>
      <c r="F174" s="123"/>
      <c r="G174" s="124"/>
      <c r="H174" s="125"/>
      <c r="I174" s="12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91"/>
      <c r="AB174" s="91"/>
      <c r="AC174" s="91"/>
      <c r="AD174" s="91"/>
      <c r="AE174" s="91"/>
      <c r="AF174" s="91"/>
    </row>
    <row r="175" spans="1:32" ht="21.25" customHeight="1" x14ac:dyDescent="0.15">
      <c r="A175" s="41" t="s">
        <v>808</v>
      </c>
      <c r="B175" s="194" t="s">
        <v>93</v>
      </c>
      <c r="C175" s="195"/>
      <c r="D175" s="42" t="s">
        <v>94</v>
      </c>
      <c r="E175" s="42" t="s">
        <v>95</v>
      </c>
      <c r="F175" s="43" t="s">
        <v>97</v>
      </c>
      <c r="G175" s="43" t="s">
        <v>99</v>
      </c>
      <c r="H175" s="44"/>
      <c r="I175" s="46" t="s">
        <v>104</v>
      </c>
      <c r="J175" s="46" t="s">
        <v>56</v>
      </c>
      <c r="K175" s="46" t="s">
        <v>105</v>
      </c>
      <c r="L175" s="46" t="s">
        <v>106</v>
      </c>
      <c r="M175" s="46" t="s">
        <v>107</v>
      </c>
      <c r="N175" s="46" t="s">
        <v>108</v>
      </c>
      <c r="O175" s="46" t="s">
        <v>64</v>
      </c>
      <c r="P175" s="46" t="s">
        <v>68</v>
      </c>
      <c r="Q175" s="46" t="s">
        <v>109</v>
      </c>
      <c r="R175" s="46" t="s">
        <v>110</v>
      </c>
      <c r="S175" s="46" t="s">
        <v>111</v>
      </c>
      <c r="T175" s="46" t="s">
        <v>112</v>
      </c>
      <c r="U175" s="46" t="s">
        <v>113</v>
      </c>
      <c r="V175" s="46" t="s">
        <v>114</v>
      </c>
      <c r="W175" s="46" t="s">
        <v>115</v>
      </c>
      <c r="X175" s="46" t="s">
        <v>116</v>
      </c>
      <c r="Y175" s="46" t="s">
        <v>117</v>
      </c>
      <c r="Z175" s="46" t="s">
        <v>118</v>
      </c>
      <c r="AA175" s="86"/>
      <c r="AB175" s="87"/>
      <c r="AC175" s="87"/>
      <c r="AD175" s="87"/>
      <c r="AE175" s="87"/>
      <c r="AF175" s="87"/>
    </row>
    <row r="176" spans="1:32" ht="21.25" customHeight="1" x14ac:dyDescent="0.15">
      <c r="A176" s="24"/>
      <c r="B176" s="88" t="str" cm="1">
        <f t="array" ref="B176">IFERROR(VLOOKUP($A176,'The List'!$B1:$AS671,3,FALSE)," ")</f>
        <v xml:space="preserve"> </v>
      </c>
      <c r="C176" s="92" t="str" cm="1">
        <f t="array" ref="C176">IFERROR(VLOOKUP($A176,'The List'!$B1:$AS671,4,FALSE)," ")</f>
        <v xml:space="preserve"> </v>
      </c>
      <c r="D176" s="18" t="str" cm="1">
        <f t="array" ref="D176">IFERROR(VLOOKUP($A176,'The List'!$B1:$AS671,5,FALSE)," ")</f>
        <v xml:space="preserve"> </v>
      </c>
      <c r="E176" s="18" t="str" cm="1">
        <f t="array" ref="E176">IFERROR(VLOOKUP($A176,'The List'!$B1:$AS671,6,FALSE)," ")</f>
        <v xml:space="preserve"> </v>
      </c>
      <c r="F176" s="93" t="str" cm="1">
        <f t="array" ref="F176">IFERROR(VLOOKUP($A176,'The List'!$B1:$AS671,8,FALSE)," ")</f>
        <v xml:space="preserve"> </v>
      </c>
      <c r="G176" s="93" t="str" cm="1">
        <f t="array" ref="G176">IFERROR(VLOOKUP($A176,'The List'!$B1:$AS671,10,FALSE)," ")</f>
        <v xml:space="preserve"> </v>
      </c>
      <c r="H176" s="55"/>
      <c r="I176" s="85" t="str" cm="1">
        <f t="array" ref="I176">IFERROR(VLOOKUP($A176,'The List'!$B1:$AS671,16,FALSE)," ")</f>
        <v xml:space="preserve"> </v>
      </c>
      <c r="J176" s="85" t="str" cm="1">
        <f t="array" ref="J176">IFERROR(VLOOKUP($A176,'The List'!$B1:$AS671,17,FALSE)," ")</f>
        <v xml:space="preserve"> </v>
      </c>
      <c r="K176" s="85" t="str" cm="1">
        <f t="array" ref="K176">IFERROR(VLOOKUP($A176,'The List'!$B1:$AS671,18,FALSE)," ")</f>
        <v xml:space="preserve"> </v>
      </c>
      <c r="L176" s="85" t="str" cm="1">
        <f t="array" ref="L176">IFERROR(VLOOKUP($A176,'The List'!$B1:$AS671,19,FALSE)," ")</f>
        <v xml:space="preserve"> </v>
      </c>
      <c r="M176" s="85" t="str" cm="1">
        <f t="array" ref="M176">IFERROR(VLOOKUP($A176,'The List'!$B1:$AS671,20,FALSE)," ")</f>
        <v xml:space="preserve"> </v>
      </c>
      <c r="N176" s="85" t="str" cm="1">
        <f t="array" ref="N176">IFERROR(VLOOKUP($A176,'The List'!$B1:$AS671,21,FALSE)," ")</f>
        <v xml:space="preserve"> </v>
      </c>
      <c r="O176" s="85" t="str" cm="1">
        <f t="array" ref="O176">IFERROR(VLOOKUP($A176,'The List'!$B1:$AS671,22,FALSE)," ")</f>
        <v xml:space="preserve"> </v>
      </c>
      <c r="P176" s="85" t="str" cm="1">
        <f t="array" ref="P176">IFERROR(VLOOKUP($A176,'The List'!$B1:$AS671,23,FALSE)," ")</f>
        <v xml:space="preserve"> </v>
      </c>
      <c r="Q176" s="85" t="str" cm="1">
        <f t="array" ref="Q176">IFERROR(VLOOKUP($A176,'The List'!$B1:$AS671,24,FALSE)," ")</f>
        <v xml:space="preserve"> </v>
      </c>
      <c r="R176" s="85" t="str" cm="1">
        <f t="array" ref="R176">IFERROR(VLOOKUP($A176,'The List'!$B1:$AS671,25,FALSE)," ")</f>
        <v xml:space="preserve"> </v>
      </c>
      <c r="S176" s="85" t="str" cm="1">
        <f t="array" ref="S176">IFERROR(VLOOKUP($A176,'The List'!$B1:$AS671,26,FALSE)," ")</f>
        <v xml:space="preserve"> </v>
      </c>
      <c r="T176" s="85" t="str" cm="1">
        <f t="array" ref="T176">IFERROR(VLOOKUP($A176,'The List'!$B1:$AS671,27,FALSE)," ")</f>
        <v xml:space="preserve"> </v>
      </c>
      <c r="U176" s="85" t="str" cm="1">
        <f t="array" ref="U176">IFERROR(VLOOKUP($A176,'The List'!$B1:$AS671,28,FALSE)," ")</f>
        <v xml:space="preserve"> </v>
      </c>
      <c r="V176" s="85" t="str" cm="1">
        <f t="array" ref="V176">IFERROR(VLOOKUP($A176,'The List'!$B1:$AS671,29,FALSE)," ")</f>
        <v xml:space="preserve"> </v>
      </c>
      <c r="W176" s="85" t="str" cm="1">
        <f t="array" ref="W176">IFERROR(VLOOKUP($A176,'The List'!$B1:$AS671,30,FALSE)," ")</f>
        <v xml:space="preserve"> </v>
      </c>
      <c r="X176" s="85" t="str" cm="1">
        <f t="array" ref="X176">IFERROR(VLOOKUP($A176,'The List'!$B1:$AS671,31,FALSE)," ")</f>
        <v xml:space="preserve"> </v>
      </c>
      <c r="Y176" s="85" t="str" cm="1">
        <f t="array" ref="Y176">IFERROR(VLOOKUP($A176,'The List'!$B1:$AS671,32,FALSE)," ")</f>
        <v xml:space="preserve"> </v>
      </c>
      <c r="Z176" s="85" t="str" cm="1">
        <f t="array" ref="Z176">IFERROR(VLOOKUP($A176,'The List'!$B1:$AS671,33,FALSE)," ")</f>
        <v xml:space="preserve"> </v>
      </c>
      <c r="AA176" s="86"/>
      <c r="AB176" s="91"/>
      <c r="AC176" s="91"/>
      <c r="AD176" s="91"/>
      <c r="AE176" s="91"/>
      <c r="AF176" s="91"/>
    </row>
    <row r="177" spans="1:32" ht="21.25" customHeight="1" x14ac:dyDescent="0.15">
      <c r="A177" s="24"/>
      <c r="B177" s="88" t="str" cm="1">
        <f t="array" ref="B177">IFERROR(VLOOKUP($A177,'The List'!$B1:$AS671,3,FALSE)," ")</f>
        <v xml:space="preserve"> </v>
      </c>
      <c r="C177" s="92" t="str" cm="1">
        <f t="array" ref="C177">IFERROR(VLOOKUP($A177,'The List'!$B1:$AS671,4,FALSE)," ")</f>
        <v xml:space="preserve"> </v>
      </c>
      <c r="D177" s="18" t="str" cm="1">
        <f t="array" ref="D177">IFERROR(VLOOKUP($A177,'The List'!$B1:$AS671,5,FALSE)," ")</f>
        <v xml:space="preserve"> </v>
      </c>
      <c r="E177" s="18" t="str" cm="1">
        <f t="array" ref="E177">IFERROR(VLOOKUP($A177,'The List'!$B1:$AS671,6,FALSE)," ")</f>
        <v xml:space="preserve"> </v>
      </c>
      <c r="F177" s="93" t="str" cm="1">
        <f t="array" ref="F177">IFERROR(VLOOKUP($A177,'The List'!$B1:$AS671,8,FALSE)," ")</f>
        <v xml:space="preserve"> </v>
      </c>
      <c r="G177" s="93" t="str" cm="1">
        <f t="array" ref="G177">IFERROR(VLOOKUP($A177,'The List'!$B1:$AS671,10,FALSE)," ")</f>
        <v xml:space="preserve"> </v>
      </c>
      <c r="H177" s="55"/>
      <c r="I177" s="85" t="str" cm="1">
        <f t="array" ref="I177">IFERROR(VLOOKUP($A177,'The List'!$B1:$AS671,16,FALSE)," ")</f>
        <v xml:space="preserve"> </v>
      </c>
      <c r="J177" s="85" t="str" cm="1">
        <f t="array" ref="J177">IFERROR(VLOOKUP($A177,'The List'!$B1:$AS671,17,FALSE)," ")</f>
        <v xml:space="preserve"> </v>
      </c>
      <c r="K177" s="85" t="str" cm="1">
        <f t="array" ref="K177">IFERROR(VLOOKUP($A177,'The List'!$B1:$AS671,18,FALSE)," ")</f>
        <v xml:space="preserve"> </v>
      </c>
      <c r="L177" s="85" t="str" cm="1">
        <f t="array" ref="L177">IFERROR(VLOOKUP($A177,'The List'!$B1:$AS671,19,FALSE)," ")</f>
        <v xml:space="preserve"> </v>
      </c>
      <c r="M177" s="85" t="str" cm="1">
        <f t="array" ref="M177">IFERROR(VLOOKUP($A177,'The List'!$B1:$AS671,20,FALSE)," ")</f>
        <v xml:space="preserve"> </v>
      </c>
      <c r="N177" s="85" t="str" cm="1">
        <f t="array" ref="N177">IFERROR(VLOOKUP($A177,'The List'!$B1:$AS671,21,FALSE)," ")</f>
        <v xml:space="preserve"> </v>
      </c>
      <c r="O177" s="85" t="str" cm="1">
        <f t="array" ref="O177">IFERROR(VLOOKUP($A177,'The List'!$B1:$AS671,22,FALSE)," ")</f>
        <v xml:space="preserve"> </v>
      </c>
      <c r="P177" s="85" t="str" cm="1">
        <f t="array" ref="P177">IFERROR(VLOOKUP($A177,'The List'!$B1:$AS671,23,FALSE)," ")</f>
        <v xml:space="preserve"> </v>
      </c>
      <c r="Q177" s="85" t="str" cm="1">
        <f t="array" ref="Q177">IFERROR(VLOOKUP($A177,'The List'!$B1:$AS671,24,FALSE)," ")</f>
        <v xml:space="preserve"> </v>
      </c>
      <c r="R177" s="85" t="str" cm="1">
        <f t="array" ref="R177">IFERROR(VLOOKUP($A177,'The List'!$B1:$AS671,25,FALSE)," ")</f>
        <v xml:space="preserve"> </v>
      </c>
      <c r="S177" s="85" t="str" cm="1">
        <f t="array" ref="S177">IFERROR(VLOOKUP($A177,'The List'!$B1:$AS671,26,FALSE)," ")</f>
        <v xml:space="preserve"> </v>
      </c>
      <c r="T177" s="85" t="str" cm="1">
        <f t="array" ref="T177">IFERROR(VLOOKUP($A177,'The List'!$B1:$AS671,27,FALSE)," ")</f>
        <v xml:space="preserve"> </v>
      </c>
      <c r="U177" s="85" t="str" cm="1">
        <f t="array" ref="U177">IFERROR(VLOOKUP($A177,'The List'!$B1:$AS671,28,FALSE)," ")</f>
        <v xml:space="preserve"> </v>
      </c>
      <c r="V177" s="85" t="str" cm="1">
        <f t="array" ref="V177">IFERROR(VLOOKUP($A177,'The List'!$B1:$AS671,29,FALSE)," ")</f>
        <v xml:space="preserve"> </v>
      </c>
      <c r="W177" s="85" t="str" cm="1">
        <f t="array" ref="W177">IFERROR(VLOOKUP($A177,'The List'!$B1:$AS671,30,FALSE)," ")</f>
        <v xml:space="preserve"> </v>
      </c>
      <c r="X177" s="85" t="str" cm="1">
        <f t="array" ref="X177">IFERROR(VLOOKUP($A177,'The List'!$B1:$AS671,31,FALSE)," ")</f>
        <v xml:space="preserve"> </v>
      </c>
      <c r="Y177" s="85" t="str" cm="1">
        <f t="array" ref="Y177">IFERROR(VLOOKUP($A177,'The List'!$B1:$AS671,32,FALSE)," ")</f>
        <v xml:space="preserve"> </v>
      </c>
      <c r="Z177" s="85" t="str" cm="1">
        <f t="array" ref="Z177">IFERROR(VLOOKUP($A177,'The List'!$B1:$AS671,33,FALSE)," ")</f>
        <v xml:space="preserve"> </v>
      </c>
      <c r="AA177" s="86"/>
      <c r="AB177" s="91"/>
      <c r="AC177" s="91"/>
      <c r="AD177" s="91"/>
      <c r="AE177" s="91"/>
      <c r="AF177" s="91"/>
    </row>
    <row r="178" spans="1:32" ht="21.25" customHeight="1" x14ac:dyDescent="0.15">
      <c r="A178" s="24"/>
      <c r="B178" s="88" t="str" cm="1">
        <f t="array" ref="B178">IFERROR(VLOOKUP($A178,'The List'!$B1:$AS671,3,FALSE)," ")</f>
        <v xml:space="preserve"> </v>
      </c>
      <c r="C178" s="92" t="str" cm="1">
        <f t="array" ref="C178">IFERROR(VLOOKUP($A178,'The List'!$B1:$AS671,4,FALSE)," ")</f>
        <v xml:space="preserve"> </v>
      </c>
      <c r="D178" s="18" t="str" cm="1">
        <f t="array" ref="D178">IFERROR(VLOOKUP($A178,'The List'!$B1:$AS671,5,FALSE)," ")</f>
        <v xml:space="preserve"> </v>
      </c>
      <c r="E178" s="18" t="str" cm="1">
        <f t="array" ref="E178">IFERROR(VLOOKUP($A178,'The List'!$B1:$AS671,6,FALSE)," ")</f>
        <v xml:space="preserve"> </v>
      </c>
      <c r="F178" s="93" t="str" cm="1">
        <f t="array" ref="F178">IFERROR(VLOOKUP($A178,'The List'!$B1:$AS671,8,FALSE)," ")</f>
        <v xml:space="preserve"> </v>
      </c>
      <c r="G178" s="93" t="str" cm="1">
        <f t="array" ref="G178">IFERROR(VLOOKUP($A178,'The List'!$B1:$AS671,10,FALSE)," ")</f>
        <v xml:space="preserve"> </v>
      </c>
      <c r="H178" s="55"/>
      <c r="I178" s="85" t="str" cm="1">
        <f t="array" ref="I178">IFERROR(VLOOKUP($A178,'The List'!$B1:$AS671,16,FALSE)," ")</f>
        <v xml:space="preserve"> </v>
      </c>
      <c r="J178" s="85" t="str" cm="1">
        <f t="array" ref="J178">IFERROR(VLOOKUP($A178,'The List'!$B1:$AS671,17,FALSE)," ")</f>
        <v xml:space="preserve"> </v>
      </c>
      <c r="K178" s="85" t="str" cm="1">
        <f t="array" ref="K178">IFERROR(VLOOKUP($A178,'The List'!$B1:$AS671,18,FALSE)," ")</f>
        <v xml:space="preserve"> </v>
      </c>
      <c r="L178" s="85" t="str" cm="1">
        <f t="array" ref="L178">IFERROR(VLOOKUP($A178,'The List'!$B1:$AS671,19,FALSE)," ")</f>
        <v xml:space="preserve"> </v>
      </c>
      <c r="M178" s="85" t="str" cm="1">
        <f t="array" ref="M178">IFERROR(VLOOKUP($A178,'The List'!$B1:$AS671,20,FALSE)," ")</f>
        <v xml:space="preserve"> </v>
      </c>
      <c r="N178" s="85" t="str" cm="1">
        <f t="array" ref="N178">IFERROR(VLOOKUP($A178,'The List'!$B1:$AS671,21,FALSE)," ")</f>
        <v xml:space="preserve"> </v>
      </c>
      <c r="O178" s="85" t="str" cm="1">
        <f t="array" ref="O178">IFERROR(VLOOKUP($A178,'The List'!$B1:$AS671,22,FALSE)," ")</f>
        <v xml:space="preserve"> </v>
      </c>
      <c r="P178" s="85" t="str" cm="1">
        <f t="array" ref="P178">IFERROR(VLOOKUP($A178,'The List'!$B1:$AS671,23,FALSE)," ")</f>
        <v xml:space="preserve"> </v>
      </c>
      <c r="Q178" s="85" t="str" cm="1">
        <f t="array" ref="Q178">IFERROR(VLOOKUP($A178,'The List'!$B1:$AS671,24,FALSE)," ")</f>
        <v xml:space="preserve"> </v>
      </c>
      <c r="R178" s="85" t="str" cm="1">
        <f t="array" ref="R178">IFERROR(VLOOKUP($A178,'The List'!$B1:$AS671,25,FALSE)," ")</f>
        <v xml:space="preserve"> </v>
      </c>
      <c r="S178" s="85" t="str" cm="1">
        <f t="array" ref="S178">IFERROR(VLOOKUP($A178,'The List'!$B1:$AS671,26,FALSE)," ")</f>
        <v xml:space="preserve"> </v>
      </c>
      <c r="T178" s="85" t="str" cm="1">
        <f t="array" ref="T178">IFERROR(VLOOKUP($A178,'The List'!$B1:$AS671,27,FALSE)," ")</f>
        <v xml:space="preserve"> </v>
      </c>
      <c r="U178" s="85" t="str" cm="1">
        <f t="array" ref="U178">IFERROR(VLOOKUP($A178,'The List'!$B1:$AS671,28,FALSE)," ")</f>
        <v xml:space="preserve"> </v>
      </c>
      <c r="V178" s="85" t="str" cm="1">
        <f t="array" ref="V178">IFERROR(VLOOKUP($A178,'The List'!$B1:$AS671,29,FALSE)," ")</f>
        <v xml:space="preserve"> </v>
      </c>
      <c r="W178" s="85" t="str" cm="1">
        <f t="array" ref="W178">IFERROR(VLOOKUP($A178,'The List'!$B1:$AS671,30,FALSE)," ")</f>
        <v xml:space="preserve"> </v>
      </c>
      <c r="X178" s="85" t="str" cm="1">
        <f t="array" ref="X178">IFERROR(VLOOKUP($A178,'The List'!$B1:$AS671,31,FALSE)," ")</f>
        <v xml:space="preserve"> </v>
      </c>
      <c r="Y178" s="85" t="str" cm="1">
        <f t="array" ref="Y178">IFERROR(VLOOKUP($A178,'The List'!$B1:$AS671,32,FALSE)," ")</f>
        <v xml:space="preserve"> </v>
      </c>
      <c r="Z178" s="85" t="str" cm="1">
        <f t="array" ref="Z178">IFERROR(VLOOKUP($A178,'The List'!$B1:$AS671,33,FALSE)," ")</f>
        <v xml:space="preserve"> </v>
      </c>
      <c r="AA178" s="86"/>
      <c r="AB178" s="91"/>
      <c r="AC178" s="91"/>
      <c r="AD178" s="91"/>
      <c r="AE178" s="91"/>
      <c r="AF178" s="91"/>
    </row>
    <row r="179" spans="1:32" ht="21.25" customHeight="1" x14ac:dyDescent="0.15">
      <c r="A179" s="24"/>
      <c r="B179" s="88" t="str" cm="1">
        <f t="array" ref="B179">IFERROR(VLOOKUP($A179,'The List'!$B1:$AS671,3,FALSE)," ")</f>
        <v xml:space="preserve"> </v>
      </c>
      <c r="C179" s="92" t="str" cm="1">
        <f t="array" ref="C179">IFERROR(VLOOKUP($A179,'The List'!$B1:$AS671,4,FALSE)," ")</f>
        <v xml:space="preserve"> </v>
      </c>
      <c r="D179" s="18" t="str" cm="1">
        <f t="array" ref="D179">IFERROR(VLOOKUP($A179,'The List'!$B1:$AS671,5,FALSE)," ")</f>
        <v xml:space="preserve"> </v>
      </c>
      <c r="E179" s="18" t="str" cm="1">
        <f t="array" ref="E179">IFERROR(VLOOKUP($A179,'The List'!$B1:$AS671,6,FALSE)," ")</f>
        <v xml:space="preserve"> </v>
      </c>
      <c r="F179" s="93" t="str" cm="1">
        <f t="array" ref="F179">IFERROR(VLOOKUP($A179,'The List'!$B1:$AS671,8,FALSE)," ")</f>
        <v xml:space="preserve"> </v>
      </c>
      <c r="G179" s="93" t="str" cm="1">
        <f t="array" ref="G179">IFERROR(VLOOKUP($A179,'The List'!$B1:$AS671,10,FALSE)," ")</f>
        <v xml:space="preserve"> </v>
      </c>
      <c r="H179" s="55"/>
      <c r="I179" s="85" t="str" cm="1">
        <f t="array" ref="I179">IFERROR(VLOOKUP($A179,'The List'!$B1:$AS671,16,FALSE)," ")</f>
        <v xml:space="preserve"> </v>
      </c>
      <c r="J179" s="85" t="str" cm="1">
        <f t="array" ref="J179">IFERROR(VLOOKUP($A179,'The List'!$B1:$AS671,17,FALSE)," ")</f>
        <v xml:space="preserve"> </v>
      </c>
      <c r="K179" s="85" t="str" cm="1">
        <f t="array" ref="K179">IFERROR(VLOOKUP($A179,'The List'!$B1:$AS671,18,FALSE)," ")</f>
        <v xml:space="preserve"> </v>
      </c>
      <c r="L179" s="85" t="str" cm="1">
        <f t="array" ref="L179">IFERROR(VLOOKUP($A179,'The List'!$B1:$AS671,19,FALSE)," ")</f>
        <v xml:space="preserve"> </v>
      </c>
      <c r="M179" s="85" t="str" cm="1">
        <f t="array" ref="M179">IFERROR(VLOOKUP($A179,'The List'!$B1:$AS671,20,FALSE)," ")</f>
        <v xml:space="preserve"> </v>
      </c>
      <c r="N179" s="85" t="str" cm="1">
        <f t="array" ref="N179">IFERROR(VLOOKUP($A179,'The List'!$B1:$AS671,21,FALSE)," ")</f>
        <v xml:space="preserve"> </v>
      </c>
      <c r="O179" s="85" t="str" cm="1">
        <f t="array" ref="O179">IFERROR(VLOOKUP($A179,'The List'!$B1:$AS671,22,FALSE)," ")</f>
        <v xml:space="preserve"> </v>
      </c>
      <c r="P179" s="85" t="str" cm="1">
        <f t="array" ref="P179">IFERROR(VLOOKUP($A179,'The List'!$B1:$AS671,23,FALSE)," ")</f>
        <v xml:space="preserve"> </v>
      </c>
      <c r="Q179" s="85" t="str" cm="1">
        <f t="array" ref="Q179">IFERROR(VLOOKUP($A179,'The List'!$B1:$AS671,24,FALSE)," ")</f>
        <v xml:space="preserve"> </v>
      </c>
      <c r="R179" s="85" t="str" cm="1">
        <f t="array" ref="R179">IFERROR(VLOOKUP($A179,'The List'!$B1:$AS671,25,FALSE)," ")</f>
        <v xml:space="preserve"> </v>
      </c>
      <c r="S179" s="85" t="str" cm="1">
        <f t="array" ref="S179">IFERROR(VLOOKUP($A179,'The List'!$B1:$AS671,26,FALSE)," ")</f>
        <v xml:space="preserve"> </v>
      </c>
      <c r="T179" s="85" t="str" cm="1">
        <f t="array" ref="T179">IFERROR(VLOOKUP($A179,'The List'!$B1:$AS671,27,FALSE)," ")</f>
        <v xml:space="preserve"> </v>
      </c>
      <c r="U179" s="85" t="str" cm="1">
        <f t="array" ref="U179">IFERROR(VLOOKUP($A179,'The List'!$B1:$AS671,28,FALSE)," ")</f>
        <v xml:space="preserve"> </v>
      </c>
      <c r="V179" s="85" t="str" cm="1">
        <f t="array" ref="V179">IFERROR(VLOOKUP($A179,'The List'!$B1:$AS671,29,FALSE)," ")</f>
        <v xml:space="preserve"> </v>
      </c>
      <c r="W179" s="85" t="str" cm="1">
        <f t="array" ref="W179">IFERROR(VLOOKUP($A179,'The List'!$B1:$AS671,30,FALSE)," ")</f>
        <v xml:space="preserve"> </v>
      </c>
      <c r="X179" s="85" t="str" cm="1">
        <f t="array" ref="X179">IFERROR(VLOOKUP($A179,'The List'!$B1:$AS671,31,FALSE)," ")</f>
        <v xml:space="preserve"> </v>
      </c>
      <c r="Y179" s="85" t="str" cm="1">
        <f t="array" ref="Y179">IFERROR(VLOOKUP($A179,'The List'!$B1:$AS671,32,FALSE)," ")</f>
        <v xml:space="preserve"> </v>
      </c>
      <c r="Z179" s="85" t="str" cm="1">
        <f t="array" ref="Z179">IFERROR(VLOOKUP($A179,'The List'!$B1:$AS671,33,FALSE)," ")</f>
        <v xml:space="preserve"> </v>
      </c>
      <c r="AA179" s="86"/>
      <c r="AB179" s="91"/>
      <c r="AC179" s="91"/>
      <c r="AD179" s="91"/>
      <c r="AE179" s="91"/>
      <c r="AF179" s="91"/>
    </row>
    <row r="180" spans="1:32" ht="21.25" customHeight="1" x14ac:dyDescent="0.15">
      <c r="A180" s="24"/>
      <c r="B180" s="94" t="str" cm="1">
        <f t="array" ref="B180">IFERROR(VLOOKUP($A180,'The List'!$B1:$AS671,3,FALSE)," ")</f>
        <v xml:space="preserve"> </v>
      </c>
      <c r="C180" s="96" t="str" cm="1">
        <f t="array" ref="C180">IFERROR(VLOOKUP($A180,'The List'!$B1:$AS671,4,FALSE)," ")</f>
        <v xml:space="preserve"> </v>
      </c>
      <c r="D180" s="18" t="str" cm="1">
        <f t="array" ref="D180">IFERROR(VLOOKUP($A180,'The List'!$B1:$AS671,5,FALSE)," ")</f>
        <v xml:space="preserve"> </v>
      </c>
      <c r="E180" s="18" t="str" cm="1">
        <f t="array" ref="E180">IFERROR(VLOOKUP($A180,'The List'!$B1:$AS671,6,FALSE)," ")</f>
        <v xml:space="preserve"> </v>
      </c>
      <c r="F180" s="93" t="str" cm="1">
        <f t="array" ref="F180">IFERROR(VLOOKUP($A180,'The List'!$B1:$AS671,8,FALSE)," ")</f>
        <v xml:space="preserve"> </v>
      </c>
      <c r="G180" s="93" t="str" cm="1">
        <f t="array" ref="G180">IFERROR(VLOOKUP($A180,'The List'!$B1:$AS671,10,FALSE)," ")</f>
        <v xml:space="preserve"> </v>
      </c>
      <c r="H180" s="55"/>
      <c r="I180" s="85" t="str" cm="1">
        <f t="array" ref="I180">IFERROR(VLOOKUP($A180,'The List'!$B1:$AS671,16,FALSE)," ")</f>
        <v xml:space="preserve"> </v>
      </c>
      <c r="J180" s="85" t="str" cm="1">
        <f t="array" ref="J180">IFERROR(VLOOKUP($A180,'The List'!$B1:$AS671,17,FALSE)," ")</f>
        <v xml:space="preserve"> </v>
      </c>
      <c r="K180" s="85" t="str" cm="1">
        <f t="array" ref="K180">IFERROR(VLOOKUP($A180,'The List'!$B1:$AS671,18,FALSE)," ")</f>
        <v xml:space="preserve"> </v>
      </c>
      <c r="L180" s="85" t="str" cm="1">
        <f t="array" ref="L180">IFERROR(VLOOKUP($A180,'The List'!$B1:$AS671,19,FALSE)," ")</f>
        <v xml:space="preserve"> </v>
      </c>
      <c r="M180" s="85" t="str" cm="1">
        <f t="array" ref="M180">IFERROR(VLOOKUP($A180,'The List'!$B1:$AS671,20,FALSE)," ")</f>
        <v xml:space="preserve"> </v>
      </c>
      <c r="N180" s="85" t="str" cm="1">
        <f t="array" ref="N180">IFERROR(VLOOKUP($A180,'The List'!$B1:$AS671,21,FALSE)," ")</f>
        <v xml:space="preserve"> </v>
      </c>
      <c r="O180" s="85" t="str" cm="1">
        <f t="array" ref="O180">IFERROR(VLOOKUP($A180,'The List'!$B1:$AS671,22,FALSE)," ")</f>
        <v xml:space="preserve"> </v>
      </c>
      <c r="P180" s="85" t="str" cm="1">
        <f t="array" ref="P180">IFERROR(VLOOKUP($A180,'The List'!$B1:$AS671,23,FALSE)," ")</f>
        <v xml:space="preserve"> </v>
      </c>
      <c r="Q180" s="85" t="str" cm="1">
        <f t="array" ref="Q180">IFERROR(VLOOKUP($A180,'The List'!$B1:$AS671,24,FALSE)," ")</f>
        <v xml:space="preserve"> </v>
      </c>
      <c r="R180" s="85" t="str" cm="1">
        <f t="array" ref="R180">IFERROR(VLOOKUP($A180,'The List'!$B1:$AS671,25,FALSE)," ")</f>
        <v xml:space="preserve"> </v>
      </c>
      <c r="S180" s="85" t="str" cm="1">
        <f t="array" ref="S180">IFERROR(VLOOKUP($A180,'The List'!$B1:$AS671,26,FALSE)," ")</f>
        <v xml:space="preserve"> </v>
      </c>
      <c r="T180" s="85" t="str" cm="1">
        <f t="array" ref="T180">IFERROR(VLOOKUP($A180,'The List'!$B1:$AS671,27,FALSE)," ")</f>
        <v xml:space="preserve"> </v>
      </c>
      <c r="U180" s="85" t="str" cm="1">
        <f t="array" ref="U180">IFERROR(VLOOKUP($A180,'The List'!$B1:$AS671,28,FALSE)," ")</f>
        <v xml:space="preserve"> </v>
      </c>
      <c r="V180" s="85" t="str" cm="1">
        <f t="array" ref="V180">IFERROR(VLOOKUP($A180,'The List'!$B1:$AS671,29,FALSE)," ")</f>
        <v xml:space="preserve"> </v>
      </c>
      <c r="W180" s="85" t="str" cm="1">
        <f t="array" ref="W180">IFERROR(VLOOKUP($A180,'The List'!$B1:$AS671,30,FALSE)," ")</f>
        <v xml:space="preserve"> </v>
      </c>
      <c r="X180" s="85" t="str" cm="1">
        <f t="array" ref="X180">IFERROR(VLOOKUP($A180,'The List'!$B1:$AS671,31,FALSE)," ")</f>
        <v xml:space="preserve"> </v>
      </c>
      <c r="Y180" s="85" t="str" cm="1">
        <f t="array" ref="Y180">IFERROR(VLOOKUP($A180,'The List'!$B1:$AS671,32,FALSE)," ")</f>
        <v xml:space="preserve"> </v>
      </c>
      <c r="Z180" s="85" t="str" cm="1">
        <f t="array" ref="Z180">IFERROR(VLOOKUP($A180,'The List'!$B1:$AS671,33,FALSE)," ")</f>
        <v xml:space="preserve"> </v>
      </c>
      <c r="AA180" s="86"/>
      <c r="AB180" s="91"/>
      <c r="AC180" s="91"/>
      <c r="AD180" s="91"/>
      <c r="AE180" s="91"/>
      <c r="AF180" s="91"/>
    </row>
    <row r="181" spans="1:32" ht="21.25" customHeight="1" x14ac:dyDescent="0.15">
      <c r="A181" s="24"/>
      <c r="B181" s="94" t="str" cm="1">
        <f t="array" ref="B181">IFERROR(VLOOKUP($A181,'The List'!$B1:$AS671,3,FALSE)," ")</f>
        <v xml:space="preserve"> </v>
      </c>
      <c r="C181" s="96" t="str" cm="1">
        <f t="array" ref="C181">IFERROR(VLOOKUP($A181,'The List'!$B1:$AS671,4,FALSE)," ")</f>
        <v xml:space="preserve"> </v>
      </c>
      <c r="D181" s="18" t="str" cm="1">
        <f t="array" ref="D181">IFERROR(VLOOKUP($A181,'The List'!$B1:$AS671,5,FALSE)," ")</f>
        <v xml:space="preserve"> </v>
      </c>
      <c r="E181" s="18" t="str" cm="1">
        <f t="array" ref="E181">IFERROR(VLOOKUP($A181,'The List'!$B1:$AS671,6,FALSE)," ")</f>
        <v xml:space="preserve"> </v>
      </c>
      <c r="F181" s="93" t="str" cm="1">
        <f t="array" ref="F181">IFERROR(VLOOKUP($A181,'The List'!$B1:$AS671,8,FALSE)," ")</f>
        <v xml:space="preserve"> </v>
      </c>
      <c r="G181" s="93" t="str" cm="1">
        <f t="array" ref="G181">IFERROR(VLOOKUP($A181,'The List'!$B1:$AS671,10,FALSE)," ")</f>
        <v xml:space="preserve"> </v>
      </c>
      <c r="H181" s="55"/>
      <c r="I181" s="85" t="str" cm="1">
        <f t="array" ref="I181">IFERROR(VLOOKUP($A181,'The List'!$B1:$AS671,16,FALSE)," ")</f>
        <v xml:space="preserve"> </v>
      </c>
      <c r="J181" s="85" t="str" cm="1">
        <f t="array" ref="J181">IFERROR(VLOOKUP($A181,'The List'!$B1:$AS671,17,FALSE)," ")</f>
        <v xml:space="preserve"> </v>
      </c>
      <c r="K181" s="85" t="str" cm="1">
        <f t="array" ref="K181">IFERROR(VLOOKUP($A181,'The List'!$B1:$AS671,18,FALSE)," ")</f>
        <v xml:space="preserve"> </v>
      </c>
      <c r="L181" s="85" t="str" cm="1">
        <f t="array" ref="L181">IFERROR(VLOOKUP($A181,'The List'!$B1:$AS671,19,FALSE)," ")</f>
        <v xml:space="preserve"> </v>
      </c>
      <c r="M181" s="85" t="str" cm="1">
        <f t="array" ref="M181">IFERROR(VLOOKUP($A181,'The List'!$B1:$AS671,20,FALSE)," ")</f>
        <v xml:space="preserve"> </v>
      </c>
      <c r="N181" s="85" t="str" cm="1">
        <f t="array" ref="N181">IFERROR(VLOOKUP($A181,'The List'!$B1:$AS671,21,FALSE)," ")</f>
        <v xml:space="preserve"> </v>
      </c>
      <c r="O181" s="85" t="str" cm="1">
        <f t="array" ref="O181">IFERROR(VLOOKUP($A181,'The List'!$B1:$AS671,22,FALSE)," ")</f>
        <v xml:space="preserve"> </v>
      </c>
      <c r="P181" s="85" t="str" cm="1">
        <f t="array" ref="P181">IFERROR(VLOOKUP($A181,'The List'!$B1:$AS671,23,FALSE)," ")</f>
        <v xml:space="preserve"> </v>
      </c>
      <c r="Q181" s="85" t="str" cm="1">
        <f t="array" ref="Q181">IFERROR(VLOOKUP($A181,'The List'!$B1:$AS671,24,FALSE)," ")</f>
        <v xml:space="preserve"> </v>
      </c>
      <c r="R181" s="85" t="str" cm="1">
        <f t="array" ref="R181">IFERROR(VLOOKUP($A181,'The List'!$B1:$AS671,25,FALSE)," ")</f>
        <v xml:space="preserve"> </v>
      </c>
      <c r="S181" s="85" t="str" cm="1">
        <f t="array" ref="S181">IFERROR(VLOOKUP($A181,'The List'!$B1:$AS671,26,FALSE)," ")</f>
        <v xml:space="preserve"> </v>
      </c>
      <c r="T181" s="85" t="str" cm="1">
        <f t="array" ref="T181">IFERROR(VLOOKUP($A181,'The List'!$B1:$AS671,27,FALSE)," ")</f>
        <v xml:space="preserve"> </v>
      </c>
      <c r="U181" s="85" t="str" cm="1">
        <f t="array" ref="U181">IFERROR(VLOOKUP($A181,'The List'!$B1:$AS671,28,FALSE)," ")</f>
        <v xml:space="preserve"> </v>
      </c>
      <c r="V181" s="85" t="str" cm="1">
        <f t="array" ref="V181">IFERROR(VLOOKUP($A181,'The List'!$B1:$AS671,29,FALSE)," ")</f>
        <v xml:space="preserve"> </v>
      </c>
      <c r="W181" s="85" t="str" cm="1">
        <f t="array" ref="W181">IFERROR(VLOOKUP($A181,'The List'!$B1:$AS671,30,FALSE)," ")</f>
        <v xml:space="preserve"> </v>
      </c>
      <c r="X181" s="85" t="str" cm="1">
        <f t="array" ref="X181">IFERROR(VLOOKUP($A181,'The List'!$B1:$AS671,31,FALSE)," ")</f>
        <v xml:space="preserve"> </v>
      </c>
      <c r="Y181" s="85" t="str" cm="1">
        <f t="array" ref="Y181">IFERROR(VLOOKUP($A181,'The List'!$B1:$AS671,32,FALSE)," ")</f>
        <v xml:space="preserve"> </v>
      </c>
      <c r="Z181" s="85" t="str" cm="1">
        <f t="array" ref="Z181">IFERROR(VLOOKUP($A181,'The List'!$B1:$AS671,33,FALSE)," ")</f>
        <v xml:space="preserve"> </v>
      </c>
      <c r="AA181" s="86"/>
      <c r="AB181" s="91"/>
      <c r="AC181" s="91"/>
      <c r="AD181" s="91"/>
      <c r="AE181" s="91"/>
      <c r="AF181" s="91"/>
    </row>
    <row r="182" spans="1:32" ht="21.25" customHeight="1" x14ac:dyDescent="0.15">
      <c r="A182" s="24"/>
      <c r="B182" s="94" t="str" cm="1">
        <f t="array" ref="B182">IFERROR(VLOOKUP($A182,'The List'!$B1:$AS671,3,FALSE)," ")</f>
        <v xml:space="preserve"> </v>
      </c>
      <c r="C182" s="96" t="str" cm="1">
        <f t="array" ref="C182">IFERROR(VLOOKUP($A182,'The List'!$B1:$AS671,4,FALSE)," ")</f>
        <v xml:space="preserve"> </v>
      </c>
      <c r="D182" s="18" t="str" cm="1">
        <f t="array" ref="D182">IFERROR(VLOOKUP($A182,'The List'!$B1:$AS671,5,FALSE)," ")</f>
        <v xml:space="preserve"> </v>
      </c>
      <c r="E182" s="18" t="str" cm="1">
        <f t="array" ref="E182">IFERROR(VLOOKUP($A182,'The List'!$B1:$AS671,6,FALSE)," ")</f>
        <v xml:space="preserve"> </v>
      </c>
      <c r="F182" s="93" t="str" cm="1">
        <f t="array" ref="F182">IFERROR(VLOOKUP($A182,'The List'!$B1:$AS671,8,FALSE)," ")</f>
        <v xml:space="preserve"> </v>
      </c>
      <c r="G182" s="93" t="str" cm="1">
        <f t="array" ref="G182">IFERROR(VLOOKUP($A182,'The List'!$B1:$AS671,10,FALSE)," ")</f>
        <v xml:space="preserve"> </v>
      </c>
      <c r="H182" s="55"/>
      <c r="I182" s="85" t="str" cm="1">
        <f t="array" ref="I182">IFERROR(VLOOKUP($A182,'The List'!$B1:$AS671,16,FALSE)," ")</f>
        <v xml:space="preserve"> </v>
      </c>
      <c r="J182" s="85" t="str" cm="1">
        <f t="array" ref="J182">IFERROR(VLOOKUP($A182,'The List'!$B1:$AS671,17,FALSE)," ")</f>
        <v xml:space="preserve"> </v>
      </c>
      <c r="K182" s="85" t="str" cm="1">
        <f t="array" ref="K182">IFERROR(VLOOKUP($A182,'The List'!$B1:$AS671,18,FALSE)," ")</f>
        <v xml:space="preserve"> </v>
      </c>
      <c r="L182" s="85" t="str" cm="1">
        <f t="array" ref="L182">IFERROR(VLOOKUP($A182,'The List'!$B1:$AS671,19,FALSE)," ")</f>
        <v xml:space="preserve"> </v>
      </c>
      <c r="M182" s="85" t="str" cm="1">
        <f t="array" ref="M182">IFERROR(VLOOKUP($A182,'The List'!$B1:$AS671,20,FALSE)," ")</f>
        <v xml:space="preserve"> </v>
      </c>
      <c r="N182" s="85" t="str" cm="1">
        <f t="array" ref="N182">IFERROR(VLOOKUP($A182,'The List'!$B1:$AS671,21,FALSE)," ")</f>
        <v xml:space="preserve"> </v>
      </c>
      <c r="O182" s="85" t="str" cm="1">
        <f t="array" ref="O182">IFERROR(VLOOKUP($A182,'The List'!$B1:$AS671,22,FALSE)," ")</f>
        <v xml:space="preserve"> </v>
      </c>
      <c r="P182" s="85" t="str" cm="1">
        <f t="array" ref="P182">IFERROR(VLOOKUP($A182,'The List'!$B1:$AS671,23,FALSE)," ")</f>
        <v xml:space="preserve"> </v>
      </c>
      <c r="Q182" s="85" t="str" cm="1">
        <f t="array" ref="Q182">IFERROR(VLOOKUP($A182,'The List'!$B1:$AS671,24,FALSE)," ")</f>
        <v xml:space="preserve"> </v>
      </c>
      <c r="R182" s="85" t="str" cm="1">
        <f t="array" ref="R182">IFERROR(VLOOKUP($A182,'The List'!$B1:$AS671,25,FALSE)," ")</f>
        <v xml:space="preserve"> </v>
      </c>
      <c r="S182" s="85" t="str" cm="1">
        <f t="array" ref="S182">IFERROR(VLOOKUP($A182,'The List'!$B1:$AS671,26,FALSE)," ")</f>
        <v xml:space="preserve"> </v>
      </c>
      <c r="T182" s="85" t="str" cm="1">
        <f t="array" ref="T182">IFERROR(VLOOKUP($A182,'The List'!$B1:$AS671,27,FALSE)," ")</f>
        <v xml:space="preserve"> </v>
      </c>
      <c r="U182" s="85" t="str" cm="1">
        <f t="array" ref="U182">IFERROR(VLOOKUP($A182,'The List'!$B1:$AS671,28,FALSE)," ")</f>
        <v xml:space="preserve"> </v>
      </c>
      <c r="V182" s="85" t="str" cm="1">
        <f t="array" ref="V182">IFERROR(VLOOKUP($A182,'The List'!$B1:$AS671,29,FALSE)," ")</f>
        <v xml:space="preserve"> </v>
      </c>
      <c r="W182" s="85" t="str" cm="1">
        <f t="array" ref="W182">IFERROR(VLOOKUP($A182,'The List'!$B1:$AS671,30,FALSE)," ")</f>
        <v xml:space="preserve"> </v>
      </c>
      <c r="X182" s="85" t="str" cm="1">
        <f t="array" ref="X182">IFERROR(VLOOKUP($A182,'The List'!$B1:$AS671,31,FALSE)," ")</f>
        <v xml:space="preserve"> </v>
      </c>
      <c r="Y182" s="85" t="str" cm="1">
        <f t="array" ref="Y182">IFERROR(VLOOKUP($A182,'The List'!$B1:$AS671,32,FALSE)," ")</f>
        <v xml:space="preserve"> </v>
      </c>
      <c r="Z182" s="85" t="str" cm="1">
        <f t="array" ref="Z182">IFERROR(VLOOKUP($A182,'The List'!$B1:$AS671,33,FALSE)," ")</f>
        <v xml:space="preserve"> </v>
      </c>
      <c r="AA182" s="86"/>
      <c r="AB182" s="91"/>
      <c r="AC182" s="91"/>
      <c r="AD182" s="91"/>
      <c r="AE182" s="91"/>
      <c r="AF182" s="91"/>
    </row>
    <row r="183" spans="1:32" ht="21.25" customHeight="1" x14ac:dyDescent="0.15">
      <c r="A183" s="24"/>
      <c r="B183" s="94" t="str" cm="1">
        <f t="array" ref="B183">IFERROR(VLOOKUP($A183,'The List'!$B1:$AS671,3,FALSE)," ")</f>
        <v xml:space="preserve"> </v>
      </c>
      <c r="C183" s="96" t="str" cm="1">
        <f t="array" ref="C183">IFERROR(VLOOKUP($A183,'The List'!$B1:$AS671,4,FALSE)," ")</f>
        <v xml:space="preserve"> </v>
      </c>
      <c r="D183" s="18" t="str" cm="1">
        <f t="array" ref="D183">IFERROR(VLOOKUP($A183,'The List'!$B1:$AS671,5,FALSE)," ")</f>
        <v xml:space="preserve"> </v>
      </c>
      <c r="E183" s="18" t="str" cm="1">
        <f t="array" ref="E183">IFERROR(VLOOKUP($A183,'The List'!$B1:$AS671,6,FALSE)," ")</f>
        <v xml:space="preserve"> </v>
      </c>
      <c r="F183" s="93" t="str" cm="1">
        <f t="array" ref="F183">IFERROR(VLOOKUP($A183,'The List'!$B1:$AS671,8,FALSE)," ")</f>
        <v xml:space="preserve"> </v>
      </c>
      <c r="G183" s="93" t="str" cm="1">
        <f t="array" ref="G183">IFERROR(VLOOKUP($A183,'The List'!$B1:$AS671,10,FALSE)," ")</f>
        <v xml:space="preserve"> </v>
      </c>
      <c r="H183" s="55"/>
      <c r="I183" s="85" t="str" cm="1">
        <f t="array" ref="I183">IFERROR(VLOOKUP($A183,'The List'!$B1:$AS671,16,FALSE)," ")</f>
        <v xml:space="preserve"> </v>
      </c>
      <c r="J183" s="85" t="str" cm="1">
        <f t="array" ref="J183">IFERROR(VLOOKUP($A183,'The List'!$B1:$AS671,17,FALSE)," ")</f>
        <v xml:space="preserve"> </v>
      </c>
      <c r="K183" s="85" t="str" cm="1">
        <f t="array" ref="K183">IFERROR(VLOOKUP($A183,'The List'!$B1:$AS671,18,FALSE)," ")</f>
        <v xml:space="preserve"> </v>
      </c>
      <c r="L183" s="85" t="str" cm="1">
        <f t="array" ref="L183">IFERROR(VLOOKUP($A183,'The List'!$B1:$AS671,19,FALSE)," ")</f>
        <v xml:space="preserve"> </v>
      </c>
      <c r="M183" s="85" t="str" cm="1">
        <f t="array" ref="M183">IFERROR(VLOOKUP($A183,'The List'!$B1:$AS671,20,FALSE)," ")</f>
        <v xml:space="preserve"> </v>
      </c>
      <c r="N183" s="85" t="str" cm="1">
        <f t="array" ref="N183">IFERROR(VLOOKUP($A183,'The List'!$B1:$AS671,21,FALSE)," ")</f>
        <v xml:space="preserve"> </v>
      </c>
      <c r="O183" s="85" t="str" cm="1">
        <f t="array" ref="O183">IFERROR(VLOOKUP($A183,'The List'!$B1:$AS671,22,FALSE)," ")</f>
        <v xml:space="preserve"> </v>
      </c>
      <c r="P183" s="85" t="str" cm="1">
        <f t="array" ref="P183">IFERROR(VLOOKUP($A183,'The List'!$B1:$AS671,23,FALSE)," ")</f>
        <v xml:space="preserve"> </v>
      </c>
      <c r="Q183" s="85" t="str" cm="1">
        <f t="array" ref="Q183">IFERROR(VLOOKUP($A183,'The List'!$B1:$AS671,24,FALSE)," ")</f>
        <v xml:space="preserve"> </v>
      </c>
      <c r="R183" s="85" t="str" cm="1">
        <f t="array" ref="R183">IFERROR(VLOOKUP($A183,'The List'!$B1:$AS671,25,FALSE)," ")</f>
        <v xml:space="preserve"> </v>
      </c>
      <c r="S183" s="85" t="str" cm="1">
        <f t="array" ref="S183">IFERROR(VLOOKUP($A183,'The List'!$B1:$AS671,26,FALSE)," ")</f>
        <v xml:space="preserve"> </v>
      </c>
      <c r="T183" s="85" t="str" cm="1">
        <f t="array" ref="T183">IFERROR(VLOOKUP($A183,'The List'!$B1:$AS671,27,FALSE)," ")</f>
        <v xml:space="preserve"> </v>
      </c>
      <c r="U183" s="85" t="str" cm="1">
        <f t="array" ref="U183">IFERROR(VLOOKUP($A183,'The List'!$B1:$AS671,28,FALSE)," ")</f>
        <v xml:space="preserve"> </v>
      </c>
      <c r="V183" s="85" t="str" cm="1">
        <f t="array" ref="V183">IFERROR(VLOOKUP($A183,'The List'!$B1:$AS671,29,FALSE)," ")</f>
        <v xml:space="preserve"> </v>
      </c>
      <c r="W183" s="85" t="str" cm="1">
        <f t="array" ref="W183">IFERROR(VLOOKUP($A183,'The List'!$B1:$AS671,30,FALSE)," ")</f>
        <v xml:space="preserve"> </v>
      </c>
      <c r="X183" s="85" t="str" cm="1">
        <f t="array" ref="X183">IFERROR(VLOOKUP($A183,'The List'!$B1:$AS671,31,FALSE)," ")</f>
        <v xml:space="preserve"> </v>
      </c>
      <c r="Y183" s="85" t="str" cm="1">
        <f t="array" ref="Y183">IFERROR(VLOOKUP($A183,'The List'!$B1:$AS671,32,FALSE)," ")</f>
        <v xml:space="preserve"> </v>
      </c>
      <c r="Z183" s="85" t="str" cm="1">
        <f t="array" ref="Z183">IFERROR(VLOOKUP($A183,'The List'!$B1:$AS671,33,FALSE)," ")</f>
        <v xml:space="preserve"> </v>
      </c>
      <c r="AA183" s="86"/>
      <c r="AB183" s="91"/>
      <c r="AC183" s="91"/>
      <c r="AD183" s="91"/>
      <c r="AE183" s="91"/>
      <c r="AF183" s="91"/>
    </row>
    <row r="184" spans="1:32" ht="21.25" customHeight="1" x14ac:dyDescent="0.15">
      <c r="A184" s="24"/>
      <c r="B184" s="97" t="str" cm="1">
        <f t="array" ref="B184">IFERROR(VLOOKUP($A184,'The List'!$B1:$AS671,3,FALSE)," ")</f>
        <v xml:space="preserve"> </v>
      </c>
      <c r="C184" s="99" t="str" cm="1">
        <f t="array" ref="C184">IFERROR(VLOOKUP($A184,'The List'!$B1:$AS671,4,FALSE)," ")</f>
        <v xml:space="preserve"> </v>
      </c>
      <c r="D184" s="18" t="str" cm="1">
        <f t="array" ref="D184">IFERROR(VLOOKUP($A184,'The List'!$B1:$AS671,5,FALSE)," ")</f>
        <v xml:space="preserve"> </v>
      </c>
      <c r="E184" s="18" t="str" cm="1">
        <f t="array" ref="E184">IFERROR(VLOOKUP($A184,'The List'!$B1:$AS671,6,FALSE)," ")</f>
        <v xml:space="preserve"> </v>
      </c>
      <c r="F184" s="93" t="str" cm="1">
        <f t="array" ref="F184">IFERROR(VLOOKUP($A184,'The List'!$B1:$AS671,8,FALSE)," ")</f>
        <v xml:space="preserve"> </v>
      </c>
      <c r="G184" s="93" t="str" cm="1">
        <f t="array" ref="G184">IFERROR(VLOOKUP($A184,'The List'!$B1:$AS671,10,FALSE)," ")</f>
        <v xml:space="preserve"> </v>
      </c>
      <c r="H184" s="55"/>
      <c r="I184" s="85" t="str" cm="1">
        <f t="array" ref="I184">IFERROR(VLOOKUP($A184,'The List'!$B1:$AS671,16,FALSE)," ")</f>
        <v xml:space="preserve"> </v>
      </c>
      <c r="J184" s="85" t="str" cm="1">
        <f t="array" ref="J184">IFERROR(VLOOKUP($A184,'The List'!$B1:$AS671,17,FALSE)," ")</f>
        <v xml:space="preserve"> </v>
      </c>
      <c r="K184" s="85" t="str" cm="1">
        <f t="array" ref="K184">IFERROR(VLOOKUP($A184,'The List'!$B1:$AS671,18,FALSE)," ")</f>
        <v xml:space="preserve"> </v>
      </c>
      <c r="L184" s="85" t="str" cm="1">
        <f t="array" ref="L184">IFERROR(VLOOKUP($A184,'The List'!$B1:$AS671,19,FALSE)," ")</f>
        <v xml:space="preserve"> </v>
      </c>
      <c r="M184" s="85" t="str" cm="1">
        <f t="array" ref="M184">IFERROR(VLOOKUP($A184,'The List'!$B1:$AS671,20,FALSE)," ")</f>
        <v xml:space="preserve"> </v>
      </c>
      <c r="N184" s="85" t="str" cm="1">
        <f t="array" ref="N184">IFERROR(VLOOKUP($A184,'The List'!$B1:$AS671,21,FALSE)," ")</f>
        <v xml:space="preserve"> </v>
      </c>
      <c r="O184" s="85" t="str" cm="1">
        <f t="array" ref="O184">IFERROR(VLOOKUP($A184,'The List'!$B1:$AS671,22,FALSE)," ")</f>
        <v xml:space="preserve"> </v>
      </c>
      <c r="P184" s="85" t="str" cm="1">
        <f t="array" ref="P184">IFERROR(VLOOKUP($A184,'The List'!$B1:$AS671,23,FALSE)," ")</f>
        <v xml:space="preserve"> </v>
      </c>
      <c r="Q184" s="85" t="str" cm="1">
        <f t="array" ref="Q184">IFERROR(VLOOKUP($A184,'The List'!$B1:$AS671,24,FALSE)," ")</f>
        <v xml:space="preserve"> </v>
      </c>
      <c r="R184" s="85" t="str" cm="1">
        <f t="array" ref="R184">IFERROR(VLOOKUP($A184,'The List'!$B1:$AS671,25,FALSE)," ")</f>
        <v xml:space="preserve"> </v>
      </c>
      <c r="S184" s="85" t="str" cm="1">
        <f t="array" ref="S184">IFERROR(VLOOKUP($A184,'The List'!$B1:$AS671,26,FALSE)," ")</f>
        <v xml:space="preserve"> </v>
      </c>
      <c r="T184" s="85" t="str" cm="1">
        <f t="array" ref="T184">IFERROR(VLOOKUP($A184,'The List'!$B1:$AS671,27,FALSE)," ")</f>
        <v xml:space="preserve"> </v>
      </c>
      <c r="U184" s="85" t="str" cm="1">
        <f t="array" ref="U184">IFERROR(VLOOKUP($A184,'The List'!$B1:$AS671,28,FALSE)," ")</f>
        <v xml:space="preserve"> </v>
      </c>
      <c r="V184" s="85" t="str" cm="1">
        <f t="array" ref="V184">IFERROR(VLOOKUP($A184,'The List'!$B1:$AS671,29,FALSE)," ")</f>
        <v xml:space="preserve"> </v>
      </c>
      <c r="W184" s="85" t="str" cm="1">
        <f t="array" ref="W184">IFERROR(VLOOKUP($A184,'The List'!$B1:$AS671,30,FALSE)," ")</f>
        <v xml:space="preserve"> </v>
      </c>
      <c r="X184" s="85" t="str" cm="1">
        <f t="array" ref="X184">IFERROR(VLOOKUP($A184,'The List'!$B1:$AS671,31,FALSE)," ")</f>
        <v xml:space="preserve"> </v>
      </c>
      <c r="Y184" s="85" t="str" cm="1">
        <f t="array" ref="Y184">IFERROR(VLOOKUP($A184,'The List'!$B1:$AS671,32,FALSE)," ")</f>
        <v xml:space="preserve"> </v>
      </c>
      <c r="Z184" s="85" t="str" cm="1">
        <f t="array" ref="Z184">IFERROR(VLOOKUP($A184,'The List'!$B1:$AS671,33,FALSE)," ")</f>
        <v xml:space="preserve"> </v>
      </c>
      <c r="AA184" s="86"/>
      <c r="AB184" s="91"/>
      <c r="AC184" s="91"/>
      <c r="AD184" s="91"/>
      <c r="AE184" s="91"/>
      <c r="AF184" s="91"/>
    </row>
    <row r="185" spans="1:32" ht="21.25" customHeight="1" x14ac:dyDescent="0.15">
      <c r="A185" s="24"/>
      <c r="B185" s="97" t="str" cm="1">
        <f t="array" ref="B185">IFERROR(VLOOKUP($A185,'The List'!$B1:$AS671,3,FALSE)," ")</f>
        <v xml:space="preserve"> </v>
      </c>
      <c r="C185" s="99" t="str" cm="1">
        <f t="array" ref="C185">IFERROR(VLOOKUP($A185,'The List'!$B1:$AS671,4,FALSE)," ")</f>
        <v xml:space="preserve"> </v>
      </c>
      <c r="D185" s="18" t="str" cm="1">
        <f t="array" ref="D185">IFERROR(VLOOKUP($A185,'The List'!$B1:$AS671,5,FALSE)," ")</f>
        <v xml:space="preserve"> </v>
      </c>
      <c r="E185" s="18" t="str" cm="1">
        <f t="array" ref="E185">IFERROR(VLOOKUP($A185,'The List'!$B1:$AS671,6,FALSE)," ")</f>
        <v xml:space="preserve"> </v>
      </c>
      <c r="F185" s="93" t="str" cm="1">
        <f t="array" ref="F185">IFERROR(VLOOKUP($A185,'The List'!$B1:$AS671,8,FALSE)," ")</f>
        <v xml:space="preserve"> </v>
      </c>
      <c r="G185" s="93" t="str" cm="1">
        <f t="array" ref="G185">IFERROR(VLOOKUP($A185,'The List'!$B1:$AS671,10,FALSE)," ")</f>
        <v xml:space="preserve"> </v>
      </c>
      <c r="H185" s="55"/>
      <c r="I185" s="85" t="str" cm="1">
        <f t="array" ref="I185">IFERROR(VLOOKUP($A185,'The List'!$B1:$AS671,16,FALSE)," ")</f>
        <v xml:space="preserve"> </v>
      </c>
      <c r="J185" s="85" t="str" cm="1">
        <f t="array" ref="J185">IFERROR(VLOOKUP($A185,'The List'!$B1:$AS671,17,FALSE)," ")</f>
        <v xml:space="preserve"> </v>
      </c>
      <c r="K185" s="85" t="str" cm="1">
        <f t="array" ref="K185">IFERROR(VLOOKUP($A185,'The List'!$B1:$AS671,18,FALSE)," ")</f>
        <v xml:space="preserve"> </v>
      </c>
      <c r="L185" s="85" t="str" cm="1">
        <f t="array" ref="L185">IFERROR(VLOOKUP($A185,'The List'!$B1:$AS671,19,FALSE)," ")</f>
        <v xml:space="preserve"> </v>
      </c>
      <c r="M185" s="85" t="str" cm="1">
        <f t="array" ref="M185">IFERROR(VLOOKUP($A185,'The List'!$B1:$AS671,20,FALSE)," ")</f>
        <v xml:space="preserve"> </v>
      </c>
      <c r="N185" s="85" t="str" cm="1">
        <f t="array" ref="N185">IFERROR(VLOOKUP($A185,'The List'!$B1:$AS671,21,FALSE)," ")</f>
        <v xml:space="preserve"> </v>
      </c>
      <c r="O185" s="85" t="str" cm="1">
        <f t="array" ref="O185">IFERROR(VLOOKUP($A185,'The List'!$B1:$AS671,22,FALSE)," ")</f>
        <v xml:space="preserve"> </v>
      </c>
      <c r="P185" s="85" t="str" cm="1">
        <f t="array" ref="P185">IFERROR(VLOOKUP($A185,'The List'!$B1:$AS671,23,FALSE)," ")</f>
        <v xml:space="preserve"> </v>
      </c>
      <c r="Q185" s="85" t="str" cm="1">
        <f t="array" ref="Q185">IFERROR(VLOOKUP($A185,'The List'!$B1:$AS671,24,FALSE)," ")</f>
        <v xml:space="preserve"> </v>
      </c>
      <c r="R185" s="85" t="str" cm="1">
        <f t="array" ref="R185">IFERROR(VLOOKUP($A185,'The List'!$B1:$AS671,25,FALSE)," ")</f>
        <v xml:space="preserve"> </v>
      </c>
      <c r="S185" s="85" t="str" cm="1">
        <f t="array" ref="S185">IFERROR(VLOOKUP($A185,'The List'!$B1:$AS671,26,FALSE)," ")</f>
        <v xml:space="preserve"> </v>
      </c>
      <c r="T185" s="85" t="str" cm="1">
        <f t="array" ref="T185">IFERROR(VLOOKUP($A185,'The List'!$B1:$AS671,27,FALSE)," ")</f>
        <v xml:space="preserve"> </v>
      </c>
      <c r="U185" s="85" t="str" cm="1">
        <f t="array" ref="U185">IFERROR(VLOOKUP($A185,'The List'!$B1:$AS671,28,FALSE)," ")</f>
        <v xml:space="preserve"> </v>
      </c>
      <c r="V185" s="85" t="str" cm="1">
        <f t="array" ref="V185">IFERROR(VLOOKUP($A185,'The List'!$B1:$AS671,29,FALSE)," ")</f>
        <v xml:space="preserve"> </v>
      </c>
      <c r="W185" s="85" t="str" cm="1">
        <f t="array" ref="W185">IFERROR(VLOOKUP($A185,'The List'!$B1:$AS671,30,FALSE)," ")</f>
        <v xml:space="preserve"> </v>
      </c>
      <c r="X185" s="85" t="str" cm="1">
        <f t="array" ref="X185">IFERROR(VLOOKUP($A185,'The List'!$B1:$AS671,31,FALSE)," ")</f>
        <v xml:space="preserve"> </v>
      </c>
      <c r="Y185" s="85" t="str" cm="1">
        <f t="array" ref="Y185">IFERROR(VLOOKUP($A185,'The List'!$B1:$AS671,32,FALSE)," ")</f>
        <v xml:space="preserve"> </v>
      </c>
      <c r="Z185" s="85" t="str" cm="1">
        <f t="array" ref="Z185">IFERROR(VLOOKUP($A185,'The List'!$B1:$AS671,33,FALSE)," ")</f>
        <v xml:space="preserve"> </v>
      </c>
      <c r="AA185" s="86"/>
      <c r="AB185" s="91"/>
      <c r="AC185" s="91"/>
      <c r="AD185" s="91"/>
      <c r="AE185" s="91"/>
      <c r="AF185" s="91"/>
    </row>
    <row r="186" spans="1:32" ht="21.25" customHeight="1" x14ac:dyDescent="0.15">
      <c r="A186" s="24"/>
      <c r="B186" s="97" t="str" cm="1">
        <f t="array" ref="B186">IFERROR(VLOOKUP($A186,'The List'!$B1:$AS671,3,FALSE)," ")</f>
        <v xml:space="preserve"> </v>
      </c>
      <c r="C186" s="99" t="str" cm="1">
        <f t="array" ref="C186">IFERROR(VLOOKUP($A186,'The List'!$B1:$AS671,4,FALSE)," ")</f>
        <v xml:space="preserve"> </v>
      </c>
      <c r="D186" s="18" t="str" cm="1">
        <f t="array" ref="D186">IFERROR(VLOOKUP($A186,'The List'!$B1:$AS671,5,FALSE)," ")</f>
        <v xml:space="preserve"> </v>
      </c>
      <c r="E186" s="18" t="str" cm="1">
        <f t="array" ref="E186">IFERROR(VLOOKUP($A186,'The List'!$B1:$AS671,6,FALSE)," ")</f>
        <v xml:space="preserve"> </v>
      </c>
      <c r="F186" s="93" t="str" cm="1">
        <f t="array" ref="F186">IFERROR(VLOOKUP($A186,'The List'!$B1:$AS671,8,FALSE)," ")</f>
        <v xml:space="preserve"> </v>
      </c>
      <c r="G186" s="93" t="str" cm="1">
        <f t="array" ref="G186">IFERROR(VLOOKUP($A186,'The List'!$B1:$AS671,10,FALSE)," ")</f>
        <v xml:space="preserve"> </v>
      </c>
      <c r="H186" s="55"/>
      <c r="I186" s="85" t="str" cm="1">
        <f t="array" ref="I186">IFERROR(VLOOKUP($A186,'The List'!$B1:$AS671,16,FALSE)," ")</f>
        <v xml:space="preserve"> </v>
      </c>
      <c r="J186" s="85" t="str" cm="1">
        <f t="array" ref="J186">IFERROR(VLOOKUP($A186,'The List'!$B1:$AS671,17,FALSE)," ")</f>
        <v xml:space="preserve"> </v>
      </c>
      <c r="K186" s="85" t="str" cm="1">
        <f t="array" ref="K186">IFERROR(VLOOKUP($A186,'The List'!$B1:$AS671,18,FALSE)," ")</f>
        <v xml:space="preserve"> </v>
      </c>
      <c r="L186" s="85" t="str" cm="1">
        <f t="array" ref="L186">IFERROR(VLOOKUP($A186,'The List'!$B1:$AS671,19,FALSE)," ")</f>
        <v xml:space="preserve"> </v>
      </c>
      <c r="M186" s="85" t="str" cm="1">
        <f t="array" ref="M186">IFERROR(VLOOKUP($A186,'The List'!$B1:$AS671,20,FALSE)," ")</f>
        <v xml:space="preserve"> </v>
      </c>
      <c r="N186" s="85" t="str" cm="1">
        <f t="array" ref="N186">IFERROR(VLOOKUP($A186,'The List'!$B1:$AS671,21,FALSE)," ")</f>
        <v xml:space="preserve"> </v>
      </c>
      <c r="O186" s="85" t="str" cm="1">
        <f t="array" ref="O186">IFERROR(VLOOKUP($A186,'The List'!$B1:$AS671,22,FALSE)," ")</f>
        <v xml:space="preserve"> </v>
      </c>
      <c r="P186" s="85" t="str" cm="1">
        <f t="array" ref="P186">IFERROR(VLOOKUP($A186,'The List'!$B1:$AS671,23,FALSE)," ")</f>
        <v xml:space="preserve"> </v>
      </c>
      <c r="Q186" s="85" t="str" cm="1">
        <f t="array" ref="Q186">IFERROR(VLOOKUP($A186,'The List'!$B1:$AS671,24,FALSE)," ")</f>
        <v xml:space="preserve"> </v>
      </c>
      <c r="R186" s="85" t="str" cm="1">
        <f t="array" ref="R186">IFERROR(VLOOKUP($A186,'The List'!$B1:$AS671,25,FALSE)," ")</f>
        <v xml:space="preserve"> </v>
      </c>
      <c r="S186" s="85" t="str" cm="1">
        <f t="array" ref="S186">IFERROR(VLOOKUP($A186,'The List'!$B1:$AS671,26,FALSE)," ")</f>
        <v xml:space="preserve"> </v>
      </c>
      <c r="T186" s="85" t="str" cm="1">
        <f t="array" ref="T186">IFERROR(VLOOKUP($A186,'The List'!$B1:$AS671,27,FALSE)," ")</f>
        <v xml:space="preserve"> </v>
      </c>
      <c r="U186" s="85" t="str" cm="1">
        <f t="array" ref="U186">IFERROR(VLOOKUP($A186,'The List'!$B1:$AS671,28,FALSE)," ")</f>
        <v xml:space="preserve"> </v>
      </c>
      <c r="V186" s="85" t="str" cm="1">
        <f t="array" ref="V186">IFERROR(VLOOKUP($A186,'The List'!$B1:$AS671,29,FALSE)," ")</f>
        <v xml:space="preserve"> </v>
      </c>
      <c r="W186" s="85" t="str" cm="1">
        <f t="array" ref="W186">IFERROR(VLOOKUP($A186,'The List'!$B1:$AS671,30,FALSE)," ")</f>
        <v xml:space="preserve"> </v>
      </c>
      <c r="X186" s="85" t="str" cm="1">
        <f t="array" ref="X186">IFERROR(VLOOKUP($A186,'The List'!$B1:$AS671,31,FALSE)," ")</f>
        <v xml:space="preserve"> </v>
      </c>
      <c r="Y186" s="85" t="str" cm="1">
        <f t="array" ref="Y186">IFERROR(VLOOKUP($A186,'The List'!$B1:$AS671,32,FALSE)," ")</f>
        <v xml:space="preserve"> </v>
      </c>
      <c r="Z186" s="85" t="str" cm="1">
        <f t="array" ref="Z186">IFERROR(VLOOKUP($A186,'The List'!$B1:$AS671,33,FALSE)," ")</f>
        <v xml:space="preserve"> </v>
      </c>
      <c r="AA186" s="86"/>
      <c r="AB186" s="91"/>
      <c r="AC186" s="91"/>
      <c r="AD186" s="91"/>
      <c r="AE186" s="91"/>
      <c r="AF186" s="91"/>
    </row>
    <row r="187" spans="1:32" ht="21.25" customHeight="1" x14ac:dyDescent="0.15">
      <c r="A187" s="24"/>
      <c r="B187" s="97" t="str" cm="1">
        <f t="array" ref="B187">IFERROR(VLOOKUP($A187,'The List'!$B1:$AS671,3,FALSE)," ")</f>
        <v xml:space="preserve"> </v>
      </c>
      <c r="C187" s="99" t="str" cm="1">
        <f t="array" ref="C187">IFERROR(VLOOKUP($A187,'The List'!$B1:$AS671,4,FALSE)," ")</f>
        <v xml:space="preserve"> </v>
      </c>
      <c r="D187" s="18" t="str" cm="1">
        <f t="array" ref="D187">IFERROR(VLOOKUP($A187,'The List'!$B1:$AS671,5,FALSE)," ")</f>
        <v xml:space="preserve"> </v>
      </c>
      <c r="E187" s="18" t="str" cm="1">
        <f t="array" ref="E187">IFERROR(VLOOKUP($A187,'The List'!$B1:$AS671,6,FALSE)," ")</f>
        <v xml:space="preserve"> </v>
      </c>
      <c r="F187" s="93" t="str" cm="1">
        <f t="array" ref="F187">IFERROR(VLOOKUP($A187,'The List'!$B1:$AS671,8,FALSE)," ")</f>
        <v xml:space="preserve"> </v>
      </c>
      <c r="G187" s="93" t="str" cm="1">
        <f t="array" ref="G187">IFERROR(VLOOKUP($A187,'The List'!$B1:$AS671,10,FALSE)," ")</f>
        <v xml:space="preserve"> </v>
      </c>
      <c r="H187" s="55"/>
      <c r="I187" s="85" t="str" cm="1">
        <f t="array" ref="I187">IFERROR(VLOOKUP($A187,'The List'!$B1:$AS671,16,FALSE)," ")</f>
        <v xml:space="preserve"> </v>
      </c>
      <c r="J187" s="85" t="str" cm="1">
        <f t="array" ref="J187">IFERROR(VLOOKUP($A187,'The List'!$B1:$AS671,17,FALSE)," ")</f>
        <v xml:space="preserve"> </v>
      </c>
      <c r="K187" s="85" t="str" cm="1">
        <f t="array" ref="K187">IFERROR(VLOOKUP($A187,'The List'!$B1:$AS671,18,FALSE)," ")</f>
        <v xml:space="preserve"> </v>
      </c>
      <c r="L187" s="85" t="str" cm="1">
        <f t="array" ref="L187">IFERROR(VLOOKUP($A187,'The List'!$B1:$AS671,19,FALSE)," ")</f>
        <v xml:space="preserve"> </v>
      </c>
      <c r="M187" s="85" t="str" cm="1">
        <f t="array" ref="M187">IFERROR(VLOOKUP($A187,'The List'!$B1:$AS671,20,FALSE)," ")</f>
        <v xml:space="preserve"> </v>
      </c>
      <c r="N187" s="85" t="str" cm="1">
        <f t="array" ref="N187">IFERROR(VLOOKUP($A187,'The List'!$B1:$AS671,21,FALSE)," ")</f>
        <v xml:space="preserve"> </v>
      </c>
      <c r="O187" s="85" t="str" cm="1">
        <f t="array" ref="O187">IFERROR(VLOOKUP($A187,'The List'!$B1:$AS671,22,FALSE)," ")</f>
        <v xml:space="preserve"> </v>
      </c>
      <c r="P187" s="85" t="str" cm="1">
        <f t="array" ref="P187">IFERROR(VLOOKUP($A187,'The List'!$B1:$AS671,23,FALSE)," ")</f>
        <v xml:space="preserve"> </v>
      </c>
      <c r="Q187" s="85" t="str" cm="1">
        <f t="array" ref="Q187">IFERROR(VLOOKUP($A187,'The List'!$B1:$AS671,24,FALSE)," ")</f>
        <v xml:space="preserve"> </v>
      </c>
      <c r="R187" s="85" t="str" cm="1">
        <f t="array" ref="R187">IFERROR(VLOOKUP($A187,'The List'!$B1:$AS671,25,FALSE)," ")</f>
        <v xml:space="preserve"> </v>
      </c>
      <c r="S187" s="85" t="str" cm="1">
        <f t="array" ref="S187">IFERROR(VLOOKUP($A187,'The List'!$B1:$AS671,26,FALSE)," ")</f>
        <v xml:space="preserve"> </v>
      </c>
      <c r="T187" s="85" t="str" cm="1">
        <f t="array" ref="T187">IFERROR(VLOOKUP($A187,'The List'!$B1:$AS671,27,FALSE)," ")</f>
        <v xml:space="preserve"> </v>
      </c>
      <c r="U187" s="85" t="str" cm="1">
        <f t="array" ref="U187">IFERROR(VLOOKUP($A187,'The List'!$B1:$AS671,28,FALSE)," ")</f>
        <v xml:space="preserve"> </v>
      </c>
      <c r="V187" s="85" t="str" cm="1">
        <f t="array" ref="V187">IFERROR(VLOOKUP($A187,'The List'!$B1:$AS671,29,FALSE)," ")</f>
        <v xml:space="preserve"> </v>
      </c>
      <c r="W187" s="85" t="str" cm="1">
        <f t="array" ref="W187">IFERROR(VLOOKUP($A187,'The List'!$B1:$AS671,30,FALSE)," ")</f>
        <v xml:space="preserve"> </v>
      </c>
      <c r="X187" s="85" t="str" cm="1">
        <f t="array" ref="X187">IFERROR(VLOOKUP($A187,'The List'!$B1:$AS671,31,FALSE)," ")</f>
        <v xml:space="preserve"> </v>
      </c>
      <c r="Y187" s="85" t="str" cm="1">
        <f t="array" ref="Y187">IFERROR(VLOOKUP($A187,'The List'!$B1:$AS671,32,FALSE)," ")</f>
        <v xml:space="preserve"> </v>
      </c>
      <c r="Z187" s="85" t="str" cm="1">
        <f t="array" ref="Z187">IFERROR(VLOOKUP($A187,'The List'!$B1:$AS671,33,FALSE)," ")</f>
        <v xml:space="preserve"> </v>
      </c>
      <c r="AA187" s="86"/>
      <c r="AB187" s="91"/>
      <c r="AC187" s="91"/>
      <c r="AD187" s="91"/>
      <c r="AE187" s="91"/>
      <c r="AF187" s="91"/>
    </row>
    <row r="188" spans="1:32" ht="21.25" customHeight="1" x14ac:dyDescent="0.15">
      <c r="A188" s="24"/>
      <c r="B188" s="100" t="str" cm="1">
        <f t="array" ref="B188">IFERROR(VLOOKUP($A188,'The List'!$B1:$AS671,3,FALSE)," ")</f>
        <v xml:space="preserve"> </v>
      </c>
      <c r="C188" s="102" t="str" cm="1">
        <f t="array" ref="C188">IFERROR(VLOOKUP($A188,'The List'!$B1:$AS671,4,FALSE)," ")</f>
        <v xml:space="preserve"> </v>
      </c>
      <c r="D188" s="18" t="str" cm="1">
        <f t="array" ref="D188">IFERROR(VLOOKUP($A188,'The List'!$B1:$AS671,5,FALSE)," ")</f>
        <v xml:space="preserve"> </v>
      </c>
      <c r="E188" s="18" t="str" cm="1">
        <f t="array" ref="E188">IFERROR(VLOOKUP($A188,'The List'!$B1:$AS671,6,FALSE)," ")</f>
        <v xml:space="preserve"> </v>
      </c>
      <c r="F188" s="93" t="str" cm="1">
        <f t="array" ref="F188">IFERROR(VLOOKUP($A188,'The List'!$B1:$AS671,8,FALSE)," ")</f>
        <v xml:space="preserve"> </v>
      </c>
      <c r="G188" s="93" t="str" cm="1">
        <f t="array" ref="G188">IFERROR(VLOOKUP($A188,'The List'!$B1:$AS671,10,FALSE)," ")</f>
        <v xml:space="preserve"> </v>
      </c>
      <c r="H188" s="55"/>
      <c r="I188" s="85" t="str" cm="1">
        <f t="array" ref="I188">IFERROR(VLOOKUP($A188,'The List'!$B1:$AS671,16,FALSE)," ")</f>
        <v xml:space="preserve"> </v>
      </c>
      <c r="J188" s="85" t="str" cm="1">
        <f t="array" ref="J188">IFERROR(VLOOKUP($A188,'The List'!$B1:$AS671,17,FALSE)," ")</f>
        <v xml:space="preserve"> </v>
      </c>
      <c r="K188" s="85" t="str" cm="1">
        <f t="array" ref="K188">IFERROR(VLOOKUP($A188,'The List'!$B1:$AS671,18,FALSE)," ")</f>
        <v xml:space="preserve"> </v>
      </c>
      <c r="L188" s="85" t="str" cm="1">
        <f t="array" ref="L188">IFERROR(VLOOKUP($A188,'The List'!$B1:$AS671,19,FALSE)," ")</f>
        <v xml:space="preserve"> </v>
      </c>
      <c r="M188" s="85" t="str" cm="1">
        <f t="array" ref="M188">IFERROR(VLOOKUP($A188,'The List'!$B1:$AS671,20,FALSE)," ")</f>
        <v xml:space="preserve"> </v>
      </c>
      <c r="N188" s="85" t="str" cm="1">
        <f t="array" ref="N188">IFERROR(VLOOKUP($A188,'The List'!$B1:$AS671,21,FALSE)," ")</f>
        <v xml:space="preserve"> </v>
      </c>
      <c r="O188" s="85" t="str" cm="1">
        <f t="array" ref="O188">IFERROR(VLOOKUP($A188,'The List'!$B1:$AS671,22,FALSE)," ")</f>
        <v xml:space="preserve"> </v>
      </c>
      <c r="P188" s="85" t="str" cm="1">
        <f t="array" ref="P188">IFERROR(VLOOKUP($A188,'The List'!$B1:$AS671,23,FALSE)," ")</f>
        <v xml:space="preserve"> </v>
      </c>
      <c r="Q188" s="85" t="str" cm="1">
        <f t="array" ref="Q188">IFERROR(VLOOKUP($A188,'The List'!$B1:$AS671,24,FALSE)," ")</f>
        <v xml:space="preserve"> </v>
      </c>
      <c r="R188" s="85" t="str" cm="1">
        <f t="array" ref="R188">IFERROR(VLOOKUP($A188,'The List'!$B1:$AS671,25,FALSE)," ")</f>
        <v xml:space="preserve"> </v>
      </c>
      <c r="S188" s="85" t="str" cm="1">
        <f t="array" ref="S188">IFERROR(VLOOKUP($A188,'The List'!$B1:$AS671,26,FALSE)," ")</f>
        <v xml:space="preserve"> </v>
      </c>
      <c r="T188" s="85" t="str" cm="1">
        <f t="array" ref="T188">IFERROR(VLOOKUP($A188,'The List'!$B1:$AS671,27,FALSE)," ")</f>
        <v xml:space="preserve"> </v>
      </c>
      <c r="U188" s="85" t="str" cm="1">
        <f t="array" ref="U188">IFERROR(VLOOKUP($A188,'The List'!$B1:$AS671,28,FALSE)," ")</f>
        <v xml:space="preserve"> </v>
      </c>
      <c r="V188" s="85" t="str" cm="1">
        <f t="array" ref="V188">IFERROR(VLOOKUP($A188,'The List'!$B1:$AS671,29,FALSE)," ")</f>
        <v xml:space="preserve"> </v>
      </c>
      <c r="W188" s="85" t="str" cm="1">
        <f t="array" ref="W188">IFERROR(VLOOKUP($A188,'The List'!$B1:$AS671,30,FALSE)," ")</f>
        <v xml:space="preserve"> </v>
      </c>
      <c r="X188" s="85" t="str" cm="1">
        <f t="array" ref="X188">IFERROR(VLOOKUP($A188,'The List'!$B1:$AS671,31,FALSE)," ")</f>
        <v xml:space="preserve"> </v>
      </c>
      <c r="Y188" s="85" t="str" cm="1">
        <f t="array" ref="Y188">IFERROR(VLOOKUP($A188,'The List'!$B1:$AS671,32,FALSE)," ")</f>
        <v xml:space="preserve"> </v>
      </c>
      <c r="Z188" s="85" t="str" cm="1">
        <f t="array" ref="Z188">IFERROR(VLOOKUP($A188,'The List'!$B1:$AS671,33,FALSE)," ")</f>
        <v xml:space="preserve"> </v>
      </c>
      <c r="AA188" s="86"/>
      <c r="AB188" s="91"/>
      <c r="AC188" s="91"/>
      <c r="AD188" s="91"/>
      <c r="AE188" s="91"/>
      <c r="AF188" s="91"/>
    </row>
    <row r="189" spans="1:32" ht="21.25" customHeight="1" x14ac:dyDescent="0.15">
      <c r="A189" s="24"/>
      <c r="B189" s="100" t="str" cm="1">
        <f t="array" ref="B189">IFERROR(VLOOKUP($A189,'The List'!$B1:$AS671,3,FALSE)," ")</f>
        <v xml:space="preserve"> </v>
      </c>
      <c r="C189" s="102" t="str" cm="1">
        <f t="array" ref="C189">IFERROR(VLOOKUP($A189,'The List'!$B1:$AS671,4,FALSE)," ")</f>
        <v xml:space="preserve"> </v>
      </c>
      <c r="D189" s="18" t="str" cm="1">
        <f t="array" ref="D189">IFERROR(VLOOKUP($A189,'The List'!$B1:$AS671,5,FALSE)," ")</f>
        <v xml:space="preserve"> </v>
      </c>
      <c r="E189" s="18" t="str" cm="1">
        <f t="array" ref="E189">IFERROR(VLOOKUP($A189,'The List'!$B1:$AS671,6,FALSE)," ")</f>
        <v xml:space="preserve"> </v>
      </c>
      <c r="F189" s="93" t="str" cm="1">
        <f t="array" ref="F189">IFERROR(VLOOKUP($A189,'The List'!$B1:$AS671,8,FALSE)," ")</f>
        <v xml:space="preserve"> </v>
      </c>
      <c r="G189" s="93" t="str" cm="1">
        <f t="array" ref="G189">IFERROR(VLOOKUP($A189,'The List'!$B1:$AS671,10,FALSE)," ")</f>
        <v xml:space="preserve"> </v>
      </c>
      <c r="H189" s="55"/>
      <c r="I189" s="85" t="str" cm="1">
        <f t="array" ref="I189">IFERROR(VLOOKUP($A189,'The List'!$B1:$AS671,16,FALSE)," ")</f>
        <v xml:space="preserve"> </v>
      </c>
      <c r="J189" s="85" t="str" cm="1">
        <f t="array" ref="J189">IFERROR(VLOOKUP($A189,'The List'!$B1:$AS671,17,FALSE)," ")</f>
        <v xml:space="preserve"> </v>
      </c>
      <c r="K189" s="85" t="str" cm="1">
        <f t="array" ref="K189">IFERROR(VLOOKUP($A189,'The List'!$B1:$AS671,18,FALSE)," ")</f>
        <v xml:space="preserve"> </v>
      </c>
      <c r="L189" s="85" t="str" cm="1">
        <f t="array" ref="L189">IFERROR(VLOOKUP($A189,'The List'!$B1:$AS671,19,FALSE)," ")</f>
        <v xml:space="preserve"> </v>
      </c>
      <c r="M189" s="85" t="str" cm="1">
        <f t="array" ref="M189">IFERROR(VLOOKUP($A189,'The List'!$B1:$AS671,20,FALSE)," ")</f>
        <v xml:space="preserve"> </v>
      </c>
      <c r="N189" s="85" t="str" cm="1">
        <f t="array" ref="N189">IFERROR(VLOOKUP($A189,'The List'!$B1:$AS671,21,FALSE)," ")</f>
        <v xml:space="preserve"> </v>
      </c>
      <c r="O189" s="85" t="str" cm="1">
        <f t="array" ref="O189">IFERROR(VLOOKUP($A189,'The List'!$B1:$AS671,22,FALSE)," ")</f>
        <v xml:space="preserve"> </v>
      </c>
      <c r="P189" s="85" t="str" cm="1">
        <f t="array" ref="P189">IFERROR(VLOOKUP($A189,'The List'!$B1:$AS671,23,FALSE)," ")</f>
        <v xml:space="preserve"> </v>
      </c>
      <c r="Q189" s="85" t="str" cm="1">
        <f t="array" ref="Q189">IFERROR(VLOOKUP($A189,'The List'!$B1:$AS671,24,FALSE)," ")</f>
        <v xml:space="preserve"> </v>
      </c>
      <c r="R189" s="85" t="str" cm="1">
        <f t="array" ref="R189">IFERROR(VLOOKUP($A189,'The List'!$B1:$AS671,25,FALSE)," ")</f>
        <v xml:space="preserve"> </v>
      </c>
      <c r="S189" s="85" t="str" cm="1">
        <f t="array" ref="S189">IFERROR(VLOOKUP($A189,'The List'!$B1:$AS671,26,FALSE)," ")</f>
        <v xml:space="preserve"> </v>
      </c>
      <c r="T189" s="85" t="str" cm="1">
        <f t="array" ref="T189">IFERROR(VLOOKUP($A189,'The List'!$B1:$AS671,27,FALSE)," ")</f>
        <v xml:space="preserve"> </v>
      </c>
      <c r="U189" s="85" t="str" cm="1">
        <f t="array" ref="U189">IFERROR(VLOOKUP($A189,'The List'!$B1:$AS671,28,FALSE)," ")</f>
        <v xml:space="preserve"> </v>
      </c>
      <c r="V189" s="85" t="str" cm="1">
        <f t="array" ref="V189">IFERROR(VLOOKUP($A189,'The List'!$B1:$AS671,29,FALSE)," ")</f>
        <v xml:space="preserve"> </v>
      </c>
      <c r="W189" s="85" t="str" cm="1">
        <f t="array" ref="W189">IFERROR(VLOOKUP($A189,'The List'!$B1:$AS671,30,FALSE)," ")</f>
        <v xml:space="preserve"> </v>
      </c>
      <c r="X189" s="85" t="str" cm="1">
        <f t="array" ref="X189">IFERROR(VLOOKUP($A189,'The List'!$B1:$AS671,31,FALSE)," ")</f>
        <v xml:space="preserve"> </v>
      </c>
      <c r="Y189" s="85" t="str" cm="1">
        <f t="array" ref="Y189">IFERROR(VLOOKUP($A189,'The List'!$B1:$AS671,32,FALSE)," ")</f>
        <v xml:space="preserve"> </v>
      </c>
      <c r="Z189" s="85" t="str" cm="1">
        <f t="array" ref="Z189">IFERROR(VLOOKUP($A189,'The List'!$B1:$AS671,33,FALSE)," ")</f>
        <v xml:space="preserve"> </v>
      </c>
      <c r="AA189" s="86"/>
      <c r="AB189" s="91"/>
      <c r="AC189" s="91"/>
      <c r="AD189" s="91"/>
      <c r="AE189" s="91"/>
      <c r="AF189" s="91"/>
    </row>
    <row r="190" spans="1:32" ht="21.25" customHeight="1" x14ac:dyDescent="0.15">
      <c r="A190" s="24"/>
      <c r="B190" s="100" t="str" cm="1">
        <f t="array" ref="B190">IFERROR(VLOOKUP($A190,'The List'!$B1:$AS671,3,FALSE)," ")</f>
        <v xml:space="preserve"> </v>
      </c>
      <c r="C190" s="102" t="str" cm="1">
        <f t="array" ref="C190">IFERROR(VLOOKUP($A190,'The List'!$B1:$AS671,4,FALSE)," ")</f>
        <v xml:space="preserve"> </v>
      </c>
      <c r="D190" s="18" t="str" cm="1">
        <f t="array" ref="D190">IFERROR(VLOOKUP($A190,'The List'!$B1:$AS671,5,FALSE)," ")</f>
        <v xml:space="preserve"> </v>
      </c>
      <c r="E190" s="18" t="str" cm="1">
        <f t="array" ref="E190">IFERROR(VLOOKUP($A190,'The List'!$B1:$AS671,6,FALSE)," ")</f>
        <v xml:space="preserve"> </v>
      </c>
      <c r="F190" s="93" t="str" cm="1">
        <f t="array" ref="F190">IFERROR(VLOOKUP($A190,'The List'!$B1:$AS671,8,FALSE)," ")</f>
        <v xml:space="preserve"> </v>
      </c>
      <c r="G190" s="93" t="str" cm="1">
        <f t="array" ref="G190">IFERROR(VLOOKUP($A190,'The List'!$B1:$AS671,10,FALSE)," ")</f>
        <v xml:space="preserve"> </v>
      </c>
      <c r="H190" s="55"/>
      <c r="I190" s="85" t="str" cm="1">
        <f t="array" ref="I190">IFERROR(VLOOKUP($A190,'The List'!$B1:$AS671,16,FALSE)," ")</f>
        <v xml:space="preserve"> </v>
      </c>
      <c r="J190" s="85" t="str" cm="1">
        <f t="array" ref="J190">IFERROR(VLOOKUP($A190,'The List'!$B1:$AS671,17,FALSE)," ")</f>
        <v xml:space="preserve"> </v>
      </c>
      <c r="K190" s="85" t="str" cm="1">
        <f t="array" ref="K190">IFERROR(VLOOKUP($A190,'The List'!$B1:$AS671,18,FALSE)," ")</f>
        <v xml:space="preserve"> </v>
      </c>
      <c r="L190" s="85" t="str" cm="1">
        <f t="array" ref="L190">IFERROR(VLOOKUP($A190,'The List'!$B1:$AS671,19,FALSE)," ")</f>
        <v xml:space="preserve"> </v>
      </c>
      <c r="M190" s="85" t="str" cm="1">
        <f t="array" ref="M190">IFERROR(VLOOKUP($A190,'The List'!$B1:$AS671,20,FALSE)," ")</f>
        <v xml:space="preserve"> </v>
      </c>
      <c r="N190" s="85" t="str" cm="1">
        <f t="array" ref="N190">IFERROR(VLOOKUP($A190,'The List'!$B1:$AS671,21,FALSE)," ")</f>
        <v xml:space="preserve"> </v>
      </c>
      <c r="O190" s="85" t="str" cm="1">
        <f t="array" ref="O190">IFERROR(VLOOKUP($A190,'The List'!$B1:$AS671,22,FALSE)," ")</f>
        <v xml:space="preserve"> </v>
      </c>
      <c r="P190" s="85" t="str" cm="1">
        <f t="array" ref="P190">IFERROR(VLOOKUP($A190,'The List'!$B1:$AS671,23,FALSE)," ")</f>
        <v xml:space="preserve"> </v>
      </c>
      <c r="Q190" s="85" t="str" cm="1">
        <f t="array" ref="Q190">IFERROR(VLOOKUP($A190,'The List'!$B1:$AS671,24,FALSE)," ")</f>
        <v xml:space="preserve"> </v>
      </c>
      <c r="R190" s="85" t="str" cm="1">
        <f t="array" ref="R190">IFERROR(VLOOKUP($A190,'The List'!$B1:$AS671,25,FALSE)," ")</f>
        <v xml:space="preserve"> </v>
      </c>
      <c r="S190" s="85" t="str" cm="1">
        <f t="array" ref="S190">IFERROR(VLOOKUP($A190,'The List'!$B1:$AS671,26,FALSE)," ")</f>
        <v xml:space="preserve"> </v>
      </c>
      <c r="T190" s="85" t="str" cm="1">
        <f t="array" ref="T190">IFERROR(VLOOKUP($A190,'The List'!$B1:$AS671,27,FALSE)," ")</f>
        <v xml:space="preserve"> </v>
      </c>
      <c r="U190" s="85" t="str" cm="1">
        <f t="array" ref="U190">IFERROR(VLOOKUP($A190,'The List'!$B1:$AS671,28,FALSE)," ")</f>
        <v xml:space="preserve"> </v>
      </c>
      <c r="V190" s="85" t="str" cm="1">
        <f t="array" ref="V190">IFERROR(VLOOKUP($A190,'The List'!$B1:$AS671,29,FALSE)," ")</f>
        <v xml:space="preserve"> </v>
      </c>
      <c r="W190" s="85" t="str" cm="1">
        <f t="array" ref="W190">IFERROR(VLOOKUP($A190,'The List'!$B1:$AS671,30,FALSE)," ")</f>
        <v xml:space="preserve"> </v>
      </c>
      <c r="X190" s="85" t="str" cm="1">
        <f t="array" ref="X190">IFERROR(VLOOKUP($A190,'The List'!$B1:$AS671,31,FALSE)," ")</f>
        <v xml:space="preserve"> </v>
      </c>
      <c r="Y190" s="85" t="str" cm="1">
        <f t="array" ref="Y190">IFERROR(VLOOKUP($A190,'The List'!$B1:$AS671,32,FALSE)," ")</f>
        <v xml:space="preserve"> </v>
      </c>
      <c r="Z190" s="85" t="str" cm="1">
        <f t="array" ref="Z190">IFERROR(VLOOKUP($A190,'The List'!$B1:$AS671,33,FALSE)," ")</f>
        <v xml:space="preserve"> </v>
      </c>
      <c r="AA190" s="86"/>
      <c r="AB190" s="91"/>
      <c r="AC190" s="91"/>
      <c r="AD190" s="91"/>
      <c r="AE190" s="91"/>
      <c r="AF190" s="91"/>
    </row>
    <row r="191" spans="1:32" ht="21.25" customHeight="1" x14ac:dyDescent="0.15">
      <c r="A191" s="24"/>
      <c r="B191" s="100" t="str" cm="1">
        <f t="array" ref="B191">IFERROR(VLOOKUP($A191,'The List'!$B1:$AS671,3,FALSE)," ")</f>
        <v xml:space="preserve"> </v>
      </c>
      <c r="C191" s="102" t="str" cm="1">
        <f t="array" ref="C191">IFERROR(VLOOKUP($A191,'The List'!$B1:$AS671,4,FALSE)," ")</f>
        <v xml:space="preserve"> </v>
      </c>
      <c r="D191" s="18" t="str" cm="1">
        <f t="array" ref="D191">IFERROR(VLOOKUP($A191,'The List'!$B1:$AS671,5,FALSE)," ")</f>
        <v xml:space="preserve"> </v>
      </c>
      <c r="E191" s="18" t="str" cm="1">
        <f t="array" ref="E191">IFERROR(VLOOKUP($A191,'The List'!$B1:$AS671,6,FALSE)," ")</f>
        <v xml:space="preserve"> </v>
      </c>
      <c r="F191" s="93" t="str" cm="1">
        <f t="array" ref="F191">IFERROR(VLOOKUP($A191,'The List'!$B1:$AS671,8,FALSE)," ")</f>
        <v xml:space="preserve"> </v>
      </c>
      <c r="G191" s="93" t="str" cm="1">
        <f t="array" ref="G191">IFERROR(VLOOKUP($A191,'The List'!$B1:$AS671,10,FALSE)," ")</f>
        <v xml:space="preserve"> </v>
      </c>
      <c r="H191" s="55"/>
      <c r="I191" s="85" t="str" cm="1">
        <f t="array" ref="I191">IFERROR(VLOOKUP($A191,'The List'!$B1:$AS671,16,FALSE)," ")</f>
        <v xml:space="preserve"> </v>
      </c>
      <c r="J191" s="85" t="str" cm="1">
        <f t="array" ref="J191">IFERROR(VLOOKUP($A191,'The List'!$B1:$AS671,17,FALSE)," ")</f>
        <v xml:space="preserve"> </v>
      </c>
      <c r="K191" s="85" t="str" cm="1">
        <f t="array" ref="K191">IFERROR(VLOOKUP($A191,'The List'!$B1:$AS671,18,FALSE)," ")</f>
        <v xml:space="preserve"> </v>
      </c>
      <c r="L191" s="85" t="str" cm="1">
        <f t="array" ref="L191">IFERROR(VLOOKUP($A191,'The List'!$B1:$AS671,19,FALSE)," ")</f>
        <v xml:space="preserve"> </v>
      </c>
      <c r="M191" s="85" t="str" cm="1">
        <f t="array" ref="M191">IFERROR(VLOOKUP($A191,'The List'!$B1:$AS671,20,FALSE)," ")</f>
        <v xml:space="preserve"> </v>
      </c>
      <c r="N191" s="85" t="str" cm="1">
        <f t="array" ref="N191">IFERROR(VLOOKUP($A191,'The List'!$B1:$AS671,21,FALSE)," ")</f>
        <v xml:space="preserve"> </v>
      </c>
      <c r="O191" s="85" t="str" cm="1">
        <f t="array" ref="O191">IFERROR(VLOOKUP($A191,'The List'!$B1:$AS671,22,FALSE)," ")</f>
        <v xml:space="preserve"> </v>
      </c>
      <c r="P191" s="85" t="str" cm="1">
        <f t="array" ref="P191">IFERROR(VLOOKUP($A191,'The List'!$B1:$AS671,23,FALSE)," ")</f>
        <v xml:space="preserve"> </v>
      </c>
      <c r="Q191" s="85" t="str" cm="1">
        <f t="array" ref="Q191">IFERROR(VLOOKUP($A191,'The List'!$B1:$AS671,24,FALSE)," ")</f>
        <v xml:space="preserve"> </v>
      </c>
      <c r="R191" s="85" t="str" cm="1">
        <f t="array" ref="R191">IFERROR(VLOOKUP($A191,'The List'!$B1:$AS671,25,FALSE)," ")</f>
        <v xml:space="preserve"> </v>
      </c>
      <c r="S191" s="85" t="str" cm="1">
        <f t="array" ref="S191">IFERROR(VLOOKUP($A191,'The List'!$B1:$AS671,26,FALSE)," ")</f>
        <v xml:space="preserve"> </v>
      </c>
      <c r="T191" s="85" t="str" cm="1">
        <f t="array" ref="T191">IFERROR(VLOOKUP($A191,'The List'!$B1:$AS671,27,FALSE)," ")</f>
        <v xml:space="preserve"> </v>
      </c>
      <c r="U191" s="85" t="str" cm="1">
        <f t="array" ref="U191">IFERROR(VLOOKUP($A191,'The List'!$B1:$AS671,28,FALSE)," ")</f>
        <v xml:space="preserve"> </v>
      </c>
      <c r="V191" s="85" t="str" cm="1">
        <f t="array" ref="V191">IFERROR(VLOOKUP($A191,'The List'!$B1:$AS671,29,FALSE)," ")</f>
        <v xml:space="preserve"> </v>
      </c>
      <c r="W191" s="85" t="str" cm="1">
        <f t="array" ref="W191">IFERROR(VLOOKUP($A191,'The List'!$B1:$AS671,30,FALSE)," ")</f>
        <v xml:space="preserve"> </v>
      </c>
      <c r="X191" s="85" t="str" cm="1">
        <f t="array" ref="X191">IFERROR(VLOOKUP($A191,'The List'!$B1:$AS671,31,FALSE)," ")</f>
        <v xml:space="preserve"> </v>
      </c>
      <c r="Y191" s="85" t="str" cm="1">
        <f t="array" ref="Y191">IFERROR(VLOOKUP($A191,'The List'!$B1:$AS671,32,FALSE)," ")</f>
        <v xml:space="preserve"> </v>
      </c>
      <c r="Z191" s="85" t="str" cm="1">
        <f t="array" ref="Z191">IFERROR(VLOOKUP($A191,'The List'!$B1:$AS671,33,FALSE)," ")</f>
        <v xml:space="preserve"> </v>
      </c>
      <c r="AA191" s="86"/>
      <c r="AB191" s="91"/>
      <c r="AC191" s="91"/>
      <c r="AD191" s="91"/>
      <c r="AE191" s="91"/>
      <c r="AF191" s="91"/>
    </row>
    <row r="192" spans="1:32" ht="21.25" customHeight="1" x14ac:dyDescent="0.15">
      <c r="A192" s="24"/>
      <c r="B192" s="100" t="str" cm="1">
        <f t="array" ref="B192">IFERROR(VLOOKUP($A192,'The List'!$B1:$AS671,3,FALSE)," ")</f>
        <v xml:space="preserve"> </v>
      </c>
      <c r="C192" s="102" t="str" cm="1">
        <f t="array" ref="C192">IFERROR(VLOOKUP($A192,'The List'!$B1:$AS671,4,FALSE)," ")</f>
        <v xml:space="preserve"> </v>
      </c>
      <c r="D192" s="18" t="str" cm="1">
        <f t="array" ref="D192">IFERROR(VLOOKUP($A192,'The List'!$B1:$AS671,5,FALSE)," ")</f>
        <v xml:space="preserve"> </v>
      </c>
      <c r="E192" s="18" t="str" cm="1">
        <f t="array" ref="E192">IFERROR(VLOOKUP($A192,'The List'!$B1:$AS671,6,FALSE)," ")</f>
        <v xml:space="preserve"> </v>
      </c>
      <c r="F192" s="93" t="str" cm="1">
        <f t="array" ref="F192">IFERROR(VLOOKUP($A192,'The List'!$B1:$AS671,8,FALSE)," ")</f>
        <v xml:space="preserve"> </v>
      </c>
      <c r="G192" s="93" t="str" cm="1">
        <f t="array" ref="G192">IFERROR(VLOOKUP($A192,'The List'!$B1:$AS671,10,FALSE)," ")</f>
        <v xml:space="preserve"> </v>
      </c>
      <c r="H192" s="55"/>
      <c r="I192" s="85" t="str" cm="1">
        <f t="array" ref="I192">IFERROR(VLOOKUP($A192,'The List'!$B1:$AS671,16,FALSE)," ")</f>
        <v xml:space="preserve"> </v>
      </c>
      <c r="J192" s="85" t="str" cm="1">
        <f t="array" ref="J192">IFERROR(VLOOKUP($A192,'The List'!$B1:$AS671,17,FALSE)," ")</f>
        <v xml:space="preserve"> </v>
      </c>
      <c r="K192" s="85" t="str" cm="1">
        <f t="array" ref="K192">IFERROR(VLOOKUP($A192,'The List'!$B1:$AS671,18,FALSE)," ")</f>
        <v xml:space="preserve"> </v>
      </c>
      <c r="L192" s="85" t="str" cm="1">
        <f t="array" ref="L192">IFERROR(VLOOKUP($A192,'The List'!$B1:$AS671,19,FALSE)," ")</f>
        <v xml:space="preserve"> </v>
      </c>
      <c r="M192" s="85" t="str" cm="1">
        <f t="array" ref="M192">IFERROR(VLOOKUP($A192,'The List'!$B1:$AS671,20,FALSE)," ")</f>
        <v xml:space="preserve"> </v>
      </c>
      <c r="N192" s="85" t="str" cm="1">
        <f t="array" ref="N192">IFERROR(VLOOKUP($A192,'The List'!$B1:$AS671,21,FALSE)," ")</f>
        <v xml:space="preserve"> </v>
      </c>
      <c r="O192" s="85" t="str" cm="1">
        <f t="array" ref="O192">IFERROR(VLOOKUP($A192,'The List'!$B1:$AS671,22,FALSE)," ")</f>
        <v xml:space="preserve"> </v>
      </c>
      <c r="P192" s="85" t="str" cm="1">
        <f t="array" ref="P192">IFERROR(VLOOKUP($A192,'The List'!$B1:$AS671,23,FALSE)," ")</f>
        <v xml:space="preserve"> </v>
      </c>
      <c r="Q192" s="85" t="str" cm="1">
        <f t="array" ref="Q192">IFERROR(VLOOKUP($A192,'The List'!$B1:$AS671,24,FALSE)," ")</f>
        <v xml:space="preserve"> </v>
      </c>
      <c r="R192" s="85" t="str" cm="1">
        <f t="array" ref="R192">IFERROR(VLOOKUP($A192,'The List'!$B1:$AS671,25,FALSE)," ")</f>
        <v xml:space="preserve"> </v>
      </c>
      <c r="S192" s="85" t="str" cm="1">
        <f t="array" ref="S192">IFERROR(VLOOKUP($A192,'The List'!$B1:$AS671,26,FALSE)," ")</f>
        <v xml:space="preserve"> </v>
      </c>
      <c r="T192" s="85" t="str" cm="1">
        <f t="array" ref="T192">IFERROR(VLOOKUP($A192,'The List'!$B1:$AS671,27,FALSE)," ")</f>
        <v xml:space="preserve"> </v>
      </c>
      <c r="U192" s="85" t="str" cm="1">
        <f t="array" ref="U192">IFERROR(VLOOKUP($A192,'The List'!$B1:$AS671,28,FALSE)," ")</f>
        <v xml:space="preserve"> </v>
      </c>
      <c r="V192" s="85" t="str" cm="1">
        <f t="array" ref="V192">IFERROR(VLOOKUP($A192,'The List'!$B1:$AS671,29,FALSE)," ")</f>
        <v xml:space="preserve"> </v>
      </c>
      <c r="W192" s="85" t="str" cm="1">
        <f t="array" ref="W192">IFERROR(VLOOKUP($A192,'The List'!$B1:$AS671,30,FALSE)," ")</f>
        <v xml:space="preserve"> </v>
      </c>
      <c r="X192" s="85" t="str" cm="1">
        <f t="array" ref="X192">IFERROR(VLOOKUP($A192,'The List'!$B1:$AS671,31,FALSE)," ")</f>
        <v xml:space="preserve"> </v>
      </c>
      <c r="Y192" s="85" t="str" cm="1">
        <f t="array" ref="Y192">IFERROR(VLOOKUP($A192,'The List'!$B1:$AS671,32,FALSE)," ")</f>
        <v xml:space="preserve"> </v>
      </c>
      <c r="Z192" s="85" t="str" cm="1">
        <f t="array" ref="Z192">IFERROR(VLOOKUP($A192,'The List'!$B1:$AS671,33,FALSE)," ")</f>
        <v xml:space="preserve"> </v>
      </c>
      <c r="AA192" s="86"/>
      <c r="AB192" s="91"/>
      <c r="AC192" s="91"/>
      <c r="AD192" s="91"/>
      <c r="AE192" s="91"/>
      <c r="AF192" s="91"/>
    </row>
    <row r="193" spans="1:32" ht="21.25" customHeight="1" x14ac:dyDescent="0.15">
      <c r="A193" s="24"/>
      <c r="B193" s="100" t="str" cm="1">
        <f t="array" ref="B193">IFERROR(VLOOKUP($A193,'The List'!$B1:$AS671,3,FALSE)," ")</f>
        <v xml:space="preserve"> </v>
      </c>
      <c r="C193" s="102" t="str" cm="1">
        <f t="array" ref="C193">IFERROR(VLOOKUP($A193,'The List'!$B1:$AS671,4,FALSE)," ")</f>
        <v xml:space="preserve"> </v>
      </c>
      <c r="D193" s="18" t="str" cm="1">
        <f t="array" ref="D193">IFERROR(VLOOKUP($A193,'The List'!$B1:$AS671,5,FALSE)," ")</f>
        <v xml:space="preserve"> </v>
      </c>
      <c r="E193" s="18" t="str" cm="1">
        <f t="array" ref="E193">IFERROR(VLOOKUP($A193,'The List'!$B1:$AS671,6,FALSE)," ")</f>
        <v xml:space="preserve"> </v>
      </c>
      <c r="F193" s="93" t="str" cm="1">
        <f t="array" ref="F193">IFERROR(VLOOKUP($A193,'The List'!$B1:$AS671,8,FALSE)," ")</f>
        <v xml:space="preserve"> </v>
      </c>
      <c r="G193" s="93" t="str" cm="1">
        <f t="array" ref="G193">IFERROR(VLOOKUP($A193,'The List'!$B1:$AS671,10,FALSE)," ")</f>
        <v xml:space="preserve"> </v>
      </c>
      <c r="H193" s="55"/>
      <c r="I193" s="85" t="str" cm="1">
        <f t="array" ref="I193">IFERROR(VLOOKUP($A193,'The List'!$B1:$AS671,16,FALSE)," ")</f>
        <v xml:space="preserve"> </v>
      </c>
      <c r="J193" s="85" t="str" cm="1">
        <f t="array" ref="J193">IFERROR(VLOOKUP($A193,'The List'!$B1:$AS671,17,FALSE)," ")</f>
        <v xml:space="preserve"> </v>
      </c>
      <c r="K193" s="85" t="str" cm="1">
        <f t="array" ref="K193">IFERROR(VLOOKUP($A193,'The List'!$B1:$AS671,18,FALSE)," ")</f>
        <v xml:space="preserve"> </v>
      </c>
      <c r="L193" s="85" t="str" cm="1">
        <f t="array" ref="L193">IFERROR(VLOOKUP($A193,'The List'!$B1:$AS671,19,FALSE)," ")</f>
        <v xml:space="preserve"> </v>
      </c>
      <c r="M193" s="85" t="str" cm="1">
        <f t="array" ref="M193">IFERROR(VLOOKUP($A193,'The List'!$B1:$AS671,20,FALSE)," ")</f>
        <v xml:space="preserve"> </v>
      </c>
      <c r="N193" s="85" t="str" cm="1">
        <f t="array" ref="N193">IFERROR(VLOOKUP($A193,'The List'!$B1:$AS671,21,FALSE)," ")</f>
        <v xml:space="preserve"> </v>
      </c>
      <c r="O193" s="85" t="str" cm="1">
        <f t="array" ref="O193">IFERROR(VLOOKUP($A193,'The List'!$B1:$AS671,22,FALSE)," ")</f>
        <v xml:space="preserve"> </v>
      </c>
      <c r="P193" s="85" t="str" cm="1">
        <f t="array" ref="P193">IFERROR(VLOOKUP($A193,'The List'!$B1:$AS671,23,FALSE)," ")</f>
        <v xml:space="preserve"> </v>
      </c>
      <c r="Q193" s="85" t="str" cm="1">
        <f t="array" ref="Q193">IFERROR(VLOOKUP($A193,'The List'!$B1:$AS671,24,FALSE)," ")</f>
        <v xml:space="preserve"> </v>
      </c>
      <c r="R193" s="85" t="str" cm="1">
        <f t="array" ref="R193">IFERROR(VLOOKUP($A193,'The List'!$B1:$AS671,25,FALSE)," ")</f>
        <v xml:space="preserve"> </v>
      </c>
      <c r="S193" s="85" t="str" cm="1">
        <f t="array" ref="S193">IFERROR(VLOOKUP($A193,'The List'!$B1:$AS671,26,FALSE)," ")</f>
        <v xml:space="preserve"> </v>
      </c>
      <c r="T193" s="85" t="str" cm="1">
        <f t="array" ref="T193">IFERROR(VLOOKUP($A193,'The List'!$B1:$AS671,27,FALSE)," ")</f>
        <v xml:space="preserve"> </v>
      </c>
      <c r="U193" s="85" t="str" cm="1">
        <f t="array" ref="U193">IFERROR(VLOOKUP($A193,'The List'!$B1:$AS671,28,FALSE)," ")</f>
        <v xml:space="preserve"> </v>
      </c>
      <c r="V193" s="85" t="str" cm="1">
        <f t="array" ref="V193">IFERROR(VLOOKUP($A193,'The List'!$B1:$AS671,29,FALSE)," ")</f>
        <v xml:space="preserve"> </v>
      </c>
      <c r="W193" s="85" t="str" cm="1">
        <f t="array" ref="W193">IFERROR(VLOOKUP($A193,'The List'!$B1:$AS671,30,FALSE)," ")</f>
        <v xml:space="preserve"> </v>
      </c>
      <c r="X193" s="85" t="str" cm="1">
        <f t="array" ref="X193">IFERROR(VLOOKUP($A193,'The List'!$B1:$AS671,31,FALSE)," ")</f>
        <v xml:space="preserve"> </v>
      </c>
      <c r="Y193" s="85" t="str" cm="1">
        <f t="array" ref="Y193">IFERROR(VLOOKUP($A193,'The List'!$B1:$AS671,32,FALSE)," ")</f>
        <v xml:space="preserve"> </v>
      </c>
      <c r="Z193" s="85" t="str" cm="1">
        <f t="array" ref="Z193">IFERROR(VLOOKUP($A193,'The List'!$B1:$AS671,33,FALSE)," ")</f>
        <v xml:space="preserve"> </v>
      </c>
      <c r="AA193" s="86"/>
      <c r="AB193" s="91"/>
      <c r="AC193" s="91"/>
      <c r="AD193" s="91"/>
      <c r="AE193" s="91"/>
      <c r="AF193" s="91"/>
    </row>
    <row r="194" spans="1:32" ht="21.25" customHeight="1" x14ac:dyDescent="0.15">
      <c r="A194" s="24"/>
      <c r="B194" s="100" t="str" cm="1">
        <f t="array" ref="B194">IFERROR(VLOOKUP($A194,'The List'!$B1:$AS671,3,FALSE)," ")</f>
        <v xml:space="preserve"> </v>
      </c>
      <c r="C194" s="102" t="str" cm="1">
        <f t="array" ref="C194">IFERROR(VLOOKUP($A194,'The List'!$B1:$AS671,4,FALSE)," ")</f>
        <v xml:space="preserve"> </v>
      </c>
      <c r="D194" s="18" t="str" cm="1">
        <f t="array" ref="D194">IFERROR(VLOOKUP($A194,'The List'!$B1:$AS671,5,FALSE)," ")</f>
        <v xml:space="preserve"> </v>
      </c>
      <c r="E194" s="18" t="str" cm="1">
        <f t="array" ref="E194">IFERROR(VLOOKUP($A194,'The List'!$B1:$AS671,6,FALSE)," ")</f>
        <v xml:space="preserve"> </v>
      </c>
      <c r="F194" s="93" t="str" cm="1">
        <f t="array" ref="F194">IFERROR(VLOOKUP($A194,'The List'!$B1:$AS671,8,FALSE)," ")</f>
        <v xml:space="preserve"> </v>
      </c>
      <c r="G194" s="93" t="str" cm="1">
        <f t="array" ref="G194">IFERROR(VLOOKUP($A194,'The List'!$B1:$AS671,10,FALSE)," ")</f>
        <v xml:space="preserve"> </v>
      </c>
      <c r="H194" s="55"/>
      <c r="I194" s="85" t="str" cm="1">
        <f t="array" ref="I194">IFERROR(VLOOKUP($A194,'The List'!$B1:$AS671,16,FALSE)," ")</f>
        <v xml:space="preserve"> </v>
      </c>
      <c r="J194" s="85" t="str" cm="1">
        <f t="array" ref="J194">IFERROR(VLOOKUP($A194,'The List'!$B1:$AS671,17,FALSE)," ")</f>
        <v xml:space="preserve"> </v>
      </c>
      <c r="K194" s="85" t="str" cm="1">
        <f t="array" ref="K194">IFERROR(VLOOKUP($A194,'The List'!$B1:$AS671,18,FALSE)," ")</f>
        <v xml:space="preserve"> </v>
      </c>
      <c r="L194" s="85" t="str" cm="1">
        <f t="array" ref="L194">IFERROR(VLOOKUP($A194,'The List'!$B1:$AS671,19,FALSE)," ")</f>
        <v xml:space="preserve"> </v>
      </c>
      <c r="M194" s="85" t="str" cm="1">
        <f t="array" ref="M194">IFERROR(VLOOKUP($A194,'The List'!$B1:$AS671,20,FALSE)," ")</f>
        <v xml:space="preserve"> </v>
      </c>
      <c r="N194" s="85" t="str" cm="1">
        <f t="array" ref="N194">IFERROR(VLOOKUP($A194,'The List'!$B1:$AS671,21,FALSE)," ")</f>
        <v xml:space="preserve"> </v>
      </c>
      <c r="O194" s="85" t="str" cm="1">
        <f t="array" ref="O194">IFERROR(VLOOKUP($A194,'The List'!$B1:$AS671,22,FALSE)," ")</f>
        <v xml:space="preserve"> </v>
      </c>
      <c r="P194" s="85" t="str" cm="1">
        <f t="array" ref="P194">IFERROR(VLOOKUP($A194,'The List'!$B1:$AS671,23,FALSE)," ")</f>
        <v xml:space="preserve"> </v>
      </c>
      <c r="Q194" s="85" t="str" cm="1">
        <f t="array" ref="Q194">IFERROR(VLOOKUP($A194,'The List'!$B1:$AS671,24,FALSE)," ")</f>
        <v xml:space="preserve"> </v>
      </c>
      <c r="R194" s="85" t="str" cm="1">
        <f t="array" ref="R194">IFERROR(VLOOKUP($A194,'The List'!$B1:$AS671,25,FALSE)," ")</f>
        <v xml:space="preserve"> </v>
      </c>
      <c r="S194" s="85" t="str" cm="1">
        <f t="array" ref="S194">IFERROR(VLOOKUP($A194,'The List'!$B1:$AS671,26,FALSE)," ")</f>
        <v xml:space="preserve"> </v>
      </c>
      <c r="T194" s="85" t="str" cm="1">
        <f t="array" ref="T194">IFERROR(VLOOKUP($A194,'The List'!$B1:$AS671,27,FALSE)," ")</f>
        <v xml:space="preserve"> </v>
      </c>
      <c r="U194" s="85" t="str" cm="1">
        <f t="array" ref="U194">IFERROR(VLOOKUP($A194,'The List'!$B1:$AS671,28,FALSE)," ")</f>
        <v xml:space="preserve"> </v>
      </c>
      <c r="V194" s="85" t="str" cm="1">
        <f t="array" ref="V194">IFERROR(VLOOKUP($A194,'The List'!$B1:$AS671,29,FALSE)," ")</f>
        <v xml:space="preserve"> </v>
      </c>
      <c r="W194" s="85" t="str" cm="1">
        <f t="array" ref="W194">IFERROR(VLOOKUP($A194,'The List'!$B1:$AS671,30,FALSE)," ")</f>
        <v xml:space="preserve"> </v>
      </c>
      <c r="X194" s="85" t="str" cm="1">
        <f t="array" ref="X194">IFERROR(VLOOKUP($A194,'The List'!$B1:$AS671,31,FALSE)," ")</f>
        <v xml:space="preserve"> </v>
      </c>
      <c r="Y194" s="85" t="str" cm="1">
        <f t="array" ref="Y194">IFERROR(VLOOKUP($A194,'The List'!$B1:$AS671,32,FALSE)," ")</f>
        <v xml:space="preserve"> </v>
      </c>
      <c r="Z194" s="85" t="str" cm="1">
        <f t="array" ref="Z194">IFERROR(VLOOKUP($A194,'The List'!$B1:$AS671,33,FALSE)," ")</f>
        <v xml:space="preserve"> </v>
      </c>
      <c r="AA194" s="86"/>
      <c r="AB194" s="91"/>
      <c r="AC194" s="91"/>
      <c r="AD194" s="91"/>
      <c r="AE194" s="91"/>
      <c r="AF194" s="91"/>
    </row>
    <row r="195" spans="1:32" ht="21.25" customHeight="1" x14ac:dyDescent="0.15">
      <c r="A195" s="104"/>
      <c r="B195" s="105" t="str" cm="1">
        <f t="array" ref="B195">IFERROR(VLOOKUP($A195,'The List'!$B1:$AS671,3,FALSE)," ")</f>
        <v xml:space="preserve"> </v>
      </c>
      <c r="C195" s="106" t="str" cm="1">
        <f t="array" ref="C195">IFERROR(VLOOKUP($A195,'The List'!$B1:$AS671,4,FALSE)," ")</f>
        <v xml:space="preserve"> </v>
      </c>
      <c r="D195" s="107" t="str" cm="1">
        <f t="array" ref="D195">IFERROR(VLOOKUP($A195,'The List'!$B1:$AS671,5,FALSE)," ")</f>
        <v xml:space="preserve"> </v>
      </c>
      <c r="E195" s="107" t="str" cm="1">
        <f t="array" ref="E195">IFERROR(VLOOKUP($A195,'The List'!$B1:$AS671,6,FALSE)," ")</f>
        <v xml:space="preserve"> </v>
      </c>
      <c r="F195" s="108" t="str" cm="1">
        <f t="array" ref="F195">IFERROR(VLOOKUP($A195,'The List'!$B1:$AS671,8,FALSE)," ")</f>
        <v xml:space="preserve"> </v>
      </c>
      <c r="G195" s="108" t="str" cm="1">
        <f t="array" ref="G195">IFERROR(VLOOKUP($A195,'The List'!$B1:$AS671,10,FALSE)," ")</f>
        <v xml:space="preserve"> </v>
      </c>
      <c r="H195" s="109"/>
      <c r="I195" s="110" t="str" cm="1">
        <f t="array" ref="I195">IFERROR(VLOOKUP($A195,'The List'!$B1:$AS671,16,FALSE)," ")</f>
        <v xml:space="preserve"> </v>
      </c>
      <c r="J195" s="110" t="str" cm="1">
        <f t="array" ref="J195">IFERROR(VLOOKUP($A195,'The List'!$B1:$AS671,17,FALSE)," ")</f>
        <v xml:space="preserve"> </v>
      </c>
      <c r="K195" s="110" t="str" cm="1">
        <f t="array" ref="K195">IFERROR(VLOOKUP($A195,'The List'!$B1:$AS671,18,FALSE)," ")</f>
        <v xml:space="preserve"> </v>
      </c>
      <c r="L195" s="110" t="str" cm="1">
        <f t="array" ref="L195">IFERROR(VLOOKUP($A195,'The List'!$B1:$AS671,19,FALSE)," ")</f>
        <v xml:space="preserve"> </v>
      </c>
      <c r="M195" s="110" t="str" cm="1">
        <f t="array" ref="M195">IFERROR(VLOOKUP($A195,'The List'!$B1:$AS671,20,FALSE)," ")</f>
        <v xml:space="preserve"> </v>
      </c>
      <c r="N195" s="110" t="str" cm="1">
        <f t="array" ref="N195">IFERROR(VLOOKUP($A195,'The List'!$B1:$AS671,21,FALSE)," ")</f>
        <v xml:space="preserve"> </v>
      </c>
      <c r="O195" s="110" t="str" cm="1">
        <f t="array" ref="O195">IFERROR(VLOOKUP($A195,'The List'!$B1:$AS671,22,FALSE)," ")</f>
        <v xml:space="preserve"> </v>
      </c>
      <c r="P195" s="110" t="str" cm="1">
        <f t="array" ref="P195">IFERROR(VLOOKUP($A195,'The List'!$B1:$AS671,23,FALSE)," ")</f>
        <v xml:space="preserve"> </v>
      </c>
      <c r="Q195" s="110" t="str" cm="1">
        <f t="array" ref="Q195">IFERROR(VLOOKUP($A195,'The List'!$B1:$AS671,24,FALSE)," ")</f>
        <v xml:space="preserve"> </v>
      </c>
      <c r="R195" s="110" t="str" cm="1">
        <f t="array" ref="R195">IFERROR(VLOOKUP($A195,'The List'!$B1:$AS671,25,FALSE)," ")</f>
        <v xml:space="preserve"> </v>
      </c>
      <c r="S195" s="110" t="str" cm="1">
        <f t="array" ref="S195">IFERROR(VLOOKUP($A195,'The List'!$B1:$AS671,26,FALSE)," ")</f>
        <v xml:space="preserve"> </v>
      </c>
      <c r="T195" s="110" t="str" cm="1">
        <f t="array" ref="T195">IFERROR(VLOOKUP($A195,'The List'!$B1:$AS671,27,FALSE)," ")</f>
        <v xml:space="preserve"> </v>
      </c>
      <c r="U195" s="110" t="str" cm="1">
        <f t="array" ref="U195">IFERROR(VLOOKUP($A195,'The List'!$B1:$AS671,28,FALSE)," ")</f>
        <v xml:space="preserve"> </v>
      </c>
      <c r="V195" s="110" t="str" cm="1">
        <f t="array" ref="V195">IFERROR(VLOOKUP($A195,'The List'!$B1:$AS671,29,FALSE)," ")</f>
        <v xml:space="preserve"> </v>
      </c>
      <c r="W195" s="110" t="str" cm="1">
        <f t="array" ref="W195">IFERROR(VLOOKUP($A195,'The List'!$B1:$AS671,30,FALSE)," ")</f>
        <v xml:space="preserve"> </v>
      </c>
      <c r="X195" s="110" t="str" cm="1">
        <f t="array" ref="X195">IFERROR(VLOOKUP($A195,'The List'!$B1:$AS671,31,FALSE)," ")</f>
        <v xml:space="preserve"> </v>
      </c>
      <c r="Y195" s="110" t="str" cm="1">
        <f t="array" ref="Y195">IFERROR(VLOOKUP($A195,'The List'!$B1:$AS671,32,FALSE)," ")</f>
        <v xml:space="preserve"> </v>
      </c>
      <c r="Z195" s="110" t="str" cm="1">
        <f t="array" ref="Z195">IFERROR(VLOOKUP($A195,'The List'!$B1:$AS671,33,FALSE)," ")</f>
        <v xml:space="preserve"> </v>
      </c>
      <c r="AA195" s="86"/>
      <c r="AB195" s="91"/>
      <c r="AC195" s="91"/>
      <c r="AD195" s="91"/>
      <c r="AE195" s="91"/>
      <c r="AF195" s="91"/>
    </row>
    <row r="196" spans="1:32" ht="21.25" customHeight="1" x14ac:dyDescent="0.15">
      <c r="A196" s="111"/>
      <c r="B196" s="112"/>
      <c r="C196" s="113"/>
      <c r="D196" s="114"/>
      <c r="E196" s="114" t="str" cm="1">
        <f t="array" ref="E196">IFERROR(AVERAGE(E176:E195)," ")</f>
        <v xml:space="preserve"> </v>
      </c>
      <c r="F196" s="116" cm="1">
        <f t="array" ref="F196">SUM(F176:F195)</f>
        <v>0</v>
      </c>
      <c r="G196" s="116" cm="1">
        <f t="array" ref="G196">SUM(G176:G195)</f>
        <v>0</v>
      </c>
      <c r="H196" s="117"/>
      <c r="I196" s="118" cm="1">
        <f t="array" ref="I196">SUM(I176:I195)</f>
        <v>0</v>
      </c>
      <c r="J196" s="117" t="e" cm="1">
        <f t="array" ref="J196">AVERAGE(J176:J195)</f>
        <v>#DIV/0!</v>
      </c>
      <c r="K196" s="118" cm="1">
        <f t="array" ref="K196">SUM(K176:K195)</f>
        <v>0</v>
      </c>
      <c r="L196" s="118" cm="1">
        <f t="array" ref="L196">SUM(L176:L195)</f>
        <v>0</v>
      </c>
      <c r="M196" s="118" cm="1">
        <f t="array" ref="M196">SUM(M176:M195)</f>
        <v>0</v>
      </c>
      <c r="N196" s="118" cm="1">
        <f t="array" ref="N196">SUM(N176:N195)</f>
        <v>0</v>
      </c>
      <c r="O196" s="118" cm="1">
        <f t="array" ref="O196">SUM(O176:O195)</f>
        <v>0</v>
      </c>
      <c r="P196" s="118" cm="1">
        <f t="array" ref="P196">SUM(P176:P195)</f>
        <v>0</v>
      </c>
      <c r="Q196" s="118" cm="1">
        <f t="array" ref="Q196">SUM(Q176:Q195)</f>
        <v>0</v>
      </c>
      <c r="R196" s="118" cm="1">
        <f t="array" ref="R196">SUM(R176:R195)</f>
        <v>0</v>
      </c>
      <c r="S196" s="118" cm="1">
        <f t="array" ref="S196">SUM(S176:S195)</f>
        <v>0</v>
      </c>
      <c r="T196" s="118" cm="1">
        <f t="array" ref="T196">SUM(T176:T195)</f>
        <v>0</v>
      </c>
      <c r="U196" s="118" cm="1">
        <f t="array" ref="U196">SUM(U176:U195)</f>
        <v>0</v>
      </c>
      <c r="V196" s="118" cm="1">
        <f t="array" ref="V196">SUM(V176:V195)</f>
        <v>0</v>
      </c>
      <c r="W196" s="118" cm="1">
        <f t="array" ref="W196">SUM(W176:W195)</f>
        <v>0</v>
      </c>
      <c r="X196" s="118" cm="1">
        <f t="array" ref="X196">SUM(X176:X195)</f>
        <v>0</v>
      </c>
      <c r="Y196" s="118" cm="1">
        <f t="array" ref="Y196">SUM(Y176:Y195)</f>
        <v>0</v>
      </c>
      <c r="Z196" s="119" cm="1">
        <f t="array" ref="Z196">IFERROR(X196/(X196+Y196),0)</f>
        <v>0</v>
      </c>
      <c r="AA196" s="86"/>
      <c r="AB196" s="120"/>
      <c r="AC196" s="120"/>
      <c r="AD196" s="120"/>
      <c r="AE196" s="120"/>
      <c r="AF196" s="120"/>
    </row>
    <row r="197" spans="1:32" ht="21.25" customHeight="1" x14ac:dyDescent="0.15">
      <c r="A197" s="37"/>
      <c r="B197" s="121"/>
      <c r="C197" s="122"/>
      <c r="D197" s="13"/>
      <c r="E197" s="13"/>
      <c r="F197" s="123"/>
      <c r="G197" s="124"/>
      <c r="H197" s="125"/>
      <c r="I197" s="12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91"/>
      <c r="AC197" s="91"/>
      <c r="AD197" s="91"/>
      <c r="AE197" s="91"/>
      <c r="AF197" s="91"/>
    </row>
    <row r="198" spans="1:32" ht="21.25" customHeight="1" x14ac:dyDescent="0.15">
      <c r="A198" s="40" t="s">
        <v>91</v>
      </c>
      <c r="B198" s="205" t="s">
        <v>93</v>
      </c>
      <c r="C198" s="197"/>
      <c r="D198" s="127" t="s">
        <v>94</v>
      </c>
      <c r="E198" s="127" t="s">
        <v>95</v>
      </c>
      <c r="F198" s="128" t="s">
        <v>97</v>
      </c>
      <c r="G198" s="128" t="s">
        <v>99</v>
      </c>
      <c r="H198" s="129"/>
      <c r="I198" s="130" t="s">
        <v>104</v>
      </c>
      <c r="J198" s="130" t="s">
        <v>119</v>
      </c>
      <c r="K198" s="130" t="s">
        <v>120</v>
      </c>
      <c r="L198" s="130" t="s">
        <v>121</v>
      </c>
      <c r="M198" s="130" t="s">
        <v>122</v>
      </c>
      <c r="N198" s="130" t="s">
        <v>123</v>
      </c>
      <c r="O198" s="130" t="s">
        <v>124</v>
      </c>
      <c r="P198" s="130" t="s">
        <v>125</v>
      </c>
      <c r="Q198" s="130" t="s">
        <v>126</v>
      </c>
      <c r="R198" s="86"/>
      <c r="S198" s="86"/>
      <c r="T198" s="86"/>
      <c r="U198" s="205" t="s">
        <v>818</v>
      </c>
      <c r="V198" s="206"/>
      <c r="W198" s="206"/>
      <c r="X198" s="205" t="s">
        <v>819</v>
      </c>
      <c r="Y198" s="206"/>
      <c r="Z198" s="206"/>
      <c r="AA198" s="86"/>
      <c r="AB198" s="86"/>
      <c r="AC198" s="86"/>
      <c r="AD198" s="86"/>
      <c r="AE198" s="86"/>
      <c r="AF198" s="86"/>
    </row>
    <row r="199" spans="1:32" ht="21.25" customHeight="1" x14ac:dyDescent="0.15">
      <c r="A199" s="147"/>
      <c r="B199" s="132" t="str" cm="1">
        <f t="array" ref="B199">IFERROR(VLOOKUP($A199,'The List'!$B1:$AS671,3,FALSE)," ")</f>
        <v xml:space="preserve"> </v>
      </c>
      <c r="C199" s="148" t="str" cm="1">
        <f t="array" ref="C199">IFERROR(VLOOKUP($A199,'The List'!$B1:$AS671,4,FALSE)," ")</f>
        <v xml:space="preserve"> </v>
      </c>
      <c r="D199" s="134" t="str" cm="1">
        <f t="array" ref="D199">IFERROR(VLOOKUP($A199,'The List'!$B1:$AS671,5,FALSE)," ")</f>
        <v xml:space="preserve"> </v>
      </c>
      <c r="E199" s="134" t="str" cm="1">
        <f t="array" ref="E199">IFERROR(VLOOKUP($A199,'The List'!$B1:$AS671,6,FALSE)," ")</f>
        <v xml:space="preserve"> </v>
      </c>
      <c r="F199" s="149" t="str" cm="1">
        <f t="array" ref="F199">IFERROR(VLOOKUP($A199,'The List'!$B1:$AS671,8,FALSE)," ")</f>
        <v xml:space="preserve"> </v>
      </c>
      <c r="G199" s="149" t="str" cm="1">
        <f t="array" ref="G199">IFERROR(VLOOKUP($A199,'The List'!$B1:$AS671,10,FALSE)," ")</f>
        <v xml:space="preserve"> </v>
      </c>
      <c r="H199" s="83"/>
      <c r="I199" s="150" t="str" cm="1">
        <f t="array" ref="I199">IFERROR(VLOOKUP($A199,'The List'!$B1:$AS671,35,FALSE)," ")</f>
        <v xml:space="preserve"> </v>
      </c>
      <c r="J199" s="150" t="str" cm="1">
        <f t="array" ref="J199">IFERROR(VLOOKUP($A199,'The List'!$B1:$AS671,36,FALSE)," ")</f>
        <v xml:space="preserve"> </v>
      </c>
      <c r="K199" s="150" t="str" cm="1">
        <f t="array" ref="K199">IFERROR(VLOOKUP($A199,'The List'!$B1:$AS671,37,FALSE)," ")</f>
        <v xml:space="preserve"> </v>
      </c>
      <c r="L199" s="150" t="str" cm="1">
        <f t="array" ref="L199">IFERROR(VLOOKUP($A199,'The List'!$B1:$AS671,38,FALSE)," ")</f>
        <v xml:space="preserve"> </v>
      </c>
      <c r="M199" s="150" t="str" cm="1">
        <f t="array" ref="M199">IFERROR(VLOOKUP($A199,'The List'!$B1:$AS671,39,FALSE)," ")</f>
        <v xml:space="preserve"> </v>
      </c>
      <c r="N199" s="150" t="str" cm="1">
        <f t="array" ref="N199">IFERROR(VLOOKUP($A199,'The List'!$B1:$AS671,40,FALSE)," ")</f>
        <v xml:space="preserve"> </v>
      </c>
      <c r="O199" s="150" t="str" cm="1">
        <f t="array" ref="O199">IFERROR(VLOOKUP($A199,'The List'!$B1:$AS671,41,FALSE)," ")</f>
        <v xml:space="preserve"> </v>
      </c>
      <c r="P199" s="150" t="str" cm="1">
        <f t="array" ref="P199">IFERROR(VLOOKUP($A199,'The List'!$B1:$AS671,42,FALSE)," ")</f>
        <v xml:space="preserve"> </v>
      </c>
      <c r="Q199" s="150" t="str" cm="1">
        <f t="array" ref="Q199">IFERROR(VLOOKUP($A199,'The List'!$B1:$AS671,43,FALSE)," ")</f>
        <v xml:space="preserve"> </v>
      </c>
      <c r="R199" s="86"/>
      <c r="S199" s="86"/>
      <c r="T199" s="140" t="str" cm="1">
        <f t="array" ref="T199">A175</f>
        <v>TEAM 7</v>
      </c>
      <c r="U199" s="207" cm="1">
        <f t="array" ref="U199">F196+F202</f>
        <v>0</v>
      </c>
      <c r="V199" s="197"/>
      <c r="W199" s="197"/>
      <c r="X199" s="207" cm="1">
        <f t="array" ref="X199">G202+G196</f>
        <v>0</v>
      </c>
      <c r="Y199" s="197"/>
      <c r="Z199" s="197"/>
      <c r="AA199" s="86"/>
      <c r="AB199" s="86"/>
      <c r="AC199" s="86"/>
      <c r="AD199" s="86"/>
      <c r="AE199" s="86"/>
      <c r="AF199" s="86"/>
    </row>
    <row r="200" spans="1:32" ht="21.25" customHeight="1" x14ac:dyDescent="0.15">
      <c r="A200" s="24"/>
      <c r="B200" s="141" t="str" cm="1">
        <f t="array" ref="B200">IFERROR(VLOOKUP($A200,'The List'!$B1:$AS671,3,FALSE)," ")</f>
        <v xml:space="preserve"> </v>
      </c>
      <c r="C200" s="142" t="str" cm="1">
        <f t="array" ref="C200">IFERROR(VLOOKUP($A200,'The List'!$B1:$AS671,4,FALSE)," ")</f>
        <v xml:space="preserve"> </v>
      </c>
      <c r="D200" s="18" t="str" cm="1">
        <f t="array" ref="D200">IFERROR(VLOOKUP($A200,'The List'!$B1:$AS671,5,FALSE)," ")</f>
        <v xml:space="preserve"> </v>
      </c>
      <c r="E200" s="18" t="str" cm="1">
        <f t="array" ref="E200">IFERROR(VLOOKUP($A200,'The List'!$B1:$AS671,6,FALSE)," ")</f>
        <v xml:space="preserve"> </v>
      </c>
      <c r="F200" s="93" t="str" cm="1">
        <f t="array" ref="F200">IFERROR(VLOOKUP($A200,'The List'!$B1:$AS671,8,FALSE)," ")</f>
        <v xml:space="preserve"> </v>
      </c>
      <c r="G200" s="93" t="str" cm="1">
        <f t="array" ref="G200">IFERROR(VLOOKUP($A200,'The List'!$B1:$AS671,10,FALSE)," ")</f>
        <v xml:space="preserve"> </v>
      </c>
      <c r="H200" s="55"/>
      <c r="I200" s="85" t="str" cm="1">
        <f t="array" ref="I200">IFERROR(VLOOKUP($A200,'The List'!$B1:$AS671,35,FALSE)," ")</f>
        <v xml:space="preserve"> </v>
      </c>
      <c r="J200" s="85" t="str" cm="1">
        <f t="array" ref="J200">IFERROR(VLOOKUP($A200,'The List'!$B1:$AS671,36,FALSE)," ")</f>
        <v xml:space="preserve"> </v>
      </c>
      <c r="K200" s="85" t="str" cm="1">
        <f t="array" ref="K200">IFERROR(VLOOKUP($A200,'The List'!$B1:$AS671,37,FALSE)," ")</f>
        <v xml:space="preserve"> </v>
      </c>
      <c r="L200" s="85" t="str" cm="1">
        <f t="array" ref="L200">IFERROR(VLOOKUP($A200,'The List'!$B1:$AS671,38,FALSE)," ")</f>
        <v xml:space="preserve"> </v>
      </c>
      <c r="M200" s="85" t="str" cm="1">
        <f t="array" ref="M200">IFERROR(VLOOKUP($A200,'The List'!$B1:$AS671,39,FALSE)," ")</f>
        <v xml:space="preserve"> </v>
      </c>
      <c r="N200" s="85" t="str" cm="1">
        <f t="array" ref="N200">IFERROR(VLOOKUP($A200,'The List'!$B1:$AS671,40,FALSE)," ")</f>
        <v xml:space="preserve"> </v>
      </c>
      <c r="O200" s="85" t="str" cm="1">
        <f t="array" ref="O200">IFERROR(VLOOKUP($A200,'The List'!$B1:$AS671,41,FALSE)," ")</f>
        <v xml:space="preserve"> </v>
      </c>
      <c r="P200" s="85" t="str" cm="1">
        <f t="array" ref="P200">IFERROR(VLOOKUP($A200,'The List'!$B1:$AS671,42,FALSE)," ")</f>
        <v xml:space="preserve"> </v>
      </c>
      <c r="Q200" s="85" t="str" cm="1">
        <f t="array" ref="Q200">IFERROR(VLOOKUP($A200,'The List'!$B1:$AS671,43,FALSE)," ")</f>
        <v xml:space="preserve"> </v>
      </c>
      <c r="R200" s="86"/>
      <c r="S200" s="86"/>
      <c r="T200" s="86"/>
      <c r="U200" s="197"/>
      <c r="V200" s="197"/>
      <c r="W200" s="197"/>
      <c r="X200" s="197"/>
      <c r="Y200" s="197"/>
      <c r="Z200" s="197"/>
      <c r="AA200" s="86"/>
      <c r="AB200" s="86"/>
      <c r="AC200" s="86"/>
      <c r="AD200" s="86"/>
      <c r="AE200" s="86"/>
      <c r="AF200" s="86"/>
    </row>
    <row r="201" spans="1:32" ht="21.25" customHeight="1" x14ac:dyDescent="0.15">
      <c r="A201" s="104"/>
      <c r="B201" s="143" t="str" cm="1">
        <f t="array" ref="B201">IFERROR(VLOOKUP($A201,'The List'!$B1:$AS671,3,FALSE)," ")</f>
        <v xml:space="preserve"> </v>
      </c>
      <c r="C201" s="144" t="str" cm="1">
        <f t="array" ref="C201">IFERROR(VLOOKUP($A201,'The List'!$B1:$AS671,4,FALSE)," ")</f>
        <v xml:space="preserve"> </v>
      </c>
      <c r="D201" s="107" t="str" cm="1">
        <f t="array" ref="D201">IFERROR(VLOOKUP($A201,'The List'!$B1:$AS671,5,FALSE)," ")</f>
        <v xml:space="preserve"> </v>
      </c>
      <c r="E201" s="107" t="str" cm="1">
        <f t="array" ref="E201">IFERROR(VLOOKUP($A201,'The List'!$B1:$AS671,6,FALSE)," ")</f>
        <v xml:space="preserve"> </v>
      </c>
      <c r="F201" s="108" t="str" cm="1">
        <f t="array" ref="F201">IFERROR(VLOOKUP($A201,'The List'!$B1:$AS671,8,FALSE)," ")</f>
        <v xml:space="preserve"> </v>
      </c>
      <c r="G201" s="108" t="str" cm="1">
        <f t="array" ref="G201">IFERROR(VLOOKUP($A201,'The List'!$B1:$AS671,10,FALSE)," ")</f>
        <v xml:space="preserve"> </v>
      </c>
      <c r="H201" s="109"/>
      <c r="I201" s="110" t="str" cm="1">
        <f t="array" ref="I201">IFERROR(VLOOKUP($A201,'The List'!$B1:$AS671,35,FALSE)," ")</f>
        <v xml:space="preserve"> </v>
      </c>
      <c r="J201" s="110" t="str" cm="1">
        <f t="array" ref="J201">IFERROR(VLOOKUP($A201,'The List'!$B1:$AS671,36,FALSE)," ")</f>
        <v xml:space="preserve"> </v>
      </c>
      <c r="K201" s="110" t="str" cm="1">
        <f t="array" ref="K201">IFERROR(VLOOKUP($A201,'The List'!$B1:$AS671,37,FALSE)," ")</f>
        <v xml:space="preserve"> </v>
      </c>
      <c r="L201" s="110" t="str" cm="1">
        <f t="array" ref="L201">IFERROR(VLOOKUP($A201,'The List'!$B1:$AS671,38,FALSE)," ")</f>
        <v xml:space="preserve"> </v>
      </c>
      <c r="M201" s="110" t="str" cm="1">
        <f t="array" ref="M201">IFERROR(VLOOKUP($A201,'The List'!$B1:$AS671,39,FALSE)," ")</f>
        <v xml:space="preserve"> </v>
      </c>
      <c r="N201" s="110" t="str" cm="1">
        <f t="array" ref="N201">IFERROR(VLOOKUP($A201,'The List'!$B1:$AS671,40,FALSE)," ")</f>
        <v xml:space="preserve"> </v>
      </c>
      <c r="O201" s="110" t="str" cm="1">
        <f t="array" ref="O201">IFERROR(VLOOKUP($A201,'The List'!$B1:$AS671,41,FALSE)," ")</f>
        <v xml:space="preserve"> </v>
      </c>
      <c r="P201" s="110" t="str" cm="1">
        <f t="array" ref="P201">IFERROR(VLOOKUP($A201,'The List'!$B1:$AS671,42,FALSE)," ")</f>
        <v xml:space="preserve"> </v>
      </c>
      <c r="Q201" s="110" t="str" cm="1">
        <f t="array" ref="Q201">IFERROR(VLOOKUP($A201,'The List'!$B1:$AS671,43,FALSE)," ")</f>
        <v xml:space="preserve"> </v>
      </c>
      <c r="R201" s="86"/>
      <c r="S201" s="86"/>
      <c r="T201" s="86"/>
      <c r="U201" s="197"/>
      <c r="V201" s="197"/>
      <c r="W201" s="197"/>
      <c r="X201" s="197"/>
      <c r="Y201" s="197"/>
      <c r="Z201" s="197"/>
      <c r="AA201" s="86"/>
      <c r="AB201" s="86"/>
      <c r="AC201" s="86"/>
      <c r="AD201" s="86"/>
      <c r="AE201" s="86"/>
      <c r="AF201" s="86"/>
    </row>
    <row r="202" spans="1:32" ht="21.25" customHeight="1" x14ac:dyDescent="0.15">
      <c r="A202" s="111"/>
      <c r="B202" s="112"/>
      <c r="C202" s="113"/>
      <c r="D202" s="114"/>
      <c r="E202" s="114" t="str" cm="1">
        <f t="array" ref="E202">IFERROR(AVERAGE(E199:E201)," ")</f>
        <v xml:space="preserve"> </v>
      </c>
      <c r="F202" s="116" cm="1">
        <f t="array" ref="F202">SUM(F199:F201)</f>
        <v>0</v>
      </c>
      <c r="G202" s="116" cm="1">
        <f t="array" ref="G202">SUM(G199:G201)</f>
        <v>0</v>
      </c>
      <c r="H202" s="117"/>
      <c r="I202" s="118" cm="1">
        <f t="array" ref="I202">SUM(I199:I201)</f>
        <v>0</v>
      </c>
      <c r="J202" s="117" cm="1">
        <f t="array" ref="J202">SUM(J199:J201)</f>
        <v>0</v>
      </c>
      <c r="K202" s="118" cm="1">
        <f t="array" ref="K202">SUM(K199:K201)</f>
        <v>0</v>
      </c>
      <c r="L202" s="118" cm="1">
        <f t="array" ref="L202">SUM(L199:L201)</f>
        <v>0</v>
      </c>
      <c r="M202" s="118" cm="1">
        <f t="array" ref="M202">SUM(M199:M201)</f>
        <v>0</v>
      </c>
      <c r="N202" s="118" cm="1">
        <f t="array" ref="N202">SUM(N199:N201)</f>
        <v>0</v>
      </c>
      <c r="O202" s="118" cm="1">
        <f t="array" ref="O202">SUM(O199:O201)</f>
        <v>0</v>
      </c>
      <c r="P202" s="145" t="e" cm="1">
        <f t="array" ref="P202">1-(O202/(N202+O202))</f>
        <v>#DIV/0!</v>
      </c>
      <c r="Q202" s="146" t="e" cm="1">
        <f t="array" ref="Q202">O202/I202</f>
        <v>#DIV/0!</v>
      </c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</row>
    <row r="203" spans="1:32" ht="70.75" customHeight="1" x14ac:dyDescent="0.15">
      <c r="A203" s="37"/>
      <c r="B203" s="121"/>
      <c r="C203" s="122"/>
      <c r="D203" s="13"/>
      <c r="E203" s="13"/>
      <c r="F203" s="123"/>
      <c r="G203" s="124"/>
      <c r="H203" s="125"/>
      <c r="I203" s="12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91"/>
      <c r="AB203" s="91"/>
      <c r="AC203" s="91"/>
      <c r="AD203" s="91"/>
      <c r="AE203" s="91"/>
      <c r="AF203" s="91"/>
    </row>
    <row r="204" spans="1:32" ht="21.25" customHeight="1" x14ac:dyDescent="0.15">
      <c r="A204" s="41" t="s">
        <v>809</v>
      </c>
      <c r="B204" s="194" t="s">
        <v>93</v>
      </c>
      <c r="C204" s="195"/>
      <c r="D204" s="42" t="s">
        <v>94</v>
      </c>
      <c r="E204" s="42" t="s">
        <v>95</v>
      </c>
      <c r="F204" s="43" t="s">
        <v>97</v>
      </c>
      <c r="G204" s="43" t="s">
        <v>99</v>
      </c>
      <c r="H204" s="44"/>
      <c r="I204" s="46" t="s">
        <v>104</v>
      </c>
      <c r="J204" s="46" t="s">
        <v>56</v>
      </c>
      <c r="K204" s="46" t="s">
        <v>105</v>
      </c>
      <c r="L204" s="46" t="s">
        <v>106</v>
      </c>
      <c r="M204" s="46" t="s">
        <v>107</v>
      </c>
      <c r="N204" s="46" t="s">
        <v>108</v>
      </c>
      <c r="O204" s="46" t="s">
        <v>64</v>
      </c>
      <c r="P204" s="46" t="s">
        <v>68</v>
      </c>
      <c r="Q204" s="46" t="s">
        <v>109</v>
      </c>
      <c r="R204" s="46" t="s">
        <v>110</v>
      </c>
      <c r="S204" s="46" t="s">
        <v>111</v>
      </c>
      <c r="T204" s="46" t="s">
        <v>112</v>
      </c>
      <c r="U204" s="46" t="s">
        <v>113</v>
      </c>
      <c r="V204" s="46" t="s">
        <v>114</v>
      </c>
      <c r="W204" s="46" t="s">
        <v>115</v>
      </c>
      <c r="X204" s="46" t="s">
        <v>116</v>
      </c>
      <c r="Y204" s="46" t="s">
        <v>117</v>
      </c>
      <c r="Z204" s="46" t="s">
        <v>118</v>
      </c>
      <c r="AA204" s="86"/>
      <c r="AB204" s="87"/>
      <c r="AC204" s="87"/>
      <c r="AD204" s="87"/>
      <c r="AE204" s="87"/>
      <c r="AF204" s="87"/>
    </row>
    <row r="205" spans="1:32" ht="21.25" customHeight="1" x14ac:dyDescent="0.15">
      <c r="A205" s="24"/>
      <c r="B205" s="88" t="str" cm="1">
        <f t="array" ref="B205">IFERROR(VLOOKUP($A205,'The List'!$B1:$AS671,3,FALSE)," ")</f>
        <v xml:space="preserve"> </v>
      </c>
      <c r="C205" s="92" t="str" cm="1">
        <f t="array" ref="C205">IFERROR(VLOOKUP($A205,'The List'!$B1:$AS671,4,FALSE)," ")</f>
        <v xml:space="preserve"> </v>
      </c>
      <c r="D205" s="18" t="str" cm="1">
        <f t="array" ref="D205">IFERROR(VLOOKUP($A205,'The List'!$B1:$AS671,5,FALSE)," ")</f>
        <v xml:space="preserve"> </v>
      </c>
      <c r="E205" s="18" t="str" cm="1">
        <f t="array" ref="E205">IFERROR(VLOOKUP($A205,'The List'!$B1:$AS671,6,FALSE)," ")</f>
        <v xml:space="preserve"> </v>
      </c>
      <c r="F205" s="93" t="str" cm="1">
        <f t="array" ref="F205">IFERROR(VLOOKUP($A205,'The List'!$B1:$AS671,8,FALSE)," ")</f>
        <v xml:space="preserve"> </v>
      </c>
      <c r="G205" s="93" t="str" cm="1">
        <f t="array" ref="G205">IFERROR(VLOOKUP($A205,'The List'!$B1:$AS671,10,FALSE)," ")</f>
        <v xml:space="preserve"> </v>
      </c>
      <c r="H205" s="55"/>
      <c r="I205" s="85" t="str" cm="1">
        <f t="array" ref="I205">IFERROR(VLOOKUP($A205,'The List'!$B1:$AS671,16,FALSE)," ")</f>
        <v xml:space="preserve"> </v>
      </c>
      <c r="J205" s="85" t="str" cm="1">
        <f t="array" ref="J205">IFERROR(VLOOKUP($A205,'The List'!$B1:$AS671,17,FALSE)," ")</f>
        <v xml:space="preserve"> </v>
      </c>
      <c r="K205" s="85" t="str" cm="1">
        <f t="array" ref="K205">IFERROR(VLOOKUP($A205,'The List'!$B1:$AS671,18,FALSE)," ")</f>
        <v xml:space="preserve"> </v>
      </c>
      <c r="L205" s="85" t="str" cm="1">
        <f t="array" ref="L205">IFERROR(VLOOKUP($A205,'The List'!$B1:$AS671,19,FALSE)," ")</f>
        <v xml:space="preserve"> </v>
      </c>
      <c r="M205" s="85" t="str" cm="1">
        <f t="array" ref="M205">IFERROR(VLOOKUP($A205,'The List'!$B1:$AS671,20,FALSE)," ")</f>
        <v xml:space="preserve"> </v>
      </c>
      <c r="N205" s="85" t="str" cm="1">
        <f t="array" ref="N205">IFERROR(VLOOKUP($A205,'The List'!$B1:$AS671,21,FALSE)," ")</f>
        <v xml:space="preserve"> </v>
      </c>
      <c r="O205" s="85" t="str" cm="1">
        <f t="array" ref="O205">IFERROR(VLOOKUP($A205,'The List'!$B1:$AS671,22,FALSE)," ")</f>
        <v xml:space="preserve"> </v>
      </c>
      <c r="P205" s="85" t="str" cm="1">
        <f t="array" ref="P205">IFERROR(VLOOKUP($A205,'The List'!$B1:$AS671,23,FALSE)," ")</f>
        <v xml:space="preserve"> </v>
      </c>
      <c r="Q205" s="85" t="str" cm="1">
        <f t="array" ref="Q205">IFERROR(VLOOKUP($A205,'The List'!$B1:$AS671,24,FALSE)," ")</f>
        <v xml:space="preserve"> </v>
      </c>
      <c r="R205" s="85" t="str" cm="1">
        <f t="array" ref="R205">IFERROR(VLOOKUP($A205,'The List'!$B1:$AS671,25,FALSE)," ")</f>
        <v xml:space="preserve"> </v>
      </c>
      <c r="S205" s="85" t="str" cm="1">
        <f t="array" ref="S205">IFERROR(VLOOKUP($A205,'The List'!$B1:$AS671,26,FALSE)," ")</f>
        <v xml:space="preserve"> </v>
      </c>
      <c r="T205" s="85" t="str" cm="1">
        <f t="array" ref="T205">IFERROR(VLOOKUP($A205,'The List'!$B1:$AS671,27,FALSE)," ")</f>
        <v xml:space="preserve"> </v>
      </c>
      <c r="U205" s="85" t="str" cm="1">
        <f t="array" ref="U205">IFERROR(VLOOKUP($A205,'The List'!$B1:$AS671,28,FALSE)," ")</f>
        <v xml:space="preserve"> </v>
      </c>
      <c r="V205" s="85" t="str" cm="1">
        <f t="array" ref="V205">IFERROR(VLOOKUP($A205,'The List'!$B1:$AS671,29,FALSE)," ")</f>
        <v xml:space="preserve"> </v>
      </c>
      <c r="W205" s="85" t="str" cm="1">
        <f t="array" ref="W205">IFERROR(VLOOKUP($A205,'The List'!$B1:$AS671,30,FALSE)," ")</f>
        <v xml:space="preserve"> </v>
      </c>
      <c r="X205" s="85" t="str" cm="1">
        <f t="array" ref="X205">IFERROR(VLOOKUP($A205,'The List'!$B1:$AS671,31,FALSE)," ")</f>
        <v xml:space="preserve"> </v>
      </c>
      <c r="Y205" s="85" t="str" cm="1">
        <f t="array" ref="Y205">IFERROR(VLOOKUP($A205,'The List'!$B1:$AS671,32,FALSE)," ")</f>
        <v xml:space="preserve"> </v>
      </c>
      <c r="Z205" s="85" t="str" cm="1">
        <f t="array" ref="Z205">IFERROR(VLOOKUP($A205,'The List'!$B1:$AS671,33,FALSE)," ")</f>
        <v xml:space="preserve"> </v>
      </c>
      <c r="AA205" s="86"/>
      <c r="AB205" s="91"/>
      <c r="AC205" s="91"/>
      <c r="AD205" s="91"/>
      <c r="AE205" s="91"/>
      <c r="AF205" s="91"/>
    </row>
    <row r="206" spans="1:32" ht="21.25" customHeight="1" x14ac:dyDescent="0.15">
      <c r="A206" s="24"/>
      <c r="B206" s="88" t="str" cm="1">
        <f t="array" ref="B206">IFERROR(VLOOKUP($A206,'The List'!$B1:$AS671,3,FALSE)," ")</f>
        <v xml:space="preserve"> </v>
      </c>
      <c r="C206" s="92" t="str" cm="1">
        <f t="array" ref="C206">IFERROR(VLOOKUP($A206,'The List'!$B1:$AS671,4,FALSE)," ")</f>
        <v xml:space="preserve"> </v>
      </c>
      <c r="D206" s="18" t="str" cm="1">
        <f t="array" ref="D206">IFERROR(VLOOKUP($A206,'The List'!$B1:$AS671,5,FALSE)," ")</f>
        <v xml:space="preserve"> </v>
      </c>
      <c r="E206" s="18" t="str" cm="1">
        <f t="array" ref="E206">IFERROR(VLOOKUP($A206,'The List'!$B1:$AS671,6,FALSE)," ")</f>
        <v xml:space="preserve"> </v>
      </c>
      <c r="F206" s="93" t="str" cm="1">
        <f t="array" ref="F206">IFERROR(VLOOKUP($A206,'The List'!$B1:$AS671,8,FALSE)," ")</f>
        <v xml:space="preserve"> </v>
      </c>
      <c r="G206" s="93" t="str" cm="1">
        <f t="array" ref="G206">IFERROR(VLOOKUP($A206,'The List'!$B1:$AS671,10,FALSE)," ")</f>
        <v xml:space="preserve"> </v>
      </c>
      <c r="H206" s="55"/>
      <c r="I206" s="85" t="str" cm="1">
        <f t="array" ref="I206">IFERROR(VLOOKUP($A206,'The List'!$B1:$AS671,16,FALSE)," ")</f>
        <v xml:space="preserve"> </v>
      </c>
      <c r="J206" s="85" t="str" cm="1">
        <f t="array" ref="J206">IFERROR(VLOOKUP($A206,'The List'!$B1:$AS671,17,FALSE)," ")</f>
        <v xml:space="preserve"> </v>
      </c>
      <c r="K206" s="85" t="str" cm="1">
        <f t="array" ref="K206">IFERROR(VLOOKUP($A206,'The List'!$B1:$AS671,18,FALSE)," ")</f>
        <v xml:space="preserve"> </v>
      </c>
      <c r="L206" s="85" t="str" cm="1">
        <f t="array" ref="L206">IFERROR(VLOOKUP($A206,'The List'!$B1:$AS671,19,FALSE)," ")</f>
        <v xml:space="preserve"> </v>
      </c>
      <c r="M206" s="85" t="str" cm="1">
        <f t="array" ref="M206">IFERROR(VLOOKUP($A206,'The List'!$B1:$AS671,20,FALSE)," ")</f>
        <v xml:space="preserve"> </v>
      </c>
      <c r="N206" s="85" t="str" cm="1">
        <f t="array" ref="N206">IFERROR(VLOOKUP($A206,'The List'!$B1:$AS671,21,FALSE)," ")</f>
        <v xml:space="preserve"> </v>
      </c>
      <c r="O206" s="85" t="str" cm="1">
        <f t="array" ref="O206">IFERROR(VLOOKUP($A206,'The List'!$B1:$AS671,22,FALSE)," ")</f>
        <v xml:space="preserve"> </v>
      </c>
      <c r="P206" s="85" t="str" cm="1">
        <f t="array" ref="P206">IFERROR(VLOOKUP($A206,'The List'!$B1:$AS671,23,FALSE)," ")</f>
        <v xml:space="preserve"> </v>
      </c>
      <c r="Q206" s="85" t="str" cm="1">
        <f t="array" ref="Q206">IFERROR(VLOOKUP($A206,'The List'!$B1:$AS671,24,FALSE)," ")</f>
        <v xml:space="preserve"> </v>
      </c>
      <c r="R206" s="85" t="str" cm="1">
        <f t="array" ref="R206">IFERROR(VLOOKUP($A206,'The List'!$B1:$AS671,25,FALSE)," ")</f>
        <v xml:space="preserve"> </v>
      </c>
      <c r="S206" s="85" t="str" cm="1">
        <f t="array" ref="S206">IFERROR(VLOOKUP($A206,'The List'!$B1:$AS671,26,FALSE)," ")</f>
        <v xml:space="preserve"> </v>
      </c>
      <c r="T206" s="85" t="str" cm="1">
        <f t="array" ref="T206">IFERROR(VLOOKUP($A206,'The List'!$B1:$AS671,27,FALSE)," ")</f>
        <v xml:space="preserve"> </v>
      </c>
      <c r="U206" s="85" t="str" cm="1">
        <f t="array" ref="U206">IFERROR(VLOOKUP($A206,'The List'!$B1:$AS671,28,FALSE)," ")</f>
        <v xml:space="preserve"> </v>
      </c>
      <c r="V206" s="85" t="str" cm="1">
        <f t="array" ref="V206">IFERROR(VLOOKUP($A206,'The List'!$B1:$AS671,29,FALSE)," ")</f>
        <v xml:space="preserve"> </v>
      </c>
      <c r="W206" s="85" t="str" cm="1">
        <f t="array" ref="W206">IFERROR(VLOOKUP($A206,'The List'!$B1:$AS671,30,FALSE)," ")</f>
        <v xml:space="preserve"> </v>
      </c>
      <c r="X206" s="85" t="str" cm="1">
        <f t="array" ref="X206">IFERROR(VLOOKUP($A206,'The List'!$B1:$AS671,31,FALSE)," ")</f>
        <v xml:space="preserve"> </v>
      </c>
      <c r="Y206" s="85" t="str" cm="1">
        <f t="array" ref="Y206">IFERROR(VLOOKUP($A206,'The List'!$B1:$AS671,32,FALSE)," ")</f>
        <v xml:space="preserve"> </v>
      </c>
      <c r="Z206" s="85" t="str" cm="1">
        <f t="array" ref="Z206">IFERROR(VLOOKUP($A206,'The List'!$B1:$AS671,33,FALSE)," ")</f>
        <v xml:space="preserve"> </v>
      </c>
      <c r="AA206" s="86"/>
      <c r="AB206" s="91"/>
      <c r="AC206" s="91"/>
      <c r="AD206" s="91"/>
      <c r="AE206" s="91"/>
      <c r="AF206" s="91"/>
    </row>
    <row r="207" spans="1:32" ht="21.25" customHeight="1" x14ac:dyDescent="0.15">
      <c r="A207" s="24"/>
      <c r="B207" s="88" t="str" cm="1">
        <f t="array" ref="B207">IFERROR(VLOOKUP($A207,'The List'!$B1:$AS671,3,FALSE)," ")</f>
        <v xml:space="preserve"> </v>
      </c>
      <c r="C207" s="92" t="str" cm="1">
        <f t="array" ref="C207">IFERROR(VLOOKUP($A207,'The List'!$B1:$AS671,4,FALSE)," ")</f>
        <v xml:space="preserve"> </v>
      </c>
      <c r="D207" s="18" t="str" cm="1">
        <f t="array" ref="D207">IFERROR(VLOOKUP($A207,'The List'!$B1:$AS671,5,FALSE)," ")</f>
        <v xml:space="preserve"> </v>
      </c>
      <c r="E207" s="18" t="str" cm="1">
        <f t="array" ref="E207">IFERROR(VLOOKUP($A207,'The List'!$B1:$AS671,6,FALSE)," ")</f>
        <v xml:space="preserve"> </v>
      </c>
      <c r="F207" s="93" t="str" cm="1">
        <f t="array" ref="F207">IFERROR(VLOOKUP($A207,'The List'!$B1:$AS671,8,FALSE)," ")</f>
        <v xml:space="preserve"> </v>
      </c>
      <c r="G207" s="93" t="str" cm="1">
        <f t="array" ref="G207">IFERROR(VLOOKUP($A207,'The List'!$B1:$AS671,10,FALSE)," ")</f>
        <v xml:space="preserve"> </v>
      </c>
      <c r="H207" s="55"/>
      <c r="I207" s="85" t="str" cm="1">
        <f t="array" ref="I207">IFERROR(VLOOKUP($A207,'The List'!$B1:$AS671,16,FALSE)," ")</f>
        <v xml:space="preserve"> </v>
      </c>
      <c r="J207" s="85" t="str" cm="1">
        <f t="array" ref="J207">IFERROR(VLOOKUP($A207,'The List'!$B1:$AS671,17,FALSE)," ")</f>
        <v xml:space="preserve"> </v>
      </c>
      <c r="K207" s="85" t="str" cm="1">
        <f t="array" ref="K207">IFERROR(VLOOKUP($A207,'The List'!$B1:$AS671,18,FALSE)," ")</f>
        <v xml:space="preserve"> </v>
      </c>
      <c r="L207" s="85" t="str" cm="1">
        <f t="array" ref="L207">IFERROR(VLOOKUP($A207,'The List'!$B1:$AS671,19,FALSE)," ")</f>
        <v xml:space="preserve"> </v>
      </c>
      <c r="M207" s="85" t="str" cm="1">
        <f t="array" ref="M207">IFERROR(VLOOKUP($A207,'The List'!$B1:$AS671,20,FALSE)," ")</f>
        <v xml:space="preserve"> </v>
      </c>
      <c r="N207" s="85" t="str" cm="1">
        <f t="array" ref="N207">IFERROR(VLOOKUP($A207,'The List'!$B1:$AS671,21,FALSE)," ")</f>
        <v xml:space="preserve"> </v>
      </c>
      <c r="O207" s="85" t="str" cm="1">
        <f t="array" ref="O207">IFERROR(VLOOKUP($A207,'The List'!$B1:$AS671,22,FALSE)," ")</f>
        <v xml:space="preserve"> </v>
      </c>
      <c r="P207" s="85" t="str" cm="1">
        <f t="array" ref="P207">IFERROR(VLOOKUP($A207,'The List'!$B1:$AS671,23,FALSE)," ")</f>
        <v xml:space="preserve"> </v>
      </c>
      <c r="Q207" s="85" t="str" cm="1">
        <f t="array" ref="Q207">IFERROR(VLOOKUP($A207,'The List'!$B1:$AS671,24,FALSE)," ")</f>
        <v xml:space="preserve"> </v>
      </c>
      <c r="R207" s="85" t="str" cm="1">
        <f t="array" ref="R207">IFERROR(VLOOKUP($A207,'The List'!$B1:$AS671,25,FALSE)," ")</f>
        <v xml:space="preserve"> </v>
      </c>
      <c r="S207" s="85" t="str" cm="1">
        <f t="array" ref="S207">IFERROR(VLOOKUP($A207,'The List'!$B1:$AS671,26,FALSE)," ")</f>
        <v xml:space="preserve"> </v>
      </c>
      <c r="T207" s="85" t="str" cm="1">
        <f t="array" ref="T207">IFERROR(VLOOKUP($A207,'The List'!$B1:$AS671,27,FALSE)," ")</f>
        <v xml:space="preserve"> </v>
      </c>
      <c r="U207" s="85" t="str" cm="1">
        <f t="array" ref="U207">IFERROR(VLOOKUP($A207,'The List'!$B1:$AS671,28,FALSE)," ")</f>
        <v xml:space="preserve"> </v>
      </c>
      <c r="V207" s="85" t="str" cm="1">
        <f t="array" ref="V207">IFERROR(VLOOKUP($A207,'The List'!$B1:$AS671,29,FALSE)," ")</f>
        <v xml:space="preserve"> </v>
      </c>
      <c r="W207" s="85" t="str" cm="1">
        <f t="array" ref="W207">IFERROR(VLOOKUP($A207,'The List'!$B1:$AS671,30,FALSE)," ")</f>
        <v xml:space="preserve"> </v>
      </c>
      <c r="X207" s="85" t="str" cm="1">
        <f t="array" ref="X207">IFERROR(VLOOKUP($A207,'The List'!$B1:$AS671,31,FALSE)," ")</f>
        <v xml:space="preserve"> </v>
      </c>
      <c r="Y207" s="85" t="str" cm="1">
        <f t="array" ref="Y207">IFERROR(VLOOKUP($A207,'The List'!$B1:$AS671,32,FALSE)," ")</f>
        <v xml:space="preserve"> </v>
      </c>
      <c r="Z207" s="85" t="str" cm="1">
        <f t="array" ref="Z207">IFERROR(VLOOKUP($A207,'The List'!$B1:$AS671,33,FALSE)," ")</f>
        <v xml:space="preserve"> </v>
      </c>
      <c r="AA207" s="86"/>
      <c r="AB207" s="91"/>
      <c r="AC207" s="91"/>
      <c r="AD207" s="91"/>
      <c r="AE207" s="91"/>
      <c r="AF207" s="91"/>
    </row>
    <row r="208" spans="1:32" ht="21.25" customHeight="1" x14ac:dyDescent="0.15">
      <c r="A208" s="24"/>
      <c r="B208" s="88" t="str" cm="1">
        <f t="array" ref="B208">IFERROR(VLOOKUP($A208,'The List'!$B1:$AS671,3,FALSE)," ")</f>
        <v xml:space="preserve"> </v>
      </c>
      <c r="C208" s="92" t="str" cm="1">
        <f t="array" ref="C208">IFERROR(VLOOKUP($A208,'The List'!$B1:$AS671,4,FALSE)," ")</f>
        <v xml:space="preserve"> </v>
      </c>
      <c r="D208" s="18" t="str" cm="1">
        <f t="array" ref="D208">IFERROR(VLOOKUP($A208,'The List'!$B1:$AS671,5,FALSE)," ")</f>
        <v xml:space="preserve"> </v>
      </c>
      <c r="E208" s="18" t="str" cm="1">
        <f t="array" ref="E208">IFERROR(VLOOKUP($A208,'The List'!$B1:$AS671,6,FALSE)," ")</f>
        <v xml:space="preserve"> </v>
      </c>
      <c r="F208" s="93" t="str" cm="1">
        <f t="array" ref="F208">IFERROR(VLOOKUP($A208,'The List'!$B1:$AS671,8,FALSE)," ")</f>
        <v xml:space="preserve"> </v>
      </c>
      <c r="G208" s="93" t="str" cm="1">
        <f t="array" ref="G208">IFERROR(VLOOKUP($A208,'The List'!$B1:$AS671,10,FALSE)," ")</f>
        <v xml:space="preserve"> </v>
      </c>
      <c r="H208" s="55"/>
      <c r="I208" s="85" t="str" cm="1">
        <f t="array" ref="I208">IFERROR(VLOOKUP($A208,'The List'!$B1:$AS671,16,FALSE)," ")</f>
        <v xml:space="preserve"> </v>
      </c>
      <c r="J208" s="85" t="str" cm="1">
        <f t="array" ref="J208">IFERROR(VLOOKUP($A208,'The List'!$B1:$AS671,17,FALSE)," ")</f>
        <v xml:space="preserve"> </v>
      </c>
      <c r="K208" s="85" t="str" cm="1">
        <f t="array" ref="K208">IFERROR(VLOOKUP($A208,'The List'!$B1:$AS671,18,FALSE)," ")</f>
        <v xml:space="preserve"> </v>
      </c>
      <c r="L208" s="85" t="str" cm="1">
        <f t="array" ref="L208">IFERROR(VLOOKUP($A208,'The List'!$B1:$AS671,19,FALSE)," ")</f>
        <v xml:space="preserve"> </v>
      </c>
      <c r="M208" s="85" t="str" cm="1">
        <f t="array" ref="M208">IFERROR(VLOOKUP($A208,'The List'!$B1:$AS671,20,FALSE)," ")</f>
        <v xml:space="preserve"> </v>
      </c>
      <c r="N208" s="85" t="str" cm="1">
        <f t="array" ref="N208">IFERROR(VLOOKUP($A208,'The List'!$B1:$AS671,21,FALSE)," ")</f>
        <v xml:space="preserve"> </v>
      </c>
      <c r="O208" s="85" t="str" cm="1">
        <f t="array" ref="O208">IFERROR(VLOOKUP($A208,'The List'!$B1:$AS671,22,FALSE)," ")</f>
        <v xml:space="preserve"> </v>
      </c>
      <c r="P208" s="85" t="str" cm="1">
        <f t="array" ref="P208">IFERROR(VLOOKUP($A208,'The List'!$B1:$AS671,23,FALSE)," ")</f>
        <v xml:space="preserve"> </v>
      </c>
      <c r="Q208" s="85" t="str" cm="1">
        <f t="array" ref="Q208">IFERROR(VLOOKUP($A208,'The List'!$B1:$AS671,24,FALSE)," ")</f>
        <v xml:space="preserve"> </v>
      </c>
      <c r="R208" s="85" t="str" cm="1">
        <f t="array" ref="R208">IFERROR(VLOOKUP($A208,'The List'!$B1:$AS671,25,FALSE)," ")</f>
        <v xml:space="preserve"> </v>
      </c>
      <c r="S208" s="85" t="str" cm="1">
        <f t="array" ref="S208">IFERROR(VLOOKUP($A208,'The List'!$B1:$AS671,26,FALSE)," ")</f>
        <v xml:space="preserve"> </v>
      </c>
      <c r="T208" s="85" t="str" cm="1">
        <f t="array" ref="T208">IFERROR(VLOOKUP($A208,'The List'!$B1:$AS671,27,FALSE)," ")</f>
        <v xml:space="preserve"> </v>
      </c>
      <c r="U208" s="85" t="str" cm="1">
        <f t="array" ref="U208">IFERROR(VLOOKUP($A208,'The List'!$B1:$AS671,28,FALSE)," ")</f>
        <v xml:space="preserve"> </v>
      </c>
      <c r="V208" s="85" t="str" cm="1">
        <f t="array" ref="V208">IFERROR(VLOOKUP($A208,'The List'!$B1:$AS671,29,FALSE)," ")</f>
        <v xml:space="preserve"> </v>
      </c>
      <c r="W208" s="85" t="str" cm="1">
        <f t="array" ref="W208">IFERROR(VLOOKUP($A208,'The List'!$B1:$AS671,30,FALSE)," ")</f>
        <v xml:space="preserve"> </v>
      </c>
      <c r="X208" s="85" t="str" cm="1">
        <f t="array" ref="X208">IFERROR(VLOOKUP($A208,'The List'!$B1:$AS671,31,FALSE)," ")</f>
        <v xml:space="preserve"> </v>
      </c>
      <c r="Y208" s="85" t="str" cm="1">
        <f t="array" ref="Y208">IFERROR(VLOOKUP($A208,'The List'!$B1:$AS671,32,FALSE)," ")</f>
        <v xml:space="preserve"> </v>
      </c>
      <c r="Z208" s="85" t="str" cm="1">
        <f t="array" ref="Z208">IFERROR(VLOOKUP($A208,'The List'!$B1:$AS671,33,FALSE)," ")</f>
        <v xml:space="preserve"> </v>
      </c>
      <c r="AA208" s="86"/>
      <c r="AB208" s="91"/>
      <c r="AC208" s="91"/>
      <c r="AD208" s="91"/>
      <c r="AE208" s="91"/>
      <c r="AF208" s="91"/>
    </row>
    <row r="209" spans="1:32" ht="21.25" customHeight="1" x14ac:dyDescent="0.15">
      <c r="A209" s="24"/>
      <c r="B209" s="94" t="str" cm="1">
        <f t="array" ref="B209">IFERROR(VLOOKUP($A209,'The List'!$B1:$AS671,3,FALSE)," ")</f>
        <v xml:space="preserve"> </v>
      </c>
      <c r="C209" s="96" t="str" cm="1">
        <f t="array" ref="C209">IFERROR(VLOOKUP($A209,'The List'!$B1:$AS671,4,FALSE)," ")</f>
        <v xml:space="preserve"> </v>
      </c>
      <c r="D209" s="18" t="str" cm="1">
        <f t="array" ref="D209">IFERROR(VLOOKUP($A209,'The List'!$B1:$AS671,5,FALSE)," ")</f>
        <v xml:space="preserve"> </v>
      </c>
      <c r="E209" s="18" t="str" cm="1">
        <f t="array" ref="E209">IFERROR(VLOOKUP($A209,'The List'!$B1:$AS671,6,FALSE)," ")</f>
        <v xml:space="preserve"> </v>
      </c>
      <c r="F209" s="93" t="str" cm="1">
        <f t="array" ref="F209">IFERROR(VLOOKUP($A209,'The List'!$B1:$AS671,8,FALSE)," ")</f>
        <v xml:space="preserve"> </v>
      </c>
      <c r="G209" s="93" t="str" cm="1">
        <f t="array" ref="G209">IFERROR(VLOOKUP($A209,'The List'!$B1:$AS671,10,FALSE)," ")</f>
        <v xml:space="preserve"> </v>
      </c>
      <c r="H209" s="55"/>
      <c r="I209" s="85" t="str" cm="1">
        <f t="array" ref="I209">IFERROR(VLOOKUP($A209,'The List'!$B1:$AS671,16,FALSE)," ")</f>
        <v xml:space="preserve"> </v>
      </c>
      <c r="J209" s="85" t="str" cm="1">
        <f t="array" ref="J209">IFERROR(VLOOKUP($A209,'The List'!$B1:$AS671,17,FALSE)," ")</f>
        <v xml:space="preserve"> </v>
      </c>
      <c r="K209" s="85" t="str" cm="1">
        <f t="array" ref="K209">IFERROR(VLOOKUP($A209,'The List'!$B1:$AS671,18,FALSE)," ")</f>
        <v xml:space="preserve"> </v>
      </c>
      <c r="L209" s="85" t="str" cm="1">
        <f t="array" ref="L209">IFERROR(VLOOKUP($A209,'The List'!$B1:$AS671,19,FALSE)," ")</f>
        <v xml:space="preserve"> </v>
      </c>
      <c r="M209" s="85" t="str" cm="1">
        <f t="array" ref="M209">IFERROR(VLOOKUP($A209,'The List'!$B1:$AS671,20,FALSE)," ")</f>
        <v xml:space="preserve"> </v>
      </c>
      <c r="N209" s="85" t="str" cm="1">
        <f t="array" ref="N209">IFERROR(VLOOKUP($A209,'The List'!$B1:$AS671,21,FALSE)," ")</f>
        <v xml:space="preserve"> </v>
      </c>
      <c r="O209" s="85" t="str" cm="1">
        <f t="array" ref="O209">IFERROR(VLOOKUP($A209,'The List'!$B1:$AS671,22,FALSE)," ")</f>
        <v xml:space="preserve"> </v>
      </c>
      <c r="P209" s="85" t="str" cm="1">
        <f t="array" ref="P209">IFERROR(VLOOKUP($A209,'The List'!$B1:$AS671,23,FALSE)," ")</f>
        <v xml:space="preserve"> </v>
      </c>
      <c r="Q209" s="85" t="str" cm="1">
        <f t="array" ref="Q209">IFERROR(VLOOKUP($A209,'The List'!$B1:$AS671,24,FALSE)," ")</f>
        <v xml:space="preserve"> </v>
      </c>
      <c r="R209" s="85" t="str" cm="1">
        <f t="array" ref="R209">IFERROR(VLOOKUP($A209,'The List'!$B1:$AS671,25,FALSE)," ")</f>
        <v xml:space="preserve"> </v>
      </c>
      <c r="S209" s="85" t="str" cm="1">
        <f t="array" ref="S209">IFERROR(VLOOKUP($A209,'The List'!$B1:$AS671,26,FALSE)," ")</f>
        <v xml:space="preserve"> </v>
      </c>
      <c r="T209" s="85" t="str" cm="1">
        <f t="array" ref="T209">IFERROR(VLOOKUP($A209,'The List'!$B1:$AS671,27,FALSE)," ")</f>
        <v xml:space="preserve"> </v>
      </c>
      <c r="U209" s="85" t="str" cm="1">
        <f t="array" ref="U209">IFERROR(VLOOKUP($A209,'The List'!$B1:$AS671,28,FALSE)," ")</f>
        <v xml:space="preserve"> </v>
      </c>
      <c r="V209" s="85" t="str" cm="1">
        <f t="array" ref="V209">IFERROR(VLOOKUP($A209,'The List'!$B1:$AS671,29,FALSE)," ")</f>
        <v xml:space="preserve"> </v>
      </c>
      <c r="W209" s="85" t="str" cm="1">
        <f t="array" ref="W209">IFERROR(VLOOKUP($A209,'The List'!$B1:$AS671,30,FALSE)," ")</f>
        <v xml:space="preserve"> </v>
      </c>
      <c r="X209" s="85" t="str" cm="1">
        <f t="array" ref="X209">IFERROR(VLOOKUP($A209,'The List'!$B1:$AS671,31,FALSE)," ")</f>
        <v xml:space="preserve"> </v>
      </c>
      <c r="Y209" s="85" t="str" cm="1">
        <f t="array" ref="Y209">IFERROR(VLOOKUP($A209,'The List'!$B1:$AS671,32,FALSE)," ")</f>
        <v xml:space="preserve"> </v>
      </c>
      <c r="Z209" s="85" t="str" cm="1">
        <f t="array" ref="Z209">IFERROR(VLOOKUP($A209,'The List'!$B1:$AS671,33,FALSE)," ")</f>
        <v xml:space="preserve"> </v>
      </c>
      <c r="AA209" s="86"/>
      <c r="AB209" s="91"/>
      <c r="AC209" s="91"/>
      <c r="AD209" s="91"/>
      <c r="AE209" s="91"/>
      <c r="AF209" s="91"/>
    </row>
    <row r="210" spans="1:32" ht="21.25" customHeight="1" x14ac:dyDescent="0.15">
      <c r="A210" s="24"/>
      <c r="B210" s="94" t="str" cm="1">
        <f t="array" ref="B210">IFERROR(VLOOKUP($A210,'The List'!$B1:$AS671,3,FALSE)," ")</f>
        <v xml:space="preserve"> </v>
      </c>
      <c r="C210" s="96" t="str" cm="1">
        <f t="array" ref="C210">IFERROR(VLOOKUP($A210,'The List'!$B1:$AS671,4,FALSE)," ")</f>
        <v xml:space="preserve"> </v>
      </c>
      <c r="D210" s="18" t="str" cm="1">
        <f t="array" ref="D210">IFERROR(VLOOKUP($A210,'The List'!$B1:$AS671,5,FALSE)," ")</f>
        <v xml:space="preserve"> </v>
      </c>
      <c r="E210" s="18" t="str" cm="1">
        <f t="array" ref="E210">IFERROR(VLOOKUP($A210,'The List'!$B1:$AS671,6,FALSE)," ")</f>
        <v xml:space="preserve"> </v>
      </c>
      <c r="F210" s="93" t="str" cm="1">
        <f t="array" ref="F210">IFERROR(VLOOKUP($A210,'The List'!$B1:$AS671,8,FALSE)," ")</f>
        <v xml:space="preserve"> </v>
      </c>
      <c r="G210" s="93" t="str" cm="1">
        <f t="array" ref="G210">IFERROR(VLOOKUP($A210,'The List'!$B1:$AS671,10,FALSE)," ")</f>
        <v xml:space="preserve"> </v>
      </c>
      <c r="H210" s="55"/>
      <c r="I210" s="85" t="str" cm="1">
        <f t="array" ref="I210">IFERROR(VLOOKUP($A210,'The List'!$B1:$AS671,16,FALSE)," ")</f>
        <v xml:space="preserve"> </v>
      </c>
      <c r="J210" s="85" t="str" cm="1">
        <f t="array" ref="J210">IFERROR(VLOOKUP($A210,'The List'!$B1:$AS671,17,FALSE)," ")</f>
        <v xml:space="preserve"> </v>
      </c>
      <c r="K210" s="85" t="str" cm="1">
        <f t="array" ref="K210">IFERROR(VLOOKUP($A210,'The List'!$B1:$AS671,18,FALSE)," ")</f>
        <v xml:space="preserve"> </v>
      </c>
      <c r="L210" s="85" t="str" cm="1">
        <f t="array" ref="L210">IFERROR(VLOOKUP($A210,'The List'!$B1:$AS671,19,FALSE)," ")</f>
        <v xml:space="preserve"> </v>
      </c>
      <c r="M210" s="85" t="str" cm="1">
        <f t="array" ref="M210">IFERROR(VLOOKUP($A210,'The List'!$B1:$AS671,20,FALSE)," ")</f>
        <v xml:space="preserve"> </v>
      </c>
      <c r="N210" s="85" t="str" cm="1">
        <f t="array" ref="N210">IFERROR(VLOOKUP($A210,'The List'!$B1:$AS671,21,FALSE)," ")</f>
        <v xml:space="preserve"> </v>
      </c>
      <c r="O210" s="85" t="str" cm="1">
        <f t="array" ref="O210">IFERROR(VLOOKUP($A210,'The List'!$B1:$AS671,22,FALSE)," ")</f>
        <v xml:space="preserve"> </v>
      </c>
      <c r="P210" s="85" t="str" cm="1">
        <f t="array" ref="P210">IFERROR(VLOOKUP($A210,'The List'!$B1:$AS671,23,FALSE)," ")</f>
        <v xml:space="preserve"> </v>
      </c>
      <c r="Q210" s="85" t="str" cm="1">
        <f t="array" ref="Q210">IFERROR(VLOOKUP($A210,'The List'!$B1:$AS671,24,FALSE)," ")</f>
        <v xml:space="preserve"> </v>
      </c>
      <c r="R210" s="85" t="str" cm="1">
        <f t="array" ref="R210">IFERROR(VLOOKUP($A210,'The List'!$B1:$AS671,25,FALSE)," ")</f>
        <v xml:space="preserve"> </v>
      </c>
      <c r="S210" s="85" t="str" cm="1">
        <f t="array" ref="S210">IFERROR(VLOOKUP($A210,'The List'!$B1:$AS671,26,FALSE)," ")</f>
        <v xml:space="preserve"> </v>
      </c>
      <c r="T210" s="85" t="str" cm="1">
        <f t="array" ref="T210">IFERROR(VLOOKUP($A210,'The List'!$B1:$AS671,27,FALSE)," ")</f>
        <v xml:space="preserve"> </v>
      </c>
      <c r="U210" s="85" t="str" cm="1">
        <f t="array" ref="U210">IFERROR(VLOOKUP($A210,'The List'!$B1:$AS671,28,FALSE)," ")</f>
        <v xml:space="preserve"> </v>
      </c>
      <c r="V210" s="85" t="str" cm="1">
        <f t="array" ref="V210">IFERROR(VLOOKUP($A210,'The List'!$B1:$AS671,29,FALSE)," ")</f>
        <v xml:space="preserve"> </v>
      </c>
      <c r="W210" s="85" t="str" cm="1">
        <f t="array" ref="W210">IFERROR(VLOOKUP($A210,'The List'!$B1:$AS671,30,FALSE)," ")</f>
        <v xml:space="preserve"> </v>
      </c>
      <c r="X210" s="85" t="str" cm="1">
        <f t="array" ref="X210">IFERROR(VLOOKUP($A210,'The List'!$B1:$AS671,31,FALSE)," ")</f>
        <v xml:space="preserve"> </v>
      </c>
      <c r="Y210" s="85" t="str" cm="1">
        <f t="array" ref="Y210">IFERROR(VLOOKUP($A210,'The List'!$B1:$AS671,32,FALSE)," ")</f>
        <v xml:space="preserve"> </v>
      </c>
      <c r="Z210" s="85" t="str" cm="1">
        <f t="array" ref="Z210">IFERROR(VLOOKUP($A210,'The List'!$B1:$AS671,33,FALSE)," ")</f>
        <v xml:space="preserve"> </v>
      </c>
      <c r="AA210" s="86"/>
      <c r="AB210" s="91"/>
      <c r="AC210" s="91"/>
      <c r="AD210" s="91"/>
      <c r="AE210" s="91"/>
      <c r="AF210" s="91"/>
    </row>
    <row r="211" spans="1:32" ht="21.25" customHeight="1" x14ac:dyDescent="0.15">
      <c r="A211" s="24"/>
      <c r="B211" s="94" t="str" cm="1">
        <f t="array" ref="B211">IFERROR(VLOOKUP($A211,'The List'!$B1:$AS671,3,FALSE)," ")</f>
        <v xml:space="preserve"> </v>
      </c>
      <c r="C211" s="96" t="str" cm="1">
        <f t="array" ref="C211">IFERROR(VLOOKUP($A211,'The List'!$B1:$AS671,4,FALSE)," ")</f>
        <v xml:space="preserve"> </v>
      </c>
      <c r="D211" s="18" t="str" cm="1">
        <f t="array" ref="D211">IFERROR(VLOOKUP($A211,'The List'!$B1:$AS671,5,FALSE)," ")</f>
        <v xml:space="preserve"> </v>
      </c>
      <c r="E211" s="18" t="str" cm="1">
        <f t="array" ref="E211">IFERROR(VLOOKUP($A211,'The List'!$B1:$AS671,6,FALSE)," ")</f>
        <v xml:space="preserve"> </v>
      </c>
      <c r="F211" s="93" t="str" cm="1">
        <f t="array" ref="F211">IFERROR(VLOOKUP($A211,'The List'!$B1:$AS671,8,FALSE)," ")</f>
        <v xml:space="preserve"> </v>
      </c>
      <c r="G211" s="93" t="str" cm="1">
        <f t="array" ref="G211">IFERROR(VLOOKUP($A211,'The List'!$B1:$AS671,10,FALSE)," ")</f>
        <v xml:space="preserve"> </v>
      </c>
      <c r="H211" s="55"/>
      <c r="I211" s="85" t="str" cm="1">
        <f t="array" ref="I211">IFERROR(VLOOKUP($A211,'The List'!$B1:$AS671,16,FALSE)," ")</f>
        <v xml:space="preserve"> </v>
      </c>
      <c r="J211" s="85" t="str" cm="1">
        <f t="array" ref="J211">IFERROR(VLOOKUP($A211,'The List'!$B1:$AS671,17,FALSE)," ")</f>
        <v xml:space="preserve"> </v>
      </c>
      <c r="K211" s="85" t="str" cm="1">
        <f t="array" ref="K211">IFERROR(VLOOKUP($A211,'The List'!$B1:$AS671,18,FALSE)," ")</f>
        <v xml:space="preserve"> </v>
      </c>
      <c r="L211" s="85" t="str" cm="1">
        <f t="array" ref="L211">IFERROR(VLOOKUP($A211,'The List'!$B1:$AS671,19,FALSE)," ")</f>
        <v xml:space="preserve"> </v>
      </c>
      <c r="M211" s="85" t="str" cm="1">
        <f t="array" ref="M211">IFERROR(VLOOKUP($A211,'The List'!$B1:$AS671,20,FALSE)," ")</f>
        <v xml:space="preserve"> </v>
      </c>
      <c r="N211" s="85" t="str" cm="1">
        <f t="array" ref="N211">IFERROR(VLOOKUP($A211,'The List'!$B1:$AS671,21,FALSE)," ")</f>
        <v xml:space="preserve"> </v>
      </c>
      <c r="O211" s="85" t="str" cm="1">
        <f t="array" ref="O211">IFERROR(VLOOKUP($A211,'The List'!$B1:$AS671,22,FALSE)," ")</f>
        <v xml:space="preserve"> </v>
      </c>
      <c r="P211" s="85" t="str" cm="1">
        <f t="array" ref="P211">IFERROR(VLOOKUP($A211,'The List'!$B1:$AS671,23,FALSE)," ")</f>
        <v xml:space="preserve"> </v>
      </c>
      <c r="Q211" s="85" t="str" cm="1">
        <f t="array" ref="Q211">IFERROR(VLOOKUP($A211,'The List'!$B1:$AS671,24,FALSE)," ")</f>
        <v xml:space="preserve"> </v>
      </c>
      <c r="R211" s="85" t="str" cm="1">
        <f t="array" ref="R211">IFERROR(VLOOKUP($A211,'The List'!$B1:$AS671,25,FALSE)," ")</f>
        <v xml:space="preserve"> </v>
      </c>
      <c r="S211" s="85" t="str" cm="1">
        <f t="array" ref="S211">IFERROR(VLOOKUP($A211,'The List'!$B1:$AS671,26,FALSE)," ")</f>
        <v xml:space="preserve"> </v>
      </c>
      <c r="T211" s="85" t="str" cm="1">
        <f t="array" ref="T211">IFERROR(VLOOKUP($A211,'The List'!$B1:$AS671,27,FALSE)," ")</f>
        <v xml:space="preserve"> </v>
      </c>
      <c r="U211" s="85" t="str" cm="1">
        <f t="array" ref="U211">IFERROR(VLOOKUP($A211,'The List'!$B1:$AS671,28,FALSE)," ")</f>
        <v xml:space="preserve"> </v>
      </c>
      <c r="V211" s="85" t="str" cm="1">
        <f t="array" ref="V211">IFERROR(VLOOKUP($A211,'The List'!$B1:$AS671,29,FALSE)," ")</f>
        <v xml:space="preserve"> </v>
      </c>
      <c r="W211" s="85" t="str" cm="1">
        <f t="array" ref="W211">IFERROR(VLOOKUP($A211,'The List'!$B1:$AS671,30,FALSE)," ")</f>
        <v xml:space="preserve"> </v>
      </c>
      <c r="X211" s="85" t="str" cm="1">
        <f t="array" ref="X211">IFERROR(VLOOKUP($A211,'The List'!$B1:$AS671,31,FALSE)," ")</f>
        <v xml:space="preserve"> </v>
      </c>
      <c r="Y211" s="85" t="str" cm="1">
        <f t="array" ref="Y211">IFERROR(VLOOKUP($A211,'The List'!$B1:$AS671,32,FALSE)," ")</f>
        <v xml:space="preserve"> </v>
      </c>
      <c r="Z211" s="85" t="str" cm="1">
        <f t="array" ref="Z211">IFERROR(VLOOKUP($A211,'The List'!$B1:$AS671,33,FALSE)," ")</f>
        <v xml:space="preserve"> </v>
      </c>
      <c r="AA211" s="86"/>
      <c r="AB211" s="91"/>
      <c r="AC211" s="91"/>
      <c r="AD211" s="91"/>
      <c r="AE211" s="91"/>
      <c r="AF211" s="91"/>
    </row>
    <row r="212" spans="1:32" ht="21.25" customHeight="1" x14ac:dyDescent="0.15">
      <c r="A212" s="24"/>
      <c r="B212" s="94" t="str" cm="1">
        <f t="array" ref="B212">IFERROR(VLOOKUP($A212,'The List'!$B1:$AS671,3,FALSE)," ")</f>
        <v xml:space="preserve"> </v>
      </c>
      <c r="C212" s="96" t="str" cm="1">
        <f t="array" ref="C212">IFERROR(VLOOKUP($A212,'The List'!$B1:$AS671,4,FALSE)," ")</f>
        <v xml:space="preserve"> </v>
      </c>
      <c r="D212" s="18" t="str" cm="1">
        <f t="array" ref="D212">IFERROR(VLOOKUP($A212,'The List'!$B1:$AS671,5,FALSE)," ")</f>
        <v xml:space="preserve"> </v>
      </c>
      <c r="E212" s="18" t="str" cm="1">
        <f t="array" ref="E212">IFERROR(VLOOKUP($A212,'The List'!$B1:$AS671,6,FALSE)," ")</f>
        <v xml:space="preserve"> </v>
      </c>
      <c r="F212" s="93" t="str" cm="1">
        <f t="array" ref="F212">IFERROR(VLOOKUP($A212,'The List'!$B1:$AS671,8,FALSE)," ")</f>
        <v xml:space="preserve"> </v>
      </c>
      <c r="G212" s="93" t="str" cm="1">
        <f t="array" ref="G212">IFERROR(VLOOKUP($A212,'The List'!$B1:$AS671,10,FALSE)," ")</f>
        <v xml:space="preserve"> </v>
      </c>
      <c r="H212" s="55"/>
      <c r="I212" s="85" t="str" cm="1">
        <f t="array" ref="I212">IFERROR(VLOOKUP($A212,'The List'!$B1:$AS671,16,FALSE)," ")</f>
        <v xml:space="preserve"> </v>
      </c>
      <c r="J212" s="85" t="str" cm="1">
        <f t="array" ref="J212">IFERROR(VLOOKUP($A212,'The List'!$B1:$AS671,17,FALSE)," ")</f>
        <v xml:space="preserve"> </v>
      </c>
      <c r="K212" s="85" t="str" cm="1">
        <f t="array" ref="K212">IFERROR(VLOOKUP($A212,'The List'!$B1:$AS671,18,FALSE)," ")</f>
        <v xml:space="preserve"> </v>
      </c>
      <c r="L212" s="85" t="str" cm="1">
        <f t="array" ref="L212">IFERROR(VLOOKUP($A212,'The List'!$B1:$AS671,19,FALSE)," ")</f>
        <v xml:space="preserve"> </v>
      </c>
      <c r="M212" s="85" t="str" cm="1">
        <f t="array" ref="M212">IFERROR(VLOOKUP($A212,'The List'!$B1:$AS671,20,FALSE)," ")</f>
        <v xml:space="preserve"> </v>
      </c>
      <c r="N212" s="85" t="str" cm="1">
        <f t="array" ref="N212">IFERROR(VLOOKUP($A212,'The List'!$B1:$AS671,21,FALSE)," ")</f>
        <v xml:space="preserve"> </v>
      </c>
      <c r="O212" s="85" t="str" cm="1">
        <f t="array" ref="O212">IFERROR(VLOOKUP($A212,'The List'!$B1:$AS671,22,FALSE)," ")</f>
        <v xml:space="preserve"> </v>
      </c>
      <c r="P212" s="85" t="str" cm="1">
        <f t="array" ref="P212">IFERROR(VLOOKUP($A212,'The List'!$B1:$AS671,23,FALSE)," ")</f>
        <v xml:space="preserve"> </v>
      </c>
      <c r="Q212" s="85" t="str" cm="1">
        <f t="array" ref="Q212">IFERROR(VLOOKUP($A212,'The List'!$B1:$AS671,24,FALSE)," ")</f>
        <v xml:space="preserve"> </v>
      </c>
      <c r="R212" s="85" t="str" cm="1">
        <f t="array" ref="R212">IFERROR(VLOOKUP($A212,'The List'!$B1:$AS671,25,FALSE)," ")</f>
        <v xml:space="preserve"> </v>
      </c>
      <c r="S212" s="85" t="str" cm="1">
        <f t="array" ref="S212">IFERROR(VLOOKUP($A212,'The List'!$B1:$AS671,26,FALSE)," ")</f>
        <v xml:space="preserve"> </v>
      </c>
      <c r="T212" s="85" t="str" cm="1">
        <f t="array" ref="T212">IFERROR(VLOOKUP($A212,'The List'!$B1:$AS671,27,FALSE)," ")</f>
        <v xml:space="preserve"> </v>
      </c>
      <c r="U212" s="85" t="str" cm="1">
        <f t="array" ref="U212">IFERROR(VLOOKUP($A212,'The List'!$B1:$AS671,28,FALSE)," ")</f>
        <v xml:space="preserve"> </v>
      </c>
      <c r="V212" s="85" t="str" cm="1">
        <f t="array" ref="V212">IFERROR(VLOOKUP($A212,'The List'!$B1:$AS671,29,FALSE)," ")</f>
        <v xml:space="preserve"> </v>
      </c>
      <c r="W212" s="85" t="str" cm="1">
        <f t="array" ref="W212">IFERROR(VLOOKUP($A212,'The List'!$B1:$AS671,30,FALSE)," ")</f>
        <v xml:space="preserve"> </v>
      </c>
      <c r="X212" s="85" t="str" cm="1">
        <f t="array" ref="X212">IFERROR(VLOOKUP($A212,'The List'!$B1:$AS671,31,FALSE)," ")</f>
        <v xml:space="preserve"> </v>
      </c>
      <c r="Y212" s="85" t="str" cm="1">
        <f t="array" ref="Y212">IFERROR(VLOOKUP($A212,'The List'!$B1:$AS671,32,FALSE)," ")</f>
        <v xml:space="preserve"> </v>
      </c>
      <c r="Z212" s="85" t="str" cm="1">
        <f t="array" ref="Z212">IFERROR(VLOOKUP($A212,'The List'!$B1:$AS671,33,FALSE)," ")</f>
        <v xml:space="preserve"> </v>
      </c>
      <c r="AA212" s="86"/>
      <c r="AB212" s="91"/>
      <c r="AC212" s="91"/>
      <c r="AD212" s="91"/>
      <c r="AE212" s="91"/>
      <c r="AF212" s="91"/>
    </row>
    <row r="213" spans="1:32" ht="21.25" customHeight="1" x14ac:dyDescent="0.15">
      <c r="A213" s="24"/>
      <c r="B213" s="97" t="str" cm="1">
        <f t="array" ref="B213">IFERROR(VLOOKUP($A213,'The List'!$B1:$AS671,3,FALSE)," ")</f>
        <v xml:space="preserve"> </v>
      </c>
      <c r="C213" s="99" t="str" cm="1">
        <f t="array" ref="C213">IFERROR(VLOOKUP($A213,'The List'!$B1:$AS671,4,FALSE)," ")</f>
        <v xml:space="preserve"> </v>
      </c>
      <c r="D213" s="18" t="str" cm="1">
        <f t="array" ref="D213">IFERROR(VLOOKUP($A213,'The List'!$B1:$AS671,5,FALSE)," ")</f>
        <v xml:space="preserve"> </v>
      </c>
      <c r="E213" s="18" t="str" cm="1">
        <f t="array" ref="E213">IFERROR(VLOOKUP($A213,'The List'!$B1:$AS671,6,FALSE)," ")</f>
        <v xml:space="preserve"> </v>
      </c>
      <c r="F213" s="93" t="str" cm="1">
        <f t="array" ref="F213">IFERROR(VLOOKUP($A213,'The List'!$B1:$AS671,8,FALSE)," ")</f>
        <v xml:space="preserve"> </v>
      </c>
      <c r="G213" s="93" t="str" cm="1">
        <f t="array" ref="G213">IFERROR(VLOOKUP($A213,'The List'!$B1:$AS671,10,FALSE)," ")</f>
        <v xml:space="preserve"> </v>
      </c>
      <c r="H213" s="55"/>
      <c r="I213" s="85" t="str" cm="1">
        <f t="array" ref="I213">IFERROR(VLOOKUP($A213,'The List'!$B1:$AS671,16,FALSE)," ")</f>
        <v xml:space="preserve"> </v>
      </c>
      <c r="J213" s="85" t="str" cm="1">
        <f t="array" ref="J213">IFERROR(VLOOKUP($A213,'The List'!$B1:$AS671,17,FALSE)," ")</f>
        <v xml:space="preserve"> </v>
      </c>
      <c r="K213" s="85" t="str" cm="1">
        <f t="array" ref="K213">IFERROR(VLOOKUP($A213,'The List'!$B1:$AS671,18,FALSE)," ")</f>
        <v xml:space="preserve"> </v>
      </c>
      <c r="L213" s="85" t="str" cm="1">
        <f t="array" ref="L213">IFERROR(VLOOKUP($A213,'The List'!$B1:$AS671,19,FALSE)," ")</f>
        <v xml:space="preserve"> </v>
      </c>
      <c r="M213" s="85" t="str" cm="1">
        <f t="array" ref="M213">IFERROR(VLOOKUP($A213,'The List'!$B1:$AS671,20,FALSE)," ")</f>
        <v xml:space="preserve"> </v>
      </c>
      <c r="N213" s="85" t="str" cm="1">
        <f t="array" ref="N213">IFERROR(VLOOKUP($A213,'The List'!$B1:$AS671,21,FALSE)," ")</f>
        <v xml:space="preserve"> </v>
      </c>
      <c r="O213" s="85" t="str" cm="1">
        <f t="array" ref="O213">IFERROR(VLOOKUP($A213,'The List'!$B1:$AS671,22,FALSE)," ")</f>
        <v xml:space="preserve"> </v>
      </c>
      <c r="P213" s="85" t="str" cm="1">
        <f t="array" ref="P213">IFERROR(VLOOKUP($A213,'The List'!$B1:$AS671,23,FALSE)," ")</f>
        <v xml:space="preserve"> </v>
      </c>
      <c r="Q213" s="85" t="str" cm="1">
        <f t="array" ref="Q213">IFERROR(VLOOKUP($A213,'The List'!$B1:$AS671,24,FALSE)," ")</f>
        <v xml:space="preserve"> </v>
      </c>
      <c r="R213" s="85" t="str" cm="1">
        <f t="array" ref="R213">IFERROR(VLOOKUP($A213,'The List'!$B1:$AS671,25,FALSE)," ")</f>
        <v xml:space="preserve"> </v>
      </c>
      <c r="S213" s="85" t="str" cm="1">
        <f t="array" ref="S213">IFERROR(VLOOKUP($A213,'The List'!$B1:$AS671,26,FALSE)," ")</f>
        <v xml:space="preserve"> </v>
      </c>
      <c r="T213" s="85" t="str" cm="1">
        <f t="array" ref="T213">IFERROR(VLOOKUP($A213,'The List'!$B1:$AS671,27,FALSE)," ")</f>
        <v xml:space="preserve"> </v>
      </c>
      <c r="U213" s="85" t="str" cm="1">
        <f t="array" ref="U213">IFERROR(VLOOKUP($A213,'The List'!$B1:$AS671,28,FALSE)," ")</f>
        <v xml:space="preserve"> </v>
      </c>
      <c r="V213" s="85" t="str" cm="1">
        <f t="array" ref="V213">IFERROR(VLOOKUP($A213,'The List'!$B1:$AS671,29,FALSE)," ")</f>
        <v xml:space="preserve"> </v>
      </c>
      <c r="W213" s="85" t="str" cm="1">
        <f t="array" ref="W213">IFERROR(VLOOKUP($A213,'The List'!$B1:$AS671,30,FALSE)," ")</f>
        <v xml:space="preserve"> </v>
      </c>
      <c r="X213" s="85" t="str" cm="1">
        <f t="array" ref="X213">IFERROR(VLOOKUP($A213,'The List'!$B1:$AS671,31,FALSE)," ")</f>
        <v xml:space="preserve"> </v>
      </c>
      <c r="Y213" s="85" t="str" cm="1">
        <f t="array" ref="Y213">IFERROR(VLOOKUP($A213,'The List'!$B1:$AS671,32,FALSE)," ")</f>
        <v xml:space="preserve"> </v>
      </c>
      <c r="Z213" s="85" t="str" cm="1">
        <f t="array" ref="Z213">IFERROR(VLOOKUP($A213,'The List'!$B1:$AS671,33,FALSE)," ")</f>
        <v xml:space="preserve"> </v>
      </c>
      <c r="AA213" s="86"/>
      <c r="AB213" s="91"/>
      <c r="AC213" s="91"/>
      <c r="AD213" s="91"/>
      <c r="AE213" s="91"/>
      <c r="AF213" s="91"/>
    </row>
    <row r="214" spans="1:32" ht="21.25" customHeight="1" x14ac:dyDescent="0.15">
      <c r="A214" s="24"/>
      <c r="B214" s="97" t="str" cm="1">
        <f t="array" ref="B214">IFERROR(VLOOKUP($A214,'The List'!$B1:$AS671,3,FALSE)," ")</f>
        <v xml:space="preserve"> </v>
      </c>
      <c r="C214" s="99" t="str" cm="1">
        <f t="array" ref="C214">IFERROR(VLOOKUP($A214,'The List'!$B1:$AS671,4,FALSE)," ")</f>
        <v xml:space="preserve"> </v>
      </c>
      <c r="D214" s="18" t="str" cm="1">
        <f t="array" ref="D214">IFERROR(VLOOKUP($A214,'The List'!$B1:$AS671,5,FALSE)," ")</f>
        <v xml:space="preserve"> </v>
      </c>
      <c r="E214" s="18" t="str" cm="1">
        <f t="array" ref="E214">IFERROR(VLOOKUP($A214,'The List'!$B1:$AS671,6,FALSE)," ")</f>
        <v xml:space="preserve"> </v>
      </c>
      <c r="F214" s="93" t="str" cm="1">
        <f t="array" ref="F214">IFERROR(VLOOKUP($A214,'The List'!$B1:$AS671,8,FALSE)," ")</f>
        <v xml:space="preserve"> </v>
      </c>
      <c r="G214" s="93" t="str" cm="1">
        <f t="array" ref="G214">IFERROR(VLOOKUP($A214,'The List'!$B1:$AS671,10,FALSE)," ")</f>
        <v xml:space="preserve"> </v>
      </c>
      <c r="H214" s="55"/>
      <c r="I214" s="85" t="str" cm="1">
        <f t="array" ref="I214">IFERROR(VLOOKUP($A214,'The List'!$B1:$AS671,16,FALSE)," ")</f>
        <v xml:space="preserve"> </v>
      </c>
      <c r="J214" s="85" t="str" cm="1">
        <f t="array" ref="J214">IFERROR(VLOOKUP($A214,'The List'!$B1:$AS671,17,FALSE)," ")</f>
        <v xml:space="preserve"> </v>
      </c>
      <c r="K214" s="85" t="str" cm="1">
        <f t="array" ref="K214">IFERROR(VLOOKUP($A214,'The List'!$B1:$AS671,18,FALSE)," ")</f>
        <v xml:space="preserve"> </v>
      </c>
      <c r="L214" s="85" t="str" cm="1">
        <f t="array" ref="L214">IFERROR(VLOOKUP($A214,'The List'!$B1:$AS671,19,FALSE)," ")</f>
        <v xml:space="preserve"> </v>
      </c>
      <c r="M214" s="85" t="str" cm="1">
        <f t="array" ref="M214">IFERROR(VLOOKUP($A214,'The List'!$B1:$AS671,20,FALSE)," ")</f>
        <v xml:space="preserve"> </v>
      </c>
      <c r="N214" s="85" t="str" cm="1">
        <f t="array" ref="N214">IFERROR(VLOOKUP($A214,'The List'!$B1:$AS671,21,FALSE)," ")</f>
        <v xml:space="preserve"> </v>
      </c>
      <c r="O214" s="85" t="str" cm="1">
        <f t="array" ref="O214">IFERROR(VLOOKUP($A214,'The List'!$B1:$AS671,22,FALSE)," ")</f>
        <v xml:space="preserve"> </v>
      </c>
      <c r="P214" s="85" t="str" cm="1">
        <f t="array" ref="P214">IFERROR(VLOOKUP($A214,'The List'!$B1:$AS671,23,FALSE)," ")</f>
        <v xml:space="preserve"> </v>
      </c>
      <c r="Q214" s="85" t="str" cm="1">
        <f t="array" ref="Q214">IFERROR(VLOOKUP($A214,'The List'!$B1:$AS671,24,FALSE)," ")</f>
        <v xml:space="preserve"> </v>
      </c>
      <c r="R214" s="85" t="str" cm="1">
        <f t="array" ref="R214">IFERROR(VLOOKUP($A214,'The List'!$B1:$AS671,25,FALSE)," ")</f>
        <v xml:space="preserve"> </v>
      </c>
      <c r="S214" s="85" t="str" cm="1">
        <f t="array" ref="S214">IFERROR(VLOOKUP($A214,'The List'!$B1:$AS671,26,FALSE)," ")</f>
        <v xml:space="preserve"> </v>
      </c>
      <c r="T214" s="85" t="str" cm="1">
        <f t="array" ref="T214">IFERROR(VLOOKUP($A214,'The List'!$B1:$AS671,27,FALSE)," ")</f>
        <v xml:space="preserve"> </v>
      </c>
      <c r="U214" s="85" t="str" cm="1">
        <f t="array" ref="U214">IFERROR(VLOOKUP($A214,'The List'!$B1:$AS671,28,FALSE)," ")</f>
        <v xml:space="preserve"> </v>
      </c>
      <c r="V214" s="85" t="str" cm="1">
        <f t="array" ref="V214">IFERROR(VLOOKUP($A214,'The List'!$B1:$AS671,29,FALSE)," ")</f>
        <v xml:space="preserve"> </v>
      </c>
      <c r="W214" s="85" t="str" cm="1">
        <f t="array" ref="W214">IFERROR(VLOOKUP($A214,'The List'!$B1:$AS671,30,FALSE)," ")</f>
        <v xml:space="preserve"> </v>
      </c>
      <c r="X214" s="85" t="str" cm="1">
        <f t="array" ref="X214">IFERROR(VLOOKUP($A214,'The List'!$B1:$AS671,31,FALSE)," ")</f>
        <v xml:space="preserve"> </v>
      </c>
      <c r="Y214" s="85" t="str" cm="1">
        <f t="array" ref="Y214">IFERROR(VLOOKUP($A214,'The List'!$B1:$AS671,32,FALSE)," ")</f>
        <v xml:space="preserve"> </v>
      </c>
      <c r="Z214" s="85" t="str" cm="1">
        <f t="array" ref="Z214">IFERROR(VLOOKUP($A214,'The List'!$B1:$AS671,33,FALSE)," ")</f>
        <v xml:space="preserve"> </v>
      </c>
      <c r="AA214" s="86"/>
      <c r="AB214" s="91"/>
      <c r="AC214" s="91"/>
      <c r="AD214" s="91"/>
      <c r="AE214" s="91"/>
      <c r="AF214" s="91"/>
    </row>
    <row r="215" spans="1:32" ht="21.25" customHeight="1" x14ac:dyDescent="0.15">
      <c r="A215" s="24"/>
      <c r="B215" s="97" t="str" cm="1">
        <f t="array" ref="B215">IFERROR(VLOOKUP($A215,'The List'!$B1:$AS671,3,FALSE)," ")</f>
        <v xml:space="preserve"> </v>
      </c>
      <c r="C215" s="99" t="str" cm="1">
        <f t="array" ref="C215">IFERROR(VLOOKUP($A215,'The List'!$B1:$AS671,4,FALSE)," ")</f>
        <v xml:space="preserve"> </v>
      </c>
      <c r="D215" s="18" t="str" cm="1">
        <f t="array" ref="D215">IFERROR(VLOOKUP($A215,'The List'!$B1:$AS671,5,FALSE)," ")</f>
        <v xml:space="preserve"> </v>
      </c>
      <c r="E215" s="18" t="str" cm="1">
        <f t="array" ref="E215">IFERROR(VLOOKUP($A215,'The List'!$B1:$AS671,6,FALSE)," ")</f>
        <v xml:space="preserve"> </v>
      </c>
      <c r="F215" s="93" t="str" cm="1">
        <f t="array" ref="F215">IFERROR(VLOOKUP($A215,'The List'!$B1:$AS671,8,FALSE)," ")</f>
        <v xml:space="preserve"> </v>
      </c>
      <c r="G215" s="93" t="str" cm="1">
        <f t="array" ref="G215">IFERROR(VLOOKUP($A215,'The List'!$B1:$AS671,10,FALSE)," ")</f>
        <v xml:space="preserve"> </v>
      </c>
      <c r="H215" s="55"/>
      <c r="I215" s="85" t="str" cm="1">
        <f t="array" ref="I215">IFERROR(VLOOKUP($A215,'The List'!$B1:$AS671,16,FALSE)," ")</f>
        <v xml:space="preserve"> </v>
      </c>
      <c r="J215" s="85" t="str" cm="1">
        <f t="array" ref="J215">IFERROR(VLOOKUP($A215,'The List'!$B1:$AS671,17,FALSE)," ")</f>
        <v xml:space="preserve"> </v>
      </c>
      <c r="K215" s="85" t="str" cm="1">
        <f t="array" ref="K215">IFERROR(VLOOKUP($A215,'The List'!$B1:$AS671,18,FALSE)," ")</f>
        <v xml:space="preserve"> </v>
      </c>
      <c r="L215" s="85" t="str" cm="1">
        <f t="array" ref="L215">IFERROR(VLOOKUP($A215,'The List'!$B1:$AS671,19,FALSE)," ")</f>
        <v xml:space="preserve"> </v>
      </c>
      <c r="M215" s="85" t="str" cm="1">
        <f t="array" ref="M215">IFERROR(VLOOKUP($A215,'The List'!$B1:$AS671,20,FALSE)," ")</f>
        <v xml:space="preserve"> </v>
      </c>
      <c r="N215" s="85" t="str" cm="1">
        <f t="array" ref="N215">IFERROR(VLOOKUP($A215,'The List'!$B1:$AS671,21,FALSE)," ")</f>
        <v xml:space="preserve"> </v>
      </c>
      <c r="O215" s="85" t="str" cm="1">
        <f t="array" ref="O215">IFERROR(VLOOKUP($A215,'The List'!$B1:$AS671,22,FALSE)," ")</f>
        <v xml:space="preserve"> </v>
      </c>
      <c r="P215" s="85" t="str" cm="1">
        <f t="array" ref="P215">IFERROR(VLOOKUP($A215,'The List'!$B1:$AS671,23,FALSE)," ")</f>
        <v xml:space="preserve"> </v>
      </c>
      <c r="Q215" s="85" t="str" cm="1">
        <f t="array" ref="Q215">IFERROR(VLOOKUP($A215,'The List'!$B1:$AS671,24,FALSE)," ")</f>
        <v xml:space="preserve"> </v>
      </c>
      <c r="R215" s="85" t="str" cm="1">
        <f t="array" ref="R215">IFERROR(VLOOKUP($A215,'The List'!$B1:$AS671,25,FALSE)," ")</f>
        <v xml:space="preserve"> </v>
      </c>
      <c r="S215" s="85" t="str" cm="1">
        <f t="array" ref="S215">IFERROR(VLOOKUP($A215,'The List'!$B1:$AS671,26,FALSE)," ")</f>
        <v xml:space="preserve"> </v>
      </c>
      <c r="T215" s="85" t="str" cm="1">
        <f t="array" ref="T215">IFERROR(VLOOKUP($A215,'The List'!$B1:$AS671,27,FALSE)," ")</f>
        <v xml:space="preserve"> </v>
      </c>
      <c r="U215" s="85" t="str" cm="1">
        <f t="array" ref="U215">IFERROR(VLOOKUP($A215,'The List'!$B1:$AS671,28,FALSE)," ")</f>
        <v xml:space="preserve"> </v>
      </c>
      <c r="V215" s="85" t="str" cm="1">
        <f t="array" ref="V215">IFERROR(VLOOKUP($A215,'The List'!$B1:$AS671,29,FALSE)," ")</f>
        <v xml:space="preserve"> </v>
      </c>
      <c r="W215" s="85" t="str" cm="1">
        <f t="array" ref="W215">IFERROR(VLOOKUP($A215,'The List'!$B1:$AS671,30,FALSE)," ")</f>
        <v xml:space="preserve"> </v>
      </c>
      <c r="X215" s="85" t="str" cm="1">
        <f t="array" ref="X215">IFERROR(VLOOKUP($A215,'The List'!$B1:$AS671,31,FALSE)," ")</f>
        <v xml:space="preserve"> </v>
      </c>
      <c r="Y215" s="85" t="str" cm="1">
        <f t="array" ref="Y215">IFERROR(VLOOKUP($A215,'The List'!$B1:$AS671,32,FALSE)," ")</f>
        <v xml:space="preserve"> </v>
      </c>
      <c r="Z215" s="85" t="str" cm="1">
        <f t="array" ref="Z215">IFERROR(VLOOKUP($A215,'The List'!$B1:$AS671,33,FALSE)," ")</f>
        <v xml:space="preserve"> </v>
      </c>
      <c r="AA215" s="86"/>
      <c r="AB215" s="91"/>
      <c r="AC215" s="91"/>
      <c r="AD215" s="91"/>
      <c r="AE215" s="91"/>
      <c r="AF215" s="91"/>
    </row>
    <row r="216" spans="1:32" ht="21.25" customHeight="1" x14ac:dyDescent="0.15">
      <c r="A216" s="24"/>
      <c r="B216" s="97" t="str" cm="1">
        <f t="array" ref="B216">IFERROR(VLOOKUP($A216,'The List'!$B1:$AS671,3,FALSE)," ")</f>
        <v xml:space="preserve"> </v>
      </c>
      <c r="C216" s="99" t="str" cm="1">
        <f t="array" ref="C216">IFERROR(VLOOKUP($A216,'The List'!$B1:$AS671,4,FALSE)," ")</f>
        <v xml:space="preserve"> </v>
      </c>
      <c r="D216" s="18" t="str" cm="1">
        <f t="array" ref="D216">IFERROR(VLOOKUP($A216,'The List'!$B1:$AS671,5,FALSE)," ")</f>
        <v xml:space="preserve"> </v>
      </c>
      <c r="E216" s="18" t="str" cm="1">
        <f t="array" ref="E216">IFERROR(VLOOKUP($A216,'The List'!$B1:$AS671,6,FALSE)," ")</f>
        <v xml:space="preserve"> </v>
      </c>
      <c r="F216" s="93" t="str" cm="1">
        <f t="array" ref="F216">IFERROR(VLOOKUP($A216,'The List'!$B1:$AS671,8,FALSE)," ")</f>
        <v xml:space="preserve"> </v>
      </c>
      <c r="G216" s="93" t="str" cm="1">
        <f t="array" ref="G216">IFERROR(VLOOKUP($A216,'The List'!$B1:$AS671,10,FALSE)," ")</f>
        <v xml:space="preserve"> </v>
      </c>
      <c r="H216" s="55"/>
      <c r="I216" s="85" t="str" cm="1">
        <f t="array" ref="I216">IFERROR(VLOOKUP($A216,'The List'!$B1:$AS671,16,FALSE)," ")</f>
        <v xml:space="preserve"> </v>
      </c>
      <c r="J216" s="85" t="str" cm="1">
        <f t="array" ref="J216">IFERROR(VLOOKUP($A216,'The List'!$B1:$AS671,17,FALSE)," ")</f>
        <v xml:space="preserve"> </v>
      </c>
      <c r="K216" s="85" t="str" cm="1">
        <f t="array" ref="K216">IFERROR(VLOOKUP($A216,'The List'!$B1:$AS671,18,FALSE)," ")</f>
        <v xml:space="preserve"> </v>
      </c>
      <c r="L216" s="85" t="str" cm="1">
        <f t="array" ref="L216">IFERROR(VLOOKUP($A216,'The List'!$B1:$AS671,19,FALSE)," ")</f>
        <v xml:space="preserve"> </v>
      </c>
      <c r="M216" s="85" t="str" cm="1">
        <f t="array" ref="M216">IFERROR(VLOOKUP($A216,'The List'!$B1:$AS671,20,FALSE)," ")</f>
        <v xml:space="preserve"> </v>
      </c>
      <c r="N216" s="85" t="str" cm="1">
        <f t="array" ref="N216">IFERROR(VLOOKUP($A216,'The List'!$B1:$AS671,21,FALSE)," ")</f>
        <v xml:space="preserve"> </v>
      </c>
      <c r="O216" s="85" t="str" cm="1">
        <f t="array" ref="O216">IFERROR(VLOOKUP($A216,'The List'!$B1:$AS671,22,FALSE)," ")</f>
        <v xml:space="preserve"> </v>
      </c>
      <c r="P216" s="85" t="str" cm="1">
        <f t="array" ref="P216">IFERROR(VLOOKUP($A216,'The List'!$B1:$AS671,23,FALSE)," ")</f>
        <v xml:space="preserve"> </v>
      </c>
      <c r="Q216" s="85" t="str" cm="1">
        <f t="array" ref="Q216">IFERROR(VLOOKUP($A216,'The List'!$B1:$AS671,24,FALSE)," ")</f>
        <v xml:space="preserve"> </v>
      </c>
      <c r="R216" s="85" t="str" cm="1">
        <f t="array" ref="R216">IFERROR(VLOOKUP($A216,'The List'!$B1:$AS671,25,FALSE)," ")</f>
        <v xml:space="preserve"> </v>
      </c>
      <c r="S216" s="85" t="str" cm="1">
        <f t="array" ref="S216">IFERROR(VLOOKUP($A216,'The List'!$B1:$AS671,26,FALSE)," ")</f>
        <v xml:space="preserve"> </v>
      </c>
      <c r="T216" s="85" t="str" cm="1">
        <f t="array" ref="T216">IFERROR(VLOOKUP($A216,'The List'!$B1:$AS671,27,FALSE)," ")</f>
        <v xml:space="preserve"> </v>
      </c>
      <c r="U216" s="85" t="str" cm="1">
        <f t="array" ref="U216">IFERROR(VLOOKUP($A216,'The List'!$B1:$AS671,28,FALSE)," ")</f>
        <v xml:space="preserve"> </v>
      </c>
      <c r="V216" s="85" t="str" cm="1">
        <f t="array" ref="V216">IFERROR(VLOOKUP($A216,'The List'!$B1:$AS671,29,FALSE)," ")</f>
        <v xml:space="preserve"> </v>
      </c>
      <c r="W216" s="85" t="str" cm="1">
        <f t="array" ref="W216">IFERROR(VLOOKUP($A216,'The List'!$B1:$AS671,30,FALSE)," ")</f>
        <v xml:space="preserve"> </v>
      </c>
      <c r="X216" s="85" t="str" cm="1">
        <f t="array" ref="X216">IFERROR(VLOOKUP($A216,'The List'!$B1:$AS671,31,FALSE)," ")</f>
        <v xml:space="preserve"> </v>
      </c>
      <c r="Y216" s="85" t="str" cm="1">
        <f t="array" ref="Y216">IFERROR(VLOOKUP($A216,'The List'!$B1:$AS671,32,FALSE)," ")</f>
        <v xml:space="preserve"> </v>
      </c>
      <c r="Z216" s="85" t="str" cm="1">
        <f t="array" ref="Z216">IFERROR(VLOOKUP($A216,'The List'!$B1:$AS671,33,FALSE)," ")</f>
        <v xml:space="preserve"> </v>
      </c>
      <c r="AA216" s="86"/>
      <c r="AB216" s="91"/>
      <c r="AC216" s="91"/>
      <c r="AD216" s="91"/>
      <c r="AE216" s="91"/>
      <c r="AF216" s="91"/>
    </row>
    <row r="217" spans="1:32" ht="21.25" customHeight="1" x14ac:dyDescent="0.15">
      <c r="A217" s="24"/>
      <c r="B217" s="100" t="str" cm="1">
        <f t="array" ref="B217">IFERROR(VLOOKUP($A217,'The List'!$B1:$AS671,3,FALSE)," ")</f>
        <v xml:space="preserve"> </v>
      </c>
      <c r="C217" s="102" t="str" cm="1">
        <f t="array" ref="C217">IFERROR(VLOOKUP($A217,'The List'!$B1:$AS671,4,FALSE)," ")</f>
        <v xml:space="preserve"> </v>
      </c>
      <c r="D217" s="18" t="str" cm="1">
        <f t="array" ref="D217">IFERROR(VLOOKUP($A217,'The List'!$B1:$AS671,5,FALSE)," ")</f>
        <v xml:space="preserve"> </v>
      </c>
      <c r="E217" s="18" t="str" cm="1">
        <f t="array" ref="E217">IFERROR(VLOOKUP($A217,'The List'!$B1:$AS671,6,FALSE)," ")</f>
        <v xml:space="preserve"> </v>
      </c>
      <c r="F217" s="93" t="str" cm="1">
        <f t="array" ref="F217">IFERROR(VLOOKUP($A217,'The List'!$B1:$AS671,8,FALSE)," ")</f>
        <v xml:space="preserve"> </v>
      </c>
      <c r="G217" s="93" t="str" cm="1">
        <f t="array" ref="G217">IFERROR(VLOOKUP($A217,'The List'!$B1:$AS671,10,FALSE)," ")</f>
        <v xml:space="preserve"> </v>
      </c>
      <c r="H217" s="55"/>
      <c r="I217" s="85" t="str" cm="1">
        <f t="array" ref="I217">IFERROR(VLOOKUP($A217,'The List'!$B1:$AS671,16,FALSE)," ")</f>
        <v xml:space="preserve"> </v>
      </c>
      <c r="J217" s="85" t="str" cm="1">
        <f t="array" ref="J217">IFERROR(VLOOKUP($A217,'The List'!$B1:$AS671,17,FALSE)," ")</f>
        <v xml:space="preserve"> </v>
      </c>
      <c r="K217" s="85" t="str" cm="1">
        <f t="array" ref="K217">IFERROR(VLOOKUP($A217,'The List'!$B1:$AS671,18,FALSE)," ")</f>
        <v xml:space="preserve"> </v>
      </c>
      <c r="L217" s="85" t="str" cm="1">
        <f t="array" ref="L217">IFERROR(VLOOKUP($A217,'The List'!$B1:$AS671,19,FALSE)," ")</f>
        <v xml:space="preserve"> </v>
      </c>
      <c r="M217" s="85" t="str" cm="1">
        <f t="array" ref="M217">IFERROR(VLOOKUP($A217,'The List'!$B1:$AS671,20,FALSE)," ")</f>
        <v xml:space="preserve"> </v>
      </c>
      <c r="N217" s="85" t="str" cm="1">
        <f t="array" ref="N217">IFERROR(VLOOKUP($A217,'The List'!$B1:$AS671,21,FALSE)," ")</f>
        <v xml:space="preserve"> </v>
      </c>
      <c r="O217" s="85" t="str" cm="1">
        <f t="array" ref="O217">IFERROR(VLOOKUP($A217,'The List'!$B1:$AS671,22,FALSE)," ")</f>
        <v xml:space="preserve"> </v>
      </c>
      <c r="P217" s="85" t="str" cm="1">
        <f t="array" ref="P217">IFERROR(VLOOKUP($A217,'The List'!$B1:$AS671,23,FALSE)," ")</f>
        <v xml:space="preserve"> </v>
      </c>
      <c r="Q217" s="85" t="str" cm="1">
        <f t="array" ref="Q217">IFERROR(VLOOKUP($A217,'The List'!$B1:$AS671,24,FALSE)," ")</f>
        <v xml:space="preserve"> </v>
      </c>
      <c r="R217" s="85" t="str" cm="1">
        <f t="array" ref="R217">IFERROR(VLOOKUP($A217,'The List'!$B1:$AS671,25,FALSE)," ")</f>
        <v xml:space="preserve"> </v>
      </c>
      <c r="S217" s="85" t="str" cm="1">
        <f t="array" ref="S217">IFERROR(VLOOKUP($A217,'The List'!$B1:$AS671,26,FALSE)," ")</f>
        <v xml:space="preserve"> </v>
      </c>
      <c r="T217" s="85" t="str" cm="1">
        <f t="array" ref="T217">IFERROR(VLOOKUP($A217,'The List'!$B1:$AS671,27,FALSE)," ")</f>
        <v xml:space="preserve"> </v>
      </c>
      <c r="U217" s="85" t="str" cm="1">
        <f t="array" ref="U217">IFERROR(VLOOKUP($A217,'The List'!$B1:$AS671,28,FALSE)," ")</f>
        <v xml:space="preserve"> </v>
      </c>
      <c r="V217" s="85" t="str" cm="1">
        <f t="array" ref="V217">IFERROR(VLOOKUP($A217,'The List'!$B1:$AS671,29,FALSE)," ")</f>
        <v xml:space="preserve"> </v>
      </c>
      <c r="W217" s="85" t="str" cm="1">
        <f t="array" ref="W217">IFERROR(VLOOKUP($A217,'The List'!$B1:$AS671,30,FALSE)," ")</f>
        <v xml:space="preserve"> </v>
      </c>
      <c r="X217" s="85" t="str" cm="1">
        <f t="array" ref="X217">IFERROR(VLOOKUP($A217,'The List'!$B1:$AS671,31,FALSE)," ")</f>
        <v xml:space="preserve"> </v>
      </c>
      <c r="Y217" s="85" t="str" cm="1">
        <f t="array" ref="Y217">IFERROR(VLOOKUP($A217,'The List'!$B1:$AS671,32,FALSE)," ")</f>
        <v xml:space="preserve"> </v>
      </c>
      <c r="Z217" s="85" t="str" cm="1">
        <f t="array" ref="Z217">IFERROR(VLOOKUP($A217,'The List'!$B1:$AS671,33,FALSE)," ")</f>
        <v xml:space="preserve"> </v>
      </c>
      <c r="AA217" s="86"/>
      <c r="AB217" s="91"/>
      <c r="AC217" s="91"/>
      <c r="AD217" s="91"/>
      <c r="AE217" s="91"/>
      <c r="AF217" s="91"/>
    </row>
    <row r="218" spans="1:32" ht="21.25" customHeight="1" x14ac:dyDescent="0.15">
      <c r="A218" s="24"/>
      <c r="B218" s="100" t="str" cm="1">
        <f t="array" ref="B218">IFERROR(VLOOKUP($A218,'The List'!$B1:$AS671,3,FALSE)," ")</f>
        <v xml:space="preserve"> </v>
      </c>
      <c r="C218" s="102" t="str" cm="1">
        <f t="array" ref="C218">IFERROR(VLOOKUP($A218,'The List'!$B1:$AS671,4,FALSE)," ")</f>
        <v xml:space="preserve"> </v>
      </c>
      <c r="D218" s="18" t="str" cm="1">
        <f t="array" ref="D218">IFERROR(VLOOKUP($A218,'The List'!$B1:$AS671,5,FALSE)," ")</f>
        <v xml:space="preserve"> </v>
      </c>
      <c r="E218" s="18" t="str" cm="1">
        <f t="array" ref="E218">IFERROR(VLOOKUP($A218,'The List'!$B1:$AS671,6,FALSE)," ")</f>
        <v xml:space="preserve"> </v>
      </c>
      <c r="F218" s="93" t="str" cm="1">
        <f t="array" ref="F218">IFERROR(VLOOKUP($A218,'The List'!$B1:$AS671,8,FALSE)," ")</f>
        <v xml:space="preserve"> </v>
      </c>
      <c r="G218" s="93" t="str" cm="1">
        <f t="array" ref="G218">IFERROR(VLOOKUP($A218,'The List'!$B1:$AS671,10,FALSE)," ")</f>
        <v xml:space="preserve"> </v>
      </c>
      <c r="H218" s="55"/>
      <c r="I218" s="85" t="str" cm="1">
        <f t="array" ref="I218">IFERROR(VLOOKUP($A218,'The List'!$B1:$AS671,16,FALSE)," ")</f>
        <v xml:space="preserve"> </v>
      </c>
      <c r="J218" s="85" t="str" cm="1">
        <f t="array" ref="J218">IFERROR(VLOOKUP($A218,'The List'!$B1:$AS671,17,FALSE)," ")</f>
        <v xml:space="preserve"> </v>
      </c>
      <c r="K218" s="85" t="str" cm="1">
        <f t="array" ref="K218">IFERROR(VLOOKUP($A218,'The List'!$B1:$AS671,18,FALSE)," ")</f>
        <v xml:space="preserve"> </v>
      </c>
      <c r="L218" s="85" t="str" cm="1">
        <f t="array" ref="L218">IFERROR(VLOOKUP($A218,'The List'!$B1:$AS671,19,FALSE)," ")</f>
        <v xml:space="preserve"> </v>
      </c>
      <c r="M218" s="85" t="str" cm="1">
        <f t="array" ref="M218">IFERROR(VLOOKUP($A218,'The List'!$B1:$AS671,20,FALSE)," ")</f>
        <v xml:space="preserve"> </v>
      </c>
      <c r="N218" s="85" t="str" cm="1">
        <f t="array" ref="N218">IFERROR(VLOOKUP($A218,'The List'!$B1:$AS671,21,FALSE)," ")</f>
        <v xml:space="preserve"> </v>
      </c>
      <c r="O218" s="85" t="str" cm="1">
        <f t="array" ref="O218">IFERROR(VLOOKUP($A218,'The List'!$B1:$AS671,22,FALSE)," ")</f>
        <v xml:space="preserve"> </v>
      </c>
      <c r="P218" s="85" t="str" cm="1">
        <f t="array" ref="P218">IFERROR(VLOOKUP($A218,'The List'!$B1:$AS671,23,FALSE)," ")</f>
        <v xml:space="preserve"> </v>
      </c>
      <c r="Q218" s="85" t="str" cm="1">
        <f t="array" ref="Q218">IFERROR(VLOOKUP($A218,'The List'!$B1:$AS671,24,FALSE)," ")</f>
        <v xml:space="preserve"> </v>
      </c>
      <c r="R218" s="85" t="str" cm="1">
        <f t="array" ref="R218">IFERROR(VLOOKUP($A218,'The List'!$B1:$AS671,25,FALSE)," ")</f>
        <v xml:space="preserve"> </v>
      </c>
      <c r="S218" s="85" t="str" cm="1">
        <f t="array" ref="S218">IFERROR(VLOOKUP($A218,'The List'!$B1:$AS671,26,FALSE)," ")</f>
        <v xml:space="preserve"> </v>
      </c>
      <c r="T218" s="85" t="str" cm="1">
        <f t="array" ref="T218">IFERROR(VLOOKUP($A218,'The List'!$B1:$AS671,27,FALSE)," ")</f>
        <v xml:space="preserve"> </v>
      </c>
      <c r="U218" s="85" t="str" cm="1">
        <f t="array" ref="U218">IFERROR(VLOOKUP($A218,'The List'!$B1:$AS671,28,FALSE)," ")</f>
        <v xml:space="preserve"> </v>
      </c>
      <c r="V218" s="85" t="str" cm="1">
        <f t="array" ref="V218">IFERROR(VLOOKUP($A218,'The List'!$B1:$AS671,29,FALSE)," ")</f>
        <v xml:space="preserve"> </v>
      </c>
      <c r="W218" s="85" t="str" cm="1">
        <f t="array" ref="W218">IFERROR(VLOOKUP($A218,'The List'!$B1:$AS671,30,FALSE)," ")</f>
        <v xml:space="preserve"> </v>
      </c>
      <c r="X218" s="85" t="str" cm="1">
        <f t="array" ref="X218">IFERROR(VLOOKUP($A218,'The List'!$B1:$AS671,31,FALSE)," ")</f>
        <v xml:space="preserve"> </v>
      </c>
      <c r="Y218" s="85" t="str" cm="1">
        <f t="array" ref="Y218">IFERROR(VLOOKUP($A218,'The List'!$B1:$AS671,32,FALSE)," ")</f>
        <v xml:space="preserve"> </v>
      </c>
      <c r="Z218" s="85" t="str" cm="1">
        <f t="array" ref="Z218">IFERROR(VLOOKUP($A218,'The List'!$B1:$AS671,33,FALSE)," ")</f>
        <v xml:space="preserve"> </v>
      </c>
      <c r="AA218" s="86"/>
      <c r="AB218" s="91"/>
      <c r="AC218" s="91"/>
      <c r="AD218" s="91"/>
      <c r="AE218" s="91"/>
      <c r="AF218" s="91"/>
    </row>
    <row r="219" spans="1:32" ht="21.25" customHeight="1" x14ac:dyDescent="0.15">
      <c r="A219" s="24"/>
      <c r="B219" s="100" t="str" cm="1">
        <f t="array" ref="B219">IFERROR(VLOOKUP($A219,'The List'!$B1:$AS671,3,FALSE)," ")</f>
        <v xml:space="preserve"> </v>
      </c>
      <c r="C219" s="102" t="str" cm="1">
        <f t="array" ref="C219">IFERROR(VLOOKUP($A219,'The List'!$B1:$AS671,4,FALSE)," ")</f>
        <v xml:space="preserve"> </v>
      </c>
      <c r="D219" s="18" t="str" cm="1">
        <f t="array" ref="D219">IFERROR(VLOOKUP($A219,'The List'!$B1:$AS671,5,FALSE)," ")</f>
        <v xml:space="preserve"> </v>
      </c>
      <c r="E219" s="18" t="str" cm="1">
        <f t="array" ref="E219">IFERROR(VLOOKUP($A219,'The List'!$B1:$AS671,6,FALSE)," ")</f>
        <v xml:space="preserve"> </v>
      </c>
      <c r="F219" s="93" t="str" cm="1">
        <f t="array" ref="F219">IFERROR(VLOOKUP($A219,'The List'!$B1:$AS671,8,FALSE)," ")</f>
        <v xml:space="preserve"> </v>
      </c>
      <c r="G219" s="93" t="str" cm="1">
        <f t="array" ref="G219">IFERROR(VLOOKUP($A219,'The List'!$B1:$AS671,10,FALSE)," ")</f>
        <v xml:space="preserve"> </v>
      </c>
      <c r="H219" s="55"/>
      <c r="I219" s="85" t="str" cm="1">
        <f t="array" ref="I219">IFERROR(VLOOKUP($A219,'The List'!$B1:$AS671,16,FALSE)," ")</f>
        <v xml:space="preserve"> </v>
      </c>
      <c r="J219" s="85" t="str" cm="1">
        <f t="array" ref="J219">IFERROR(VLOOKUP($A219,'The List'!$B1:$AS671,17,FALSE)," ")</f>
        <v xml:space="preserve"> </v>
      </c>
      <c r="K219" s="85" t="str" cm="1">
        <f t="array" ref="K219">IFERROR(VLOOKUP($A219,'The List'!$B1:$AS671,18,FALSE)," ")</f>
        <v xml:space="preserve"> </v>
      </c>
      <c r="L219" s="85" t="str" cm="1">
        <f t="array" ref="L219">IFERROR(VLOOKUP($A219,'The List'!$B1:$AS671,19,FALSE)," ")</f>
        <v xml:space="preserve"> </v>
      </c>
      <c r="M219" s="85" t="str" cm="1">
        <f t="array" ref="M219">IFERROR(VLOOKUP($A219,'The List'!$B1:$AS671,20,FALSE)," ")</f>
        <v xml:space="preserve"> </v>
      </c>
      <c r="N219" s="85" t="str" cm="1">
        <f t="array" ref="N219">IFERROR(VLOOKUP($A219,'The List'!$B1:$AS671,21,FALSE)," ")</f>
        <v xml:space="preserve"> </v>
      </c>
      <c r="O219" s="85" t="str" cm="1">
        <f t="array" ref="O219">IFERROR(VLOOKUP($A219,'The List'!$B1:$AS671,22,FALSE)," ")</f>
        <v xml:space="preserve"> </v>
      </c>
      <c r="P219" s="85" t="str" cm="1">
        <f t="array" ref="P219">IFERROR(VLOOKUP($A219,'The List'!$B1:$AS671,23,FALSE)," ")</f>
        <v xml:space="preserve"> </v>
      </c>
      <c r="Q219" s="85" t="str" cm="1">
        <f t="array" ref="Q219">IFERROR(VLOOKUP($A219,'The List'!$B1:$AS671,24,FALSE)," ")</f>
        <v xml:space="preserve"> </v>
      </c>
      <c r="R219" s="85" t="str" cm="1">
        <f t="array" ref="R219">IFERROR(VLOOKUP($A219,'The List'!$B1:$AS671,25,FALSE)," ")</f>
        <v xml:space="preserve"> </v>
      </c>
      <c r="S219" s="85" t="str" cm="1">
        <f t="array" ref="S219">IFERROR(VLOOKUP($A219,'The List'!$B1:$AS671,26,FALSE)," ")</f>
        <v xml:space="preserve"> </v>
      </c>
      <c r="T219" s="85" t="str" cm="1">
        <f t="array" ref="T219">IFERROR(VLOOKUP($A219,'The List'!$B1:$AS671,27,FALSE)," ")</f>
        <v xml:space="preserve"> </v>
      </c>
      <c r="U219" s="85" t="str" cm="1">
        <f t="array" ref="U219">IFERROR(VLOOKUP($A219,'The List'!$B1:$AS671,28,FALSE)," ")</f>
        <v xml:space="preserve"> </v>
      </c>
      <c r="V219" s="85" t="str" cm="1">
        <f t="array" ref="V219">IFERROR(VLOOKUP($A219,'The List'!$B1:$AS671,29,FALSE)," ")</f>
        <v xml:space="preserve"> </v>
      </c>
      <c r="W219" s="85" t="str" cm="1">
        <f t="array" ref="W219">IFERROR(VLOOKUP($A219,'The List'!$B1:$AS671,30,FALSE)," ")</f>
        <v xml:space="preserve"> </v>
      </c>
      <c r="X219" s="85" t="str" cm="1">
        <f t="array" ref="X219">IFERROR(VLOOKUP($A219,'The List'!$B1:$AS671,31,FALSE)," ")</f>
        <v xml:space="preserve"> </v>
      </c>
      <c r="Y219" s="85" t="str" cm="1">
        <f t="array" ref="Y219">IFERROR(VLOOKUP($A219,'The List'!$B1:$AS671,32,FALSE)," ")</f>
        <v xml:space="preserve"> </v>
      </c>
      <c r="Z219" s="85" t="str" cm="1">
        <f t="array" ref="Z219">IFERROR(VLOOKUP($A219,'The List'!$B1:$AS671,33,FALSE)," ")</f>
        <v xml:space="preserve"> </v>
      </c>
      <c r="AA219" s="86"/>
      <c r="AB219" s="91"/>
      <c r="AC219" s="91"/>
      <c r="AD219" s="91"/>
      <c r="AE219" s="91"/>
      <c r="AF219" s="91"/>
    </row>
    <row r="220" spans="1:32" ht="21.25" customHeight="1" x14ac:dyDescent="0.15">
      <c r="A220" s="24"/>
      <c r="B220" s="100" t="str" cm="1">
        <f t="array" ref="B220">IFERROR(VLOOKUP($A220,'The List'!$B1:$AS671,3,FALSE)," ")</f>
        <v xml:space="preserve"> </v>
      </c>
      <c r="C220" s="102" t="str" cm="1">
        <f t="array" ref="C220">IFERROR(VLOOKUP($A220,'The List'!$B1:$AS671,4,FALSE)," ")</f>
        <v xml:space="preserve"> </v>
      </c>
      <c r="D220" s="18" t="str" cm="1">
        <f t="array" ref="D220">IFERROR(VLOOKUP($A220,'The List'!$B1:$AS671,5,FALSE)," ")</f>
        <v xml:space="preserve"> </v>
      </c>
      <c r="E220" s="18" t="str" cm="1">
        <f t="array" ref="E220">IFERROR(VLOOKUP($A220,'The List'!$B1:$AS671,6,FALSE)," ")</f>
        <v xml:space="preserve"> </v>
      </c>
      <c r="F220" s="93" t="str" cm="1">
        <f t="array" ref="F220">IFERROR(VLOOKUP($A220,'The List'!$B1:$AS671,8,FALSE)," ")</f>
        <v xml:space="preserve"> </v>
      </c>
      <c r="G220" s="93" t="str" cm="1">
        <f t="array" ref="G220">IFERROR(VLOOKUP($A220,'The List'!$B1:$AS671,10,FALSE)," ")</f>
        <v xml:space="preserve"> </v>
      </c>
      <c r="H220" s="55"/>
      <c r="I220" s="85" t="str" cm="1">
        <f t="array" ref="I220">IFERROR(VLOOKUP($A220,'The List'!$B1:$AS671,16,FALSE)," ")</f>
        <v xml:space="preserve"> </v>
      </c>
      <c r="J220" s="85" t="str" cm="1">
        <f t="array" ref="J220">IFERROR(VLOOKUP($A220,'The List'!$B1:$AS671,17,FALSE)," ")</f>
        <v xml:space="preserve"> </v>
      </c>
      <c r="K220" s="85" t="str" cm="1">
        <f t="array" ref="K220">IFERROR(VLOOKUP($A220,'The List'!$B1:$AS671,18,FALSE)," ")</f>
        <v xml:space="preserve"> </v>
      </c>
      <c r="L220" s="85" t="str" cm="1">
        <f t="array" ref="L220">IFERROR(VLOOKUP($A220,'The List'!$B1:$AS671,19,FALSE)," ")</f>
        <v xml:space="preserve"> </v>
      </c>
      <c r="M220" s="85" t="str" cm="1">
        <f t="array" ref="M220">IFERROR(VLOOKUP($A220,'The List'!$B1:$AS671,20,FALSE)," ")</f>
        <v xml:space="preserve"> </v>
      </c>
      <c r="N220" s="85" t="str" cm="1">
        <f t="array" ref="N220">IFERROR(VLOOKUP($A220,'The List'!$B1:$AS671,21,FALSE)," ")</f>
        <v xml:space="preserve"> </v>
      </c>
      <c r="O220" s="85" t="str" cm="1">
        <f t="array" ref="O220">IFERROR(VLOOKUP($A220,'The List'!$B1:$AS671,22,FALSE)," ")</f>
        <v xml:space="preserve"> </v>
      </c>
      <c r="P220" s="85" t="str" cm="1">
        <f t="array" ref="P220">IFERROR(VLOOKUP($A220,'The List'!$B1:$AS671,23,FALSE)," ")</f>
        <v xml:space="preserve"> </v>
      </c>
      <c r="Q220" s="85" t="str" cm="1">
        <f t="array" ref="Q220">IFERROR(VLOOKUP($A220,'The List'!$B1:$AS671,24,FALSE)," ")</f>
        <v xml:space="preserve"> </v>
      </c>
      <c r="R220" s="85" t="str" cm="1">
        <f t="array" ref="R220">IFERROR(VLOOKUP($A220,'The List'!$B1:$AS671,25,FALSE)," ")</f>
        <v xml:space="preserve"> </v>
      </c>
      <c r="S220" s="85" t="str" cm="1">
        <f t="array" ref="S220">IFERROR(VLOOKUP($A220,'The List'!$B1:$AS671,26,FALSE)," ")</f>
        <v xml:space="preserve"> </v>
      </c>
      <c r="T220" s="85" t="str" cm="1">
        <f t="array" ref="T220">IFERROR(VLOOKUP($A220,'The List'!$B1:$AS671,27,FALSE)," ")</f>
        <v xml:space="preserve"> </v>
      </c>
      <c r="U220" s="85" t="str" cm="1">
        <f t="array" ref="U220">IFERROR(VLOOKUP($A220,'The List'!$B1:$AS671,28,FALSE)," ")</f>
        <v xml:space="preserve"> </v>
      </c>
      <c r="V220" s="85" t="str" cm="1">
        <f t="array" ref="V220">IFERROR(VLOOKUP($A220,'The List'!$B1:$AS671,29,FALSE)," ")</f>
        <v xml:space="preserve"> </v>
      </c>
      <c r="W220" s="85" t="str" cm="1">
        <f t="array" ref="W220">IFERROR(VLOOKUP($A220,'The List'!$B1:$AS671,30,FALSE)," ")</f>
        <v xml:space="preserve"> </v>
      </c>
      <c r="X220" s="85" t="str" cm="1">
        <f t="array" ref="X220">IFERROR(VLOOKUP($A220,'The List'!$B1:$AS671,31,FALSE)," ")</f>
        <v xml:space="preserve"> </v>
      </c>
      <c r="Y220" s="85" t="str" cm="1">
        <f t="array" ref="Y220">IFERROR(VLOOKUP($A220,'The List'!$B1:$AS671,32,FALSE)," ")</f>
        <v xml:space="preserve"> </v>
      </c>
      <c r="Z220" s="85" t="str" cm="1">
        <f t="array" ref="Z220">IFERROR(VLOOKUP($A220,'The List'!$B1:$AS671,33,FALSE)," ")</f>
        <v xml:space="preserve"> </v>
      </c>
      <c r="AA220" s="86"/>
      <c r="AB220" s="91"/>
      <c r="AC220" s="91"/>
      <c r="AD220" s="91"/>
      <c r="AE220" s="91"/>
      <c r="AF220" s="91"/>
    </row>
    <row r="221" spans="1:32" ht="21.25" customHeight="1" x14ac:dyDescent="0.15">
      <c r="A221" s="24"/>
      <c r="B221" s="100" t="str" cm="1">
        <f t="array" ref="B221">IFERROR(VLOOKUP($A221,'The List'!$B1:$AS671,3,FALSE)," ")</f>
        <v xml:space="preserve"> </v>
      </c>
      <c r="C221" s="102" t="str" cm="1">
        <f t="array" ref="C221">IFERROR(VLOOKUP($A221,'The List'!$B1:$AS671,4,FALSE)," ")</f>
        <v xml:space="preserve"> </v>
      </c>
      <c r="D221" s="18" t="str" cm="1">
        <f t="array" ref="D221">IFERROR(VLOOKUP($A221,'The List'!$B1:$AS671,5,FALSE)," ")</f>
        <v xml:space="preserve"> </v>
      </c>
      <c r="E221" s="18" t="str" cm="1">
        <f t="array" ref="E221">IFERROR(VLOOKUP($A221,'The List'!$B1:$AS671,6,FALSE)," ")</f>
        <v xml:space="preserve"> </v>
      </c>
      <c r="F221" s="93" t="str" cm="1">
        <f t="array" ref="F221">IFERROR(VLOOKUP($A221,'The List'!$B1:$AS671,8,FALSE)," ")</f>
        <v xml:space="preserve"> </v>
      </c>
      <c r="G221" s="93" t="str" cm="1">
        <f t="array" ref="G221">IFERROR(VLOOKUP($A221,'The List'!$B1:$AS671,10,FALSE)," ")</f>
        <v xml:space="preserve"> </v>
      </c>
      <c r="H221" s="55"/>
      <c r="I221" s="85" t="str" cm="1">
        <f t="array" ref="I221">IFERROR(VLOOKUP($A221,'The List'!$B1:$AS671,16,FALSE)," ")</f>
        <v xml:space="preserve"> </v>
      </c>
      <c r="J221" s="85" t="str" cm="1">
        <f t="array" ref="J221">IFERROR(VLOOKUP($A221,'The List'!$B1:$AS671,17,FALSE)," ")</f>
        <v xml:space="preserve"> </v>
      </c>
      <c r="K221" s="85" t="str" cm="1">
        <f t="array" ref="K221">IFERROR(VLOOKUP($A221,'The List'!$B1:$AS671,18,FALSE)," ")</f>
        <v xml:space="preserve"> </v>
      </c>
      <c r="L221" s="85" t="str" cm="1">
        <f t="array" ref="L221">IFERROR(VLOOKUP($A221,'The List'!$B1:$AS671,19,FALSE)," ")</f>
        <v xml:space="preserve"> </v>
      </c>
      <c r="M221" s="85" t="str" cm="1">
        <f t="array" ref="M221">IFERROR(VLOOKUP($A221,'The List'!$B1:$AS671,20,FALSE)," ")</f>
        <v xml:space="preserve"> </v>
      </c>
      <c r="N221" s="85" t="str" cm="1">
        <f t="array" ref="N221">IFERROR(VLOOKUP($A221,'The List'!$B1:$AS671,21,FALSE)," ")</f>
        <v xml:space="preserve"> </v>
      </c>
      <c r="O221" s="85" t="str" cm="1">
        <f t="array" ref="O221">IFERROR(VLOOKUP($A221,'The List'!$B1:$AS671,22,FALSE)," ")</f>
        <v xml:space="preserve"> </v>
      </c>
      <c r="P221" s="85" t="str" cm="1">
        <f t="array" ref="P221">IFERROR(VLOOKUP($A221,'The List'!$B1:$AS671,23,FALSE)," ")</f>
        <v xml:space="preserve"> </v>
      </c>
      <c r="Q221" s="85" t="str" cm="1">
        <f t="array" ref="Q221">IFERROR(VLOOKUP($A221,'The List'!$B1:$AS671,24,FALSE)," ")</f>
        <v xml:space="preserve"> </v>
      </c>
      <c r="R221" s="85" t="str" cm="1">
        <f t="array" ref="R221">IFERROR(VLOOKUP($A221,'The List'!$B1:$AS671,25,FALSE)," ")</f>
        <v xml:space="preserve"> </v>
      </c>
      <c r="S221" s="85" t="str" cm="1">
        <f t="array" ref="S221">IFERROR(VLOOKUP($A221,'The List'!$B1:$AS671,26,FALSE)," ")</f>
        <v xml:space="preserve"> </v>
      </c>
      <c r="T221" s="85" t="str" cm="1">
        <f t="array" ref="T221">IFERROR(VLOOKUP($A221,'The List'!$B1:$AS671,27,FALSE)," ")</f>
        <v xml:space="preserve"> </v>
      </c>
      <c r="U221" s="85" t="str" cm="1">
        <f t="array" ref="U221">IFERROR(VLOOKUP($A221,'The List'!$B1:$AS671,28,FALSE)," ")</f>
        <v xml:space="preserve"> </v>
      </c>
      <c r="V221" s="85" t="str" cm="1">
        <f t="array" ref="V221">IFERROR(VLOOKUP($A221,'The List'!$B1:$AS671,29,FALSE)," ")</f>
        <v xml:space="preserve"> </v>
      </c>
      <c r="W221" s="85" t="str" cm="1">
        <f t="array" ref="W221">IFERROR(VLOOKUP($A221,'The List'!$B1:$AS671,30,FALSE)," ")</f>
        <v xml:space="preserve"> </v>
      </c>
      <c r="X221" s="85" t="str" cm="1">
        <f t="array" ref="X221">IFERROR(VLOOKUP($A221,'The List'!$B1:$AS671,31,FALSE)," ")</f>
        <v xml:space="preserve"> </v>
      </c>
      <c r="Y221" s="85" t="str" cm="1">
        <f t="array" ref="Y221">IFERROR(VLOOKUP($A221,'The List'!$B1:$AS671,32,FALSE)," ")</f>
        <v xml:space="preserve"> </v>
      </c>
      <c r="Z221" s="85" t="str" cm="1">
        <f t="array" ref="Z221">IFERROR(VLOOKUP($A221,'The List'!$B1:$AS671,33,FALSE)," ")</f>
        <v xml:space="preserve"> </v>
      </c>
      <c r="AA221" s="86"/>
      <c r="AB221" s="91"/>
      <c r="AC221" s="91"/>
      <c r="AD221" s="91"/>
      <c r="AE221" s="91"/>
      <c r="AF221" s="91"/>
    </row>
    <row r="222" spans="1:32" ht="21.25" customHeight="1" x14ac:dyDescent="0.15">
      <c r="A222" s="24"/>
      <c r="B222" s="100" t="str" cm="1">
        <f t="array" ref="B222">IFERROR(VLOOKUP($A222,'The List'!$B1:$AS671,3,FALSE)," ")</f>
        <v xml:space="preserve"> </v>
      </c>
      <c r="C222" s="102" t="str" cm="1">
        <f t="array" ref="C222">IFERROR(VLOOKUP($A222,'The List'!$B1:$AS671,4,FALSE)," ")</f>
        <v xml:space="preserve"> </v>
      </c>
      <c r="D222" s="18" t="str" cm="1">
        <f t="array" ref="D222">IFERROR(VLOOKUP($A222,'The List'!$B1:$AS671,5,FALSE)," ")</f>
        <v xml:space="preserve"> </v>
      </c>
      <c r="E222" s="18" t="str" cm="1">
        <f t="array" ref="E222">IFERROR(VLOOKUP($A222,'The List'!$B1:$AS671,6,FALSE)," ")</f>
        <v xml:space="preserve"> </v>
      </c>
      <c r="F222" s="93" t="str" cm="1">
        <f t="array" ref="F222">IFERROR(VLOOKUP($A222,'The List'!$B1:$AS671,8,FALSE)," ")</f>
        <v xml:space="preserve"> </v>
      </c>
      <c r="G222" s="93" t="str" cm="1">
        <f t="array" ref="G222">IFERROR(VLOOKUP($A222,'The List'!$B1:$AS671,10,FALSE)," ")</f>
        <v xml:space="preserve"> </v>
      </c>
      <c r="H222" s="55"/>
      <c r="I222" s="85" t="str" cm="1">
        <f t="array" ref="I222">IFERROR(VLOOKUP($A222,'The List'!$B1:$AS671,16,FALSE)," ")</f>
        <v xml:space="preserve"> </v>
      </c>
      <c r="J222" s="85" t="str" cm="1">
        <f t="array" ref="J222">IFERROR(VLOOKUP($A222,'The List'!$B1:$AS671,17,FALSE)," ")</f>
        <v xml:space="preserve"> </v>
      </c>
      <c r="K222" s="85" t="str" cm="1">
        <f t="array" ref="K222">IFERROR(VLOOKUP($A222,'The List'!$B1:$AS671,18,FALSE)," ")</f>
        <v xml:space="preserve"> </v>
      </c>
      <c r="L222" s="85" t="str" cm="1">
        <f t="array" ref="L222">IFERROR(VLOOKUP($A222,'The List'!$B1:$AS671,19,FALSE)," ")</f>
        <v xml:space="preserve"> </v>
      </c>
      <c r="M222" s="85" t="str" cm="1">
        <f t="array" ref="M222">IFERROR(VLOOKUP($A222,'The List'!$B1:$AS671,20,FALSE)," ")</f>
        <v xml:space="preserve"> </v>
      </c>
      <c r="N222" s="85" t="str" cm="1">
        <f t="array" ref="N222">IFERROR(VLOOKUP($A222,'The List'!$B1:$AS671,21,FALSE)," ")</f>
        <v xml:space="preserve"> </v>
      </c>
      <c r="O222" s="85" t="str" cm="1">
        <f t="array" ref="O222">IFERROR(VLOOKUP($A222,'The List'!$B1:$AS671,22,FALSE)," ")</f>
        <v xml:space="preserve"> </v>
      </c>
      <c r="P222" s="85" t="str" cm="1">
        <f t="array" ref="P222">IFERROR(VLOOKUP($A222,'The List'!$B1:$AS671,23,FALSE)," ")</f>
        <v xml:space="preserve"> </v>
      </c>
      <c r="Q222" s="85" t="str" cm="1">
        <f t="array" ref="Q222">IFERROR(VLOOKUP($A222,'The List'!$B1:$AS671,24,FALSE)," ")</f>
        <v xml:space="preserve"> </v>
      </c>
      <c r="R222" s="85" t="str" cm="1">
        <f t="array" ref="R222">IFERROR(VLOOKUP($A222,'The List'!$B1:$AS671,25,FALSE)," ")</f>
        <v xml:space="preserve"> </v>
      </c>
      <c r="S222" s="85" t="str" cm="1">
        <f t="array" ref="S222">IFERROR(VLOOKUP($A222,'The List'!$B1:$AS671,26,FALSE)," ")</f>
        <v xml:space="preserve"> </v>
      </c>
      <c r="T222" s="85" t="str" cm="1">
        <f t="array" ref="T222">IFERROR(VLOOKUP($A222,'The List'!$B1:$AS671,27,FALSE)," ")</f>
        <v xml:space="preserve"> </v>
      </c>
      <c r="U222" s="85" t="str" cm="1">
        <f t="array" ref="U222">IFERROR(VLOOKUP($A222,'The List'!$B1:$AS671,28,FALSE)," ")</f>
        <v xml:space="preserve"> </v>
      </c>
      <c r="V222" s="85" t="str" cm="1">
        <f t="array" ref="V222">IFERROR(VLOOKUP($A222,'The List'!$B1:$AS671,29,FALSE)," ")</f>
        <v xml:space="preserve"> </v>
      </c>
      <c r="W222" s="85" t="str" cm="1">
        <f t="array" ref="W222">IFERROR(VLOOKUP($A222,'The List'!$B1:$AS671,30,FALSE)," ")</f>
        <v xml:space="preserve"> </v>
      </c>
      <c r="X222" s="85" t="str" cm="1">
        <f t="array" ref="X222">IFERROR(VLOOKUP($A222,'The List'!$B1:$AS671,31,FALSE)," ")</f>
        <v xml:space="preserve"> </v>
      </c>
      <c r="Y222" s="85" t="str" cm="1">
        <f t="array" ref="Y222">IFERROR(VLOOKUP($A222,'The List'!$B1:$AS671,32,FALSE)," ")</f>
        <v xml:space="preserve"> </v>
      </c>
      <c r="Z222" s="85" t="str" cm="1">
        <f t="array" ref="Z222">IFERROR(VLOOKUP($A222,'The List'!$B1:$AS671,33,FALSE)," ")</f>
        <v xml:space="preserve"> </v>
      </c>
      <c r="AA222" s="86"/>
      <c r="AB222" s="91"/>
      <c r="AC222" s="91"/>
      <c r="AD222" s="91"/>
      <c r="AE222" s="91"/>
      <c r="AF222" s="91"/>
    </row>
    <row r="223" spans="1:32" ht="21.25" customHeight="1" x14ac:dyDescent="0.15">
      <c r="A223" s="24"/>
      <c r="B223" s="100" t="str" cm="1">
        <f t="array" ref="B223">IFERROR(VLOOKUP($A223,'The List'!$B1:$AS671,3,FALSE)," ")</f>
        <v xml:space="preserve"> </v>
      </c>
      <c r="C223" s="102" t="str" cm="1">
        <f t="array" ref="C223">IFERROR(VLOOKUP($A223,'The List'!$B1:$AS671,4,FALSE)," ")</f>
        <v xml:space="preserve"> </v>
      </c>
      <c r="D223" s="18" t="str" cm="1">
        <f t="array" ref="D223">IFERROR(VLOOKUP($A223,'The List'!$B1:$AS671,5,FALSE)," ")</f>
        <v xml:space="preserve"> </v>
      </c>
      <c r="E223" s="18" t="str" cm="1">
        <f t="array" ref="E223">IFERROR(VLOOKUP($A223,'The List'!$B1:$AS671,6,FALSE)," ")</f>
        <v xml:space="preserve"> </v>
      </c>
      <c r="F223" s="93" t="str" cm="1">
        <f t="array" ref="F223">IFERROR(VLOOKUP($A223,'The List'!$B1:$AS671,8,FALSE)," ")</f>
        <v xml:space="preserve"> </v>
      </c>
      <c r="G223" s="93" t="str" cm="1">
        <f t="array" ref="G223">IFERROR(VLOOKUP($A223,'The List'!$B1:$AS671,10,FALSE)," ")</f>
        <v xml:space="preserve"> </v>
      </c>
      <c r="H223" s="55"/>
      <c r="I223" s="85" t="str" cm="1">
        <f t="array" ref="I223">IFERROR(VLOOKUP($A223,'The List'!$B1:$AS671,16,FALSE)," ")</f>
        <v xml:space="preserve"> </v>
      </c>
      <c r="J223" s="85" t="str" cm="1">
        <f t="array" ref="J223">IFERROR(VLOOKUP($A223,'The List'!$B1:$AS671,17,FALSE)," ")</f>
        <v xml:space="preserve"> </v>
      </c>
      <c r="K223" s="85" t="str" cm="1">
        <f t="array" ref="K223">IFERROR(VLOOKUP($A223,'The List'!$B1:$AS671,18,FALSE)," ")</f>
        <v xml:space="preserve"> </v>
      </c>
      <c r="L223" s="85" t="str" cm="1">
        <f t="array" ref="L223">IFERROR(VLOOKUP($A223,'The List'!$B1:$AS671,19,FALSE)," ")</f>
        <v xml:space="preserve"> </v>
      </c>
      <c r="M223" s="85" t="str" cm="1">
        <f t="array" ref="M223">IFERROR(VLOOKUP($A223,'The List'!$B1:$AS671,20,FALSE)," ")</f>
        <v xml:space="preserve"> </v>
      </c>
      <c r="N223" s="85" t="str" cm="1">
        <f t="array" ref="N223">IFERROR(VLOOKUP($A223,'The List'!$B1:$AS671,21,FALSE)," ")</f>
        <v xml:space="preserve"> </v>
      </c>
      <c r="O223" s="85" t="str" cm="1">
        <f t="array" ref="O223">IFERROR(VLOOKUP($A223,'The List'!$B1:$AS671,22,FALSE)," ")</f>
        <v xml:space="preserve"> </v>
      </c>
      <c r="P223" s="85" t="str" cm="1">
        <f t="array" ref="P223">IFERROR(VLOOKUP($A223,'The List'!$B1:$AS671,23,FALSE)," ")</f>
        <v xml:space="preserve"> </v>
      </c>
      <c r="Q223" s="85" t="str" cm="1">
        <f t="array" ref="Q223">IFERROR(VLOOKUP($A223,'The List'!$B1:$AS671,24,FALSE)," ")</f>
        <v xml:space="preserve"> </v>
      </c>
      <c r="R223" s="85" t="str" cm="1">
        <f t="array" ref="R223">IFERROR(VLOOKUP($A223,'The List'!$B1:$AS671,25,FALSE)," ")</f>
        <v xml:space="preserve"> </v>
      </c>
      <c r="S223" s="85" t="str" cm="1">
        <f t="array" ref="S223">IFERROR(VLOOKUP($A223,'The List'!$B1:$AS671,26,FALSE)," ")</f>
        <v xml:space="preserve"> </v>
      </c>
      <c r="T223" s="85" t="str" cm="1">
        <f t="array" ref="T223">IFERROR(VLOOKUP($A223,'The List'!$B1:$AS671,27,FALSE)," ")</f>
        <v xml:space="preserve"> </v>
      </c>
      <c r="U223" s="85" t="str" cm="1">
        <f t="array" ref="U223">IFERROR(VLOOKUP($A223,'The List'!$B1:$AS671,28,FALSE)," ")</f>
        <v xml:space="preserve"> </v>
      </c>
      <c r="V223" s="85" t="str" cm="1">
        <f t="array" ref="V223">IFERROR(VLOOKUP($A223,'The List'!$B1:$AS671,29,FALSE)," ")</f>
        <v xml:space="preserve"> </v>
      </c>
      <c r="W223" s="85" t="str" cm="1">
        <f t="array" ref="W223">IFERROR(VLOOKUP($A223,'The List'!$B1:$AS671,30,FALSE)," ")</f>
        <v xml:space="preserve"> </v>
      </c>
      <c r="X223" s="85" t="str" cm="1">
        <f t="array" ref="X223">IFERROR(VLOOKUP($A223,'The List'!$B1:$AS671,31,FALSE)," ")</f>
        <v xml:space="preserve"> </v>
      </c>
      <c r="Y223" s="85" t="str" cm="1">
        <f t="array" ref="Y223">IFERROR(VLOOKUP($A223,'The List'!$B1:$AS671,32,FALSE)," ")</f>
        <v xml:space="preserve"> </v>
      </c>
      <c r="Z223" s="85" t="str" cm="1">
        <f t="array" ref="Z223">IFERROR(VLOOKUP($A223,'The List'!$B1:$AS671,33,FALSE)," ")</f>
        <v xml:space="preserve"> </v>
      </c>
      <c r="AA223" s="86"/>
      <c r="AB223" s="91"/>
      <c r="AC223" s="91"/>
      <c r="AD223" s="91"/>
      <c r="AE223" s="91"/>
      <c r="AF223" s="91"/>
    </row>
    <row r="224" spans="1:32" ht="21.25" customHeight="1" x14ac:dyDescent="0.15">
      <c r="A224" s="104"/>
      <c r="B224" s="105" t="str" cm="1">
        <f t="array" ref="B224">IFERROR(VLOOKUP($A224,'The List'!$B1:$AS671,3,FALSE)," ")</f>
        <v xml:space="preserve"> </v>
      </c>
      <c r="C224" s="106" t="str" cm="1">
        <f t="array" ref="C224">IFERROR(VLOOKUP($A224,'The List'!$B1:$AS671,4,FALSE)," ")</f>
        <v xml:space="preserve"> </v>
      </c>
      <c r="D224" s="107" t="str" cm="1">
        <f t="array" ref="D224">IFERROR(VLOOKUP($A224,'The List'!$B1:$AS671,5,FALSE)," ")</f>
        <v xml:space="preserve"> </v>
      </c>
      <c r="E224" s="107" t="str" cm="1">
        <f t="array" ref="E224">IFERROR(VLOOKUP($A224,'The List'!$B1:$AS671,6,FALSE)," ")</f>
        <v xml:space="preserve"> </v>
      </c>
      <c r="F224" s="108" t="str" cm="1">
        <f t="array" ref="F224">IFERROR(VLOOKUP($A224,'The List'!$B1:$AS671,8,FALSE)," ")</f>
        <v xml:space="preserve"> </v>
      </c>
      <c r="G224" s="108" t="str" cm="1">
        <f t="array" ref="G224">IFERROR(VLOOKUP($A224,'The List'!$B1:$AS671,10,FALSE)," ")</f>
        <v xml:space="preserve"> </v>
      </c>
      <c r="H224" s="109"/>
      <c r="I224" s="110" t="str" cm="1">
        <f t="array" ref="I224">IFERROR(VLOOKUP($A224,'The List'!$B1:$AS671,16,FALSE)," ")</f>
        <v xml:space="preserve"> </v>
      </c>
      <c r="J224" s="110" t="str" cm="1">
        <f t="array" ref="J224">IFERROR(VLOOKUP($A224,'The List'!$B1:$AS671,17,FALSE)," ")</f>
        <v xml:space="preserve"> </v>
      </c>
      <c r="K224" s="110" t="str" cm="1">
        <f t="array" ref="K224">IFERROR(VLOOKUP($A224,'The List'!$B1:$AS671,18,FALSE)," ")</f>
        <v xml:space="preserve"> </v>
      </c>
      <c r="L224" s="110" t="str" cm="1">
        <f t="array" ref="L224">IFERROR(VLOOKUP($A224,'The List'!$B1:$AS671,19,FALSE)," ")</f>
        <v xml:space="preserve"> </v>
      </c>
      <c r="M224" s="110" t="str" cm="1">
        <f t="array" ref="M224">IFERROR(VLOOKUP($A224,'The List'!$B1:$AS671,20,FALSE)," ")</f>
        <v xml:space="preserve"> </v>
      </c>
      <c r="N224" s="110" t="str" cm="1">
        <f t="array" ref="N224">IFERROR(VLOOKUP($A224,'The List'!$B1:$AS671,21,FALSE)," ")</f>
        <v xml:space="preserve"> </v>
      </c>
      <c r="O224" s="110" t="str" cm="1">
        <f t="array" ref="O224">IFERROR(VLOOKUP($A224,'The List'!$B1:$AS671,22,FALSE)," ")</f>
        <v xml:space="preserve"> </v>
      </c>
      <c r="P224" s="110" t="str" cm="1">
        <f t="array" ref="P224">IFERROR(VLOOKUP($A224,'The List'!$B1:$AS671,23,FALSE)," ")</f>
        <v xml:space="preserve"> </v>
      </c>
      <c r="Q224" s="110" t="str" cm="1">
        <f t="array" ref="Q224">IFERROR(VLOOKUP($A224,'The List'!$B1:$AS671,24,FALSE)," ")</f>
        <v xml:space="preserve"> </v>
      </c>
      <c r="R224" s="110" t="str" cm="1">
        <f t="array" ref="R224">IFERROR(VLOOKUP($A224,'The List'!$B1:$AS671,25,FALSE)," ")</f>
        <v xml:space="preserve"> </v>
      </c>
      <c r="S224" s="110" t="str" cm="1">
        <f t="array" ref="S224">IFERROR(VLOOKUP($A224,'The List'!$B1:$AS671,26,FALSE)," ")</f>
        <v xml:space="preserve"> </v>
      </c>
      <c r="T224" s="110" t="str" cm="1">
        <f t="array" ref="T224">IFERROR(VLOOKUP($A224,'The List'!$B1:$AS671,27,FALSE)," ")</f>
        <v xml:space="preserve"> </v>
      </c>
      <c r="U224" s="110" t="str" cm="1">
        <f t="array" ref="U224">IFERROR(VLOOKUP($A224,'The List'!$B1:$AS671,28,FALSE)," ")</f>
        <v xml:space="preserve"> </v>
      </c>
      <c r="V224" s="110" t="str" cm="1">
        <f t="array" ref="V224">IFERROR(VLOOKUP($A224,'The List'!$B1:$AS671,29,FALSE)," ")</f>
        <v xml:space="preserve"> </v>
      </c>
      <c r="W224" s="110" t="str" cm="1">
        <f t="array" ref="W224">IFERROR(VLOOKUP($A224,'The List'!$B1:$AS671,30,FALSE)," ")</f>
        <v xml:space="preserve"> </v>
      </c>
      <c r="X224" s="110" t="str" cm="1">
        <f t="array" ref="X224">IFERROR(VLOOKUP($A224,'The List'!$B1:$AS671,31,FALSE)," ")</f>
        <v xml:space="preserve"> </v>
      </c>
      <c r="Y224" s="110" t="str" cm="1">
        <f t="array" ref="Y224">IFERROR(VLOOKUP($A224,'The List'!$B1:$AS671,32,FALSE)," ")</f>
        <v xml:space="preserve"> </v>
      </c>
      <c r="Z224" s="110" t="str" cm="1">
        <f t="array" ref="Z224">IFERROR(VLOOKUP($A224,'The List'!$B1:$AS671,33,FALSE)," ")</f>
        <v xml:space="preserve"> </v>
      </c>
      <c r="AA224" s="86"/>
      <c r="AB224" s="91"/>
      <c r="AC224" s="91"/>
      <c r="AD224" s="91"/>
      <c r="AE224" s="91"/>
      <c r="AF224" s="91"/>
    </row>
    <row r="225" spans="1:32" ht="21.25" customHeight="1" x14ac:dyDescent="0.15">
      <c r="A225" s="111"/>
      <c r="B225" s="112"/>
      <c r="C225" s="113"/>
      <c r="D225" s="114"/>
      <c r="E225" s="114" t="str" cm="1">
        <f t="array" ref="E225">IFERROR(AVERAGE(E205:E224)," ")</f>
        <v xml:space="preserve"> </v>
      </c>
      <c r="F225" s="116" cm="1">
        <f t="array" ref="F225">SUM(F205:F224)</f>
        <v>0</v>
      </c>
      <c r="G225" s="116" cm="1">
        <f t="array" ref="G225">SUM(G205:G224)</f>
        <v>0</v>
      </c>
      <c r="H225" s="117"/>
      <c r="I225" s="118" cm="1">
        <f t="array" ref="I225">SUM(I205:I224)</f>
        <v>0</v>
      </c>
      <c r="J225" s="117" t="e" cm="1">
        <f t="array" ref="J225">AVERAGE(J205:J224)</f>
        <v>#DIV/0!</v>
      </c>
      <c r="K225" s="118" cm="1">
        <f t="array" ref="K225">SUM(K205:K224)</f>
        <v>0</v>
      </c>
      <c r="L225" s="118" cm="1">
        <f t="array" ref="L225">SUM(L205:L224)</f>
        <v>0</v>
      </c>
      <c r="M225" s="118" cm="1">
        <f t="array" ref="M225">SUM(M205:M224)</f>
        <v>0</v>
      </c>
      <c r="N225" s="118" cm="1">
        <f t="array" ref="N225">SUM(N205:N224)</f>
        <v>0</v>
      </c>
      <c r="O225" s="118" cm="1">
        <f t="array" ref="O225">SUM(O205:O224)</f>
        <v>0</v>
      </c>
      <c r="P225" s="118" cm="1">
        <f t="array" ref="P225">SUM(P205:P224)</f>
        <v>0</v>
      </c>
      <c r="Q225" s="118" cm="1">
        <f t="array" ref="Q225">SUM(Q205:Q224)</f>
        <v>0</v>
      </c>
      <c r="R225" s="118" cm="1">
        <f t="array" ref="R225">SUM(R205:R224)</f>
        <v>0</v>
      </c>
      <c r="S225" s="118" cm="1">
        <f t="array" ref="S225">SUM(S205:S224)</f>
        <v>0</v>
      </c>
      <c r="T225" s="118" cm="1">
        <f t="array" ref="T225">SUM(T205:T224)</f>
        <v>0</v>
      </c>
      <c r="U225" s="118" cm="1">
        <f t="array" ref="U225">SUM(U205:U224)</f>
        <v>0</v>
      </c>
      <c r="V225" s="118" cm="1">
        <f t="array" ref="V225">SUM(V205:V224)</f>
        <v>0</v>
      </c>
      <c r="W225" s="118" cm="1">
        <f t="array" ref="W225">SUM(W205:W224)</f>
        <v>0</v>
      </c>
      <c r="X225" s="118" cm="1">
        <f t="array" ref="X225">SUM(X205:X224)</f>
        <v>0</v>
      </c>
      <c r="Y225" s="118" cm="1">
        <f t="array" ref="Y225">SUM(Y205:Y224)</f>
        <v>0</v>
      </c>
      <c r="Z225" s="119" cm="1">
        <f t="array" ref="Z225">IFERROR(X225/(X225+Y225),0)</f>
        <v>0</v>
      </c>
      <c r="AA225" s="86"/>
      <c r="AB225" s="120"/>
      <c r="AC225" s="120"/>
      <c r="AD225" s="120"/>
      <c r="AE225" s="120"/>
      <c r="AF225" s="120"/>
    </row>
    <row r="226" spans="1:32" ht="21.25" customHeight="1" x14ac:dyDescent="0.15">
      <c r="A226" s="37"/>
      <c r="B226" s="121"/>
      <c r="C226" s="122"/>
      <c r="D226" s="13"/>
      <c r="E226" s="13"/>
      <c r="F226" s="123"/>
      <c r="G226" s="124"/>
      <c r="H226" s="125"/>
      <c r="I226" s="12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91"/>
      <c r="AC226" s="91"/>
      <c r="AD226" s="91"/>
      <c r="AE226" s="91"/>
      <c r="AF226" s="91"/>
    </row>
    <row r="227" spans="1:32" ht="21.25" customHeight="1" x14ac:dyDescent="0.15">
      <c r="A227" s="40" t="s">
        <v>91</v>
      </c>
      <c r="B227" s="205" t="s">
        <v>93</v>
      </c>
      <c r="C227" s="197"/>
      <c r="D227" s="127" t="s">
        <v>94</v>
      </c>
      <c r="E227" s="127" t="s">
        <v>95</v>
      </c>
      <c r="F227" s="128" t="s">
        <v>97</v>
      </c>
      <c r="G227" s="128" t="s">
        <v>99</v>
      </c>
      <c r="H227" s="129"/>
      <c r="I227" s="130" t="s">
        <v>104</v>
      </c>
      <c r="J227" s="130" t="s">
        <v>119</v>
      </c>
      <c r="K227" s="130" t="s">
        <v>120</v>
      </c>
      <c r="L227" s="130" t="s">
        <v>121</v>
      </c>
      <c r="M227" s="130" t="s">
        <v>122</v>
      </c>
      <c r="N227" s="130" t="s">
        <v>123</v>
      </c>
      <c r="O227" s="130" t="s">
        <v>124</v>
      </c>
      <c r="P227" s="130" t="s">
        <v>125</v>
      </c>
      <c r="Q227" s="130" t="s">
        <v>126</v>
      </c>
      <c r="R227" s="86"/>
      <c r="S227" s="86"/>
      <c r="T227" s="86"/>
      <c r="U227" s="205" t="s">
        <v>818</v>
      </c>
      <c r="V227" s="206"/>
      <c r="W227" s="206"/>
      <c r="X227" s="205" t="s">
        <v>819</v>
      </c>
      <c r="Y227" s="206"/>
      <c r="Z227" s="206"/>
      <c r="AA227" s="86"/>
      <c r="AB227" s="86"/>
      <c r="AC227" s="86"/>
      <c r="AD227" s="86"/>
      <c r="AE227" s="86"/>
      <c r="AF227" s="86"/>
    </row>
    <row r="228" spans="1:32" ht="21.25" customHeight="1" x14ac:dyDescent="0.15">
      <c r="A228" s="147"/>
      <c r="B228" s="132" t="str" cm="1">
        <f t="array" ref="B228">IFERROR(VLOOKUP($A228,'The List'!$B1:$AS671,3,FALSE)," ")</f>
        <v xml:space="preserve"> </v>
      </c>
      <c r="C228" s="148" t="str" cm="1">
        <f t="array" ref="C228">IFERROR(VLOOKUP($A228,'The List'!$B1:$AS671,4,FALSE)," ")</f>
        <v xml:space="preserve"> </v>
      </c>
      <c r="D228" s="134" t="str" cm="1">
        <f t="array" ref="D228">IFERROR(VLOOKUP($A228,'The List'!$B1:$AS671,5,FALSE)," ")</f>
        <v xml:space="preserve"> </v>
      </c>
      <c r="E228" s="134" t="str" cm="1">
        <f t="array" ref="E228">IFERROR(VLOOKUP($A228,'The List'!$B1:$AS671,6,FALSE)," ")</f>
        <v xml:space="preserve"> </v>
      </c>
      <c r="F228" s="149" t="str" cm="1">
        <f t="array" ref="F228">IFERROR(VLOOKUP($A228,'The List'!$B1:$AS671,8,FALSE)," ")</f>
        <v xml:space="preserve"> </v>
      </c>
      <c r="G228" s="149" t="str" cm="1">
        <f t="array" ref="G228">IFERROR(VLOOKUP($A228,'The List'!$B1:$AS671,10,FALSE)," ")</f>
        <v xml:space="preserve"> </v>
      </c>
      <c r="H228" s="83"/>
      <c r="I228" s="150" t="str" cm="1">
        <f t="array" ref="I228">IFERROR(VLOOKUP($A228,'The List'!$B1:$AS671,35,FALSE)," ")</f>
        <v xml:space="preserve"> </v>
      </c>
      <c r="J228" s="150" t="str" cm="1">
        <f t="array" ref="J228">IFERROR(VLOOKUP($A228,'The List'!$B1:$AS671,36,FALSE)," ")</f>
        <v xml:space="preserve"> </v>
      </c>
      <c r="K228" s="150" t="str" cm="1">
        <f t="array" ref="K228">IFERROR(VLOOKUP($A228,'The List'!$B1:$AS671,37,FALSE)," ")</f>
        <v xml:space="preserve"> </v>
      </c>
      <c r="L228" s="150" t="str" cm="1">
        <f t="array" ref="L228">IFERROR(VLOOKUP($A228,'The List'!$B1:$AS671,38,FALSE)," ")</f>
        <v xml:space="preserve"> </v>
      </c>
      <c r="M228" s="150" t="str" cm="1">
        <f t="array" ref="M228">IFERROR(VLOOKUP($A228,'The List'!$B1:$AS671,39,FALSE)," ")</f>
        <v xml:space="preserve"> </v>
      </c>
      <c r="N228" s="150" t="str" cm="1">
        <f t="array" ref="N228">IFERROR(VLOOKUP($A228,'The List'!$B1:$AS671,40,FALSE)," ")</f>
        <v xml:space="preserve"> </v>
      </c>
      <c r="O228" s="150" t="str" cm="1">
        <f t="array" ref="O228">IFERROR(VLOOKUP($A228,'The List'!$B1:$AS671,41,FALSE)," ")</f>
        <v xml:space="preserve"> </v>
      </c>
      <c r="P228" s="150" t="str" cm="1">
        <f t="array" ref="P228">IFERROR(VLOOKUP($A228,'The List'!$B1:$AS671,42,FALSE)," ")</f>
        <v xml:space="preserve"> </v>
      </c>
      <c r="Q228" s="150" t="str" cm="1">
        <f t="array" ref="Q228">IFERROR(VLOOKUP($A228,'The List'!$B1:$AS671,43,FALSE)," ")</f>
        <v xml:space="preserve"> </v>
      </c>
      <c r="R228" s="86"/>
      <c r="S228" s="86"/>
      <c r="T228" s="140" t="str" cm="1">
        <f t="array" ref="T228">A204</f>
        <v>TEAM 8</v>
      </c>
      <c r="U228" s="207" cm="1">
        <f t="array" ref="U228">F225+F231</f>
        <v>0</v>
      </c>
      <c r="V228" s="197"/>
      <c r="W228" s="197"/>
      <c r="X228" s="207" cm="1">
        <f t="array" ref="X228">G231+G225</f>
        <v>0</v>
      </c>
      <c r="Y228" s="197"/>
      <c r="Z228" s="197"/>
      <c r="AA228" s="86"/>
      <c r="AB228" s="86"/>
      <c r="AC228" s="86"/>
      <c r="AD228" s="86"/>
      <c r="AE228" s="86"/>
      <c r="AF228" s="86"/>
    </row>
    <row r="229" spans="1:32" ht="21.25" customHeight="1" x14ac:dyDescent="0.15">
      <c r="A229" s="24"/>
      <c r="B229" s="141" t="str" cm="1">
        <f t="array" ref="B229">IFERROR(VLOOKUP($A229,'The List'!$B1:$AS671,3,FALSE)," ")</f>
        <v xml:space="preserve"> </v>
      </c>
      <c r="C229" s="142" t="str" cm="1">
        <f t="array" ref="C229">IFERROR(VLOOKUP($A229,'The List'!$B1:$AS671,4,FALSE)," ")</f>
        <v xml:space="preserve"> </v>
      </c>
      <c r="D229" s="18" t="str" cm="1">
        <f t="array" ref="D229">IFERROR(VLOOKUP($A229,'The List'!$B1:$AS671,5,FALSE)," ")</f>
        <v xml:space="preserve"> </v>
      </c>
      <c r="E229" s="18" t="str" cm="1">
        <f t="array" ref="E229">IFERROR(VLOOKUP($A229,'The List'!$B1:$AS671,6,FALSE)," ")</f>
        <v xml:space="preserve"> </v>
      </c>
      <c r="F229" s="93" t="str" cm="1">
        <f t="array" ref="F229">IFERROR(VLOOKUP($A229,'The List'!$B1:$AS671,8,FALSE)," ")</f>
        <v xml:space="preserve"> </v>
      </c>
      <c r="G229" s="93" t="str" cm="1">
        <f t="array" ref="G229">IFERROR(VLOOKUP($A229,'The List'!$B1:$AS671,10,FALSE)," ")</f>
        <v xml:space="preserve"> </v>
      </c>
      <c r="H229" s="55"/>
      <c r="I229" s="85" t="str" cm="1">
        <f t="array" ref="I229">IFERROR(VLOOKUP($A229,'The List'!$B1:$AS671,35,FALSE)," ")</f>
        <v xml:space="preserve"> </v>
      </c>
      <c r="J229" s="85" t="str" cm="1">
        <f t="array" ref="J229">IFERROR(VLOOKUP($A229,'The List'!$B1:$AS671,36,FALSE)," ")</f>
        <v xml:space="preserve"> </v>
      </c>
      <c r="K229" s="85" t="str" cm="1">
        <f t="array" ref="K229">IFERROR(VLOOKUP($A229,'The List'!$B1:$AS671,37,FALSE)," ")</f>
        <v xml:space="preserve"> </v>
      </c>
      <c r="L229" s="85" t="str" cm="1">
        <f t="array" ref="L229">IFERROR(VLOOKUP($A229,'The List'!$B1:$AS671,38,FALSE)," ")</f>
        <v xml:space="preserve"> </v>
      </c>
      <c r="M229" s="85" t="str" cm="1">
        <f t="array" ref="M229">IFERROR(VLOOKUP($A229,'The List'!$B1:$AS671,39,FALSE)," ")</f>
        <v xml:space="preserve"> </v>
      </c>
      <c r="N229" s="85" t="str" cm="1">
        <f t="array" ref="N229">IFERROR(VLOOKUP($A229,'The List'!$B1:$AS671,40,FALSE)," ")</f>
        <v xml:space="preserve"> </v>
      </c>
      <c r="O229" s="85" t="str" cm="1">
        <f t="array" ref="O229">IFERROR(VLOOKUP($A229,'The List'!$B1:$AS671,41,FALSE)," ")</f>
        <v xml:space="preserve"> </v>
      </c>
      <c r="P229" s="85" t="str" cm="1">
        <f t="array" ref="P229">IFERROR(VLOOKUP($A229,'The List'!$B1:$AS671,42,FALSE)," ")</f>
        <v xml:space="preserve"> </v>
      </c>
      <c r="Q229" s="85" t="str" cm="1">
        <f t="array" ref="Q229">IFERROR(VLOOKUP($A229,'The List'!$B1:$AS671,43,FALSE)," ")</f>
        <v xml:space="preserve"> </v>
      </c>
      <c r="R229" s="86"/>
      <c r="S229" s="86"/>
      <c r="T229" s="86"/>
      <c r="U229" s="197"/>
      <c r="V229" s="197"/>
      <c r="W229" s="197"/>
      <c r="X229" s="197"/>
      <c r="Y229" s="197"/>
      <c r="Z229" s="197"/>
      <c r="AA229" s="86"/>
      <c r="AB229" s="86"/>
      <c r="AC229" s="86"/>
      <c r="AD229" s="86"/>
      <c r="AE229" s="86"/>
      <c r="AF229" s="86"/>
    </row>
    <row r="230" spans="1:32" ht="21.25" customHeight="1" x14ac:dyDescent="0.15">
      <c r="A230" s="104"/>
      <c r="B230" s="143" t="str" cm="1">
        <f t="array" ref="B230">IFERROR(VLOOKUP($A230,'The List'!$B1:$AS671,3,FALSE)," ")</f>
        <v xml:space="preserve"> </v>
      </c>
      <c r="C230" s="144" t="str" cm="1">
        <f t="array" ref="C230">IFERROR(VLOOKUP($A230,'The List'!$B1:$AS671,4,FALSE)," ")</f>
        <v xml:space="preserve"> </v>
      </c>
      <c r="D230" s="107" t="str" cm="1">
        <f t="array" ref="D230">IFERROR(VLOOKUP($A230,'The List'!$B1:$AS671,5,FALSE)," ")</f>
        <v xml:space="preserve"> </v>
      </c>
      <c r="E230" s="107" t="str" cm="1">
        <f t="array" ref="E230">IFERROR(VLOOKUP($A230,'The List'!$B1:$AS671,6,FALSE)," ")</f>
        <v xml:space="preserve"> </v>
      </c>
      <c r="F230" s="108" t="str" cm="1">
        <f t="array" ref="F230">IFERROR(VLOOKUP($A230,'The List'!$B1:$AS671,8,FALSE)," ")</f>
        <v xml:space="preserve"> </v>
      </c>
      <c r="G230" s="108" t="str" cm="1">
        <f t="array" ref="G230">IFERROR(VLOOKUP($A230,'The List'!$B1:$AS671,10,FALSE)," ")</f>
        <v xml:space="preserve"> </v>
      </c>
      <c r="H230" s="109"/>
      <c r="I230" s="110" t="str" cm="1">
        <f t="array" ref="I230">IFERROR(VLOOKUP($A230,'The List'!$B1:$AS671,35,FALSE)," ")</f>
        <v xml:space="preserve"> </v>
      </c>
      <c r="J230" s="110" t="str" cm="1">
        <f t="array" ref="J230">IFERROR(VLOOKUP($A230,'The List'!$B1:$AS671,36,FALSE)," ")</f>
        <v xml:space="preserve"> </v>
      </c>
      <c r="K230" s="110" t="str" cm="1">
        <f t="array" ref="K230">IFERROR(VLOOKUP($A230,'The List'!$B1:$AS671,37,FALSE)," ")</f>
        <v xml:space="preserve"> </v>
      </c>
      <c r="L230" s="110" t="str" cm="1">
        <f t="array" ref="L230">IFERROR(VLOOKUP($A230,'The List'!$B1:$AS671,38,FALSE)," ")</f>
        <v xml:space="preserve"> </v>
      </c>
      <c r="M230" s="110" t="str" cm="1">
        <f t="array" ref="M230">IFERROR(VLOOKUP($A230,'The List'!$B1:$AS671,39,FALSE)," ")</f>
        <v xml:space="preserve"> </v>
      </c>
      <c r="N230" s="110" t="str" cm="1">
        <f t="array" ref="N230">IFERROR(VLOOKUP($A230,'The List'!$B1:$AS671,40,FALSE)," ")</f>
        <v xml:space="preserve"> </v>
      </c>
      <c r="O230" s="110" t="str" cm="1">
        <f t="array" ref="O230">IFERROR(VLOOKUP($A230,'The List'!$B1:$AS671,41,FALSE)," ")</f>
        <v xml:space="preserve"> </v>
      </c>
      <c r="P230" s="110" t="str" cm="1">
        <f t="array" ref="P230">IFERROR(VLOOKUP($A230,'The List'!$B1:$AS671,42,FALSE)," ")</f>
        <v xml:space="preserve"> </v>
      </c>
      <c r="Q230" s="110" t="str" cm="1">
        <f t="array" ref="Q230">IFERROR(VLOOKUP($A230,'The List'!$B1:$AS671,43,FALSE)," ")</f>
        <v xml:space="preserve"> </v>
      </c>
      <c r="R230" s="86"/>
      <c r="S230" s="86"/>
      <c r="T230" s="86"/>
      <c r="U230" s="197"/>
      <c r="V230" s="197"/>
      <c r="W230" s="197"/>
      <c r="X230" s="197"/>
      <c r="Y230" s="197"/>
      <c r="Z230" s="197"/>
      <c r="AA230" s="86"/>
      <c r="AB230" s="86"/>
      <c r="AC230" s="86"/>
      <c r="AD230" s="86"/>
      <c r="AE230" s="86"/>
      <c r="AF230" s="86"/>
    </row>
    <row r="231" spans="1:32" ht="21.25" customHeight="1" x14ac:dyDescent="0.15">
      <c r="A231" s="111"/>
      <c r="B231" s="112"/>
      <c r="C231" s="113"/>
      <c r="D231" s="114"/>
      <c r="E231" s="114" t="str" cm="1">
        <f t="array" ref="E231">IFERROR(AVERAGE(E228:E230)," ")</f>
        <v xml:space="preserve"> </v>
      </c>
      <c r="F231" s="116" cm="1">
        <f t="array" ref="F231">SUM(F228:F230)</f>
        <v>0</v>
      </c>
      <c r="G231" s="116" cm="1">
        <f t="array" ref="G231">SUM(G228:G230)</f>
        <v>0</v>
      </c>
      <c r="H231" s="117"/>
      <c r="I231" s="118" cm="1">
        <f t="array" ref="I231">SUM(I228:I230)</f>
        <v>0</v>
      </c>
      <c r="J231" s="117" cm="1">
        <f t="array" ref="J231">SUM(J228:J230)</f>
        <v>0</v>
      </c>
      <c r="K231" s="118" cm="1">
        <f t="array" ref="K231">SUM(K228:K230)</f>
        <v>0</v>
      </c>
      <c r="L231" s="118" cm="1">
        <f t="array" ref="L231">SUM(L228:L230)</f>
        <v>0</v>
      </c>
      <c r="M231" s="118" cm="1">
        <f t="array" ref="M231">SUM(M228:M230)</f>
        <v>0</v>
      </c>
      <c r="N231" s="118" cm="1">
        <f t="array" ref="N231">SUM(N228:N230)</f>
        <v>0</v>
      </c>
      <c r="O231" s="118" cm="1">
        <f t="array" ref="O231">SUM(O228:O230)</f>
        <v>0</v>
      </c>
      <c r="P231" s="145" t="e" cm="1">
        <f t="array" ref="P231">1-(O231/(N231+O231))</f>
        <v>#DIV/0!</v>
      </c>
      <c r="Q231" s="146" t="e" cm="1">
        <f t="array" ref="Q231">O231/I231</f>
        <v>#DIV/0!</v>
      </c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</row>
    <row r="232" spans="1:32" ht="70.75" customHeight="1" x14ac:dyDescent="0.15">
      <c r="A232" s="37"/>
      <c r="B232" s="121"/>
      <c r="C232" s="122"/>
      <c r="D232" s="13"/>
      <c r="E232" s="13"/>
      <c r="F232" s="123"/>
      <c r="G232" s="124"/>
      <c r="H232" s="125"/>
      <c r="I232" s="12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91"/>
      <c r="AB232" s="91"/>
      <c r="AC232" s="91"/>
      <c r="AD232" s="91"/>
      <c r="AE232" s="91"/>
      <c r="AF232" s="91"/>
    </row>
    <row r="233" spans="1:32" ht="21.25" customHeight="1" x14ac:dyDescent="0.15">
      <c r="A233" s="41" t="s">
        <v>810</v>
      </c>
      <c r="B233" s="194" t="s">
        <v>93</v>
      </c>
      <c r="C233" s="195"/>
      <c r="D233" s="42" t="s">
        <v>94</v>
      </c>
      <c r="E233" s="42" t="s">
        <v>95</v>
      </c>
      <c r="F233" s="43" t="s">
        <v>97</v>
      </c>
      <c r="G233" s="43" t="s">
        <v>99</v>
      </c>
      <c r="H233" s="44"/>
      <c r="I233" s="46" t="s">
        <v>104</v>
      </c>
      <c r="J233" s="46" t="s">
        <v>56</v>
      </c>
      <c r="K233" s="46" t="s">
        <v>105</v>
      </c>
      <c r="L233" s="46" t="s">
        <v>106</v>
      </c>
      <c r="M233" s="46" t="s">
        <v>107</v>
      </c>
      <c r="N233" s="46" t="s">
        <v>108</v>
      </c>
      <c r="O233" s="46" t="s">
        <v>64</v>
      </c>
      <c r="P233" s="46" t="s">
        <v>68</v>
      </c>
      <c r="Q233" s="46" t="s">
        <v>109</v>
      </c>
      <c r="R233" s="46" t="s">
        <v>110</v>
      </c>
      <c r="S233" s="46" t="s">
        <v>111</v>
      </c>
      <c r="T233" s="46" t="s">
        <v>112</v>
      </c>
      <c r="U233" s="46" t="s">
        <v>113</v>
      </c>
      <c r="V233" s="46" t="s">
        <v>114</v>
      </c>
      <c r="W233" s="46" t="s">
        <v>115</v>
      </c>
      <c r="X233" s="46" t="s">
        <v>116</v>
      </c>
      <c r="Y233" s="46" t="s">
        <v>117</v>
      </c>
      <c r="Z233" s="46" t="s">
        <v>118</v>
      </c>
      <c r="AA233" s="86"/>
      <c r="AB233" s="87"/>
      <c r="AC233" s="87"/>
      <c r="AD233" s="87"/>
      <c r="AE233" s="87"/>
      <c r="AF233" s="87"/>
    </row>
    <row r="234" spans="1:32" ht="21.25" customHeight="1" x14ac:dyDescent="0.15">
      <c r="A234" s="24"/>
      <c r="B234" s="88" t="str" cm="1">
        <f t="array" ref="B234">IFERROR(VLOOKUP($A234,'The List'!$B1:$AS671,3,FALSE)," ")</f>
        <v xml:space="preserve"> </v>
      </c>
      <c r="C234" s="92" t="str" cm="1">
        <f t="array" ref="C234">IFERROR(VLOOKUP($A234,'The List'!$B1:$AS671,4,FALSE)," ")</f>
        <v xml:space="preserve"> </v>
      </c>
      <c r="D234" s="18" t="str" cm="1">
        <f t="array" ref="D234">IFERROR(VLOOKUP($A234,'The List'!$B1:$AS671,5,FALSE)," ")</f>
        <v xml:space="preserve"> </v>
      </c>
      <c r="E234" s="18" t="str" cm="1">
        <f t="array" ref="E234">IFERROR(VLOOKUP($A234,'The List'!$B1:$AS671,6,FALSE)," ")</f>
        <v xml:space="preserve"> </v>
      </c>
      <c r="F234" s="93" t="str" cm="1">
        <f t="array" ref="F234">IFERROR(VLOOKUP($A234,'The List'!$B1:$AS671,8,FALSE)," ")</f>
        <v xml:space="preserve"> </v>
      </c>
      <c r="G234" s="93" t="str" cm="1">
        <f t="array" ref="G234">IFERROR(VLOOKUP($A234,'The List'!$B1:$AS671,10,FALSE)," ")</f>
        <v xml:space="preserve"> </v>
      </c>
      <c r="H234" s="55"/>
      <c r="I234" s="85" t="str" cm="1">
        <f t="array" ref="I234">IFERROR(VLOOKUP($A234,'The List'!$B1:$AS671,16,FALSE)," ")</f>
        <v xml:space="preserve"> </v>
      </c>
      <c r="J234" s="85" t="str" cm="1">
        <f t="array" ref="J234">IFERROR(VLOOKUP($A234,'The List'!$B1:$AS671,17,FALSE)," ")</f>
        <v xml:space="preserve"> </v>
      </c>
      <c r="K234" s="85" t="str" cm="1">
        <f t="array" ref="K234">IFERROR(VLOOKUP($A234,'The List'!$B1:$AS671,18,FALSE)," ")</f>
        <v xml:space="preserve"> </v>
      </c>
      <c r="L234" s="85" t="str" cm="1">
        <f t="array" ref="L234">IFERROR(VLOOKUP($A234,'The List'!$B1:$AS671,19,FALSE)," ")</f>
        <v xml:space="preserve"> </v>
      </c>
      <c r="M234" s="85" t="str" cm="1">
        <f t="array" ref="M234">IFERROR(VLOOKUP($A234,'The List'!$B1:$AS671,20,FALSE)," ")</f>
        <v xml:space="preserve"> </v>
      </c>
      <c r="N234" s="85" t="str" cm="1">
        <f t="array" ref="N234">IFERROR(VLOOKUP($A234,'The List'!$B1:$AS671,21,FALSE)," ")</f>
        <v xml:space="preserve"> </v>
      </c>
      <c r="O234" s="85" t="str" cm="1">
        <f t="array" ref="O234">IFERROR(VLOOKUP($A234,'The List'!$B1:$AS671,22,FALSE)," ")</f>
        <v xml:space="preserve"> </v>
      </c>
      <c r="P234" s="85" t="str" cm="1">
        <f t="array" ref="P234">IFERROR(VLOOKUP($A234,'The List'!$B1:$AS671,23,FALSE)," ")</f>
        <v xml:space="preserve"> </v>
      </c>
      <c r="Q234" s="85" t="str" cm="1">
        <f t="array" ref="Q234">IFERROR(VLOOKUP($A234,'The List'!$B1:$AS671,24,FALSE)," ")</f>
        <v xml:space="preserve"> </v>
      </c>
      <c r="R234" s="85" t="str" cm="1">
        <f t="array" ref="R234">IFERROR(VLOOKUP($A234,'The List'!$B1:$AS671,25,FALSE)," ")</f>
        <v xml:space="preserve"> </v>
      </c>
      <c r="S234" s="85" t="str" cm="1">
        <f t="array" ref="S234">IFERROR(VLOOKUP($A234,'The List'!$B1:$AS671,26,FALSE)," ")</f>
        <v xml:space="preserve"> </v>
      </c>
      <c r="T234" s="85" t="str" cm="1">
        <f t="array" ref="T234">IFERROR(VLOOKUP($A234,'The List'!$B1:$AS671,27,FALSE)," ")</f>
        <v xml:space="preserve"> </v>
      </c>
      <c r="U234" s="85" t="str" cm="1">
        <f t="array" ref="U234">IFERROR(VLOOKUP($A234,'The List'!$B1:$AS671,28,FALSE)," ")</f>
        <v xml:space="preserve"> </v>
      </c>
      <c r="V234" s="85" t="str" cm="1">
        <f t="array" ref="V234">IFERROR(VLOOKUP($A234,'The List'!$B1:$AS671,29,FALSE)," ")</f>
        <v xml:space="preserve"> </v>
      </c>
      <c r="W234" s="85" t="str" cm="1">
        <f t="array" ref="W234">IFERROR(VLOOKUP($A234,'The List'!$B1:$AS671,30,FALSE)," ")</f>
        <v xml:space="preserve"> </v>
      </c>
      <c r="X234" s="85" t="str" cm="1">
        <f t="array" ref="X234">IFERROR(VLOOKUP($A234,'The List'!$B1:$AS671,31,FALSE)," ")</f>
        <v xml:space="preserve"> </v>
      </c>
      <c r="Y234" s="85" t="str" cm="1">
        <f t="array" ref="Y234">IFERROR(VLOOKUP($A234,'The List'!$B1:$AS671,32,FALSE)," ")</f>
        <v xml:space="preserve"> </v>
      </c>
      <c r="Z234" s="85" t="str" cm="1">
        <f t="array" ref="Z234">IFERROR(VLOOKUP($A234,'The List'!$B1:$AS671,33,FALSE)," ")</f>
        <v xml:space="preserve"> </v>
      </c>
      <c r="AA234" s="86"/>
      <c r="AB234" s="91"/>
      <c r="AC234" s="91"/>
      <c r="AD234" s="91"/>
      <c r="AE234" s="91"/>
      <c r="AF234" s="91"/>
    </row>
    <row r="235" spans="1:32" ht="21.25" customHeight="1" x14ac:dyDescent="0.15">
      <c r="A235" s="24"/>
      <c r="B235" s="88" t="str" cm="1">
        <f t="array" ref="B235">IFERROR(VLOOKUP($A235,'The List'!$B1:$AS671,3,FALSE)," ")</f>
        <v xml:space="preserve"> </v>
      </c>
      <c r="C235" s="92" t="str" cm="1">
        <f t="array" ref="C235">IFERROR(VLOOKUP($A235,'The List'!$B1:$AS671,4,FALSE)," ")</f>
        <v xml:space="preserve"> </v>
      </c>
      <c r="D235" s="18" t="str" cm="1">
        <f t="array" ref="D235">IFERROR(VLOOKUP($A235,'The List'!$B1:$AS671,5,FALSE)," ")</f>
        <v xml:space="preserve"> </v>
      </c>
      <c r="E235" s="18" t="str" cm="1">
        <f t="array" ref="E235">IFERROR(VLOOKUP($A235,'The List'!$B1:$AS671,6,FALSE)," ")</f>
        <v xml:space="preserve"> </v>
      </c>
      <c r="F235" s="93" t="str" cm="1">
        <f t="array" ref="F235">IFERROR(VLOOKUP($A235,'The List'!$B1:$AS671,8,FALSE)," ")</f>
        <v xml:space="preserve"> </v>
      </c>
      <c r="G235" s="93" t="str" cm="1">
        <f t="array" ref="G235">IFERROR(VLOOKUP($A235,'The List'!$B1:$AS671,10,FALSE)," ")</f>
        <v xml:space="preserve"> </v>
      </c>
      <c r="H235" s="55"/>
      <c r="I235" s="85" t="str" cm="1">
        <f t="array" ref="I235">IFERROR(VLOOKUP($A235,'The List'!$B1:$AS671,16,FALSE)," ")</f>
        <v xml:space="preserve"> </v>
      </c>
      <c r="J235" s="85" t="str" cm="1">
        <f t="array" ref="J235">IFERROR(VLOOKUP($A235,'The List'!$B1:$AS671,17,FALSE)," ")</f>
        <v xml:space="preserve"> </v>
      </c>
      <c r="K235" s="85" t="str" cm="1">
        <f t="array" ref="K235">IFERROR(VLOOKUP($A235,'The List'!$B1:$AS671,18,FALSE)," ")</f>
        <v xml:space="preserve"> </v>
      </c>
      <c r="L235" s="85" t="str" cm="1">
        <f t="array" ref="L235">IFERROR(VLOOKUP($A235,'The List'!$B1:$AS671,19,FALSE)," ")</f>
        <v xml:space="preserve"> </v>
      </c>
      <c r="M235" s="85" t="str" cm="1">
        <f t="array" ref="M235">IFERROR(VLOOKUP($A235,'The List'!$B1:$AS671,20,FALSE)," ")</f>
        <v xml:space="preserve"> </v>
      </c>
      <c r="N235" s="85" t="str" cm="1">
        <f t="array" ref="N235">IFERROR(VLOOKUP($A235,'The List'!$B1:$AS671,21,FALSE)," ")</f>
        <v xml:space="preserve"> </v>
      </c>
      <c r="O235" s="85" t="str" cm="1">
        <f t="array" ref="O235">IFERROR(VLOOKUP($A235,'The List'!$B1:$AS671,22,FALSE)," ")</f>
        <v xml:space="preserve"> </v>
      </c>
      <c r="P235" s="85" t="str" cm="1">
        <f t="array" ref="P235">IFERROR(VLOOKUP($A235,'The List'!$B1:$AS671,23,FALSE)," ")</f>
        <v xml:space="preserve"> </v>
      </c>
      <c r="Q235" s="85" t="str" cm="1">
        <f t="array" ref="Q235">IFERROR(VLOOKUP($A235,'The List'!$B1:$AS671,24,FALSE)," ")</f>
        <v xml:space="preserve"> </v>
      </c>
      <c r="R235" s="85" t="str" cm="1">
        <f t="array" ref="R235">IFERROR(VLOOKUP($A235,'The List'!$B1:$AS671,25,FALSE)," ")</f>
        <v xml:space="preserve"> </v>
      </c>
      <c r="S235" s="85" t="str" cm="1">
        <f t="array" ref="S235">IFERROR(VLOOKUP($A235,'The List'!$B1:$AS671,26,FALSE)," ")</f>
        <v xml:space="preserve"> </v>
      </c>
      <c r="T235" s="85" t="str" cm="1">
        <f t="array" ref="T235">IFERROR(VLOOKUP($A235,'The List'!$B1:$AS671,27,FALSE)," ")</f>
        <v xml:space="preserve"> </v>
      </c>
      <c r="U235" s="85" t="str" cm="1">
        <f t="array" ref="U235">IFERROR(VLOOKUP($A235,'The List'!$B1:$AS671,28,FALSE)," ")</f>
        <v xml:space="preserve"> </v>
      </c>
      <c r="V235" s="85" t="str" cm="1">
        <f t="array" ref="V235">IFERROR(VLOOKUP($A235,'The List'!$B1:$AS671,29,FALSE)," ")</f>
        <v xml:space="preserve"> </v>
      </c>
      <c r="W235" s="85" t="str" cm="1">
        <f t="array" ref="W235">IFERROR(VLOOKUP($A235,'The List'!$B1:$AS671,30,FALSE)," ")</f>
        <v xml:space="preserve"> </v>
      </c>
      <c r="X235" s="85" t="str" cm="1">
        <f t="array" ref="X235">IFERROR(VLOOKUP($A235,'The List'!$B1:$AS671,31,FALSE)," ")</f>
        <v xml:space="preserve"> </v>
      </c>
      <c r="Y235" s="85" t="str" cm="1">
        <f t="array" ref="Y235">IFERROR(VLOOKUP($A235,'The List'!$B1:$AS671,32,FALSE)," ")</f>
        <v xml:space="preserve"> </v>
      </c>
      <c r="Z235" s="85" t="str" cm="1">
        <f t="array" ref="Z235">IFERROR(VLOOKUP($A235,'The List'!$B1:$AS671,33,FALSE)," ")</f>
        <v xml:space="preserve"> </v>
      </c>
      <c r="AA235" s="86"/>
      <c r="AB235" s="91"/>
      <c r="AC235" s="91"/>
      <c r="AD235" s="91"/>
      <c r="AE235" s="91"/>
      <c r="AF235" s="91"/>
    </row>
    <row r="236" spans="1:32" ht="21.25" customHeight="1" x14ac:dyDescent="0.15">
      <c r="A236" s="24"/>
      <c r="B236" s="88" t="str" cm="1">
        <f t="array" ref="B236">IFERROR(VLOOKUP($A236,'The List'!$B1:$AS671,3,FALSE)," ")</f>
        <v xml:space="preserve"> </v>
      </c>
      <c r="C236" s="92" t="str" cm="1">
        <f t="array" ref="C236">IFERROR(VLOOKUP($A236,'The List'!$B1:$AS671,4,FALSE)," ")</f>
        <v xml:space="preserve"> </v>
      </c>
      <c r="D236" s="18" t="str" cm="1">
        <f t="array" ref="D236">IFERROR(VLOOKUP($A236,'The List'!$B1:$AS671,5,FALSE)," ")</f>
        <v xml:space="preserve"> </v>
      </c>
      <c r="E236" s="18" t="str" cm="1">
        <f t="array" ref="E236">IFERROR(VLOOKUP($A236,'The List'!$B1:$AS671,6,FALSE)," ")</f>
        <v xml:space="preserve"> </v>
      </c>
      <c r="F236" s="93" t="str" cm="1">
        <f t="array" ref="F236">IFERROR(VLOOKUP($A236,'The List'!$B1:$AS671,8,FALSE)," ")</f>
        <v xml:space="preserve"> </v>
      </c>
      <c r="G236" s="93" t="str" cm="1">
        <f t="array" ref="G236">IFERROR(VLOOKUP($A236,'The List'!$B1:$AS671,10,FALSE)," ")</f>
        <v xml:space="preserve"> </v>
      </c>
      <c r="H236" s="55"/>
      <c r="I236" s="85" t="str" cm="1">
        <f t="array" ref="I236">IFERROR(VLOOKUP($A236,'The List'!$B1:$AS671,16,FALSE)," ")</f>
        <v xml:space="preserve"> </v>
      </c>
      <c r="J236" s="85" t="str" cm="1">
        <f t="array" ref="J236">IFERROR(VLOOKUP($A236,'The List'!$B1:$AS671,17,FALSE)," ")</f>
        <v xml:space="preserve"> </v>
      </c>
      <c r="K236" s="85" t="str" cm="1">
        <f t="array" ref="K236">IFERROR(VLOOKUP($A236,'The List'!$B1:$AS671,18,FALSE)," ")</f>
        <v xml:space="preserve"> </v>
      </c>
      <c r="L236" s="85" t="str" cm="1">
        <f t="array" ref="L236">IFERROR(VLOOKUP($A236,'The List'!$B1:$AS671,19,FALSE)," ")</f>
        <v xml:space="preserve"> </v>
      </c>
      <c r="M236" s="85" t="str" cm="1">
        <f t="array" ref="M236">IFERROR(VLOOKUP($A236,'The List'!$B1:$AS671,20,FALSE)," ")</f>
        <v xml:space="preserve"> </v>
      </c>
      <c r="N236" s="85" t="str" cm="1">
        <f t="array" ref="N236">IFERROR(VLOOKUP($A236,'The List'!$B1:$AS671,21,FALSE)," ")</f>
        <v xml:space="preserve"> </v>
      </c>
      <c r="O236" s="85" t="str" cm="1">
        <f t="array" ref="O236">IFERROR(VLOOKUP($A236,'The List'!$B1:$AS671,22,FALSE)," ")</f>
        <v xml:space="preserve"> </v>
      </c>
      <c r="P236" s="85" t="str" cm="1">
        <f t="array" ref="P236">IFERROR(VLOOKUP($A236,'The List'!$B1:$AS671,23,FALSE)," ")</f>
        <v xml:space="preserve"> </v>
      </c>
      <c r="Q236" s="85" t="str" cm="1">
        <f t="array" ref="Q236">IFERROR(VLOOKUP($A236,'The List'!$B1:$AS671,24,FALSE)," ")</f>
        <v xml:space="preserve"> </v>
      </c>
      <c r="R236" s="85" t="str" cm="1">
        <f t="array" ref="R236">IFERROR(VLOOKUP($A236,'The List'!$B1:$AS671,25,FALSE)," ")</f>
        <v xml:space="preserve"> </v>
      </c>
      <c r="S236" s="85" t="str" cm="1">
        <f t="array" ref="S236">IFERROR(VLOOKUP($A236,'The List'!$B1:$AS671,26,FALSE)," ")</f>
        <v xml:space="preserve"> </v>
      </c>
      <c r="T236" s="85" t="str" cm="1">
        <f t="array" ref="T236">IFERROR(VLOOKUP($A236,'The List'!$B1:$AS671,27,FALSE)," ")</f>
        <v xml:space="preserve"> </v>
      </c>
      <c r="U236" s="85" t="str" cm="1">
        <f t="array" ref="U236">IFERROR(VLOOKUP($A236,'The List'!$B1:$AS671,28,FALSE)," ")</f>
        <v xml:space="preserve"> </v>
      </c>
      <c r="V236" s="85" t="str" cm="1">
        <f t="array" ref="V236">IFERROR(VLOOKUP($A236,'The List'!$B1:$AS671,29,FALSE)," ")</f>
        <v xml:space="preserve"> </v>
      </c>
      <c r="W236" s="85" t="str" cm="1">
        <f t="array" ref="W236">IFERROR(VLOOKUP($A236,'The List'!$B1:$AS671,30,FALSE)," ")</f>
        <v xml:space="preserve"> </v>
      </c>
      <c r="X236" s="85" t="str" cm="1">
        <f t="array" ref="X236">IFERROR(VLOOKUP($A236,'The List'!$B1:$AS671,31,FALSE)," ")</f>
        <v xml:space="preserve"> </v>
      </c>
      <c r="Y236" s="85" t="str" cm="1">
        <f t="array" ref="Y236">IFERROR(VLOOKUP($A236,'The List'!$B1:$AS671,32,FALSE)," ")</f>
        <v xml:space="preserve"> </v>
      </c>
      <c r="Z236" s="85" t="str" cm="1">
        <f t="array" ref="Z236">IFERROR(VLOOKUP($A236,'The List'!$B1:$AS671,33,FALSE)," ")</f>
        <v xml:space="preserve"> </v>
      </c>
      <c r="AA236" s="86"/>
      <c r="AB236" s="91"/>
      <c r="AC236" s="91"/>
      <c r="AD236" s="91"/>
      <c r="AE236" s="91"/>
      <c r="AF236" s="91"/>
    </row>
    <row r="237" spans="1:32" ht="21.25" customHeight="1" x14ac:dyDescent="0.15">
      <c r="A237" s="24"/>
      <c r="B237" s="88" t="str" cm="1">
        <f t="array" ref="B237">IFERROR(VLOOKUP($A237,'The List'!$B1:$AS671,3,FALSE)," ")</f>
        <v xml:space="preserve"> </v>
      </c>
      <c r="C237" s="92" t="str" cm="1">
        <f t="array" ref="C237">IFERROR(VLOOKUP($A237,'The List'!$B1:$AS671,4,FALSE)," ")</f>
        <v xml:space="preserve"> </v>
      </c>
      <c r="D237" s="18" t="str" cm="1">
        <f t="array" ref="D237">IFERROR(VLOOKUP($A237,'The List'!$B1:$AS671,5,FALSE)," ")</f>
        <v xml:space="preserve"> </v>
      </c>
      <c r="E237" s="18" t="str" cm="1">
        <f t="array" ref="E237">IFERROR(VLOOKUP($A237,'The List'!$B1:$AS671,6,FALSE)," ")</f>
        <v xml:space="preserve"> </v>
      </c>
      <c r="F237" s="93" t="str" cm="1">
        <f t="array" ref="F237">IFERROR(VLOOKUP($A237,'The List'!$B1:$AS671,8,FALSE)," ")</f>
        <v xml:space="preserve"> </v>
      </c>
      <c r="G237" s="93" t="str" cm="1">
        <f t="array" ref="G237">IFERROR(VLOOKUP($A237,'The List'!$B1:$AS671,10,FALSE)," ")</f>
        <v xml:space="preserve"> </v>
      </c>
      <c r="H237" s="55"/>
      <c r="I237" s="85" t="str" cm="1">
        <f t="array" ref="I237">IFERROR(VLOOKUP($A237,'The List'!$B1:$AS671,16,FALSE)," ")</f>
        <v xml:space="preserve"> </v>
      </c>
      <c r="J237" s="85" t="str" cm="1">
        <f t="array" ref="J237">IFERROR(VLOOKUP($A237,'The List'!$B1:$AS671,17,FALSE)," ")</f>
        <v xml:space="preserve"> </v>
      </c>
      <c r="K237" s="85" t="str" cm="1">
        <f t="array" ref="K237">IFERROR(VLOOKUP($A237,'The List'!$B1:$AS671,18,FALSE)," ")</f>
        <v xml:space="preserve"> </v>
      </c>
      <c r="L237" s="85" t="str" cm="1">
        <f t="array" ref="L237">IFERROR(VLOOKUP($A237,'The List'!$B1:$AS671,19,FALSE)," ")</f>
        <v xml:space="preserve"> </v>
      </c>
      <c r="M237" s="85" t="str" cm="1">
        <f t="array" ref="M237">IFERROR(VLOOKUP($A237,'The List'!$B1:$AS671,20,FALSE)," ")</f>
        <v xml:space="preserve"> </v>
      </c>
      <c r="N237" s="85" t="str" cm="1">
        <f t="array" ref="N237">IFERROR(VLOOKUP($A237,'The List'!$B1:$AS671,21,FALSE)," ")</f>
        <v xml:space="preserve"> </v>
      </c>
      <c r="O237" s="85" t="str" cm="1">
        <f t="array" ref="O237">IFERROR(VLOOKUP($A237,'The List'!$B1:$AS671,22,FALSE)," ")</f>
        <v xml:space="preserve"> </v>
      </c>
      <c r="P237" s="85" t="str" cm="1">
        <f t="array" ref="P237">IFERROR(VLOOKUP($A237,'The List'!$B1:$AS671,23,FALSE)," ")</f>
        <v xml:space="preserve"> </v>
      </c>
      <c r="Q237" s="85" t="str" cm="1">
        <f t="array" ref="Q237">IFERROR(VLOOKUP($A237,'The List'!$B1:$AS671,24,FALSE)," ")</f>
        <v xml:space="preserve"> </v>
      </c>
      <c r="R237" s="85" t="str" cm="1">
        <f t="array" ref="R237">IFERROR(VLOOKUP($A237,'The List'!$B1:$AS671,25,FALSE)," ")</f>
        <v xml:space="preserve"> </v>
      </c>
      <c r="S237" s="85" t="str" cm="1">
        <f t="array" ref="S237">IFERROR(VLOOKUP($A237,'The List'!$B1:$AS671,26,FALSE)," ")</f>
        <v xml:space="preserve"> </v>
      </c>
      <c r="T237" s="85" t="str" cm="1">
        <f t="array" ref="T237">IFERROR(VLOOKUP($A237,'The List'!$B1:$AS671,27,FALSE)," ")</f>
        <v xml:space="preserve"> </v>
      </c>
      <c r="U237" s="85" t="str" cm="1">
        <f t="array" ref="U237">IFERROR(VLOOKUP($A237,'The List'!$B1:$AS671,28,FALSE)," ")</f>
        <v xml:space="preserve"> </v>
      </c>
      <c r="V237" s="85" t="str" cm="1">
        <f t="array" ref="V237">IFERROR(VLOOKUP($A237,'The List'!$B1:$AS671,29,FALSE)," ")</f>
        <v xml:space="preserve"> </v>
      </c>
      <c r="W237" s="85" t="str" cm="1">
        <f t="array" ref="W237">IFERROR(VLOOKUP($A237,'The List'!$B1:$AS671,30,FALSE)," ")</f>
        <v xml:space="preserve"> </v>
      </c>
      <c r="X237" s="85" t="str" cm="1">
        <f t="array" ref="X237">IFERROR(VLOOKUP($A237,'The List'!$B1:$AS671,31,FALSE)," ")</f>
        <v xml:space="preserve"> </v>
      </c>
      <c r="Y237" s="85" t="str" cm="1">
        <f t="array" ref="Y237">IFERROR(VLOOKUP($A237,'The List'!$B1:$AS671,32,FALSE)," ")</f>
        <v xml:space="preserve"> </v>
      </c>
      <c r="Z237" s="85" t="str" cm="1">
        <f t="array" ref="Z237">IFERROR(VLOOKUP($A237,'The List'!$B1:$AS671,33,FALSE)," ")</f>
        <v xml:space="preserve"> </v>
      </c>
      <c r="AA237" s="86"/>
      <c r="AB237" s="91"/>
      <c r="AC237" s="91"/>
      <c r="AD237" s="91"/>
      <c r="AE237" s="91"/>
      <c r="AF237" s="91"/>
    </row>
    <row r="238" spans="1:32" ht="21.25" customHeight="1" x14ac:dyDescent="0.15">
      <c r="A238" s="24"/>
      <c r="B238" s="94" t="str" cm="1">
        <f t="array" ref="B238">IFERROR(VLOOKUP($A238,'The List'!$B1:$AS671,3,FALSE)," ")</f>
        <v xml:space="preserve"> </v>
      </c>
      <c r="C238" s="96" t="str" cm="1">
        <f t="array" ref="C238">IFERROR(VLOOKUP($A238,'The List'!$B1:$AS671,4,FALSE)," ")</f>
        <v xml:space="preserve"> </v>
      </c>
      <c r="D238" s="18" t="str" cm="1">
        <f t="array" ref="D238">IFERROR(VLOOKUP($A238,'The List'!$B1:$AS671,5,FALSE)," ")</f>
        <v xml:space="preserve"> </v>
      </c>
      <c r="E238" s="18" t="str" cm="1">
        <f t="array" ref="E238">IFERROR(VLOOKUP($A238,'The List'!$B1:$AS671,6,FALSE)," ")</f>
        <v xml:space="preserve"> </v>
      </c>
      <c r="F238" s="93" t="str" cm="1">
        <f t="array" ref="F238">IFERROR(VLOOKUP($A238,'The List'!$B1:$AS671,8,FALSE)," ")</f>
        <v xml:space="preserve"> </v>
      </c>
      <c r="G238" s="93" t="str" cm="1">
        <f t="array" ref="G238">IFERROR(VLOOKUP($A238,'The List'!$B1:$AS671,10,FALSE)," ")</f>
        <v xml:space="preserve"> </v>
      </c>
      <c r="H238" s="55"/>
      <c r="I238" s="85" t="str" cm="1">
        <f t="array" ref="I238">IFERROR(VLOOKUP($A238,'The List'!$B1:$AS671,16,FALSE)," ")</f>
        <v xml:space="preserve"> </v>
      </c>
      <c r="J238" s="85" t="str" cm="1">
        <f t="array" ref="J238">IFERROR(VLOOKUP($A238,'The List'!$B1:$AS671,17,FALSE)," ")</f>
        <v xml:space="preserve"> </v>
      </c>
      <c r="K238" s="85" t="str" cm="1">
        <f t="array" ref="K238">IFERROR(VLOOKUP($A238,'The List'!$B1:$AS671,18,FALSE)," ")</f>
        <v xml:space="preserve"> </v>
      </c>
      <c r="L238" s="85" t="str" cm="1">
        <f t="array" ref="L238">IFERROR(VLOOKUP($A238,'The List'!$B1:$AS671,19,FALSE)," ")</f>
        <v xml:space="preserve"> </v>
      </c>
      <c r="M238" s="85" t="str" cm="1">
        <f t="array" ref="M238">IFERROR(VLOOKUP($A238,'The List'!$B1:$AS671,20,FALSE)," ")</f>
        <v xml:space="preserve"> </v>
      </c>
      <c r="N238" s="85" t="str" cm="1">
        <f t="array" ref="N238">IFERROR(VLOOKUP($A238,'The List'!$B1:$AS671,21,FALSE)," ")</f>
        <v xml:space="preserve"> </v>
      </c>
      <c r="O238" s="85" t="str" cm="1">
        <f t="array" ref="O238">IFERROR(VLOOKUP($A238,'The List'!$B1:$AS671,22,FALSE)," ")</f>
        <v xml:space="preserve"> </v>
      </c>
      <c r="P238" s="85" t="str" cm="1">
        <f t="array" ref="P238">IFERROR(VLOOKUP($A238,'The List'!$B1:$AS671,23,FALSE)," ")</f>
        <v xml:space="preserve"> </v>
      </c>
      <c r="Q238" s="85" t="str" cm="1">
        <f t="array" ref="Q238">IFERROR(VLOOKUP($A238,'The List'!$B1:$AS671,24,FALSE)," ")</f>
        <v xml:space="preserve"> </v>
      </c>
      <c r="R238" s="85" t="str" cm="1">
        <f t="array" ref="R238">IFERROR(VLOOKUP($A238,'The List'!$B1:$AS671,25,FALSE)," ")</f>
        <v xml:space="preserve"> </v>
      </c>
      <c r="S238" s="85" t="str" cm="1">
        <f t="array" ref="S238">IFERROR(VLOOKUP($A238,'The List'!$B1:$AS671,26,FALSE)," ")</f>
        <v xml:space="preserve"> </v>
      </c>
      <c r="T238" s="85" t="str" cm="1">
        <f t="array" ref="T238">IFERROR(VLOOKUP($A238,'The List'!$B1:$AS671,27,FALSE)," ")</f>
        <v xml:space="preserve"> </v>
      </c>
      <c r="U238" s="85" t="str" cm="1">
        <f t="array" ref="U238">IFERROR(VLOOKUP($A238,'The List'!$B1:$AS671,28,FALSE)," ")</f>
        <v xml:space="preserve"> </v>
      </c>
      <c r="V238" s="85" t="str" cm="1">
        <f t="array" ref="V238">IFERROR(VLOOKUP($A238,'The List'!$B1:$AS671,29,FALSE)," ")</f>
        <v xml:space="preserve"> </v>
      </c>
      <c r="W238" s="85" t="str" cm="1">
        <f t="array" ref="W238">IFERROR(VLOOKUP($A238,'The List'!$B1:$AS671,30,FALSE)," ")</f>
        <v xml:space="preserve"> </v>
      </c>
      <c r="X238" s="85" t="str" cm="1">
        <f t="array" ref="X238">IFERROR(VLOOKUP($A238,'The List'!$B1:$AS671,31,FALSE)," ")</f>
        <v xml:space="preserve"> </v>
      </c>
      <c r="Y238" s="85" t="str" cm="1">
        <f t="array" ref="Y238">IFERROR(VLOOKUP($A238,'The List'!$B1:$AS671,32,FALSE)," ")</f>
        <v xml:space="preserve"> </v>
      </c>
      <c r="Z238" s="85" t="str" cm="1">
        <f t="array" ref="Z238">IFERROR(VLOOKUP($A238,'The List'!$B1:$AS671,33,FALSE)," ")</f>
        <v xml:space="preserve"> </v>
      </c>
      <c r="AA238" s="86"/>
      <c r="AB238" s="91"/>
      <c r="AC238" s="91"/>
      <c r="AD238" s="91"/>
      <c r="AE238" s="91"/>
      <c r="AF238" s="91"/>
    </row>
    <row r="239" spans="1:32" ht="21.25" customHeight="1" x14ac:dyDescent="0.15">
      <c r="A239" s="24"/>
      <c r="B239" s="94" t="str" cm="1">
        <f t="array" ref="B239">IFERROR(VLOOKUP($A239,'The List'!$B1:$AS671,3,FALSE)," ")</f>
        <v xml:space="preserve"> </v>
      </c>
      <c r="C239" s="96" t="str" cm="1">
        <f t="array" ref="C239">IFERROR(VLOOKUP($A239,'The List'!$B1:$AS671,4,FALSE)," ")</f>
        <v xml:space="preserve"> </v>
      </c>
      <c r="D239" s="18" t="str" cm="1">
        <f t="array" ref="D239">IFERROR(VLOOKUP($A239,'The List'!$B1:$AS671,5,FALSE)," ")</f>
        <v xml:space="preserve"> </v>
      </c>
      <c r="E239" s="18" t="str" cm="1">
        <f t="array" ref="E239">IFERROR(VLOOKUP($A239,'The List'!$B1:$AS671,6,FALSE)," ")</f>
        <v xml:space="preserve"> </v>
      </c>
      <c r="F239" s="93" t="str" cm="1">
        <f t="array" ref="F239">IFERROR(VLOOKUP($A239,'The List'!$B1:$AS671,8,FALSE)," ")</f>
        <v xml:space="preserve"> </v>
      </c>
      <c r="G239" s="93" t="str" cm="1">
        <f t="array" ref="G239">IFERROR(VLOOKUP($A239,'The List'!$B1:$AS671,10,FALSE)," ")</f>
        <v xml:space="preserve"> </v>
      </c>
      <c r="H239" s="55"/>
      <c r="I239" s="85" t="str" cm="1">
        <f t="array" ref="I239">IFERROR(VLOOKUP($A239,'The List'!$B1:$AS671,16,FALSE)," ")</f>
        <v xml:space="preserve"> </v>
      </c>
      <c r="J239" s="85" t="str" cm="1">
        <f t="array" ref="J239">IFERROR(VLOOKUP($A239,'The List'!$B1:$AS671,17,FALSE)," ")</f>
        <v xml:space="preserve"> </v>
      </c>
      <c r="K239" s="85" t="str" cm="1">
        <f t="array" ref="K239">IFERROR(VLOOKUP($A239,'The List'!$B1:$AS671,18,FALSE)," ")</f>
        <v xml:space="preserve"> </v>
      </c>
      <c r="L239" s="85" t="str" cm="1">
        <f t="array" ref="L239">IFERROR(VLOOKUP($A239,'The List'!$B1:$AS671,19,FALSE)," ")</f>
        <v xml:space="preserve"> </v>
      </c>
      <c r="M239" s="85" t="str" cm="1">
        <f t="array" ref="M239">IFERROR(VLOOKUP($A239,'The List'!$B1:$AS671,20,FALSE)," ")</f>
        <v xml:space="preserve"> </v>
      </c>
      <c r="N239" s="85" t="str" cm="1">
        <f t="array" ref="N239">IFERROR(VLOOKUP($A239,'The List'!$B1:$AS671,21,FALSE)," ")</f>
        <v xml:space="preserve"> </v>
      </c>
      <c r="O239" s="85" t="str" cm="1">
        <f t="array" ref="O239">IFERROR(VLOOKUP($A239,'The List'!$B1:$AS671,22,FALSE)," ")</f>
        <v xml:space="preserve"> </v>
      </c>
      <c r="P239" s="85" t="str" cm="1">
        <f t="array" ref="P239">IFERROR(VLOOKUP($A239,'The List'!$B1:$AS671,23,FALSE)," ")</f>
        <v xml:space="preserve"> </v>
      </c>
      <c r="Q239" s="85" t="str" cm="1">
        <f t="array" ref="Q239">IFERROR(VLOOKUP($A239,'The List'!$B1:$AS671,24,FALSE)," ")</f>
        <v xml:space="preserve"> </v>
      </c>
      <c r="R239" s="85" t="str" cm="1">
        <f t="array" ref="R239">IFERROR(VLOOKUP($A239,'The List'!$B1:$AS671,25,FALSE)," ")</f>
        <v xml:space="preserve"> </v>
      </c>
      <c r="S239" s="85" t="str" cm="1">
        <f t="array" ref="S239">IFERROR(VLOOKUP($A239,'The List'!$B1:$AS671,26,FALSE)," ")</f>
        <v xml:space="preserve"> </v>
      </c>
      <c r="T239" s="85" t="str" cm="1">
        <f t="array" ref="T239">IFERROR(VLOOKUP($A239,'The List'!$B1:$AS671,27,FALSE)," ")</f>
        <v xml:space="preserve"> </v>
      </c>
      <c r="U239" s="85" t="str" cm="1">
        <f t="array" ref="U239">IFERROR(VLOOKUP($A239,'The List'!$B1:$AS671,28,FALSE)," ")</f>
        <v xml:space="preserve"> </v>
      </c>
      <c r="V239" s="85" t="str" cm="1">
        <f t="array" ref="V239">IFERROR(VLOOKUP($A239,'The List'!$B1:$AS671,29,FALSE)," ")</f>
        <v xml:space="preserve"> </v>
      </c>
      <c r="W239" s="85" t="str" cm="1">
        <f t="array" ref="W239">IFERROR(VLOOKUP($A239,'The List'!$B1:$AS671,30,FALSE)," ")</f>
        <v xml:space="preserve"> </v>
      </c>
      <c r="X239" s="85" t="str" cm="1">
        <f t="array" ref="X239">IFERROR(VLOOKUP($A239,'The List'!$B1:$AS671,31,FALSE)," ")</f>
        <v xml:space="preserve"> </v>
      </c>
      <c r="Y239" s="85" t="str" cm="1">
        <f t="array" ref="Y239">IFERROR(VLOOKUP($A239,'The List'!$B1:$AS671,32,FALSE)," ")</f>
        <v xml:space="preserve"> </v>
      </c>
      <c r="Z239" s="85" t="str" cm="1">
        <f t="array" ref="Z239">IFERROR(VLOOKUP($A239,'The List'!$B1:$AS671,33,FALSE)," ")</f>
        <v xml:space="preserve"> </v>
      </c>
      <c r="AA239" s="86"/>
      <c r="AB239" s="91"/>
      <c r="AC239" s="91"/>
      <c r="AD239" s="91"/>
      <c r="AE239" s="91"/>
      <c r="AF239" s="91"/>
    </row>
    <row r="240" spans="1:32" ht="21.25" customHeight="1" x14ac:dyDescent="0.15">
      <c r="A240" s="24"/>
      <c r="B240" s="94" t="str" cm="1">
        <f t="array" ref="B240">IFERROR(VLOOKUP($A240,'The List'!$B1:$AS671,3,FALSE)," ")</f>
        <v xml:space="preserve"> </v>
      </c>
      <c r="C240" s="96" t="str" cm="1">
        <f t="array" ref="C240">IFERROR(VLOOKUP($A240,'The List'!$B1:$AS671,4,FALSE)," ")</f>
        <v xml:space="preserve"> </v>
      </c>
      <c r="D240" s="18" t="str" cm="1">
        <f t="array" ref="D240">IFERROR(VLOOKUP($A240,'The List'!$B1:$AS671,5,FALSE)," ")</f>
        <v xml:space="preserve"> </v>
      </c>
      <c r="E240" s="18" t="str" cm="1">
        <f t="array" ref="E240">IFERROR(VLOOKUP($A240,'The List'!$B1:$AS671,6,FALSE)," ")</f>
        <v xml:space="preserve"> </v>
      </c>
      <c r="F240" s="93" t="str" cm="1">
        <f t="array" ref="F240">IFERROR(VLOOKUP($A240,'The List'!$B1:$AS671,8,FALSE)," ")</f>
        <v xml:space="preserve"> </v>
      </c>
      <c r="G240" s="93" t="str" cm="1">
        <f t="array" ref="G240">IFERROR(VLOOKUP($A240,'The List'!$B1:$AS671,10,FALSE)," ")</f>
        <v xml:space="preserve"> </v>
      </c>
      <c r="H240" s="55"/>
      <c r="I240" s="85" t="str" cm="1">
        <f t="array" ref="I240">IFERROR(VLOOKUP($A240,'The List'!$B1:$AS671,16,FALSE)," ")</f>
        <v xml:space="preserve"> </v>
      </c>
      <c r="J240" s="85" t="str" cm="1">
        <f t="array" ref="J240">IFERROR(VLOOKUP($A240,'The List'!$B1:$AS671,17,FALSE)," ")</f>
        <v xml:space="preserve"> </v>
      </c>
      <c r="K240" s="85" t="str" cm="1">
        <f t="array" ref="K240">IFERROR(VLOOKUP($A240,'The List'!$B1:$AS671,18,FALSE)," ")</f>
        <v xml:space="preserve"> </v>
      </c>
      <c r="L240" s="85" t="str" cm="1">
        <f t="array" ref="L240">IFERROR(VLOOKUP($A240,'The List'!$B1:$AS671,19,FALSE)," ")</f>
        <v xml:space="preserve"> </v>
      </c>
      <c r="M240" s="85" t="str" cm="1">
        <f t="array" ref="M240">IFERROR(VLOOKUP($A240,'The List'!$B1:$AS671,20,FALSE)," ")</f>
        <v xml:space="preserve"> </v>
      </c>
      <c r="N240" s="85" t="str" cm="1">
        <f t="array" ref="N240">IFERROR(VLOOKUP($A240,'The List'!$B1:$AS671,21,FALSE)," ")</f>
        <v xml:space="preserve"> </v>
      </c>
      <c r="O240" s="85" t="str" cm="1">
        <f t="array" ref="O240">IFERROR(VLOOKUP($A240,'The List'!$B1:$AS671,22,FALSE)," ")</f>
        <v xml:space="preserve"> </v>
      </c>
      <c r="P240" s="85" t="str" cm="1">
        <f t="array" ref="P240">IFERROR(VLOOKUP($A240,'The List'!$B1:$AS671,23,FALSE)," ")</f>
        <v xml:space="preserve"> </v>
      </c>
      <c r="Q240" s="85" t="str" cm="1">
        <f t="array" ref="Q240">IFERROR(VLOOKUP($A240,'The List'!$B1:$AS671,24,FALSE)," ")</f>
        <v xml:space="preserve"> </v>
      </c>
      <c r="R240" s="85" t="str" cm="1">
        <f t="array" ref="R240">IFERROR(VLOOKUP($A240,'The List'!$B1:$AS671,25,FALSE)," ")</f>
        <v xml:space="preserve"> </v>
      </c>
      <c r="S240" s="85" t="str" cm="1">
        <f t="array" ref="S240">IFERROR(VLOOKUP($A240,'The List'!$B1:$AS671,26,FALSE)," ")</f>
        <v xml:space="preserve"> </v>
      </c>
      <c r="T240" s="85" t="str" cm="1">
        <f t="array" ref="T240">IFERROR(VLOOKUP($A240,'The List'!$B1:$AS671,27,FALSE)," ")</f>
        <v xml:space="preserve"> </v>
      </c>
      <c r="U240" s="85" t="str" cm="1">
        <f t="array" ref="U240">IFERROR(VLOOKUP($A240,'The List'!$B1:$AS671,28,FALSE)," ")</f>
        <v xml:space="preserve"> </v>
      </c>
      <c r="V240" s="85" t="str" cm="1">
        <f t="array" ref="V240">IFERROR(VLOOKUP($A240,'The List'!$B1:$AS671,29,FALSE)," ")</f>
        <v xml:space="preserve"> </v>
      </c>
      <c r="W240" s="85" t="str" cm="1">
        <f t="array" ref="W240">IFERROR(VLOOKUP($A240,'The List'!$B1:$AS671,30,FALSE)," ")</f>
        <v xml:space="preserve"> </v>
      </c>
      <c r="X240" s="85" t="str" cm="1">
        <f t="array" ref="X240">IFERROR(VLOOKUP($A240,'The List'!$B1:$AS671,31,FALSE)," ")</f>
        <v xml:space="preserve"> </v>
      </c>
      <c r="Y240" s="85" t="str" cm="1">
        <f t="array" ref="Y240">IFERROR(VLOOKUP($A240,'The List'!$B1:$AS671,32,FALSE)," ")</f>
        <v xml:space="preserve"> </v>
      </c>
      <c r="Z240" s="85" t="str" cm="1">
        <f t="array" ref="Z240">IFERROR(VLOOKUP($A240,'The List'!$B1:$AS671,33,FALSE)," ")</f>
        <v xml:space="preserve"> </v>
      </c>
      <c r="AA240" s="86"/>
      <c r="AB240" s="91"/>
      <c r="AC240" s="91"/>
      <c r="AD240" s="91"/>
      <c r="AE240" s="91"/>
      <c r="AF240" s="91"/>
    </row>
    <row r="241" spans="1:32" ht="21.25" customHeight="1" x14ac:dyDescent="0.15">
      <c r="A241" s="24"/>
      <c r="B241" s="94" t="str" cm="1">
        <f t="array" ref="B241">IFERROR(VLOOKUP($A241,'The List'!$B1:$AS671,3,FALSE)," ")</f>
        <v xml:space="preserve"> </v>
      </c>
      <c r="C241" s="96" t="str" cm="1">
        <f t="array" ref="C241">IFERROR(VLOOKUP($A241,'The List'!$B1:$AS671,4,FALSE)," ")</f>
        <v xml:space="preserve"> </v>
      </c>
      <c r="D241" s="18" t="str" cm="1">
        <f t="array" ref="D241">IFERROR(VLOOKUP($A241,'The List'!$B1:$AS671,5,FALSE)," ")</f>
        <v xml:space="preserve"> </v>
      </c>
      <c r="E241" s="18" t="str" cm="1">
        <f t="array" ref="E241">IFERROR(VLOOKUP($A241,'The List'!$B1:$AS671,6,FALSE)," ")</f>
        <v xml:space="preserve"> </v>
      </c>
      <c r="F241" s="93" t="str" cm="1">
        <f t="array" ref="F241">IFERROR(VLOOKUP($A241,'The List'!$B1:$AS671,8,FALSE)," ")</f>
        <v xml:space="preserve"> </v>
      </c>
      <c r="G241" s="93" t="str" cm="1">
        <f t="array" ref="G241">IFERROR(VLOOKUP($A241,'The List'!$B1:$AS671,10,FALSE)," ")</f>
        <v xml:space="preserve"> </v>
      </c>
      <c r="H241" s="55"/>
      <c r="I241" s="85" t="str" cm="1">
        <f t="array" ref="I241">IFERROR(VLOOKUP($A241,'The List'!$B1:$AS671,16,FALSE)," ")</f>
        <v xml:space="preserve"> </v>
      </c>
      <c r="J241" s="85" t="str" cm="1">
        <f t="array" ref="J241">IFERROR(VLOOKUP($A241,'The List'!$B1:$AS671,17,FALSE)," ")</f>
        <v xml:space="preserve"> </v>
      </c>
      <c r="K241" s="85" t="str" cm="1">
        <f t="array" ref="K241">IFERROR(VLOOKUP($A241,'The List'!$B1:$AS671,18,FALSE)," ")</f>
        <v xml:space="preserve"> </v>
      </c>
      <c r="L241" s="85" t="str" cm="1">
        <f t="array" ref="L241">IFERROR(VLOOKUP($A241,'The List'!$B1:$AS671,19,FALSE)," ")</f>
        <v xml:space="preserve"> </v>
      </c>
      <c r="M241" s="85" t="str" cm="1">
        <f t="array" ref="M241">IFERROR(VLOOKUP($A241,'The List'!$B1:$AS671,20,FALSE)," ")</f>
        <v xml:space="preserve"> </v>
      </c>
      <c r="N241" s="85" t="str" cm="1">
        <f t="array" ref="N241">IFERROR(VLOOKUP($A241,'The List'!$B1:$AS671,21,FALSE)," ")</f>
        <v xml:space="preserve"> </v>
      </c>
      <c r="O241" s="85" t="str" cm="1">
        <f t="array" ref="O241">IFERROR(VLOOKUP($A241,'The List'!$B1:$AS671,22,FALSE)," ")</f>
        <v xml:space="preserve"> </v>
      </c>
      <c r="P241" s="85" t="str" cm="1">
        <f t="array" ref="P241">IFERROR(VLOOKUP($A241,'The List'!$B1:$AS671,23,FALSE)," ")</f>
        <v xml:space="preserve"> </v>
      </c>
      <c r="Q241" s="85" t="str" cm="1">
        <f t="array" ref="Q241">IFERROR(VLOOKUP($A241,'The List'!$B1:$AS671,24,FALSE)," ")</f>
        <v xml:space="preserve"> </v>
      </c>
      <c r="R241" s="85" t="str" cm="1">
        <f t="array" ref="R241">IFERROR(VLOOKUP($A241,'The List'!$B1:$AS671,25,FALSE)," ")</f>
        <v xml:space="preserve"> </v>
      </c>
      <c r="S241" s="85" t="str" cm="1">
        <f t="array" ref="S241">IFERROR(VLOOKUP($A241,'The List'!$B1:$AS671,26,FALSE)," ")</f>
        <v xml:space="preserve"> </v>
      </c>
      <c r="T241" s="85" t="str" cm="1">
        <f t="array" ref="T241">IFERROR(VLOOKUP($A241,'The List'!$B1:$AS671,27,FALSE)," ")</f>
        <v xml:space="preserve"> </v>
      </c>
      <c r="U241" s="85" t="str" cm="1">
        <f t="array" ref="U241">IFERROR(VLOOKUP($A241,'The List'!$B1:$AS671,28,FALSE)," ")</f>
        <v xml:space="preserve"> </v>
      </c>
      <c r="V241" s="85" t="str" cm="1">
        <f t="array" ref="V241">IFERROR(VLOOKUP($A241,'The List'!$B1:$AS671,29,FALSE)," ")</f>
        <v xml:space="preserve"> </v>
      </c>
      <c r="W241" s="85" t="str" cm="1">
        <f t="array" ref="W241">IFERROR(VLOOKUP($A241,'The List'!$B1:$AS671,30,FALSE)," ")</f>
        <v xml:space="preserve"> </v>
      </c>
      <c r="X241" s="85" t="str" cm="1">
        <f t="array" ref="X241">IFERROR(VLOOKUP($A241,'The List'!$B1:$AS671,31,FALSE)," ")</f>
        <v xml:space="preserve"> </v>
      </c>
      <c r="Y241" s="85" t="str" cm="1">
        <f t="array" ref="Y241">IFERROR(VLOOKUP($A241,'The List'!$B1:$AS671,32,FALSE)," ")</f>
        <v xml:space="preserve"> </v>
      </c>
      <c r="Z241" s="85" t="str" cm="1">
        <f t="array" ref="Z241">IFERROR(VLOOKUP($A241,'The List'!$B1:$AS671,33,FALSE)," ")</f>
        <v xml:space="preserve"> </v>
      </c>
      <c r="AA241" s="86"/>
      <c r="AB241" s="91"/>
      <c r="AC241" s="91"/>
      <c r="AD241" s="91"/>
      <c r="AE241" s="91"/>
      <c r="AF241" s="91"/>
    </row>
    <row r="242" spans="1:32" ht="21.25" customHeight="1" x14ac:dyDescent="0.15">
      <c r="A242" s="24"/>
      <c r="B242" s="97" t="str" cm="1">
        <f t="array" ref="B242">IFERROR(VLOOKUP($A242,'The List'!$B1:$AS671,3,FALSE)," ")</f>
        <v xml:space="preserve"> </v>
      </c>
      <c r="C242" s="99" t="str" cm="1">
        <f t="array" ref="C242">IFERROR(VLOOKUP($A242,'The List'!$B1:$AS671,4,FALSE)," ")</f>
        <v xml:space="preserve"> </v>
      </c>
      <c r="D242" s="18" t="str" cm="1">
        <f t="array" ref="D242">IFERROR(VLOOKUP($A242,'The List'!$B1:$AS671,5,FALSE)," ")</f>
        <v xml:space="preserve"> </v>
      </c>
      <c r="E242" s="18" t="str" cm="1">
        <f t="array" ref="E242">IFERROR(VLOOKUP($A242,'The List'!$B1:$AS671,6,FALSE)," ")</f>
        <v xml:space="preserve"> </v>
      </c>
      <c r="F242" s="93" t="str" cm="1">
        <f t="array" ref="F242">IFERROR(VLOOKUP($A242,'The List'!$B1:$AS671,8,FALSE)," ")</f>
        <v xml:space="preserve"> </v>
      </c>
      <c r="G242" s="93" t="str" cm="1">
        <f t="array" ref="G242">IFERROR(VLOOKUP($A242,'The List'!$B1:$AS671,10,FALSE)," ")</f>
        <v xml:space="preserve"> </v>
      </c>
      <c r="H242" s="55"/>
      <c r="I242" s="85" t="str" cm="1">
        <f t="array" ref="I242">IFERROR(VLOOKUP($A242,'The List'!$B1:$AS671,16,FALSE)," ")</f>
        <v xml:space="preserve"> </v>
      </c>
      <c r="J242" s="85" t="str" cm="1">
        <f t="array" ref="J242">IFERROR(VLOOKUP($A242,'The List'!$B1:$AS671,17,FALSE)," ")</f>
        <v xml:space="preserve"> </v>
      </c>
      <c r="K242" s="85" t="str" cm="1">
        <f t="array" ref="K242">IFERROR(VLOOKUP($A242,'The List'!$B1:$AS671,18,FALSE)," ")</f>
        <v xml:space="preserve"> </v>
      </c>
      <c r="L242" s="85" t="str" cm="1">
        <f t="array" ref="L242">IFERROR(VLOOKUP($A242,'The List'!$B1:$AS671,19,FALSE)," ")</f>
        <v xml:space="preserve"> </v>
      </c>
      <c r="M242" s="85" t="str" cm="1">
        <f t="array" ref="M242">IFERROR(VLOOKUP($A242,'The List'!$B1:$AS671,20,FALSE)," ")</f>
        <v xml:space="preserve"> </v>
      </c>
      <c r="N242" s="85" t="str" cm="1">
        <f t="array" ref="N242">IFERROR(VLOOKUP($A242,'The List'!$B1:$AS671,21,FALSE)," ")</f>
        <v xml:space="preserve"> </v>
      </c>
      <c r="O242" s="85" t="str" cm="1">
        <f t="array" ref="O242">IFERROR(VLOOKUP($A242,'The List'!$B1:$AS671,22,FALSE)," ")</f>
        <v xml:space="preserve"> </v>
      </c>
      <c r="P242" s="85" t="str" cm="1">
        <f t="array" ref="P242">IFERROR(VLOOKUP($A242,'The List'!$B1:$AS671,23,FALSE)," ")</f>
        <v xml:space="preserve"> </v>
      </c>
      <c r="Q242" s="85" t="str" cm="1">
        <f t="array" ref="Q242">IFERROR(VLOOKUP($A242,'The List'!$B1:$AS671,24,FALSE)," ")</f>
        <v xml:space="preserve"> </v>
      </c>
      <c r="R242" s="85" t="str" cm="1">
        <f t="array" ref="R242">IFERROR(VLOOKUP($A242,'The List'!$B1:$AS671,25,FALSE)," ")</f>
        <v xml:space="preserve"> </v>
      </c>
      <c r="S242" s="85" t="str" cm="1">
        <f t="array" ref="S242">IFERROR(VLOOKUP($A242,'The List'!$B1:$AS671,26,FALSE)," ")</f>
        <v xml:space="preserve"> </v>
      </c>
      <c r="T242" s="85" t="str" cm="1">
        <f t="array" ref="T242">IFERROR(VLOOKUP($A242,'The List'!$B1:$AS671,27,FALSE)," ")</f>
        <v xml:space="preserve"> </v>
      </c>
      <c r="U242" s="85" t="str" cm="1">
        <f t="array" ref="U242">IFERROR(VLOOKUP($A242,'The List'!$B1:$AS671,28,FALSE)," ")</f>
        <v xml:space="preserve"> </v>
      </c>
      <c r="V242" s="85" t="str" cm="1">
        <f t="array" ref="V242">IFERROR(VLOOKUP($A242,'The List'!$B1:$AS671,29,FALSE)," ")</f>
        <v xml:space="preserve"> </v>
      </c>
      <c r="W242" s="85" t="str" cm="1">
        <f t="array" ref="W242">IFERROR(VLOOKUP($A242,'The List'!$B1:$AS671,30,FALSE)," ")</f>
        <v xml:space="preserve"> </v>
      </c>
      <c r="X242" s="85" t="str" cm="1">
        <f t="array" ref="X242">IFERROR(VLOOKUP($A242,'The List'!$B1:$AS671,31,FALSE)," ")</f>
        <v xml:space="preserve"> </v>
      </c>
      <c r="Y242" s="85" t="str" cm="1">
        <f t="array" ref="Y242">IFERROR(VLOOKUP($A242,'The List'!$B1:$AS671,32,FALSE)," ")</f>
        <v xml:space="preserve"> </v>
      </c>
      <c r="Z242" s="85" t="str" cm="1">
        <f t="array" ref="Z242">IFERROR(VLOOKUP($A242,'The List'!$B1:$AS671,33,FALSE)," ")</f>
        <v xml:space="preserve"> </v>
      </c>
      <c r="AA242" s="86"/>
      <c r="AB242" s="91"/>
      <c r="AC242" s="91"/>
      <c r="AD242" s="91"/>
      <c r="AE242" s="91"/>
      <c r="AF242" s="91"/>
    </row>
    <row r="243" spans="1:32" ht="21.25" customHeight="1" x14ac:dyDescent="0.15">
      <c r="A243" s="24"/>
      <c r="B243" s="97" t="str" cm="1">
        <f t="array" ref="B243">IFERROR(VLOOKUP($A243,'The List'!$B1:$AS671,3,FALSE)," ")</f>
        <v xml:space="preserve"> </v>
      </c>
      <c r="C243" s="99" t="str" cm="1">
        <f t="array" ref="C243">IFERROR(VLOOKUP($A243,'The List'!$B1:$AS671,4,FALSE)," ")</f>
        <v xml:space="preserve"> </v>
      </c>
      <c r="D243" s="18" t="str" cm="1">
        <f t="array" ref="D243">IFERROR(VLOOKUP($A243,'The List'!$B1:$AS671,5,FALSE)," ")</f>
        <v xml:space="preserve"> </v>
      </c>
      <c r="E243" s="18" t="str" cm="1">
        <f t="array" ref="E243">IFERROR(VLOOKUP($A243,'The List'!$B1:$AS671,6,FALSE)," ")</f>
        <v xml:space="preserve"> </v>
      </c>
      <c r="F243" s="93" t="str" cm="1">
        <f t="array" ref="F243">IFERROR(VLOOKUP($A243,'The List'!$B1:$AS671,8,FALSE)," ")</f>
        <v xml:space="preserve"> </v>
      </c>
      <c r="G243" s="93" t="str" cm="1">
        <f t="array" ref="G243">IFERROR(VLOOKUP($A243,'The List'!$B1:$AS671,10,FALSE)," ")</f>
        <v xml:space="preserve"> </v>
      </c>
      <c r="H243" s="55"/>
      <c r="I243" s="85" t="str" cm="1">
        <f t="array" ref="I243">IFERROR(VLOOKUP($A243,'The List'!$B1:$AS671,16,FALSE)," ")</f>
        <v xml:space="preserve"> </v>
      </c>
      <c r="J243" s="85" t="str" cm="1">
        <f t="array" ref="J243">IFERROR(VLOOKUP($A243,'The List'!$B1:$AS671,17,FALSE)," ")</f>
        <v xml:space="preserve"> </v>
      </c>
      <c r="K243" s="85" t="str" cm="1">
        <f t="array" ref="K243">IFERROR(VLOOKUP($A243,'The List'!$B1:$AS671,18,FALSE)," ")</f>
        <v xml:space="preserve"> </v>
      </c>
      <c r="L243" s="85" t="str" cm="1">
        <f t="array" ref="L243">IFERROR(VLOOKUP($A243,'The List'!$B1:$AS671,19,FALSE)," ")</f>
        <v xml:space="preserve"> </v>
      </c>
      <c r="M243" s="85" t="str" cm="1">
        <f t="array" ref="M243">IFERROR(VLOOKUP($A243,'The List'!$B1:$AS671,20,FALSE)," ")</f>
        <v xml:space="preserve"> </v>
      </c>
      <c r="N243" s="85" t="str" cm="1">
        <f t="array" ref="N243">IFERROR(VLOOKUP($A243,'The List'!$B1:$AS671,21,FALSE)," ")</f>
        <v xml:space="preserve"> </v>
      </c>
      <c r="O243" s="85" t="str" cm="1">
        <f t="array" ref="O243">IFERROR(VLOOKUP($A243,'The List'!$B1:$AS671,22,FALSE)," ")</f>
        <v xml:space="preserve"> </v>
      </c>
      <c r="P243" s="85" t="str" cm="1">
        <f t="array" ref="P243">IFERROR(VLOOKUP($A243,'The List'!$B1:$AS671,23,FALSE)," ")</f>
        <v xml:space="preserve"> </v>
      </c>
      <c r="Q243" s="85" t="str" cm="1">
        <f t="array" ref="Q243">IFERROR(VLOOKUP($A243,'The List'!$B1:$AS671,24,FALSE)," ")</f>
        <v xml:space="preserve"> </v>
      </c>
      <c r="R243" s="85" t="str" cm="1">
        <f t="array" ref="R243">IFERROR(VLOOKUP($A243,'The List'!$B1:$AS671,25,FALSE)," ")</f>
        <v xml:space="preserve"> </v>
      </c>
      <c r="S243" s="85" t="str" cm="1">
        <f t="array" ref="S243">IFERROR(VLOOKUP($A243,'The List'!$B1:$AS671,26,FALSE)," ")</f>
        <v xml:space="preserve"> </v>
      </c>
      <c r="T243" s="85" t="str" cm="1">
        <f t="array" ref="T243">IFERROR(VLOOKUP($A243,'The List'!$B1:$AS671,27,FALSE)," ")</f>
        <v xml:space="preserve"> </v>
      </c>
      <c r="U243" s="85" t="str" cm="1">
        <f t="array" ref="U243">IFERROR(VLOOKUP($A243,'The List'!$B1:$AS671,28,FALSE)," ")</f>
        <v xml:space="preserve"> </v>
      </c>
      <c r="V243" s="85" t="str" cm="1">
        <f t="array" ref="V243">IFERROR(VLOOKUP($A243,'The List'!$B1:$AS671,29,FALSE)," ")</f>
        <v xml:space="preserve"> </v>
      </c>
      <c r="W243" s="85" t="str" cm="1">
        <f t="array" ref="W243">IFERROR(VLOOKUP($A243,'The List'!$B1:$AS671,30,FALSE)," ")</f>
        <v xml:space="preserve"> </v>
      </c>
      <c r="X243" s="85" t="str" cm="1">
        <f t="array" ref="X243">IFERROR(VLOOKUP($A243,'The List'!$B1:$AS671,31,FALSE)," ")</f>
        <v xml:space="preserve"> </v>
      </c>
      <c r="Y243" s="85" t="str" cm="1">
        <f t="array" ref="Y243">IFERROR(VLOOKUP($A243,'The List'!$B1:$AS671,32,FALSE)," ")</f>
        <v xml:space="preserve"> </v>
      </c>
      <c r="Z243" s="85" t="str" cm="1">
        <f t="array" ref="Z243">IFERROR(VLOOKUP($A243,'The List'!$B1:$AS671,33,FALSE)," ")</f>
        <v xml:space="preserve"> </v>
      </c>
      <c r="AA243" s="86"/>
      <c r="AB243" s="91"/>
      <c r="AC243" s="91"/>
      <c r="AD243" s="91"/>
      <c r="AE243" s="91"/>
      <c r="AF243" s="91"/>
    </row>
    <row r="244" spans="1:32" ht="21.25" customHeight="1" x14ac:dyDescent="0.15">
      <c r="A244" s="24"/>
      <c r="B244" s="97" t="str" cm="1">
        <f t="array" ref="B244">IFERROR(VLOOKUP($A244,'The List'!$B1:$AS671,3,FALSE)," ")</f>
        <v xml:space="preserve"> </v>
      </c>
      <c r="C244" s="99" t="str" cm="1">
        <f t="array" ref="C244">IFERROR(VLOOKUP($A244,'The List'!$B1:$AS671,4,FALSE)," ")</f>
        <v xml:space="preserve"> </v>
      </c>
      <c r="D244" s="18" t="str" cm="1">
        <f t="array" ref="D244">IFERROR(VLOOKUP($A244,'The List'!$B1:$AS671,5,FALSE)," ")</f>
        <v xml:space="preserve"> </v>
      </c>
      <c r="E244" s="18" t="str" cm="1">
        <f t="array" ref="E244">IFERROR(VLOOKUP($A244,'The List'!$B1:$AS671,6,FALSE)," ")</f>
        <v xml:space="preserve"> </v>
      </c>
      <c r="F244" s="93" t="str" cm="1">
        <f t="array" ref="F244">IFERROR(VLOOKUP($A244,'The List'!$B1:$AS671,8,FALSE)," ")</f>
        <v xml:space="preserve"> </v>
      </c>
      <c r="G244" s="93" t="str" cm="1">
        <f t="array" ref="G244">IFERROR(VLOOKUP($A244,'The List'!$B1:$AS671,10,FALSE)," ")</f>
        <v xml:space="preserve"> </v>
      </c>
      <c r="H244" s="55"/>
      <c r="I244" s="85" t="str" cm="1">
        <f t="array" ref="I244">IFERROR(VLOOKUP($A244,'The List'!$B1:$AS671,16,FALSE)," ")</f>
        <v xml:space="preserve"> </v>
      </c>
      <c r="J244" s="85" t="str" cm="1">
        <f t="array" ref="J244">IFERROR(VLOOKUP($A244,'The List'!$B1:$AS671,17,FALSE)," ")</f>
        <v xml:space="preserve"> </v>
      </c>
      <c r="K244" s="85" t="str" cm="1">
        <f t="array" ref="K244">IFERROR(VLOOKUP($A244,'The List'!$B1:$AS671,18,FALSE)," ")</f>
        <v xml:space="preserve"> </v>
      </c>
      <c r="L244" s="85" t="str" cm="1">
        <f t="array" ref="L244">IFERROR(VLOOKUP($A244,'The List'!$B1:$AS671,19,FALSE)," ")</f>
        <v xml:space="preserve"> </v>
      </c>
      <c r="M244" s="85" t="str" cm="1">
        <f t="array" ref="M244">IFERROR(VLOOKUP($A244,'The List'!$B1:$AS671,20,FALSE)," ")</f>
        <v xml:space="preserve"> </v>
      </c>
      <c r="N244" s="85" t="str" cm="1">
        <f t="array" ref="N244">IFERROR(VLOOKUP($A244,'The List'!$B1:$AS671,21,FALSE)," ")</f>
        <v xml:space="preserve"> </v>
      </c>
      <c r="O244" s="85" t="str" cm="1">
        <f t="array" ref="O244">IFERROR(VLOOKUP($A244,'The List'!$B1:$AS671,22,FALSE)," ")</f>
        <v xml:space="preserve"> </v>
      </c>
      <c r="P244" s="85" t="str" cm="1">
        <f t="array" ref="P244">IFERROR(VLOOKUP($A244,'The List'!$B1:$AS671,23,FALSE)," ")</f>
        <v xml:space="preserve"> </v>
      </c>
      <c r="Q244" s="85" t="str" cm="1">
        <f t="array" ref="Q244">IFERROR(VLOOKUP($A244,'The List'!$B1:$AS671,24,FALSE)," ")</f>
        <v xml:space="preserve"> </v>
      </c>
      <c r="R244" s="85" t="str" cm="1">
        <f t="array" ref="R244">IFERROR(VLOOKUP($A244,'The List'!$B1:$AS671,25,FALSE)," ")</f>
        <v xml:space="preserve"> </v>
      </c>
      <c r="S244" s="85" t="str" cm="1">
        <f t="array" ref="S244">IFERROR(VLOOKUP($A244,'The List'!$B1:$AS671,26,FALSE)," ")</f>
        <v xml:space="preserve"> </v>
      </c>
      <c r="T244" s="85" t="str" cm="1">
        <f t="array" ref="T244">IFERROR(VLOOKUP($A244,'The List'!$B1:$AS671,27,FALSE)," ")</f>
        <v xml:space="preserve"> </v>
      </c>
      <c r="U244" s="85" t="str" cm="1">
        <f t="array" ref="U244">IFERROR(VLOOKUP($A244,'The List'!$B1:$AS671,28,FALSE)," ")</f>
        <v xml:space="preserve"> </v>
      </c>
      <c r="V244" s="85" t="str" cm="1">
        <f t="array" ref="V244">IFERROR(VLOOKUP($A244,'The List'!$B1:$AS671,29,FALSE)," ")</f>
        <v xml:space="preserve"> </v>
      </c>
      <c r="W244" s="85" t="str" cm="1">
        <f t="array" ref="W244">IFERROR(VLOOKUP($A244,'The List'!$B1:$AS671,30,FALSE)," ")</f>
        <v xml:space="preserve"> </v>
      </c>
      <c r="X244" s="85" t="str" cm="1">
        <f t="array" ref="X244">IFERROR(VLOOKUP($A244,'The List'!$B1:$AS671,31,FALSE)," ")</f>
        <v xml:space="preserve"> </v>
      </c>
      <c r="Y244" s="85" t="str" cm="1">
        <f t="array" ref="Y244">IFERROR(VLOOKUP($A244,'The List'!$B1:$AS671,32,FALSE)," ")</f>
        <v xml:space="preserve"> </v>
      </c>
      <c r="Z244" s="85" t="str" cm="1">
        <f t="array" ref="Z244">IFERROR(VLOOKUP($A244,'The List'!$B1:$AS671,33,FALSE)," ")</f>
        <v xml:space="preserve"> </v>
      </c>
      <c r="AA244" s="86"/>
      <c r="AB244" s="91"/>
      <c r="AC244" s="91"/>
      <c r="AD244" s="91"/>
      <c r="AE244" s="91"/>
      <c r="AF244" s="91"/>
    </row>
    <row r="245" spans="1:32" ht="21.25" customHeight="1" x14ac:dyDescent="0.15">
      <c r="A245" s="24"/>
      <c r="B245" s="97" t="str" cm="1">
        <f t="array" ref="B245">IFERROR(VLOOKUP($A245,'The List'!$B1:$AS671,3,FALSE)," ")</f>
        <v xml:space="preserve"> </v>
      </c>
      <c r="C245" s="99" t="str" cm="1">
        <f t="array" ref="C245">IFERROR(VLOOKUP($A245,'The List'!$B1:$AS671,4,FALSE)," ")</f>
        <v xml:space="preserve"> </v>
      </c>
      <c r="D245" s="18" t="str" cm="1">
        <f t="array" ref="D245">IFERROR(VLOOKUP($A245,'The List'!$B1:$AS671,5,FALSE)," ")</f>
        <v xml:space="preserve"> </v>
      </c>
      <c r="E245" s="18" t="str" cm="1">
        <f t="array" ref="E245">IFERROR(VLOOKUP($A245,'The List'!$B1:$AS671,6,FALSE)," ")</f>
        <v xml:space="preserve"> </v>
      </c>
      <c r="F245" s="93" t="str" cm="1">
        <f t="array" ref="F245">IFERROR(VLOOKUP($A245,'The List'!$B1:$AS671,8,FALSE)," ")</f>
        <v xml:space="preserve"> </v>
      </c>
      <c r="G245" s="93" t="str" cm="1">
        <f t="array" ref="G245">IFERROR(VLOOKUP($A245,'The List'!$B1:$AS671,10,FALSE)," ")</f>
        <v xml:space="preserve"> </v>
      </c>
      <c r="H245" s="55"/>
      <c r="I245" s="85" t="str" cm="1">
        <f t="array" ref="I245">IFERROR(VLOOKUP($A245,'The List'!$B1:$AS671,16,FALSE)," ")</f>
        <v xml:space="preserve"> </v>
      </c>
      <c r="J245" s="85" t="str" cm="1">
        <f t="array" ref="J245">IFERROR(VLOOKUP($A245,'The List'!$B1:$AS671,17,FALSE)," ")</f>
        <v xml:space="preserve"> </v>
      </c>
      <c r="K245" s="85" t="str" cm="1">
        <f t="array" ref="K245">IFERROR(VLOOKUP($A245,'The List'!$B1:$AS671,18,FALSE)," ")</f>
        <v xml:space="preserve"> </v>
      </c>
      <c r="L245" s="85" t="str" cm="1">
        <f t="array" ref="L245">IFERROR(VLOOKUP($A245,'The List'!$B1:$AS671,19,FALSE)," ")</f>
        <v xml:space="preserve"> </v>
      </c>
      <c r="M245" s="85" t="str" cm="1">
        <f t="array" ref="M245">IFERROR(VLOOKUP($A245,'The List'!$B1:$AS671,20,FALSE)," ")</f>
        <v xml:space="preserve"> </v>
      </c>
      <c r="N245" s="85" t="str" cm="1">
        <f t="array" ref="N245">IFERROR(VLOOKUP($A245,'The List'!$B1:$AS671,21,FALSE)," ")</f>
        <v xml:space="preserve"> </v>
      </c>
      <c r="O245" s="85" t="str" cm="1">
        <f t="array" ref="O245">IFERROR(VLOOKUP($A245,'The List'!$B1:$AS671,22,FALSE)," ")</f>
        <v xml:space="preserve"> </v>
      </c>
      <c r="P245" s="85" t="str" cm="1">
        <f t="array" ref="P245">IFERROR(VLOOKUP($A245,'The List'!$B1:$AS671,23,FALSE)," ")</f>
        <v xml:space="preserve"> </v>
      </c>
      <c r="Q245" s="85" t="str" cm="1">
        <f t="array" ref="Q245">IFERROR(VLOOKUP($A245,'The List'!$B1:$AS671,24,FALSE)," ")</f>
        <v xml:space="preserve"> </v>
      </c>
      <c r="R245" s="85" t="str" cm="1">
        <f t="array" ref="R245">IFERROR(VLOOKUP($A245,'The List'!$B1:$AS671,25,FALSE)," ")</f>
        <v xml:space="preserve"> </v>
      </c>
      <c r="S245" s="85" t="str" cm="1">
        <f t="array" ref="S245">IFERROR(VLOOKUP($A245,'The List'!$B1:$AS671,26,FALSE)," ")</f>
        <v xml:space="preserve"> </v>
      </c>
      <c r="T245" s="85" t="str" cm="1">
        <f t="array" ref="T245">IFERROR(VLOOKUP($A245,'The List'!$B1:$AS671,27,FALSE)," ")</f>
        <v xml:space="preserve"> </v>
      </c>
      <c r="U245" s="85" t="str" cm="1">
        <f t="array" ref="U245">IFERROR(VLOOKUP($A245,'The List'!$B1:$AS671,28,FALSE)," ")</f>
        <v xml:space="preserve"> </v>
      </c>
      <c r="V245" s="85" t="str" cm="1">
        <f t="array" ref="V245">IFERROR(VLOOKUP($A245,'The List'!$B1:$AS671,29,FALSE)," ")</f>
        <v xml:space="preserve"> </v>
      </c>
      <c r="W245" s="85" t="str" cm="1">
        <f t="array" ref="W245">IFERROR(VLOOKUP($A245,'The List'!$B1:$AS671,30,FALSE)," ")</f>
        <v xml:space="preserve"> </v>
      </c>
      <c r="X245" s="85" t="str" cm="1">
        <f t="array" ref="X245">IFERROR(VLOOKUP($A245,'The List'!$B1:$AS671,31,FALSE)," ")</f>
        <v xml:space="preserve"> </v>
      </c>
      <c r="Y245" s="85" t="str" cm="1">
        <f t="array" ref="Y245">IFERROR(VLOOKUP($A245,'The List'!$B1:$AS671,32,FALSE)," ")</f>
        <v xml:space="preserve"> </v>
      </c>
      <c r="Z245" s="85" t="str" cm="1">
        <f t="array" ref="Z245">IFERROR(VLOOKUP($A245,'The List'!$B1:$AS671,33,FALSE)," ")</f>
        <v xml:space="preserve"> </v>
      </c>
      <c r="AA245" s="86"/>
      <c r="AB245" s="91"/>
      <c r="AC245" s="91"/>
      <c r="AD245" s="91"/>
      <c r="AE245" s="91"/>
      <c r="AF245" s="91"/>
    </row>
    <row r="246" spans="1:32" ht="21.25" customHeight="1" x14ac:dyDescent="0.15">
      <c r="A246" s="24"/>
      <c r="B246" s="100" t="str" cm="1">
        <f t="array" ref="B246">IFERROR(VLOOKUP($A246,'The List'!$B1:$AS671,3,FALSE)," ")</f>
        <v xml:space="preserve"> </v>
      </c>
      <c r="C246" s="102" t="str" cm="1">
        <f t="array" ref="C246">IFERROR(VLOOKUP($A246,'The List'!$B1:$AS671,4,FALSE)," ")</f>
        <v xml:space="preserve"> </v>
      </c>
      <c r="D246" s="18" t="str" cm="1">
        <f t="array" ref="D246">IFERROR(VLOOKUP($A246,'The List'!$B1:$AS671,5,FALSE)," ")</f>
        <v xml:space="preserve"> </v>
      </c>
      <c r="E246" s="18" t="str" cm="1">
        <f t="array" ref="E246">IFERROR(VLOOKUP($A246,'The List'!$B1:$AS671,6,FALSE)," ")</f>
        <v xml:space="preserve"> </v>
      </c>
      <c r="F246" s="93" t="str" cm="1">
        <f t="array" ref="F246">IFERROR(VLOOKUP($A246,'The List'!$B1:$AS671,8,FALSE)," ")</f>
        <v xml:space="preserve"> </v>
      </c>
      <c r="G246" s="93" t="str" cm="1">
        <f t="array" ref="G246">IFERROR(VLOOKUP($A246,'The List'!$B1:$AS671,10,FALSE)," ")</f>
        <v xml:space="preserve"> </v>
      </c>
      <c r="H246" s="55"/>
      <c r="I246" s="85" t="str" cm="1">
        <f t="array" ref="I246">IFERROR(VLOOKUP($A246,'The List'!$B1:$AS671,16,FALSE)," ")</f>
        <v xml:space="preserve"> </v>
      </c>
      <c r="J246" s="85" t="str" cm="1">
        <f t="array" ref="J246">IFERROR(VLOOKUP($A246,'The List'!$B1:$AS671,17,FALSE)," ")</f>
        <v xml:space="preserve"> </v>
      </c>
      <c r="K246" s="85" t="str" cm="1">
        <f t="array" ref="K246">IFERROR(VLOOKUP($A246,'The List'!$B1:$AS671,18,FALSE)," ")</f>
        <v xml:space="preserve"> </v>
      </c>
      <c r="L246" s="85" t="str" cm="1">
        <f t="array" ref="L246">IFERROR(VLOOKUP($A246,'The List'!$B1:$AS671,19,FALSE)," ")</f>
        <v xml:space="preserve"> </v>
      </c>
      <c r="M246" s="85" t="str" cm="1">
        <f t="array" ref="M246">IFERROR(VLOOKUP($A246,'The List'!$B1:$AS671,20,FALSE)," ")</f>
        <v xml:space="preserve"> </v>
      </c>
      <c r="N246" s="85" t="str" cm="1">
        <f t="array" ref="N246">IFERROR(VLOOKUP($A246,'The List'!$B1:$AS671,21,FALSE)," ")</f>
        <v xml:space="preserve"> </v>
      </c>
      <c r="O246" s="85" t="str" cm="1">
        <f t="array" ref="O246">IFERROR(VLOOKUP($A246,'The List'!$B1:$AS671,22,FALSE)," ")</f>
        <v xml:space="preserve"> </v>
      </c>
      <c r="P246" s="85" t="str" cm="1">
        <f t="array" ref="P246">IFERROR(VLOOKUP($A246,'The List'!$B1:$AS671,23,FALSE)," ")</f>
        <v xml:space="preserve"> </v>
      </c>
      <c r="Q246" s="85" t="str" cm="1">
        <f t="array" ref="Q246">IFERROR(VLOOKUP($A246,'The List'!$B1:$AS671,24,FALSE)," ")</f>
        <v xml:space="preserve"> </v>
      </c>
      <c r="R246" s="85" t="str" cm="1">
        <f t="array" ref="R246">IFERROR(VLOOKUP($A246,'The List'!$B1:$AS671,25,FALSE)," ")</f>
        <v xml:space="preserve"> </v>
      </c>
      <c r="S246" s="85" t="str" cm="1">
        <f t="array" ref="S246">IFERROR(VLOOKUP($A246,'The List'!$B1:$AS671,26,FALSE)," ")</f>
        <v xml:space="preserve"> </v>
      </c>
      <c r="T246" s="85" t="str" cm="1">
        <f t="array" ref="T246">IFERROR(VLOOKUP($A246,'The List'!$B1:$AS671,27,FALSE)," ")</f>
        <v xml:space="preserve"> </v>
      </c>
      <c r="U246" s="85" t="str" cm="1">
        <f t="array" ref="U246">IFERROR(VLOOKUP($A246,'The List'!$B1:$AS671,28,FALSE)," ")</f>
        <v xml:space="preserve"> </v>
      </c>
      <c r="V246" s="85" t="str" cm="1">
        <f t="array" ref="V246">IFERROR(VLOOKUP($A246,'The List'!$B1:$AS671,29,FALSE)," ")</f>
        <v xml:space="preserve"> </v>
      </c>
      <c r="W246" s="85" t="str" cm="1">
        <f t="array" ref="W246">IFERROR(VLOOKUP($A246,'The List'!$B1:$AS671,30,FALSE)," ")</f>
        <v xml:space="preserve"> </v>
      </c>
      <c r="X246" s="85" t="str" cm="1">
        <f t="array" ref="X246">IFERROR(VLOOKUP($A246,'The List'!$B1:$AS671,31,FALSE)," ")</f>
        <v xml:space="preserve"> </v>
      </c>
      <c r="Y246" s="85" t="str" cm="1">
        <f t="array" ref="Y246">IFERROR(VLOOKUP($A246,'The List'!$B1:$AS671,32,FALSE)," ")</f>
        <v xml:space="preserve"> </v>
      </c>
      <c r="Z246" s="85" t="str" cm="1">
        <f t="array" ref="Z246">IFERROR(VLOOKUP($A246,'The List'!$B1:$AS671,33,FALSE)," ")</f>
        <v xml:space="preserve"> </v>
      </c>
      <c r="AA246" s="86"/>
      <c r="AB246" s="91"/>
      <c r="AC246" s="91"/>
      <c r="AD246" s="91"/>
      <c r="AE246" s="91"/>
      <c r="AF246" s="91"/>
    </row>
    <row r="247" spans="1:32" ht="21.25" customHeight="1" x14ac:dyDescent="0.15">
      <c r="A247" s="24"/>
      <c r="B247" s="100" t="str" cm="1">
        <f t="array" ref="B247">IFERROR(VLOOKUP($A247,'The List'!$B1:$AS671,3,FALSE)," ")</f>
        <v xml:space="preserve"> </v>
      </c>
      <c r="C247" s="102" t="str" cm="1">
        <f t="array" ref="C247">IFERROR(VLOOKUP($A247,'The List'!$B1:$AS671,4,FALSE)," ")</f>
        <v xml:space="preserve"> </v>
      </c>
      <c r="D247" s="18" t="str" cm="1">
        <f t="array" ref="D247">IFERROR(VLOOKUP($A247,'The List'!$B1:$AS671,5,FALSE)," ")</f>
        <v xml:space="preserve"> </v>
      </c>
      <c r="E247" s="18" t="str" cm="1">
        <f t="array" ref="E247">IFERROR(VLOOKUP($A247,'The List'!$B1:$AS671,6,FALSE)," ")</f>
        <v xml:space="preserve"> </v>
      </c>
      <c r="F247" s="93" t="str" cm="1">
        <f t="array" ref="F247">IFERROR(VLOOKUP($A247,'The List'!$B1:$AS671,8,FALSE)," ")</f>
        <v xml:space="preserve"> </v>
      </c>
      <c r="G247" s="93" t="str" cm="1">
        <f t="array" ref="G247">IFERROR(VLOOKUP($A247,'The List'!$B1:$AS671,10,FALSE)," ")</f>
        <v xml:space="preserve"> </v>
      </c>
      <c r="H247" s="55"/>
      <c r="I247" s="85" t="str" cm="1">
        <f t="array" ref="I247">IFERROR(VLOOKUP($A247,'The List'!$B1:$AS671,16,FALSE)," ")</f>
        <v xml:space="preserve"> </v>
      </c>
      <c r="J247" s="85" t="str" cm="1">
        <f t="array" ref="J247">IFERROR(VLOOKUP($A247,'The List'!$B1:$AS671,17,FALSE)," ")</f>
        <v xml:space="preserve"> </v>
      </c>
      <c r="K247" s="85" t="str" cm="1">
        <f t="array" ref="K247">IFERROR(VLOOKUP($A247,'The List'!$B1:$AS671,18,FALSE)," ")</f>
        <v xml:space="preserve"> </v>
      </c>
      <c r="L247" s="85" t="str" cm="1">
        <f t="array" ref="L247">IFERROR(VLOOKUP($A247,'The List'!$B1:$AS671,19,FALSE)," ")</f>
        <v xml:space="preserve"> </v>
      </c>
      <c r="M247" s="85" t="str" cm="1">
        <f t="array" ref="M247">IFERROR(VLOOKUP($A247,'The List'!$B1:$AS671,20,FALSE)," ")</f>
        <v xml:space="preserve"> </v>
      </c>
      <c r="N247" s="85" t="str" cm="1">
        <f t="array" ref="N247">IFERROR(VLOOKUP($A247,'The List'!$B1:$AS671,21,FALSE)," ")</f>
        <v xml:space="preserve"> </v>
      </c>
      <c r="O247" s="85" t="str" cm="1">
        <f t="array" ref="O247">IFERROR(VLOOKUP($A247,'The List'!$B1:$AS671,22,FALSE)," ")</f>
        <v xml:space="preserve"> </v>
      </c>
      <c r="P247" s="85" t="str" cm="1">
        <f t="array" ref="P247">IFERROR(VLOOKUP($A247,'The List'!$B1:$AS671,23,FALSE)," ")</f>
        <v xml:space="preserve"> </v>
      </c>
      <c r="Q247" s="85" t="str" cm="1">
        <f t="array" ref="Q247">IFERROR(VLOOKUP($A247,'The List'!$B1:$AS671,24,FALSE)," ")</f>
        <v xml:space="preserve"> </v>
      </c>
      <c r="R247" s="85" t="str" cm="1">
        <f t="array" ref="R247">IFERROR(VLOOKUP($A247,'The List'!$B1:$AS671,25,FALSE)," ")</f>
        <v xml:space="preserve"> </v>
      </c>
      <c r="S247" s="85" t="str" cm="1">
        <f t="array" ref="S247">IFERROR(VLOOKUP($A247,'The List'!$B1:$AS671,26,FALSE)," ")</f>
        <v xml:space="preserve"> </v>
      </c>
      <c r="T247" s="85" t="str" cm="1">
        <f t="array" ref="T247">IFERROR(VLOOKUP($A247,'The List'!$B1:$AS671,27,FALSE)," ")</f>
        <v xml:space="preserve"> </v>
      </c>
      <c r="U247" s="85" t="str" cm="1">
        <f t="array" ref="U247">IFERROR(VLOOKUP($A247,'The List'!$B1:$AS671,28,FALSE)," ")</f>
        <v xml:space="preserve"> </v>
      </c>
      <c r="V247" s="85" t="str" cm="1">
        <f t="array" ref="V247">IFERROR(VLOOKUP($A247,'The List'!$B1:$AS671,29,FALSE)," ")</f>
        <v xml:space="preserve"> </v>
      </c>
      <c r="W247" s="85" t="str" cm="1">
        <f t="array" ref="W247">IFERROR(VLOOKUP($A247,'The List'!$B1:$AS671,30,FALSE)," ")</f>
        <v xml:space="preserve"> </v>
      </c>
      <c r="X247" s="85" t="str" cm="1">
        <f t="array" ref="X247">IFERROR(VLOOKUP($A247,'The List'!$B1:$AS671,31,FALSE)," ")</f>
        <v xml:space="preserve"> </v>
      </c>
      <c r="Y247" s="85" t="str" cm="1">
        <f t="array" ref="Y247">IFERROR(VLOOKUP($A247,'The List'!$B1:$AS671,32,FALSE)," ")</f>
        <v xml:space="preserve"> </v>
      </c>
      <c r="Z247" s="85" t="str" cm="1">
        <f t="array" ref="Z247">IFERROR(VLOOKUP($A247,'The List'!$B1:$AS671,33,FALSE)," ")</f>
        <v xml:space="preserve"> </v>
      </c>
      <c r="AA247" s="86"/>
      <c r="AB247" s="91"/>
      <c r="AC247" s="91"/>
      <c r="AD247" s="91"/>
      <c r="AE247" s="91"/>
      <c r="AF247" s="91"/>
    </row>
    <row r="248" spans="1:32" ht="21.25" customHeight="1" x14ac:dyDescent="0.15">
      <c r="A248" s="24"/>
      <c r="B248" s="100" t="str" cm="1">
        <f t="array" ref="B248">IFERROR(VLOOKUP($A248,'The List'!$B1:$AS671,3,FALSE)," ")</f>
        <v xml:space="preserve"> </v>
      </c>
      <c r="C248" s="102" t="str" cm="1">
        <f t="array" ref="C248">IFERROR(VLOOKUP($A248,'The List'!$B1:$AS671,4,FALSE)," ")</f>
        <v xml:space="preserve"> </v>
      </c>
      <c r="D248" s="18" t="str" cm="1">
        <f t="array" ref="D248">IFERROR(VLOOKUP($A248,'The List'!$B1:$AS671,5,FALSE)," ")</f>
        <v xml:space="preserve"> </v>
      </c>
      <c r="E248" s="18" t="str" cm="1">
        <f t="array" ref="E248">IFERROR(VLOOKUP($A248,'The List'!$B1:$AS671,6,FALSE)," ")</f>
        <v xml:space="preserve"> </v>
      </c>
      <c r="F248" s="93" t="str" cm="1">
        <f t="array" ref="F248">IFERROR(VLOOKUP($A248,'The List'!$B1:$AS671,8,FALSE)," ")</f>
        <v xml:space="preserve"> </v>
      </c>
      <c r="G248" s="93" t="str" cm="1">
        <f t="array" ref="G248">IFERROR(VLOOKUP($A248,'The List'!$B1:$AS671,10,FALSE)," ")</f>
        <v xml:space="preserve"> </v>
      </c>
      <c r="H248" s="55"/>
      <c r="I248" s="85" t="str" cm="1">
        <f t="array" ref="I248">IFERROR(VLOOKUP($A248,'The List'!$B1:$AS671,16,FALSE)," ")</f>
        <v xml:space="preserve"> </v>
      </c>
      <c r="J248" s="85" t="str" cm="1">
        <f t="array" ref="J248">IFERROR(VLOOKUP($A248,'The List'!$B1:$AS671,17,FALSE)," ")</f>
        <v xml:space="preserve"> </v>
      </c>
      <c r="K248" s="85" t="str" cm="1">
        <f t="array" ref="K248">IFERROR(VLOOKUP($A248,'The List'!$B1:$AS671,18,FALSE)," ")</f>
        <v xml:space="preserve"> </v>
      </c>
      <c r="L248" s="85" t="str" cm="1">
        <f t="array" ref="L248">IFERROR(VLOOKUP($A248,'The List'!$B1:$AS671,19,FALSE)," ")</f>
        <v xml:space="preserve"> </v>
      </c>
      <c r="M248" s="85" t="str" cm="1">
        <f t="array" ref="M248">IFERROR(VLOOKUP($A248,'The List'!$B1:$AS671,20,FALSE)," ")</f>
        <v xml:space="preserve"> </v>
      </c>
      <c r="N248" s="85" t="str" cm="1">
        <f t="array" ref="N248">IFERROR(VLOOKUP($A248,'The List'!$B1:$AS671,21,FALSE)," ")</f>
        <v xml:space="preserve"> </v>
      </c>
      <c r="O248" s="85" t="str" cm="1">
        <f t="array" ref="O248">IFERROR(VLOOKUP($A248,'The List'!$B1:$AS671,22,FALSE)," ")</f>
        <v xml:space="preserve"> </v>
      </c>
      <c r="P248" s="85" t="str" cm="1">
        <f t="array" ref="P248">IFERROR(VLOOKUP($A248,'The List'!$B1:$AS671,23,FALSE)," ")</f>
        <v xml:space="preserve"> </v>
      </c>
      <c r="Q248" s="85" t="str" cm="1">
        <f t="array" ref="Q248">IFERROR(VLOOKUP($A248,'The List'!$B1:$AS671,24,FALSE)," ")</f>
        <v xml:space="preserve"> </v>
      </c>
      <c r="R248" s="85" t="str" cm="1">
        <f t="array" ref="R248">IFERROR(VLOOKUP($A248,'The List'!$B1:$AS671,25,FALSE)," ")</f>
        <v xml:space="preserve"> </v>
      </c>
      <c r="S248" s="85" t="str" cm="1">
        <f t="array" ref="S248">IFERROR(VLOOKUP($A248,'The List'!$B1:$AS671,26,FALSE)," ")</f>
        <v xml:space="preserve"> </v>
      </c>
      <c r="T248" s="85" t="str" cm="1">
        <f t="array" ref="T248">IFERROR(VLOOKUP($A248,'The List'!$B1:$AS671,27,FALSE)," ")</f>
        <v xml:space="preserve"> </v>
      </c>
      <c r="U248" s="85" t="str" cm="1">
        <f t="array" ref="U248">IFERROR(VLOOKUP($A248,'The List'!$B1:$AS671,28,FALSE)," ")</f>
        <v xml:space="preserve"> </v>
      </c>
      <c r="V248" s="85" t="str" cm="1">
        <f t="array" ref="V248">IFERROR(VLOOKUP($A248,'The List'!$B1:$AS671,29,FALSE)," ")</f>
        <v xml:space="preserve"> </v>
      </c>
      <c r="W248" s="85" t="str" cm="1">
        <f t="array" ref="W248">IFERROR(VLOOKUP($A248,'The List'!$B1:$AS671,30,FALSE)," ")</f>
        <v xml:space="preserve"> </v>
      </c>
      <c r="X248" s="85" t="str" cm="1">
        <f t="array" ref="X248">IFERROR(VLOOKUP($A248,'The List'!$B1:$AS671,31,FALSE)," ")</f>
        <v xml:space="preserve"> </v>
      </c>
      <c r="Y248" s="85" t="str" cm="1">
        <f t="array" ref="Y248">IFERROR(VLOOKUP($A248,'The List'!$B1:$AS671,32,FALSE)," ")</f>
        <v xml:space="preserve"> </v>
      </c>
      <c r="Z248" s="85" t="str" cm="1">
        <f t="array" ref="Z248">IFERROR(VLOOKUP($A248,'The List'!$B1:$AS671,33,FALSE)," ")</f>
        <v xml:space="preserve"> </v>
      </c>
      <c r="AA248" s="86"/>
      <c r="AB248" s="91"/>
      <c r="AC248" s="91"/>
      <c r="AD248" s="91"/>
      <c r="AE248" s="91"/>
      <c r="AF248" s="91"/>
    </row>
    <row r="249" spans="1:32" ht="21.25" customHeight="1" x14ac:dyDescent="0.15">
      <c r="A249" s="24"/>
      <c r="B249" s="100" t="str" cm="1">
        <f t="array" ref="B249">IFERROR(VLOOKUP($A249,'The List'!$B1:$AS671,3,FALSE)," ")</f>
        <v xml:space="preserve"> </v>
      </c>
      <c r="C249" s="102" t="str" cm="1">
        <f t="array" ref="C249">IFERROR(VLOOKUP($A249,'The List'!$B1:$AS671,4,FALSE)," ")</f>
        <v xml:space="preserve"> </v>
      </c>
      <c r="D249" s="18" t="str" cm="1">
        <f t="array" ref="D249">IFERROR(VLOOKUP($A249,'The List'!$B1:$AS671,5,FALSE)," ")</f>
        <v xml:space="preserve"> </v>
      </c>
      <c r="E249" s="18" t="str" cm="1">
        <f t="array" ref="E249">IFERROR(VLOOKUP($A249,'The List'!$B1:$AS671,6,FALSE)," ")</f>
        <v xml:space="preserve"> </v>
      </c>
      <c r="F249" s="93" t="str" cm="1">
        <f t="array" ref="F249">IFERROR(VLOOKUP($A249,'The List'!$B1:$AS671,8,FALSE)," ")</f>
        <v xml:space="preserve"> </v>
      </c>
      <c r="G249" s="93" t="str" cm="1">
        <f t="array" ref="G249">IFERROR(VLOOKUP($A249,'The List'!$B1:$AS671,10,FALSE)," ")</f>
        <v xml:space="preserve"> </v>
      </c>
      <c r="H249" s="55"/>
      <c r="I249" s="85" t="str" cm="1">
        <f t="array" ref="I249">IFERROR(VLOOKUP($A249,'The List'!$B1:$AS671,16,FALSE)," ")</f>
        <v xml:space="preserve"> </v>
      </c>
      <c r="J249" s="85" t="str" cm="1">
        <f t="array" ref="J249">IFERROR(VLOOKUP($A249,'The List'!$B1:$AS671,17,FALSE)," ")</f>
        <v xml:space="preserve"> </v>
      </c>
      <c r="K249" s="85" t="str" cm="1">
        <f t="array" ref="K249">IFERROR(VLOOKUP($A249,'The List'!$B1:$AS671,18,FALSE)," ")</f>
        <v xml:space="preserve"> </v>
      </c>
      <c r="L249" s="85" t="str" cm="1">
        <f t="array" ref="L249">IFERROR(VLOOKUP($A249,'The List'!$B1:$AS671,19,FALSE)," ")</f>
        <v xml:space="preserve"> </v>
      </c>
      <c r="M249" s="85" t="str" cm="1">
        <f t="array" ref="M249">IFERROR(VLOOKUP($A249,'The List'!$B1:$AS671,20,FALSE)," ")</f>
        <v xml:space="preserve"> </v>
      </c>
      <c r="N249" s="85" t="str" cm="1">
        <f t="array" ref="N249">IFERROR(VLOOKUP($A249,'The List'!$B1:$AS671,21,FALSE)," ")</f>
        <v xml:space="preserve"> </v>
      </c>
      <c r="O249" s="85" t="str" cm="1">
        <f t="array" ref="O249">IFERROR(VLOOKUP($A249,'The List'!$B1:$AS671,22,FALSE)," ")</f>
        <v xml:space="preserve"> </v>
      </c>
      <c r="P249" s="85" t="str" cm="1">
        <f t="array" ref="P249">IFERROR(VLOOKUP($A249,'The List'!$B1:$AS671,23,FALSE)," ")</f>
        <v xml:space="preserve"> </v>
      </c>
      <c r="Q249" s="85" t="str" cm="1">
        <f t="array" ref="Q249">IFERROR(VLOOKUP($A249,'The List'!$B1:$AS671,24,FALSE)," ")</f>
        <v xml:space="preserve"> </v>
      </c>
      <c r="R249" s="85" t="str" cm="1">
        <f t="array" ref="R249">IFERROR(VLOOKUP($A249,'The List'!$B1:$AS671,25,FALSE)," ")</f>
        <v xml:space="preserve"> </v>
      </c>
      <c r="S249" s="85" t="str" cm="1">
        <f t="array" ref="S249">IFERROR(VLOOKUP($A249,'The List'!$B1:$AS671,26,FALSE)," ")</f>
        <v xml:space="preserve"> </v>
      </c>
      <c r="T249" s="85" t="str" cm="1">
        <f t="array" ref="T249">IFERROR(VLOOKUP($A249,'The List'!$B1:$AS671,27,FALSE)," ")</f>
        <v xml:space="preserve"> </v>
      </c>
      <c r="U249" s="85" t="str" cm="1">
        <f t="array" ref="U249">IFERROR(VLOOKUP($A249,'The List'!$B1:$AS671,28,FALSE)," ")</f>
        <v xml:space="preserve"> </v>
      </c>
      <c r="V249" s="85" t="str" cm="1">
        <f t="array" ref="V249">IFERROR(VLOOKUP($A249,'The List'!$B1:$AS671,29,FALSE)," ")</f>
        <v xml:space="preserve"> </v>
      </c>
      <c r="W249" s="85" t="str" cm="1">
        <f t="array" ref="W249">IFERROR(VLOOKUP($A249,'The List'!$B1:$AS671,30,FALSE)," ")</f>
        <v xml:space="preserve"> </v>
      </c>
      <c r="X249" s="85" t="str" cm="1">
        <f t="array" ref="X249">IFERROR(VLOOKUP($A249,'The List'!$B1:$AS671,31,FALSE)," ")</f>
        <v xml:space="preserve"> </v>
      </c>
      <c r="Y249" s="85" t="str" cm="1">
        <f t="array" ref="Y249">IFERROR(VLOOKUP($A249,'The List'!$B1:$AS671,32,FALSE)," ")</f>
        <v xml:space="preserve"> </v>
      </c>
      <c r="Z249" s="85" t="str" cm="1">
        <f t="array" ref="Z249">IFERROR(VLOOKUP($A249,'The List'!$B1:$AS671,33,FALSE)," ")</f>
        <v xml:space="preserve"> </v>
      </c>
      <c r="AA249" s="86"/>
      <c r="AB249" s="91"/>
      <c r="AC249" s="91"/>
      <c r="AD249" s="91"/>
      <c r="AE249" s="91"/>
      <c r="AF249" s="91"/>
    </row>
    <row r="250" spans="1:32" ht="21.25" customHeight="1" x14ac:dyDescent="0.15">
      <c r="A250" s="24"/>
      <c r="B250" s="100" t="str" cm="1">
        <f t="array" ref="B250">IFERROR(VLOOKUP($A250,'The List'!$B1:$AS671,3,FALSE)," ")</f>
        <v xml:space="preserve"> </v>
      </c>
      <c r="C250" s="102" t="str" cm="1">
        <f t="array" ref="C250">IFERROR(VLOOKUP($A250,'The List'!$B1:$AS671,4,FALSE)," ")</f>
        <v xml:space="preserve"> </v>
      </c>
      <c r="D250" s="18" t="str" cm="1">
        <f t="array" ref="D250">IFERROR(VLOOKUP($A250,'The List'!$B1:$AS671,5,FALSE)," ")</f>
        <v xml:space="preserve"> </v>
      </c>
      <c r="E250" s="18" t="str" cm="1">
        <f t="array" ref="E250">IFERROR(VLOOKUP($A250,'The List'!$B1:$AS671,6,FALSE)," ")</f>
        <v xml:space="preserve"> </v>
      </c>
      <c r="F250" s="93" t="str" cm="1">
        <f t="array" ref="F250">IFERROR(VLOOKUP($A250,'The List'!$B1:$AS671,8,FALSE)," ")</f>
        <v xml:space="preserve"> </v>
      </c>
      <c r="G250" s="93" t="str" cm="1">
        <f t="array" ref="G250">IFERROR(VLOOKUP($A250,'The List'!$B1:$AS671,10,FALSE)," ")</f>
        <v xml:space="preserve"> </v>
      </c>
      <c r="H250" s="55"/>
      <c r="I250" s="85" t="str" cm="1">
        <f t="array" ref="I250">IFERROR(VLOOKUP($A250,'The List'!$B1:$AS671,16,FALSE)," ")</f>
        <v xml:space="preserve"> </v>
      </c>
      <c r="J250" s="85" t="str" cm="1">
        <f t="array" ref="J250">IFERROR(VLOOKUP($A250,'The List'!$B1:$AS671,17,FALSE)," ")</f>
        <v xml:space="preserve"> </v>
      </c>
      <c r="K250" s="85" t="str" cm="1">
        <f t="array" ref="K250">IFERROR(VLOOKUP($A250,'The List'!$B1:$AS671,18,FALSE)," ")</f>
        <v xml:space="preserve"> </v>
      </c>
      <c r="L250" s="85" t="str" cm="1">
        <f t="array" ref="L250">IFERROR(VLOOKUP($A250,'The List'!$B1:$AS671,19,FALSE)," ")</f>
        <v xml:space="preserve"> </v>
      </c>
      <c r="M250" s="85" t="str" cm="1">
        <f t="array" ref="M250">IFERROR(VLOOKUP($A250,'The List'!$B1:$AS671,20,FALSE)," ")</f>
        <v xml:space="preserve"> </v>
      </c>
      <c r="N250" s="85" t="str" cm="1">
        <f t="array" ref="N250">IFERROR(VLOOKUP($A250,'The List'!$B1:$AS671,21,FALSE)," ")</f>
        <v xml:space="preserve"> </v>
      </c>
      <c r="O250" s="85" t="str" cm="1">
        <f t="array" ref="O250">IFERROR(VLOOKUP($A250,'The List'!$B1:$AS671,22,FALSE)," ")</f>
        <v xml:space="preserve"> </v>
      </c>
      <c r="P250" s="85" t="str" cm="1">
        <f t="array" ref="P250">IFERROR(VLOOKUP($A250,'The List'!$B1:$AS671,23,FALSE)," ")</f>
        <v xml:space="preserve"> </v>
      </c>
      <c r="Q250" s="85" t="str" cm="1">
        <f t="array" ref="Q250">IFERROR(VLOOKUP($A250,'The List'!$B1:$AS671,24,FALSE)," ")</f>
        <v xml:space="preserve"> </v>
      </c>
      <c r="R250" s="85" t="str" cm="1">
        <f t="array" ref="R250">IFERROR(VLOOKUP($A250,'The List'!$B1:$AS671,25,FALSE)," ")</f>
        <v xml:space="preserve"> </v>
      </c>
      <c r="S250" s="85" t="str" cm="1">
        <f t="array" ref="S250">IFERROR(VLOOKUP($A250,'The List'!$B1:$AS671,26,FALSE)," ")</f>
        <v xml:space="preserve"> </v>
      </c>
      <c r="T250" s="85" t="str" cm="1">
        <f t="array" ref="T250">IFERROR(VLOOKUP($A250,'The List'!$B1:$AS671,27,FALSE)," ")</f>
        <v xml:space="preserve"> </v>
      </c>
      <c r="U250" s="85" t="str" cm="1">
        <f t="array" ref="U250">IFERROR(VLOOKUP($A250,'The List'!$B1:$AS671,28,FALSE)," ")</f>
        <v xml:space="preserve"> </v>
      </c>
      <c r="V250" s="85" t="str" cm="1">
        <f t="array" ref="V250">IFERROR(VLOOKUP($A250,'The List'!$B1:$AS671,29,FALSE)," ")</f>
        <v xml:space="preserve"> </v>
      </c>
      <c r="W250" s="85" t="str" cm="1">
        <f t="array" ref="W250">IFERROR(VLOOKUP($A250,'The List'!$B1:$AS671,30,FALSE)," ")</f>
        <v xml:space="preserve"> </v>
      </c>
      <c r="X250" s="85" t="str" cm="1">
        <f t="array" ref="X250">IFERROR(VLOOKUP($A250,'The List'!$B1:$AS671,31,FALSE)," ")</f>
        <v xml:space="preserve"> </v>
      </c>
      <c r="Y250" s="85" t="str" cm="1">
        <f t="array" ref="Y250">IFERROR(VLOOKUP($A250,'The List'!$B1:$AS671,32,FALSE)," ")</f>
        <v xml:space="preserve"> </v>
      </c>
      <c r="Z250" s="85" t="str" cm="1">
        <f t="array" ref="Z250">IFERROR(VLOOKUP($A250,'The List'!$B1:$AS671,33,FALSE)," ")</f>
        <v xml:space="preserve"> </v>
      </c>
      <c r="AA250" s="86"/>
      <c r="AB250" s="91"/>
      <c r="AC250" s="91"/>
      <c r="AD250" s="91"/>
      <c r="AE250" s="91"/>
      <c r="AF250" s="91"/>
    </row>
    <row r="251" spans="1:32" ht="21.25" customHeight="1" x14ac:dyDescent="0.15">
      <c r="A251" s="24"/>
      <c r="B251" s="100" t="str" cm="1">
        <f t="array" ref="B251">IFERROR(VLOOKUP($A251,'The List'!$B1:$AS671,3,FALSE)," ")</f>
        <v xml:space="preserve"> </v>
      </c>
      <c r="C251" s="102" t="str" cm="1">
        <f t="array" ref="C251">IFERROR(VLOOKUP($A251,'The List'!$B1:$AS671,4,FALSE)," ")</f>
        <v xml:space="preserve"> </v>
      </c>
      <c r="D251" s="18" t="str" cm="1">
        <f t="array" ref="D251">IFERROR(VLOOKUP($A251,'The List'!$B1:$AS671,5,FALSE)," ")</f>
        <v xml:space="preserve"> </v>
      </c>
      <c r="E251" s="18" t="str" cm="1">
        <f t="array" ref="E251">IFERROR(VLOOKUP($A251,'The List'!$B1:$AS671,6,FALSE)," ")</f>
        <v xml:space="preserve"> </v>
      </c>
      <c r="F251" s="93" t="str" cm="1">
        <f t="array" ref="F251">IFERROR(VLOOKUP($A251,'The List'!$B1:$AS671,8,FALSE)," ")</f>
        <v xml:space="preserve"> </v>
      </c>
      <c r="G251" s="93" t="str" cm="1">
        <f t="array" ref="G251">IFERROR(VLOOKUP($A251,'The List'!$B1:$AS671,10,FALSE)," ")</f>
        <v xml:space="preserve"> </v>
      </c>
      <c r="H251" s="55"/>
      <c r="I251" s="85" t="str" cm="1">
        <f t="array" ref="I251">IFERROR(VLOOKUP($A251,'The List'!$B1:$AS671,16,FALSE)," ")</f>
        <v xml:space="preserve"> </v>
      </c>
      <c r="J251" s="85" t="str" cm="1">
        <f t="array" ref="J251">IFERROR(VLOOKUP($A251,'The List'!$B1:$AS671,17,FALSE)," ")</f>
        <v xml:space="preserve"> </v>
      </c>
      <c r="K251" s="85" t="str" cm="1">
        <f t="array" ref="K251">IFERROR(VLOOKUP($A251,'The List'!$B1:$AS671,18,FALSE)," ")</f>
        <v xml:space="preserve"> </v>
      </c>
      <c r="L251" s="85" t="str" cm="1">
        <f t="array" ref="L251">IFERROR(VLOOKUP($A251,'The List'!$B1:$AS671,19,FALSE)," ")</f>
        <v xml:space="preserve"> </v>
      </c>
      <c r="M251" s="85" t="str" cm="1">
        <f t="array" ref="M251">IFERROR(VLOOKUP($A251,'The List'!$B1:$AS671,20,FALSE)," ")</f>
        <v xml:space="preserve"> </v>
      </c>
      <c r="N251" s="85" t="str" cm="1">
        <f t="array" ref="N251">IFERROR(VLOOKUP($A251,'The List'!$B1:$AS671,21,FALSE)," ")</f>
        <v xml:space="preserve"> </v>
      </c>
      <c r="O251" s="85" t="str" cm="1">
        <f t="array" ref="O251">IFERROR(VLOOKUP($A251,'The List'!$B1:$AS671,22,FALSE)," ")</f>
        <v xml:space="preserve"> </v>
      </c>
      <c r="P251" s="85" t="str" cm="1">
        <f t="array" ref="P251">IFERROR(VLOOKUP($A251,'The List'!$B1:$AS671,23,FALSE)," ")</f>
        <v xml:space="preserve"> </v>
      </c>
      <c r="Q251" s="85" t="str" cm="1">
        <f t="array" ref="Q251">IFERROR(VLOOKUP($A251,'The List'!$B1:$AS671,24,FALSE)," ")</f>
        <v xml:space="preserve"> </v>
      </c>
      <c r="R251" s="85" t="str" cm="1">
        <f t="array" ref="R251">IFERROR(VLOOKUP($A251,'The List'!$B1:$AS671,25,FALSE)," ")</f>
        <v xml:space="preserve"> </v>
      </c>
      <c r="S251" s="85" t="str" cm="1">
        <f t="array" ref="S251">IFERROR(VLOOKUP($A251,'The List'!$B1:$AS671,26,FALSE)," ")</f>
        <v xml:space="preserve"> </v>
      </c>
      <c r="T251" s="85" t="str" cm="1">
        <f t="array" ref="T251">IFERROR(VLOOKUP($A251,'The List'!$B1:$AS671,27,FALSE)," ")</f>
        <v xml:space="preserve"> </v>
      </c>
      <c r="U251" s="85" t="str" cm="1">
        <f t="array" ref="U251">IFERROR(VLOOKUP($A251,'The List'!$B1:$AS671,28,FALSE)," ")</f>
        <v xml:space="preserve"> </v>
      </c>
      <c r="V251" s="85" t="str" cm="1">
        <f t="array" ref="V251">IFERROR(VLOOKUP($A251,'The List'!$B1:$AS671,29,FALSE)," ")</f>
        <v xml:space="preserve"> </v>
      </c>
      <c r="W251" s="85" t="str" cm="1">
        <f t="array" ref="W251">IFERROR(VLOOKUP($A251,'The List'!$B1:$AS671,30,FALSE)," ")</f>
        <v xml:space="preserve"> </v>
      </c>
      <c r="X251" s="85" t="str" cm="1">
        <f t="array" ref="X251">IFERROR(VLOOKUP($A251,'The List'!$B1:$AS671,31,FALSE)," ")</f>
        <v xml:space="preserve"> </v>
      </c>
      <c r="Y251" s="85" t="str" cm="1">
        <f t="array" ref="Y251">IFERROR(VLOOKUP($A251,'The List'!$B1:$AS671,32,FALSE)," ")</f>
        <v xml:space="preserve"> </v>
      </c>
      <c r="Z251" s="85" t="str" cm="1">
        <f t="array" ref="Z251">IFERROR(VLOOKUP($A251,'The List'!$B1:$AS671,33,FALSE)," ")</f>
        <v xml:space="preserve"> </v>
      </c>
      <c r="AA251" s="86"/>
      <c r="AB251" s="91"/>
      <c r="AC251" s="91"/>
      <c r="AD251" s="91"/>
      <c r="AE251" s="91"/>
      <c r="AF251" s="91"/>
    </row>
    <row r="252" spans="1:32" ht="21.25" customHeight="1" x14ac:dyDescent="0.15">
      <c r="A252" s="24"/>
      <c r="B252" s="100" t="str" cm="1">
        <f t="array" ref="B252">IFERROR(VLOOKUP($A252,'The List'!$B1:$AS671,3,FALSE)," ")</f>
        <v xml:space="preserve"> </v>
      </c>
      <c r="C252" s="102" t="str" cm="1">
        <f t="array" ref="C252">IFERROR(VLOOKUP($A252,'The List'!$B1:$AS671,4,FALSE)," ")</f>
        <v xml:space="preserve"> </v>
      </c>
      <c r="D252" s="18" t="str" cm="1">
        <f t="array" ref="D252">IFERROR(VLOOKUP($A252,'The List'!$B1:$AS671,5,FALSE)," ")</f>
        <v xml:space="preserve"> </v>
      </c>
      <c r="E252" s="18" t="str" cm="1">
        <f t="array" ref="E252">IFERROR(VLOOKUP($A252,'The List'!$B1:$AS671,6,FALSE)," ")</f>
        <v xml:space="preserve"> </v>
      </c>
      <c r="F252" s="93" t="str" cm="1">
        <f t="array" ref="F252">IFERROR(VLOOKUP($A252,'The List'!$B1:$AS671,8,FALSE)," ")</f>
        <v xml:space="preserve"> </v>
      </c>
      <c r="G252" s="93" t="str" cm="1">
        <f t="array" ref="G252">IFERROR(VLOOKUP($A252,'The List'!$B1:$AS671,10,FALSE)," ")</f>
        <v xml:space="preserve"> </v>
      </c>
      <c r="H252" s="55"/>
      <c r="I252" s="85" t="str" cm="1">
        <f t="array" ref="I252">IFERROR(VLOOKUP($A252,'The List'!$B1:$AS671,16,FALSE)," ")</f>
        <v xml:space="preserve"> </v>
      </c>
      <c r="J252" s="85" t="str" cm="1">
        <f t="array" ref="J252">IFERROR(VLOOKUP($A252,'The List'!$B1:$AS671,17,FALSE)," ")</f>
        <v xml:space="preserve"> </v>
      </c>
      <c r="K252" s="85" t="str" cm="1">
        <f t="array" ref="K252">IFERROR(VLOOKUP($A252,'The List'!$B1:$AS671,18,FALSE)," ")</f>
        <v xml:space="preserve"> </v>
      </c>
      <c r="L252" s="85" t="str" cm="1">
        <f t="array" ref="L252">IFERROR(VLOOKUP($A252,'The List'!$B1:$AS671,19,FALSE)," ")</f>
        <v xml:space="preserve"> </v>
      </c>
      <c r="M252" s="85" t="str" cm="1">
        <f t="array" ref="M252">IFERROR(VLOOKUP($A252,'The List'!$B1:$AS671,20,FALSE)," ")</f>
        <v xml:space="preserve"> </v>
      </c>
      <c r="N252" s="85" t="str" cm="1">
        <f t="array" ref="N252">IFERROR(VLOOKUP($A252,'The List'!$B1:$AS671,21,FALSE)," ")</f>
        <v xml:space="preserve"> </v>
      </c>
      <c r="O252" s="85" t="str" cm="1">
        <f t="array" ref="O252">IFERROR(VLOOKUP($A252,'The List'!$B1:$AS671,22,FALSE)," ")</f>
        <v xml:space="preserve"> </v>
      </c>
      <c r="P252" s="85" t="str" cm="1">
        <f t="array" ref="P252">IFERROR(VLOOKUP($A252,'The List'!$B1:$AS671,23,FALSE)," ")</f>
        <v xml:space="preserve"> </v>
      </c>
      <c r="Q252" s="85" t="str" cm="1">
        <f t="array" ref="Q252">IFERROR(VLOOKUP($A252,'The List'!$B1:$AS671,24,FALSE)," ")</f>
        <v xml:space="preserve"> </v>
      </c>
      <c r="R252" s="85" t="str" cm="1">
        <f t="array" ref="R252">IFERROR(VLOOKUP($A252,'The List'!$B1:$AS671,25,FALSE)," ")</f>
        <v xml:space="preserve"> </v>
      </c>
      <c r="S252" s="85" t="str" cm="1">
        <f t="array" ref="S252">IFERROR(VLOOKUP($A252,'The List'!$B1:$AS671,26,FALSE)," ")</f>
        <v xml:space="preserve"> </v>
      </c>
      <c r="T252" s="85" t="str" cm="1">
        <f t="array" ref="T252">IFERROR(VLOOKUP($A252,'The List'!$B1:$AS671,27,FALSE)," ")</f>
        <v xml:space="preserve"> </v>
      </c>
      <c r="U252" s="85" t="str" cm="1">
        <f t="array" ref="U252">IFERROR(VLOOKUP($A252,'The List'!$B1:$AS671,28,FALSE)," ")</f>
        <v xml:space="preserve"> </v>
      </c>
      <c r="V252" s="85" t="str" cm="1">
        <f t="array" ref="V252">IFERROR(VLOOKUP($A252,'The List'!$B1:$AS671,29,FALSE)," ")</f>
        <v xml:space="preserve"> </v>
      </c>
      <c r="W252" s="85" t="str" cm="1">
        <f t="array" ref="W252">IFERROR(VLOOKUP($A252,'The List'!$B1:$AS671,30,FALSE)," ")</f>
        <v xml:space="preserve"> </v>
      </c>
      <c r="X252" s="85" t="str" cm="1">
        <f t="array" ref="X252">IFERROR(VLOOKUP($A252,'The List'!$B1:$AS671,31,FALSE)," ")</f>
        <v xml:space="preserve"> </v>
      </c>
      <c r="Y252" s="85" t="str" cm="1">
        <f t="array" ref="Y252">IFERROR(VLOOKUP($A252,'The List'!$B1:$AS671,32,FALSE)," ")</f>
        <v xml:space="preserve"> </v>
      </c>
      <c r="Z252" s="85" t="str" cm="1">
        <f t="array" ref="Z252">IFERROR(VLOOKUP($A252,'The List'!$B1:$AS671,33,FALSE)," ")</f>
        <v xml:space="preserve"> </v>
      </c>
      <c r="AA252" s="86"/>
      <c r="AB252" s="91"/>
      <c r="AC252" s="91"/>
      <c r="AD252" s="91"/>
      <c r="AE252" s="91"/>
      <c r="AF252" s="91"/>
    </row>
    <row r="253" spans="1:32" ht="21.25" customHeight="1" x14ac:dyDescent="0.15">
      <c r="A253" s="104"/>
      <c r="B253" s="105" t="str" cm="1">
        <f t="array" ref="B253">IFERROR(VLOOKUP($A253,'The List'!$B1:$AS671,3,FALSE)," ")</f>
        <v xml:space="preserve"> </v>
      </c>
      <c r="C253" s="106" t="str" cm="1">
        <f t="array" ref="C253">IFERROR(VLOOKUP($A253,'The List'!$B1:$AS671,4,FALSE)," ")</f>
        <v xml:space="preserve"> </v>
      </c>
      <c r="D253" s="107" t="str" cm="1">
        <f t="array" ref="D253">IFERROR(VLOOKUP($A253,'The List'!$B1:$AS671,5,FALSE)," ")</f>
        <v xml:space="preserve"> </v>
      </c>
      <c r="E253" s="107" t="str" cm="1">
        <f t="array" ref="E253">IFERROR(VLOOKUP($A253,'The List'!$B1:$AS671,6,FALSE)," ")</f>
        <v xml:space="preserve"> </v>
      </c>
      <c r="F253" s="108" t="str" cm="1">
        <f t="array" ref="F253">IFERROR(VLOOKUP($A253,'The List'!$B1:$AS671,8,FALSE)," ")</f>
        <v xml:space="preserve"> </v>
      </c>
      <c r="G253" s="108" t="str" cm="1">
        <f t="array" ref="G253">IFERROR(VLOOKUP($A253,'The List'!$B1:$AS671,10,FALSE)," ")</f>
        <v xml:space="preserve"> </v>
      </c>
      <c r="H253" s="109"/>
      <c r="I253" s="110" t="str" cm="1">
        <f t="array" ref="I253">IFERROR(VLOOKUP($A253,'The List'!$B1:$AS671,16,FALSE)," ")</f>
        <v xml:space="preserve"> </v>
      </c>
      <c r="J253" s="110" t="str" cm="1">
        <f t="array" ref="J253">IFERROR(VLOOKUP($A253,'The List'!$B1:$AS671,17,FALSE)," ")</f>
        <v xml:space="preserve"> </v>
      </c>
      <c r="K253" s="110" t="str" cm="1">
        <f t="array" ref="K253">IFERROR(VLOOKUP($A253,'The List'!$B1:$AS671,18,FALSE)," ")</f>
        <v xml:space="preserve"> </v>
      </c>
      <c r="L253" s="110" t="str" cm="1">
        <f t="array" ref="L253">IFERROR(VLOOKUP($A253,'The List'!$B1:$AS671,19,FALSE)," ")</f>
        <v xml:space="preserve"> </v>
      </c>
      <c r="M253" s="110" t="str" cm="1">
        <f t="array" ref="M253">IFERROR(VLOOKUP($A253,'The List'!$B1:$AS671,20,FALSE)," ")</f>
        <v xml:space="preserve"> </v>
      </c>
      <c r="N253" s="110" t="str" cm="1">
        <f t="array" ref="N253">IFERROR(VLOOKUP($A253,'The List'!$B1:$AS671,21,FALSE)," ")</f>
        <v xml:space="preserve"> </v>
      </c>
      <c r="O253" s="110" t="str" cm="1">
        <f t="array" ref="O253">IFERROR(VLOOKUP($A253,'The List'!$B1:$AS671,22,FALSE)," ")</f>
        <v xml:space="preserve"> </v>
      </c>
      <c r="P253" s="110" t="str" cm="1">
        <f t="array" ref="P253">IFERROR(VLOOKUP($A253,'The List'!$B1:$AS671,23,FALSE)," ")</f>
        <v xml:space="preserve"> </v>
      </c>
      <c r="Q253" s="110" t="str" cm="1">
        <f t="array" ref="Q253">IFERROR(VLOOKUP($A253,'The List'!$B1:$AS671,24,FALSE)," ")</f>
        <v xml:space="preserve"> </v>
      </c>
      <c r="R253" s="110" t="str" cm="1">
        <f t="array" ref="R253">IFERROR(VLOOKUP($A253,'The List'!$B1:$AS671,25,FALSE)," ")</f>
        <v xml:space="preserve"> </v>
      </c>
      <c r="S253" s="110" t="str" cm="1">
        <f t="array" ref="S253">IFERROR(VLOOKUP($A253,'The List'!$B1:$AS671,26,FALSE)," ")</f>
        <v xml:space="preserve"> </v>
      </c>
      <c r="T253" s="110" t="str" cm="1">
        <f t="array" ref="T253">IFERROR(VLOOKUP($A253,'The List'!$B1:$AS671,27,FALSE)," ")</f>
        <v xml:space="preserve"> </v>
      </c>
      <c r="U253" s="110" t="str" cm="1">
        <f t="array" ref="U253">IFERROR(VLOOKUP($A253,'The List'!$B1:$AS671,28,FALSE)," ")</f>
        <v xml:space="preserve"> </v>
      </c>
      <c r="V253" s="110" t="str" cm="1">
        <f t="array" ref="V253">IFERROR(VLOOKUP($A253,'The List'!$B1:$AS671,29,FALSE)," ")</f>
        <v xml:space="preserve"> </v>
      </c>
      <c r="W253" s="110" t="str" cm="1">
        <f t="array" ref="W253">IFERROR(VLOOKUP($A253,'The List'!$B1:$AS671,30,FALSE)," ")</f>
        <v xml:space="preserve"> </v>
      </c>
      <c r="X253" s="110" t="str" cm="1">
        <f t="array" ref="X253">IFERROR(VLOOKUP($A253,'The List'!$B1:$AS671,31,FALSE)," ")</f>
        <v xml:space="preserve"> </v>
      </c>
      <c r="Y253" s="110" t="str" cm="1">
        <f t="array" ref="Y253">IFERROR(VLOOKUP($A253,'The List'!$B1:$AS671,32,FALSE)," ")</f>
        <v xml:space="preserve"> </v>
      </c>
      <c r="Z253" s="110" t="str" cm="1">
        <f t="array" ref="Z253">IFERROR(VLOOKUP($A253,'The List'!$B1:$AS671,33,FALSE)," ")</f>
        <v xml:space="preserve"> </v>
      </c>
      <c r="AA253" s="86"/>
      <c r="AB253" s="91"/>
      <c r="AC253" s="91"/>
      <c r="AD253" s="91"/>
      <c r="AE253" s="91"/>
      <c r="AF253" s="91"/>
    </row>
    <row r="254" spans="1:32" ht="21.25" customHeight="1" x14ac:dyDescent="0.15">
      <c r="A254" s="111"/>
      <c r="B254" s="112"/>
      <c r="C254" s="113"/>
      <c r="D254" s="114"/>
      <c r="E254" s="114" t="str" cm="1">
        <f t="array" ref="E254">IFERROR(AVERAGE(E234:E253)," ")</f>
        <v xml:space="preserve"> </v>
      </c>
      <c r="F254" s="116" cm="1">
        <f t="array" ref="F254">SUM(F234:F253)</f>
        <v>0</v>
      </c>
      <c r="G254" s="116" cm="1">
        <f t="array" ref="G254">SUM(G234:G253)</f>
        <v>0</v>
      </c>
      <c r="H254" s="117"/>
      <c r="I254" s="118" cm="1">
        <f t="array" ref="I254">SUM(I234:I253)</f>
        <v>0</v>
      </c>
      <c r="J254" s="117" t="e" cm="1">
        <f t="array" ref="J254">AVERAGE(J234:J253)</f>
        <v>#DIV/0!</v>
      </c>
      <c r="K254" s="118" cm="1">
        <f t="array" ref="K254">SUM(K234:K253)</f>
        <v>0</v>
      </c>
      <c r="L254" s="118" cm="1">
        <f t="array" ref="L254">SUM(L234:L253)</f>
        <v>0</v>
      </c>
      <c r="M254" s="118" cm="1">
        <f t="array" ref="M254">SUM(M234:M253)</f>
        <v>0</v>
      </c>
      <c r="N254" s="118" cm="1">
        <f t="array" ref="N254">SUM(N234:N253)</f>
        <v>0</v>
      </c>
      <c r="O254" s="118" cm="1">
        <f t="array" ref="O254">SUM(O234:O253)</f>
        <v>0</v>
      </c>
      <c r="P254" s="118" cm="1">
        <f t="array" ref="P254">SUM(P234:P253)</f>
        <v>0</v>
      </c>
      <c r="Q254" s="118" cm="1">
        <f t="array" ref="Q254">SUM(Q234:Q253)</f>
        <v>0</v>
      </c>
      <c r="R254" s="118" cm="1">
        <f t="array" ref="R254">SUM(R234:R253)</f>
        <v>0</v>
      </c>
      <c r="S254" s="118" cm="1">
        <f t="array" ref="S254">SUM(S234:S253)</f>
        <v>0</v>
      </c>
      <c r="T254" s="118" cm="1">
        <f t="array" ref="T254">SUM(T234:T253)</f>
        <v>0</v>
      </c>
      <c r="U254" s="118" cm="1">
        <f t="array" ref="U254">SUM(U234:U253)</f>
        <v>0</v>
      </c>
      <c r="V254" s="118" cm="1">
        <f t="array" ref="V254">SUM(V234:V253)</f>
        <v>0</v>
      </c>
      <c r="W254" s="118" cm="1">
        <f t="array" ref="W254">SUM(W234:W253)</f>
        <v>0</v>
      </c>
      <c r="X254" s="118" cm="1">
        <f t="array" ref="X254">SUM(X234:X253)</f>
        <v>0</v>
      </c>
      <c r="Y254" s="118" cm="1">
        <f t="array" ref="Y254">SUM(Y234:Y253)</f>
        <v>0</v>
      </c>
      <c r="Z254" s="119" cm="1">
        <f t="array" ref="Z254">IFERROR(X254/(X254+Y254),0)</f>
        <v>0</v>
      </c>
      <c r="AA254" s="86"/>
      <c r="AB254" s="120"/>
      <c r="AC254" s="120"/>
      <c r="AD254" s="120"/>
      <c r="AE254" s="120"/>
      <c r="AF254" s="120"/>
    </row>
    <row r="255" spans="1:32" ht="21.25" customHeight="1" x14ac:dyDescent="0.15">
      <c r="A255" s="37"/>
      <c r="B255" s="121"/>
      <c r="C255" s="122"/>
      <c r="D255" s="13"/>
      <c r="E255" s="13"/>
      <c r="F255" s="123"/>
      <c r="G255" s="124"/>
      <c r="H255" s="125"/>
      <c r="I255" s="12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91"/>
      <c r="AC255" s="91"/>
      <c r="AD255" s="91"/>
      <c r="AE255" s="91"/>
      <c r="AF255" s="91"/>
    </row>
    <row r="256" spans="1:32" ht="21.25" customHeight="1" x14ac:dyDescent="0.15">
      <c r="A256" s="40" t="s">
        <v>91</v>
      </c>
      <c r="B256" s="205" t="s">
        <v>93</v>
      </c>
      <c r="C256" s="197"/>
      <c r="D256" s="127" t="s">
        <v>94</v>
      </c>
      <c r="E256" s="127" t="s">
        <v>95</v>
      </c>
      <c r="F256" s="128" t="s">
        <v>97</v>
      </c>
      <c r="G256" s="128" t="s">
        <v>99</v>
      </c>
      <c r="H256" s="129"/>
      <c r="I256" s="130" t="s">
        <v>104</v>
      </c>
      <c r="J256" s="130" t="s">
        <v>119</v>
      </c>
      <c r="K256" s="130" t="s">
        <v>120</v>
      </c>
      <c r="L256" s="130" t="s">
        <v>121</v>
      </c>
      <c r="M256" s="130" t="s">
        <v>122</v>
      </c>
      <c r="N256" s="130" t="s">
        <v>123</v>
      </c>
      <c r="O256" s="130" t="s">
        <v>124</v>
      </c>
      <c r="P256" s="130" t="s">
        <v>125</v>
      </c>
      <c r="Q256" s="130" t="s">
        <v>126</v>
      </c>
      <c r="R256" s="86"/>
      <c r="S256" s="86"/>
      <c r="T256" s="86"/>
      <c r="U256" s="205" t="s">
        <v>818</v>
      </c>
      <c r="V256" s="206"/>
      <c r="W256" s="206"/>
      <c r="X256" s="205" t="s">
        <v>819</v>
      </c>
      <c r="Y256" s="206"/>
      <c r="Z256" s="206"/>
      <c r="AA256" s="86"/>
      <c r="AB256" s="86"/>
      <c r="AC256" s="86"/>
      <c r="AD256" s="86"/>
      <c r="AE256" s="86"/>
      <c r="AF256" s="86"/>
    </row>
    <row r="257" spans="1:32" ht="21.25" customHeight="1" x14ac:dyDescent="0.15">
      <c r="A257" s="147"/>
      <c r="B257" s="132" t="str" cm="1">
        <f t="array" ref="B257">IFERROR(VLOOKUP($A257,'The List'!$B1:$AS671,3,FALSE)," ")</f>
        <v xml:space="preserve"> </v>
      </c>
      <c r="C257" s="148" t="str" cm="1">
        <f t="array" ref="C257">IFERROR(VLOOKUP($A257,'The List'!$B1:$AS671,4,FALSE)," ")</f>
        <v xml:space="preserve"> </v>
      </c>
      <c r="D257" s="134" t="str" cm="1">
        <f t="array" ref="D257">IFERROR(VLOOKUP($A257,'The List'!$B1:$AS671,5,FALSE)," ")</f>
        <v xml:space="preserve"> </v>
      </c>
      <c r="E257" s="134" t="str" cm="1">
        <f t="array" ref="E257">IFERROR(VLOOKUP($A257,'The List'!$B1:$AS671,6,FALSE)," ")</f>
        <v xml:space="preserve"> </v>
      </c>
      <c r="F257" s="149" t="str" cm="1">
        <f t="array" ref="F257">IFERROR(VLOOKUP($A257,'The List'!$B1:$AS671,8,FALSE)," ")</f>
        <v xml:space="preserve"> </v>
      </c>
      <c r="G257" s="149" t="str" cm="1">
        <f t="array" ref="G257">IFERROR(VLOOKUP($A257,'The List'!$B1:$AS671,10,FALSE)," ")</f>
        <v xml:space="preserve"> </v>
      </c>
      <c r="H257" s="83"/>
      <c r="I257" s="150" t="str" cm="1">
        <f t="array" ref="I257">IFERROR(VLOOKUP($A257,'The List'!$B1:$AS671,35,FALSE)," ")</f>
        <v xml:space="preserve"> </v>
      </c>
      <c r="J257" s="150" t="str" cm="1">
        <f t="array" ref="J257">IFERROR(VLOOKUP($A257,'The List'!$B1:$AS671,36,FALSE)," ")</f>
        <v xml:space="preserve"> </v>
      </c>
      <c r="K257" s="150" t="str" cm="1">
        <f t="array" ref="K257">IFERROR(VLOOKUP($A257,'The List'!$B1:$AS671,37,FALSE)," ")</f>
        <v xml:space="preserve"> </v>
      </c>
      <c r="L257" s="150" t="str" cm="1">
        <f t="array" ref="L257">IFERROR(VLOOKUP($A257,'The List'!$B1:$AS671,38,FALSE)," ")</f>
        <v xml:space="preserve"> </v>
      </c>
      <c r="M257" s="150" t="str" cm="1">
        <f t="array" ref="M257">IFERROR(VLOOKUP($A257,'The List'!$B1:$AS671,39,FALSE)," ")</f>
        <v xml:space="preserve"> </v>
      </c>
      <c r="N257" s="150" t="str" cm="1">
        <f t="array" ref="N257">IFERROR(VLOOKUP($A257,'The List'!$B1:$AS671,40,FALSE)," ")</f>
        <v xml:space="preserve"> </v>
      </c>
      <c r="O257" s="150" t="str" cm="1">
        <f t="array" ref="O257">IFERROR(VLOOKUP($A257,'The List'!$B1:$AS671,41,FALSE)," ")</f>
        <v xml:space="preserve"> </v>
      </c>
      <c r="P257" s="150" t="str" cm="1">
        <f t="array" ref="P257">IFERROR(VLOOKUP($A257,'The List'!$B1:$AS671,42,FALSE)," ")</f>
        <v xml:space="preserve"> </v>
      </c>
      <c r="Q257" s="150" t="str" cm="1">
        <f t="array" ref="Q257">IFERROR(VLOOKUP($A257,'The List'!$B1:$AS671,43,FALSE)," ")</f>
        <v xml:space="preserve"> </v>
      </c>
      <c r="R257" s="86"/>
      <c r="S257" s="86"/>
      <c r="T257" s="140" t="str" cm="1">
        <f t="array" ref="T257">A233</f>
        <v>TEAM 9</v>
      </c>
      <c r="U257" s="207" cm="1">
        <f t="array" ref="U257">F254+F260</f>
        <v>0</v>
      </c>
      <c r="V257" s="197"/>
      <c r="W257" s="197"/>
      <c r="X257" s="207" cm="1">
        <f t="array" ref="X257">G260+G254</f>
        <v>0</v>
      </c>
      <c r="Y257" s="197"/>
      <c r="Z257" s="197"/>
      <c r="AA257" s="86"/>
      <c r="AB257" s="86"/>
      <c r="AC257" s="86"/>
      <c r="AD257" s="86"/>
      <c r="AE257" s="86"/>
      <c r="AF257" s="86"/>
    </row>
    <row r="258" spans="1:32" ht="21.25" customHeight="1" x14ac:dyDescent="0.15">
      <c r="A258" s="24"/>
      <c r="B258" s="141" t="str" cm="1">
        <f t="array" ref="B258">IFERROR(VLOOKUP($A258,'The List'!$B1:$AS671,3,FALSE)," ")</f>
        <v xml:space="preserve"> </v>
      </c>
      <c r="C258" s="142" t="str" cm="1">
        <f t="array" ref="C258">IFERROR(VLOOKUP($A258,'The List'!$B1:$AS671,4,FALSE)," ")</f>
        <v xml:space="preserve"> </v>
      </c>
      <c r="D258" s="18" t="str" cm="1">
        <f t="array" ref="D258">IFERROR(VLOOKUP($A258,'The List'!$B1:$AS671,5,FALSE)," ")</f>
        <v xml:space="preserve"> </v>
      </c>
      <c r="E258" s="18" t="str" cm="1">
        <f t="array" ref="E258">IFERROR(VLOOKUP($A258,'The List'!$B1:$AS671,6,FALSE)," ")</f>
        <v xml:space="preserve"> </v>
      </c>
      <c r="F258" s="93" t="str" cm="1">
        <f t="array" ref="F258">IFERROR(VLOOKUP($A258,'The List'!$B1:$AS671,8,FALSE)," ")</f>
        <v xml:space="preserve"> </v>
      </c>
      <c r="G258" s="93" t="str" cm="1">
        <f t="array" ref="G258">IFERROR(VLOOKUP($A258,'The List'!$B1:$AS671,10,FALSE)," ")</f>
        <v xml:space="preserve"> </v>
      </c>
      <c r="H258" s="55"/>
      <c r="I258" s="85" t="str" cm="1">
        <f t="array" ref="I258">IFERROR(VLOOKUP($A258,'The List'!$B1:$AS671,35,FALSE)," ")</f>
        <v xml:space="preserve"> </v>
      </c>
      <c r="J258" s="85" t="str" cm="1">
        <f t="array" ref="J258">IFERROR(VLOOKUP($A258,'The List'!$B1:$AS671,36,FALSE)," ")</f>
        <v xml:space="preserve"> </v>
      </c>
      <c r="K258" s="85" t="str" cm="1">
        <f t="array" ref="K258">IFERROR(VLOOKUP($A258,'The List'!$B1:$AS671,37,FALSE)," ")</f>
        <v xml:space="preserve"> </v>
      </c>
      <c r="L258" s="85" t="str" cm="1">
        <f t="array" ref="L258">IFERROR(VLOOKUP($A258,'The List'!$B1:$AS671,38,FALSE)," ")</f>
        <v xml:space="preserve"> </v>
      </c>
      <c r="M258" s="85" t="str" cm="1">
        <f t="array" ref="M258">IFERROR(VLOOKUP($A258,'The List'!$B1:$AS671,39,FALSE)," ")</f>
        <v xml:space="preserve"> </v>
      </c>
      <c r="N258" s="85" t="str" cm="1">
        <f t="array" ref="N258">IFERROR(VLOOKUP($A258,'The List'!$B1:$AS671,40,FALSE)," ")</f>
        <v xml:space="preserve"> </v>
      </c>
      <c r="O258" s="85" t="str" cm="1">
        <f t="array" ref="O258">IFERROR(VLOOKUP($A258,'The List'!$B1:$AS671,41,FALSE)," ")</f>
        <v xml:space="preserve"> </v>
      </c>
      <c r="P258" s="85" t="str" cm="1">
        <f t="array" ref="P258">IFERROR(VLOOKUP($A258,'The List'!$B1:$AS671,42,FALSE)," ")</f>
        <v xml:space="preserve"> </v>
      </c>
      <c r="Q258" s="85" t="str" cm="1">
        <f t="array" ref="Q258">IFERROR(VLOOKUP($A258,'The List'!$B1:$AS671,43,FALSE)," ")</f>
        <v xml:space="preserve"> </v>
      </c>
      <c r="R258" s="86"/>
      <c r="S258" s="86"/>
      <c r="T258" s="86"/>
      <c r="U258" s="197"/>
      <c r="V258" s="197"/>
      <c r="W258" s="197"/>
      <c r="X258" s="197"/>
      <c r="Y258" s="197"/>
      <c r="Z258" s="197"/>
      <c r="AA258" s="86"/>
      <c r="AB258" s="86"/>
      <c r="AC258" s="86"/>
      <c r="AD258" s="86"/>
      <c r="AE258" s="86"/>
      <c r="AF258" s="86"/>
    </row>
    <row r="259" spans="1:32" ht="21.25" customHeight="1" x14ac:dyDescent="0.15">
      <c r="A259" s="104"/>
      <c r="B259" s="143" t="str" cm="1">
        <f t="array" ref="B259">IFERROR(VLOOKUP($A259,'The List'!$B1:$AS671,3,FALSE)," ")</f>
        <v xml:space="preserve"> </v>
      </c>
      <c r="C259" s="144" t="str" cm="1">
        <f t="array" ref="C259">IFERROR(VLOOKUP($A259,'The List'!$B1:$AS671,4,FALSE)," ")</f>
        <v xml:space="preserve"> </v>
      </c>
      <c r="D259" s="107" t="str" cm="1">
        <f t="array" ref="D259">IFERROR(VLOOKUP($A259,'The List'!$B1:$AS671,5,FALSE)," ")</f>
        <v xml:space="preserve"> </v>
      </c>
      <c r="E259" s="107" t="str" cm="1">
        <f t="array" ref="E259">IFERROR(VLOOKUP($A259,'The List'!$B1:$AS671,6,FALSE)," ")</f>
        <v xml:space="preserve"> </v>
      </c>
      <c r="F259" s="108" t="str" cm="1">
        <f t="array" ref="F259">IFERROR(VLOOKUP($A259,'The List'!$B1:$AS671,8,FALSE)," ")</f>
        <v xml:space="preserve"> </v>
      </c>
      <c r="G259" s="108" t="str" cm="1">
        <f t="array" ref="G259">IFERROR(VLOOKUP($A259,'The List'!$B1:$AS671,10,FALSE)," ")</f>
        <v xml:space="preserve"> </v>
      </c>
      <c r="H259" s="109"/>
      <c r="I259" s="110" t="str" cm="1">
        <f t="array" ref="I259">IFERROR(VLOOKUP($A259,'The List'!$B1:$AS671,35,FALSE)," ")</f>
        <v xml:space="preserve"> </v>
      </c>
      <c r="J259" s="110" t="str" cm="1">
        <f t="array" ref="J259">IFERROR(VLOOKUP($A259,'The List'!$B1:$AS671,36,FALSE)," ")</f>
        <v xml:space="preserve"> </v>
      </c>
      <c r="K259" s="110" t="str" cm="1">
        <f t="array" ref="K259">IFERROR(VLOOKUP($A259,'The List'!$B1:$AS671,37,FALSE)," ")</f>
        <v xml:space="preserve"> </v>
      </c>
      <c r="L259" s="110" t="str" cm="1">
        <f t="array" ref="L259">IFERROR(VLOOKUP($A259,'The List'!$B1:$AS671,38,FALSE)," ")</f>
        <v xml:space="preserve"> </v>
      </c>
      <c r="M259" s="110" t="str" cm="1">
        <f t="array" ref="M259">IFERROR(VLOOKUP($A259,'The List'!$B1:$AS671,39,FALSE)," ")</f>
        <v xml:space="preserve"> </v>
      </c>
      <c r="N259" s="110" t="str" cm="1">
        <f t="array" ref="N259">IFERROR(VLOOKUP($A259,'The List'!$B1:$AS671,40,FALSE)," ")</f>
        <v xml:space="preserve"> </v>
      </c>
      <c r="O259" s="110" t="str" cm="1">
        <f t="array" ref="O259">IFERROR(VLOOKUP($A259,'The List'!$B1:$AS671,41,FALSE)," ")</f>
        <v xml:space="preserve"> </v>
      </c>
      <c r="P259" s="110" t="str" cm="1">
        <f t="array" ref="P259">IFERROR(VLOOKUP($A259,'The List'!$B1:$AS671,42,FALSE)," ")</f>
        <v xml:space="preserve"> </v>
      </c>
      <c r="Q259" s="110" t="str" cm="1">
        <f t="array" ref="Q259">IFERROR(VLOOKUP($A259,'The List'!$B1:$AS671,43,FALSE)," ")</f>
        <v xml:space="preserve"> </v>
      </c>
      <c r="R259" s="86"/>
      <c r="S259" s="86"/>
      <c r="T259" s="86"/>
      <c r="U259" s="197"/>
      <c r="V259" s="197"/>
      <c r="W259" s="197"/>
      <c r="X259" s="197"/>
      <c r="Y259" s="197"/>
      <c r="Z259" s="197"/>
      <c r="AA259" s="86"/>
      <c r="AB259" s="86"/>
      <c r="AC259" s="86"/>
      <c r="AD259" s="86"/>
      <c r="AE259" s="86"/>
      <c r="AF259" s="86"/>
    </row>
    <row r="260" spans="1:32" ht="21.25" customHeight="1" x14ac:dyDescent="0.15">
      <c r="A260" s="111"/>
      <c r="B260" s="112"/>
      <c r="C260" s="113"/>
      <c r="D260" s="114"/>
      <c r="E260" s="114" t="str" cm="1">
        <f t="array" ref="E260">IFERROR(AVERAGE(E257:E259)," ")</f>
        <v xml:space="preserve"> </v>
      </c>
      <c r="F260" s="116" cm="1">
        <f t="array" ref="F260">SUM(F257:F259)</f>
        <v>0</v>
      </c>
      <c r="G260" s="116" cm="1">
        <f t="array" ref="G260">SUM(G257:G259)</f>
        <v>0</v>
      </c>
      <c r="H260" s="117"/>
      <c r="I260" s="118" cm="1">
        <f t="array" ref="I260">SUM(I257:I259)</f>
        <v>0</v>
      </c>
      <c r="J260" s="117" cm="1">
        <f t="array" ref="J260">SUM(J257:J259)</f>
        <v>0</v>
      </c>
      <c r="K260" s="118" cm="1">
        <f t="array" ref="K260">SUM(K257:K259)</f>
        <v>0</v>
      </c>
      <c r="L260" s="118" cm="1">
        <f t="array" ref="L260">SUM(L257:L259)</f>
        <v>0</v>
      </c>
      <c r="M260" s="118" cm="1">
        <f t="array" ref="M260">SUM(M257:M259)</f>
        <v>0</v>
      </c>
      <c r="N260" s="118" cm="1">
        <f t="array" ref="N260">SUM(N257:N259)</f>
        <v>0</v>
      </c>
      <c r="O260" s="118" cm="1">
        <f t="array" ref="O260">SUM(O257:O259)</f>
        <v>0</v>
      </c>
      <c r="P260" s="145" t="e" cm="1">
        <f t="array" ref="P260">1-(O260/(N260+O260))</f>
        <v>#DIV/0!</v>
      </c>
      <c r="Q260" s="146" t="e" cm="1">
        <f t="array" ref="Q260">O260/I260</f>
        <v>#DIV/0!</v>
      </c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</row>
    <row r="261" spans="1:32" ht="70.75" customHeight="1" x14ac:dyDescent="0.15">
      <c r="A261" s="37"/>
      <c r="B261" s="121"/>
      <c r="C261" s="122"/>
      <c r="D261" s="13"/>
      <c r="E261" s="13"/>
      <c r="F261" s="123"/>
      <c r="G261" s="124"/>
      <c r="H261" s="125"/>
      <c r="I261" s="12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91"/>
      <c r="AB261" s="91"/>
      <c r="AC261" s="91"/>
      <c r="AD261" s="91"/>
      <c r="AE261" s="91"/>
      <c r="AF261" s="91"/>
    </row>
    <row r="262" spans="1:32" ht="21.25" customHeight="1" x14ac:dyDescent="0.15">
      <c r="A262" s="41" t="s">
        <v>811</v>
      </c>
      <c r="B262" s="194" t="s">
        <v>93</v>
      </c>
      <c r="C262" s="195"/>
      <c r="D262" s="42" t="s">
        <v>94</v>
      </c>
      <c r="E262" s="42" t="s">
        <v>95</v>
      </c>
      <c r="F262" s="43" t="s">
        <v>97</v>
      </c>
      <c r="G262" s="43" t="s">
        <v>99</v>
      </c>
      <c r="H262" s="44"/>
      <c r="I262" s="46" t="s">
        <v>104</v>
      </c>
      <c r="J262" s="46" t="s">
        <v>56</v>
      </c>
      <c r="K262" s="46" t="s">
        <v>105</v>
      </c>
      <c r="L262" s="46" t="s">
        <v>106</v>
      </c>
      <c r="M262" s="46" t="s">
        <v>107</v>
      </c>
      <c r="N262" s="46" t="s">
        <v>108</v>
      </c>
      <c r="O262" s="46" t="s">
        <v>64</v>
      </c>
      <c r="P262" s="46" t="s">
        <v>68</v>
      </c>
      <c r="Q262" s="46" t="s">
        <v>109</v>
      </c>
      <c r="R262" s="46" t="s">
        <v>110</v>
      </c>
      <c r="S262" s="46" t="s">
        <v>111</v>
      </c>
      <c r="T262" s="46" t="s">
        <v>112</v>
      </c>
      <c r="U262" s="46" t="s">
        <v>113</v>
      </c>
      <c r="V262" s="46" t="s">
        <v>114</v>
      </c>
      <c r="W262" s="46" t="s">
        <v>115</v>
      </c>
      <c r="X262" s="46" t="s">
        <v>116</v>
      </c>
      <c r="Y262" s="46" t="s">
        <v>117</v>
      </c>
      <c r="Z262" s="46" t="s">
        <v>118</v>
      </c>
      <c r="AA262" s="86"/>
      <c r="AB262" s="87"/>
      <c r="AC262" s="87"/>
      <c r="AD262" s="87"/>
      <c r="AE262" s="87"/>
      <c r="AF262" s="87"/>
    </row>
    <row r="263" spans="1:32" ht="21.25" customHeight="1" x14ac:dyDescent="0.15">
      <c r="A263" s="24"/>
      <c r="B263" s="88" t="str" cm="1">
        <f t="array" ref="B263">IFERROR(VLOOKUP($A263,'The List'!$B1:$AS671,3,FALSE)," ")</f>
        <v xml:space="preserve"> </v>
      </c>
      <c r="C263" s="92" t="str" cm="1">
        <f t="array" ref="C263">IFERROR(VLOOKUP($A263,'The List'!$B1:$AS671,4,FALSE)," ")</f>
        <v xml:space="preserve"> </v>
      </c>
      <c r="D263" s="18" t="str" cm="1">
        <f t="array" ref="D263">IFERROR(VLOOKUP($A263,'The List'!$B1:$AS671,5,FALSE)," ")</f>
        <v xml:space="preserve"> </v>
      </c>
      <c r="E263" s="18" t="str" cm="1">
        <f t="array" ref="E263">IFERROR(VLOOKUP($A263,'The List'!$B1:$AS671,6,FALSE)," ")</f>
        <v xml:space="preserve"> </v>
      </c>
      <c r="F263" s="93" t="str" cm="1">
        <f t="array" ref="F263">IFERROR(VLOOKUP($A263,'The List'!$B1:$AS671,8,FALSE)," ")</f>
        <v xml:space="preserve"> </v>
      </c>
      <c r="G263" s="93" t="str" cm="1">
        <f t="array" ref="G263">IFERROR(VLOOKUP($A263,'The List'!$B1:$AS671,10,FALSE)," ")</f>
        <v xml:space="preserve"> </v>
      </c>
      <c r="H263" s="55"/>
      <c r="I263" s="85" t="str" cm="1">
        <f t="array" ref="I263">IFERROR(VLOOKUP($A263,'The List'!$B1:$AS671,16,FALSE)," ")</f>
        <v xml:space="preserve"> </v>
      </c>
      <c r="J263" s="85" t="str" cm="1">
        <f t="array" ref="J263">IFERROR(VLOOKUP($A263,'The List'!$B1:$AS671,17,FALSE)," ")</f>
        <v xml:space="preserve"> </v>
      </c>
      <c r="K263" s="85" t="str" cm="1">
        <f t="array" ref="K263">IFERROR(VLOOKUP($A263,'The List'!$B1:$AS671,18,FALSE)," ")</f>
        <v xml:space="preserve"> </v>
      </c>
      <c r="L263" s="85" t="str" cm="1">
        <f t="array" ref="L263">IFERROR(VLOOKUP($A263,'The List'!$B1:$AS671,19,FALSE)," ")</f>
        <v xml:space="preserve"> </v>
      </c>
      <c r="M263" s="85" t="str" cm="1">
        <f t="array" ref="M263">IFERROR(VLOOKUP($A263,'The List'!$B1:$AS671,20,FALSE)," ")</f>
        <v xml:space="preserve"> </v>
      </c>
      <c r="N263" s="85" t="str" cm="1">
        <f t="array" ref="N263">IFERROR(VLOOKUP($A263,'The List'!$B1:$AS671,21,FALSE)," ")</f>
        <v xml:space="preserve"> </v>
      </c>
      <c r="O263" s="85" t="str" cm="1">
        <f t="array" ref="O263">IFERROR(VLOOKUP($A263,'The List'!$B1:$AS671,22,FALSE)," ")</f>
        <v xml:space="preserve"> </v>
      </c>
      <c r="P263" s="85" t="str" cm="1">
        <f t="array" ref="P263">IFERROR(VLOOKUP($A263,'The List'!$B1:$AS671,23,FALSE)," ")</f>
        <v xml:space="preserve"> </v>
      </c>
      <c r="Q263" s="85" t="str" cm="1">
        <f t="array" ref="Q263">IFERROR(VLOOKUP($A263,'The List'!$B1:$AS671,24,FALSE)," ")</f>
        <v xml:space="preserve"> </v>
      </c>
      <c r="R263" s="85" t="str" cm="1">
        <f t="array" ref="R263">IFERROR(VLOOKUP($A263,'The List'!$B1:$AS671,25,FALSE)," ")</f>
        <v xml:space="preserve"> </v>
      </c>
      <c r="S263" s="85" t="str" cm="1">
        <f t="array" ref="S263">IFERROR(VLOOKUP($A263,'The List'!$B1:$AS671,26,FALSE)," ")</f>
        <v xml:space="preserve"> </v>
      </c>
      <c r="T263" s="85" t="str" cm="1">
        <f t="array" ref="T263">IFERROR(VLOOKUP($A263,'The List'!$B1:$AS671,27,FALSE)," ")</f>
        <v xml:space="preserve"> </v>
      </c>
      <c r="U263" s="85" t="str" cm="1">
        <f t="array" ref="U263">IFERROR(VLOOKUP($A263,'The List'!$B1:$AS671,28,FALSE)," ")</f>
        <v xml:space="preserve"> </v>
      </c>
      <c r="V263" s="85" t="str" cm="1">
        <f t="array" ref="V263">IFERROR(VLOOKUP($A263,'The List'!$B1:$AS671,29,FALSE)," ")</f>
        <v xml:space="preserve"> </v>
      </c>
      <c r="W263" s="85" t="str" cm="1">
        <f t="array" ref="W263">IFERROR(VLOOKUP($A263,'The List'!$B1:$AS671,30,FALSE)," ")</f>
        <v xml:space="preserve"> </v>
      </c>
      <c r="X263" s="85" t="str" cm="1">
        <f t="array" ref="X263">IFERROR(VLOOKUP($A263,'The List'!$B1:$AS671,31,FALSE)," ")</f>
        <v xml:space="preserve"> </v>
      </c>
      <c r="Y263" s="85" t="str" cm="1">
        <f t="array" ref="Y263">IFERROR(VLOOKUP($A263,'The List'!$B1:$AS671,32,FALSE)," ")</f>
        <v xml:space="preserve"> </v>
      </c>
      <c r="Z263" s="85" t="str" cm="1">
        <f t="array" ref="Z263">IFERROR(VLOOKUP($A263,'The List'!$B1:$AS671,33,FALSE)," ")</f>
        <v xml:space="preserve"> </v>
      </c>
      <c r="AA263" s="86"/>
      <c r="AB263" s="91"/>
      <c r="AC263" s="91"/>
      <c r="AD263" s="91"/>
      <c r="AE263" s="91"/>
      <c r="AF263" s="91"/>
    </row>
    <row r="264" spans="1:32" ht="21.25" customHeight="1" x14ac:dyDescent="0.15">
      <c r="A264" s="24"/>
      <c r="B264" s="88" t="str" cm="1">
        <f t="array" ref="B264">IFERROR(VLOOKUP($A264,'The List'!$B1:$AS671,3,FALSE)," ")</f>
        <v xml:space="preserve"> </v>
      </c>
      <c r="C264" s="92" t="str" cm="1">
        <f t="array" ref="C264">IFERROR(VLOOKUP($A264,'The List'!$B1:$AS671,4,FALSE)," ")</f>
        <v xml:space="preserve"> </v>
      </c>
      <c r="D264" s="18" t="str" cm="1">
        <f t="array" ref="D264">IFERROR(VLOOKUP($A264,'The List'!$B1:$AS671,5,FALSE)," ")</f>
        <v xml:space="preserve"> </v>
      </c>
      <c r="E264" s="18" t="str" cm="1">
        <f t="array" ref="E264">IFERROR(VLOOKUP($A264,'The List'!$B1:$AS671,6,FALSE)," ")</f>
        <v xml:space="preserve"> </v>
      </c>
      <c r="F264" s="93" t="str" cm="1">
        <f t="array" ref="F264">IFERROR(VLOOKUP($A264,'The List'!$B1:$AS671,8,FALSE)," ")</f>
        <v xml:space="preserve"> </v>
      </c>
      <c r="G264" s="93" t="str" cm="1">
        <f t="array" ref="G264">IFERROR(VLOOKUP($A264,'The List'!$B1:$AS671,10,FALSE)," ")</f>
        <v xml:space="preserve"> </v>
      </c>
      <c r="H264" s="55"/>
      <c r="I264" s="85" t="str" cm="1">
        <f t="array" ref="I264">IFERROR(VLOOKUP($A264,'The List'!$B1:$AS671,16,FALSE)," ")</f>
        <v xml:space="preserve"> </v>
      </c>
      <c r="J264" s="85" t="str" cm="1">
        <f t="array" ref="J264">IFERROR(VLOOKUP($A264,'The List'!$B1:$AS671,17,FALSE)," ")</f>
        <v xml:space="preserve"> </v>
      </c>
      <c r="K264" s="85" t="str" cm="1">
        <f t="array" ref="K264">IFERROR(VLOOKUP($A264,'The List'!$B1:$AS671,18,FALSE)," ")</f>
        <v xml:space="preserve"> </v>
      </c>
      <c r="L264" s="85" t="str" cm="1">
        <f t="array" ref="L264">IFERROR(VLOOKUP($A264,'The List'!$B1:$AS671,19,FALSE)," ")</f>
        <v xml:space="preserve"> </v>
      </c>
      <c r="M264" s="85" t="str" cm="1">
        <f t="array" ref="M264">IFERROR(VLOOKUP($A264,'The List'!$B1:$AS671,20,FALSE)," ")</f>
        <v xml:space="preserve"> </v>
      </c>
      <c r="N264" s="85" t="str" cm="1">
        <f t="array" ref="N264">IFERROR(VLOOKUP($A264,'The List'!$B1:$AS671,21,FALSE)," ")</f>
        <v xml:space="preserve"> </v>
      </c>
      <c r="O264" s="85" t="str" cm="1">
        <f t="array" ref="O264">IFERROR(VLOOKUP($A264,'The List'!$B1:$AS671,22,FALSE)," ")</f>
        <v xml:space="preserve"> </v>
      </c>
      <c r="P264" s="85" t="str" cm="1">
        <f t="array" ref="P264">IFERROR(VLOOKUP($A264,'The List'!$B1:$AS671,23,FALSE)," ")</f>
        <v xml:space="preserve"> </v>
      </c>
      <c r="Q264" s="85" t="str" cm="1">
        <f t="array" ref="Q264">IFERROR(VLOOKUP($A264,'The List'!$B1:$AS671,24,FALSE)," ")</f>
        <v xml:space="preserve"> </v>
      </c>
      <c r="R264" s="85" t="str" cm="1">
        <f t="array" ref="R264">IFERROR(VLOOKUP($A264,'The List'!$B1:$AS671,25,FALSE)," ")</f>
        <v xml:space="preserve"> </v>
      </c>
      <c r="S264" s="85" t="str" cm="1">
        <f t="array" ref="S264">IFERROR(VLOOKUP($A264,'The List'!$B1:$AS671,26,FALSE)," ")</f>
        <v xml:space="preserve"> </v>
      </c>
      <c r="T264" s="85" t="str" cm="1">
        <f t="array" ref="T264">IFERROR(VLOOKUP($A264,'The List'!$B1:$AS671,27,FALSE)," ")</f>
        <v xml:space="preserve"> </v>
      </c>
      <c r="U264" s="85" t="str" cm="1">
        <f t="array" ref="U264">IFERROR(VLOOKUP($A264,'The List'!$B1:$AS671,28,FALSE)," ")</f>
        <v xml:space="preserve"> </v>
      </c>
      <c r="V264" s="85" t="str" cm="1">
        <f t="array" ref="V264">IFERROR(VLOOKUP($A264,'The List'!$B1:$AS671,29,FALSE)," ")</f>
        <v xml:space="preserve"> </v>
      </c>
      <c r="W264" s="85" t="str" cm="1">
        <f t="array" ref="W264">IFERROR(VLOOKUP($A264,'The List'!$B1:$AS671,30,FALSE)," ")</f>
        <v xml:space="preserve"> </v>
      </c>
      <c r="X264" s="85" t="str" cm="1">
        <f t="array" ref="X264">IFERROR(VLOOKUP($A264,'The List'!$B1:$AS671,31,FALSE)," ")</f>
        <v xml:space="preserve"> </v>
      </c>
      <c r="Y264" s="85" t="str" cm="1">
        <f t="array" ref="Y264">IFERROR(VLOOKUP($A264,'The List'!$B1:$AS671,32,FALSE)," ")</f>
        <v xml:space="preserve"> </v>
      </c>
      <c r="Z264" s="85" t="str" cm="1">
        <f t="array" ref="Z264">IFERROR(VLOOKUP($A264,'The List'!$B1:$AS671,33,FALSE)," ")</f>
        <v xml:space="preserve"> </v>
      </c>
      <c r="AA264" s="86"/>
      <c r="AB264" s="91"/>
      <c r="AC264" s="91"/>
      <c r="AD264" s="91"/>
      <c r="AE264" s="91"/>
      <c r="AF264" s="91"/>
    </row>
    <row r="265" spans="1:32" ht="21.25" customHeight="1" x14ac:dyDescent="0.15">
      <c r="A265" s="24"/>
      <c r="B265" s="88" t="str" cm="1">
        <f t="array" ref="B265">IFERROR(VLOOKUP($A265,'The List'!$B1:$AS671,3,FALSE)," ")</f>
        <v xml:space="preserve"> </v>
      </c>
      <c r="C265" s="92" t="str" cm="1">
        <f t="array" ref="C265">IFERROR(VLOOKUP($A265,'The List'!$B1:$AS671,4,FALSE)," ")</f>
        <v xml:space="preserve"> </v>
      </c>
      <c r="D265" s="18" t="str" cm="1">
        <f t="array" ref="D265">IFERROR(VLOOKUP($A265,'The List'!$B1:$AS671,5,FALSE)," ")</f>
        <v xml:space="preserve"> </v>
      </c>
      <c r="E265" s="18" t="str" cm="1">
        <f t="array" ref="E265">IFERROR(VLOOKUP($A265,'The List'!$B1:$AS671,6,FALSE)," ")</f>
        <v xml:space="preserve"> </v>
      </c>
      <c r="F265" s="93" t="str" cm="1">
        <f t="array" ref="F265">IFERROR(VLOOKUP($A265,'The List'!$B1:$AS671,8,FALSE)," ")</f>
        <v xml:space="preserve"> </v>
      </c>
      <c r="G265" s="93" t="str" cm="1">
        <f t="array" ref="G265">IFERROR(VLOOKUP($A265,'The List'!$B1:$AS671,10,FALSE)," ")</f>
        <v xml:space="preserve"> </v>
      </c>
      <c r="H265" s="55"/>
      <c r="I265" s="85" t="str" cm="1">
        <f t="array" ref="I265">IFERROR(VLOOKUP($A265,'The List'!$B1:$AS671,16,FALSE)," ")</f>
        <v xml:space="preserve"> </v>
      </c>
      <c r="J265" s="85" t="str" cm="1">
        <f t="array" ref="J265">IFERROR(VLOOKUP($A265,'The List'!$B1:$AS671,17,FALSE)," ")</f>
        <v xml:space="preserve"> </v>
      </c>
      <c r="K265" s="85" t="str" cm="1">
        <f t="array" ref="K265">IFERROR(VLOOKUP($A265,'The List'!$B1:$AS671,18,FALSE)," ")</f>
        <v xml:space="preserve"> </v>
      </c>
      <c r="L265" s="85" t="str" cm="1">
        <f t="array" ref="L265">IFERROR(VLOOKUP($A265,'The List'!$B1:$AS671,19,FALSE)," ")</f>
        <v xml:space="preserve"> </v>
      </c>
      <c r="M265" s="85" t="str" cm="1">
        <f t="array" ref="M265">IFERROR(VLOOKUP($A265,'The List'!$B1:$AS671,20,FALSE)," ")</f>
        <v xml:space="preserve"> </v>
      </c>
      <c r="N265" s="85" t="str" cm="1">
        <f t="array" ref="N265">IFERROR(VLOOKUP($A265,'The List'!$B1:$AS671,21,FALSE)," ")</f>
        <v xml:space="preserve"> </v>
      </c>
      <c r="O265" s="85" t="str" cm="1">
        <f t="array" ref="O265">IFERROR(VLOOKUP($A265,'The List'!$B1:$AS671,22,FALSE)," ")</f>
        <v xml:space="preserve"> </v>
      </c>
      <c r="P265" s="85" t="str" cm="1">
        <f t="array" ref="P265">IFERROR(VLOOKUP($A265,'The List'!$B1:$AS671,23,FALSE)," ")</f>
        <v xml:space="preserve"> </v>
      </c>
      <c r="Q265" s="85" t="str" cm="1">
        <f t="array" ref="Q265">IFERROR(VLOOKUP($A265,'The List'!$B1:$AS671,24,FALSE)," ")</f>
        <v xml:space="preserve"> </v>
      </c>
      <c r="R265" s="85" t="str" cm="1">
        <f t="array" ref="R265">IFERROR(VLOOKUP($A265,'The List'!$B1:$AS671,25,FALSE)," ")</f>
        <v xml:space="preserve"> </v>
      </c>
      <c r="S265" s="85" t="str" cm="1">
        <f t="array" ref="S265">IFERROR(VLOOKUP($A265,'The List'!$B1:$AS671,26,FALSE)," ")</f>
        <v xml:space="preserve"> </v>
      </c>
      <c r="T265" s="85" t="str" cm="1">
        <f t="array" ref="T265">IFERROR(VLOOKUP($A265,'The List'!$B1:$AS671,27,FALSE)," ")</f>
        <v xml:space="preserve"> </v>
      </c>
      <c r="U265" s="85" t="str" cm="1">
        <f t="array" ref="U265">IFERROR(VLOOKUP($A265,'The List'!$B1:$AS671,28,FALSE)," ")</f>
        <v xml:space="preserve"> </v>
      </c>
      <c r="V265" s="85" t="str" cm="1">
        <f t="array" ref="V265">IFERROR(VLOOKUP($A265,'The List'!$B1:$AS671,29,FALSE)," ")</f>
        <v xml:space="preserve"> </v>
      </c>
      <c r="W265" s="85" t="str" cm="1">
        <f t="array" ref="W265">IFERROR(VLOOKUP($A265,'The List'!$B1:$AS671,30,FALSE)," ")</f>
        <v xml:space="preserve"> </v>
      </c>
      <c r="X265" s="85" t="str" cm="1">
        <f t="array" ref="X265">IFERROR(VLOOKUP($A265,'The List'!$B1:$AS671,31,FALSE)," ")</f>
        <v xml:space="preserve"> </v>
      </c>
      <c r="Y265" s="85" t="str" cm="1">
        <f t="array" ref="Y265">IFERROR(VLOOKUP($A265,'The List'!$B1:$AS671,32,FALSE)," ")</f>
        <v xml:space="preserve"> </v>
      </c>
      <c r="Z265" s="85" t="str" cm="1">
        <f t="array" ref="Z265">IFERROR(VLOOKUP($A265,'The List'!$B1:$AS671,33,FALSE)," ")</f>
        <v xml:space="preserve"> </v>
      </c>
      <c r="AA265" s="86"/>
      <c r="AB265" s="91"/>
      <c r="AC265" s="91"/>
      <c r="AD265" s="91"/>
      <c r="AE265" s="91"/>
      <c r="AF265" s="91"/>
    </row>
    <row r="266" spans="1:32" ht="21.25" customHeight="1" x14ac:dyDescent="0.15">
      <c r="A266" s="24"/>
      <c r="B266" s="88" t="str" cm="1">
        <f t="array" ref="B266">IFERROR(VLOOKUP($A266,'The List'!$B1:$AS671,3,FALSE)," ")</f>
        <v xml:space="preserve"> </v>
      </c>
      <c r="C266" s="92" t="str" cm="1">
        <f t="array" ref="C266">IFERROR(VLOOKUP($A266,'The List'!$B1:$AS671,4,FALSE)," ")</f>
        <v xml:space="preserve"> </v>
      </c>
      <c r="D266" s="18" t="str" cm="1">
        <f t="array" ref="D266">IFERROR(VLOOKUP($A266,'The List'!$B1:$AS671,5,FALSE)," ")</f>
        <v xml:space="preserve"> </v>
      </c>
      <c r="E266" s="18" t="str" cm="1">
        <f t="array" ref="E266">IFERROR(VLOOKUP($A266,'The List'!$B1:$AS671,6,FALSE)," ")</f>
        <v xml:space="preserve"> </v>
      </c>
      <c r="F266" s="93" t="str" cm="1">
        <f t="array" ref="F266">IFERROR(VLOOKUP($A266,'The List'!$B1:$AS671,8,FALSE)," ")</f>
        <v xml:space="preserve"> </v>
      </c>
      <c r="G266" s="93" t="str" cm="1">
        <f t="array" ref="G266">IFERROR(VLOOKUP($A266,'The List'!$B1:$AS671,10,FALSE)," ")</f>
        <v xml:space="preserve"> </v>
      </c>
      <c r="H266" s="55"/>
      <c r="I266" s="85" t="str" cm="1">
        <f t="array" ref="I266">IFERROR(VLOOKUP($A266,'The List'!$B1:$AS671,16,FALSE)," ")</f>
        <v xml:space="preserve"> </v>
      </c>
      <c r="J266" s="85" t="str" cm="1">
        <f t="array" ref="J266">IFERROR(VLOOKUP($A266,'The List'!$B1:$AS671,17,FALSE)," ")</f>
        <v xml:space="preserve"> </v>
      </c>
      <c r="K266" s="85" t="str" cm="1">
        <f t="array" ref="K266">IFERROR(VLOOKUP($A266,'The List'!$B1:$AS671,18,FALSE)," ")</f>
        <v xml:space="preserve"> </v>
      </c>
      <c r="L266" s="85" t="str" cm="1">
        <f t="array" ref="L266">IFERROR(VLOOKUP($A266,'The List'!$B1:$AS671,19,FALSE)," ")</f>
        <v xml:space="preserve"> </v>
      </c>
      <c r="M266" s="85" t="str" cm="1">
        <f t="array" ref="M266">IFERROR(VLOOKUP($A266,'The List'!$B1:$AS671,20,FALSE)," ")</f>
        <v xml:space="preserve"> </v>
      </c>
      <c r="N266" s="85" t="str" cm="1">
        <f t="array" ref="N266">IFERROR(VLOOKUP($A266,'The List'!$B1:$AS671,21,FALSE)," ")</f>
        <v xml:space="preserve"> </v>
      </c>
      <c r="O266" s="85" t="str" cm="1">
        <f t="array" ref="O266">IFERROR(VLOOKUP($A266,'The List'!$B1:$AS671,22,FALSE)," ")</f>
        <v xml:space="preserve"> </v>
      </c>
      <c r="P266" s="85" t="str" cm="1">
        <f t="array" ref="P266">IFERROR(VLOOKUP($A266,'The List'!$B1:$AS671,23,FALSE)," ")</f>
        <v xml:space="preserve"> </v>
      </c>
      <c r="Q266" s="85" t="str" cm="1">
        <f t="array" ref="Q266">IFERROR(VLOOKUP($A266,'The List'!$B1:$AS671,24,FALSE)," ")</f>
        <v xml:space="preserve"> </v>
      </c>
      <c r="R266" s="85" t="str" cm="1">
        <f t="array" ref="R266">IFERROR(VLOOKUP($A266,'The List'!$B1:$AS671,25,FALSE)," ")</f>
        <v xml:space="preserve"> </v>
      </c>
      <c r="S266" s="85" t="str" cm="1">
        <f t="array" ref="S266">IFERROR(VLOOKUP($A266,'The List'!$B1:$AS671,26,FALSE)," ")</f>
        <v xml:space="preserve"> </v>
      </c>
      <c r="T266" s="85" t="str" cm="1">
        <f t="array" ref="T266">IFERROR(VLOOKUP($A266,'The List'!$B1:$AS671,27,FALSE)," ")</f>
        <v xml:space="preserve"> </v>
      </c>
      <c r="U266" s="85" t="str" cm="1">
        <f t="array" ref="U266">IFERROR(VLOOKUP($A266,'The List'!$B1:$AS671,28,FALSE)," ")</f>
        <v xml:space="preserve"> </v>
      </c>
      <c r="V266" s="85" t="str" cm="1">
        <f t="array" ref="V266">IFERROR(VLOOKUP($A266,'The List'!$B1:$AS671,29,FALSE)," ")</f>
        <v xml:space="preserve"> </v>
      </c>
      <c r="W266" s="85" t="str" cm="1">
        <f t="array" ref="W266">IFERROR(VLOOKUP($A266,'The List'!$B1:$AS671,30,FALSE)," ")</f>
        <v xml:space="preserve"> </v>
      </c>
      <c r="X266" s="85" t="str" cm="1">
        <f t="array" ref="X266">IFERROR(VLOOKUP($A266,'The List'!$B1:$AS671,31,FALSE)," ")</f>
        <v xml:space="preserve"> </v>
      </c>
      <c r="Y266" s="85" t="str" cm="1">
        <f t="array" ref="Y266">IFERROR(VLOOKUP($A266,'The List'!$B1:$AS671,32,FALSE)," ")</f>
        <v xml:space="preserve"> </v>
      </c>
      <c r="Z266" s="85" t="str" cm="1">
        <f t="array" ref="Z266">IFERROR(VLOOKUP($A266,'The List'!$B1:$AS671,33,FALSE)," ")</f>
        <v xml:space="preserve"> </v>
      </c>
      <c r="AA266" s="86"/>
      <c r="AB266" s="91"/>
      <c r="AC266" s="91"/>
      <c r="AD266" s="91"/>
      <c r="AE266" s="91"/>
      <c r="AF266" s="91"/>
    </row>
    <row r="267" spans="1:32" ht="21.25" customHeight="1" x14ac:dyDescent="0.15">
      <c r="A267" s="24"/>
      <c r="B267" s="94" t="str" cm="1">
        <f t="array" ref="B267">IFERROR(VLOOKUP($A267,'The List'!$B1:$AS671,3,FALSE)," ")</f>
        <v xml:space="preserve"> </v>
      </c>
      <c r="C267" s="96" t="str" cm="1">
        <f t="array" ref="C267">IFERROR(VLOOKUP($A267,'The List'!$B1:$AS671,4,FALSE)," ")</f>
        <v xml:space="preserve"> </v>
      </c>
      <c r="D267" s="18" t="str" cm="1">
        <f t="array" ref="D267">IFERROR(VLOOKUP($A267,'The List'!$B1:$AS671,5,FALSE)," ")</f>
        <v xml:space="preserve"> </v>
      </c>
      <c r="E267" s="18" t="str" cm="1">
        <f t="array" ref="E267">IFERROR(VLOOKUP($A267,'The List'!$B1:$AS671,6,FALSE)," ")</f>
        <v xml:space="preserve"> </v>
      </c>
      <c r="F267" s="93" t="str" cm="1">
        <f t="array" ref="F267">IFERROR(VLOOKUP($A267,'The List'!$B1:$AS671,8,FALSE)," ")</f>
        <v xml:space="preserve"> </v>
      </c>
      <c r="G267" s="93" t="str" cm="1">
        <f t="array" ref="G267">IFERROR(VLOOKUP($A267,'The List'!$B1:$AS671,10,FALSE)," ")</f>
        <v xml:space="preserve"> </v>
      </c>
      <c r="H267" s="55"/>
      <c r="I267" s="85" t="str" cm="1">
        <f t="array" ref="I267">IFERROR(VLOOKUP($A267,'The List'!$B1:$AS671,16,FALSE)," ")</f>
        <v xml:space="preserve"> </v>
      </c>
      <c r="J267" s="85" t="str" cm="1">
        <f t="array" ref="J267">IFERROR(VLOOKUP($A267,'The List'!$B1:$AS671,17,FALSE)," ")</f>
        <v xml:space="preserve"> </v>
      </c>
      <c r="K267" s="85" t="str" cm="1">
        <f t="array" ref="K267">IFERROR(VLOOKUP($A267,'The List'!$B1:$AS671,18,FALSE)," ")</f>
        <v xml:space="preserve"> </v>
      </c>
      <c r="L267" s="85" t="str" cm="1">
        <f t="array" ref="L267">IFERROR(VLOOKUP($A267,'The List'!$B1:$AS671,19,FALSE)," ")</f>
        <v xml:space="preserve"> </v>
      </c>
      <c r="M267" s="85" t="str" cm="1">
        <f t="array" ref="M267">IFERROR(VLOOKUP($A267,'The List'!$B1:$AS671,20,FALSE)," ")</f>
        <v xml:space="preserve"> </v>
      </c>
      <c r="N267" s="85" t="str" cm="1">
        <f t="array" ref="N267">IFERROR(VLOOKUP($A267,'The List'!$B1:$AS671,21,FALSE)," ")</f>
        <v xml:space="preserve"> </v>
      </c>
      <c r="O267" s="85" t="str" cm="1">
        <f t="array" ref="O267">IFERROR(VLOOKUP($A267,'The List'!$B1:$AS671,22,FALSE)," ")</f>
        <v xml:space="preserve"> </v>
      </c>
      <c r="P267" s="85" t="str" cm="1">
        <f t="array" ref="P267">IFERROR(VLOOKUP($A267,'The List'!$B1:$AS671,23,FALSE)," ")</f>
        <v xml:space="preserve"> </v>
      </c>
      <c r="Q267" s="85" t="str" cm="1">
        <f t="array" ref="Q267">IFERROR(VLOOKUP($A267,'The List'!$B1:$AS671,24,FALSE)," ")</f>
        <v xml:space="preserve"> </v>
      </c>
      <c r="R267" s="85" t="str" cm="1">
        <f t="array" ref="R267">IFERROR(VLOOKUP($A267,'The List'!$B1:$AS671,25,FALSE)," ")</f>
        <v xml:space="preserve"> </v>
      </c>
      <c r="S267" s="85" t="str" cm="1">
        <f t="array" ref="S267">IFERROR(VLOOKUP($A267,'The List'!$B1:$AS671,26,FALSE)," ")</f>
        <v xml:space="preserve"> </v>
      </c>
      <c r="T267" s="85" t="str" cm="1">
        <f t="array" ref="T267">IFERROR(VLOOKUP($A267,'The List'!$B1:$AS671,27,FALSE)," ")</f>
        <v xml:space="preserve"> </v>
      </c>
      <c r="U267" s="85" t="str" cm="1">
        <f t="array" ref="U267">IFERROR(VLOOKUP($A267,'The List'!$B1:$AS671,28,FALSE)," ")</f>
        <v xml:space="preserve"> </v>
      </c>
      <c r="V267" s="85" t="str" cm="1">
        <f t="array" ref="V267">IFERROR(VLOOKUP($A267,'The List'!$B1:$AS671,29,FALSE)," ")</f>
        <v xml:space="preserve"> </v>
      </c>
      <c r="W267" s="85" t="str" cm="1">
        <f t="array" ref="W267">IFERROR(VLOOKUP($A267,'The List'!$B1:$AS671,30,FALSE)," ")</f>
        <v xml:space="preserve"> </v>
      </c>
      <c r="X267" s="85" t="str" cm="1">
        <f t="array" ref="X267">IFERROR(VLOOKUP($A267,'The List'!$B1:$AS671,31,FALSE)," ")</f>
        <v xml:space="preserve"> </v>
      </c>
      <c r="Y267" s="85" t="str" cm="1">
        <f t="array" ref="Y267">IFERROR(VLOOKUP($A267,'The List'!$B1:$AS671,32,FALSE)," ")</f>
        <v xml:space="preserve"> </v>
      </c>
      <c r="Z267" s="85" t="str" cm="1">
        <f t="array" ref="Z267">IFERROR(VLOOKUP($A267,'The List'!$B1:$AS671,33,FALSE)," ")</f>
        <v xml:space="preserve"> </v>
      </c>
      <c r="AA267" s="86"/>
      <c r="AB267" s="91"/>
      <c r="AC267" s="91"/>
      <c r="AD267" s="91"/>
      <c r="AE267" s="91"/>
      <c r="AF267" s="91"/>
    </row>
    <row r="268" spans="1:32" ht="21.25" customHeight="1" x14ac:dyDescent="0.15">
      <c r="A268" s="24"/>
      <c r="B268" s="94" t="str" cm="1">
        <f t="array" ref="B268">IFERROR(VLOOKUP($A268,'The List'!$B1:$AS671,3,FALSE)," ")</f>
        <v xml:space="preserve"> </v>
      </c>
      <c r="C268" s="96" t="str" cm="1">
        <f t="array" ref="C268">IFERROR(VLOOKUP($A268,'The List'!$B1:$AS671,4,FALSE)," ")</f>
        <v xml:space="preserve"> </v>
      </c>
      <c r="D268" s="18" t="str" cm="1">
        <f t="array" ref="D268">IFERROR(VLOOKUP($A268,'The List'!$B1:$AS671,5,FALSE)," ")</f>
        <v xml:space="preserve"> </v>
      </c>
      <c r="E268" s="18" t="str" cm="1">
        <f t="array" ref="E268">IFERROR(VLOOKUP($A268,'The List'!$B1:$AS671,6,FALSE)," ")</f>
        <v xml:space="preserve"> </v>
      </c>
      <c r="F268" s="93" t="str" cm="1">
        <f t="array" ref="F268">IFERROR(VLOOKUP($A268,'The List'!$B1:$AS671,8,FALSE)," ")</f>
        <v xml:space="preserve"> </v>
      </c>
      <c r="G268" s="93" t="str" cm="1">
        <f t="array" ref="G268">IFERROR(VLOOKUP($A268,'The List'!$B1:$AS671,10,FALSE)," ")</f>
        <v xml:space="preserve"> </v>
      </c>
      <c r="H268" s="55"/>
      <c r="I268" s="85" t="str" cm="1">
        <f t="array" ref="I268">IFERROR(VLOOKUP($A268,'The List'!$B1:$AS671,16,FALSE)," ")</f>
        <v xml:space="preserve"> </v>
      </c>
      <c r="J268" s="85" t="str" cm="1">
        <f t="array" ref="J268">IFERROR(VLOOKUP($A268,'The List'!$B1:$AS671,17,FALSE)," ")</f>
        <v xml:space="preserve"> </v>
      </c>
      <c r="K268" s="85" t="str" cm="1">
        <f t="array" ref="K268">IFERROR(VLOOKUP($A268,'The List'!$B1:$AS671,18,FALSE)," ")</f>
        <v xml:space="preserve"> </v>
      </c>
      <c r="L268" s="85" t="str" cm="1">
        <f t="array" ref="L268">IFERROR(VLOOKUP($A268,'The List'!$B1:$AS671,19,FALSE)," ")</f>
        <v xml:space="preserve"> </v>
      </c>
      <c r="M268" s="85" t="str" cm="1">
        <f t="array" ref="M268">IFERROR(VLOOKUP($A268,'The List'!$B1:$AS671,20,FALSE)," ")</f>
        <v xml:space="preserve"> </v>
      </c>
      <c r="N268" s="85" t="str" cm="1">
        <f t="array" ref="N268">IFERROR(VLOOKUP($A268,'The List'!$B1:$AS671,21,FALSE)," ")</f>
        <v xml:space="preserve"> </v>
      </c>
      <c r="O268" s="85" t="str" cm="1">
        <f t="array" ref="O268">IFERROR(VLOOKUP($A268,'The List'!$B1:$AS671,22,FALSE)," ")</f>
        <v xml:space="preserve"> </v>
      </c>
      <c r="P268" s="85" t="str" cm="1">
        <f t="array" ref="P268">IFERROR(VLOOKUP($A268,'The List'!$B1:$AS671,23,FALSE)," ")</f>
        <v xml:space="preserve"> </v>
      </c>
      <c r="Q268" s="85" t="str" cm="1">
        <f t="array" ref="Q268">IFERROR(VLOOKUP($A268,'The List'!$B1:$AS671,24,FALSE)," ")</f>
        <v xml:space="preserve"> </v>
      </c>
      <c r="R268" s="85" t="str" cm="1">
        <f t="array" ref="R268">IFERROR(VLOOKUP($A268,'The List'!$B1:$AS671,25,FALSE)," ")</f>
        <v xml:space="preserve"> </v>
      </c>
      <c r="S268" s="85" t="str" cm="1">
        <f t="array" ref="S268">IFERROR(VLOOKUP($A268,'The List'!$B1:$AS671,26,FALSE)," ")</f>
        <v xml:space="preserve"> </v>
      </c>
      <c r="T268" s="85" t="str" cm="1">
        <f t="array" ref="T268">IFERROR(VLOOKUP($A268,'The List'!$B1:$AS671,27,FALSE)," ")</f>
        <v xml:space="preserve"> </v>
      </c>
      <c r="U268" s="85" t="str" cm="1">
        <f t="array" ref="U268">IFERROR(VLOOKUP($A268,'The List'!$B1:$AS671,28,FALSE)," ")</f>
        <v xml:space="preserve"> </v>
      </c>
      <c r="V268" s="85" t="str" cm="1">
        <f t="array" ref="V268">IFERROR(VLOOKUP($A268,'The List'!$B1:$AS671,29,FALSE)," ")</f>
        <v xml:space="preserve"> </v>
      </c>
      <c r="W268" s="85" t="str" cm="1">
        <f t="array" ref="W268">IFERROR(VLOOKUP($A268,'The List'!$B1:$AS671,30,FALSE)," ")</f>
        <v xml:space="preserve"> </v>
      </c>
      <c r="X268" s="85" t="str" cm="1">
        <f t="array" ref="X268">IFERROR(VLOOKUP($A268,'The List'!$B1:$AS671,31,FALSE)," ")</f>
        <v xml:space="preserve"> </v>
      </c>
      <c r="Y268" s="85" t="str" cm="1">
        <f t="array" ref="Y268">IFERROR(VLOOKUP($A268,'The List'!$B1:$AS671,32,FALSE)," ")</f>
        <v xml:space="preserve"> </v>
      </c>
      <c r="Z268" s="85" t="str" cm="1">
        <f t="array" ref="Z268">IFERROR(VLOOKUP($A268,'The List'!$B1:$AS671,33,FALSE)," ")</f>
        <v xml:space="preserve"> </v>
      </c>
      <c r="AA268" s="86"/>
      <c r="AB268" s="91"/>
      <c r="AC268" s="91"/>
      <c r="AD268" s="91"/>
      <c r="AE268" s="91"/>
      <c r="AF268" s="91"/>
    </row>
    <row r="269" spans="1:32" ht="21.25" customHeight="1" x14ac:dyDescent="0.15">
      <c r="A269" s="24"/>
      <c r="B269" s="94" t="str" cm="1">
        <f t="array" ref="B269">IFERROR(VLOOKUP($A269,'The List'!$B1:$AS671,3,FALSE)," ")</f>
        <v xml:space="preserve"> </v>
      </c>
      <c r="C269" s="96" t="str" cm="1">
        <f t="array" ref="C269">IFERROR(VLOOKUP($A269,'The List'!$B1:$AS671,4,FALSE)," ")</f>
        <v xml:space="preserve"> </v>
      </c>
      <c r="D269" s="18" t="str" cm="1">
        <f t="array" ref="D269">IFERROR(VLOOKUP($A269,'The List'!$B1:$AS671,5,FALSE)," ")</f>
        <v xml:space="preserve"> </v>
      </c>
      <c r="E269" s="18" t="str" cm="1">
        <f t="array" ref="E269">IFERROR(VLOOKUP($A269,'The List'!$B1:$AS671,6,FALSE)," ")</f>
        <v xml:space="preserve"> </v>
      </c>
      <c r="F269" s="93" t="str" cm="1">
        <f t="array" ref="F269">IFERROR(VLOOKUP($A269,'The List'!$B1:$AS671,8,FALSE)," ")</f>
        <v xml:space="preserve"> </v>
      </c>
      <c r="G269" s="93" t="str" cm="1">
        <f t="array" ref="G269">IFERROR(VLOOKUP($A269,'The List'!$B1:$AS671,10,FALSE)," ")</f>
        <v xml:space="preserve"> </v>
      </c>
      <c r="H269" s="55"/>
      <c r="I269" s="85" t="str" cm="1">
        <f t="array" ref="I269">IFERROR(VLOOKUP($A269,'The List'!$B1:$AS671,16,FALSE)," ")</f>
        <v xml:space="preserve"> </v>
      </c>
      <c r="J269" s="85" t="str" cm="1">
        <f t="array" ref="J269">IFERROR(VLOOKUP($A269,'The List'!$B1:$AS671,17,FALSE)," ")</f>
        <v xml:space="preserve"> </v>
      </c>
      <c r="K269" s="85" t="str" cm="1">
        <f t="array" ref="K269">IFERROR(VLOOKUP($A269,'The List'!$B1:$AS671,18,FALSE)," ")</f>
        <v xml:space="preserve"> </v>
      </c>
      <c r="L269" s="85" t="str" cm="1">
        <f t="array" ref="L269">IFERROR(VLOOKUP($A269,'The List'!$B1:$AS671,19,FALSE)," ")</f>
        <v xml:space="preserve"> </v>
      </c>
      <c r="M269" s="85" t="str" cm="1">
        <f t="array" ref="M269">IFERROR(VLOOKUP($A269,'The List'!$B1:$AS671,20,FALSE)," ")</f>
        <v xml:space="preserve"> </v>
      </c>
      <c r="N269" s="85" t="str" cm="1">
        <f t="array" ref="N269">IFERROR(VLOOKUP($A269,'The List'!$B1:$AS671,21,FALSE)," ")</f>
        <v xml:space="preserve"> </v>
      </c>
      <c r="O269" s="85" t="str" cm="1">
        <f t="array" ref="O269">IFERROR(VLOOKUP($A269,'The List'!$B1:$AS671,22,FALSE)," ")</f>
        <v xml:space="preserve"> </v>
      </c>
      <c r="P269" s="85" t="str" cm="1">
        <f t="array" ref="P269">IFERROR(VLOOKUP($A269,'The List'!$B1:$AS671,23,FALSE)," ")</f>
        <v xml:space="preserve"> </v>
      </c>
      <c r="Q269" s="85" t="str" cm="1">
        <f t="array" ref="Q269">IFERROR(VLOOKUP($A269,'The List'!$B1:$AS671,24,FALSE)," ")</f>
        <v xml:space="preserve"> </v>
      </c>
      <c r="R269" s="85" t="str" cm="1">
        <f t="array" ref="R269">IFERROR(VLOOKUP($A269,'The List'!$B1:$AS671,25,FALSE)," ")</f>
        <v xml:space="preserve"> </v>
      </c>
      <c r="S269" s="85" t="str" cm="1">
        <f t="array" ref="S269">IFERROR(VLOOKUP($A269,'The List'!$B1:$AS671,26,FALSE)," ")</f>
        <v xml:space="preserve"> </v>
      </c>
      <c r="T269" s="85" t="str" cm="1">
        <f t="array" ref="T269">IFERROR(VLOOKUP($A269,'The List'!$B1:$AS671,27,FALSE)," ")</f>
        <v xml:space="preserve"> </v>
      </c>
      <c r="U269" s="85" t="str" cm="1">
        <f t="array" ref="U269">IFERROR(VLOOKUP($A269,'The List'!$B1:$AS671,28,FALSE)," ")</f>
        <v xml:space="preserve"> </v>
      </c>
      <c r="V269" s="85" t="str" cm="1">
        <f t="array" ref="V269">IFERROR(VLOOKUP($A269,'The List'!$B1:$AS671,29,FALSE)," ")</f>
        <v xml:space="preserve"> </v>
      </c>
      <c r="W269" s="85" t="str" cm="1">
        <f t="array" ref="W269">IFERROR(VLOOKUP($A269,'The List'!$B1:$AS671,30,FALSE)," ")</f>
        <v xml:space="preserve"> </v>
      </c>
      <c r="X269" s="85" t="str" cm="1">
        <f t="array" ref="X269">IFERROR(VLOOKUP($A269,'The List'!$B1:$AS671,31,FALSE)," ")</f>
        <v xml:space="preserve"> </v>
      </c>
      <c r="Y269" s="85" t="str" cm="1">
        <f t="array" ref="Y269">IFERROR(VLOOKUP($A269,'The List'!$B1:$AS671,32,FALSE)," ")</f>
        <v xml:space="preserve"> </v>
      </c>
      <c r="Z269" s="85" t="str" cm="1">
        <f t="array" ref="Z269">IFERROR(VLOOKUP($A269,'The List'!$B1:$AS671,33,FALSE)," ")</f>
        <v xml:space="preserve"> </v>
      </c>
      <c r="AA269" s="86"/>
      <c r="AB269" s="91"/>
      <c r="AC269" s="91"/>
      <c r="AD269" s="91"/>
      <c r="AE269" s="91"/>
      <c r="AF269" s="91"/>
    </row>
    <row r="270" spans="1:32" ht="21.25" customHeight="1" x14ac:dyDescent="0.15">
      <c r="A270" s="24"/>
      <c r="B270" s="94" t="str" cm="1">
        <f t="array" ref="B270">IFERROR(VLOOKUP($A270,'The List'!$B1:$AS671,3,FALSE)," ")</f>
        <v xml:space="preserve"> </v>
      </c>
      <c r="C270" s="96" t="str" cm="1">
        <f t="array" ref="C270">IFERROR(VLOOKUP($A270,'The List'!$B1:$AS671,4,FALSE)," ")</f>
        <v xml:space="preserve"> </v>
      </c>
      <c r="D270" s="18" t="str" cm="1">
        <f t="array" ref="D270">IFERROR(VLOOKUP($A270,'The List'!$B1:$AS671,5,FALSE)," ")</f>
        <v xml:space="preserve"> </v>
      </c>
      <c r="E270" s="18" t="str" cm="1">
        <f t="array" ref="E270">IFERROR(VLOOKUP($A270,'The List'!$B1:$AS671,6,FALSE)," ")</f>
        <v xml:space="preserve"> </v>
      </c>
      <c r="F270" s="93" t="str" cm="1">
        <f t="array" ref="F270">IFERROR(VLOOKUP($A270,'The List'!$B1:$AS671,8,FALSE)," ")</f>
        <v xml:space="preserve"> </v>
      </c>
      <c r="G270" s="93" t="str" cm="1">
        <f t="array" ref="G270">IFERROR(VLOOKUP($A270,'The List'!$B1:$AS671,10,FALSE)," ")</f>
        <v xml:space="preserve"> </v>
      </c>
      <c r="H270" s="55"/>
      <c r="I270" s="85" t="str" cm="1">
        <f t="array" ref="I270">IFERROR(VLOOKUP($A270,'The List'!$B1:$AS671,16,FALSE)," ")</f>
        <v xml:space="preserve"> </v>
      </c>
      <c r="J270" s="85" t="str" cm="1">
        <f t="array" ref="J270">IFERROR(VLOOKUP($A270,'The List'!$B1:$AS671,17,FALSE)," ")</f>
        <v xml:space="preserve"> </v>
      </c>
      <c r="K270" s="85" t="str" cm="1">
        <f t="array" ref="K270">IFERROR(VLOOKUP($A270,'The List'!$B1:$AS671,18,FALSE)," ")</f>
        <v xml:space="preserve"> </v>
      </c>
      <c r="L270" s="85" t="str" cm="1">
        <f t="array" ref="L270">IFERROR(VLOOKUP($A270,'The List'!$B1:$AS671,19,FALSE)," ")</f>
        <v xml:space="preserve"> </v>
      </c>
      <c r="M270" s="85" t="str" cm="1">
        <f t="array" ref="M270">IFERROR(VLOOKUP($A270,'The List'!$B1:$AS671,20,FALSE)," ")</f>
        <v xml:space="preserve"> </v>
      </c>
      <c r="N270" s="85" t="str" cm="1">
        <f t="array" ref="N270">IFERROR(VLOOKUP($A270,'The List'!$B1:$AS671,21,FALSE)," ")</f>
        <v xml:space="preserve"> </v>
      </c>
      <c r="O270" s="85" t="str" cm="1">
        <f t="array" ref="O270">IFERROR(VLOOKUP($A270,'The List'!$B1:$AS671,22,FALSE)," ")</f>
        <v xml:space="preserve"> </v>
      </c>
      <c r="P270" s="85" t="str" cm="1">
        <f t="array" ref="P270">IFERROR(VLOOKUP($A270,'The List'!$B1:$AS671,23,FALSE)," ")</f>
        <v xml:space="preserve"> </v>
      </c>
      <c r="Q270" s="85" t="str" cm="1">
        <f t="array" ref="Q270">IFERROR(VLOOKUP($A270,'The List'!$B1:$AS671,24,FALSE)," ")</f>
        <v xml:space="preserve"> </v>
      </c>
      <c r="R270" s="85" t="str" cm="1">
        <f t="array" ref="R270">IFERROR(VLOOKUP($A270,'The List'!$B1:$AS671,25,FALSE)," ")</f>
        <v xml:space="preserve"> </v>
      </c>
      <c r="S270" s="85" t="str" cm="1">
        <f t="array" ref="S270">IFERROR(VLOOKUP($A270,'The List'!$B1:$AS671,26,FALSE)," ")</f>
        <v xml:space="preserve"> </v>
      </c>
      <c r="T270" s="85" t="str" cm="1">
        <f t="array" ref="T270">IFERROR(VLOOKUP($A270,'The List'!$B1:$AS671,27,FALSE)," ")</f>
        <v xml:space="preserve"> </v>
      </c>
      <c r="U270" s="85" t="str" cm="1">
        <f t="array" ref="U270">IFERROR(VLOOKUP($A270,'The List'!$B1:$AS671,28,FALSE)," ")</f>
        <v xml:space="preserve"> </v>
      </c>
      <c r="V270" s="85" t="str" cm="1">
        <f t="array" ref="V270">IFERROR(VLOOKUP($A270,'The List'!$B1:$AS671,29,FALSE)," ")</f>
        <v xml:space="preserve"> </v>
      </c>
      <c r="W270" s="85" t="str" cm="1">
        <f t="array" ref="W270">IFERROR(VLOOKUP($A270,'The List'!$B1:$AS671,30,FALSE)," ")</f>
        <v xml:space="preserve"> </v>
      </c>
      <c r="X270" s="85" t="str" cm="1">
        <f t="array" ref="X270">IFERROR(VLOOKUP($A270,'The List'!$B1:$AS671,31,FALSE)," ")</f>
        <v xml:space="preserve"> </v>
      </c>
      <c r="Y270" s="85" t="str" cm="1">
        <f t="array" ref="Y270">IFERROR(VLOOKUP($A270,'The List'!$B1:$AS671,32,FALSE)," ")</f>
        <v xml:space="preserve"> </v>
      </c>
      <c r="Z270" s="85" t="str" cm="1">
        <f t="array" ref="Z270">IFERROR(VLOOKUP($A270,'The List'!$B1:$AS671,33,FALSE)," ")</f>
        <v xml:space="preserve"> </v>
      </c>
      <c r="AA270" s="86"/>
      <c r="AB270" s="91"/>
      <c r="AC270" s="91"/>
      <c r="AD270" s="91"/>
      <c r="AE270" s="91"/>
      <c r="AF270" s="91"/>
    </row>
    <row r="271" spans="1:32" ht="21.25" customHeight="1" x14ac:dyDescent="0.15">
      <c r="A271" s="24"/>
      <c r="B271" s="97" t="str" cm="1">
        <f t="array" ref="B271">IFERROR(VLOOKUP($A271,'The List'!$B1:$AS671,3,FALSE)," ")</f>
        <v xml:space="preserve"> </v>
      </c>
      <c r="C271" s="99" t="str" cm="1">
        <f t="array" ref="C271">IFERROR(VLOOKUP($A271,'The List'!$B1:$AS671,4,FALSE)," ")</f>
        <v xml:space="preserve"> </v>
      </c>
      <c r="D271" s="18" t="str" cm="1">
        <f t="array" ref="D271">IFERROR(VLOOKUP($A271,'The List'!$B1:$AS671,5,FALSE)," ")</f>
        <v xml:space="preserve"> </v>
      </c>
      <c r="E271" s="18" t="str" cm="1">
        <f t="array" ref="E271">IFERROR(VLOOKUP($A271,'The List'!$B1:$AS671,6,FALSE)," ")</f>
        <v xml:space="preserve"> </v>
      </c>
      <c r="F271" s="93" t="str" cm="1">
        <f t="array" ref="F271">IFERROR(VLOOKUP($A271,'The List'!$B1:$AS671,8,FALSE)," ")</f>
        <v xml:space="preserve"> </v>
      </c>
      <c r="G271" s="93" t="str" cm="1">
        <f t="array" ref="G271">IFERROR(VLOOKUP($A271,'The List'!$B1:$AS671,10,FALSE)," ")</f>
        <v xml:space="preserve"> </v>
      </c>
      <c r="H271" s="55"/>
      <c r="I271" s="85" t="str" cm="1">
        <f t="array" ref="I271">IFERROR(VLOOKUP($A271,'The List'!$B1:$AS671,16,FALSE)," ")</f>
        <v xml:space="preserve"> </v>
      </c>
      <c r="J271" s="85" t="str" cm="1">
        <f t="array" ref="J271">IFERROR(VLOOKUP($A271,'The List'!$B1:$AS671,17,FALSE)," ")</f>
        <v xml:space="preserve"> </v>
      </c>
      <c r="K271" s="85" t="str" cm="1">
        <f t="array" ref="K271">IFERROR(VLOOKUP($A271,'The List'!$B1:$AS671,18,FALSE)," ")</f>
        <v xml:space="preserve"> </v>
      </c>
      <c r="L271" s="85" t="str" cm="1">
        <f t="array" ref="L271">IFERROR(VLOOKUP($A271,'The List'!$B1:$AS671,19,FALSE)," ")</f>
        <v xml:space="preserve"> </v>
      </c>
      <c r="M271" s="85" t="str" cm="1">
        <f t="array" ref="M271">IFERROR(VLOOKUP($A271,'The List'!$B1:$AS671,20,FALSE)," ")</f>
        <v xml:space="preserve"> </v>
      </c>
      <c r="N271" s="85" t="str" cm="1">
        <f t="array" ref="N271">IFERROR(VLOOKUP($A271,'The List'!$B1:$AS671,21,FALSE)," ")</f>
        <v xml:space="preserve"> </v>
      </c>
      <c r="O271" s="85" t="str" cm="1">
        <f t="array" ref="O271">IFERROR(VLOOKUP($A271,'The List'!$B1:$AS671,22,FALSE)," ")</f>
        <v xml:space="preserve"> </v>
      </c>
      <c r="P271" s="85" t="str" cm="1">
        <f t="array" ref="P271">IFERROR(VLOOKUP($A271,'The List'!$B1:$AS671,23,FALSE)," ")</f>
        <v xml:space="preserve"> </v>
      </c>
      <c r="Q271" s="85" t="str" cm="1">
        <f t="array" ref="Q271">IFERROR(VLOOKUP($A271,'The List'!$B1:$AS671,24,FALSE)," ")</f>
        <v xml:space="preserve"> </v>
      </c>
      <c r="R271" s="85" t="str" cm="1">
        <f t="array" ref="R271">IFERROR(VLOOKUP($A271,'The List'!$B1:$AS671,25,FALSE)," ")</f>
        <v xml:space="preserve"> </v>
      </c>
      <c r="S271" s="85" t="str" cm="1">
        <f t="array" ref="S271">IFERROR(VLOOKUP($A271,'The List'!$B1:$AS671,26,FALSE)," ")</f>
        <v xml:space="preserve"> </v>
      </c>
      <c r="T271" s="85" t="str" cm="1">
        <f t="array" ref="T271">IFERROR(VLOOKUP($A271,'The List'!$B1:$AS671,27,FALSE)," ")</f>
        <v xml:space="preserve"> </v>
      </c>
      <c r="U271" s="85" t="str" cm="1">
        <f t="array" ref="U271">IFERROR(VLOOKUP($A271,'The List'!$B1:$AS671,28,FALSE)," ")</f>
        <v xml:space="preserve"> </v>
      </c>
      <c r="V271" s="85" t="str" cm="1">
        <f t="array" ref="V271">IFERROR(VLOOKUP($A271,'The List'!$B1:$AS671,29,FALSE)," ")</f>
        <v xml:space="preserve"> </v>
      </c>
      <c r="W271" s="85" t="str" cm="1">
        <f t="array" ref="W271">IFERROR(VLOOKUP($A271,'The List'!$B1:$AS671,30,FALSE)," ")</f>
        <v xml:space="preserve"> </v>
      </c>
      <c r="X271" s="85" t="str" cm="1">
        <f t="array" ref="X271">IFERROR(VLOOKUP($A271,'The List'!$B1:$AS671,31,FALSE)," ")</f>
        <v xml:space="preserve"> </v>
      </c>
      <c r="Y271" s="85" t="str" cm="1">
        <f t="array" ref="Y271">IFERROR(VLOOKUP($A271,'The List'!$B1:$AS671,32,FALSE)," ")</f>
        <v xml:space="preserve"> </v>
      </c>
      <c r="Z271" s="85" t="str" cm="1">
        <f t="array" ref="Z271">IFERROR(VLOOKUP($A271,'The List'!$B1:$AS671,33,FALSE)," ")</f>
        <v xml:space="preserve"> </v>
      </c>
      <c r="AA271" s="86"/>
      <c r="AB271" s="91"/>
      <c r="AC271" s="91"/>
      <c r="AD271" s="91"/>
      <c r="AE271" s="91"/>
      <c r="AF271" s="91"/>
    </row>
    <row r="272" spans="1:32" ht="21.25" customHeight="1" x14ac:dyDescent="0.15">
      <c r="A272" s="24"/>
      <c r="B272" s="97" t="str" cm="1">
        <f t="array" ref="B272">IFERROR(VLOOKUP($A272,'The List'!$B1:$AS671,3,FALSE)," ")</f>
        <v xml:space="preserve"> </v>
      </c>
      <c r="C272" s="99" t="str" cm="1">
        <f t="array" ref="C272">IFERROR(VLOOKUP($A272,'The List'!$B1:$AS671,4,FALSE)," ")</f>
        <v xml:space="preserve"> </v>
      </c>
      <c r="D272" s="18" t="str" cm="1">
        <f t="array" ref="D272">IFERROR(VLOOKUP($A272,'The List'!$B1:$AS671,5,FALSE)," ")</f>
        <v xml:space="preserve"> </v>
      </c>
      <c r="E272" s="18" t="str" cm="1">
        <f t="array" ref="E272">IFERROR(VLOOKUP($A272,'The List'!$B1:$AS671,6,FALSE)," ")</f>
        <v xml:space="preserve"> </v>
      </c>
      <c r="F272" s="93" t="str" cm="1">
        <f t="array" ref="F272">IFERROR(VLOOKUP($A272,'The List'!$B1:$AS671,8,FALSE)," ")</f>
        <v xml:space="preserve"> </v>
      </c>
      <c r="G272" s="93" t="str" cm="1">
        <f t="array" ref="G272">IFERROR(VLOOKUP($A272,'The List'!$B1:$AS671,10,FALSE)," ")</f>
        <v xml:space="preserve"> </v>
      </c>
      <c r="H272" s="55"/>
      <c r="I272" s="85" t="str" cm="1">
        <f t="array" ref="I272">IFERROR(VLOOKUP($A272,'The List'!$B1:$AS671,16,FALSE)," ")</f>
        <v xml:space="preserve"> </v>
      </c>
      <c r="J272" s="85" t="str" cm="1">
        <f t="array" ref="J272">IFERROR(VLOOKUP($A272,'The List'!$B1:$AS671,17,FALSE)," ")</f>
        <v xml:space="preserve"> </v>
      </c>
      <c r="K272" s="85" t="str" cm="1">
        <f t="array" ref="K272">IFERROR(VLOOKUP($A272,'The List'!$B1:$AS671,18,FALSE)," ")</f>
        <v xml:space="preserve"> </v>
      </c>
      <c r="L272" s="85" t="str" cm="1">
        <f t="array" ref="L272">IFERROR(VLOOKUP($A272,'The List'!$B1:$AS671,19,FALSE)," ")</f>
        <v xml:space="preserve"> </v>
      </c>
      <c r="M272" s="85" t="str" cm="1">
        <f t="array" ref="M272">IFERROR(VLOOKUP($A272,'The List'!$B1:$AS671,20,FALSE)," ")</f>
        <v xml:space="preserve"> </v>
      </c>
      <c r="N272" s="85" t="str" cm="1">
        <f t="array" ref="N272">IFERROR(VLOOKUP($A272,'The List'!$B1:$AS671,21,FALSE)," ")</f>
        <v xml:space="preserve"> </v>
      </c>
      <c r="O272" s="85" t="str" cm="1">
        <f t="array" ref="O272">IFERROR(VLOOKUP($A272,'The List'!$B1:$AS671,22,FALSE)," ")</f>
        <v xml:space="preserve"> </v>
      </c>
      <c r="P272" s="85" t="str" cm="1">
        <f t="array" ref="P272">IFERROR(VLOOKUP($A272,'The List'!$B1:$AS671,23,FALSE)," ")</f>
        <v xml:space="preserve"> </v>
      </c>
      <c r="Q272" s="85" t="str" cm="1">
        <f t="array" ref="Q272">IFERROR(VLOOKUP($A272,'The List'!$B1:$AS671,24,FALSE)," ")</f>
        <v xml:space="preserve"> </v>
      </c>
      <c r="R272" s="85" t="str" cm="1">
        <f t="array" ref="R272">IFERROR(VLOOKUP($A272,'The List'!$B1:$AS671,25,FALSE)," ")</f>
        <v xml:space="preserve"> </v>
      </c>
      <c r="S272" s="85" t="str" cm="1">
        <f t="array" ref="S272">IFERROR(VLOOKUP($A272,'The List'!$B1:$AS671,26,FALSE)," ")</f>
        <v xml:space="preserve"> </v>
      </c>
      <c r="T272" s="85" t="str" cm="1">
        <f t="array" ref="T272">IFERROR(VLOOKUP($A272,'The List'!$B1:$AS671,27,FALSE)," ")</f>
        <v xml:space="preserve"> </v>
      </c>
      <c r="U272" s="85" t="str" cm="1">
        <f t="array" ref="U272">IFERROR(VLOOKUP($A272,'The List'!$B1:$AS671,28,FALSE)," ")</f>
        <v xml:space="preserve"> </v>
      </c>
      <c r="V272" s="85" t="str" cm="1">
        <f t="array" ref="V272">IFERROR(VLOOKUP($A272,'The List'!$B1:$AS671,29,FALSE)," ")</f>
        <v xml:space="preserve"> </v>
      </c>
      <c r="W272" s="85" t="str" cm="1">
        <f t="array" ref="W272">IFERROR(VLOOKUP($A272,'The List'!$B1:$AS671,30,FALSE)," ")</f>
        <v xml:space="preserve"> </v>
      </c>
      <c r="X272" s="85" t="str" cm="1">
        <f t="array" ref="X272">IFERROR(VLOOKUP($A272,'The List'!$B1:$AS671,31,FALSE)," ")</f>
        <v xml:space="preserve"> </v>
      </c>
      <c r="Y272" s="85" t="str" cm="1">
        <f t="array" ref="Y272">IFERROR(VLOOKUP($A272,'The List'!$B1:$AS671,32,FALSE)," ")</f>
        <v xml:space="preserve"> </v>
      </c>
      <c r="Z272" s="85" t="str" cm="1">
        <f t="array" ref="Z272">IFERROR(VLOOKUP($A272,'The List'!$B1:$AS671,33,FALSE)," ")</f>
        <v xml:space="preserve"> </v>
      </c>
      <c r="AA272" s="86"/>
      <c r="AB272" s="91"/>
      <c r="AC272" s="91"/>
      <c r="AD272" s="91"/>
      <c r="AE272" s="91"/>
      <c r="AF272" s="91"/>
    </row>
    <row r="273" spans="1:32" ht="21.25" customHeight="1" x14ac:dyDescent="0.15">
      <c r="A273" s="24"/>
      <c r="B273" s="97" t="str" cm="1">
        <f t="array" ref="B273">IFERROR(VLOOKUP($A273,'The List'!$B1:$AS671,3,FALSE)," ")</f>
        <v xml:space="preserve"> </v>
      </c>
      <c r="C273" s="99" t="str" cm="1">
        <f t="array" ref="C273">IFERROR(VLOOKUP($A273,'The List'!$B1:$AS671,4,FALSE)," ")</f>
        <v xml:space="preserve"> </v>
      </c>
      <c r="D273" s="18" t="str" cm="1">
        <f t="array" ref="D273">IFERROR(VLOOKUP($A273,'The List'!$B1:$AS671,5,FALSE)," ")</f>
        <v xml:space="preserve"> </v>
      </c>
      <c r="E273" s="18" t="str" cm="1">
        <f t="array" ref="E273">IFERROR(VLOOKUP($A273,'The List'!$B1:$AS671,6,FALSE)," ")</f>
        <v xml:space="preserve"> </v>
      </c>
      <c r="F273" s="93" t="str" cm="1">
        <f t="array" ref="F273">IFERROR(VLOOKUP($A273,'The List'!$B1:$AS671,8,FALSE)," ")</f>
        <v xml:space="preserve"> </v>
      </c>
      <c r="G273" s="93" t="str" cm="1">
        <f t="array" ref="G273">IFERROR(VLOOKUP($A273,'The List'!$B1:$AS671,10,FALSE)," ")</f>
        <v xml:space="preserve"> </v>
      </c>
      <c r="H273" s="55"/>
      <c r="I273" s="85" t="str" cm="1">
        <f t="array" ref="I273">IFERROR(VLOOKUP($A273,'The List'!$B1:$AS671,16,FALSE)," ")</f>
        <v xml:space="preserve"> </v>
      </c>
      <c r="J273" s="85" t="str" cm="1">
        <f t="array" ref="J273">IFERROR(VLOOKUP($A273,'The List'!$B1:$AS671,17,FALSE)," ")</f>
        <v xml:space="preserve"> </v>
      </c>
      <c r="K273" s="85" t="str" cm="1">
        <f t="array" ref="K273">IFERROR(VLOOKUP($A273,'The List'!$B1:$AS671,18,FALSE)," ")</f>
        <v xml:space="preserve"> </v>
      </c>
      <c r="L273" s="85" t="str" cm="1">
        <f t="array" ref="L273">IFERROR(VLOOKUP($A273,'The List'!$B1:$AS671,19,FALSE)," ")</f>
        <v xml:space="preserve"> </v>
      </c>
      <c r="M273" s="85" t="str" cm="1">
        <f t="array" ref="M273">IFERROR(VLOOKUP($A273,'The List'!$B1:$AS671,20,FALSE)," ")</f>
        <v xml:space="preserve"> </v>
      </c>
      <c r="N273" s="85" t="str" cm="1">
        <f t="array" ref="N273">IFERROR(VLOOKUP($A273,'The List'!$B1:$AS671,21,FALSE)," ")</f>
        <v xml:space="preserve"> </v>
      </c>
      <c r="O273" s="85" t="str" cm="1">
        <f t="array" ref="O273">IFERROR(VLOOKUP($A273,'The List'!$B1:$AS671,22,FALSE)," ")</f>
        <v xml:space="preserve"> </v>
      </c>
      <c r="P273" s="85" t="str" cm="1">
        <f t="array" ref="P273">IFERROR(VLOOKUP($A273,'The List'!$B1:$AS671,23,FALSE)," ")</f>
        <v xml:space="preserve"> </v>
      </c>
      <c r="Q273" s="85" t="str" cm="1">
        <f t="array" ref="Q273">IFERROR(VLOOKUP($A273,'The List'!$B1:$AS671,24,FALSE)," ")</f>
        <v xml:space="preserve"> </v>
      </c>
      <c r="R273" s="85" t="str" cm="1">
        <f t="array" ref="R273">IFERROR(VLOOKUP($A273,'The List'!$B1:$AS671,25,FALSE)," ")</f>
        <v xml:space="preserve"> </v>
      </c>
      <c r="S273" s="85" t="str" cm="1">
        <f t="array" ref="S273">IFERROR(VLOOKUP($A273,'The List'!$B1:$AS671,26,FALSE)," ")</f>
        <v xml:space="preserve"> </v>
      </c>
      <c r="T273" s="85" t="str" cm="1">
        <f t="array" ref="T273">IFERROR(VLOOKUP($A273,'The List'!$B1:$AS671,27,FALSE)," ")</f>
        <v xml:space="preserve"> </v>
      </c>
      <c r="U273" s="85" t="str" cm="1">
        <f t="array" ref="U273">IFERROR(VLOOKUP($A273,'The List'!$B1:$AS671,28,FALSE)," ")</f>
        <v xml:space="preserve"> </v>
      </c>
      <c r="V273" s="85" t="str" cm="1">
        <f t="array" ref="V273">IFERROR(VLOOKUP($A273,'The List'!$B1:$AS671,29,FALSE)," ")</f>
        <v xml:space="preserve"> </v>
      </c>
      <c r="W273" s="85" t="str" cm="1">
        <f t="array" ref="W273">IFERROR(VLOOKUP($A273,'The List'!$B1:$AS671,30,FALSE)," ")</f>
        <v xml:space="preserve"> </v>
      </c>
      <c r="X273" s="85" t="str" cm="1">
        <f t="array" ref="X273">IFERROR(VLOOKUP($A273,'The List'!$B1:$AS671,31,FALSE)," ")</f>
        <v xml:space="preserve"> </v>
      </c>
      <c r="Y273" s="85" t="str" cm="1">
        <f t="array" ref="Y273">IFERROR(VLOOKUP($A273,'The List'!$B1:$AS671,32,FALSE)," ")</f>
        <v xml:space="preserve"> </v>
      </c>
      <c r="Z273" s="85" t="str" cm="1">
        <f t="array" ref="Z273">IFERROR(VLOOKUP($A273,'The List'!$B1:$AS671,33,FALSE)," ")</f>
        <v xml:space="preserve"> </v>
      </c>
      <c r="AA273" s="86"/>
      <c r="AB273" s="91"/>
      <c r="AC273" s="91"/>
      <c r="AD273" s="91"/>
      <c r="AE273" s="91"/>
      <c r="AF273" s="91"/>
    </row>
    <row r="274" spans="1:32" ht="21.25" customHeight="1" x14ac:dyDescent="0.15">
      <c r="A274" s="24"/>
      <c r="B274" s="97" t="str" cm="1">
        <f t="array" ref="B274">IFERROR(VLOOKUP($A274,'The List'!$B1:$AS671,3,FALSE)," ")</f>
        <v xml:space="preserve"> </v>
      </c>
      <c r="C274" s="99" t="str" cm="1">
        <f t="array" ref="C274">IFERROR(VLOOKUP($A274,'The List'!$B1:$AS671,4,FALSE)," ")</f>
        <v xml:space="preserve"> </v>
      </c>
      <c r="D274" s="18" t="str" cm="1">
        <f t="array" ref="D274">IFERROR(VLOOKUP($A274,'The List'!$B1:$AS671,5,FALSE)," ")</f>
        <v xml:space="preserve"> </v>
      </c>
      <c r="E274" s="18" t="str" cm="1">
        <f t="array" ref="E274">IFERROR(VLOOKUP($A274,'The List'!$B1:$AS671,6,FALSE)," ")</f>
        <v xml:space="preserve"> </v>
      </c>
      <c r="F274" s="93" t="str" cm="1">
        <f t="array" ref="F274">IFERROR(VLOOKUP($A274,'The List'!$B1:$AS671,8,FALSE)," ")</f>
        <v xml:space="preserve"> </v>
      </c>
      <c r="G274" s="93" t="str" cm="1">
        <f t="array" ref="G274">IFERROR(VLOOKUP($A274,'The List'!$B1:$AS671,10,FALSE)," ")</f>
        <v xml:space="preserve"> </v>
      </c>
      <c r="H274" s="55"/>
      <c r="I274" s="85" t="str" cm="1">
        <f t="array" ref="I274">IFERROR(VLOOKUP($A274,'The List'!$B1:$AS671,16,FALSE)," ")</f>
        <v xml:space="preserve"> </v>
      </c>
      <c r="J274" s="85" t="str" cm="1">
        <f t="array" ref="J274">IFERROR(VLOOKUP($A274,'The List'!$B1:$AS671,17,FALSE)," ")</f>
        <v xml:space="preserve"> </v>
      </c>
      <c r="K274" s="85" t="str" cm="1">
        <f t="array" ref="K274">IFERROR(VLOOKUP($A274,'The List'!$B1:$AS671,18,FALSE)," ")</f>
        <v xml:space="preserve"> </v>
      </c>
      <c r="L274" s="85" t="str" cm="1">
        <f t="array" ref="L274">IFERROR(VLOOKUP($A274,'The List'!$B1:$AS671,19,FALSE)," ")</f>
        <v xml:space="preserve"> </v>
      </c>
      <c r="M274" s="85" t="str" cm="1">
        <f t="array" ref="M274">IFERROR(VLOOKUP($A274,'The List'!$B1:$AS671,20,FALSE)," ")</f>
        <v xml:space="preserve"> </v>
      </c>
      <c r="N274" s="85" t="str" cm="1">
        <f t="array" ref="N274">IFERROR(VLOOKUP($A274,'The List'!$B1:$AS671,21,FALSE)," ")</f>
        <v xml:space="preserve"> </v>
      </c>
      <c r="O274" s="85" t="str" cm="1">
        <f t="array" ref="O274">IFERROR(VLOOKUP($A274,'The List'!$B1:$AS671,22,FALSE)," ")</f>
        <v xml:space="preserve"> </v>
      </c>
      <c r="P274" s="85" t="str" cm="1">
        <f t="array" ref="P274">IFERROR(VLOOKUP($A274,'The List'!$B1:$AS671,23,FALSE)," ")</f>
        <v xml:space="preserve"> </v>
      </c>
      <c r="Q274" s="85" t="str" cm="1">
        <f t="array" ref="Q274">IFERROR(VLOOKUP($A274,'The List'!$B1:$AS671,24,FALSE)," ")</f>
        <v xml:space="preserve"> </v>
      </c>
      <c r="R274" s="85" t="str" cm="1">
        <f t="array" ref="R274">IFERROR(VLOOKUP($A274,'The List'!$B1:$AS671,25,FALSE)," ")</f>
        <v xml:space="preserve"> </v>
      </c>
      <c r="S274" s="85" t="str" cm="1">
        <f t="array" ref="S274">IFERROR(VLOOKUP($A274,'The List'!$B1:$AS671,26,FALSE)," ")</f>
        <v xml:space="preserve"> </v>
      </c>
      <c r="T274" s="85" t="str" cm="1">
        <f t="array" ref="T274">IFERROR(VLOOKUP($A274,'The List'!$B1:$AS671,27,FALSE)," ")</f>
        <v xml:space="preserve"> </v>
      </c>
      <c r="U274" s="85" t="str" cm="1">
        <f t="array" ref="U274">IFERROR(VLOOKUP($A274,'The List'!$B1:$AS671,28,FALSE)," ")</f>
        <v xml:space="preserve"> </v>
      </c>
      <c r="V274" s="85" t="str" cm="1">
        <f t="array" ref="V274">IFERROR(VLOOKUP($A274,'The List'!$B1:$AS671,29,FALSE)," ")</f>
        <v xml:space="preserve"> </v>
      </c>
      <c r="W274" s="85" t="str" cm="1">
        <f t="array" ref="W274">IFERROR(VLOOKUP($A274,'The List'!$B1:$AS671,30,FALSE)," ")</f>
        <v xml:space="preserve"> </v>
      </c>
      <c r="X274" s="85" t="str" cm="1">
        <f t="array" ref="X274">IFERROR(VLOOKUP($A274,'The List'!$B1:$AS671,31,FALSE)," ")</f>
        <v xml:space="preserve"> </v>
      </c>
      <c r="Y274" s="85" t="str" cm="1">
        <f t="array" ref="Y274">IFERROR(VLOOKUP($A274,'The List'!$B1:$AS671,32,FALSE)," ")</f>
        <v xml:space="preserve"> </v>
      </c>
      <c r="Z274" s="85" t="str" cm="1">
        <f t="array" ref="Z274">IFERROR(VLOOKUP($A274,'The List'!$B1:$AS671,33,FALSE)," ")</f>
        <v xml:space="preserve"> </v>
      </c>
      <c r="AA274" s="86"/>
      <c r="AB274" s="91"/>
      <c r="AC274" s="91"/>
      <c r="AD274" s="91"/>
      <c r="AE274" s="91"/>
      <c r="AF274" s="91"/>
    </row>
    <row r="275" spans="1:32" ht="21.25" customHeight="1" x14ac:dyDescent="0.15">
      <c r="A275" s="24"/>
      <c r="B275" s="100" t="str" cm="1">
        <f t="array" ref="B275">IFERROR(VLOOKUP($A275,'The List'!$B1:$AS671,3,FALSE)," ")</f>
        <v xml:space="preserve"> </v>
      </c>
      <c r="C275" s="102" t="str" cm="1">
        <f t="array" ref="C275">IFERROR(VLOOKUP($A275,'The List'!$B1:$AS671,4,FALSE)," ")</f>
        <v xml:space="preserve"> </v>
      </c>
      <c r="D275" s="18" t="str" cm="1">
        <f t="array" ref="D275">IFERROR(VLOOKUP($A275,'The List'!$B1:$AS671,5,FALSE)," ")</f>
        <v xml:space="preserve"> </v>
      </c>
      <c r="E275" s="18" t="str" cm="1">
        <f t="array" ref="E275">IFERROR(VLOOKUP($A275,'The List'!$B1:$AS671,6,FALSE)," ")</f>
        <v xml:space="preserve"> </v>
      </c>
      <c r="F275" s="93" t="str" cm="1">
        <f t="array" ref="F275">IFERROR(VLOOKUP($A275,'The List'!$B1:$AS671,8,FALSE)," ")</f>
        <v xml:space="preserve"> </v>
      </c>
      <c r="G275" s="93" t="str" cm="1">
        <f t="array" ref="G275">IFERROR(VLOOKUP($A275,'The List'!$B1:$AS671,10,FALSE)," ")</f>
        <v xml:space="preserve"> </v>
      </c>
      <c r="H275" s="55"/>
      <c r="I275" s="85" t="str" cm="1">
        <f t="array" ref="I275">IFERROR(VLOOKUP($A275,'The List'!$B1:$AS671,16,FALSE)," ")</f>
        <v xml:space="preserve"> </v>
      </c>
      <c r="J275" s="85" t="str" cm="1">
        <f t="array" ref="J275">IFERROR(VLOOKUP($A275,'The List'!$B1:$AS671,17,FALSE)," ")</f>
        <v xml:space="preserve"> </v>
      </c>
      <c r="K275" s="85" t="str" cm="1">
        <f t="array" ref="K275">IFERROR(VLOOKUP($A275,'The List'!$B1:$AS671,18,FALSE)," ")</f>
        <v xml:space="preserve"> </v>
      </c>
      <c r="L275" s="85" t="str" cm="1">
        <f t="array" ref="L275">IFERROR(VLOOKUP($A275,'The List'!$B1:$AS671,19,FALSE)," ")</f>
        <v xml:space="preserve"> </v>
      </c>
      <c r="M275" s="85" t="str" cm="1">
        <f t="array" ref="M275">IFERROR(VLOOKUP($A275,'The List'!$B1:$AS671,20,FALSE)," ")</f>
        <v xml:space="preserve"> </v>
      </c>
      <c r="N275" s="85" t="str" cm="1">
        <f t="array" ref="N275">IFERROR(VLOOKUP($A275,'The List'!$B1:$AS671,21,FALSE)," ")</f>
        <v xml:space="preserve"> </v>
      </c>
      <c r="O275" s="85" t="str" cm="1">
        <f t="array" ref="O275">IFERROR(VLOOKUP($A275,'The List'!$B1:$AS671,22,FALSE)," ")</f>
        <v xml:space="preserve"> </v>
      </c>
      <c r="P275" s="85" t="str" cm="1">
        <f t="array" ref="P275">IFERROR(VLOOKUP($A275,'The List'!$B1:$AS671,23,FALSE)," ")</f>
        <v xml:space="preserve"> </v>
      </c>
      <c r="Q275" s="85" t="str" cm="1">
        <f t="array" ref="Q275">IFERROR(VLOOKUP($A275,'The List'!$B1:$AS671,24,FALSE)," ")</f>
        <v xml:space="preserve"> </v>
      </c>
      <c r="R275" s="85" t="str" cm="1">
        <f t="array" ref="R275">IFERROR(VLOOKUP($A275,'The List'!$B1:$AS671,25,FALSE)," ")</f>
        <v xml:space="preserve"> </v>
      </c>
      <c r="S275" s="85" t="str" cm="1">
        <f t="array" ref="S275">IFERROR(VLOOKUP($A275,'The List'!$B1:$AS671,26,FALSE)," ")</f>
        <v xml:space="preserve"> </v>
      </c>
      <c r="T275" s="85" t="str" cm="1">
        <f t="array" ref="T275">IFERROR(VLOOKUP($A275,'The List'!$B1:$AS671,27,FALSE)," ")</f>
        <v xml:space="preserve"> </v>
      </c>
      <c r="U275" s="85" t="str" cm="1">
        <f t="array" ref="U275">IFERROR(VLOOKUP($A275,'The List'!$B1:$AS671,28,FALSE)," ")</f>
        <v xml:space="preserve"> </v>
      </c>
      <c r="V275" s="85" t="str" cm="1">
        <f t="array" ref="V275">IFERROR(VLOOKUP($A275,'The List'!$B1:$AS671,29,FALSE)," ")</f>
        <v xml:space="preserve"> </v>
      </c>
      <c r="W275" s="85" t="str" cm="1">
        <f t="array" ref="W275">IFERROR(VLOOKUP($A275,'The List'!$B1:$AS671,30,FALSE)," ")</f>
        <v xml:space="preserve"> </v>
      </c>
      <c r="X275" s="85" t="str" cm="1">
        <f t="array" ref="X275">IFERROR(VLOOKUP($A275,'The List'!$B1:$AS671,31,FALSE)," ")</f>
        <v xml:space="preserve"> </v>
      </c>
      <c r="Y275" s="85" t="str" cm="1">
        <f t="array" ref="Y275">IFERROR(VLOOKUP($A275,'The List'!$B1:$AS671,32,FALSE)," ")</f>
        <v xml:space="preserve"> </v>
      </c>
      <c r="Z275" s="85" t="str" cm="1">
        <f t="array" ref="Z275">IFERROR(VLOOKUP($A275,'The List'!$B1:$AS671,33,FALSE)," ")</f>
        <v xml:space="preserve"> </v>
      </c>
      <c r="AA275" s="86"/>
      <c r="AB275" s="91"/>
      <c r="AC275" s="91"/>
      <c r="AD275" s="91"/>
      <c r="AE275" s="91"/>
      <c r="AF275" s="91"/>
    </row>
    <row r="276" spans="1:32" ht="21.25" customHeight="1" x14ac:dyDescent="0.15">
      <c r="A276" s="24"/>
      <c r="B276" s="100" t="str" cm="1">
        <f t="array" ref="B276">IFERROR(VLOOKUP($A276,'The List'!$B1:$AS671,3,FALSE)," ")</f>
        <v xml:space="preserve"> </v>
      </c>
      <c r="C276" s="102" t="str" cm="1">
        <f t="array" ref="C276">IFERROR(VLOOKUP($A276,'The List'!$B1:$AS671,4,FALSE)," ")</f>
        <v xml:space="preserve"> </v>
      </c>
      <c r="D276" s="18" t="str" cm="1">
        <f t="array" ref="D276">IFERROR(VLOOKUP($A276,'The List'!$B1:$AS671,5,FALSE)," ")</f>
        <v xml:space="preserve"> </v>
      </c>
      <c r="E276" s="18" t="str" cm="1">
        <f t="array" ref="E276">IFERROR(VLOOKUP($A276,'The List'!$B1:$AS671,6,FALSE)," ")</f>
        <v xml:space="preserve"> </v>
      </c>
      <c r="F276" s="93" t="str" cm="1">
        <f t="array" ref="F276">IFERROR(VLOOKUP($A276,'The List'!$B1:$AS671,8,FALSE)," ")</f>
        <v xml:space="preserve"> </v>
      </c>
      <c r="G276" s="93" t="str" cm="1">
        <f t="array" ref="G276">IFERROR(VLOOKUP($A276,'The List'!$B1:$AS671,10,FALSE)," ")</f>
        <v xml:space="preserve"> </v>
      </c>
      <c r="H276" s="55"/>
      <c r="I276" s="85" t="str" cm="1">
        <f t="array" ref="I276">IFERROR(VLOOKUP($A276,'The List'!$B1:$AS671,16,FALSE)," ")</f>
        <v xml:space="preserve"> </v>
      </c>
      <c r="J276" s="85" t="str" cm="1">
        <f t="array" ref="J276">IFERROR(VLOOKUP($A276,'The List'!$B1:$AS671,17,FALSE)," ")</f>
        <v xml:space="preserve"> </v>
      </c>
      <c r="K276" s="85" t="str" cm="1">
        <f t="array" ref="K276">IFERROR(VLOOKUP($A276,'The List'!$B1:$AS671,18,FALSE)," ")</f>
        <v xml:space="preserve"> </v>
      </c>
      <c r="L276" s="85" t="str" cm="1">
        <f t="array" ref="L276">IFERROR(VLOOKUP($A276,'The List'!$B1:$AS671,19,FALSE)," ")</f>
        <v xml:space="preserve"> </v>
      </c>
      <c r="M276" s="85" t="str" cm="1">
        <f t="array" ref="M276">IFERROR(VLOOKUP($A276,'The List'!$B1:$AS671,20,FALSE)," ")</f>
        <v xml:space="preserve"> </v>
      </c>
      <c r="N276" s="85" t="str" cm="1">
        <f t="array" ref="N276">IFERROR(VLOOKUP($A276,'The List'!$B1:$AS671,21,FALSE)," ")</f>
        <v xml:space="preserve"> </v>
      </c>
      <c r="O276" s="85" t="str" cm="1">
        <f t="array" ref="O276">IFERROR(VLOOKUP($A276,'The List'!$B1:$AS671,22,FALSE)," ")</f>
        <v xml:space="preserve"> </v>
      </c>
      <c r="P276" s="85" t="str" cm="1">
        <f t="array" ref="P276">IFERROR(VLOOKUP($A276,'The List'!$B1:$AS671,23,FALSE)," ")</f>
        <v xml:space="preserve"> </v>
      </c>
      <c r="Q276" s="85" t="str" cm="1">
        <f t="array" ref="Q276">IFERROR(VLOOKUP($A276,'The List'!$B1:$AS671,24,FALSE)," ")</f>
        <v xml:space="preserve"> </v>
      </c>
      <c r="R276" s="85" t="str" cm="1">
        <f t="array" ref="R276">IFERROR(VLOOKUP($A276,'The List'!$B1:$AS671,25,FALSE)," ")</f>
        <v xml:space="preserve"> </v>
      </c>
      <c r="S276" s="85" t="str" cm="1">
        <f t="array" ref="S276">IFERROR(VLOOKUP($A276,'The List'!$B1:$AS671,26,FALSE)," ")</f>
        <v xml:space="preserve"> </v>
      </c>
      <c r="T276" s="85" t="str" cm="1">
        <f t="array" ref="T276">IFERROR(VLOOKUP($A276,'The List'!$B1:$AS671,27,FALSE)," ")</f>
        <v xml:space="preserve"> </v>
      </c>
      <c r="U276" s="85" t="str" cm="1">
        <f t="array" ref="U276">IFERROR(VLOOKUP($A276,'The List'!$B1:$AS671,28,FALSE)," ")</f>
        <v xml:space="preserve"> </v>
      </c>
      <c r="V276" s="85" t="str" cm="1">
        <f t="array" ref="V276">IFERROR(VLOOKUP($A276,'The List'!$B1:$AS671,29,FALSE)," ")</f>
        <v xml:space="preserve"> </v>
      </c>
      <c r="W276" s="85" t="str" cm="1">
        <f t="array" ref="W276">IFERROR(VLOOKUP($A276,'The List'!$B1:$AS671,30,FALSE)," ")</f>
        <v xml:space="preserve"> </v>
      </c>
      <c r="X276" s="85" t="str" cm="1">
        <f t="array" ref="X276">IFERROR(VLOOKUP($A276,'The List'!$B1:$AS671,31,FALSE)," ")</f>
        <v xml:space="preserve"> </v>
      </c>
      <c r="Y276" s="85" t="str" cm="1">
        <f t="array" ref="Y276">IFERROR(VLOOKUP($A276,'The List'!$B1:$AS671,32,FALSE)," ")</f>
        <v xml:space="preserve"> </v>
      </c>
      <c r="Z276" s="85" t="str" cm="1">
        <f t="array" ref="Z276">IFERROR(VLOOKUP($A276,'The List'!$B1:$AS671,33,FALSE)," ")</f>
        <v xml:space="preserve"> </v>
      </c>
      <c r="AA276" s="86"/>
      <c r="AB276" s="91"/>
      <c r="AC276" s="91"/>
      <c r="AD276" s="91"/>
      <c r="AE276" s="91"/>
      <c r="AF276" s="91"/>
    </row>
    <row r="277" spans="1:32" ht="21.25" customHeight="1" x14ac:dyDescent="0.15">
      <c r="A277" s="24"/>
      <c r="B277" s="100" t="str" cm="1">
        <f t="array" ref="B277">IFERROR(VLOOKUP($A277,'The List'!$B1:$AS671,3,FALSE)," ")</f>
        <v xml:space="preserve"> </v>
      </c>
      <c r="C277" s="102" t="str" cm="1">
        <f t="array" ref="C277">IFERROR(VLOOKUP($A277,'The List'!$B1:$AS671,4,FALSE)," ")</f>
        <v xml:space="preserve"> </v>
      </c>
      <c r="D277" s="18" t="str" cm="1">
        <f t="array" ref="D277">IFERROR(VLOOKUP($A277,'The List'!$B1:$AS671,5,FALSE)," ")</f>
        <v xml:space="preserve"> </v>
      </c>
      <c r="E277" s="18" t="str" cm="1">
        <f t="array" ref="E277">IFERROR(VLOOKUP($A277,'The List'!$B1:$AS671,6,FALSE)," ")</f>
        <v xml:space="preserve"> </v>
      </c>
      <c r="F277" s="93" t="str" cm="1">
        <f t="array" ref="F277">IFERROR(VLOOKUP($A277,'The List'!$B1:$AS671,8,FALSE)," ")</f>
        <v xml:space="preserve"> </v>
      </c>
      <c r="G277" s="93" t="str" cm="1">
        <f t="array" ref="G277">IFERROR(VLOOKUP($A277,'The List'!$B1:$AS671,10,FALSE)," ")</f>
        <v xml:space="preserve"> </v>
      </c>
      <c r="H277" s="55"/>
      <c r="I277" s="85" t="str" cm="1">
        <f t="array" ref="I277">IFERROR(VLOOKUP($A277,'The List'!$B1:$AS671,16,FALSE)," ")</f>
        <v xml:space="preserve"> </v>
      </c>
      <c r="J277" s="85" t="str" cm="1">
        <f t="array" ref="J277">IFERROR(VLOOKUP($A277,'The List'!$B1:$AS671,17,FALSE)," ")</f>
        <v xml:space="preserve"> </v>
      </c>
      <c r="K277" s="85" t="str" cm="1">
        <f t="array" ref="K277">IFERROR(VLOOKUP($A277,'The List'!$B1:$AS671,18,FALSE)," ")</f>
        <v xml:space="preserve"> </v>
      </c>
      <c r="L277" s="85" t="str" cm="1">
        <f t="array" ref="L277">IFERROR(VLOOKUP($A277,'The List'!$B1:$AS671,19,FALSE)," ")</f>
        <v xml:space="preserve"> </v>
      </c>
      <c r="M277" s="85" t="str" cm="1">
        <f t="array" ref="M277">IFERROR(VLOOKUP($A277,'The List'!$B1:$AS671,20,FALSE)," ")</f>
        <v xml:space="preserve"> </v>
      </c>
      <c r="N277" s="85" t="str" cm="1">
        <f t="array" ref="N277">IFERROR(VLOOKUP($A277,'The List'!$B1:$AS671,21,FALSE)," ")</f>
        <v xml:space="preserve"> </v>
      </c>
      <c r="O277" s="85" t="str" cm="1">
        <f t="array" ref="O277">IFERROR(VLOOKUP($A277,'The List'!$B1:$AS671,22,FALSE)," ")</f>
        <v xml:space="preserve"> </v>
      </c>
      <c r="P277" s="85" t="str" cm="1">
        <f t="array" ref="P277">IFERROR(VLOOKUP($A277,'The List'!$B1:$AS671,23,FALSE)," ")</f>
        <v xml:space="preserve"> </v>
      </c>
      <c r="Q277" s="85" t="str" cm="1">
        <f t="array" ref="Q277">IFERROR(VLOOKUP($A277,'The List'!$B1:$AS671,24,FALSE)," ")</f>
        <v xml:space="preserve"> </v>
      </c>
      <c r="R277" s="85" t="str" cm="1">
        <f t="array" ref="R277">IFERROR(VLOOKUP($A277,'The List'!$B1:$AS671,25,FALSE)," ")</f>
        <v xml:space="preserve"> </v>
      </c>
      <c r="S277" s="85" t="str" cm="1">
        <f t="array" ref="S277">IFERROR(VLOOKUP($A277,'The List'!$B1:$AS671,26,FALSE)," ")</f>
        <v xml:space="preserve"> </v>
      </c>
      <c r="T277" s="85" t="str" cm="1">
        <f t="array" ref="T277">IFERROR(VLOOKUP($A277,'The List'!$B1:$AS671,27,FALSE)," ")</f>
        <v xml:space="preserve"> </v>
      </c>
      <c r="U277" s="85" t="str" cm="1">
        <f t="array" ref="U277">IFERROR(VLOOKUP($A277,'The List'!$B1:$AS671,28,FALSE)," ")</f>
        <v xml:space="preserve"> </v>
      </c>
      <c r="V277" s="85" t="str" cm="1">
        <f t="array" ref="V277">IFERROR(VLOOKUP($A277,'The List'!$B1:$AS671,29,FALSE)," ")</f>
        <v xml:space="preserve"> </v>
      </c>
      <c r="W277" s="85" t="str" cm="1">
        <f t="array" ref="W277">IFERROR(VLOOKUP($A277,'The List'!$B1:$AS671,30,FALSE)," ")</f>
        <v xml:space="preserve"> </v>
      </c>
      <c r="X277" s="85" t="str" cm="1">
        <f t="array" ref="X277">IFERROR(VLOOKUP($A277,'The List'!$B1:$AS671,31,FALSE)," ")</f>
        <v xml:space="preserve"> </v>
      </c>
      <c r="Y277" s="85" t="str" cm="1">
        <f t="array" ref="Y277">IFERROR(VLOOKUP($A277,'The List'!$B1:$AS671,32,FALSE)," ")</f>
        <v xml:space="preserve"> </v>
      </c>
      <c r="Z277" s="85" t="str" cm="1">
        <f t="array" ref="Z277">IFERROR(VLOOKUP($A277,'The List'!$B1:$AS671,33,FALSE)," ")</f>
        <v xml:space="preserve"> </v>
      </c>
      <c r="AA277" s="86"/>
      <c r="AB277" s="91"/>
      <c r="AC277" s="91"/>
      <c r="AD277" s="91"/>
      <c r="AE277" s="91"/>
      <c r="AF277" s="91"/>
    </row>
    <row r="278" spans="1:32" ht="21.25" customHeight="1" x14ac:dyDescent="0.15">
      <c r="A278" s="24"/>
      <c r="B278" s="100" t="str" cm="1">
        <f t="array" ref="B278">IFERROR(VLOOKUP($A278,'The List'!$B1:$AS671,3,FALSE)," ")</f>
        <v xml:space="preserve"> </v>
      </c>
      <c r="C278" s="102" t="str" cm="1">
        <f t="array" ref="C278">IFERROR(VLOOKUP($A278,'The List'!$B1:$AS671,4,FALSE)," ")</f>
        <v xml:space="preserve"> </v>
      </c>
      <c r="D278" s="18" t="str" cm="1">
        <f t="array" ref="D278">IFERROR(VLOOKUP($A278,'The List'!$B1:$AS671,5,FALSE)," ")</f>
        <v xml:space="preserve"> </v>
      </c>
      <c r="E278" s="18" t="str" cm="1">
        <f t="array" ref="E278">IFERROR(VLOOKUP($A278,'The List'!$B1:$AS671,6,FALSE)," ")</f>
        <v xml:space="preserve"> </v>
      </c>
      <c r="F278" s="93" t="str" cm="1">
        <f t="array" ref="F278">IFERROR(VLOOKUP($A278,'The List'!$B1:$AS671,8,FALSE)," ")</f>
        <v xml:space="preserve"> </v>
      </c>
      <c r="G278" s="93" t="str" cm="1">
        <f t="array" ref="G278">IFERROR(VLOOKUP($A278,'The List'!$B1:$AS671,10,FALSE)," ")</f>
        <v xml:space="preserve"> </v>
      </c>
      <c r="H278" s="55"/>
      <c r="I278" s="85" t="str" cm="1">
        <f t="array" ref="I278">IFERROR(VLOOKUP($A278,'The List'!$B1:$AS671,16,FALSE)," ")</f>
        <v xml:space="preserve"> </v>
      </c>
      <c r="J278" s="85" t="str" cm="1">
        <f t="array" ref="J278">IFERROR(VLOOKUP($A278,'The List'!$B1:$AS671,17,FALSE)," ")</f>
        <v xml:space="preserve"> </v>
      </c>
      <c r="K278" s="85" t="str" cm="1">
        <f t="array" ref="K278">IFERROR(VLOOKUP($A278,'The List'!$B1:$AS671,18,FALSE)," ")</f>
        <v xml:space="preserve"> </v>
      </c>
      <c r="L278" s="85" t="str" cm="1">
        <f t="array" ref="L278">IFERROR(VLOOKUP($A278,'The List'!$B1:$AS671,19,FALSE)," ")</f>
        <v xml:space="preserve"> </v>
      </c>
      <c r="M278" s="85" t="str" cm="1">
        <f t="array" ref="M278">IFERROR(VLOOKUP($A278,'The List'!$B1:$AS671,20,FALSE)," ")</f>
        <v xml:space="preserve"> </v>
      </c>
      <c r="N278" s="85" t="str" cm="1">
        <f t="array" ref="N278">IFERROR(VLOOKUP($A278,'The List'!$B1:$AS671,21,FALSE)," ")</f>
        <v xml:space="preserve"> </v>
      </c>
      <c r="O278" s="85" t="str" cm="1">
        <f t="array" ref="O278">IFERROR(VLOOKUP($A278,'The List'!$B1:$AS671,22,FALSE)," ")</f>
        <v xml:space="preserve"> </v>
      </c>
      <c r="P278" s="85" t="str" cm="1">
        <f t="array" ref="P278">IFERROR(VLOOKUP($A278,'The List'!$B1:$AS671,23,FALSE)," ")</f>
        <v xml:space="preserve"> </v>
      </c>
      <c r="Q278" s="85" t="str" cm="1">
        <f t="array" ref="Q278">IFERROR(VLOOKUP($A278,'The List'!$B1:$AS671,24,FALSE)," ")</f>
        <v xml:space="preserve"> </v>
      </c>
      <c r="R278" s="85" t="str" cm="1">
        <f t="array" ref="R278">IFERROR(VLOOKUP($A278,'The List'!$B1:$AS671,25,FALSE)," ")</f>
        <v xml:space="preserve"> </v>
      </c>
      <c r="S278" s="85" t="str" cm="1">
        <f t="array" ref="S278">IFERROR(VLOOKUP($A278,'The List'!$B1:$AS671,26,FALSE)," ")</f>
        <v xml:space="preserve"> </v>
      </c>
      <c r="T278" s="85" t="str" cm="1">
        <f t="array" ref="T278">IFERROR(VLOOKUP($A278,'The List'!$B1:$AS671,27,FALSE)," ")</f>
        <v xml:space="preserve"> </v>
      </c>
      <c r="U278" s="85" t="str" cm="1">
        <f t="array" ref="U278">IFERROR(VLOOKUP($A278,'The List'!$B1:$AS671,28,FALSE)," ")</f>
        <v xml:space="preserve"> </v>
      </c>
      <c r="V278" s="85" t="str" cm="1">
        <f t="array" ref="V278">IFERROR(VLOOKUP($A278,'The List'!$B1:$AS671,29,FALSE)," ")</f>
        <v xml:space="preserve"> </v>
      </c>
      <c r="W278" s="85" t="str" cm="1">
        <f t="array" ref="W278">IFERROR(VLOOKUP($A278,'The List'!$B1:$AS671,30,FALSE)," ")</f>
        <v xml:space="preserve"> </v>
      </c>
      <c r="X278" s="85" t="str" cm="1">
        <f t="array" ref="X278">IFERROR(VLOOKUP($A278,'The List'!$B1:$AS671,31,FALSE)," ")</f>
        <v xml:space="preserve"> </v>
      </c>
      <c r="Y278" s="85" t="str" cm="1">
        <f t="array" ref="Y278">IFERROR(VLOOKUP($A278,'The List'!$B1:$AS671,32,FALSE)," ")</f>
        <v xml:space="preserve"> </v>
      </c>
      <c r="Z278" s="85" t="str" cm="1">
        <f t="array" ref="Z278">IFERROR(VLOOKUP($A278,'The List'!$B1:$AS671,33,FALSE)," ")</f>
        <v xml:space="preserve"> </v>
      </c>
      <c r="AA278" s="86"/>
      <c r="AB278" s="91"/>
      <c r="AC278" s="91"/>
      <c r="AD278" s="91"/>
      <c r="AE278" s="91"/>
      <c r="AF278" s="91"/>
    </row>
    <row r="279" spans="1:32" ht="21.25" customHeight="1" x14ac:dyDescent="0.15">
      <c r="A279" s="24"/>
      <c r="B279" s="100" t="str" cm="1">
        <f t="array" ref="B279">IFERROR(VLOOKUP($A279,'The List'!$B1:$AS671,3,FALSE)," ")</f>
        <v xml:space="preserve"> </v>
      </c>
      <c r="C279" s="102" t="str" cm="1">
        <f t="array" ref="C279">IFERROR(VLOOKUP($A279,'The List'!$B1:$AS671,4,FALSE)," ")</f>
        <v xml:space="preserve"> </v>
      </c>
      <c r="D279" s="18" t="str" cm="1">
        <f t="array" ref="D279">IFERROR(VLOOKUP($A279,'The List'!$B1:$AS671,5,FALSE)," ")</f>
        <v xml:space="preserve"> </v>
      </c>
      <c r="E279" s="18" t="str" cm="1">
        <f t="array" ref="E279">IFERROR(VLOOKUP($A279,'The List'!$B1:$AS671,6,FALSE)," ")</f>
        <v xml:space="preserve"> </v>
      </c>
      <c r="F279" s="93" t="str" cm="1">
        <f t="array" ref="F279">IFERROR(VLOOKUP($A279,'The List'!$B1:$AS671,8,FALSE)," ")</f>
        <v xml:space="preserve"> </v>
      </c>
      <c r="G279" s="93" t="str" cm="1">
        <f t="array" ref="G279">IFERROR(VLOOKUP($A279,'The List'!$B1:$AS671,10,FALSE)," ")</f>
        <v xml:space="preserve"> </v>
      </c>
      <c r="H279" s="55"/>
      <c r="I279" s="85" t="str" cm="1">
        <f t="array" ref="I279">IFERROR(VLOOKUP($A279,'The List'!$B1:$AS671,16,FALSE)," ")</f>
        <v xml:space="preserve"> </v>
      </c>
      <c r="J279" s="85" t="str" cm="1">
        <f t="array" ref="J279">IFERROR(VLOOKUP($A279,'The List'!$B1:$AS671,17,FALSE)," ")</f>
        <v xml:space="preserve"> </v>
      </c>
      <c r="K279" s="85" t="str" cm="1">
        <f t="array" ref="K279">IFERROR(VLOOKUP($A279,'The List'!$B1:$AS671,18,FALSE)," ")</f>
        <v xml:space="preserve"> </v>
      </c>
      <c r="L279" s="85" t="str" cm="1">
        <f t="array" ref="L279">IFERROR(VLOOKUP($A279,'The List'!$B1:$AS671,19,FALSE)," ")</f>
        <v xml:space="preserve"> </v>
      </c>
      <c r="M279" s="85" t="str" cm="1">
        <f t="array" ref="M279">IFERROR(VLOOKUP($A279,'The List'!$B1:$AS671,20,FALSE)," ")</f>
        <v xml:space="preserve"> </v>
      </c>
      <c r="N279" s="85" t="str" cm="1">
        <f t="array" ref="N279">IFERROR(VLOOKUP($A279,'The List'!$B1:$AS671,21,FALSE)," ")</f>
        <v xml:space="preserve"> </v>
      </c>
      <c r="O279" s="85" t="str" cm="1">
        <f t="array" ref="O279">IFERROR(VLOOKUP($A279,'The List'!$B1:$AS671,22,FALSE)," ")</f>
        <v xml:space="preserve"> </v>
      </c>
      <c r="P279" s="85" t="str" cm="1">
        <f t="array" ref="P279">IFERROR(VLOOKUP($A279,'The List'!$B1:$AS671,23,FALSE)," ")</f>
        <v xml:space="preserve"> </v>
      </c>
      <c r="Q279" s="85" t="str" cm="1">
        <f t="array" ref="Q279">IFERROR(VLOOKUP($A279,'The List'!$B1:$AS671,24,FALSE)," ")</f>
        <v xml:space="preserve"> </v>
      </c>
      <c r="R279" s="85" t="str" cm="1">
        <f t="array" ref="R279">IFERROR(VLOOKUP($A279,'The List'!$B1:$AS671,25,FALSE)," ")</f>
        <v xml:space="preserve"> </v>
      </c>
      <c r="S279" s="85" t="str" cm="1">
        <f t="array" ref="S279">IFERROR(VLOOKUP($A279,'The List'!$B1:$AS671,26,FALSE)," ")</f>
        <v xml:space="preserve"> </v>
      </c>
      <c r="T279" s="85" t="str" cm="1">
        <f t="array" ref="T279">IFERROR(VLOOKUP($A279,'The List'!$B1:$AS671,27,FALSE)," ")</f>
        <v xml:space="preserve"> </v>
      </c>
      <c r="U279" s="85" t="str" cm="1">
        <f t="array" ref="U279">IFERROR(VLOOKUP($A279,'The List'!$B1:$AS671,28,FALSE)," ")</f>
        <v xml:space="preserve"> </v>
      </c>
      <c r="V279" s="85" t="str" cm="1">
        <f t="array" ref="V279">IFERROR(VLOOKUP($A279,'The List'!$B1:$AS671,29,FALSE)," ")</f>
        <v xml:space="preserve"> </v>
      </c>
      <c r="W279" s="85" t="str" cm="1">
        <f t="array" ref="W279">IFERROR(VLOOKUP($A279,'The List'!$B1:$AS671,30,FALSE)," ")</f>
        <v xml:space="preserve"> </v>
      </c>
      <c r="X279" s="85" t="str" cm="1">
        <f t="array" ref="X279">IFERROR(VLOOKUP($A279,'The List'!$B1:$AS671,31,FALSE)," ")</f>
        <v xml:space="preserve"> </v>
      </c>
      <c r="Y279" s="85" t="str" cm="1">
        <f t="array" ref="Y279">IFERROR(VLOOKUP($A279,'The List'!$B1:$AS671,32,FALSE)," ")</f>
        <v xml:space="preserve"> </v>
      </c>
      <c r="Z279" s="85" t="str" cm="1">
        <f t="array" ref="Z279">IFERROR(VLOOKUP($A279,'The List'!$B1:$AS671,33,FALSE)," ")</f>
        <v xml:space="preserve"> </v>
      </c>
      <c r="AA279" s="86"/>
      <c r="AB279" s="91"/>
      <c r="AC279" s="91"/>
      <c r="AD279" s="91"/>
      <c r="AE279" s="91"/>
      <c r="AF279" s="91"/>
    </row>
    <row r="280" spans="1:32" ht="21.25" customHeight="1" x14ac:dyDescent="0.15">
      <c r="A280" s="24"/>
      <c r="B280" s="100" t="str" cm="1">
        <f t="array" ref="B280">IFERROR(VLOOKUP($A280,'The List'!$B1:$AS671,3,FALSE)," ")</f>
        <v xml:space="preserve"> </v>
      </c>
      <c r="C280" s="102" t="str" cm="1">
        <f t="array" ref="C280">IFERROR(VLOOKUP($A280,'The List'!$B1:$AS671,4,FALSE)," ")</f>
        <v xml:space="preserve"> </v>
      </c>
      <c r="D280" s="18" t="str" cm="1">
        <f t="array" ref="D280">IFERROR(VLOOKUP($A280,'The List'!$B1:$AS671,5,FALSE)," ")</f>
        <v xml:space="preserve"> </v>
      </c>
      <c r="E280" s="18" t="str" cm="1">
        <f t="array" ref="E280">IFERROR(VLOOKUP($A280,'The List'!$B1:$AS671,6,FALSE)," ")</f>
        <v xml:space="preserve"> </v>
      </c>
      <c r="F280" s="93" t="str" cm="1">
        <f t="array" ref="F280">IFERROR(VLOOKUP($A280,'The List'!$B1:$AS671,8,FALSE)," ")</f>
        <v xml:space="preserve"> </v>
      </c>
      <c r="G280" s="93" t="str" cm="1">
        <f t="array" ref="G280">IFERROR(VLOOKUP($A280,'The List'!$B1:$AS671,10,FALSE)," ")</f>
        <v xml:space="preserve"> </v>
      </c>
      <c r="H280" s="55"/>
      <c r="I280" s="85" t="str" cm="1">
        <f t="array" ref="I280">IFERROR(VLOOKUP($A280,'The List'!$B1:$AS671,16,FALSE)," ")</f>
        <v xml:space="preserve"> </v>
      </c>
      <c r="J280" s="85" t="str" cm="1">
        <f t="array" ref="J280">IFERROR(VLOOKUP($A280,'The List'!$B1:$AS671,17,FALSE)," ")</f>
        <v xml:space="preserve"> </v>
      </c>
      <c r="K280" s="85" t="str" cm="1">
        <f t="array" ref="K280">IFERROR(VLOOKUP($A280,'The List'!$B1:$AS671,18,FALSE)," ")</f>
        <v xml:space="preserve"> </v>
      </c>
      <c r="L280" s="85" t="str" cm="1">
        <f t="array" ref="L280">IFERROR(VLOOKUP($A280,'The List'!$B1:$AS671,19,FALSE)," ")</f>
        <v xml:space="preserve"> </v>
      </c>
      <c r="M280" s="85" t="str" cm="1">
        <f t="array" ref="M280">IFERROR(VLOOKUP($A280,'The List'!$B1:$AS671,20,FALSE)," ")</f>
        <v xml:space="preserve"> </v>
      </c>
      <c r="N280" s="85" t="str" cm="1">
        <f t="array" ref="N280">IFERROR(VLOOKUP($A280,'The List'!$B1:$AS671,21,FALSE)," ")</f>
        <v xml:space="preserve"> </v>
      </c>
      <c r="O280" s="85" t="str" cm="1">
        <f t="array" ref="O280">IFERROR(VLOOKUP($A280,'The List'!$B1:$AS671,22,FALSE)," ")</f>
        <v xml:space="preserve"> </v>
      </c>
      <c r="P280" s="85" t="str" cm="1">
        <f t="array" ref="P280">IFERROR(VLOOKUP($A280,'The List'!$B1:$AS671,23,FALSE)," ")</f>
        <v xml:space="preserve"> </v>
      </c>
      <c r="Q280" s="85" t="str" cm="1">
        <f t="array" ref="Q280">IFERROR(VLOOKUP($A280,'The List'!$B1:$AS671,24,FALSE)," ")</f>
        <v xml:space="preserve"> </v>
      </c>
      <c r="R280" s="85" t="str" cm="1">
        <f t="array" ref="R280">IFERROR(VLOOKUP($A280,'The List'!$B1:$AS671,25,FALSE)," ")</f>
        <v xml:space="preserve"> </v>
      </c>
      <c r="S280" s="85" t="str" cm="1">
        <f t="array" ref="S280">IFERROR(VLOOKUP($A280,'The List'!$B1:$AS671,26,FALSE)," ")</f>
        <v xml:space="preserve"> </v>
      </c>
      <c r="T280" s="85" t="str" cm="1">
        <f t="array" ref="T280">IFERROR(VLOOKUP($A280,'The List'!$B1:$AS671,27,FALSE)," ")</f>
        <v xml:space="preserve"> </v>
      </c>
      <c r="U280" s="85" t="str" cm="1">
        <f t="array" ref="U280">IFERROR(VLOOKUP($A280,'The List'!$B1:$AS671,28,FALSE)," ")</f>
        <v xml:space="preserve"> </v>
      </c>
      <c r="V280" s="85" t="str" cm="1">
        <f t="array" ref="V280">IFERROR(VLOOKUP($A280,'The List'!$B1:$AS671,29,FALSE)," ")</f>
        <v xml:space="preserve"> </v>
      </c>
      <c r="W280" s="85" t="str" cm="1">
        <f t="array" ref="W280">IFERROR(VLOOKUP($A280,'The List'!$B1:$AS671,30,FALSE)," ")</f>
        <v xml:space="preserve"> </v>
      </c>
      <c r="X280" s="85" t="str" cm="1">
        <f t="array" ref="X280">IFERROR(VLOOKUP($A280,'The List'!$B1:$AS671,31,FALSE)," ")</f>
        <v xml:space="preserve"> </v>
      </c>
      <c r="Y280" s="85" t="str" cm="1">
        <f t="array" ref="Y280">IFERROR(VLOOKUP($A280,'The List'!$B1:$AS671,32,FALSE)," ")</f>
        <v xml:space="preserve"> </v>
      </c>
      <c r="Z280" s="85" t="str" cm="1">
        <f t="array" ref="Z280">IFERROR(VLOOKUP($A280,'The List'!$B1:$AS671,33,FALSE)," ")</f>
        <v xml:space="preserve"> </v>
      </c>
      <c r="AA280" s="86"/>
      <c r="AB280" s="91"/>
      <c r="AC280" s="91"/>
      <c r="AD280" s="91"/>
      <c r="AE280" s="91"/>
      <c r="AF280" s="91"/>
    </row>
    <row r="281" spans="1:32" ht="21.25" customHeight="1" x14ac:dyDescent="0.15">
      <c r="A281" s="24"/>
      <c r="B281" s="100" t="str" cm="1">
        <f t="array" ref="B281">IFERROR(VLOOKUP($A281,'The List'!$B1:$AS671,3,FALSE)," ")</f>
        <v xml:space="preserve"> </v>
      </c>
      <c r="C281" s="102" t="str" cm="1">
        <f t="array" ref="C281">IFERROR(VLOOKUP($A281,'The List'!$B1:$AS671,4,FALSE)," ")</f>
        <v xml:space="preserve"> </v>
      </c>
      <c r="D281" s="18" t="str" cm="1">
        <f t="array" ref="D281">IFERROR(VLOOKUP($A281,'The List'!$B1:$AS671,5,FALSE)," ")</f>
        <v xml:space="preserve"> </v>
      </c>
      <c r="E281" s="18" t="str" cm="1">
        <f t="array" ref="E281">IFERROR(VLOOKUP($A281,'The List'!$B1:$AS671,6,FALSE)," ")</f>
        <v xml:space="preserve"> </v>
      </c>
      <c r="F281" s="93" t="str" cm="1">
        <f t="array" ref="F281">IFERROR(VLOOKUP($A281,'The List'!$B1:$AS671,8,FALSE)," ")</f>
        <v xml:space="preserve"> </v>
      </c>
      <c r="G281" s="93" t="str" cm="1">
        <f t="array" ref="G281">IFERROR(VLOOKUP($A281,'The List'!$B1:$AS671,10,FALSE)," ")</f>
        <v xml:space="preserve"> </v>
      </c>
      <c r="H281" s="55"/>
      <c r="I281" s="85" t="str" cm="1">
        <f t="array" ref="I281">IFERROR(VLOOKUP($A281,'The List'!$B1:$AS671,16,FALSE)," ")</f>
        <v xml:space="preserve"> </v>
      </c>
      <c r="J281" s="85" t="str" cm="1">
        <f t="array" ref="J281">IFERROR(VLOOKUP($A281,'The List'!$B1:$AS671,17,FALSE)," ")</f>
        <v xml:space="preserve"> </v>
      </c>
      <c r="K281" s="85" t="str" cm="1">
        <f t="array" ref="K281">IFERROR(VLOOKUP($A281,'The List'!$B1:$AS671,18,FALSE)," ")</f>
        <v xml:space="preserve"> </v>
      </c>
      <c r="L281" s="85" t="str" cm="1">
        <f t="array" ref="L281">IFERROR(VLOOKUP($A281,'The List'!$B1:$AS671,19,FALSE)," ")</f>
        <v xml:space="preserve"> </v>
      </c>
      <c r="M281" s="85" t="str" cm="1">
        <f t="array" ref="M281">IFERROR(VLOOKUP($A281,'The List'!$B1:$AS671,20,FALSE)," ")</f>
        <v xml:space="preserve"> </v>
      </c>
      <c r="N281" s="85" t="str" cm="1">
        <f t="array" ref="N281">IFERROR(VLOOKUP($A281,'The List'!$B1:$AS671,21,FALSE)," ")</f>
        <v xml:space="preserve"> </v>
      </c>
      <c r="O281" s="85" t="str" cm="1">
        <f t="array" ref="O281">IFERROR(VLOOKUP($A281,'The List'!$B1:$AS671,22,FALSE)," ")</f>
        <v xml:space="preserve"> </v>
      </c>
      <c r="P281" s="85" t="str" cm="1">
        <f t="array" ref="P281">IFERROR(VLOOKUP($A281,'The List'!$B1:$AS671,23,FALSE)," ")</f>
        <v xml:space="preserve"> </v>
      </c>
      <c r="Q281" s="85" t="str" cm="1">
        <f t="array" ref="Q281">IFERROR(VLOOKUP($A281,'The List'!$B1:$AS671,24,FALSE)," ")</f>
        <v xml:space="preserve"> </v>
      </c>
      <c r="R281" s="85" t="str" cm="1">
        <f t="array" ref="R281">IFERROR(VLOOKUP($A281,'The List'!$B1:$AS671,25,FALSE)," ")</f>
        <v xml:space="preserve"> </v>
      </c>
      <c r="S281" s="85" t="str" cm="1">
        <f t="array" ref="S281">IFERROR(VLOOKUP($A281,'The List'!$B1:$AS671,26,FALSE)," ")</f>
        <v xml:space="preserve"> </v>
      </c>
      <c r="T281" s="85" t="str" cm="1">
        <f t="array" ref="T281">IFERROR(VLOOKUP($A281,'The List'!$B1:$AS671,27,FALSE)," ")</f>
        <v xml:space="preserve"> </v>
      </c>
      <c r="U281" s="85" t="str" cm="1">
        <f t="array" ref="U281">IFERROR(VLOOKUP($A281,'The List'!$B1:$AS671,28,FALSE)," ")</f>
        <v xml:space="preserve"> </v>
      </c>
      <c r="V281" s="85" t="str" cm="1">
        <f t="array" ref="V281">IFERROR(VLOOKUP($A281,'The List'!$B1:$AS671,29,FALSE)," ")</f>
        <v xml:space="preserve"> </v>
      </c>
      <c r="W281" s="85" t="str" cm="1">
        <f t="array" ref="W281">IFERROR(VLOOKUP($A281,'The List'!$B1:$AS671,30,FALSE)," ")</f>
        <v xml:space="preserve"> </v>
      </c>
      <c r="X281" s="85" t="str" cm="1">
        <f t="array" ref="X281">IFERROR(VLOOKUP($A281,'The List'!$B1:$AS671,31,FALSE)," ")</f>
        <v xml:space="preserve"> </v>
      </c>
      <c r="Y281" s="85" t="str" cm="1">
        <f t="array" ref="Y281">IFERROR(VLOOKUP($A281,'The List'!$B1:$AS671,32,FALSE)," ")</f>
        <v xml:space="preserve"> </v>
      </c>
      <c r="Z281" s="85" t="str" cm="1">
        <f t="array" ref="Z281">IFERROR(VLOOKUP($A281,'The List'!$B1:$AS671,33,FALSE)," ")</f>
        <v xml:space="preserve"> </v>
      </c>
      <c r="AA281" s="86"/>
      <c r="AB281" s="91"/>
      <c r="AC281" s="91"/>
      <c r="AD281" s="91"/>
      <c r="AE281" s="91"/>
      <c r="AF281" s="91"/>
    </row>
    <row r="282" spans="1:32" ht="21.25" customHeight="1" x14ac:dyDescent="0.15">
      <c r="A282" s="104"/>
      <c r="B282" s="105" t="str" cm="1">
        <f t="array" ref="B282">IFERROR(VLOOKUP($A282,'The List'!$B1:$AS671,3,FALSE)," ")</f>
        <v xml:space="preserve"> </v>
      </c>
      <c r="C282" s="106" t="str" cm="1">
        <f t="array" ref="C282">IFERROR(VLOOKUP($A282,'The List'!$B1:$AS671,4,FALSE)," ")</f>
        <v xml:space="preserve"> </v>
      </c>
      <c r="D282" s="107" t="str" cm="1">
        <f t="array" ref="D282">IFERROR(VLOOKUP($A282,'The List'!$B1:$AS671,5,FALSE)," ")</f>
        <v xml:space="preserve"> </v>
      </c>
      <c r="E282" s="107" t="str" cm="1">
        <f t="array" ref="E282">IFERROR(VLOOKUP($A282,'The List'!$B1:$AS671,6,FALSE)," ")</f>
        <v xml:space="preserve"> </v>
      </c>
      <c r="F282" s="108" t="str" cm="1">
        <f t="array" ref="F282">IFERROR(VLOOKUP($A282,'The List'!$B1:$AS671,8,FALSE)," ")</f>
        <v xml:space="preserve"> </v>
      </c>
      <c r="G282" s="108" t="str" cm="1">
        <f t="array" ref="G282">IFERROR(VLOOKUP($A282,'The List'!$B1:$AS671,10,FALSE)," ")</f>
        <v xml:space="preserve"> </v>
      </c>
      <c r="H282" s="109"/>
      <c r="I282" s="110" t="str" cm="1">
        <f t="array" ref="I282">IFERROR(VLOOKUP($A282,'The List'!$B1:$AS671,16,FALSE)," ")</f>
        <v xml:space="preserve"> </v>
      </c>
      <c r="J282" s="110" t="str" cm="1">
        <f t="array" ref="J282">IFERROR(VLOOKUP($A282,'The List'!$B1:$AS671,17,FALSE)," ")</f>
        <v xml:space="preserve"> </v>
      </c>
      <c r="K282" s="110" t="str" cm="1">
        <f t="array" ref="K282">IFERROR(VLOOKUP($A282,'The List'!$B1:$AS671,18,FALSE)," ")</f>
        <v xml:space="preserve"> </v>
      </c>
      <c r="L282" s="110" t="str" cm="1">
        <f t="array" ref="L282">IFERROR(VLOOKUP($A282,'The List'!$B1:$AS671,19,FALSE)," ")</f>
        <v xml:space="preserve"> </v>
      </c>
      <c r="M282" s="110" t="str" cm="1">
        <f t="array" ref="M282">IFERROR(VLOOKUP($A282,'The List'!$B1:$AS671,20,FALSE)," ")</f>
        <v xml:space="preserve"> </v>
      </c>
      <c r="N282" s="110" t="str" cm="1">
        <f t="array" ref="N282">IFERROR(VLOOKUP($A282,'The List'!$B1:$AS671,21,FALSE)," ")</f>
        <v xml:space="preserve"> </v>
      </c>
      <c r="O282" s="110" t="str" cm="1">
        <f t="array" ref="O282">IFERROR(VLOOKUP($A282,'The List'!$B1:$AS671,22,FALSE)," ")</f>
        <v xml:space="preserve"> </v>
      </c>
      <c r="P282" s="110" t="str" cm="1">
        <f t="array" ref="P282">IFERROR(VLOOKUP($A282,'The List'!$B1:$AS671,23,FALSE)," ")</f>
        <v xml:space="preserve"> </v>
      </c>
      <c r="Q282" s="110" t="str" cm="1">
        <f t="array" ref="Q282">IFERROR(VLOOKUP($A282,'The List'!$B1:$AS671,24,FALSE)," ")</f>
        <v xml:space="preserve"> </v>
      </c>
      <c r="R282" s="110" t="str" cm="1">
        <f t="array" ref="R282">IFERROR(VLOOKUP($A282,'The List'!$B1:$AS671,25,FALSE)," ")</f>
        <v xml:space="preserve"> </v>
      </c>
      <c r="S282" s="110" t="str" cm="1">
        <f t="array" ref="S282">IFERROR(VLOOKUP($A282,'The List'!$B1:$AS671,26,FALSE)," ")</f>
        <v xml:space="preserve"> </v>
      </c>
      <c r="T282" s="110" t="str" cm="1">
        <f t="array" ref="T282">IFERROR(VLOOKUP($A282,'The List'!$B1:$AS671,27,FALSE)," ")</f>
        <v xml:space="preserve"> </v>
      </c>
      <c r="U282" s="110" t="str" cm="1">
        <f t="array" ref="U282">IFERROR(VLOOKUP($A282,'The List'!$B1:$AS671,28,FALSE)," ")</f>
        <v xml:space="preserve"> </v>
      </c>
      <c r="V282" s="110" t="str" cm="1">
        <f t="array" ref="V282">IFERROR(VLOOKUP($A282,'The List'!$B1:$AS671,29,FALSE)," ")</f>
        <v xml:space="preserve"> </v>
      </c>
      <c r="W282" s="110" t="str" cm="1">
        <f t="array" ref="W282">IFERROR(VLOOKUP($A282,'The List'!$B1:$AS671,30,FALSE)," ")</f>
        <v xml:space="preserve"> </v>
      </c>
      <c r="X282" s="110" t="str" cm="1">
        <f t="array" ref="X282">IFERROR(VLOOKUP($A282,'The List'!$B1:$AS671,31,FALSE)," ")</f>
        <v xml:space="preserve"> </v>
      </c>
      <c r="Y282" s="110" t="str" cm="1">
        <f t="array" ref="Y282">IFERROR(VLOOKUP($A282,'The List'!$B1:$AS671,32,FALSE)," ")</f>
        <v xml:space="preserve"> </v>
      </c>
      <c r="Z282" s="110" t="str" cm="1">
        <f t="array" ref="Z282">IFERROR(VLOOKUP($A282,'The List'!$B1:$AS671,33,FALSE)," ")</f>
        <v xml:space="preserve"> </v>
      </c>
      <c r="AA282" s="86"/>
      <c r="AB282" s="91"/>
      <c r="AC282" s="91"/>
      <c r="AD282" s="91"/>
      <c r="AE282" s="91"/>
      <c r="AF282" s="91"/>
    </row>
    <row r="283" spans="1:32" ht="21.25" customHeight="1" x14ac:dyDescent="0.15">
      <c r="A283" s="111"/>
      <c r="B283" s="112"/>
      <c r="C283" s="113"/>
      <c r="D283" s="114"/>
      <c r="E283" s="114" t="str" cm="1">
        <f t="array" ref="E283">IFERROR(AVERAGE(E263:E282)," ")</f>
        <v xml:space="preserve"> </v>
      </c>
      <c r="F283" s="116" cm="1">
        <f t="array" ref="F283">SUM(F263:F282)</f>
        <v>0</v>
      </c>
      <c r="G283" s="116" cm="1">
        <f t="array" ref="G283">SUM(G263:G282)</f>
        <v>0</v>
      </c>
      <c r="H283" s="117"/>
      <c r="I283" s="118" cm="1">
        <f t="array" ref="I283">SUM(I263:I282)</f>
        <v>0</v>
      </c>
      <c r="J283" s="117" t="e" cm="1">
        <f t="array" ref="J283">AVERAGE(J263:J282)</f>
        <v>#DIV/0!</v>
      </c>
      <c r="K283" s="118" cm="1">
        <f t="array" ref="K283">SUM(K263:K282)</f>
        <v>0</v>
      </c>
      <c r="L283" s="118" cm="1">
        <f t="array" ref="L283">SUM(L263:L282)</f>
        <v>0</v>
      </c>
      <c r="M283" s="118" cm="1">
        <f t="array" ref="M283">SUM(M263:M282)</f>
        <v>0</v>
      </c>
      <c r="N283" s="118" cm="1">
        <f t="array" ref="N283">SUM(N263:N282)</f>
        <v>0</v>
      </c>
      <c r="O283" s="118" cm="1">
        <f t="array" ref="O283">SUM(O263:O282)</f>
        <v>0</v>
      </c>
      <c r="P283" s="118" cm="1">
        <f t="array" ref="P283">SUM(P263:P282)</f>
        <v>0</v>
      </c>
      <c r="Q283" s="118" cm="1">
        <f t="array" ref="Q283">SUM(Q263:Q282)</f>
        <v>0</v>
      </c>
      <c r="R283" s="118" cm="1">
        <f t="array" ref="R283">SUM(R263:R282)</f>
        <v>0</v>
      </c>
      <c r="S283" s="118" cm="1">
        <f t="array" ref="S283">SUM(S263:S282)</f>
        <v>0</v>
      </c>
      <c r="T283" s="118" cm="1">
        <f t="array" ref="T283">SUM(T263:T282)</f>
        <v>0</v>
      </c>
      <c r="U283" s="118" cm="1">
        <f t="array" ref="U283">SUM(U263:U282)</f>
        <v>0</v>
      </c>
      <c r="V283" s="118" cm="1">
        <f t="array" ref="V283">SUM(V263:V282)</f>
        <v>0</v>
      </c>
      <c r="W283" s="118" cm="1">
        <f t="array" ref="W283">SUM(W263:W282)</f>
        <v>0</v>
      </c>
      <c r="X283" s="118" cm="1">
        <f t="array" ref="X283">SUM(X263:X282)</f>
        <v>0</v>
      </c>
      <c r="Y283" s="118" cm="1">
        <f t="array" ref="Y283">SUM(Y263:Y282)</f>
        <v>0</v>
      </c>
      <c r="Z283" s="119" cm="1">
        <f t="array" ref="Z283">IFERROR(X283/(X283+Y283),0)</f>
        <v>0</v>
      </c>
      <c r="AA283" s="86"/>
      <c r="AB283" s="120"/>
      <c r="AC283" s="120"/>
      <c r="AD283" s="120"/>
      <c r="AE283" s="120"/>
      <c r="AF283" s="120"/>
    </row>
    <row r="284" spans="1:32" ht="21.25" customHeight="1" x14ac:dyDescent="0.15">
      <c r="A284" s="37"/>
      <c r="B284" s="121"/>
      <c r="C284" s="122"/>
      <c r="D284" s="13"/>
      <c r="E284" s="13"/>
      <c r="F284" s="123"/>
      <c r="G284" s="124"/>
      <c r="H284" s="125"/>
      <c r="I284" s="12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91"/>
      <c r="AC284" s="91"/>
      <c r="AD284" s="91"/>
      <c r="AE284" s="91"/>
      <c r="AF284" s="91"/>
    </row>
    <row r="285" spans="1:32" ht="21.25" customHeight="1" x14ac:dyDescent="0.15">
      <c r="A285" s="40" t="s">
        <v>91</v>
      </c>
      <c r="B285" s="205" t="s">
        <v>93</v>
      </c>
      <c r="C285" s="197"/>
      <c r="D285" s="127" t="s">
        <v>94</v>
      </c>
      <c r="E285" s="127" t="s">
        <v>95</v>
      </c>
      <c r="F285" s="128" t="s">
        <v>97</v>
      </c>
      <c r="G285" s="128" t="s">
        <v>99</v>
      </c>
      <c r="H285" s="129"/>
      <c r="I285" s="130" t="s">
        <v>104</v>
      </c>
      <c r="J285" s="130" t="s">
        <v>119</v>
      </c>
      <c r="K285" s="130" t="s">
        <v>120</v>
      </c>
      <c r="L285" s="130" t="s">
        <v>121</v>
      </c>
      <c r="M285" s="130" t="s">
        <v>122</v>
      </c>
      <c r="N285" s="130" t="s">
        <v>123</v>
      </c>
      <c r="O285" s="130" t="s">
        <v>124</v>
      </c>
      <c r="P285" s="130" t="s">
        <v>125</v>
      </c>
      <c r="Q285" s="130" t="s">
        <v>126</v>
      </c>
      <c r="R285" s="86"/>
      <c r="S285" s="86"/>
      <c r="T285" s="86"/>
      <c r="U285" s="205" t="s">
        <v>818</v>
      </c>
      <c r="V285" s="206"/>
      <c r="W285" s="206"/>
      <c r="X285" s="205" t="s">
        <v>819</v>
      </c>
      <c r="Y285" s="206"/>
      <c r="Z285" s="206"/>
      <c r="AA285" s="86"/>
      <c r="AB285" s="86"/>
      <c r="AC285" s="86"/>
      <c r="AD285" s="86"/>
      <c r="AE285" s="86"/>
      <c r="AF285" s="86"/>
    </row>
    <row r="286" spans="1:32" ht="21.25" customHeight="1" x14ac:dyDescent="0.15">
      <c r="A286" s="147"/>
      <c r="B286" s="132" t="str" cm="1">
        <f t="array" ref="B286">IFERROR(VLOOKUP($A286,'The List'!$B1:$AS671,3,FALSE)," ")</f>
        <v xml:space="preserve"> </v>
      </c>
      <c r="C286" s="148" t="str" cm="1">
        <f t="array" ref="C286">IFERROR(VLOOKUP($A286,'The List'!$B1:$AS671,4,FALSE)," ")</f>
        <v xml:space="preserve"> </v>
      </c>
      <c r="D286" s="134" t="str" cm="1">
        <f t="array" ref="D286">IFERROR(VLOOKUP($A286,'The List'!$B1:$AS671,5,FALSE)," ")</f>
        <v xml:space="preserve"> </v>
      </c>
      <c r="E286" s="134" t="str" cm="1">
        <f t="array" ref="E286">IFERROR(VLOOKUP($A286,'The List'!$B1:$AS671,6,FALSE)," ")</f>
        <v xml:space="preserve"> </v>
      </c>
      <c r="F286" s="149" t="str" cm="1">
        <f t="array" ref="F286">IFERROR(VLOOKUP($A286,'The List'!$B1:$AS671,8,FALSE)," ")</f>
        <v xml:space="preserve"> </v>
      </c>
      <c r="G286" s="149" t="str" cm="1">
        <f t="array" ref="G286">IFERROR(VLOOKUP($A286,'The List'!$B1:$AS671,10,FALSE)," ")</f>
        <v xml:space="preserve"> </v>
      </c>
      <c r="H286" s="83"/>
      <c r="I286" s="150" t="str" cm="1">
        <f t="array" ref="I286">IFERROR(VLOOKUP($A286,'The List'!$B1:$AS671,35,FALSE)," ")</f>
        <v xml:space="preserve"> </v>
      </c>
      <c r="J286" s="150" t="str" cm="1">
        <f t="array" ref="J286">IFERROR(VLOOKUP($A286,'The List'!$B1:$AS671,36,FALSE)," ")</f>
        <v xml:space="preserve"> </v>
      </c>
      <c r="K286" s="150" t="str" cm="1">
        <f t="array" ref="K286">IFERROR(VLOOKUP($A286,'The List'!$B1:$AS671,37,FALSE)," ")</f>
        <v xml:space="preserve"> </v>
      </c>
      <c r="L286" s="150" t="str" cm="1">
        <f t="array" ref="L286">IFERROR(VLOOKUP($A286,'The List'!$B1:$AS671,38,FALSE)," ")</f>
        <v xml:space="preserve"> </v>
      </c>
      <c r="M286" s="150" t="str" cm="1">
        <f t="array" ref="M286">IFERROR(VLOOKUP($A286,'The List'!$B1:$AS671,39,FALSE)," ")</f>
        <v xml:space="preserve"> </v>
      </c>
      <c r="N286" s="150" t="str" cm="1">
        <f t="array" ref="N286">IFERROR(VLOOKUP($A286,'The List'!$B1:$AS671,40,FALSE)," ")</f>
        <v xml:space="preserve"> </v>
      </c>
      <c r="O286" s="150" t="str" cm="1">
        <f t="array" ref="O286">IFERROR(VLOOKUP($A286,'The List'!$B1:$AS671,41,FALSE)," ")</f>
        <v xml:space="preserve"> </v>
      </c>
      <c r="P286" s="150" t="str" cm="1">
        <f t="array" ref="P286">IFERROR(VLOOKUP($A286,'The List'!$B1:$AS671,42,FALSE)," ")</f>
        <v xml:space="preserve"> </v>
      </c>
      <c r="Q286" s="150" t="str" cm="1">
        <f t="array" ref="Q286">IFERROR(VLOOKUP($A286,'The List'!$B1:$AS671,43,FALSE)," ")</f>
        <v xml:space="preserve"> </v>
      </c>
      <c r="R286" s="86"/>
      <c r="S286" s="86"/>
      <c r="T286" s="140" t="str" cm="1">
        <f t="array" ref="T286">A262</f>
        <v>TEAM 10</v>
      </c>
      <c r="U286" s="207" cm="1">
        <f t="array" ref="U286">F283+F289</f>
        <v>0</v>
      </c>
      <c r="V286" s="197"/>
      <c r="W286" s="197"/>
      <c r="X286" s="207" cm="1">
        <f t="array" ref="X286">G289+G283</f>
        <v>0</v>
      </c>
      <c r="Y286" s="197"/>
      <c r="Z286" s="197"/>
      <c r="AA286" s="86"/>
      <c r="AB286" s="86"/>
      <c r="AC286" s="86"/>
      <c r="AD286" s="86"/>
      <c r="AE286" s="86"/>
      <c r="AF286" s="86"/>
    </row>
    <row r="287" spans="1:32" ht="21.25" customHeight="1" x14ac:dyDescent="0.15">
      <c r="A287" s="24"/>
      <c r="B287" s="141" t="str" cm="1">
        <f t="array" ref="B287">IFERROR(VLOOKUP($A287,'The List'!$B1:$AS671,3,FALSE)," ")</f>
        <v xml:space="preserve"> </v>
      </c>
      <c r="C287" s="142" t="str" cm="1">
        <f t="array" ref="C287">IFERROR(VLOOKUP($A287,'The List'!$B1:$AS671,4,FALSE)," ")</f>
        <v xml:space="preserve"> </v>
      </c>
      <c r="D287" s="18" t="str" cm="1">
        <f t="array" ref="D287">IFERROR(VLOOKUP($A287,'The List'!$B1:$AS671,5,FALSE)," ")</f>
        <v xml:space="preserve"> </v>
      </c>
      <c r="E287" s="18" t="str" cm="1">
        <f t="array" ref="E287">IFERROR(VLOOKUP($A287,'The List'!$B1:$AS671,6,FALSE)," ")</f>
        <v xml:space="preserve"> </v>
      </c>
      <c r="F287" s="93" t="str" cm="1">
        <f t="array" ref="F287">IFERROR(VLOOKUP($A287,'The List'!$B1:$AS671,8,FALSE)," ")</f>
        <v xml:space="preserve"> </v>
      </c>
      <c r="G287" s="93" t="str" cm="1">
        <f t="array" ref="G287">IFERROR(VLOOKUP($A287,'The List'!$B1:$AS671,10,FALSE)," ")</f>
        <v xml:space="preserve"> </v>
      </c>
      <c r="H287" s="55"/>
      <c r="I287" s="85" t="str" cm="1">
        <f t="array" ref="I287">IFERROR(VLOOKUP($A287,'The List'!$B1:$AS671,35,FALSE)," ")</f>
        <v xml:space="preserve"> </v>
      </c>
      <c r="J287" s="85" t="str" cm="1">
        <f t="array" ref="J287">IFERROR(VLOOKUP($A287,'The List'!$B1:$AS671,36,FALSE)," ")</f>
        <v xml:space="preserve"> </v>
      </c>
      <c r="K287" s="85" t="str" cm="1">
        <f t="array" ref="K287">IFERROR(VLOOKUP($A287,'The List'!$B1:$AS671,37,FALSE)," ")</f>
        <v xml:space="preserve"> </v>
      </c>
      <c r="L287" s="85" t="str" cm="1">
        <f t="array" ref="L287">IFERROR(VLOOKUP($A287,'The List'!$B1:$AS671,38,FALSE)," ")</f>
        <v xml:space="preserve"> </v>
      </c>
      <c r="M287" s="85" t="str" cm="1">
        <f t="array" ref="M287">IFERROR(VLOOKUP($A287,'The List'!$B1:$AS671,39,FALSE)," ")</f>
        <v xml:space="preserve"> </v>
      </c>
      <c r="N287" s="85" t="str" cm="1">
        <f t="array" ref="N287">IFERROR(VLOOKUP($A287,'The List'!$B1:$AS671,40,FALSE)," ")</f>
        <v xml:space="preserve"> </v>
      </c>
      <c r="O287" s="85" t="str" cm="1">
        <f t="array" ref="O287">IFERROR(VLOOKUP($A287,'The List'!$B1:$AS671,41,FALSE)," ")</f>
        <v xml:space="preserve"> </v>
      </c>
      <c r="P287" s="85" t="str" cm="1">
        <f t="array" ref="P287">IFERROR(VLOOKUP($A287,'The List'!$B1:$AS671,42,FALSE)," ")</f>
        <v xml:space="preserve"> </v>
      </c>
      <c r="Q287" s="85" t="str" cm="1">
        <f t="array" ref="Q287">IFERROR(VLOOKUP($A287,'The List'!$B1:$AS671,43,FALSE)," ")</f>
        <v xml:space="preserve"> </v>
      </c>
      <c r="R287" s="86"/>
      <c r="S287" s="86"/>
      <c r="T287" s="86"/>
      <c r="U287" s="197"/>
      <c r="V287" s="197"/>
      <c r="W287" s="197"/>
      <c r="X287" s="197"/>
      <c r="Y287" s="197"/>
      <c r="Z287" s="197"/>
      <c r="AA287" s="86"/>
      <c r="AB287" s="86"/>
      <c r="AC287" s="86"/>
      <c r="AD287" s="86"/>
      <c r="AE287" s="86"/>
      <c r="AF287" s="86"/>
    </row>
    <row r="288" spans="1:32" ht="21.25" customHeight="1" x14ac:dyDescent="0.15">
      <c r="A288" s="104"/>
      <c r="B288" s="143" t="str" cm="1">
        <f t="array" ref="B288">IFERROR(VLOOKUP($A288,'The List'!$B1:$AS671,3,FALSE)," ")</f>
        <v xml:space="preserve"> </v>
      </c>
      <c r="C288" s="144" t="str" cm="1">
        <f t="array" ref="C288">IFERROR(VLOOKUP($A288,'The List'!$B1:$AS671,4,FALSE)," ")</f>
        <v xml:space="preserve"> </v>
      </c>
      <c r="D288" s="107" t="str" cm="1">
        <f t="array" ref="D288">IFERROR(VLOOKUP($A288,'The List'!$B1:$AS671,5,FALSE)," ")</f>
        <v xml:space="preserve"> </v>
      </c>
      <c r="E288" s="107" t="str" cm="1">
        <f t="array" ref="E288">IFERROR(VLOOKUP($A288,'The List'!$B1:$AS671,6,FALSE)," ")</f>
        <v xml:space="preserve"> </v>
      </c>
      <c r="F288" s="108" t="str" cm="1">
        <f t="array" ref="F288">IFERROR(VLOOKUP($A288,'The List'!$B1:$AS671,8,FALSE)," ")</f>
        <v xml:space="preserve"> </v>
      </c>
      <c r="G288" s="108" t="str" cm="1">
        <f t="array" ref="G288">IFERROR(VLOOKUP($A288,'The List'!$B1:$AS671,10,FALSE)," ")</f>
        <v xml:space="preserve"> </v>
      </c>
      <c r="H288" s="109"/>
      <c r="I288" s="110" t="str" cm="1">
        <f t="array" ref="I288">IFERROR(VLOOKUP($A288,'The List'!$B1:$AS671,35,FALSE)," ")</f>
        <v xml:space="preserve"> </v>
      </c>
      <c r="J288" s="110" t="str" cm="1">
        <f t="array" ref="J288">IFERROR(VLOOKUP($A288,'The List'!$B1:$AS671,36,FALSE)," ")</f>
        <v xml:space="preserve"> </v>
      </c>
      <c r="K288" s="110" t="str" cm="1">
        <f t="array" ref="K288">IFERROR(VLOOKUP($A288,'The List'!$B1:$AS671,37,FALSE)," ")</f>
        <v xml:space="preserve"> </v>
      </c>
      <c r="L288" s="110" t="str" cm="1">
        <f t="array" ref="L288">IFERROR(VLOOKUP($A288,'The List'!$B1:$AS671,38,FALSE)," ")</f>
        <v xml:space="preserve"> </v>
      </c>
      <c r="M288" s="110" t="str" cm="1">
        <f t="array" ref="M288">IFERROR(VLOOKUP($A288,'The List'!$B1:$AS671,39,FALSE)," ")</f>
        <v xml:space="preserve"> </v>
      </c>
      <c r="N288" s="110" t="str" cm="1">
        <f t="array" ref="N288">IFERROR(VLOOKUP($A288,'The List'!$B1:$AS671,40,FALSE)," ")</f>
        <v xml:space="preserve"> </v>
      </c>
      <c r="O288" s="110" t="str" cm="1">
        <f t="array" ref="O288">IFERROR(VLOOKUP($A288,'The List'!$B1:$AS671,41,FALSE)," ")</f>
        <v xml:space="preserve"> </v>
      </c>
      <c r="P288" s="110" t="str" cm="1">
        <f t="array" ref="P288">IFERROR(VLOOKUP($A288,'The List'!$B1:$AS671,42,FALSE)," ")</f>
        <v xml:space="preserve"> </v>
      </c>
      <c r="Q288" s="110" t="str" cm="1">
        <f t="array" ref="Q288">IFERROR(VLOOKUP($A288,'The List'!$B1:$AS671,43,FALSE)," ")</f>
        <v xml:space="preserve"> </v>
      </c>
      <c r="R288" s="86"/>
      <c r="S288" s="86"/>
      <c r="T288" s="86"/>
      <c r="U288" s="197"/>
      <c r="V288" s="197"/>
      <c r="W288" s="197"/>
      <c r="X288" s="197"/>
      <c r="Y288" s="197"/>
      <c r="Z288" s="197"/>
      <c r="AA288" s="86"/>
      <c r="AB288" s="86"/>
      <c r="AC288" s="86"/>
      <c r="AD288" s="86"/>
      <c r="AE288" s="86"/>
      <c r="AF288" s="86"/>
    </row>
    <row r="289" spans="1:32" ht="21.25" customHeight="1" x14ac:dyDescent="0.15">
      <c r="A289" s="111"/>
      <c r="B289" s="112"/>
      <c r="C289" s="113"/>
      <c r="D289" s="114"/>
      <c r="E289" s="114" t="str" cm="1">
        <f t="array" ref="E289">IFERROR(AVERAGE(E286:E288)," ")</f>
        <v xml:space="preserve"> </v>
      </c>
      <c r="F289" s="116" cm="1">
        <f t="array" ref="F289">SUM(F286:F288)</f>
        <v>0</v>
      </c>
      <c r="G289" s="116" cm="1">
        <f t="array" ref="G289">SUM(G286:G288)</f>
        <v>0</v>
      </c>
      <c r="H289" s="117"/>
      <c r="I289" s="118" cm="1">
        <f t="array" ref="I289">SUM(I286:I288)</f>
        <v>0</v>
      </c>
      <c r="J289" s="117" cm="1">
        <f t="array" ref="J289">SUM(J286:J288)</f>
        <v>0</v>
      </c>
      <c r="K289" s="118" cm="1">
        <f t="array" ref="K289">SUM(K286:K288)</f>
        <v>0</v>
      </c>
      <c r="L289" s="118" cm="1">
        <f t="array" ref="L289">SUM(L286:L288)</f>
        <v>0</v>
      </c>
      <c r="M289" s="118" cm="1">
        <f t="array" ref="M289">SUM(M286:M288)</f>
        <v>0</v>
      </c>
      <c r="N289" s="118" cm="1">
        <f t="array" ref="N289">SUM(N286:N288)</f>
        <v>0</v>
      </c>
      <c r="O289" s="118" cm="1">
        <f t="array" ref="O289">SUM(O286:O288)</f>
        <v>0</v>
      </c>
      <c r="P289" s="145" t="e" cm="1">
        <f t="array" ref="P289">1-(O289/(N289+O289))</f>
        <v>#DIV/0!</v>
      </c>
      <c r="Q289" s="146" t="e" cm="1">
        <f t="array" ref="Q289">O289/I289</f>
        <v>#DIV/0!</v>
      </c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</row>
    <row r="290" spans="1:32" ht="70.75" customHeight="1" x14ac:dyDescent="0.15">
      <c r="A290" s="37"/>
      <c r="B290" s="121"/>
      <c r="C290" s="122"/>
      <c r="D290" s="13"/>
      <c r="E290" s="13"/>
      <c r="F290" s="123"/>
      <c r="G290" s="124"/>
      <c r="H290" s="125"/>
      <c r="I290" s="12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91"/>
      <c r="AB290" s="91"/>
      <c r="AC290" s="91"/>
      <c r="AD290" s="91"/>
      <c r="AE290" s="91"/>
      <c r="AF290" s="91"/>
    </row>
    <row r="291" spans="1:32" ht="21.25" customHeight="1" x14ac:dyDescent="0.15">
      <c r="A291" s="41" t="s">
        <v>812</v>
      </c>
      <c r="B291" s="194" t="s">
        <v>93</v>
      </c>
      <c r="C291" s="195"/>
      <c r="D291" s="42" t="s">
        <v>94</v>
      </c>
      <c r="E291" s="42" t="s">
        <v>95</v>
      </c>
      <c r="F291" s="43" t="s">
        <v>97</v>
      </c>
      <c r="G291" s="43" t="s">
        <v>99</v>
      </c>
      <c r="H291" s="44"/>
      <c r="I291" s="46" t="s">
        <v>104</v>
      </c>
      <c r="J291" s="46" t="s">
        <v>56</v>
      </c>
      <c r="K291" s="46" t="s">
        <v>105</v>
      </c>
      <c r="L291" s="46" t="s">
        <v>106</v>
      </c>
      <c r="M291" s="46" t="s">
        <v>107</v>
      </c>
      <c r="N291" s="46" t="s">
        <v>108</v>
      </c>
      <c r="O291" s="46" t="s">
        <v>64</v>
      </c>
      <c r="P291" s="46" t="s">
        <v>68</v>
      </c>
      <c r="Q291" s="46" t="s">
        <v>109</v>
      </c>
      <c r="R291" s="46" t="s">
        <v>110</v>
      </c>
      <c r="S291" s="46" t="s">
        <v>111</v>
      </c>
      <c r="T291" s="46" t="s">
        <v>112</v>
      </c>
      <c r="U291" s="46" t="s">
        <v>113</v>
      </c>
      <c r="V291" s="46" t="s">
        <v>114</v>
      </c>
      <c r="W291" s="46" t="s">
        <v>115</v>
      </c>
      <c r="X291" s="46" t="s">
        <v>116</v>
      </c>
      <c r="Y291" s="46" t="s">
        <v>117</v>
      </c>
      <c r="Z291" s="46" t="s">
        <v>118</v>
      </c>
      <c r="AA291" s="86"/>
      <c r="AB291" s="87"/>
      <c r="AC291" s="87"/>
      <c r="AD291" s="87"/>
      <c r="AE291" s="87"/>
      <c r="AF291" s="87"/>
    </row>
    <row r="292" spans="1:32" ht="21.25" customHeight="1" x14ac:dyDescent="0.15">
      <c r="A292" s="24"/>
      <c r="B292" s="88" t="str" cm="1">
        <f t="array" ref="B292">IFERROR(VLOOKUP($A292,'The List'!$B1:$AS671,3,FALSE)," ")</f>
        <v xml:space="preserve"> </v>
      </c>
      <c r="C292" s="92" t="str" cm="1">
        <f t="array" ref="C292">IFERROR(VLOOKUP($A292,'The List'!$B1:$AS671,4,FALSE)," ")</f>
        <v xml:space="preserve"> </v>
      </c>
      <c r="D292" s="18" t="str" cm="1">
        <f t="array" ref="D292">IFERROR(VLOOKUP($A292,'The List'!$B1:$AS671,5,FALSE)," ")</f>
        <v xml:space="preserve"> </v>
      </c>
      <c r="E292" s="18" t="str" cm="1">
        <f t="array" ref="E292">IFERROR(VLOOKUP($A292,'The List'!$B1:$AS671,6,FALSE)," ")</f>
        <v xml:space="preserve"> </v>
      </c>
      <c r="F292" s="93" t="str" cm="1">
        <f t="array" ref="F292">IFERROR(VLOOKUP($A292,'The List'!$B1:$AS671,8,FALSE)," ")</f>
        <v xml:space="preserve"> </v>
      </c>
      <c r="G292" s="93" t="str" cm="1">
        <f t="array" ref="G292">IFERROR(VLOOKUP($A292,'The List'!$B1:$AS671,10,FALSE)," ")</f>
        <v xml:space="preserve"> </v>
      </c>
      <c r="H292" s="55"/>
      <c r="I292" s="85" t="str" cm="1">
        <f t="array" ref="I292">IFERROR(VLOOKUP($A292,'The List'!$B1:$AS671,16,FALSE)," ")</f>
        <v xml:space="preserve"> </v>
      </c>
      <c r="J292" s="85" t="str" cm="1">
        <f t="array" ref="J292">IFERROR(VLOOKUP($A292,'The List'!$B1:$AS671,17,FALSE)," ")</f>
        <v xml:space="preserve"> </v>
      </c>
      <c r="K292" s="85" t="str" cm="1">
        <f t="array" ref="K292">IFERROR(VLOOKUP($A292,'The List'!$B1:$AS671,18,FALSE)," ")</f>
        <v xml:space="preserve"> </v>
      </c>
      <c r="L292" s="85" t="str" cm="1">
        <f t="array" ref="L292">IFERROR(VLOOKUP($A292,'The List'!$B1:$AS671,19,FALSE)," ")</f>
        <v xml:space="preserve"> </v>
      </c>
      <c r="M292" s="85" t="str" cm="1">
        <f t="array" ref="M292">IFERROR(VLOOKUP($A292,'The List'!$B1:$AS671,20,FALSE)," ")</f>
        <v xml:space="preserve"> </v>
      </c>
      <c r="N292" s="85" t="str" cm="1">
        <f t="array" ref="N292">IFERROR(VLOOKUP($A292,'The List'!$B1:$AS671,21,FALSE)," ")</f>
        <v xml:space="preserve"> </v>
      </c>
      <c r="O292" s="85" t="str" cm="1">
        <f t="array" ref="O292">IFERROR(VLOOKUP($A292,'The List'!$B1:$AS671,22,FALSE)," ")</f>
        <v xml:space="preserve"> </v>
      </c>
      <c r="P292" s="85" t="str" cm="1">
        <f t="array" ref="P292">IFERROR(VLOOKUP($A292,'The List'!$B1:$AS671,23,FALSE)," ")</f>
        <v xml:space="preserve"> </v>
      </c>
      <c r="Q292" s="85" t="str" cm="1">
        <f t="array" ref="Q292">IFERROR(VLOOKUP($A292,'The List'!$B1:$AS671,24,FALSE)," ")</f>
        <v xml:space="preserve"> </v>
      </c>
      <c r="R292" s="85" t="str" cm="1">
        <f t="array" ref="R292">IFERROR(VLOOKUP($A292,'The List'!$B1:$AS671,25,FALSE)," ")</f>
        <v xml:space="preserve"> </v>
      </c>
      <c r="S292" s="85" t="str" cm="1">
        <f t="array" ref="S292">IFERROR(VLOOKUP($A292,'The List'!$B1:$AS671,26,FALSE)," ")</f>
        <v xml:space="preserve"> </v>
      </c>
      <c r="T292" s="85" t="str" cm="1">
        <f t="array" ref="T292">IFERROR(VLOOKUP($A292,'The List'!$B1:$AS671,27,FALSE)," ")</f>
        <v xml:space="preserve"> </v>
      </c>
      <c r="U292" s="85" t="str" cm="1">
        <f t="array" ref="U292">IFERROR(VLOOKUP($A292,'The List'!$B1:$AS671,28,FALSE)," ")</f>
        <v xml:space="preserve"> </v>
      </c>
      <c r="V292" s="85" t="str" cm="1">
        <f t="array" ref="V292">IFERROR(VLOOKUP($A292,'The List'!$B1:$AS671,29,FALSE)," ")</f>
        <v xml:space="preserve"> </v>
      </c>
      <c r="W292" s="85" t="str" cm="1">
        <f t="array" ref="W292">IFERROR(VLOOKUP($A292,'The List'!$B1:$AS671,30,FALSE)," ")</f>
        <v xml:space="preserve"> </v>
      </c>
      <c r="X292" s="85" t="str" cm="1">
        <f t="array" ref="X292">IFERROR(VLOOKUP($A292,'The List'!$B1:$AS671,31,FALSE)," ")</f>
        <v xml:space="preserve"> </v>
      </c>
      <c r="Y292" s="85" t="str" cm="1">
        <f t="array" ref="Y292">IFERROR(VLOOKUP($A292,'The List'!$B1:$AS671,32,FALSE)," ")</f>
        <v xml:space="preserve"> </v>
      </c>
      <c r="Z292" s="85" t="str" cm="1">
        <f t="array" ref="Z292">IFERROR(VLOOKUP($A292,'The List'!$B1:$AS671,33,FALSE)," ")</f>
        <v xml:space="preserve"> </v>
      </c>
      <c r="AA292" s="86"/>
      <c r="AB292" s="91"/>
      <c r="AC292" s="91"/>
      <c r="AD292" s="91"/>
      <c r="AE292" s="91"/>
      <c r="AF292" s="91"/>
    </row>
    <row r="293" spans="1:32" ht="21.25" customHeight="1" x14ac:dyDescent="0.15">
      <c r="A293" s="24"/>
      <c r="B293" s="88" t="str" cm="1">
        <f t="array" ref="B293">IFERROR(VLOOKUP($A293,'The List'!$B1:$AS671,3,FALSE)," ")</f>
        <v xml:space="preserve"> </v>
      </c>
      <c r="C293" s="92" t="str" cm="1">
        <f t="array" ref="C293">IFERROR(VLOOKUP($A293,'The List'!$B1:$AS671,4,FALSE)," ")</f>
        <v xml:space="preserve"> </v>
      </c>
      <c r="D293" s="18" t="str" cm="1">
        <f t="array" ref="D293">IFERROR(VLOOKUP($A293,'The List'!$B1:$AS671,5,FALSE)," ")</f>
        <v xml:space="preserve"> </v>
      </c>
      <c r="E293" s="18" t="str" cm="1">
        <f t="array" ref="E293">IFERROR(VLOOKUP($A293,'The List'!$B1:$AS671,6,FALSE)," ")</f>
        <v xml:space="preserve"> </v>
      </c>
      <c r="F293" s="93" t="str" cm="1">
        <f t="array" ref="F293">IFERROR(VLOOKUP($A293,'The List'!$B1:$AS671,8,FALSE)," ")</f>
        <v xml:space="preserve"> </v>
      </c>
      <c r="G293" s="93" t="str" cm="1">
        <f t="array" ref="G293">IFERROR(VLOOKUP($A293,'The List'!$B1:$AS671,10,FALSE)," ")</f>
        <v xml:space="preserve"> </v>
      </c>
      <c r="H293" s="55"/>
      <c r="I293" s="85" t="str" cm="1">
        <f t="array" ref="I293">IFERROR(VLOOKUP($A293,'The List'!$B1:$AS671,16,FALSE)," ")</f>
        <v xml:space="preserve"> </v>
      </c>
      <c r="J293" s="85" t="str" cm="1">
        <f t="array" ref="J293">IFERROR(VLOOKUP($A293,'The List'!$B1:$AS671,17,FALSE)," ")</f>
        <v xml:space="preserve"> </v>
      </c>
      <c r="K293" s="85" t="str" cm="1">
        <f t="array" ref="K293">IFERROR(VLOOKUP($A293,'The List'!$B1:$AS671,18,FALSE)," ")</f>
        <v xml:space="preserve"> </v>
      </c>
      <c r="L293" s="85" t="str" cm="1">
        <f t="array" ref="L293">IFERROR(VLOOKUP($A293,'The List'!$B1:$AS671,19,FALSE)," ")</f>
        <v xml:space="preserve"> </v>
      </c>
      <c r="M293" s="85" t="str" cm="1">
        <f t="array" ref="M293">IFERROR(VLOOKUP($A293,'The List'!$B1:$AS671,20,FALSE)," ")</f>
        <v xml:space="preserve"> </v>
      </c>
      <c r="N293" s="85" t="str" cm="1">
        <f t="array" ref="N293">IFERROR(VLOOKUP($A293,'The List'!$B1:$AS671,21,FALSE)," ")</f>
        <v xml:space="preserve"> </v>
      </c>
      <c r="O293" s="85" t="str" cm="1">
        <f t="array" ref="O293">IFERROR(VLOOKUP($A293,'The List'!$B1:$AS671,22,FALSE)," ")</f>
        <v xml:space="preserve"> </v>
      </c>
      <c r="P293" s="85" t="str" cm="1">
        <f t="array" ref="P293">IFERROR(VLOOKUP($A293,'The List'!$B1:$AS671,23,FALSE)," ")</f>
        <v xml:space="preserve"> </v>
      </c>
      <c r="Q293" s="85" t="str" cm="1">
        <f t="array" ref="Q293">IFERROR(VLOOKUP($A293,'The List'!$B1:$AS671,24,FALSE)," ")</f>
        <v xml:space="preserve"> </v>
      </c>
      <c r="R293" s="85" t="str" cm="1">
        <f t="array" ref="R293">IFERROR(VLOOKUP($A293,'The List'!$B1:$AS671,25,FALSE)," ")</f>
        <v xml:space="preserve"> </v>
      </c>
      <c r="S293" s="85" t="str" cm="1">
        <f t="array" ref="S293">IFERROR(VLOOKUP($A293,'The List'!$B1:$AS671,26,FALSE)," ")</f>
        <v xml:space="preserve"> </v>
      </c>
      <c r="T293" s="85" t="str" cm="1">
        <f t="array" ref="T293">IFERROR(VLOOKUP($A293,'The List'!$B1:$AS671,27,FALSE)," ")</f>
        <v xml:space="preserve"> </v>
      </c>
      <c r="U293" s="85" t="str" cm="1">
        <f t="array" ref="U293">IFERROR(VLOOKUP($A293,'The List'!$B1:$AS671,28,FALSE)," ")</f>
        <v xml:space="preserve"> </v>
      </c>
      <c r="V293" s="85" t="str" cm="1">
        <f t="array" ref="V293">IFERROR(VLOOKUP($A293,'The List'!$B1:$AS671,29,FALSE)," ")</f>
        <v xml:space="preserve"> </v>
      </c>
      <c r="W293" s="85" t="str" cm="1">
        <f t="array" ref="W293">IFERROR(VLOOKUP($A293,'The List'!$B1:$AS671,30,FALSE)," ")</f>
        <v xml:space="preserve"> </v>
      </c>
      <c r="X293" s="85" t="str" cm="1">
        <f t="array" ref="X293">IFERROR(VLOOKUP($A293,'The List'!$B1:$AS671,31,FALSE)," ")</f>
        <v xml:space="preserve"> </v>
      </c>
      <c r="Y293" s="85" t="str" cm="1">
        <f t="array" ref="Y293">IFERROR(VLOOKUP($A293,'The List'!$B1:$AS671,32,FALSE)," ")</f>
        <v xml:space="preserve"> </v>
      </c>
      <c r="Z293" s="85" t="str" cm="1">
        <f t="array" ref="Z293">IFERROR(VLOOKUP($A293,'The List'!$B1:$AS671,33,FALSE)," ")</f>
        <v xml:space="preserve"> </v>
      </c>
      <c r="AA293" s="86"/>
      <c r="AB293" s="91"/>
      <c r="AC293" s="91"/>
      <c r="AD293" s="91"/>
      <c r="AE293" s="91"/>
      <c r="AF293" s="91"/>
    </row>
    <row r="294" spans="1:32" ht="21.25" customHeight="1" x14ac:dyDescent="0.15">
      <c r="A294" s="24"/>
      <c r="B294" s="88" t="str" cm="1">
        <f t="array" ref="B294">IFERROR(VLOOKUP($A294,'The List'!$B1:$AS671,3,FALSE)," ")</f>
        <v xml:space="preserve"> </v>
      </c>
      <c r="C294" s="92" t="str" cm="1">
        <f t="array" ref="C294">IFERROR(VLOOKUP($A294,'The List'!$B1:$AS671,4,FALSE)," ")</f>
        <v xml:space="preserve"> </v>
      </c>
      <c r="D294" s="18" t="str" cm="1">
        <f t="array" ref="D294">IFERROR(VLOOKUP($A294,'The List'!$B1:$AS671,5,FALSE)," ")</f>
        <v xml:space="preserve"> </v>
      </c>
      <c r="E294" s="18" t="str" cm="1">
        <f t="array" ref="E294">IFERROR(VLOOKUP($A294,'The List'!$B1:$AS671,6,FALSE)," ")</f>
        <v xml:space="preserve"> </v>
      </c>
      <c r="F294" s="93" t="str" cm="1">
        <f t="array" ref="F294">IFERROR(VLOOKUP($A294,'The List'!$B1:$AS671,8,FALSE)," ")</f>
        <v xml:space="preserve"> </v>
      </c>
      <c r="G294" s="93" t="str" cm="1">
        <f t="array" ref="G294">IFERROR(VLOOKUP($A294,'The List'!$B1:$AS671,10,FALSE)," ")</f>
        <v xml:space="preserve"> </v>
      </c>
      <c r="H294" s="55"/>
      <c r="I294" s="85" t="str" cm="1">
        <f t="array" ref="I294">IFERROR(VLOOKUP($A294,'The List'!$B1:$AS671,16,FALSE)," ")</f>
        <v xml:space="preserve"> </v>
      </c>
      <c r="J294" s="85" t="str" cm="1">
        <f t="array" ref="J294">IFERROR(VLOOKUP($A294,'The List'!$B1:$AS671,17,FALSE)," ")</f>
        <v xml:space="preserve"> </v>
      </c>
      <c r="K294" s="85" t="str" cm="1">
        <f t="array" ref="K294">IFERROR(VLOOKUP($A294,'The List'!$B1:$AS671,18,FALSE)," ")</f>
        <v xml:space="preserve"> </v>
      </c>
      <c r="L294" s="85" t="str" cm="1">
        <f t="array" ref="L294">IFERROR(VLOOKUP($A294,'The List'!$B1:$AS671,19,FALSE)," ")</f>
        <v xml:space="preserve"> </v>
      </c>
      <c r="M294" s="85" t="str" cm="1">
        <f t="array" ref="M294">IFERROR(VLOOKUP($A294,'The List'!$B1:$AS671,20,FALSE)," ")</f>
        <v xml:space="preserve"> </v>
      </c>
      <c r="N294" s="85" t="str" cm="1">
        <f t="array" ref="N294">IFERROR(VLOOKUP($A294,'The List'!$B1:$AS671,21,FALSE)," ")</f>
        <v xml:space="preserve"> </v>
      </c>
      <c r="O294" s="85" t="str" cm="1">
        <f t="array" ref="O294">IFERROR(VLOOKUP($A294,'The List'!$B1:$AS671,22,FALSE)," ")</f>
        <v xml:space="preserve"> </v>
      </c>
      <c r="P294" s="85" t="str" cm="1">
        <f t="array" ref="P294">IFERROR(VLOOKUP($A294,'The List'!$B1:$AS671,23,FALSE)," ")</f>
        <v xml:space="preserve"> </v>
      </c>
      <c r="Q294" s="85" t="str" cm="1">
        <f t="array" ref="Q294">IFERROR(VLOOKUP($A294,'The List'!$B1:$AS671,24,FALSE)," ")</f>
        <v xml:space="preserve"> </v>
      </c>
      <c r="R294" s="85" t="str" cm="1">
        <f t="array" ref="R294">IFERROR(VLOOKUP($A294,'The List'!$B1:$AS671,25,FALSE)," ")</f>
        <v xml:space="preserve"> </v>
      </c>
      <c r="S294" s="85" t="str" cm="1">
        <f t="array" ref="S294">IFERROR(VLOOKUP($A294,'The List'!$B1:$AS671,26,FALSE)," ")</f>
        <v xml:space="preserve"> </v>
      </c>
      <c r="T294" s="85" t="str" cm="1">
        <f t="array" ref="T294">IFERROR(VLOOKUP($A294,'The List'!$B1:$AS671,27,FALSE)," ")</f>
        <v xml:space="preserve"> </v>
      </c>
      <c r="U294" s="85" t="str" cm="1">
        <f t="array" ref="U294">IFERROR(VLOOKUP($A294,'The List'!$B1:$AS671,28,FALSE)," ")</f>
        <v xml:space="preserve"> </v>
      </c>
      <c r="V294" s="85" t="str" cm="1">
        <f t="array" ref="V294">IFERROR(VLOOKUP($A294,'The List'!$B1:$AS671,29,FALSE)," ")</f>
        <v xml:space="preserve"> </v>
      </c>
      <c r="W294" s="85" t="str" cm="1">
        <f t="array" ref="W294">IFERROR(VLOOKUP($A294,'The List'!$B1:$AS671,30,FALSE)," ")</f>
        <v xml:space="preserve"> </v>
      </c>
      <c r="X294" s="85" t="str" cm="1">
        <f t="array" ref="X294">IFERROR(VLOOKUP($A294,'The List'!$B1:$AS671,31,FALSE)," ")</f>
        <v xml:space="preserve"> </v>
      </c>
      <c r="Y294" s="85" t="str" cm="1">
        <f t="array" ref="Y294">IFERROR(VLOOKUP($A294,'The List'!$B1:$AS671,32,FALSE)," ")</f>
        <v xml:space="preserve"> </v>
      </c>
      <c r="Z294" s="85" t="str" cm="1">
        <f t="array" ref="Z294">IFERROR(VLOOKUP($A294,'The List'!$B1:$AS671,33,FALSE)," ")</f>
        <v xml:space="preserve"> </v>
      </c>
      <c r="AA294" s="86"/>
      <c r="AB294" s="91"/>
      <c r="AC294" s="91"/>
      <c r="AD294" s="91"/>
      <c r="AE294" s="91"/>
      <c r="AF294" s="91"/>
    </row>
    <row r="295" spans="1:32" ht="21.25" customHeight="1" x14ac:dyDescent="0.15">
      <c r="A295" s="24"/>
      <c r="B295" s="88" t="str" cm="1">
        <f t="array" ref="B295">IFERROR(VLOOKUP($A295,'The List'!$B1:$AS671,3,FALSE)," ")</f>
        <v xml:space="preserve"> </v>
      </c>
      <c r="C295" s="92" t="str" cm="1">
        <f t="array" ref="C295">IFERROR(VLOOKUP($A295,'The List'!$B1:$AS671,4,FALSE)," ")</f>
        <v xml:space="preserve"> </v>
      </c>
      <c r="D295" s="18" t="str" cm="1">
        <f t="array" ref="D295">IFERROR(VLOOKUP($A295,'The List'!$B1:$AS671,5,FALSE)," ")</f>
        <v xml:space="preserve"> </v>
      </c>
      <c r="E295" s="18" t="str" cm="1">
        <f t="array" ref="E295">IFERROR(VLOOKUP($A295,'The List'!$B1:$AS671,6,FALSE)," ")</f>
        <v xml:space="preserve"> </v>
      </c>
      <c r="F295" s="93" t="str" cm="1">
        <f t="array" ref="F295">IFERROR(VLOOKUP($A295,'The List'!$B1:$AS671,8,FALSE)," ")</f>
        <v xml:space="preserve"> </v>
      </c>
      <c r="G295" s="93" t="str" cm="1">
        <f t="array" ref="G295">IFERROR(VLOOKUP($A295,'The List'!$B1:$AS671,10,FALSE)," ")</f>
        <v xml:space="preserve"> </v>
      </c>
      <c r="H295" s="55"/>
      <c r="I295" s="85" t="str" cm="1">
        <f t="array" ref="I295">IFERROR(VLOOKUP($A295,'The List'!$B1:$AS671,16,FALSE)," ")</f>
        <v xml:space="preserve"> </v>
      </c>
      <c r="J295" s="85" t="str" cm="1">
        <f t="array" ref="J295">IFERROR(VLOOKUP($A295,'The List'!$B1:$AS671,17,FALSE)," ")</f>
        <v xml:space="preserve"> </v>
      </c>
      <c r="K295" s="85" t="str" cm="1">
        <f t="array" ref="K295">IFERROR(VLOOKUP($A295,'The List'!$B1:$AS671,18,FALSE)," ")</f>
        <v xml:space="preserve"> </v>
      </c>
      <c r="L295" s="85" t="str" cm="1">
        <f t="array" ref="L295">IFERROR(VLOOKUP($A295,'The List'!$B1:$AS671,19,FALSE)," ")</f>
        <v xml:space="preserve"> </v>
      </c>
      <c r="M295" s="85" t="str" cm="1">
        <f t="array" ref="M295">IFERROR(VLOOKUP($A295,'The List'!$B1:$AS671,20,FALSE)," ")</f>
        <v xml:space="preserve"> </v>
      </c>
      <c r="N295" s="85" t="str" cm="1">
        <f t="array" ref="N295">IFERROR(VLOOKUP($A295,'The List'!$B1:$AS671,21,FALSE)," ")</f>
        <v xml:space="preserve"> </v>
      </c>
      <c r="O295" s="85" t="str" cm="1">
        <f t="array" ref="O295">IFERROR(VLOOKUP($A295,'The List'!$B1:$AS671,22,FALSE)," ")</f>
        <v xml:space="preserve"> </v>
      </c>
      <c r="P295" s="85" t="str" cm="1">
        <f t="array" ref="P295">IFERROR(VLOOKUP($A295,'The List'!$B1:$AS671,23,FALSE)," ")</f>
        <v xml:space="preserve"> </v>
      </c>
      <c r="Q295" s="85" t="str" cm="1">
        <f t="array" ref="Q295">IFERROR(VLOOKUP($A295,'The List'!$B1:$AS671,24,FALSE)," ")</f>
        <v xml:space="preserve"> </v>
      </c>
      <c r="R295" s="85" t="str" cm="1">
        <f t="array" ref="R295">IFERROR(VLOOKUP($A295,'The List'!$B1:$AS671,25,FALSE)," ")</f>
        <v xml:space="preserve"> </v>
      </c>
      <c r="S295" s="85" t="str" cm="1">
        <f t="array" ref="S295">IFERROR(VLOOKUP($A295,'The List'!$B1:$AS671,26,FALSE)," ")</f>
        <v xml:space="preserve"> </v>
      </c>
      <c r="T295" s="85" t="str" cm="1">
        <f t="array" ref="T295">IFERROR(VLOOKUP($A295,'The List'!$B1:$AS671,27,FALSE)," ")</f>
        <v xml:space="preserve"> </v>
      </c>
      <c r="U295" s="85" t="str" cm="1">
        <f t="array" ref="U295">IFERROR(VLOOKUP($A295,'The List'!$B1:$AS671,28,FALSE)," ")</f>
        <v xml:space="preserve"> </v>
      </c>
      <c r="V295" s="85" t="str" cm="1">
        <f t="array" ref="V295">IFERROR(VLOOKUP($A295,'The List'!$B1:$AS671,29,FALSE)," ")</f>
        <v xml:space="preserve"> </v>
      </c>
      <c r="W295" s="85" t="str" cm="1">
        <f t="array" ref="W295">IFERROR(VLOOKUP($A295,'The List'!$B1:$AS671,30,FALSE)," ")</f>
        <v xml:space="preserve"> </v>
      </c>
      <c r="X295" s="85" t="str" cm="1">
        <f t="array" ref="X295">IFERROR(VLOOKUP($A295,'The List'!$B1:$AS671,31,FALSE)," ")</f>
        <v xml:space="preserve"> </v>
      </c>
      <c r="Y295" s="85" t="str" cm="1">
        <f t="array" ref="Y295">IFERROR(VLOOKUP($A295,'The List'!$B1:$AS671,32,FALSE)," ")</f>
        <v xml:space="preserve"> </v>
      </c>
      <c r="Z295" s="85" t="str" cm="1">
        <f t="array" ref="Z295">IFERROR(VLOOKUP($A295,'The List'!$B1:$AS671,33,FALSE)," ")</f>
        <v xml:space="preserve"> </v>
      </c>
      <c r="AA295" s="86"/>
      <c r="AB295" s="91"/>
      <c r="AC295" s="91"/>
      <c r="AD295" s="91"/>
      <c r="AE295" s="91"/>
      <c r="AF295" s="91"/>
    </row>
    <row r="296" spans="1:32" ht="21.25" customHeight="1" x14ac:dyDescent="0.15">
      <c r="A296" s="24"/>
      <c r="B296" s="94" t="str" cm="1">
        <f t="array" ref="B296">IFERROR(VLOOKUP($A296,'The List'!$B1:$AS671,3,FALSE)," ")</f>
        <v xml:space="preserve"> </v>
      </c>
      <c r="C296" s="96" t="str" cm="1">
        <f t="array" ref="C296">IFERROR(VLOOKUP($A296,'The List'!$B1:$AS671,4,FALSE)," ")</f>
        <v xml:space="preserve"> </v>
      </c>
      <c r="D296" s="18" t="str" cm="1">
        <f t="array" ref="D296">IFERROR(VLOOKUP($A296,'The List'!$B1:$AS671,5,FALSE)," ")</f>
        <v xml:space="preserve"> </v>
      </c>
      <c r="E296" s="18" t="str" cm="1">
        <f t="array" ref="E296">IFERROR(VLOOKUP($A296,'The List'!$B1:$AS671,6,FALSE)," ")</f>
        <v xml:space="preserve"> </v>
      </c>
      <c r="F296" s="93" t="str" cm="1">
        <f t="array" ref="F296">IFERROR(VLOOKUP($A296,'The List'!$B1:$AS671,8,FALSE)," ")</f>
        <v xml:space="preserve"> </v>
      </c>
      <c r="G296" s="93" t="str" cm="1">
        <f t="array" ref="G296">IFERROR(VLOOKUP($A296,'The List'!$B1:$AS671,10,FALSE)," ")</f>
        <v xml:space="preserve"> </v>
      </c>
      <c r="H296" s="55"/>
      <c r="I296" s="85" t="str" cm="1">
        <f t="array" ref="I296">IFERROR(VLOOKUP($A296,'The List'!$B1:$AS671,16,FALSE)," ")</f>
        <v xml:space="preserve"> </v>
      </c>
      <c r="J296" s="85" t="str" cm="1">
        <f t="array" ref="J296">IFERROR(VLOOKUP($A296,'The List'!$B1:$AS671,17,FALSE)," ")</f>
        <v xml:space="preserve"> </v>
      </c>
      <c r="K296" s="85" t="str" cm="1">
        <f t="array" ref="K296">IFERROR(VLOOKUP($A296,'The List'!$B1:$AS671,18,FALSE)," ")</f>
        <v xml:space="preserve"> </v>
      </c>
      <c r="L296" s="85" t="str" cm="1">
        <f t="array" ref="L296">IFERROR(VLOOKUP($A296,'The List'!$B1:$AS671,19,FALSE)," ")</f>
        <v xml:space="preserve"> </v>
      </c>
      <c r="M296" s="85" t="str" cm="1">
        <f t="array" ref="M296">IFERROR(VLOOKUP($A296,'The List'!$B1:$AS671,20,FALSE)," ")</f>
        <v xml:space="preserve"> </v>
      </c>
      <c r="N296" s="85" t="str" cm="1">
        <f t="array" ref="N296">IFERROR(VLOOKUP($A296,'The List'!$B1:$AS671,21,FALSE)," ")</f>
        <v xml:space="preserve"> </v>
      </c>
      <c r="O296" s="85" t="str" cm="1">
        <f t="array" ref="O296">IFERROR(VLOOKUP($A296,'The List'!$B1:$AS671,22,FALSE)," ")</f>
        <v xml:space="preserve"> </v>
      </c>
      <c r="P296" s="85" t="str" cm="1">
        <f t="array" ref="P296">IFERROR(VLOOKUP($A296,'The List'!$B1:$AS671,23,FALSE)," ")</f>
        <v xml:space="preserve"> </v>
      </c>
      <c r="Q296" s="85" t="str" cm="1">
        <f t="array" ref="Q296">IFERROR(VLOOKUP($A296,'The List'!$B1:$AS671,24,FALSE)," ")</f>
        <v xml:space="preserve"> </v>
      </c>
      <c r="R296" s="85" t="str" cm="1">
        <f t="array" ref="R296">IFERROR(VLOOKUP($A296,'The List'!$B1:$AS671,25,FALSE)," ")</f>
        <v xml:space="preserve"> </v>
      </c>
      <c r="S296" s="85" t="str" cm="1">
        <f t="array" ref="S296">IFERROR(VLOOKUP($A296,'The List'!$B1:$AS671,26,FALSE)," ")</f>
        <v xml:space="preserve"> </v>
      </c>
      <c r="T296" s="85" t="str" cm="1">
        <f t="array" ref="T296">IFERROR(VLOOKUP($A296,'The List'!$B1:$AS671,27,FALSE)," ")</f>
        <v xml:space="preserve"> </v>
      </c>
      <c r="U296" s="85" t="str" cm="1">
        <f t="array" ref="U296">IFERROR(VLOOKUP($A296,'The List'!$B1:$AS671,28,FALSE)," ")</f>
        <v xml:space="preserve"> </v>
      </c>
      <c r="V296" s="85" t="str" cm="1">
        <f t="array" ref="V296">IFERROR(VLOOKUP($A296,'The List'!$B1:$AS671,29,FALSE)," ")</f>
        <v xml:space="preserve"> </v>
      </c>
      <c r="W296" s="85" t="str" cm="1">
        <f t="array" ref="W296">IFERROR(VLOOKUP($A296,'The List'!$B1:$AS671,30,FALSE)," ")</f>
        <v xml:space="preserve"> </v>
      </c>
      <c r="X296" s="85" t="str" cm="1">
        <f t="array" ref="X296">IFERROR(VLOOKUP($A296,'The List'!$B1:$AS671,31,FALSE)," ")</f>
        <v xml:space="preserve"> </v>
      </c>
      <c r="Y296" s="85" t="str" cm="1">
        <f t="array" ref="Y296">IFERROR(VLOOKUP($A296,'The List'!$B1:$AS671,32,FALSE)," ")</f>
        <v xml:space="preserve"> </v>
      </c>
      <c r="Z296" s="85" t="str" cm="1">
        <f t="array" ref="Z296">IFERROR(VLOOKUP($A296,'The List'!$B1:$AS671,33,FALSE)," ")</f>
        <v xml:space="preserve"> </v>
      </c>
      <c r="AA296" s="86"/>
      <c r="AB296" s="91"/>
      <c r="AC296" s="91"/>
      <c r="AD296" s="91"/>
      <c r="AE296" s="91"/>
      <c r="AF296" s="91"/>
    </row>
    <row r="297" spans="1:32" ht="21.25" customHeight="1" x14ac:dyDescent="0.15">
      <c r="A297" s="24"/>
      <c r="B297" s="94" t="str" cm="1">
        <f t="array" ref="B297">IFERROR(VLOOKUP($A297,'The List'!$B1:$AS671,3,FALSE)," ")</f>
        <v xml:space="preserve"> </v>
      </c>
      <c r="C297" s="96" t="str" cm="1">
        <f t="array" ref="C297">IFERROR(VLOOKUP($A297,'The List'!$B1:$AS671,4,FALSE)," ")</f>
        <v xml:space="preserve"> </v>
      </c>
      <c r="D297" s="18" t="str" cm="1">
        <f t="array" ref="D297">IFERROR(VLOOKUP($A297,'The List'!$B1:$AS671,5,FALSE)," ")</f>
        <v xml:space="preserve"> </v>
      </c>
      <c r="E297" s="18" t="str" cm="1">
        <f t="array" ref="E297">IFERROR(VLOOKUP($A297,'The List'!$B1:$AS671,6,FALSE)," ")</f>
        <v xml:space="preserve"> </v>
      </c>
      <c r="F297" s="93" t="str" cm="1">
        <f t="array" ref="F297">IFERROR(VLOOKUP($A297,'The List'!$B1:$AS671,8,FALSE)," ")</f>
        <v xml:space="preserve"> </v>
      </c>
      <c r="G297" s="93" t="str" cm="1">
        <f t="array" ref="G297">IFERROR(VLOOKUP($A297,'The List'!$B1:$AS671,10,FALSE)," ")</f>
        <v xml:space="preserve"> </v>
      </c>
      <c r="H297" s="55"/>
      <c r="I297" s="85" t="str" cm="1">
        <f t="array" ref="I297">IFERROR(VLOOKUP($A297,'The List'!$B1:$AS671,16,FALSE)," ")</f>
        <v xml:space="preserve"> </v>
      </c>
      <c r="J297" s="85" t="str" cm="1">
        <f t="array" ref="J297">IFERROR(VLOOKUP($A297,'The List'!$B1:$AS671,17,FALSE)," ")</f>
        <v xml:space="preserve"> </v>
      </c>
      <c r="K297" s="85" t="str" cm="1">
        <f t="array" ref="K297">IFERROR(VLOOKUP($A297,'The List'!$B1:$AS671,18,FALSE)," ")</f>
        <v xml:space="preserve"> </v>
      </c>
      <c r="L297" s="85" t="str" cm="1">
        <f t="array" ref="L297">IFERROR(VLOOKUP($A297,'The List'!$B1:$AS671,19,FALSE)," ")</f>
        <v xml:space="preserve"> </v>
      </c>
      <c r="M297" s="85" t="str" cm="1">
        <f t="array" ref="M297">IFERROR(VLOOKUP($A297,'The List'!$B1:$AS671,20,FALSE)," ")</f>
        <v xml:space="preserve"> </v>
      </c>
      <c r="N297" s="85" t="str" cm="1">
        <f t="array" ref="N297">IFERROR(VLOOKUP($A297,'The List'!$B1:$AS671,21,FALSE)," ")</f>
        <v xml:space="preserve"> </v>
      </c>
      <c r="O297" s="85" t="str" cm="1">
        <f t="array" ref="O297">IFERROR(VLOOKUP($A297,'The List'!$B1:$AS671,22,FALSE)," ")</f>
        <v xml:space="preserve"> </v>
      </c>
      <c r="P297" s="85" t="str" cm="1">
        <f t="array" ref="P297">IFERROR(VLOOKUP($A297,'The List'!$B1:$AS671,23,FALSE)," ")</f>
        <v xml:space="preserve"> </v>
      </c>
      <c r="Q297" s="85" t="str" cm="1">
        <f t="array" ref="Q297">IFERROR(VLOOKUP($A297,'The List'!$B1:$AS671,24,FALSE)," ")</f>
        <v xml:space="preserve"> </v>
      </c>
      <c r="R297" s="85" t="str" cm="1">
        <f t="array" ref="R297">IFERROR(VLOOKUP($A297,'The List'!$B1:$AS671,25,FALSE)," ")</f>
        <v xml:space="preserve"> </v>
      </c>
      <c r="S297" s="85" t="str" cm="1">
        <f t="array" ref="S297">IFERROR(VLOOKUP($A297,'The List'!$B1:$AS671,26,FALSE)," ")</f>
        <v xml:space="preserve"> </v>
      </c>
      <c r="T297" s="85" t="str" cm="1">
        <f t="array" ref="T297">IFERROR(VLOOKUP($A297,'The List'!$B1:$AS671,27,FALSE)," ")</f>
        <v xml:space="preserve"> </v>
      </c>
      <c r="U297" s="85" t="str" cm="1">
        <f t="array" ref="U297">IFERROR(VLOOKUP($A297,'The List'!$B1:$AS671,28,FALSE)," ")</f>
        <v xml:space="preserve"> </v>
      </c>
      <c r="V297" s="85" t="str" cm="1">
        <f t="array" ref="V297">IFERROR(VLOOKUP($A297,'The List'!$B1:$AS671,29,FALSE)," ")</f>
        <v xml:space="preserve"> </v>
      </c>
      <c r="W297" s="85" t="str" cm="1">
        <f t="array" ref="W297">IFERROR(VLOOKUP($A297,'The List'!$B1:$AS671,30,FALSE)," ")</f>
        <v xml:space="preserve"> </v>
      </c>
      <c r="X297" s="85" t="str" cm="1">
        <f t="array" ref="X297">IFERROR(VLOOKUP($A297,'The List'!$B1:$AS671,31,FALSE)," ")</f>
        <v xml:space="preserve"> </v>
      </c>
      <c r="Y297" s="85" t="str" cm="1">
        <f t="array" ref="Y297">IFERROR(VLOOKUP($A297,'The List'!$B1:$AS671,32,FALSE)," ")</f>
        <v xml:space="preserve"> </v>
      </c>
      <c r="Z297" s="85" t="str" cm="1">
        <f t="array" ref="Z297">IFERROR(VLOOKUP($A297,'The List'!$B1:$AS671,33,FALSE)," ")</f>
        <v xml:space="preserve"> </v>
      </c>
      <c r="AA297" s="86"/>
      <c r="AB297" s="91"/>
      <c r="AC297" s="91"/>
      <c r="AD297" s="91"/>
      <c r="AE297" s="91"/>
      <c r="AF297" s="91"/>
    </row>
    <row r="298" spans="1:32" ht="21.25" customHeight="1" x14ac:dyDescent="0.15">
      <c r="A298" s="24"/>
      <c r="B298" s="94" t="str" cm="1">
        <f t="array" ref="B298">IFERROR(VLOOKUP($A298,'The List'!$B1:$AS671,3,FALSE)," ")</f>
        <v xml:space="preserve"> </v>
      </c>
      <c r="C298" s="96" t="str" cm="1">
        <f t="array" ref="C298">IFERROR(VLOOKUP($A298,'The List'!$B1:$AS671,4,FALSE)," ")</f>
        <v xml:space="preserve"> </v>
      </c>
      <c r="D298" s="18" t="str" cm="1">
        <f t="array" ref="D298">IFERROR(VLOOKUP($A298,'The List'!$B1:$AS671,5,FALSE)," ")</f>
        <v xml:space="preserve"> </v>
      </c>
      <c r="E298" s="18" t="str" cm="1">
        <f t="array" ref="E298">IFERROR(VLOOKUP($A298,'The List'!$B1:$AS671,6,FALSE)," ")</f>
        <v xml:space="preserve"> </v>
      </c>
      <c r="F298" s="93" t="str" cm="1">
        <f t="array" ref="F298">IFERROR(VLOOKUP($A298,'The List'!$B1:$AS671,8,FALSE)," ")</f>
        <v xml:space="preserve"> </v>
      </c>
      <c r="G298" s="93" t="str" cm="1">
        <f t="array" ref="G298">IFERROR(VLOOKUP($A298,'The List'!$B1:$AS671,10,FALSE)," ")</f>
        <v xml:space="preserve"> </v>
      </c>
      <c r="H298" s="55"/>
      <c r="I298" s="85" t="str" cm="1">
        <f t="array" ref="I298">IFERROR(VLOOKUP($A298,'The List'!$B1:$AS671,16,FALSE)," ")</f>
        <v xml:space="preserve"> </v>
      </c>
      <c r="J298" s="85" t="str" cm="1">
        <f t="array" ref="J298">IFERROR(VLOOKUP($A298,'The List'!$B1:$AS671,17,FALSE)," ")</f>
        <v xml:space="preserve"> </v>
      </c>
      <c r="K298" s="85" t="str" cm="1">
        <f t="array" ref="K298">IFERROR(VLOOKUP($A298,'The List'!$B1:$AS671,18,FALSE)," ")</f>
        <v xml:space="preserve"> </v>
      </c>
      <c r="L298" s="85" t="str" cm="1">
        <f t="array" ref="L298">IFERROR(VLOOKUP($A298,'The List'!$B1:$AS671,19,FALSE)," ")</f>
        <v xml:space="preserve"> </v>
      </c>
      <c r="M298" s="85" t="str" cm="1">
        <f t="array" ref="M298">IFERROR(VLOOKUP($A298,'The List'!$B1:$AS671,20,FALSE)," ")</f>
        <v xml:space="preserve"> </v>
      </c>
      <c r="N298" s="85" t="str" cm="1">
        <f t="array" ref="N298">IFERROR(VLOOKUP($A298,'The List'!$B1:$AS671,21,FALSE)," ")</f>
        <v xml:space="preserve"> </v>
      </c>
      <c r="O298" s="85" t="str" cm="1">
        <f t="array" ref="O298">IFERROR(VLOOKUP($A298,'The List'!$B1:$AS671,22,FALSE)," ")</f>
        <v xml:space="preserve"> </v>
      </c>
      <c r="P298" s="85" t="str" cm="1">
        <f t="array" ref="P298">IFERROR(VLOOKUP($A298,'The List'!$B1:$AS671,23,FALSE)," ")</f>
        <v xml:space="preserve"> </v>
      </c>
      <c r="Q298" s="85" t="str" cm="1">
        <f t="array" ref="Q298">IFERROR(VLOOKUP($A298,'The List'!$B1:$AS671,24,FALSE)," ")</f>
        <v xml:space="preserve"> </v>
      </c>
      <c r="R298" s="85" t="str" cm="1">
        <f t="array" ref="R298">IFERROR(VLOOKUP($A298,'The List'!$B1:$AS671,25,FALSE)," ")</f>
        <v xml:space="preserve"> </v>
      </c>
      <c r="S298" s="85" t="str" cm="1">
        <f t="array" ref="S298">IFERROR(VLOOKUP($A298,'The List'!$B1:$AS671,26,FALSE)," ")</f>
        <v xml:space="preserve"> </v>
      </c>
      <c r="T298" s="85" t="str" cm="1">
        <f t="array" ref="T298">IFERROR(VLOOKUP($A298,'The List'!$B1:$AS671,27,FALSE)," ")</f>
        <v xml:space="preserve"> </v>
      </c>
      <c r="U298" s="85" t="str" cm="1">
        <f t="array" ref="U298">IFERROR(VLOOKUP($A298,'The List'!$B1:$AS671,28,FALSE)," ")</f>
        <v xml:space="preserve"> </v>
      </c>
      <c r="V298" s="85" t="str" cm="1">
        <f t="array" ref="V298">IFERROR(VLOOKUP($A298,'The List'!$B1:$AS671,29,FALSE)," ")</f>
        <v xml:space="preserve"> </v>
      </c>
      <c r="W298" s="85" t="str" cm="1">
        <f t="array" ref="W298">IFERROR(VLOOKUP($A298,'The List'!$B1:$AS671,30,FALSE)," ")</f>
        <v xml:space="preserve"> </v>
      </c>
      <c r="X298" s="85" t="str" cm="1">
        <f t="array" ref="X298">IFERROR(VLOOKUP($A298,'The List'!$B1:$AS671,31,FALSE)," ")</f>
        <v xml:space="preserve"> </v>
      </c>
      <c r="Y298" s="85" t="str" cm="1">
        <f t="array" ref="Y298">IFERROR(VLOOKUP($A298,'The List'!$B1:$AS671,32,FALSE)," ")</f>
        <v xml:space="preserve"> </v>
      </c>
      <c r="Z298" s="85" t="str" cm="1">
        <f t="array" ref="Z298">IFERROR(VLOOKUP($A298,'The List'!$B1:$AS671,33,FALSE)," ")</f>
        <v xml:space="preserve"> </v>
      </c>
      <c r="AA298" s="86"/>
      <c r="AB298" s="91"/>
      <c r="AC298" s="91"/>
      <c r="AD298" s="91"/>
      <c r="AE298" s="91"/>
      <c r="AF298" s="91"/>
    </row>
    <row r="299" spans="1:32" ht="21.25" customHeight="1" x14ac:dyDescent="0.15">
      <c r="A299" s="24"/>
      <c r="B299" s="94" t="str" cm="1">
        <f t="array" ref="B299">IFERROR(VLOOKUP($A299,'The List'!$B1:$AS671,3,FALSE)," ")</f>
        <v xml:space="preserve"> </v>
      </c>
      <c r="C299" s="96" t="str" cm="1">
        <f t="array" ref="C299">IFERROR(VLOOKUP($A299,'The List'!$B1:$AS671,4,FALSE)," ")</f>
        <v xml:space="preserve"> </v>
      </c>
      <c r="D299" s="18" t="str" cm="1">
        <f t="array" ref="D299">IFERROR(VLOOKUP($A299,'The List'!$B1:$AS671,5,FALSE)," ")</f>
        <v xml:space="preserve"> </v>
      </c>
      <c r="E299" s="18" t="str" cm="1">
        <f t="array" ref="E299">IFERROR(VLOOKUP($A299,'The List'!$B1:$AS671,6,FALSE)," ")</f>
        <v xml:space="preserve"> </v>
      </c>
      <c r="F299" s="93" t="str" cm="1">
        <f t="array" ref="F299">IFERROR(VLOOKUP($A299,'The List'!$B1:$AS671,8,FALSE)," ")</f>
        <v xml:space="preserve"> </v>
      </c>
      <c r="G299" s="93" t="str" cm="1">
        <f t="array" ref="G299">IFERROR(VLOOKUP($A299,'The List'!$B1:$AS671,10,FALSE)," ")</f>
        <v xml:space="preserve"> </v>
      </c>
      <c r="H299" s="55"/>
      <c r="I299" s="85" t="str" cm="1">
        <f t="array" ref="I299">IFERROR(VLOOKUP($A299,'The List'!$B1:$AS671,16,FALSE)," ")</f>
        <v xml:space="preserve"> </v>
      </c>
      <c r="J299" s="85" t="str" cm="1">
        <f t="array" ref="J299">IFERROR(VLOOKUP($A299,'The List'!$B1:$AS671,17,FALSE)," ")</f>
        <v xml:space="preserve"> </v>
      </c>
      <c r="K299" s="85" t="str" cm="1">
        <f t="array" ref="K299">IFERROR(VLOOKUP($A299,'The List'!$B1:$AS671,18,FALSE)," ")</f>
        <v xml:space="preserve"> </v>
      </c>
      <c r="L299" s="85" t="str" cm="1">
        <f t="array" ref="L299">IFERROR(VLOOKUP($A299,'The List'!$B1:$AS671,19,FALSE)," ")</f>
        <v xml:space="preserve"> </v>
      </c>
      <c r="M299" s="85" t="str" cm="1">
        <f t="array" ref="M299">IFERROR(VLOOKUP($A299,'The List'!$B1:$AS671,20,FALSE)," ")</f>
        <v xml:space="preserve"> </v>
      </c>
      <c r="N299" s="85" t="str" cm="1">
        <f t="array" ref="N299">IFERROR(VLOOKUP($A299,'The List'!$B1:$AS671,21,FALSE)," ")</f>
        <v xml:space="preserve"> </v>
      </c>
      <c r="O299" s="85" t="str" cm="1">
        <f t="array" ref="O299">IFERROR(VLOOKUP($A299,'The List'!$B1:$AS671,22,FALSE)," ")</f>
        <v xml:space="preserve"> </v>
      </c>
      <c r="P299" s="85" t="str" cm="1">
        <f t="array" ref="P299">IFERROR(VLOOKUP($A299,'The List'!$B1:$AS671,23,FALSE)," ")</f>
        <v xml:space="preserve"> </v>
      </c>
      <c r="Q299" s="85" t="str" cm="1">
        <f t="array" ref="Q299">IFERROR(VLOOKUP($A299,'The List'!$B1:$AS671,24,FALSE)," ")</f>
        <v xml:space="preserve"> </v>
      </c>
      <c r="R299" s="85" t="str" cm="1">
        <f t="array" ref="R299">IFERROR(VLOOKUP($A299,'The List'!$B1:$AS671,25,FALSE)," ")</f>
        <v xml:space="preserve"> </v>
      </c>
      <c r="S299" s="85" t="str" cm="1">
        <f t="array" ref="S299">IFERROR(VLOOKUP($A299,'The List'!$B1:$AS671,26,FALSE)," ")</f>
        <v xml:space="preserve"> </v>
      </c>
      <c r="T299" s="85" t="str" cm="1">
        <f t="array" ref="T299">IFERROR(VLOOKUP($A299,'The List'!$B1:$AS671,27,FALSE)," ")</f>
        <v xml:space="preserve"> </v>
      </c>
      <c r="U299" s="85" t="str" cm="1">
        <f t="array" ref="U299">IFERROR(VLOOKUP($A299,'The List'!$B1:$AS671,28,FALSE)," ")</f>
        <v xml:space="preserve"> </v>
      </c>
      <c r="V299" s="85" t="str" cm="1">
        <f t="array" ref="V299">IFERROR(VLOOKUP($A299,'The List'!$B1:$AS671,29,FALSE)," ")</f>
        <v xml:space="preserve"> </v>
      </c>
      <c r="W299" s="85" t="str" cm="1">
        <f t="array" ref="W299">IFERROR(VLOOKUP($A299,'The List'!$B1:$AS671,30,FALSE)," ")</f>
        <v xml:space="preserve"> </v>
      </c>
      <c r="X299" s="85" t="str" cm="1">
        <f t="array" ref="X299">IFERROR(VLOOKUP($A299,'The List'!$B1:$AS671,31,FALSE)," ")</f>
        <v xml:space="preserve"> </v>
      </c>
      <c r="Y299" s="85" t="str" cm="1">
        <f t="array" ref="Y299">IFERROR(VLOOKUP($A299,'The List'!$B1:$AS671,32,FALSE)," ")</f>
        <v xml:space="preserve"> </v>
      </c>
      <c r="Z299" s="85" t="str" cm="1">
        <f t="array" ref="Z299">IFERROR(VLOOKUP($A299,'The List'!$B1:$AS671,33,FALSE)," ")</f>
        <v xml:space="preserve"> </v>
      </c>
      <c r="AA299" s="86"/>
      <c r="AB299" s="91"/>
      <c r="AC299" s="91"/>
      <c r="AD299" s="91"/>
      <c r="AE299" s="91"/>
      <c r="AF299" s="91"/>
    </row>
    <row r="300" spans="1:32" ht="21.25" customHeight="1" x14ac:dyDescent="0.15">
      <c r="A300" s="24"/>
      <c r="B300" s="97" t="str" cm="1">
        <f t="array" ref="B300">IFERROR(VLOOKUP($A300,'The List'!$B1:$AS671,3,FALSE)," ")</f>
        <v xml:space="preserve"> </v>
      </c>
      <c r="C300" s="99" t="str" cm="1">
        <f t="array" ref="C300">IFERROR(VLOOKUP($A300,'The List'!$B1:$AS671,4,FALSE)," ")</f>
        <v xml:space="preserve"> </v>
      </c>
      <c r="D300" s="18" t="str" cm="1">
        <f t="array" ref="D300">IFERROR(VLOOKUP($A300,'The List'!$B1:$AS671,5,FALSE)," ")</f>
        <v xml:space="preserve"> </v>
      </c>
      <c r="E300" s="18" t="str" cm="1">
        <f t="array" ref="E300">IFERROR(VLOOKUP($A300,'The List'!$B1:$AS671,6,FALSE)," ")</f>
        <v xml:space="preserve"> </v>
      </c>
      <c r="F300" s="93" t="str" cm="1">
        <f t="array" ref="F300">IFERROR(VLOOKUP($A300,'The List'!$B1:$AS671,8,FALSE)," ")</f>
        <v xml:space="preserve"> </v>
      </c>
      <c r="G300" s="93" t="str" cm="1">
        <f t="array" ref="G300">IFERROR(VLOOKUP($A300,'The List'!$B1:$AS671,10,FALSE)," ")</f>
        <v xml:space="preserve"> </v>
      </c>
      <c r="H300" s="55"/>
      <c r="I300" s="85" t="str" cm="1">
        <f t="array" ref="I300">IFERROR(VLOOKUP($A300,'The List'!$B1:$AS671,16,FALSE)," ")</f>
        <v xml:space="preserve"> </v>
      </c>
      <c r="J300" s="85" t="str" cm="1">
        <f t="array" ref="J300">IFERROR(VLOOKUP($A300,'The List'!$B1:$AS671,17,FALSE)," ")</f>
        <v xml:space="preserve"> </v>
      </c>
      <c r="K300" s="85" t="str" cm="1">
        <f t="array" ref="K300">IFERROR(VLOOKUP($A300,'The List'!$B1:$AS671,18,FALSE)," ")</f>
        <v xml:space="preserve"> </v>
      </c>
      <c r="L300" s="85" t="str" cm="1">
        <f t="array" ref="L300">IFERROR(VLOOKUP($A300,'The List'!$B1:$AS671,19,FALSE)," ")</f>
        <v xml:space="preserve"> </v>
      </c>
      <c r="M300" s="85" t="str" cm="1">
        <f t="array" ref="M300">IFERROR(VLOOKUP($A300,'The List'!$B1:$AS671,20,FALSE)," ")</f>
        <v xml:space="preserve"> </v>
      </c>
      <c r="N300" s="85" t="str" cm="1">
        <f t="array" ref="N300">IFERROR(VLOOKUP($A300,'The List'!$B1:$AS671,21,FALSE)," ")</f>
        <v xml:space="preserve"> </v>
      </c>
      <c r="O300" s="85" t="str" cm="1">
        <f t="array" ref="O300">IFERROR(VLOOKUP($A300,'The List'!$B1:$AS671,22,FALSE)," ")</f>
        <v xml:space="preserve"> </v>
      </c>
      <c r="P300" s="85" t="str" cm="1">
        <f t="array" ref="P300">IFERROR(VLOOKUP($A300,'The List'!$B1:$AS671,23,FALSE)," ")</f>
        <v xml:space="preserve"> </v>
      </c>
      <c r="Q300" s="85" t="str" cm="1">
        <f t="array" ref="Q300">IFERROR(VLOOKUP($A300,'The List'!$B1:$AS671,24,FALSE)," ")</f>
        <v xml:space="preserve"> </v>
      </c>
      <c r="R300" s="85" t="str" cm="1">
        <f t="array" ref="R300">IFERROR(VLOOKUP($A300,'The List'!$B1:$AS671,25,FALSE)," ")</f>
        <v xml:space="preserve"> </v>
      </c>
      <c r="S300" s="85" t="str" cm="1">
        <f t="array" ref="S300">IFERROR(VLOOKUP($A300,'The List'!$B1:$AS671,26,FALSE)," ")</f>
        <v xml:space="preserve"> </v>
      </c>
      <c r="T300" s="85" t="str" cm="1">
        <f t="array" ref="T300">IFERROR(VLOOKUP($A300,'The List'!$B1:$AS671,27,FALSE)," ")</f>
        <v xml:space="preserve"> </v>
      </c>
      <c r="U300" s="85" t="str" cm="1">
        <f t="array" ref="U300">IFERROR(VLOOKUP($A300,'The List'!$B1:$AS671,28,FALSE)," ")</f>
        <v xml:space="preserve"> </v>
      </c>
      <c r="V300" s="85" t="str" cm="1">
        <f t="array" ref="V300">IFERROR(VLOOKUP($A300,'The List'!$B1:$AS671,29,FALSE)," ")</f>
        <v xml:space="preserve"> </v>
      </c>
      <c r="W300" s="85" t="str" cm="1">
        <f t="array" ref="W300">IFERROR(VLOOKUP($A300,'The List'!$B1:$AS671,30,FALSE)," ")</f>
        <v xml:space="preserve"> </v>
      </c>
      <c r="X300" s="85" t="str" cm="1">
        <f t="array" ref="X300">IFERROR(VLOOKUP($A300,'The List'!$B1:$AS671,31,FALSE)," ")</f>
        <v xml:space="preserve"> </v>
      </c>
      <c r="Y300" s="85" t="str" cm="1">
        <f t="array" ref="Y300">IFERROR(VLOOKUP($A300,'The List'!$B1:$AS671,32,FALSE)," ")</f>
        <v xml:space="preserve"> </v>
      </c>
      <c r="Z300" s="85" t="str" cm="1">
        <f t="array" ref="Z300">IFERROR(VLOOKUP($A300,'The List'!$B1:$AS671,33,FALSE)," ")</f>
        <v xml:space="preserve"> </v>
      </c>
      <c r="AA300" s="86"/>
      <c r="AB300" s="91"/>
      <c r="AC300" s="91"/>
      <c r="AD300" s="91"/>
      <c r="AE300" s="91"/>
      <c r="AF300" s="91"/>
    </row>
    <row r="301" spans="1:32" ht="21.25" customHeight="1" x14ac:dyDescent="0.15">
      <c r="A301" s="24"/>
      <c r="B301" s="97" t="str" cm="1">
        <f t="array" ref="B301">IFERROR(VLOOKUP($A301,'The List'!$B1:$AS671,3,FALSE)," ")</f>
        <v xml:space="preserve"> </v>
      </c>
      <c r="C301" s="99" t="str" cm="1">
        <f t="array" ref="C301">IFERROR(VLOOKUP($A301,'The List'!$B1:$AS671,4,FALSE)," ")</f>
        <v xml:space="preserve"> </v>
      </c>
      <c r="D301" s="18" t="str" cm="1">
        <f t="array" ref="D301">IFERROR(VLOOKUP($A301,'The List'!$B1:$AS671,5,FALSE)," ")</f>
        <v xml:space="preserve"> </v>
      </c>
      <c r="E301" s="18" t="str" cm="1">
        <f t="array" ref="E301">IFERROR(VLOOKUP($A301,'The List'!$B1:$AS671,6,FALSE)," ")</f>
        <v xml:space="preserve"> </v>
      </c>
      <c r="F301" s="93" t="str" cm="1">
        <f t="array" ref="F301">IFERROR(VLOOKUP($A301,'The List'!$B1:$AS671,8,FALSE)," ")</f>
        <v xml:space="preserve"> </v>
      </c>
      <c r="G301" s="93" t="str" cm="1">
        <f t="array" ref="G301">IFERROR(VLOOKUP($A301,'The List'!$B1:$AS671,10,FALSE)," ")</f>
        <v xml:space="preserve"> </v>
      </c>
      <c r="H301" s="55"/>
      <c r="I301" s="85" t="str" cm="1">
        <f t="array" ref="I301">IFERROR(VLOOKUP($A301,'The List'!$B1:$AS671,16,FALSE)," ")</f>
        <v xml:space="preserve"> </v>
      </c>
      <c r="J301" s="85" t="str" cm="1">
        <f t="array" ref="J301">IFERROR(VLOOKUP($A301,'The List'!$B1:$AS671,17,FALSE)," ")</f>
        <v xml:space="preserve"> </v>
      </c>
      <c r="K301" s="85" t="str" cm="1">
        <f t="array" ref="K301">IFERROR(VLOOKUP($A301,'The List'!$B1:$AS671,18,FALSE)," ")</f>
        <v xml:space="preserve"> </v>
      </c>
      <c r="L301" s="85" t="str" cm="1">
        <f t="array" ref="L301">IFERROR(VLOOKUP($A301,'The List'!$B1:$AS671,19,FALSE)," ")</f>
        <v xml:space="preserve"> </v>
      </c>
      <c r="M301" s="85" t="str" cm="1">
        <f t="array" ref="M301">IFERROR(VLOOKUP($A301,'The List'!$B1:$AS671,20,FALSE)," ")</f>
        <v xml:space="preserve"> </v>
      </c>
      <c r="N301" s="85" t="str" cm="1">
        <f t="array" ref="N301">IFERROR(VLOOKUP($A301,'The List'!$B1:$AS671,21,FALSE)," ")</f>
        <v xml:space="preserve"> </v>
      </c>
      <c r="O301" s="85" t="str" cm="1">
        <f t="array" ref="O301">IFERROR(VLOOKUP($A301,'The List'!$B1:$AS671,22,FALSE)," ")</f>
        <v xml:space="preserve"> </v>
      </c>
      <c r="P301" s="85" t="str" cm="1">
        <f t="array" ref="P301">IFERROR(VLOOKUP($A301,'The List'!$B1:$AS671,23,FALSE)," ")</f>
        <v xml:space="preserve"> </v>
      </c>
      <c r="Q301" s="85" t="str" cm="1">
        <f t="array" ref="Q301">IFERROR(VLOOKUP($A301,'The List'!$B1:$AS671,24,FALSE)," ")</f>
        <v xml:space="preserve"> </v>
      </c>
      <c r="R301" s="85" t="str" cm="1">
        <f t="array" ref="R301">IFERROR(VLOOKUP($A301,'The List'!$B1:$AS671,25,FALSE)," ")</f>
        <v xml:space="preserve"> </v>
      </c>
      <c r="S301" s="85" t="str" cm="1">
        <f t="array" ref="S301">IFERROR(VLOOKUP($A301,'The List'!$B1:$AS671,26,FALSE)," ")</f>
        <v xml:space="preserve"> </v>
      </c>
      <c r="T301" s="85" t="str" cm="1">
        <f t="array" ref="T301">IFERROR(VLOOKUP($A301,'The List'!$B1:$AS671,27,FALSE)," ")</f>
        <v xml:space="preserve"> </v>
      </c>
      <c r="U301" s="85" t="str" cm="1">
        <f t="array" ref="U301">IFERROR(VLOOKUP($A301,'The List'!$B1:$AS671,28,FALSE)," ")</f>
        <v xml:space="preserve"> </v>
      </c>
      <c r="V301" s="85" t="str" cm="1">
        <f t="array" ref="V301">IFERROR(VLOOKUP($A301,'The List'!$B1:$AS671,29,FALSE)," ")</f>
        <v xml:space="preserve"> </v>
      </c>
      <c r="W301" s="85" t="str" cm="1">
        <f t="array" ref="W301">IFERROR(VLOOKUP($A301,'The List'!$B1:$AS671,30,FALSE)," ")</f>
        <v xml:space="preserve"> </v>
      </c>
      <c r="X301" s="85" t="str" cm="1">
        <f t="array" ref="X301">IFERROR(VLOOKUP($A301,'The List'!$B1:$AS671,31,FALSE)," ")</f>
        <v xml:space="preserve"> </v>
      </c>
      <c r="Y301" s="85" t="str" cm="1">
        <f t="array" ref="Y301">IFERROR(VLOOKUP($A301,'The List'!$B1:$AS671,32,FALSE)," ")</f>
        <v xml:space="preserve"> </v>
      </c>
      <c r="Z301" s="85" t="str" cm="1">
        <f t="array" ref="Z301">IFERROR(VLOOKUP($A301,'The List'!$B1:$AS671,33,FALSE)," ")</f>
        <v xml:space="preserve"> </v>
      </c>
      <c r="AA301" s="86"/>
      <c r="AB301" s="91"/>
      <c r="AC301" s="91"/>
      <c r="AD301" s="91"/>
      <c r="AE301" s="91"/>
      <c r="AF301" s="91"/>
    </row>
    <row r="302" spans="1:32" ht="21.25" customHeight="1" x14ac:dyDescent="0.15">
      <c r="A302" s="24"/>
      <c r="B302" s="97" t="str" cm="1">
        <f t="array" ref="B302">IFERROR(VLOOKUP($A302,'The List'!$B1:$AS671,3,FALSE)," ")</f>
        <v xml:space="preserve"> </v>
      </c>
      <c r="C302" s="99" t="str" cm="1">
        <f t="array" ref="C302">IFERROR(VLOOKUP($A302,'The List'!$B1:$AS671,4,FALSE)," ")</f>
        <v xml:space="preserve"> </v>
      </c>
      <c r="D302" s="18" t="str" cm="1">
        <f t="array" ref="D302">IFERROR(VLOOKUP($A302,'The List'!$B1:$AS671,5,FALSE)," ")</f>
        <v xml:space="preserve"> </v>
      </c>
      <c r="E302" s="18" t="str" cm="1">
        <f t="array" ref="E302">IFERROR(VLOOKUP($A302,'The List'!$B1:$AS671,6,FALSE)," ")</f>
        <v xml:space="preserve"> </v>
      </c>
      <c r="F302" s="93" t="str" cm="1">
        <f t="array" ref="F302">IFERROR(VLOOKUP($A302,'The List'!$B1:$AS671,8,FALSE)," ")</f>
        <v xml:space="preserve"> </v>
      </c>
      <c r="G302" s="93" t="str" cm="1">
        <f t="array" ref="G302">IFERROR(VLOOKUP($A302,'The List'!$B1:$AS671,10,FALSE)," ")</f>
        <v xml:space="preserve"> </v>
      </c>
      <c r="H302" s="55"/>
      <c r="I302" s="85" t="str" cm="1">
        <f t="array" ref="I302">IFERROR(VLOOKUP($A302,'The List'!$B1:$AS671,16,FALSE)," ")</f>
        <v xml:space="preserve"> </v>
      </c>
      <c r="J302" s="85" t="str" cm="1">
        <f t="array" ref="J302">IFERROR(VLOOKUP($A302,'The List'!$B1:$AS671,17,FALSE)," ")</f>
        <v xml:space="preserve"> </v>
      </c>
      <c r="K302" s="85" t="str" cm="1">
        <f t="array" ref="K302">IFERROR(VLOOKUP($A302,'The List'!$B1:$AS671,18,FALSE)," ")</f>
        <v xml:space="preserve"> </v>
      </c>
      <c r="L302" s="85" t="str" cm="1">
        <f t="array" ref="L302">IFERROR(VLOOKUP($A302,'The List'!$B1:$AS671,19,FALSE)," ")</f>
        <v xml:space="preserve"> </v>
      </c>
      <c r="M302" s="85" t="str" cm="1">
        <f t="array" ref="M302">IFERROR(VLOOKUP($A302,'The List'!$B1:$AS671,20,FALSE)," ")</f>
        <v xml:space="preserve"> </v>
      </c>
      <c r="N302" s="85" t="str" cm="1">
        <f t="array" ref="N302">IFERROR(VLOOKUP($A302,'The List'!$B1:$AS671,21,FALSE)," ")</f>
        <v xml:space="preserve"> </v>
      </c>
      <c r="O302" s="85" t="str" cm="1">
        <f t="array" ref="O302">IFERROR(VLOOKUP($A302,'The List'!$B1:$AS671,22,FALSE)," ")</f>
        <v xml:space="preserve"> </v>
      </c>
      <c r="P302" s="85" t="str" cm="1">
        <f t="array" ref="P302">IFERROR(VLOOKUP($A302,'The List'!$B1:$AS671,23,FALSE)," ")</f>
        <v xml:space="preserve"> </v>
      </c>
      <c r="Q302" s="85" t="str" cm="1">
        <f t="array" ref="Q302">IFERROR(VLOOKUP($A302,'The List'!$B1:$AS671,24,FALSE)," ")</f>
        <v xml:space="preserve"> </v>
      </c>
      <c r="R302" s="85" t="str" cm="1">
        <f t="array" ref="R302">IFERROR(VLOOKUP($A302,'The List'!$B1:$AS671,25,FALSE)," ")</f>
        <v xml:space="preserve"> </v>
      </c>
      <c r="S302" s="85" t="str" cm="1">
        <f t="array" ref="S302">IFERROR(VLOOKUP($A302,'The List'!$B1:$AS671,26,FALSE)," ")</f>
        <v xml:space="preserve"> </v>
      </c>
      <c r="T302" s="85" t="str" cm="1">
        <f t="array" ref="T302">IFERROR(VLOOKUP($A302,'The List'!$B1:$AS671,27,FALSE)," ")</f>
        <v xml:space="preserve"> </v>
      </c>
      <c r="U302" s="85" t="str" cm="1">
        <f t="array" ref="U302">IFERROR(VLOOKUP($A302,'The List'!$B1:$AS671,28,FALSE)," ")</f>
        <v xml:space="preserve"> </v>
      </c>
      <c r="V302" s="85" t="str" cm="1">
        <f t="array" ref="V302">IFERROR(VLOOKUP($A302,'The List'!$B1:$AS671,29,FALSE)," ")</f>
        <v xml:space="preserve"> </v>
      </c>
      <c r="W302" s="85" t="str" cm="1">
        <f t="array" ref="W302">IFERROR(VLOOKUP($A302,'The List'!$B1:$AS671,30,FALSE)," ")</f>
        <v xml:space="preserve"> </v>
      </c>
      <c r="X302" s="85" t="str" cm="1">
        <f t="array" ref="X302">IFERROR(VLOOKUP($A302,'The List'!$B1:$AS671,31,FALSE)," ")</f>
        <v xml:space="preserve"> </v>
      </c>
      <c r="Y302" s="85" t="str" cm="1">
        <f t="array" ref="Y302">IFERROR(VLOOKUP($A302,'The List'!$B1:$AS671,32,FALSE)," ")</f>
        <v xml:space="preserve"> </v>
      </c>
      <c r="Z302" s="85" t="str" cm="1">
        <f t="array" ref="Z302">IFERROR(VLOOKUP($A302,'The List'!$B1:$AS671,33,FALSE)," ")</f>
        <v xml:space="preserve"> </v>
      </c>
      <c r="AA302" s="86"/>
      <c r="AB302" s="91"/>
      <c r="AC302" s="91"/>
      <c r="AD302" s="91"/>
      <c r="AE302" s="91"/>
      <c r="AF302" s="91"/>
    </row>
    <row r="303" spans="1:32" ht="21.25" customHeight="1" x14ac:dyDescent="0.15">
      <c r="A303" s="24"/>
      <c r="B303" s="97" t="str" cm="1">
        <f t="array" ref="B303">IFERROR(VLOOKUP($A303,'The List'!$B1:$AS671,3,FALSE)," ")</f>
        <v xml:space="preserve"> </v>
      </c>
      <c r="C303" s="99" t="str" cm="1">
        <f t="array" ref="C303">IFERROR(VLOOKUP($A303,'The List'!$B1:$AS671,4,FALSE)," ")</f>
        <v xml:space="preserve"> </v>
      </c>
      <c r="D303" s="18" t="str" cm="1">
        <f t="array" ref="D303">IFERROR(VLOOKUP($A303,'The List'!$B1:$AS671,5,FALSE)," ")</f>
        <v xml:space="preserve"> </v>
      </c>
      <c r="E303" s="18" t="str" cm="1">
        <f t="array" ref="E303">IFERROR(VLOOKUP($A303,'The List'!$B1:$AS671,6,FALSE)," ")</f>
        <v xml:space="preserve"> </v>
      </c>
      <c r="F303" s="93" t="str" cm="1">
        <f t="array" ref="F303">IFERROR(VLOOKUP($A303,'The List'!$B1:$AS671,8,FALSE)," ")</f>
        <v xml:space="preserve"> </v>
      </c>
      <c r="G303" s="93" t="str" cm="1">
        <f t="array" ref="G303">IFERROR(VLOOKUP($A303,'The List'!$B1:$AS671,10,FALSE)," ")</f>
        <v xml:space="preserve"> </v>
      </c>
      <c r="H303" s="55"/>
      <c r="I303" s="85" t="str" cm="1">
        <f t="array" ref="I303">IFERROR(VLOOKUP($A303,'The List'!$B1:$AS671,16,FALSE)," ")</f>
        <v xml:space="preserve"> </v>
      </c>
      <c r="J303" s="85" t="str" cm="1">
        <f t="array" ref="J303">IFERROR(VLOOKUP($A303,'The List'!$B1:$AS671,17,FALSE)," ")</f>
        <v xml:space="preserve"> </v>
      </c>
      <c r="K303" s="85" t="str" cm="1">
        <f t="array" ref="K303">IFERROR(VLOOKUP($A303,'The List'!$B1:$AS671,18,FALSE)," ")</f>
        <v xml:space="preserve"> </v>
      </c>
      <c r="L303" s="85" t="str" cm="1">
        <f t="array" ref="L303">IFERROR(VLOOKUP($A303,'The List'!$B1:$AS671,19,FALSE)," ")</f>
        <v xml:space="preserve"> </v>
      </c>
      <c r="M303" s="85" t="str" cm="1">
        <f t="array" ref="M303">IFERROR(VLOOKUP($A303,'The List'!$B1:$AS671,20,FALSE)," ")</f>
        <v xml:space="preserve"> </v>
      </c>
      <c r="N303" s="85" t="str" cm="1">
        <f t="array" ref="N303">IFERROR(VLOOKUP($A303,'The List'!$B1:$AS671,21,FALSE)," ")</f>
        <v xml:space="preserve"> </v>
      </c>
      <c r="O303" s="85" t="str" cm="1">
        <f t="array" ref="O303">IFERROR(VLOOKUP($A303,'The List'!$B1:$AS671,22,FALSE)," ")</f>
        <v xml:space="preserve"> </v>
      </c>
      <c r="P303" s="85" t="str" cm="1">
        <f t="array" ref="P303">IFERROR(VLOOKUP($A303,'The List'!$B1:$AS671,23,FALSE)," ")</f>
        <v xml:space="preserve"> </v>
      </c>
      <c r="Q303" s="85" t="str" cm="1">
        <f t="array" ref="Q303">IFERROR(VLOOKUP($A303,'The List'!$B1:$AS671,24,FALSE)," ")</f>
        <v xml:space="preserve"> </v>
      </c>
      <c r="R303" s="85" t="str" cm="1">
        <f t="array" ref="R303">IFERROR(VLOOKUP($A303,'The List'!$B1:$AS671,25,FALSE)," ")</f>
        <v xml:space="preserve"> </v>
      </c>
      <c r="S303" s="85" t="str" cm="1">
        <f t="array" ref="S303">IFERROR(VLOOKUP($A303,'The List'!$B1:$AS671,26,FALSE)," ")</f>
        <v xml:space="preserve"> </v>
      </c>
      <c r="T303" s="85" t="str" cm="1">
        <f t="array" ref="T303">IFERROR(VLOOKUP($A303,'The List'!$B1:$AS671,27,FALSE)," ")</f>
        <v xml:space="preserve"> </v>
      </c>
      <c r="U303" s="85" t="str" cm="1">
        <f t="array" ref="U303">IFERROR(VLOOKUP($A303,'The List'!$B1:$AS671,28,FALSE)," ")</f>
        <v xml:space="preserve"> </v>
      </c>
      <c r="V303" s="85" t="str" cm="1">
        <f t="array" ref="V303">IFERROR(VLOOKUP($A303,'The List'!$B1:$AS671,29,FALSE)," ")</f>
        <v xml:space="preserve"> </v>
      </c>
      <c r="W303" s="85" t="str" cm="1">
        <f t="array" ref="W303">IFERROR(VLOOKUP($A303,'The List'!$B1:$AS671,30,FALSE)," ")</f>
        <v xml:space="preserve"> </v>
      </c>
      <c r="X303" s="85" t="str" cm="1">
        <f t="array" ref="X303">IFERROR(VLOOKUP($A303,'The List'!$B1:$AS671,31,FALSE)," ")</f>
        <v xml:space="preserve"> </v>
      </c>
      <c r="Y303" s="85" t="str" cm="1">
        <f t="array" ref="Y303">IFERROR(VLOOKUP($A303,'The List'!$B1:$AS671,32,FALSE)," ")</f>
        <v xml:space="preserve"> </v>
      </c>
      <c r="Z303" s="85" t="str" cm="1">
        <f t="array" ref="Z303">IFERROR(VLOOKUP($A303,'The List'!$B1:$AS671,33,FALSE)," ")</f>
        <v xml:space="preserve"> </v>
      </c>
      <c r="AA303" s="86"/>
      <c r="AB303" s="91"/>
      <c r="AC303" s="91"/>
      <c r="AD303" s="91"/>
      <c r="AE303" s="91"/>
      <c r="AF303" s="91"/>
    </row>
    <row r="304" spans="1:32" ht="21.25" customHeight="1" x14ac:dyDescent="0.15">
      <c r="A304" s="24"/>
      <c r="B304" s="100" t="str" cm="1">
        <f t="array" ref="B304">IFERROR(VLOOKUP($A304,'The List'!$B1:$AS671,3,FALSE)," ")</f>
        <v xml:space="preserve"> </v>
      </c>
      <c r="C304" s="102" t="str" cm="1">
        <f t="array" ref="C304">IFERROR(VLOOKUP($A304,'The List'!$B1:$AS671,4,FALSE)," ")</f>
        <v xml:space="preserve"> </v>
      </c>
      <c r="D304" s="18" t="str" cm="1">
        <f t="array" ref="D304">IFERROR(VLOOKUP($A304,'The List'!$B1:$AS671,5,FALSE)," ")</f>
        <v xml:space="preserve"> </v>
      </c>
      <c r="E304" s="18" t="str" cm="1">
        <f t="array" ref="E304">IFERROR(VLOOKUP($A304,'The List'!$B1:$AS671,6,FALSE)," ")</f>
        <v xml:space="preserve"> </v>
      </c>
      <c r="F304" s="93" t="str" cm="1">
        <f t="array" ref="F304">IFERROR(VLOOKUP($A304,'The List'!$B1:$AS671,8,FALSE)," ")</f>
        <v xml:space="preserve"> </v>
      </c>
      <c r="G304" s="93" t="str" cm="1">
        <f t="array" ref="G304">IFERROR(VLOOKUP($A304,'The List'!$B1:$AS671,10,FALSE)," ")</f>
        <v xml:space="preserve"> </v>
      </c>
      <c r="H304" s="55"/>
      <c r="I304" s="85" t="str" cm="1">
        <f t="array" ref="I304">IFERROR(VLOOKUP($A304,'The List'!$B1:$AS671,16,FALSE)," ")</f>
        <v xml:space="preserve"> </v>
      </c>
      <c r="J304" s="85" t="str" cm="1">
        <f t="array" ref="J304">IFERROR(VLOOKUP($A304,'The List'!$B1:$AS671,17,FALSE)," ")</f>
        <v xml:space="preserve"> </v>
      </c>
      <c r="K304" s="85" t="str" cm="1">
        <f t="array" ref="K304">IFERROR(VLOOKUP($A304,'The List'!$B1:$AS671,18,FALSE)," ")</f>
        <v xml:space="preserve"> </v>
      </c>
      <c r="L304" s="85" t="str" cm="1">
        <f t="array" ref="L304">IFERROR(VLOOKUP($A304,'The List'!$B1:$AS671,19,FALSE)," ")</f>
        <v xml:space="preserve"> </v>
      </c>
      <c r="M304" s="85" t="str" cm="1">
        <f t="array" ref="M304">IFERROR(VLOOKUP($A304,'The List'!$B1:$AS671,20,FALSE)," ")</f>
        <v xml:space="preserve"> </v>
      </c>
      <c r="N304" s="85" t="str" cm="1">
        <f t="array" ref="N304">IFERROR(VLOOKUP($A304,'The List'!$B1:$AS671,21,FALSE)," ")</f>
        <v xml:space="preserve"> </v>
      </c>
      <c r="O304" s="85" t="str" cm="1">
        <f t="array" ref="O304">IFERROR(VLOOKUP($A304,'The List'!$B1:$AS671,22,FALSE)," ")</f>
        <v xml:space="preserve"> </v>
      </c>
      <c r="P304" s="85" t="str" cm="1">
        <f t="array" ref="P304">IFERROR(VLOOKUP($A304,'The List'!$B1:$AS671,23,FALSE)," ")</f>
        <v xml:space="preserve"> </v>
      </c>
      <c r="Q304" s="85" t="str" cm="1">
        <f t="array" ref="Q304">IFERROR(VLOOKUP($A304,'The List'!$B1:$AS671,24,FALSE)," ")</f>
        <v xml:space="preserve"> </v>
      </c>
      <c r="R304" s="85" t="str" cm="1">
        <f t="array" ref="R304">IFERROR(VLOOKUP($A304,'The List'!$B1:$AS671,25,FALSE)," ")</f>
        <v xml:space="preserve"> </v>
      </c>
      <c r="S304" s="85" t="str" cm="1">
        <f t="array" ref="S304">IFERROR(VLOOKUP($A304,'The List'!$B1:$AS671,26,FALSE)," ")</f>
        <v xml:space="preserve"> </v>
      </c>
      <c r="T304" s="85" t="str" cm="1">
        <f t="array" ref="T304">IFERROR(VLOOKUP($A304,'The List'!$B1:$AS671,27,FALSE)," ")</f>
        <v xml:space="preserve"> </v>
      </c>
      <c r="U304" s="85" t="str" cm="1">
        <f t="array" ref="U304">IFERROR(VLOOKUP($A304,'The List'!$B1:$AS671,28,FALSE)," ")</f>
        <v xml:space="preserve"> </v>
      </c>
      <c r="V304" s="85" t="str" cm="1">
        <f t="array" ref="V304">IFERROR(VLOOKUP($A304,'The List'!$B1:$AS671,29,FALSE)," ")</f>
        <v xml:space="preserve"> </v>
      </c>
      <c r="W304" s="85" t="str" cm="1">
        <f t="array" ref="W304">IFERROR(VLOOKUP($A304,'The List'!$B1:$AS671,30,FALSE)," ")</f>
        <v xml:space="preserve"> </v>
      </c>
      <c r="X304" s="85" t="str" cm="1">
        <f t="array" ref="X304">IFERROR(VLOOKUP($A304,'The List'!$B1:$AS671,31,FALSE)," ")</f>
        <v xml:space="preserve"> </v>
      </c>
      <c r="Y304" s="85" t="str" cm="1">
        <f t="array" ref="Y304">IFERROR(VLOOKUP($A304,'The List'!$B1:$AS671,32,FALSE)," ")</f>
        <v xml:space="preserve"> </v>
      </c>
      <c r="Z304" s="85" t="str" cm="1">
        <f t="array" ref="Z304">IFERROR(VLOOKUP($A304,'The List'!$B1:$AS671,33,FALSE)," ")</f>
        <v xml:space="preserve"> </v>
      </c>
      <c r="AA304" s="86"/>
      <c r="AB304" s="91"/>
      <c r="AC304" s="91"/>
      <c r="AD304" s="91"/>
      <c r="AE304" s="91"/>
      <c r="AF304" s="91"/>
    </row>
    <row r="305" spans="1:32" ht="21.25" customHeight="1" x14ac:dyDescent="0.15">
      <c r="A305" s="24"/>
      <c r="B305" s="100" t="str" cm="1">
        <f t="array" ref="B305">IFERROR(VLOOKUP($A305,'The List'!$B1:$AS671,3,FALSE)," ")</f>
        <v xml:space="preserve"> </v>
      </c>
      <c r="C305" s="102" t="str" cm="1">
        <f t="array" ref="C305">IFERROR(VLOOKUP($A305,'The List'!$B1:$AS671,4,FALSE)," ")</f>
        <v xml:space="preserve"> </v>
      </c>
      <c r="D305" s="18" t="str" cm="1">
        <f t="array" ref="D305">IFERROR(VLOOKUP($A305,'The List'!$B1:$AS671,5,FALSE)," ")</f>
        <v xml:space="preserve"> </v>
      </c>
      <c r="E305" s="18" t="str" cm="1">
        <f t="array" ref="E305">IFERROR(VLOOKUP($A305,'The List'!$B1:$AS671,6,FALSE)," ")</f>
        <v xml:space="preserve"> </v>
      </c>
      <c r="F305" s="93" t="str" cm="1">
        <f t="array" ref="F305">IFERROR(VLOOKUP($A305,'The List'!$B1:$AS671,8,FALSE)," ")</f>
        <v xml:space="preserve"> </v>
      </c>
      <c r="G305" s="93" t="str" cm="1">
        <f t="array" ref="G305">IFERROR(VLOOKUP($A305,'The List'!$B1:$AS671,10,FALSE)," ")</f>
        <v xml:space="preserve"> </v>
      </c>
      <c r="H305" s="55"/>
      <c r="I305" s="85" t="str" cm="1">
        <f t="array" ref="I305">IFERROR(VLOOKUP($A305,'The List'!$B1:$AS671,16,FALSE)," ")</f>
        <v xml:space="preserve"> </v>
      </c>
      <c r="J305" s="85" t="str" cm="1">
        <f t="array" ref="J305">IFERROR(VLOOKUP($A305,'The List'!$B1:$AS671,17,FALSE)," ")</f>
        <v xml:space="preserve"> </v>
      </c>
      <c r="K305" s="85" t="str" cm="1">
        <f t="array" ref="K305">IFERROR(VLOOKUP($A305,'The List'!$B1:$AS671,18,FALSE)," ")</f>
        <v xml:space="preserve"> </v>
      </c>
      <c r="L305" s="85" t="str" cm="1">
        <f t="array" ref="L305">IFERROR(VLOOKUP($A305,'The List'!$B1:$AS671,19,FALSE)," ")</f>
        <v xml:space="preserve"> </v>
      </c>
      <c r="M305" s="85" t="str" cm="1">
        <f t="array" ref="M305">IFERROR(VLOOKUP($A305,'The List'!$B1:$AS671,20,FALSE)," ")</f>
        <v xml:space="preserve"> </v>
      </c>
      <c r="N305" s="85" t="str" cm="1">
        <f t="array" ref="N305">IFERROR(VLOOKUP($A305,'The List'!$B1:$AS671,21,FALSE)," ")</f>
        <v xml:space="preserve"> </v>
      </c>
      <c r="O305" s="85" t="str" cm="1">
        <f t="array" ref="O305">IFERROR(VLOOKUP($A305,'The List'!$B1:$AS671,22,FALSE)," ")</f>
        <v xml:space="preserve"> </v>
      </c>
      <c r="P305" s="85" t="str" cm="1">
        <f t="array" ref="P305">IFERROR(VLOOKUP($A305,'The List'!$B1:$AS671,23,FALSE)," ")</f>
        <v xml:space="preserve"> </v>
      </c>
      <c r="Q305" s="85" t="str" cm="1">
        <f t="array" ref="Q305">IFERROR(VLOOKUP($A305,'The List'!$B1:$AS671,24,FALSE)," ")</f>
        <v xml:space="preserve"> </v>
      </c>
      <c r="R305" s="85" t="str" cm="1">
        <f t="array" ref="R305">IFERROR(VLOOKUP($A305,'The List'!$B1:$AS671,25,FALSE)," ")</f>
        <v xml:space="preserve"> </v>
      </c>
      <c r="S305" s="85" t="str" cm="1">
        <f t="array" ref="S305">IFERROR(VLOOKUP($A305,'The List'!$B1:$AS671,26,FALSE)," ")</f>
        <v xml:space="preserve"> </v>
      </c>
      <c r="T305" s="85" t="str" cm="1">
        <f t="array" ref="T305">IFERROR(VLOOKUP($A305,'The List'!$B1:$AS671,27,FALSE)," ")</f>
        <v xml:space="preserve"> </v>
      </c>
      <c r="U305" s="85" t="str" cm="1">
        <f t="array" ref="U305">IFERROR(VLOOKUP($A305,'The List'!$B1:$AS671,28,FALSE)," ")</f>
        <v xml:space="preserve"> </v>
      </c>
      <c r="V305" s="85" t="str" cm="1">
        <f t="array" ref="V305">IFERROR(VLOOKUP($A305,'The List'!$B1:$AS671,29,FALSE)," ")</f>
        <v xml:space="preserve"> </v>
      </c>
      <c r="W305" s="85" t="str" cm="1">
        <f t="array" ref="W305">IFERROR(VLOOKUP($A305,'The List'!$B1:$AS671,30,FALSE)," ")</f>
        <v xml:space="preserve"> </v>
      </c>
      <c r="X305" s="85" t="str" cm="1">
        <f t="array" ref="X305">IFERROR(VLOOKUP($A305,'The List'!$B1:$AS671,31,FALSE)," ")</f>
        <v xml:space="preserve"> </v>
      </c>
      <c r="Y305" s="85" t="str" cm="1">
        <f t="array" ref="Y305">IFERROR(VLOOKUP($A305,'The List'!$B1:$AS671,32,FALSE)," ")</f>
        <v xml:space="preserve"> </v>
      </c>
      <c r="Z305" s="85" t="str" cm="1">
        <f t="array" ref="Z305">IFERROR(VLOOKUP($A305,'The List'!$B1:$AS671,33,FALSE)," ")</f>
        <v xml:space="preserve"> </v>
      </c>
      <c r="AA305" s="86"/>
      <c r="AB305" s="91"/>
      <c r="AC305" s="91"/>
      <c r="AD305" s="91"/>
      <c r="AE305" s="91"/>
      <c r="AF305" s="91"/>
    </row>
    <row r="306" spans="1:32" ht="21.25" customHeight="1" x14ac:dyDescent="0.15">
      <c r="A306" s="24"/>
      <c r="B306" s="100" t="str" cm="1">
        <f t="array" ref="B306">IFERROR(VLOOKUP($A306,'The List'!$B1:$AS671,3,FALSE)," ")</f>
        <v xml:space="preserve"> </v>
      </c>
      <c r="C306" s="102" t="str" cm="1">
        <f t="array" ref="C306">IFERROR(VLOOKUP($A306,'The List'!$B1:$AS671,4,FALSE)," ")</f>
        <v xml:space="preserve"> </v>
      </c>
      <c r="D306" s="18" t="str" cm="1">
        <f t="array" ref="D306">IFERROR(VLOOKUP($A306,'The List'!$B1:$AS671,5,FALSE)," ")</f>
        <v xml:space="preserve"> </v>
      </c>
      <c r="E306" s="18" t="str" cm="1">
        <f t="array" ref="E306">IFERROR(VLOOKUP($A306,'The List'!$B1:$AS671,6,FALSE)," ")</f>
        <v xml:space="preserve"> </v>
      </c>
      <c r="F306" s="93" t="str" cm="1">
        <f t="array" ref="F306">IFERROR(VLOOKUP($A306,'The List'!$B1:$AS671,8,FALSE)," ")</f>
        <v xml:space="preserve"> </v>
      </c>
      <c r="G306" s="93" t="str" cm="1">
        <f t="array" ref="G306">IFERROR(VLOOKUP($A306,'The List'!$B1:$AS671,10,FALSE)," ")</f>
        <v xml:space="preserve"> </v>
      </c>
      <c r="H306" s="55"/>
      <c r="I306" s="85" t="str" cm="1">
        <f t="array" ref="I306">IFERROR(VLOOKUP($A306,'The List'!$B1:$AS671,16,FALSE)," ")</f>
        <v xml:space="preserve"> </v>
      </c>
      <c r="J306" s="85" t="str" cm="1">
        <f t="array" ref="J306">IFERROR(VLOOKUP($A306,'The List'!$B1:$AS671,17,FALSE)," ")</f>
        <v xml:space="preserve"> </v>
      </c>
      <c r="K306" s="85" t="str" cm="1">
        <f t="array" ref="K306">IFERROR(VLOOKUP($A306,'The List'!$B1:$AS671,18,FALSE)," ")</f>
        <v xml:space="preserve"> </v>
      </c>
      <c r="L306" s="85" t="str" cm="1">
        <f t="array" ref="L306">IFERROR(VLOOKUP($A306,'The List'!$B1:$AS671,19,FALSE)," ")</f>
        <v xml:space="preserve"> </v>
      </c>
      <c r="M306" s="85" t="str" cm="1">
        <f t="array" ref="M306">IFERROR(VLOOKUP($A306,'The List'!$B1:$AS671,20,FALSE)," ")</f>
        <v xml:space="preserve"> </v>
      </c>
      <c r="N306" s="85" t="str" cm="1">
        <f t="array" ref="N306">IFERROR(VLOOKUP($A306,'The List'!$B1:$AS671,21,FALSE)," ")</f>
        <v xml:space="preserve"> </v>
      </c>
      <c r="O306" s="85" t="str" cm="1">
        <f t="array" ref="O306">IFERROR(VLOOKUP($A306,'The List'!$B1:$AS671,22,FALSE)," ")</f>
        <v xml:space="preserve"> </v>
      </c>
      <c r="P306" s="85" t="str" cm="1">
        <f t="array" ref="P306">IFERROR(VLOOKUP($A306,'The List'!$B1:$AS671,23,FALSE)," ")</f>
        <v xml:space="preserve"> </v>
      </c>
      <c r="Q306" s="85" t="str" cm="1">
        <f t="array" ref="Q306">IFERROR(VLOOKUP($A306,'The List'!$B1:$AS671,24,FALSE)," ")</f>
        <v xml:space="preserve"> </v>
      </c>
      <c r="R306" s="85" t="str" cm="1">
        <f t="array" ref="R306">IFERROR(VLOOKUP($A306,'The List'!$B1:$AS671,25,FALSE)," ")</f>
        <v xml:space="preserve"> </v>
      </c>
      <c r="S306" s="85" t="str" cm="1">
        <f t="array" ref="S306">IFERROR(VLOOKUP($A306,'The List'!$B1:$AS671,26,FALSE)," ")</f>
        <v xml:space="preserve"> </v>
      </c>
      <c r="T306" s="85" t="str" cm="1">
        <f t="array" ref="T306">IFERROR(VLOOKUP($A306,'The List'!$B1:$AS671,27,FALSE)," ")</f>
        <v xml:space="preserve"> </v>
      </c>
      <c r="U306" s="85" t="str" cm="1">
        <f t="array" ref="U306">IFERROR(VLOOKUP($A306,'The List'!$B1:$AS671,28,FALSE)," ")</f>
        <v xml:space="preserve"> </v>
      </c>
      <c r="V306" s="85" t="str" cm="1">
        <f t="array" ref="V306">IFERROR(VLOOKUP($A306,'The List'!$B1:$AS671,29,FALSE)," ")</f>
        <v xml:space="preserve"> </v>
      </c>
      <c r="W306" s="85" t="str" cm="1">
        <f t="array" ref="W306">IFERROR(VLOOKUP($A306,'The List'!$B1:$AS671,30,FALSE)," ")</f>
        <v xml:space="preserve"> </v>
      </c>
      <c r="X306" s="85" t="str" cm="1">
        <f t="array" ref="X306">IFERROR(VLOOKUP($A306,'The List'!$B1:$AS671,31,FALSE)," ")</f>
        <v xml:space="preserve"> </v>
      </c>
      <c r="Y306" s="85" t="str" cm="1">
        <f t="array" ref="Y306">IFERROR(VLOOKUP($A306,'The List'!$B1:$AS671,32,FALSE)," ")</f>
        <v xml:space="preserve"> </v>
      </c>
      <c r="Z306" s="85" t="str" cm="1">
        <f t="array" ref="Z306">IFERROR(VLOOKUP($A306,'The List'!$B1:$AS671,33,FALSE)," ")</f>
        <v xml:space="preserve"> </v>
      </c>
      <c r="AA306" s="86"/>
      <c r="AB306" s="91"/>
      <c r="AC306" s="91"/>
      <c r="AD306" s="91"/>
      <c r="AE306" s="91"/>
      <c r="AF306" s="91"/>
    </row>
    <row r="307" spans="1:32" ht="21.25" customHeight="1" x14ac:dyDescent="0.15">
      <c r="A307" s="24"/>
      <c r="B307" s="100" t="str" cm="1">
        <f t="array" ref="B307">IFERROR(VLOOKUP($A307,'The List'!$B1:$AS671,3,FALSE)," ")</f>
        <v xml:space="preserve"> </v>
      </c>
      <c r="C307" s="102" t="str" cm="1">
        <f t="array" ref="C307">IFERROR(VLOOKUP($A307,'The List'!$B1:$AS671,4,FALSE)," ")</f>
        <v xml:space="preserve"> </v>
      </c>
      <c r="D307" s="18" t="str" cm="1">
        <f t="array" ref="D307">IFERROR(VLOOKUP($A307,'The List'!$B1:$AS671,5,FALSE)," ")</f>
        <v xml:space="preserve"> </v>
      </c>
      <c r="E307" s="18" t="str" cm="1">
        <f t="array" ref="E307">IFERROR(VLOOKUP($A307,'The List'!$B1:$AS671,6,FALSE)," ")</f>
        <v xml:space="preserve"> </v>
      </c>
      <c r="F307" s="93" t="str" cm="1">
        <f t="array" ref="F307">IFERROR(VLOOKUP($A307,'The List'!$B1:$AS671,8,FALSE)," ")</f>
        <v xml:space="preserve"> </v>
      </c>
      <c r="G307" s="93" t="str" cm="1">
        <f t="array" ref="G307">IFERROR(VLOOKUP($A307,'The List'!$B1:$AS671,10,FALSE)," ")</f>
        <v xml:space="preserve"> </v>
      </c>
      <c r="H307" s="55"/>
      <c r="I307" s="85" t="str" cm="1">
        <f t="array" ref="I307">IFERROR(VLOOKUP($A307,'The List'!$B1:$AS671,16,FALSE)," ")</f>
        <v xml:space="preserve"> </v>
      </c>
      <c r="J307" s="85" t="str" cm="1">
        <f t="array" ref="J307">IFERROR(VLOOKUP($A307,'The List'!$B1:$AS671,17,FALSE)," ")</f>
        <v xml:space="preserve"> </v>
      </c>
      <c r="K307" s="85" t="str" cm="1">
        <f t="array" ref="K307">IFERROR(VLOOKUP($A307,'The List'!$B1:$AS671,18,FALSE)," ")</f>
        <v xml:space="preserve"> </v>
      </c>
      <c r="L307" s="85" t="str" cm="1">
        <f t="array" ref="L307">IFERROR(VLOOKUP($A307,'The List'!$B1:$AS671,19,FALSE)," ")</f>
        <v xml:space="preserve"> </v>
      </c>
      <c r="M307" s="85" t="str" cm="1">
        <f t="array" ref="M307">IFERROR(VLOOKUP($A307,'The List'!$B1:$AS671,20,FALSE)," ")</f>
        <v xml:space="preserve"> </v>
      </c>
      <c r="N307" s="85" t="str" cm="1">
        <f t="array" ref="N307">IFERROR(VLOOKUP($A307,'The List'!$B1:$AS671,21,FALSE)," ")</f>
        <v xml:space="preserve"> </v>
      </c>
      <c r="O307" s="85" t="str" cm="1">
        <f t="array" ref="O307">IFERROR(VLOOKUP($A307,'The List'!$B1:$AS671,22,FALSE)," ")</f>
        <v xml:space="preserve"> </v>
      </c>
      <c r="P307" s="85" t="str" cm="1">
        <f t="array" ref="P307">IFERROR(VLOOKUP($A307,'The List'!$B1:$AS671,23,FALSE)," ")</f>
        <v xml:space="preserve"> </v>
      </c>
      <c r="Q307" s="85" t="str" cm="1">
        <f t="array" ref="Q307">IFERROR(VLOOKUP($A307,'The List'!$B1:$AS671,24,FALSE)," ")</f>
        <v xml:space="preserve"> </v>
      </c>
      <c r="R307" s="85" t="str" cm="1">
        <f t="array" ref="R307">IFERROR(VLOOKUP($A307,'The List'!$B1:$AS671,25,FALSE)," ")</f>
        <v xml:space="preserve"> </v>
      </c>
      <c r="S307" s="85" t="str" cm="1">
        <f t="array" ref="S307">IFERROR(VLOOKUP($A307,'The List'!$B1:$AS671,26,FALSE)," ")</f>
        <v xml:space="preserve"> </v>
      </c>
      <c r="T307" s="85" t="str" cm="1">
        <f t="array" ref="T307">IFERROR(VLOOKUP($A307,'The List'!$B1:$AS671,27,FALSE)," ")</f>
        <v xml:space="preserve"> </v>
      </c>
      <c r="U307" s="85" t="str" cm="1">
        <f t="array" ref="U307">IFERROR(VLOOKUP($A307,'The List'!$B1:$AS671,28,FALSE)," ")</f>
        <v xml:space="preserve"> </v>
      </c>
      <c r="V307" s="85" t="str" cm="1">
        <f t="array" ref="V307">IFERROR(VLOOKUP($A307,'The List'!$B1:$AS671,29,FALSE)," ")</f>
        <v xml:space="preserve"> </v>
      </c>
      <c r="W307" s="85" t="str" cm="1">
        <f t="array" ref="W307">IFERROR(VLOOKUP($A307,'The List'!$B1:$AS671,30,FALSE)," ")</f>
        <v xml:space="preserve"> </v>
      </c>
      <c r="X307" s="85" t="str" cm="1">
        <f t="array" ref="X307">IFERROR(VLOOKUP($A307,'The List'!$B1:$AS671,31,FALSE)," ")</f>
        <v xml:space="preserve"> </v>
      </c>
      <c r="Y307" s="85" t="str" cm="1">
        <f t="array" ref="Y307">IFERROR(VLOOKUP($A307,'The List'!$B1:$AS671,32,FALSE)," ")</f>
        <v xml:space="preserve"> </v>
      </c>
      <c r="Z307" s="85" t="str" cm="1">
        <f t="array" ref="Z307">IFERROR(VLOOKUP($A307,'The List'!$B1:$AS671,33,FALSE)," ")</f>
        <v xml:space="preserve"> </v>
      </c>
      <c r="AA307" s="86"/>
      <c r="AB307" s="91"/>
      <c r="AC307" s="91"/>
      <c r="AD307" s="91"/>
      <c r="AE307" s="91"/>
      <c r="AF307" s="91"/>
    </row>
    <row r="308" spans="1:32" ht="21.25" customHeight="1" x14ac:dyDescent="0.15">
      <c r="A308" s="24"/>
      <c r="B308" s="100" t="str" cm="1">
        <f t="array" ref="B308">IFERROR(VLOOKUP($A308,'The List'!$B1:$AS671,3,FALSE)," ")</f>
        <v xml:space="preserve"> </v>
      </c>
      <c r="C308" s="102" t="str" cm="1">
        <f t="array" ref="C308">IFERROR(VLOOKUP($A308,'The List'!$B1:$AS671,4,FALSE)," ")</f>
        <v xml:space="preserve"> </v>
      </c>
      <c r="D308" s="18" t="str" cm="1">
        <f t="array" ref="D308">IFERROR(VLOOKUP($A308,'The List'!$B1:$AS671,5,FALSE)," ")</f>
        <v xml:space="preserve"> </v>
      </c>
      <c r="E308" s="18" t="str" cm="1">
        <f t="array" ref="E308">IFERROR(VLOOKUP($A308,'The List'!$B1:$AS671,6,FALSE)," ")</f>
        <v xml:space="preserve"> </v>
      </c>
      <c r="F308" s="93" t="str" cm="1">
        <f t="array" ref="F308">IFERROR(VLOOKUP($A308,'The List'!$B1:$AS671,8,FALSE)," ")</f>
        <v xml:space="preserve"> </v>
      </c>
      <c r="G308" s="93" t="str" cm="1">
        <f t="array" ref="G308">IFERROR(VLOOKUP($A308,'The List'!$B1:$AS671,10,FALSE)," ")</f>
        <v xml:space="preserve"> </v>
      </c>
      <c r="H308" s="55"/>
      <c r="I308" s="85" t="str" cm="1">
        <f t="array" ref="I308">IFERROR(VLOOKUP($A308,'The List'!$B1:$AS671,16,FALSE)," ")</f>
        <v xml:space="preserve"> </v>
      </c>
      <c r="J308" s="85" t="str" cm="1">
        <f t="array" ref="J308">IFERROR(VLOOKUP($A308,'The List'!$B1:$AS671,17,FALSE)," ")</f>
        <v xml:space="preserve"> </v>
      </c>
      <c r="K308" s="85" t="str" cm="1">
        <f t="array" ref="K308">IFERROR(VLOOKUP($A308,'The List'!$B1:$AS671,18,FALSE)," ")</f>
        <v xml:space="preserve"> </v>
      </c>
      <c r="L308" s="85" t="str" cm="1">
        <f t="array" ref="L308">IFERROR(VLOOKUP($A308,'The List'!$B1:$AS671,19,FALSE)," ")</f>
        <v xml:space="preserve"> </v>
      </c>
      <c r="M308" s="85" t="str" cm="1">
        <f t="array" ref="M308">IFERROR(VLOOKUP($A308,'The List'!$B1:$AS671,20,FALSE)," ")</f>
        <v xml:space="preserve"> </v>
      </c>
      <c r="N308" s="85" t="str" cm="1">
        <f t="array" ref="N308">IFERROR(VLOOKUP($A308,'The List'!$B1:$AS671,21,FALSE)," ")</f>
        <v xml:space="preserve"> </v>
      </c>
      <c r="O308" s="85" t="str" cm="1">
        <f t="array" ref="O308">IFERROR(VLOOKUP($A308,'The List'!$B1:$AS671,22,FALSE)," ")</f>
        <v xml:space="preserve"> </v>
      </c>
      <c r="P308" s="85" t="str" cm="1">
        <f t="array" ref="P308">IFERROR(VLOOKUP($A308,'The List'!$B1:$AS671,23,FALSE)," ")</f>
        <v xml:space="preserve"> </v>
      </c>
      <c r="Q308" s="85" t="str" cm="1">
        <f t="array" ref="Q308">IFERROR(VLOOKUP($A308,'The List'!$B1:$AS671,24,FALSE)," ")</f>
        <v xml:space="preserve"> </v>
      </c>
      <c r="R308" s="85" t="str" cm="1">
        <f t="array" ref="R308">IFERROR(VLOOKUP($A308,'The List'!$B1:$AS671,25,FALSE)," ")</f>
        <v xml:space="preserve"> </v>
      </c>
      <c r="S308" s="85" t="str" cm="1">
        <f t="array" ref="S308">IFERROR(VLOOKUP($A308,'The List'!$B1:$AS671,26,FALSE)," ")</f>
        <v xml:space="preserve"> </v>
      </c>
      <c r="T308" s="85" t="str" cm="1">
        <f t="array" ref="T308">IFERROR(VLOOKUP($A308,'The List'!$B1:$AS671,27,FALSE)," ")</f>
        <v xml:space="preserve"> </v>
      </c>
      <c r="U308" s="85" t="str" cm="1">
        <f t="array" ref="U308">IFERROR(VLOOKUP($A308,'The List'!$B1:$AS671,28,FALSE)," ")</f>
        <v xml:space="preserve"> </v>
      </c>
      <c r="V308" s="85" t="str" cm="1">
        <f t="array" ref="V308">IFERROR(VLOOKUP($A308,'The List'!$B1:$AS671,29,FALSE)," ")</f>
        <v xml:space="preserve"> </v>
      </c>
      <c r="W308" s="85" t="str" cm="1">
        <f t="array" ref="W308">IFERROR(VLOOKUP($A308,'The List'!$B1:$AS671,30,FALSE)," ")</f>
        <v xml:space="preserve"> </v>
      </c>
      <c r="X308" s="85" t="str" cm="1">
        <f t="array" ref="X308">IFERROR(VLOOKUP($A308,'The List'!$B1:$AS671,31,FALSE)," ")</f>
        <v xml:space="preserve"> </v>
      </c>
      <c r="Y308" s="85" t="str" cm="1">
        <f t="array" ref="Y308">IFERROR(VLOOKUP($A308,'The List'!$B1:$AS671,32,FALSE)," ")</f>
        <v xml:space="preserve"> </v>
      </c>
      <c r="Z308" s="85" t="str" cm="1">
        <f t="array" ref="Z308">IFERROR(VLOOKUP($A308,'The List'!$B1:$AS671,33,FALSE)," ")</f>
        <v xml:space="preserve"> </v>
      </c>
      <c r="AA308" s="86"/>
      <c r="AB308" s="91"/>
      <c r="AC308" s="91"/>
      <c r="AD308" s="91"/>
      <c r="AE308" s="91"/>
      <c r="AF308" s="91"/>
    </row>
    <row r="309" spans="1:32" ht="21.25" customHeight="1" x14ac:dyDescent="0.15">
      <c r="A309" s="24"/>
      <c r="B309" s="100" t="str" cm="1">
        <f t="array" ref="B309">IFERROR(VLOOKUP($A309,'The List'!$B1:$AS671,3,FALSE)," ")</f>
        <v xml:space="preserve"> </v>
      </c>
      <c r="C309" s="102" t="str" cm="1">
        <f t="array" ref="C309">IFERROR(VLOOKUP($A309,'The List'!$B1:$AS671,4,FALSE)," ")</f>
        <v xml:space="preserve"> </v>
      </c>
      <c r="D309" s="18" t="str" cm="1">
        <f t="array" ref="D309">IFERROR(VLOOKUP($A309,'The List'!$B1:$AS671,5,FALSE)," ")</f>
        <v xml:space="preserve"> </v>
      </c>
      <c r="E309" s="18" t="str" cm="1">
        <f t="array" ref="E309">IFERROR(VLOOKUP($A309,'The List'!$B1:$AS671,6,FALSE)," ")</f>
        <v xml:space="preserve"> </v>
      </c>
      <c r="F309" s="93" t="str" cm="1">
        <f t="array" ref="F309">IFERROR(VLOOKUP($A309,'The List'!$B1:$AS671,8,FALSE)," ")</f>
        <v xml:space="preserve"> </v>
      </c>
      <c r="G309" s="93" t="str" cm="1">
        <f t="array" ref="G309">IFERROR(VLOOKUP($A309,'The List'!$B1:$AS671,10,FALSE)," ")</f>
        <v xml:space="preserve"> </v>
      </c>
      <c r="H309" s="55"/>
      <c r="I309" s="85" t="str" cm="1">
        <f t="array" ref="I309">IFERROR(VLOOKUP($A309,'The List'!$B1:$AS671,16,FALSE)," ")</f>
        <v xml:space="preserve"> </v>
      </c>
      <c r="J309" s="85" t="str" cm="1">
        <f t="array" ref="J309">IFERROR(VLOOKUP($A309,'The List'!$B1:$AS671,17,FALSE)," ")</f>
        <v xml:space="preserve"> </v>
      </c>
      <c r="K309" s="85" t="str" cm="1">
        <f t="array" ref="K309">IFERROR(VLOOKUP($A309,'The List'!$B1:$AS671,18,FALSE)," ")</f>
        <v xml:space="preserve"> </v>
      </c>
      <c r="L309" s="85" t="str" cm="1">
        <f t="array" ref="L309">IFERROR(VLOOKUP($A309,'The List'!$B1:$AS671,19,FALSE)," ")</f>
        <v xml:space="preserve"> </v>
      </c>
      <c r="M309" s="85" t="str" cm="1">
        <f t="array" ref="M309">IFERROR(VLOOKUP($A309,'The List'!$B1:$AS671,20,FALSE)," ")</f>
        <v xml:space="preserve"> </v>
      </c>
      <c r="N309" s="85" t="str" cm="1">
        <f t="array" ref="N309">IFERROR(VLOOKUP($A309,'The List'!$B1:$AS671,21,FALSE)," ")</f>
        <v xml:space="preserve"> </v>
      </c>
      <c r="O309" s="85" t="str" cm="1">
        <f t="array" ref="O309">IFERROR(VLOOKUP($A309,'The List'!$B1:$AS671,22,FALSE)," ")</f>
        <v xml:space="preserve"> </v>
      </c>
      <c r="P309" s="85" t="str" cm="1">
        <f t="array" ref="P309">IFERROR(VLOOKUP($A309,'The List'!$B1:$AS671,23,FALSE)," ")</f>
        <v xml:space="preserve"> </v>
      </c>
      <c r="Q309" s="85" t="str" cm="1">
        <f t="array" ref="Q309">IFERROR(VLOOKUP($A309,'The List'!$B1:$AS671,24,FALSE)," ")</f>
        <v xml:space="preserve"> </v>
      </c>
      <c r="R309" s="85" t="str" cm="1">
        <f t="array" ref="R309">IFERROR(VLOOKUP($A309,'The List'!$B1:$AS671,25,FALSE)," ")</f>
        <v xml:space="preserve"> </v>
      </c>
      <c r="S309" s="85" t="str" cm="1">
        <f t="array" ref="S309">IFERROR(VLOOKUP($A309,'The List'!$B1:$AS671,26,FALSE)," ")</f>
        <v xml:space="preserve"> </v>
      </c>
      <c r="T309" s="85" t="str" cm="1">
        <f t="array" ref="T309">IFERROR(VLOOKUP($A309,'The List'!$B1:$AS671,27,FALSE)," ")</f>
        <v xml:space="preserve"> </v>
      </c>
      <c r="U309" s="85" t="str" cm="1">
        <f t="array" ref="U309">IFERROR(VLOOKUP($A309,'The List'!$B1:$AS671,28,FALSE)," ")</f>
        <v xml:space="preserve"> </v>
      </c>
      <c r="V309" s="85" t="str" cm="1">
        <f t="array" ref="V309">IFERROR(VLOOKUP($A309,'The List'!$B1:$AS671,29,FALSE)," ")</f>
        <v xml:space="preserve"> </v>
      </c>
      <c r="W309" s="85" t="str" cm="1">
        <f t="array" ref="W309">IFERROR(VLOOKUP($A309,'The List'!$B1:$AS671,30,FALSE)," ")</f>
        <v xml:space="preserve"> </v>
      </c>
      <c r="X309" s="85" t="str" cm="1">
        <f t="array" ref="X309">IFERROR(VLOOKUP($A309,'The List'!$B1:$AS671,31,FALSE)," ")</f>
        <v xml:space="preserve"> </v>
      </c>
      <c r="Y309" s="85" t="str" cm="1">
        <f t="array" ref="Y309">IFERROR(VLOOKUP($A309,'The List'!$B1:$AS671,32,FALSE)," ")</f>
        <v xml:space="preserve"> </v>
      </c>
      <c r="Z309" s="85" t="str" cm="1">
        <f t="array" ref="Z309">IFERROR(VLOOKUP($A309,'The List'!$B1:$AS671,33,FALSE)," ")</f>
        <v xml:space="preserve"> </v>
      </c>
      <c r="AA309" s="86"/>
      <c r="AB309" s="91"/>
      <c r="AC309" s="91"/>
      <c r="AD309" s="91"/>
      <c r="AE309" s="91"/>
      <c r="AF309" s="91"/>
    </row>
    <row r="310" spans="1:32" ht="21.25" customHeight="1" x14ac:dyDescent="0.15">
      <c r="A310" s="24"/>
      <c r="B310" s="100" t="str" cm="1">
        <f t="array" ref="B310">IFERROR(VLOOKUP($A310,'The List'!$B1:$AS671,3,FALSE)," ")</f>
        <v xml:space="preserve"> </v>
      </c>
      <c r="C310" s="102" t="str" cm="1">
        <f t="array" ref="C310">IFERROR(VLOOKUP($A310,'The List'!$B1:$AS671,4,FALSE)," ")</f>
        <v xml:space="preserve"> </v>
      </c>
      <c r="D310" s="18" t="str" cm="1">
        <f t="array" ref="D310">IFERROR(VLOOKUP($A310,'The List'!$B1:$AS671,5,FALSE)," ")</f>
        <v xml:space="preserve"> </v>
      </c>
      <c r="E310" s="18" t="str" cm="1">
        <f t="array" ref="E310">IFERROR(VLOOKUP($A310,'The List'!$B1:$AS671,6,FALSE)," ")</f>
        <v xml:space="preserve"> </v>
      </c>
      <c r="F310" s="93" t="str" cm="1">
        <f t="array" ref="F310">IFERROR(VLOOKUP($A310,'The List'!$B1:$AS671,8,FALSE)," ")</f>
        <v xml:space="preserve"> </v>
      </c>
      <c r="G310" s="93" t="str" cm="1">
        <f t="array" ref="G310">IFERROR(VLOOKUP($A310,'The List'!$B1:$AS671,10,FALSE)," ")</f>
        <v xml:space="preserve"> </v>
      </c>
      <c r="H310" s="55"/>
      <c r="I310" s="85" t="str" cm="1">
        <f t="array" ref="I310">IFERROR(VLOOKUP($A310,'The List'!$B1:$AS671,16,FALSE)," ")</f>
        <v xml:space="preserve"> </v>
      </c>
      <c r="J310" s="85" t="str" cm="1">
        <f t="array" ref="J310">IFERROR(VLOOKUP($A310,'The List'!$B1:$AS671,17,FALSE)," ")</f>
        <v xml:space="preserve"> </v>
      </c>
      <c r="K310" s="85" t="str" cm="1">
        <f t="array" ref="K310">IFERROR(VLOOKUP($A310,'The List'!$B1:$AS671,18,FALSE)," ")</f>
        <v xml:space="preserve"> </v>
      </c>
      <c r="L310" s="85" t="str" cm="1">
        <f t="array" ref="L310">IFERROR(VLOOKUP($A310,'The List'!$B1:$AS671,19,FALSE)," ")</f>
        <v xml:space="preserve"> </v>
      </c>
      <c r="M310" s="85" t="str" cm="1">
        <f t="array" ref="M310">IFERROR(VLOOKUP($A310,'The List'!$B1:$AS671,20,FALSE)," ")</f>
        <v xml:space="preserve"> </v>
      </c>
      <c r="N310" s="85" t="str" cm="1">
        <f t="array" ref="N310">IFERROR(VLOOKUP($A310,'The List'!$B1:$AS671,21,FALSE)," ")</f>
        <v xml:space="preserve"> </v>
      </c>
      <c r="O310" s="85" t="str" cm="1">
        <f t="array" ref="O310">IFERROR(VLOOKUP($A310,'The List'!$B1:$AS671,22,FALSE)," ")</f>
        <v xml:space="preserve"> </v>
      </c>
      <c r="P310" s="85" t="str" cm="1">
        <f t="array" ref="P310">IFERROR(VLOOKUP($A310,'The List'!$B1:$AS671,23,FALSE)," ")</f>
        <v xml:space="preserve"> </v>
      </c>
      <c r="Q310" s="85" t="str" cm="1">
        <f t="array" ref="Q310">IFERROR(VLOOKUP($A310,'The List'!$B1:$AS671,24,FALSE)," ")</f>
        <v xml:space="preserve"> </v>
      </c>
      <c r="R310" s="85" t="str" cm="1">
        <f t="array" ref="R310">IFERROR(VLOOKUP($A310,'The List'!$B1:$AS671,25,FALSE)," ")</f>
        <v xml:space="preserve"> </v>
      </c>
      <c r="S310" s="85" t="str" cm="1">
        <f t="array" ref="S310">IFERROR(VLOOKUP($A310,'The List'!$B1:$AS671,26,FALSE)," ")</f>
        <v xml:space="preserve"> </v>
      </c>
      <c r="T310" s="85" t="str" cm="1">
        <f t="array" ref="T310">IFERROR(VLOOKUP($A310,'The List'!$B1:$AS671,27,FALSE)," ")</f>
        <v xml:space="preserve"> </v>
      </c>
      <c r="U310" s="85" t="str" cm="1">
        <f t="array" ref="U310">IFERROR(VLOOKUP($A310,'The List'!$B1:$AS671,28,FALSE)," ")</f>
        <v xml:space="preserve"> </v>
      </c>
      <c r="V310" s="85" t="str" cm="1">
        <f t="array" ref="V310">IFERROR(VLOOKUP($A310,'The List'!$B1:$AS671,29,FALSE)," ")</f>
        <v xml:space="preserve"> </v>
      </c>
      <c r="W310" s="85" t="str" cm="1">
        <f t="array" ref="W310">IFERROR(VLOOKUP($A310,'The List'!$B1:$AS671,30,FALSE)," ")</f>
        <v xml:space="preserve"> </v>
      </c>
      <c r="X310" s="85" t="str" cm="1">
        <f t="array" ref="X310">IFERROR(VLOOKUP($A310,'The List'!$B1:$AS671,31,FALSE)," ")</f>
        <v xml:space="preserve"> </v>
      </c>
      <c r="Y310" s="85" t="str" cm="1">
        <f t="array" ref="Y310">IFERROR(VLOOKUP($A310,'The List'!$B1:$AS671,32,FALSE)," ")</f>
        <v xml:space="preserve"> </v>
      </c>
      <c r="Z310" s="85" t="str" cm="1">
        <f t="array" ref="Z310">IFERROR(VLOOKUP($A310,'The List'!$B1:$AS671,33,FALSE)," ")</f>
        <v xml:space="preserve"> </v>
      </c>
      <c r="AA310" s="86"/>
      <c r="AB310" s="91"/>
      <c r="AC310" s="91"/>
      <c r="AD310" s="91"/>
      <c r="AE310" s="91"/>
      <c r="AF310" s="91"/>
    </row>
    <row r="311" spans="1:32" ht="21.25" customHeight="1" x14ac:dyDescent="0.15">
      <c r="A311" s="104"/>
      <c r="B311" s="105" t="str" cm="1">
        <f t="array" ref="B311">IFERROR(VLOOKUP($A311,'The List'!$B1:$AS671,3,FALSE)," ")</f>
        <v xml:space="preserve"> </v>
      </c>
      <c r="C311" s="106" t="str" cm="1">
        <f t="array" ref="C311">IFERROR(VLOOKUP($A311,'The List'!$B1:$AS671,4,FALSE)," ")</f>
        <v xml:space="preserve"> </v>
      </c>
      <c r="D311" s="107" t="str" cm="1">
        <f t="array" ref="D311">IFERROR(VLOOKUP($A311,'The List'!$B1:$AS671,5,FALSE)," ")</f>
        <v xml:space="preserve"> </v>
      </c>
      <c r="E311" s="107" t="str" cm="1">
        <f t="array" ref="E311">IFERROR(VLOOKUP($A311,'The List'!$B1:$AS671,6,FALSE)," ")</f>
        <v xml:space="preserve"> </v>
      </c>
      <c r="F311" s="108" t="str" cm="1">
        <f t="array" ref="F311">IFERROR(VLOOKUP($A311,'The List'!$B1:$AS671,8,FALSE)," ")</f>
        <v xml:space="preserve"> </v>
      </c>
      <c r="G311" s="108" t="str" cm="1">
        <f t="array" ref="G311">IFERROR(VLOOKUP($A311,'The List'!$B1:$AS671,10,FALSE)," ")</f>
        <v xml:space="preserve"> </v>
      </c>
      <c r="H311" s="109"/>
      <c r="I311" s="110" t="str" cm="1">
        <f t="array" ref="I311">IFERROR(VLOOKUP($A311,'The List'!$B1:$AS671,16,FALSE)," ")</f>
        <v xml:space="preserve"> </v>
      </c>
      <c r="J311" s="110" t="str" cm="1">
        <f t="array" ref="J311">IFERROR(VLOOKUP($A311,'The List'!$B1:$AS671,17,FALSE)," ")</f>
        <v xml:space="preserve"> </v>
      </c>
      <c r="K311" s="110" t="str" cm="1">
        <f t="array" ref="K311">IFERROR(VLOOKUP($A311,'The List'!$B1:$AS671,18,FALSE)," ")</f>
        <v xml:space="preserve"> </v>
      </c>
      <c r="L311" s="110" t="str" cm="1">
        <f t="array" ref="L311">IFERROR(VLOOKUP($A311,'The List'!$B1:$AS671,19,FALSE)," ")</f>
        <v xml:space="preserve"> </v>
      </c>
      <c r="M311" s="110" t="str" cm="1">
        <f t="array" ref="M311">IFERROR(VLOOKUP($A311,'The List'!$B1:$AS671,20,FALSE)," ")</f>
        <v xml:space="preserve"> </v>
      </c>
      <c r="N311" s="110" t="str" cm="1">
        <f t="array" ref="N311">IFERROR(VLOOKUP($A311,'The List'!$B1:$AS671,21,FALSE)," ")</f>
        <v xml:space="preserve"> </v>
      </c>
      <c r="O311" s="110" t="str" cm="1">
        <f t="array" ref="O311">IFERROR(VLOOKUP($A311,'The List'!$B1:$AS671,22,FALSE)," ")</f>
        <v xml:space="preserve"> </v>
      </c>
      <c r="P311" s="110" t="str" cm="1">
        <f t="array" ref="P311">IFERROR(VLOOKUP($A311,'The List'!$B1:$AS671,23,FALSE)," ")</f>
        <v xml:space="preserve"> </v>
      </c>
      <c r="Q311" s="110" t="str" cm="1">
        <f t="array" ref="Q311">IFERROR(VLOOKUP($A311,'The List'!$B1:$AS671,24,FALSE)," ")</f>
        <v xml:space="preserve"> </v>
      </c>
      <c r="R311" s="110" t="str" cm="1">
        <f t="array" ref="R311">IFERROR(VLOOKUP($A311,'The List'!$B1:$AS671,25,FALSE)," ")</f>
        <v xml:space="preserve"> </v>
      </c>
      <c r="S311" s="110" t="str" cm="1">
        <f t="array" ref="S311">IFERROR(VLOOKUP($A311,'The List'!$B1:$AS671,26,FALSE)," ")</f>
        <v xml:space="preserve"> </v>
      </c>
      <c r="T311" s="110" t="str" cm="1">
        <f t="array" ref="T311">IFERROR(VLOOKUP($A311,'The List'!$B1:$AS671,27,FALSE)," ")</f>
        <v xml:space="preserve"> </v>
      </c>
      <c r="U311" s="110" t="str" cm="1">
        <f t="array" ref="U311">IFERROR(VLOOKUP($A311,'The List'!$B1:$AS671,28,FALSE)," ")</f>
        <v xml:space="preserve"> </v>
      </c>
      <c r="V311" s="110" t="str" cm="1">
        <f t="array" ref="V311">IFERROR(VLOOKUP($A311,'The List'!$B1:$AS671,29,FALSE)," ")</f>
        <v xml:space="preserve"> </v>
      </c>
      <c r="W311" s="110" t="str" cm="1">
        <f t="array" ref="W311">IFERROR(VLOOKUP($A311,'The List'!$B1:$AS671,30,FALSE)," ")</f>
        <v xml:space="preserve"> </v>
      </c>
      <c r="X311" s="110" t="str" cm="1">
        <f t="array" ref="X311">IFERROR(VLOOKUP($A311,'The List'!$B1:$AS671,31,FALSE)," ")</f>
        <v xml:space="preserve"> </v>
      </c>
      <c r="Y311" s="110" t="str" cm="1">
        <f t="array" ref="Y311">IFERROR(VLOOKUP($A311,'The List'!$B1:$AS671,32,FALSE)," ")</f>
        <v xml:space="preserve"> </v>
      </c>
      <c r="Z311" s="110" t="str" cm="1">
        <f t="array" ref="Z311">IFERROR(VLOOKUP($A311,'The List'!$B1:$AS671,33,FALSE)," ")</f>
        <v xml:space="preserve"> </v>
      </c>
      <c r="AA311" s="86"/>
      <c r="AB311" s="91"/>
      <c r="AC311" s="91"/>
      <c r="AD311" s="91"/>
      <c r="AE311" s="91"/>
      <c r="AF311" s="91"/>
    </row>
    <row r="312" spans="1:32" ht="21.25" customHeight="1" x14ac:dyDescent="0.15">
      <c r="A312" s="111"/>
      <c r="B312" s="112"/>
      <c r="C312" s="113"/>
      <c r="D312" s="114"/>
      <c r="E312" s="114" t="str" cm="1">
        <f t="array" ref="E312">IFERROR(AVERAGE(E292:E311)," ")</f>
        <v xml:space="preserve"> </v>
      </c>
      <c r="F312" s="116" cm="1">
        <f t="array" ref="F312">SUM(F292:F311)</f>
        <v>0</v>
      </c>
      <c r="G312" s="116" cm="1">
        <f t="array" ref="G312">SUM(G292:G311)</f>
        <v>0</v>
      </c>
      <c r="H312" s="117"/>
      <c r="I312" s="118" cm="1">
        <f t="array" ref="I312">SUM(I292:I311)</f>
        <v>0</v>
      </c>
      <c r="J312" s="117" t="e" cm="1">
        <f t="array" ref="J312">AVERAGE(J292:J311)</f>
        <v>#DIV/0!</v>
      </c>
      <c r="K312" s="118" cm="1">
        <f t="array" ref="K312">SUM(K292:K311)</f>
        <v>0</v>
      </c>
      <c r="L312" s="118" cm="1">
        <f t="array" ref="L312">SUM(L292:L311)</f>
        <v>0</v>
      </c>
      <c r="M312" s="118" cm="1">
        <f t="array" ref="M312">SUM(M292:M311)</f>
        <v>0</v>
      </c>
      <c r="N312" s="118" cm="1">
        <f t="array" ref="N312">SUM(N292:N311)</f>
        <v>0</v>
      </c>
      <c r="O312" s="118" cm="1">
        <f t="array" ref="O312">SUM(O292:O311)</f>
        <v>0</v>
      </c>
      <c r="P312" s="118" cm="1">
        <f t="array" ref="P312">SUM(P292:P311)</f>
        <v>0</v>
      </c>
      <c r="Q312" s="118" cm="1">
        <f t="array" ref="Q312">SUM(Q292:Q311)</f>
        <v>0</v>
      </c>
      <c r="R312" s="118" cm="1">
        <f t="array" ref="R312">SUM(R292:R311)</f>
        <v>0</v>
      </c>
      <c r="S312" s="118" cm="1">
        <f t="array" ref="S312">SUM(S292:S311)</f>
        <v>0</v>
      </c>
      <c r="T312" s="118" cm="1">
        <f t="array" ref="T312">SUM(T292:T311)</f>
        <v>0</v>
      </c>
      <c r="U312" s="118" cm="1">
        <f t="array" ref="U312">SUM(U292:U311)</f>
        <v>0</v>
      </c>
      <c r="V312" s="118" cm="1">
        <f t="array" ref="V312">SUM(V292:V311)</f>
        <v>0</v>
      </c>
      <c r="W312" s="118" cm="1">
        <f t="array" ref="W312">SUM(W292:W311)</f>
        <v>0</v>
      </c>
      <c r="X312" s="118" cm="1">
        <f t="array" ref="X312">SUM(X292:X311)</f>
        <v>0</v>
      </c>
      <c r="Y312" s="118" cm="1">
        <f t="array" ref="Y312">SUM(Y292:Y311)</f>
        <v>0</v>
      </c>
      <c r="Z312" s="119" cm="1">
        <f t="array" ref="Z312">IFERROR(X312/(X312+Y312),0)</f>
        <v>0</v>
      </c>
      <c r="AA312" s="86"/>
      <c r="AB312" s="120"/>
      <c r="AC312" s="120"/>
      <c r="AD312" s="120"/>
      <c r="AE312" s="120"/>
      <c r="AF312" s="120"/>
    </row>
    <row r="313" spans="1:32" ht="21.25" customHeight="1" x14ac:dyDescent="0.15">
      <c r="A313" s="37"/>
      <c r="B313" s="121"/>
      <c r="C313" s="122"/>
      <c r="D313" s="13"/>
      <c r="E313" s="13"/>
      <c r="F313" s="123"/>
      <c r="G313" s="124"/>
      <c r="H313" s="125"/>
      <c r="I313" s="12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91"/>
      <c r="AC313" s="91"/>
      <c r="AD313" s="91"/>
      <c r="AE313" s="91"/>
      <c r="AF313" s="91"/>
    </row>
    <row r="314" spans="1:32" ht="21.25" customHeight="1" x14ac:dyDescent="0.15">
      <c r="A314" s="40" t="s">
        <v>91</v>
      </c>
      <c r="B314" s="205" t="s">
        <v>93</v>
      </c>
      <c r="C314" s="197"/>
      <c r="D314" s="127" t="s">
        <v>94</v>
      </c>
      <c r="E314" s="127" t="s">
        <v>95</v>
      </c>
      <c r="F314" s="128" t="s">
        <v>97</v>
      </c>
      <c r="G314" s="128" t="s">
        <v>99</v>
      </c>
      <c r="H314" s="129"/>
      <c r="I314" s="130" t="s">
        <v>104</v>
      </c>
      <c r="J314" s="130" t="s">
        <v>119</v>
      </c>
      <c r="K314" s="130" t="s">
        <v>120</v>
      </c>
      <c r="L314" s="130" t="s">
        <v>121</v>
      </c>
      <c r="M314" s="130" t="s">
        <v>122</v>
      </c>
      <c r="N314" s="130" t="s">
        <v>123</v>
      </c>
      <c r="O314" s="130" t="s">
        <v>124</v>
      </c>
      <c r="P314" s="130" t="s">
        <v>125</v>
      </c>
      <c r="Q314" s="130" t="s">
        <v>126</v>
      </c>
      <c r="R314" s="86"/>
      <c r="S314" s="86"/>
      <c r="T314" s="86"/>
      <c r="U314" s="205" t="s">
        <v>818</v>
      </c>
      <c r="V314" s="206"/>
      <c r="W314" s="206"/>
      <c r="X314" s="205" t="s">
        <v>819</v>
      </c>
      <c r="Y314" s="206"/>
      <c r="Z314" s="206"/>
      <c r="AA314" s="86"/>
      <c r="AB314" s="86"/>
      <c r="AC314" s="86"/>
      <c r="AD314" s="86"/>
      <c r="AE314" s="86"/>
      <c r="AF314" s="86"/>
    </row>
    <row r="315" spans="1:32" ht="21.25" customHeight="1" x14ac:dyDescent="0.15">
      <c r="A315" s="147"/>
      <c r="B315" s="132" t="str" cm="1">
        <f t="array" ref="B315">IFERROR(VLOOKUP($A315,'The List'!$B1:$AS671,3,FALSE)," ")</f>
        <v xml:space="preserve"> </v>
      </c>
      <c r="C315" s="148" t="str" cm="1">
        <f t="array" ref="C315">IFERROR(VLOOKUP($A315,'The List'!$B1:$AS671,4,FALSE)," ")</f>
        <v xml:space="preserve"> </v>
      </c>
      <c r="D315" s="134" t="str" cm="1">
        <f t="array" ref="D315">IFERROR(VLOOKUP($A315,'The List'!$B1:$AS671,5,FALSE)," ")</f>
        <v xml:space="preserve"> </v>
      </c>
      <c r="E315" s="134" t="str" cm="1">
        <f t="array" ref="E315">IFERROR(VLOOKUP($A315,'The List'!$B1:$AS671,6,FALSE)," ")</f>
        <v xml:space="preserve"> </v>
      </c>
      <c r="F315" s="149" t="str" cm="1">
        <f t="array" ref="F315">IFERROR(VLOOKUP($A315,'The List'!$B1:$AS671,8,FALSE)," ")</f>
        <v xml:space="preserve"> </v>
      </c>
      <c r="G315" s="149" t="str" cm="1">
        <f t="array" ref="G315">IFERROR(VLOOKUP($A315,'The List'!$B1:$AS671,10,FALSE)," ")</f>
        <v xml:space="preserve"> </v>
      </c>
      <c r="H315" s="83"/>
      <c r="I315" s="150" t="str" cm="1">
        <f t="array" ref="I315">IFERROR(VLOOKUP($A315,'The List'!$B1:$AS671,35,FALSE)," ")</f>
        <v xml:space="preserve"> </v>
      </c>
      <c r="J315" s="150" t="str" cm="1">
        <f t="array" ref="J315">IFERROR(VLOOKUP($A315,'The List'!$B1:$AS671,36,FALSE)," ")</f>
        <v xml:space="preserve"> </v>
      </c>
      <c r="K315" s="150" t="str" cm="1">
        <f t="array" ref="K315">IFERROR(VLOOKUP($A315,'The List'!$B1:$AS671,37,FALSE)," ")</f>
        <v xml:space="preserve"> </v>
      </c>
      <c r="L315" s="150" t="str" cm="1">
        <f t="array" ref="L315">IFERROR(VLOOKUP($A315,'The List'!$B1:$AS671,38,FALSE)," ")</f>
        <v xml:space="preserve"> </v>
      </c>
      <c r="M315" s="150" t="str" cm="1">
        <f t="array" ref="M315">IFERROR(VLOOKUP($A315,'The List'!$B1:$AS671,39,FALSE)," ")</f>
        <v xml:space="preserve"> </v>
      </c>
      <c r="N315" s="150" t="str" cm="1">
        <f t="array" ref="N315">IFERROR(VLOOKUP($A315,'The List'!$B1:$AS671,40,FALSE)," ")</f>
        <v xml:space="preserve"> </v>
      </c>
      <c r="O315" s="150" t="str" cm="1">
        <f t="array" ref="O315">IFERROR(VLOOKUP($A315,'The List'!$B1:$AS671,41,FALSE)," ")</f>
        <v xml:space="preserve"> </v>
      </c>
      <c r="P315" s="150" t="str" cm="1">
        <f t="array" ref="P315">IFERROR(VLOOKUP($A315,'The List'!$B1:$AS671,42,FALSE)," ")</f>
        <v xml:space="preserve"> </v>
      </c>
      <c r="Q315" s="150" t="str" cm="1">
        <f t="array" ref="Q315">IFERROR(VLOOKUP($A315,'The List'!$B1:$AS671,43,FALSE)," ")</f>
        <v xml:space="preserve"> </v>
      </c>
      <c r="R315" s="86"/>
      <c r="S315" s="86"/>
      <c r="T315" s="140" t="str" cm="1">
        <f t="array" ref="T315">A291</f>
        <v>TEAM 11</v>
      </c>
      <c r="U315" s="207" cm="1">
        <f t="array" ref="U315">F312+F318</f>
        <v>0</v>
      </c>
      <c r="V315" s="197"/>
      <c r="W315" s="197"/>
      <c r="X315" s="207" cm="1">
        <f t="array" ref="X315">G318+G312</f>
        <v>0</v>
      </c>
      <c r="Y315" s="197"/>
      <c r="Z315" s="197"/>
      <c r="AA315" s="86"/>
      <c r="AB315" s="86"/>
      <c r="AC315" s="86"/>
      <c r="AD315" s="86"/>
      <c r="AE315" s="86"/>
      <c r="AF315" s="86"/>
    </row>
    <row r="316" spans="1:32" ht="21.25" customHeight="1" x14ac:dyDescent="0.15">
      <c r="A316" s="24"/>
      <c r="B316" s="141" t="str" cm="1">
        <f t="array" ref="B316">IFERROR(VLOOKUP($A316,'The List'!$B1:$AS671,3,FALSE)," ")</f>
        <v xml:space="preserve"> </v>
      </c>
      <c r="C316" s="142" t="str" cm="1">
        <f t="array" ref="C316">IFERROR(VLOOKUP($A316,'The List'!$B1:$AS671,4,FALSE)," ")</f>
        <v xml:space="preserve"> </v>
      </c>
      <c r="D316" s="18" t="str" cm="1">
        <f t="array" ref="D316">IFERROR(VLOOKUP($A316,'The List'!$B1:$AS671,5,FALSE)," ")</f>
        <v xml:space="preserve"> </v>
      </c>
      <c r="E316" s="18" t="str" cm="1">
        <f t="array" ref="E316">IFERROR(VLOOKUP($A316,'The List'!$B1:$AS671,6,FALSE)," ")</f>
        <v xml:space="preserve"> </v>
      </c>
      <c r="F316" s="93" t="str" cm="1">
        <f t="array" ref="F316">IFERROR(VLOOKUP($A316,'The List'!$B1:$AS671,8,FALSE)," ")</f>
        <v xml:space="preserve"> </v>
      </c>
      <c r="G316" s="93" t="str" cm="1">
        <f t="array" ref="G316">IFERROR(VLOOKUP($A316,'The List'!$B1:$AS671,10,FALSE)," ")</f>
        <v xml:space="preserve"> </v>
      </c>
      <c r="H316" s="55"/>
      <c r="I316" s="85" t="str" cm="1">
        <f t="array" ref="I316">IFERROR(VLOOKUP($A316,'The List'!$B1:$AS671,35,FALSE)," ")</f>
        <v xml:space="preserve"> </v>
      </c>
      <c r="J316" s="85" t="str" cm="1">
        <f t="array" ref="J316">IFERROR(VLOOKUP($A316,'The List'!$B1:$AS671,36,FALSE)," ")</f>
        <v xml:space="preserve"> </v>
      </c>
      <c r="K316" s="85" t="str" cm="1">
        <f t="array" ref="K316">IFERROR(VLOOKUP($A316,'The List'!$B1:$AS671,37,FALSE)," ")</f>
        <v xml:space="preserve"> </v>
      </c>
      <c r="L316" s="85" t="str" cm="1">
        <f t="array" ref="L316">IFERROR(VLOOKUP($A316,'The List'!$B1:$AS671,38,FALSE)," ")</f>
        <v xml:space="preserve"> </v>
      </c>
      <c r="M316" s="85" t="str" cm="1">
        <f t="array" ref="M316">IFERROR(VLOOKUP($A316,'The List'!$B1:$AS671,39,FALSE)," ")</f>
        <v xml:space="preserve"> </v>
      </c>
      <c r="N316" s="85" t="str" cm="1">
        <f t="array" ref="N316">IFERROR(VLOOKUP($A316,'The List'!$B1:$AS671,40,FALSE)," ")</f>
        <v xml:space="preserve"> </v>
      </c>
      <c r="O316" s="85" t="str" cm="1">
        <f t="array" ref="O316">IFERROR(VLOOKUP($A316,'The List'!$B1:$AS671,41,FALSE)," ")</f>
        <v xml:space="preserve"> </v>
      </c>
      <c r="P316" s="85" t="str" cm="1">
        <f t="array" ref="P316">IFERROR(VLOOKUP($A316,'The List'!$B1:$AS671,42,FALSE)," ")</f>
        <v xml:space="preserve"> </v>
      </c>
      <c r="Q316" s="85" t="str" cm="1">
        <f t="array" ref="Q316">IFERROR(VLOOKUP($A316,'The List'!$B1:$AS671,43,FALSE)," ")</f>
        <v xml:space="preserve"> </v>
      </c>
      <c r="R316" s="86"/>
      <c r="S316" s="86"/>
      <c r="T316" s="86"/>
      <c r="U316" s="197"/>
      <c r="V316" s="197"/>
      <c r="W316" s="197"/>
      <c r="X316" s="197"/>
      <c r="Y316" s="197"/>
      <c r="Z316" s="197"/>
      <c r="AA316" s="86"/>
      <c r="AB316" s="86"/>
      <c r="AC316" s="86"/>
      <c r="AD316" s="86"/>
      <c r="AE316" s="86"/>
      <c r="AF316" s="86"/>
    </row>
    <row r="317" spans="1:32" ht="21.25" customHeight="1" x14ac:dyDescent="0.15">
      <c r="A317" s="104"/>
      <c r="B317" s="143" t="str" cm="1">
        <f t="array" ref="B317">IFERROR(VLOOKUP($A317,'The List'!$B1:$AS671,3,FALSE)," ")</f>
        <v xml:space="preserve"> </v>
      </c>
      <c r="C317" s="144" t="str" cm="1">
        <f t="array" ref="C317">IFERROR(VLOOKUP($A317,'The List'!$B1:$AS671,4,FALSE)," ")</f>
        <v xml:space="preserve"> </v>
      </c>
      <c r="D317" s="107" t="str" cm="1">
        <f t="array" ref="D317">IFERROR(VLOOKUP($A317,'The List'!$B1:$AS671,5,FALSE)," ")</f>
        <v xml:space="preserve"> </v>
      </c>
      <c r="E317" s="107" t="str" cm="1">
        <f t="array" ref="E317">IFERROR(VLOOKUP($A317,'The List'!$B1:$AS671,6,FALSE)," ")</f>
        <v xml:space="preserve"> </v>
      </c>
      <c r="F317" s="108" t="str" cm="1">
        <f t="array" ref="F317">IFERROR(VLOOKUP($A317,'The List'!$B1:$AS671,8,FALSE)," ")</f>
        <v xml:space="preserve"> </v>
      </c>
      <c r="G317" s="108" t="str" cm="1">
        <f t="array" ref="G317">IFERROR(VLOOKUP($A317,'The List'!$B1:$AS671,10,FALSE)," ")</f>
        <v xml:space="preserve"> </v>
      </c>
      <c r="H317" s="109"/>
      <c r="I317" s="110" t="str" cm="1">
        <f t="array" ref="I317">IFERROR(VLOOKUP($A317,'The List'!$B1:$AS671,35,FALSE)," ")</f>
        <v xml:space="preserve"> </v>
      </c>
      <c r="J317" s="110" t="str" cm="1">
        <f t="array" ref="J317">IFERROR(VLOOKUP($A317,'The List'!$B1:$AS671,36,FALSE)," ")</f>
        <v xml:space="preserve"> </v>
      </c>
      <c r="K317" s="110" t="str" cm="1">
        <f t="array" ref="K317">IFERROR(VLOOKUP($A317,'The List'!$B1:$AS671,37,FALSE)," ")</f>
        <v xml:space="preserve"> </v>
      </c>
      <c r="L317" s="110" t="str" cm="1">
        <f t="array" ref="L317">IFERROR(VLOOKUP($A317,'The List'!$B1:$AS671,38,FALSE)," ")</f>
        <v xml:space="preserve"> </v>
      </c>
      <c r="M317" s="110" t="str" cm="1">
        <f t="array" ref="M317">IFERROR(VLOOKUP($A317,'The List'!$B1:$AS671,39,FALSE)," ")</f>
        <v xml:space="preserve"> </v>
      </c>
      <c r="N317" s="110" t="str" cm="1">
        <f t="array" ref="N317">IFERROR(VLOOKUP($A317,'The List'!$B1:$AS671,40,FALSE)," ")</f>
        <v xml:space="preserve"> </v>
      </c>
      <c r="O317" s="110" t="str" cm="1">
        <f t="array" ref="O317">IFERROR(VLOOKUP($A317,'The List'!$B1:$AS671,41,FALSE)," ")</f>
        <v xml:space="preserve"> </v>
      </c>
      <c r="P317" s="110" t="str" cm="1">
        <f t="array" ref="P317">IFERROR(VLOOKUP($A317,'The List'!$B1:$AS671,42,FALSE)," ")</f>
        <v xml:space="preserve"> </v>
      </c>
      <c r="Q317" s="110" t="str" cm="1">
        <f t="array" ref="Q317">IFERROR(VLOOKUP($A317,'The List'!$B1:$AS671,43,FALSE)," ")</f>
        <v xml:space="preserve"> </v>
      </c>
      <c r="R317" s="86"/>
      <c r="S317" s="86"/>
      <c r="T317" s="86"/>
      <c r="U317" s="197"/>
      <c r="V317" s="197"/>
      <c r="W317" s="197"/>
      <c r="X317" s="197"/>
      <c r="Y317" s="197"/>
      <c r="Z317" s="197"/>
      <c r="AA317" s="86"/>
      <c r="AB317" s="86"/>
      <c r="AC317" s="86"/>
      <c r="AD317" s="86"/>
      <c r="AE317" s="86"/>
      <c r="AF317" s="86"/>
    </row>
    <row r="318" spans="1:32" ht="21.25" customHeight="1" x14ac:dyDescent="0.15">
      <c r="A318" s="111"/>
      <c r="B318" s="112"/>
      <c r="C318" s="113"/>
      <c r="D318" s="114"/>
      <c r="E318" s="114" t="str" cm="1">
        <f t="array" ref="E318">IFERROR(AVERAGE(E315:E317)," ")</f>
        <v xml:space="preserve"> </v>
      </c>
      <c r="F318" s="116" cm="1">
        <f t="array" ref="F318">SUM(F315:F317)</f>
        <v>0</v>
      </c>
      <c r="G318" s="116" cm="1">
        <f t="array" ref="G318">SUM(G315:G317)</f>
        <v>0</v>
      </c>
      <c r="H318" s="117"/>
      <c r="I318" s="118" cm="1">
        <f t="array" ref="I318">SUM(I315:I317)</f>
        <v>0</v>
      </c>
      <c r="J318" s="117" cm="1">
        <f t="array" ref="J318">SUM(J315:J317)</f>
        <v>0</v>
      </c>
      <c r="K318" s="118" cm="1">
        <f t="array" ref="K318">SUM(K315:K317)</f>
        <v>0</v>
      </c>
      <c r="L318" s="118" cm="1">
        <f t="array" ref="L318">SUM(L315:L317)</f>
        <v>0</v>
      </c>
      <c r="M318" s="118" cm="1">
        <f t="array" ref="M318">SUM(M315:M317)</f>
        <v>0</v>
      </c>
      <c r="N318" s="118" cm="1">
        <f t="array" ref="N318">SUM(N315:N317)</f>
        <v>0</v>
      </c>
      <c r="O318" s="118" cm="1">
        <f t="array" ref="O318">SUM(O315:O317)</f>
        <v>0</v>
      </c>
      <c r="P318" s="145" t="e" cm="1">
        <f t="array" ref="P318">1-(O318/(N318+O318))</f>
        <v>#DIV/0!</v>
      </c>
      <c r="Q318" s="146" t="e" cm="1">
        <f t="array" ref="Q318">O318/I318</f>
        <v>#DIV/0!</v>
      </c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</row>
    <row r="319" spans="1:32" ht="70.75" customHeight="1" x14ac:dyDescent="0.15">
      <c r="A319" s="37"/>
      <c r="B319" s="121"/>
      <c r="C319" s="122"/>
      <c r="D319" s="13"/>
      <c r="E319" s="13"/>
      <c r="F319" s="123"/>
      <c r="G319" s="124"/>
      <c r="H319" s="125"/>
      <c r="I319" s="12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91"/>
      <c r="AB319" s="91"/>
      <c r="AC319" s="91"/>
      <c r="AD319" s="91"/>
      <c r="AE319" s="91"/>
      <c r="AF319" s="91"/>
    </row>
    <row r="320" spans="1:32" ht="21.25" customHeight="1" x14ac:dyDescent="0.15">
      <c r="A320" s="41" t="s">
        <v>813</v>
      </c>
      <c r="B320" s="194" t="s">
        <v>93</v>
      </c>
      <c r="C320" s="195"/>
      <c r="D320" s="42" t="s">
        <v>94</v>
      </c>
      <c r="E320" s="42" t="s">
        <v>95</v>
      </c>
      <c r="F320" s="43" t="s">
        <v>97</v>
      </c>
      <c r="G320" s="43" t="s">
        <v>99</v>
      </c>
      <c r="H320" s="44"/>
      <c r="I320" s="46" t="s">
        <v>104</v>
      </c>
      <c r="J320" s="46" t="s">
        <v>56</v>
      </c>
      <c r="K320" s="46" t="s">
        <v>105</v>
      </c>
      <c r="L320" s="46" t="s">
        <v>106</v>
      </c>
      <c r="M320" s="46" t="s">
        <v>107</v>
      </c>
      <c r="N320" s="46" t="s">
        <v>108</v>
      </c>
      <c r="O320" s="46" t="s">
        <v>64</v>
      </c>
      <c r="P320" s="46" t="s">
        <v>68</v>
      </c>
      <c r="Q320" s="46" t="s">
        <v>109</v>
      </c>
      <c r="R320" s="46" t="s">
        <v>110</v>
      </c>
      <c r="S320" s="46" t="s">
        <v>111</v>
      </c>
      <c r="T320" s="46" t="s">
        <v>112</v>
      </c>
      <c r="U320" s="46" t="s">
        <v>113</v>
      </c>
      <c r="V320" s="46" t="s">
        <v>114</v>
      </c>
      <c r="W320" s="46" t="s">
        <v>115</v>
      </c>
      <c r="X320" s="46" t="s">
        <v>116</v>
      </c>
      <c r="Y320" s="46" t="s">
        <v>117</v>
      </c>
      <c r="Z320" s="46" t="s">
        <v>118</v>
      </c>
      <c r="AA320" s="86"/>
      <c r="AB320" s="87"/>
      <c r="AC320" s="87"/>
      <c r="AD320" s="87"/>
      <c r="AE320" s="87"/>
      <c r="AF320" s="87"/>
    </row>
    <row r="321" spans="1:32" ht="21.25" customHeight="1" x14ac:dyDescent="0.15">
      <c r="A321" s="24"/>
      <c r="B321" s="88" t="str" cm="1">
        <f t="array" ref="B321">IFERROR(VLOOKUP($A321,'The List'!$B1:$AS671,3,FALSE)," ")</f>
        <v xml:space="preserve"> </v>
      </c>
      <c r="C321" s="92" t="str" cm="1">
        <f t="array" ref="C321">IFERROR(VLOOKUP($A321,'The List'!$B1:$AS671,4,FALSE)," ")</f>
        <v xml:space="preserve"> </v>
      </c>
      <c r="D321" s="18" t="str" cm="1">
        <f t="array" ref="D321">IFERROR(VLOOKUP($A321,'The List'!$B1:$AS671,5,FALSE)," ")</f>
        <v xml:space="preserve"> </v>
      </c>
      <c r="E321" s="18" t="str" cm="1">
        <f t="array" ref="E321">IFERROR(VLOOKUP($A321,'The List'!$B1:$AS671,6,FALSE)," ")</f>
        <v xml:space="preserve"> </v>
      </c>
      <c r="F321" s="93" t="str" cm="1">
        <f t="array" ref="F321">IFERROR(VLOOKUP($A321,'The List'!$B1:$AS671,8,FALSE)," ")</f>
        <v xml:space="preserve"> </v>
      </c>
      <c r="G321" s="93" t="str" cm="1">
        <f t="array" ref="G321">IFERROR(VLOOKUP($A321,'The List'!$B1:$AS671,10,FALSE)," ")</f>
        <v xml:space="preserve"> </v>
      </c>
      <c r="H321" s="55"/>
      <c r="I321" s="85" t="str" cm="1">
        <f t="array" ref="I321">IFERROR(VLOOKUP($A321,'The List'!$B1:$AS671,16,FALSE)," ")</f>
        <v xml:space="preserve"> </v>
      </c>
      <c r="J321" s="85" t="str" cm="1">
        <f t="array" ref="J321">IFERROR(VLOOKUP($A321,'The List'!$B1:$AS671,17,FALSE)," ")</f>
        <v xml:space="preserve"> </v>
      </c>
      <c r="K321" s="85" t="str" cm="1">
        <f t="array" ref="K321">IFERROR(VLOOKUP($A321,'The List'!$B1:$AS671,18,FALSE)," ")</f>
        <v xml:space="preserve"> </v>
      </c>
      <c r="L321" s="85" t="str" cm="1">
        <f t="array" ref="L321">IFERROR(VLOOKUP($A321,'The List'!$B1:$AS671,19,FALSE)," ")</f>
        <v xml:space="preserve"> </v>
      </c>
      <c r="M321" s="85" t="str" cm="1">
        <f t="array" ref="M321">IFERROR(VLOOKUP($A321,'The List'!$B1:$AS671,20,FALSE)," ")</f>
        <v xml:space="preserve"> </v>
      </c>
      <c r="N321" s="85" t="str" cm="1">
        <f t="array" ref="N321">IFERROR(VLOOKUP($A321,'The List'!$B1:$AS671,21,FALSE)," ")</f>
        <v xml:space="preserve"> </v>
      </c>
      <c r="O321" s="85" t="str" cm="1">
        <f t="array" ref="O321">IFERROR(VLOOKUP($A321,'The List'!$B1:$AS671,22,FALSE)," ")</f>
        <v xml:space="preserve"> </v>
      </c>
      <c r="P321" s="85" t="str" cm="1">
        <f t="array" ref="P321">IFERROR(VLOOKUP($A321,'The List'!$B1:$AS671,23,FALSE)," ")</f>
        <v xml:space="preserve"> </v>
      </c>
      <c r="Q321" s="85" t="str" cm="1">
        <f t="array" ref="Q321">IFERROR(VLOOKUP($A321,'The List'!$B1:$AS671,24,FALSE)," ")</f>
        <v xml:space="preserve"> </v>
      </c>
      <c r="R321" s="85" t="str" cm="1">
        <f t="array" ref="R321">IFERROR(VLOOKUP($A321,'The List'!$B1:$AS671,25,FALSE)," ")</f>
        <v xml:space="preserve"> </v>
      </c>
      <c r="S321" s="85" t="str" cm="1">
        <f t="array" ref="S321">IFERROR(VLOOKUP($A321,'The List'!$B1:$AS671,26,FALSE)," ")</f>
        <v xml:space="preserve"> </v>
      </c>
      <c r="T321" s="85" t="str" cm="1">
        <f t="array" ref="T321">IFERROR(VLOOKUP($A321,'The List'!$B1:$AS671,27,FALSE)," ")</f>
        <v xml:space="preserve"> </v>
      </c>
      <c r="U321" s="85" t="str" cm="1">
        <f t="array" ref="U321">IFERROR(VLOOKUP($A321,'The List'!$B1:$AS671,28,FALSE)," ")</f>
        <v xml:space="preserve"> </v>
      </c>
      <c r="V321" s="85" t="str" cm="1">
        <f t="array" ref="V321">IFERROR(VLOOKUP($A321,'The List'!$B1:$AS671,29,FALSE)," ")</f>
        <v xml:space="preserve"> </v>
      </c>
      <c r="W321" s="85" t="str" cm="1">
        <f t="array" ref="W321">IFERROR(VLOOKUP($A321,'The List'!$B1:$AS671,30,FALSE)," ")</f>
        <v xml:space="preserve"> </v>
      </c>
      <c r="X321" s="85" t="str" cm="1">
        <f t="array" ref="X321">IFERROR(VLOOKUP($A321,'The List'!$B1:$AS671,31,FALSE)," ")</f>
        <v xml:space="preserve"> </v>
      </c>
      <c r="Y321" s="85" t="str" cm="1">
        <f t="array" ref="Y321">IFERROR(VLOOKUP($A321,'The List'!$B1:$AS671,32,FALSE)," ")</f>
        <v xml:space="preserve"> </v>
      </c>
      <c r="Z321" s="85" t="str" cm="1">
        <f t="array" ref="Z321">IFERROR(VLOOKUP($A321,'The List'!$B1:$AS671,33,FALSE)," ")</f>
        <v xml:space="preserve"> </v>
      </c>
      <c r="AA321" s="86"/>
      <c r="AB321" s="91"/>
      <c r="AC321" s="91"/>
      <c r="AD321" s="91"/>
      <c r="AE321" s="91"/>
      <c r="AF321" s="91"/>
    </row>
    <row r="322" spans="1:32" ht="21.25" customHeight="1" x14ac:dyDescent="0.15">
      <c r="A322" s="24"/>
      <c r="B322" s="88" t="str" cm="1">
        <f t="array" ref="B322">IFERROR(VLOOKUP($A322,'The List'!$B1:$AS671,3,FALSE)," ")</f>
        <v xml:space="preserve"> </v>
      </c>
      <c r="C322" s="92" t="str" cm="1">
        <f t="array" ref="C322">IFERROR(VLOOKUP($A322,'The List'!$B1:$AS671,4,FALSE)," ")</f>
        <v xml:space="preserve"> </v>
      </c>
      <c r="D322" s="18" t="str" cm="1">
        <f t="array" ref="D322">IFERROR(VLOOKUP($A322,'The List'!$B1:$AS671,5,FALSE)," ")</f>
        <v xml:space="preserve"> </v>
      </c>
      <c r="E322" s="18" t="str" cm="1">
        <f t="array" ref="E322">IFERROR(VLOOKUP($A322,'The List'!$B1:$AS671,6,FALSE)," ")</f>
        <v xml:space="preserve"> </v>
      </c>
      <c r="F322" s="93" t="str" cm="1">
        <f t="array" ref="F322">IFERROR(VLOOKUP($A322,'The List'!$B1:$AS671,8,FALSE)," ")</f>
        <v xml:space="preserve"> </v>
      </c>
      <c r="G322" s="93" t="str" cm="1">
        <f t="array" ref="G322">IFERROR(VLOOKUP($A322,'The List'!$B1:$AS671,10,FALSE)," ")</f>
        <v xml:space="preserve"> </v>
      </c>
      <c r="H322" s="55"/>
      <c r="I322" s="85" t="str" cm="1">
        <f t="array" ref="I322">IFERROR(VLOOKUP($A322,'The List'!$B1:$AS671,16,FALSE)," ")</f>
        <v xml:space="preserve"> </v>
      </c>
      <c r="J322" s="85" t="str" cm="1">
        <f t="array" ref="J322">IFERROR(VLOOKUP($A322,'The List'!$B1:$AS671,17,FALSE)," ")</f>
        <v xml:space="preserve"> </v>
      </c>
      <c r="K322" s="85" t="str" cm="1">
        <f t="array" ref="K322">IFERROR(VLOOKUP($A322,'The List'!$B1:$AS671,18,FALSE)," ")</f>
        <v xml:space="preserve"> </v>
      </c>
      <c r="L322" s="85" t="str" cm="1">
        <f t="array" ref="L322">IFERROR(VLOOKUP($A322,'The List'!$B1:$AS671,19,FALSE)," ")</f>
        <v xml:space="preserve"> </v>
      </c>
      <c r="M322" s="85" t="str" cm="1">
        <f t="array" ref="M322">IFERROR(VLOOKUP($A322,'The List'!$B1:$AS671,20,FALSE)," ")</f>
        <v xml:space="preserve"> </v>
      </c>
      <c r="N322" s="85" t="str" cm="1">
        <f t="array" ref="N322">IFERROR(VLOOKUP($A322,'The List'!$B1:$AS671,21,FALSE)," ")</f>
        <v xml:space="preserve"> </v>
      </c>
      <c r="O322" s="85" t="str" cm="1">
        <f t="array" ref="O322">IFERROR(VLOOKUP($A322,'The List'!$B1:$AS671,22,FALSE)," ")</f>
        <v xml:space="preserve"> </v>
      </c>
      <c r="P322" s="85" t="str" cm="1">
        <f t="array" ref="P322">IFERROR(VLOOKUP($A322,'The List'!$B1:$AS671,23,FALSE)," ")</f>
        <v xml:space="preserve"> </v>
      </c>
      <c r="Q322" s="85" t="str" cm="1">
        <f t="array" ref="Q322">IFERROR(VLOOKUP($A322,'The List'!$B1:$AS671,24,FALSE)," ")</f>
        <v xml:space="preserve"> </v>
      </c>
      <c r="R322" s="85" t="str" cm="1">
        <f t="array" ref="R322">IFERROR(VLOOKUP($A322,'The List'!$B1:$AS671,25,FALSE)," ")</f>
        <v xml:space="preserve"> </v>
      </c>
      <c r="S322" s="85" t="str" cm="1">
        <f t="array" ref="S322">IFERROR(VLOOKUP($A322,'The List'!$B1:$AS671,26,FALSE)," ")</f>
        <v xml:space="preserve"> </v>
      </c>
      <c r="T322" s="85" t="str" cm="1">
        <f t="array" ref="T322">IFERROR(VLOOKUP($A322,'The List'!$B1:$AS671,27,FALSE)," ")</f>
        <v xml:space="preserve"> </v>
      </c>
      <c r="U322" s="85" t="str" cm="1">
        <f t="array" ref="U322">IFERROR(VLOOKUP($A322,'The List'!$B1:$AS671,28,FALSE)," ")</f>
        <v xml:space="preserve"> </v>
      </c>
      <c r="V322" s="85" t="str" cm="1">
        <f t="array" ref="V322">IFERROR(VLOOKUP($A322,'The List'!$B1:$AS671,29,FALSE)," ")</f>
        <v xml:space="preserve"> </v>
      </c>
      <c r="W322" s="85" t="str" cm="1">
        <f t="array" ref="W322">IFERROR(VLOOKUP($A322,'The List'!$B1:$AS671,30,FALSE)," ")</f>
        <v xml:space="preserve"> </v>
      </c>
      <c r="X322" s="85" t="str" cm="1">
        <f t="array" ref="X322">IFERROR(VLOOKUP($A322,'The List'!$B1:$AS671,31,FALSE)," ")</f>
        <v xml:space="preserve"> </v>
      </c>
      <c r="Y322" s="85" t="str" cm="1">
        <f t="array" ref="Y322">IFERROR(VLOOKUP($A322,'The List'!$B1:$AS671,32,FALSE)," ")</f>
        <v xml:space="preserve"> </v>
      </c>
      <c r="Z322" s="85" t="str" cm="1">
        <f t="array" ref="Z322">IFERROR(VLOOKUP($A322,'The List'!$B1:$AS671,33,FALSE)," ")</f>
        <v xml:space="preserve"> </v>
      </c>
      <c r="AA322" s="86"/>
      <c r="AB322" s="91"/>
      <c r="AC322" s="91"/>
      <c r="AD322" s="91"/>
      <c r="AE322" s="91"/>
      <c r="AF322" s="91"/>
    </row>
    <row r="323" spans="1:32" ht="21.25" customHeight="1" x14ac:dyDescent="0.15">
      <c r="A323" s="24"/>
      <c r="B323" s="88" t="str" cm="1">
        <f t="array" ref="B323">IFERROR(VLOOKUP($A323,'The List'!$B1:$AS671,3,FALSE)," ")</f>
        <v xml:space="preserve"> </v>
      </c>
      <c r="C323" s="92" t="str" cm="1">
        <f t="array" ref="C323">IFERROR(VLOOKUP($A323,'The List'!$B1:$AS671,4,FALSE)," ")</f>
        <v xml:space="preserve"> </v>
      </c>
      <c r="D323" s="18" t="str" cm="1">
        <f t="array" ref="D323">IFERROR(VLOOKUP($A323,'The List'!$B1:$AS671,5,FALSE)," ")</f>
        <v xml:space="preserve"> </v>
      </c>
      <c r="E323" s="18" t="str" cm="1">
        <f t="array" ref="E323">IFERROR(VLOOKUP($A323,'The List'!$B1:$AS671,6,FALSE)," ")</f>
        <v xml:space="preserve"> </v>
      </c>
      <c r="F323" s="93" t="str" cm="1">
        <f t="array" ref="F323">IFERROR(VLOOKUP($A323,'The List'!$B1:$AS671,8,FALSE)," ")</f>
        <v xml:space="preserve"> </v>
      </c>
      <c r="G323" s="93" t="str" cm="1">
        <f t="array" ref="G323">IFERROR(VLOOKUP($A323,'The List'!$B1:$AS671,10,FALSE)," ")</f>
        <v xml:space="preserve"> </v>
      </c>
      <c r="H323" s="55"/>
      <c r="I323" s="85" t="str" cm="1">
        <f t="array" ref="I323">IFERROR(VLOOKUP($A323,'The List'!$B1:$AS671,16,FALSE)," ")</f>
        <v xml:space="preserve"> </v>
      </c>
      <c r="J323" s="85" t="str" cm="1">
        <f t="array" ref="J323">IFERROR(VLOOKUP($A323,'The List'!$B1:$AS671,17,FALSE)," ")</f>
        <v xml:space="preserve"> </v>
      </c>
      <c r="K323" s="85" t="str" cm="1">
        <f t="array" ref="K323">IFERROR(VLOOKUP($A323,'The List'!$B1:$AS671,18,FALSE)," ")</f>
        <v xml:space="preserve"> </v>
      </c>
      <c r="L323" s="85" t="str" cm="1">
        <f t="array" ref="L323">IFERROR(VLOOKUP($A323,'The List'!$B1:$AS671,19,FALSE)," ")</f>
        <v xml:space="preserve"> </v>
      </c>
      <c r="M323" s="85" t="str" cm="1">
        <f t="array" ref="M323">IFERROR(VLOOKUP($A323,'The List'!$B1:$AS671,20,FALSE)," ")</f>
        <v xml:space="preserve"> </v>
      </c>
      <c r="N323" s="85" t="str" cm="1">
        <f t="array" ref="N323">IFERROR(VLOOKUP($A323,'The List'!$B1:$AS671,21,FALSE)," ")</f>
        <v xml:space="preserve"> </v>
      </c>
      <c r="O323" s="85" t="str" cm="1">
        <f t="array" ref="O323">IFERROR(VLOOKUP($A323,'The List'!$B1:$AS671,22,FALSE)," ")</f>
        <v xml:space="preserve"> </v>
      </c>
      <c r="P323" s="85" t="str" cm="1">
        <f t="array" ref="P323">IFERROR(VLOOKUP($A323,'The List'!$B1:$AS671,23,FALSE)," ")</f>
        <v xml:space="preserve"> </v>
      </c>
      <c r="Q323" s="85" t="str" cm="1">
        <f t="array" ref="Q323">IFERROR(VLOOKUP($A323,'The List'!$B1:$AS671,24,FALSE)," ")</f>
        <v xml:space="preserve"> </v>
      </c>
      <c r="R323" s="85" t="str" cm="1">
        <f t="array" ref="R323">IFERROR(VLOOKUP($A323,'The List'!$B1:$AS671,25,FALSE)," ")</f>
        <v xml:space="preserve"> </v>
      </c>
      <c r="S323" s="85" t="str" cm="1">
        <f t="array" ref="S323">IFERROR(VLOOKUP($A323,'The List'!$B1:$AS671,26,FALSE)," ")</f>
        <v xml:space="preserve"> </v>
      </c>
      <c r="T323" s="85" t="str" cm="1">
        <f t="array" ref="T323">IFERROR(VLOOKUP($A323,'The List'!$B1:$AS671,27,FALSE)," ")</f>
        <v xml:space="preserve"> </v>
      </c>
      <c r="U323" s="85" t="str" cm="1">
        <f t="array" ref="U323">IFERROR(VLOOKUP($A323,'The List'!$B1:$AS671,28,FALSE)," ")</f>
        <v xml:space="preserve"> </v>
      </c>
      <c r="V323" s="85" t="str" cm="1">
        <f t="array" ref="V323">IFERROR(VLOOKUP($A323,'The List'!$B1:$AS671,29,FALSE)," ")</f>
        <v xml:space="preserve"> </v>
      </c>
      <c r="W323" s="85" t="str" cm="1">
        <f t="array" ref="W323">IFERROR(VLOOKUP($A323,'The List'!$B1:$AS671,30,FALSE)," ")</f>
        <v xml:space="preserve"> </v>
      </c>
      <c r="X323" s="85" t="str" cm="1">
        <f t="array" ref="X323">IFERROR(VLOOKUP($A323,'The List'!$B1:$AS671,31,FALSE)," ")</f>
        <v xml:space="preserve"> </v>
      </c>
      <c r="Y323" s="85" t="str" cm="1">
        <f t="array" ref="Y323">IFERROR(VLOOKUP($A323,'The List'!$B1:$AS671,32,FALSE)," ")</f>
        <v xml:space="preserve"> </v>
      </c>
      <c r="Z323" s="85" t="str" cm="1">
        <f t="array" ref="Z323">IFERROR(VLOOKUP($A323,'The List'!$B1:$AS671,33,FALSE)," ")</f>
        <v xml:space="preserve"> </v>
      </c>
      <c r="AA323" s="86"/>
      <c r="AB323" s="91"/>
      <c r="AC323" s="91"/>
      <c r="AD323" s="91"/>
      <c r="AE323" s="91"/>
      <c r="AF323" s="91"/>
    </row>
    <row r="324" spans="1:32" ht="21.25" customHeight="1" x14ac:dyDescent="0.15">
      <c r="A324" s="24"/>
      <c r="B324" s="88" t="str" cm="1">
        <f t="array" ref="B324">IFERROR(VLOOKUP($A324,'The List'!$B1:$AS671,3,FALSE)," ")</f>
        <v xml:space="preserve"> </v>
      </c>
      <c r="C324" s="92" t="str" cm="1">
        <f t="array" ref="C324">IFERROR(VLOOKUP($A324,'The List'!$B1:$AS671,4,FALSE)," ")</f>
        <v xml:space="preserve"> </v>
      </c>
      <c r="D324" s="18" t="str" cm="1">
        <f t="array" ref="D324">IFERROR(VLOOKUP($A324,'The List'!$B1:$AS671,5,FALSE)," ")</f>
        <v xml:space="preserve"> </v>
      </c>
      <c r="E324" s="18" t="str" cm="1">
        <f t="array" ref="E324">IFERROR(VLOOKUP($A324,'The List'!$B1:$AS671,6,FALSE)," ")</f>
        <v xml:space="preserve"> </v>
      </c>
      <c r="F324" s="93" t="str" cm="1">
        <f t="array" ref="F324">IFERROR(VLOOKUP($A324,'The List'!$B1:$AS671,8,FALSE)," ")</f>
        <v xml:space="preserve"> </v>
      </c>
      <c r="G324" s="93" t="str" cm="1">
        <f t="array" ref="G324">IFERROR(VLOOKUP($A324,'The List'!$B1:$AS671,10,FALSE)," ")</f>
        <v xml:space="preserve"> </v>
      </c>
      <c r="H324" s="55"/>
      <c r="I324" s="85" t="str" cm="1">
        <f t="array" ref="I324">IFERROR(VLOOKUP($A324,'The List'!$B1:$AS671,16,FALSE)," ")</f>
        <v xml:space="preserve"> </v>
      </c>
      <c r="J324" s="85" t="str" cm="1">
        <f t="array" ref="J324">IFERROR(VLOOKUP($A324,'The List'!$B1:$AS671,17,FALSE)," ")</f>
        <v xml:space="preserve"> </v>
      </c>
      <c r="K324" s="85" t="str" cm="1">
        <f t="array" ref="K324">IFERROR(VLOOKUP($A324,'The List'!$B1:$AS671,18,FALSE)," ")</f>
        <v xml:space="preserve"> </v>
      </c>
      <c r="L324" s="85" t="str" cm="1">
        <f t="array" ref="L324">IFERROR(VLOOKUP($A324,'The List'!$B1:$AS671,19,FALSE)," ")</f>
        <v xml:space="preserve"> </v>
      </c>
      <c r="M324" s="85" t="str" cm="1">
        <f t="array" ref="M324">IFERROR(VLOOKUP($A324,'The List'!$B1:$AS671,20,FALSE)," ")</f>
        <v xml:space="preserve"> </v>
      </c>
      <c r="N324" s="85" t="str" cm="1">
        <f t="array" ref="N324">IFERROR(VLOOKUP($A324,'The List'!$B1:$AS671,21,FALSE)," ")</f>
        <v xml:space="preserve"> </v>
      </c>
      <c r="O324" s="85" t="str" cm="1">
        <f t="array" ref="O324">IFERROR(VLOOKUP($A324,'The List'!$B1:$AS671,22,FALSE)," ")</f>
        <v xml:space="preserve"> </v>
      </c>
      <c r="P324" s="85" t="str" cm="1">
        <f t="array" ref="P324">IFERROR(VLOOKUP($A324,'The List'!$B1:$AS671,23,FALSE)," ")</f>
        <v xml:space="preserve"> </v>
      </c>
      <c r="Q324" s="85" t="str" cm="1">
        <f t="array" ref="Q324">IFERROR(VLOOKUP($A324,'The List'!$B1:$AS671,24,FALSE)," ")</f>
        <v xml:space="preserve"> </v>
      </c>
      <c r="R324" s="85" t="str" cm="1">
        <f t="array" ref="R324">IFERROR(VLOOKUP($A324,'The List'!$B1:$AS671,25,FALSE)," ")</f>
        <v xml:space="preserve"> </v>
      </c>
      <c r="S324" s="85" t="str" cm="1">
        <f t="array" ref="S324">IFERROR(VLOOKUP($A324,'The List'!$B1:$AS671,26,FALSE)," ")</f>
        <v xml:space="preserve"> </v>
      </c>
      <c r="T324" s="85" t="str" cm="1">
        <f t="array" ref="T324">IFERROR(VLOOKUP($A324,'The List'!$B1:$AS671,27,FALSE)," ")</f>
        <v xml:space="preserve"> </v>
      </c>
      <c r="U324" s="85" t="str" cm="1">
        <f t="array" ref="U324">IFERROR(VLOOKUP($A324,'The List'!$B1:$AS671,28,FALSE)," ")</f>
        <v xml:space="preserve"> </v>
      </c>
      <c r="V324" s="85" t="str" cm="1">
        <f t="array" ref="V324">IFERROR(VLOOKUP($A324,'The List'!$B1:$AS671,29,FALSE)," ")</f>
        <v xml:space="preserve"> </v>
      </c>
      <c r="W324" s="85" t="str" cm="1">
        <f t="array" ref="W324">IFERROR(VLOOKUP($A324,'The List'!$B1:$AS671,30,FALSE)," ")</f>
        <v xml:space="preserve"> </v>
      </c>
      <c r="X324" s="85" t="str" cm="1">
        <f t="array" ref="X324">IFERROR(VLOOKUP($A324,'The List'!$B1:$AS671,31,FALSE)," ")</f>
        <v xml:space="preserve"> </v>
      </c>
      <c r="Y324" s="85" t="str" cm="1">
        <f t="array" ref="Y324">IFERROR(VLOOKUP($A324,'The List'!$B1:$AS671,32,FALSE)," ")</f>
        <v xml:space="preserve"> </v>
      </c>
      <c r="Z324" s="85" t="str" cm="1">
        <f t="array" ref="Z324">IFERROR(VLOOKUP($A324,'The List'!$B1:$AS671,33,FALSE)," ")</f>
        <v xml:space="preserve"> </v>
      </c>
      <c r="AA324" s="86"/>
      <c r="AB324" s="91"/>
      <c r="AC324" s="91"/>
      <c r="AD324" s="91"/>
      <c r="AE324" s="91"/>
      <c r="AF324" s="91"/>
    </row>
    <row r="325" spans="1:32" ht="21.25" customHeight="1" x14ac:dyDescent="0.15">
      <c r="A325" s="24"/>
      <c r="B325" s="94" t="str" cm="1">
        <f t="array" ref="B325">IFERROR(VLOOKUP($A325,'The List'!$B1:$AS671,3,FALSE)," ")</f>
        <v xml:space="preserve"> </v>
      </c>
      <c r="C325" s="96" t="str" cm="1">
        <f t="array" ref="C325">IFERROR(VLOOKUP($A325,'The List'!$B1:$AS671,4,FALSE)," ")</f>
        <v xml:space="preserve"> </v>
      </c>
      <c r="D325" s="18" t="str" cm="1">
        <f t="array" ref="D325">IFERROR(VLOOKUP($A325,'The List'!$B1:$AS671,5,FALSE)," ")</f>
        <v xml:space="preserve"> </v>
      </c>
      <c r="E325" s="18" t="str" cm="1">
        <f t="array" ref="E325">IFERROR(VLOOKUP($A325,'The List'!$B1:$AS671,6,FALSE)," ")</f>
        <v xml:space="preserve"> </v>
      </c>
      <c r="F325" s="93" t="str" cm="1">
        <f t="array" ref="F325">IFERROR(VLOOKUP($A325,'The List'!$B1:$AS671,8,FALSE)," ")</f>
        <v xml:space="preserve"> </v>
      </c>
      <c r="G325" s="93" t="str" cm="1">
        <f t="array" ref="G325">IFERROR(VLOOKUP($A325,'The List'!$B1:$AS671,10,FALSE)," ")</f>
        <v xml:space="preserve"> </v>
      </c>
      <c r="H325" s="55"/>
      <c r="I325" s="85" t="str" cm="1">
        <f t="array" ref="I325">IFERROR(VLOOKUP($A325,'The List'!$B1:$AS671,16,FALSE)," ")</f>
        <v xml:space="preserve"> </v>
      </c>
      <c r="J325" s="85" t="str" cm="1">
        <f t="array" ref="J325">IFERROR(VLOOKUP($A325,'The List'!$B1:$AS671,17,FALSE)," ")</f>
        <v xml:space="preserve"> </v>
      </c>
      <c r="K325" s="85" t="str" cm="1">
        <f t="array" ref="K325">IFERROR(VLOOKUP($A325,'The List'!$B1:$AS671,18,FALSE)," ")</f>
        <v xml:space="preserve"> </v>
      </c>
      <c r="L325" s="85" t="str" cm="1">
        <f t="array" ref="L325">IFERROR(VLOOKUP($A325,'The List'!$B1:$AS671,19,FALSE)," ")</f>
        <v xml:space="preserve"> </v>
      </c>
      <c r="M325" s="85" t="str" cm="1">
        <f t="array" ref="M325">IFERROR(VLOOKUP($A325,'The List'!$B1:$AS671,20,FALSE)," ")</f>
        <v xml:space="preserve"> </v>
      </c>
      <c r="N325" s="85" t="str" cm="1">
        <f t="array" ref="N325">IFERROR(VLOOKUP($A325,'The List'!$B1:$AS671,21,FALSE)," ")</f>
        <v xml:space="preserve"> </v>
      </c>
      <c r="O325" s="85" t="str" cm="1">
        <f t="array" ref="O325">IFERROR(VLOOKUP($A325,'The List'!$B1:$AS671,22,FALSE)," ")</f>
        <v xml:space="preserve"> </v>
      </c>
      <c r="P325" s="85" t="str" cm="1">
        <f t="array" ref="P325">IFERROR(VLOOKUP($A325,'The List'!$B1:$AS671,23,FALSE)," ")</f>
        <v xml:space="preserve"> </v>
      </c>
      <c r="Q325" s="85" t="str" cm="1">
        <f t="array" ref="Q325">IFERROR(VLOOKUP($A325,'The List'!$B1:$AS671,24,FALSE)," ")</f>
        <v xml:space="preserve"> </v>
      </c>
      <c r="R325" s="85" t="str" cm="1">
        <f t="array" ref="R325">IFERROR(VLOOKUP($A325,'The List'!$B1:$AS671,25,FALSE)," ")</f>
        <v xml:space="preserve"> </v>
      </c>
      <c r="S325" s="85" t="str" cm="1">
        <f t="array" ref="S325">IFERROR(VLOOKUP($A325,'The List'!$B1:$AS671,26,FALSE)," ")</f>
        <v xml:space="preserve"> </v>
      </c>
      <c r="T325" s="85" t="str" cm="1">
        <f t="array" ref="T325">IFERROR(VLOOKUP($A325,'The List'!$B1:$AS671,27,FALSE)," ")</f>
        <v xml:space="preserve"> </v>
      </c>
      <c r="U325" s="85" t="str" cm="1">
        <f t="array" ref="U325">IFERROR(VLOOKUP($A325,'The List'!$B1:$AS671,28,FALSE)," ")</f>
        <v xml:space="preserve"> </v>
      </c>
      <c r="V325" s="85" t="str" cm="1">
        <f t="array" ref="V325">IFERROR(VLOOKUP($A325,'The List'!$B1:$AS671,29,FALSE)," ")</f>
        <v xml:space="preserve"> </v>
      </c>
      <c r="W325" s="85" t="str" cm="1">
        <f t="array" ref="W325">IFERROR(VLOOKUP($A325,'The List'!$B1:$AS671,30,FALSE)," ")</f>
        <v xml:space="preserve"> </v>
      </c>
      <c r="X325" s="85" t="str" cm="1">
        <f t="array" ref="X325">IFERROR(VLOOKUP($A325,'The List'!$B1:$AS671,31,FALSE)," ")</f>
        <v xml:space="preserve"> </v>
      </c>
      <c r="Y325" s="85" t="str" cm="1">
        <f t="array" ref="Y325">IFERROR(VLOOKUP($A325,'The List'!$B1:$AS671,32,FALSE)," ")</f>
        <v xml:space="preserve"> </v>
      </c>
      <c r="Z325" s="85" t="str" cm="1">
        <f t="array" ref="Z325">IFERROR(VLOOKUP($A325,'The List'!$B1:$AS671,33,FALSE)," ")</f>
        <v xml:space="preserve"> </v>
      </c>
      <c r="AA325" s="86"/>
      <c r="AB325" s="91"/>
      <c r="AC325" s="91"/>
      <c r="AD325" s="91"/>
      <c r="AE325" s="91"/>
      <c r="AF325" s="91"/>
    </row>
    <row r="326" spans="1:32" ht="21.25" customHeight="1" x14ac:dyDescent="0.15">
      <c r="A326" s="24"/>
      <c r="B326" s="94" t="str" cm="1">
        <f t="array" ref="B326">IFERROR(VLOOKUP($A326,'The List'!$B1:$AS671,3,FALSE)," ")</f>
        <v xml:space="preserve"> </v>
      </c>
      <c r="C326" s="96" t="str" cm="1">
        <f t="array" ref="C326">IFERROR(VLOOKUP($A326,'The List'!$B1:$AS671,4,FALSE)," ")</f>
        <v xml:space="preserve"> </v>
      </c>
      <c r="D326" s="18" t="str" cm="1">
        <f t="array" ref="D326">IFERROR(VLOOKUP($A326,'The List'!$B1:$AS671,5,FALSE)," ")</f>
        <v xml:space="preserve"> </v>
      </c>
      <c r="E326" s="18" t="str" cm="1">
        <f t="array" ref="E326">IFERROR(VLOOKUP($A326,'The List'!$B1:$AS671,6,FALSE)," ")</f>
        <v xml:space="preserve"> </v>
      </c>
      <c r="F326" s="93" t="str" cm="1">
        <f t="array" ref="F326">IFERROR(VLOOKUP($A326,'The List'!$B1:$AS671,8,FALSE)," ")</f>
        <v xml:space="preserve"> </v>
      </c>
      <c r="G326" s="93" t="str" cm="1">
        <f t="array" ref="G326">IFERROR(VLOOKUP($A326,'The List'!$B1:$AS671,10,FALSE)," ")</f>
        <v xml:space="preserve"> </v>
      </c>
      <c r="H326" s="55"/>
      <c r="I326" s="85" t="str" cm="1">
        <f t="array" ref="I326">IFERROR(VLOOKUP($A326,'The List'!$B1:$AS671,16,FALSE)," ")</f>
        <v xml:space="preserve"> </v>
      </c>
      <c r="J326" s="85" t="str" cm="1">
        <f t="array" ref="J326">IFERROR(VLOOKUP($A326,'The List'!$B1:$AS671,17,FALSE)," ")</f>
        <v xml:space="preserve"> </v>
      </c>
      <c r="K326" s="85" t="str" cm="1">
        <f t="array" ref="K326">IFERROR(VLOOKUP($A326,'The List'!$B1:$AS671,18,FALSE)," ")</f>
        <v xml:space="preserve"> </v>
      </c>
      <c r="L326" s="85" t="str" cm="1">
        <f t="array" ref="L326">IFERROR(VLOOKUP($A326,'The List'!$B1:$AS671,19,FALSE)," ")</f>
        <v xml:space="preserve"> </v>
      </c>
      <c r="M326" s="85" t="str" cm="1">
        <f t="array" ref="M326">IFERROR(VLOOKUP($A326,'The List'!$B1:$AS671,20,FALSE)," ")</f>
        <v xml:space="preserve"> </v>
      </c>
      <c r="N326" s="85" t="str" cm="1">
        <f t="array" ref="N326">IFERROR(VLOOKUP($A326,'The List'!$B1:$AS671,21,FALSE)," ")</f>
        <v xml:space="preserve"> </v>
      </c>
      <c r="O326" s="85" t="str" cm="1">
        <f t="array" ref="O326">IFERROR(VLOOKUP($A326,'The List'!$B1:$AS671,22,FALSE)," ")</f>
        <v xml:space="preserve"> </v>
      </c>
      <c r="P326" s="85" t="str" cm="1">
        <f t="array" ref="P326">IFERROR(VLOOKUP($A326,'The List'!$B1:$AS671,23,FALSE)," ")</f>
        <v xml:space="preserve"> </v>
      </c>
      <c r="Q326" s="85" t="str" cm="1">
        <f t="array" ref="Q326">IFERROR(VLOOKUP($A326,'The List'!$B1:$AS671,24,FALSE)," ")</f>
        <v xml:space="preserve"> </v>
      </c>
      <c r="R326" s="85" t="str" cm="1">
        <f t="array" ref="R326">IFERROR(VLOOKUP($A326,'The List'!$B1:$AS671,25,FALSE)," ")</f>
        <v xml:space="preserve"> </v>
      </c>
      <c r="S326" s="85" t="str" cm="1">
        <f t="array" ref="S326">IFERROR(VLOOKUP($A326,'The List'!$B1:$AS671,26,FALSE)," ")</f>
        <v xml:space="preserve"> </v>
      </c>
      <c r="T326" s="85" t="str" cm="1">
        <f t="array" ref="T326">IFERROR(VLOOKUP($A326,'The List'!$B1:$AS671,27,FALSE)," ")</f>
        <v xml:space="preserve"> </v>
      </c>
      <c r="U326" s="85" t="str" cm="1">
        <f t="array" ref="U326">IFERROR(VLOOKUP($A326,'The List'!$B1:$AS671,28,FALSE)," ")</f>
        <v xml:space="preserve"> </v>
      </c>
      <c r="V326" s="85" t="str" cm="1">
        <f t="array" ref="V326">IFERROR(VLOOKUP($A326,'The List'!$B1:$AS671,29,FALSE)," ")</f>
        <v xml:space="preserve"> </v>
      </c>
      <c r="W326" s="85" t="str" cm="1">
        <f t="array" ref="W326">IFERROR(VLOOKUP($A326,'The List'!$B1:$AS671,30,FALSE)," ")</f>
        <v xml:space="preserve"> </v>
      </c>
      <c r="X326" s="85" t="str" cm="1">
        <f t="array" ref="X326">IFERROR(VLOOKUP($A326,'The List'!$B1:$AS671,31,FALSE)," ")</f>
        <v xml:space="preserve"> </v>
      </c>
      <c r="Y326" s="85" t="str" cm="1">
        <f t="array" ref="Y326">IFERROR(VLOOKUP($A326,'The List'!$B1:$AS671,32,FALSE)," ")</f>
        <v xml:space="preserve"> </v>
      </c>
      <c r="Z326" s="85" t="str" cm="1">
        <f t="array" ref="Z326">IFERROR(VLOOKUP($A326,'The List'!$B1:$AS671,33,FALSE)," ")</f>
        <v xml:space="preserve"> </v>
      </c>
      <c r="AA326" s="86"/>
      <c r="AB326" s="91"/>
      <c r="AC326" s="91"/>
      <c r="AD326" s="91"/>
      <c r="AE326" s="91"/>
      <c r="AF326" s="91"/>
    </row>
    <row r="327" spans="1:32" ht="21.25" customHeight="1" x14ac:dyDescent="0.15">
      <c r="A327" s="24"/>
      <c r="B327" s="94" t="str" cm="1">
        <f t="array" ref="B327">IFERROR(VLOOKUP($A327,'The List'!$B1:$AS671,3,FALSE)," ")</f>
        <v xml:space="preserve"> </v>
      </c>
      <c r="C327" s="96" t="str" cm="1">
        <f t="array" ref="C327">IFERROR(VLOOKUP($A327,'The List'!$B1:$AS671,4,FALSE)," ")</f>
        <v xml:space="preserve"> </v>
      </c>
      <c r="D327" s="18" t="str" cm="1">
        <f t="array" ref="D327">IFERROR(VLOOKUP($A327,'The List'!$B1:$AS671,5,FALSE)," ")</f>
        <v xml:space="preserve"> </v>
      </c>
      <c r="E327" s="18" t="str" cm="1">
        <f t="array" ref="E327">IFERROR(VLOOKUP($A327,'The List'!$B1:$AS671,6,FALSE)," ")</f>
        <v xml:space="preserve"> </v>
      </c>
      <c r="F327" s="93" t="str" cm="1">
        <f t="array" ref="F327">IFERROR(VLOOKUP($A327,'The List'!$B1:$AS671,8,FALSE)," ")</f>
        <v xml:space="preserve"> </v>
      </c>
      <c r="G327" s="93" t="str" cm="1">
        <f t="array" ref="G327">IFERROR(VLOOKUP($A327,'The List'!$B1:$AS671,10,FALSE)," ")</f>
        <v xml:space="preserve"> </v>
      </c>
      <c r="H327" s="55"/>
      <c r="I327" s="85" t="str" cm="1">
        <f t="array" ref="I327">IFERROR(VLOOKUP($A327,'The List'!$B1:$AS671,16,FALSE)," ")</f>
        <v xml:space="preserve"> </v>
      </c>
      <c r="J327" s="85" t="str" cm="1">
        <f t="array" ref="J327">IFERROR(VLOOKUP($A327,'The List'!$B1:$AS671,17,FALSE)," ")</f>
        <v xml:space="preserve"> </v>
      </c>
      <c r="K327" s="85" t="str" cm="1">
        <f t="array" ref="K327">IFERROR(VLOOKUP($A327,'The List'!$B1:$AS671,18,FALSE)," ")</f>
        <v xml:space="preserve"> </v>
      </c>
      <c r="L327" s="85" t="str" cm="1">
        <f t="array" ref="L327">IFERROR(VLOOKUP($A327,'The List'!$B1:$AS671,19,FALSE)," ")</f>
        <v xml:space="preserve"> </v>
      </c>
      <c r="M327" s="85" t="str" cm="1">
        <f t="array" ref="M327">IFERROR(VLOOKUP($A327,'The List'!$B1:$AS671,20,FALSE)," ")</f>
        <v xml:space="preserve"> </v>
      </c>
      <c r="N327" s="85" t="str" cm="1">
        <f t="array" ref="N327">IFERROR(VLOOKUP($A327,'The List'!$B1:$AS671,21,FALSE)," ")</f>
        <v xml:space="preserve"> </v>
      </c>
      <c r="O327" s="85" t="str" cm="1">
        <f t="array" ref="O327">IFERROR(VLOOKUP($A327,'The List'!$B1:$AS671,22,FALSE)," ")</f>
        <v xml:space="preserve"> </v>
      </c>
      <c r="P327" s="85" t="str" cm="1">
        <f t="array" ref="P327">IFERROR(VLOOKUP($A327,'The List'!$B1:$AS671,23,FALSE)," ")</f>
        <v xml:space="preserve"> </v>
      </c>
      <c r="Q327" s="85" t="str" cm="1">
        <f t="array" ref="Q327">IFERROR(VLOOKUP($A327,'The List'!$B1:$AS671,24,FALSE)," ")</f>
        <v xml:space="preserve"> </v>
      </c>
      <c r="R327" s="85" t="str" cm="1">
        <f t="array" ref="R327">IFERROR(VLOOKUP($A327,'The List'!$B1:$AS671,25,FALSE)," ")</f>
        <v xml:space="preserve"> </v>
      </c>
      <c r="S327" s="85" t="str" cm="1">
        <f t="array" ref="S327">IFERROR(VLOOKUP($A327,'The List'!$B1:$AS671,26,FALSE)," ")</f>
        <v xml:space="preserve"> </v>
      </c>
      <c r="T327" s="85" t="str" cm="1">
        <f t="array" ref="T327">IFERROR(VLOOKUP($A327,'The List'!$B1:$AS671,27,FALSE)," ")</f>
        <v xml:space="preserve"> </v>
      </c>
      <c r="U327" s="85" t="str" cm="1">
        <f t="array" ref="U327">IFERROR(VLOOKUP($A327,'The List'!$B1:$AS671,28,FALSE)," ")</f>
        <v xml:space="preserve"> </v>
      </c>
      <c r="V327" s="85" t="str" cm="1">
        <f t="array" ref="V327">IFERROR(VLOOKUP($A327,'The List'!$B1:$AS671,29,FALSE)," ")</f>
        <v xml:space="preserve"> </v>
      </c>
      <c r="W327" s="85" t="str" cm="1">
        <f t="array" ref="W327">IFERROR(VLOOKUP($A327,'The List'!$B1:$AS671,30,FALSE)," ")</f>
        <v xml:space="preserve"> </v>
      </c>
      <c r="X327" s="85" t="str" cm="1">
        <f t="array" ref="X327">IFERROR(VLOOKUP($A327,'The List'!$B1:$AS671,31,FALSE)," ")</f>
        <v xml:space="preserve"> </v>
      </c>
      <c r="Y327" s="85" t="str" cm="1">
        <f t="array" ref="Y327">IFERROR(VLOOKUP($A327,'The List'!$B1:$AS671,32,FALSE)," ")</f>
        <v xml:space="preserve"> </v>
      </c>
      <c r="Z327" s="85" t="str" cm="1">
        <f t="array" ref="Z327">IFERROR(VLOOKUP($A327,'The List'!$B1:$AS671,33,FALSE)," ")</f>
        <v xml:space="preserve"> </v>
      </c>
      <c r="AA327" s="86"/>
      <c r="AB327" s="91"/>
      <c r="AC327" s="91"/>
      <c r="AD327" s="91"/>
      <c r="AE327" s="91"/>
      <c r="AF327" s="91"/>
    </row>
    <row r="328" spans="1:32" ht="21.25" customHeight="1" x14ac:dyDescent="0.15">
      <c r="A328" s="24"/>
      <c r="B328" s="94" t="str" cm="1">
        <f t="array" ref="B328">IFERROR(VLOOKUP($A328,'The List'!$B1:$AS671,3,FALSE)," ")</f>
        <v xml:space="preserve"> </v>
      </c>
      <c r="C328" s="96" t="str" cm="1">
        <f t="array" ref="C328">IFERROR(VLOOKUP($A328,'The List'!$B1:$AS671,4,FALSE)," ")</f>
        <v xml:space="preserve"> </v>
      </c>
      <c r="D328" s="18" t="str" cm="1">
        <f t="array" ref="D328">IFERROR(VLOOKUP($A328,'The List'!$B1:$AS671,5,FALSE)," ")</f>
        <v xml:space="preserve"> </v>
      </c>
      <c r="E328" s="18" t="str" cm="1">
        <f t="array" ref="E328">IFERROR(VLOOKUP($A328,'The List'!$B1:$AS671,6,FALSE)," ")</f>
        <v xml:space="preserve"> </v>
      </c>
      <c r="F328" s="93" t="str" cm="1">
        <f t="array" ref="F328">IFERROR(VLOOKUP($A328,'The List'!$B1:$AS671,8,FALSE)," ")</f>
        <v xml:space="preserve"> </v>
      </c>
      <c r="G328" s="93" t="str" cm="1">
        <f t="array" ref="G328">IFERROR(VLOOKUP($A328,'The List'!$B1:$AS671,10,FALSE)," ")</f>
        <v xml:space="preserve"> </v>
      </c>
      <c r="H328" s="55"/>
      <c r="I328" s="85" t="str" cm="1">
        <f t="array" ref="I328">IFERROR(VLOOKUP($A328,'The List'!$B1:$AS671,16,FALSE)," ")</f>
        <v xml:space="preserve"> </v>
      </c>
      <c r="J328" s="85" t="str" cm="1">
        <f t="array" ref="J328">IFERROR(VLOOKUP($A328,'The List'!$B1:$AS671,17,FALSE)," ")</f>
        <v xml:space="preserve"> </v>
      </c>
      <c r="K328" s="85" t="str" cm="1">
        <f t="array" ref="K328">IFERROR(VLOOKUP($A328,'The List'!$B1:$AS671,18,FALSE)," ")</f>
        <v xml:space="preserve"> </v>
      </c>
      <c r="L328" s="85" t="str" cm="1">
        <f t="array" ref="L328">IFERROR(VLOOKUP($A328,'The List'!$B1:$AS671,19,FALSE)," ")</f>
        <v xml:space="preserve"> </v>
      </c>
      <c r="M328" s="85" t="str" cm="1">
        <f t="array" ref="M328">IFERROR(VLOOKUP($A328,'The List'!$B1:$AS671,20,FALSE)," ")</f>
        <v xml:space="preserve"> </v>
      </c>
      <c r="N328" s="85" t="str" cm="1">
        <f t="array" ref="N328">IFERROR(VLOOKUP($A328,'The List'!$B1:$AS671,21,FALSE)," ")</f>
        <v xml:space="preserve"> </v>
      </c>
      <c r="O328" s="85" t="str" cm="1">
        <f t="array" ref="O328">IFERROR(VLOOKUP($A328,'The List'!$B1:$AS671,22,FALSE)," ")</f>
        <v xml:space="preserve"> </v>
      </c>
      <c r="P328" s="85" t="str" cm="1">
        <f t="array" ref="P328">IFERROR(VLOOKUP($A328,'The List'!$B1:$AS671,23,FALSE)," ")</f>
        <v xml:space="preserve"> </v>
      </c>
      <c r="Q328" s="85" t="str" cm="1">
        <f t="array" ref="Q328">IFERROR(VLOOKUP($A328,'The List'!$B1:$AS671,24,FALSE)," ")</f>
        <v xml:space="preserve"> </v>
      </c>
      <c r="R328" s="85" t="str" cm="1">
        <f t="array" ref="R328">IFERROR(VLOOKUP($A328,'The List'!$B1:$AS671,25,FALSE)," ")</f>
        <v xml:space="preserve"> </v>
      </c>
      <c r="S328" s="85" t="str" cm="1">
        <f t="array" ref="S328">IFERROR(VLOOKUP($A328,'The List'!$B1:$AS671,26,FALSE)," ")</f>
        <v xml:space="preserve"> </v>
      </c>
      <c r="T328" s="85" t="str" cm="1">
        <f t="array" ref="T328">IFERROR(VLOOKUP($A328,'The List'!$B1:$AS671,27,FALSE)," ")</f>
        <v xml:space="preserve"> </v>
      </c>
      <c r="U328" s="85" t="str" cm="1">
        <f t="array" ref="U328">IFERROR(VLOOKUP($A328,'The List'!$B1:$AS671,28,FALSE)," ")</f>
        <v xml:space="preserve"> </v>
      </c>
      <c r="V328" s="85" t="str" cm="1">
        <f t="array" ref="V328">IFERROR(VLOOKUP($A328,'The List'!$B1:$AS671,29,FALSE)," ")</f>
        <v xml:space="preserve"> </v>
      </c>
      <c r="W328" s="85" t="str" cm="1">
        <f t="array" ref="W328">IFERROR(VLOOKUP($A328,'The List'!$B1:$AS671,30,FALSE)," ")</f>
        <v xml:space="preserve"> </v>
      </c>
      <c r="X328" s="85" t="str" cm="1">
        <f t="array" ref="X328">IFERROR(VLOOKUP($A328,'The List'!$B1:$AS671,31,FALSE)," ")</f>
        <v xml:space="preserve"> </v>
      </c>
      <c r="Y328" s="85" t="str" cm="1">
        <f t="array" ref="Y328">IFERROR(VLOOKUP($A328,'The List'!$B1:$AS671,32,FALSE)," ")</f>
        <v xml:space="preserve"> </v>
      </c>
      <c r="Z328" s="85" t="str" cm="1">
        <f t="array" ref="Z328">IFERROR(VLOOKUP($A328,'The List'!$B1:$AS671,33,FALSE)," ")</f>
        <v xml:space="preserve"> </v>
      </c>
      <c r="AA328" s="86"/>
      <c r="AB328" s="91"/>
      <c r="AC328" s="91"/>
      <c r="AD328" s="91"/>
      <c r="AE328" s="91"/>
      <c r="AF328" s="91"/>
    </row>
    <row r="329" spans="1:32" ht="21.25" customHeight="1" x14ac:dyDescent="0.15">
      <c r="A329" s="24"/>
      <c r="B329" s="97" t="str" cm="1">
        <f t="array" ref="B329">IFERROR(VLOOKUP($A329,'The List'!$B1:$AS671,3,FALSE)," ")</f>
        <v xml:space="preserve"> </v>
      </c>
      <c r="C329" s="99" t="str" cm="1">
        <f t="array" ref="C329">IFERROR(VLOOKUP($A329,'The List'!$B1:$AS671,4,FALSE)," ")</f>
        <v xml:space="preserve"> </v>
      </c>
      <c r="D329" s="18" t="str" cm="1">
        <f t="array" ref="D329">IFERROR(VLOOKUP($A329,'The List'!$B1:$AS671,5,FALSE)," ")</f>
        <v xml:space="preserve"> </v>
      </c>
      <c r="E329" s="18" t="str" cm="1">
        <f t="array" ref="E329">IFERROR(VLOOKUP($A329,'The List'!$B1:$AS671,6,FALSE)," ")</f>
        <v xml:space="preserve"> </v>
      </c>
      <c r="F329" s="93" t="str" cm="1">
        <f t="array" ref="F329">IFERROR(VLOOKUP($A329,'The List'!$B1:$AS671,8,FALSE)," ")</f>
        <v xml:space="preserve"> </v>
      </c>
      <c r="G329" s="93" t="str" cm="1">
        <f t="array" ref="G329">IFERROR(VLOOKUP($A329,'The List'!$B1:$AS671,10,FALSE)," ")</f>
        <v xml:space="preserve"> </v>
      </c>
      <c r="H329" s="55"/>
      <c r="I329" s="85" t="str" cm="1">
        <f t="array" ref="I329">IFERROR(VLOOKUP($A329,'The List'!$B1:$AS671,16,FALSE)," ")</f>
        <v xml:space="preserve"> </v>
      </c>
      <c r="J329" s="85" t="str" cm="1">
        <f t="array" ref="J329">IFERROR(VLOOKUP($A329,'The List'!$B1:$AS671,17,FALSE)," ")</f>
        <v xml:space="preserve"> </v>
      </c>
      <c r="K329" s="85" t="str" cm="1">
        <f t="array" ref="K329">IFERROR(VLOOKUP($A329,'The List'!$B1:$AS671,18,FALSE)," ")</f>
        <v xml:space="preserve"> </v>
      </c>
      <c r="L329" s="85" t="str" cm="1">
        <f t="array" ref="L329">IFERROR(VLOOKUP($A329,'The List'!$B1:$AS671,19,FALSE)," ")</f>
        <v xml:space="preserve"> </v>
      </c>
      <c r="M329" s="85" t="str" cm="1">
        <f t="array" ref="M329">IFERROR(VLOOKUP($A329,'The List'!$B1:$AS671,20,FALSE)," ")</f>
        <v xml:space="preserve"> </v>
      </c>
      <c r="N329" s="85" t="str" cm="1">
        <f t="array" ref="N329">IFERROR(VLOOKUP($A329,'The List'!$B1:$AS671,21,FALSE)," ")</f>
        <v xml:space="preserve"> </v>
      </c>
      <c r="O329" s="85" t="str" cm="1">
        <f t="array" ref="O329">IFERROR(VLOOKUP($A329,'The List'!$B1:$AS671,22,FALSE)," ")</f>
        <v xml:space="preserve"> </v>
      </c>
      <c r="P329" s="85" t="str" cm="1">
        <f t="array" ref="P329">IFERROR(VLOOKUP($A329,'The List'!$B1:$AS671,23,FALSE)," ")</f>
        <v xml:space="preserve"> </v>
      </c>
      <c r="Q329" s="85" t="str" cm="1">
        <f t="array" ref="Q329">IFERROR(VLOOKUP($A329,'The List'!$B1:$AS671,24,FALSE)," ")</f>
        <v xml:space="preserve"> </v>
      </c>
      <c r="R329" s="85" t="str" cm="1">
        <f t="array" ref="R329">IFERROR(VLOOKUP($A329,'The List'!$B1:$AS671,25,FALSE)," ")</f>
        <v xml:space="preserve"> </v>
      </c>
      <c r="S329" s="85" t="str" cm="1">
        <f t="array" ref="S329">IFERROR(VLOOKUP($A329,'The List'!$B1:$AS671,26,FALSE)," ")</f>
        <v xml:space="preserve"> </v>
      </c>
      <c r="T329" s="85" t="str" cm="1">
        <f t="array" ref="T329">IFERROR(VLOOKUP($A329,'The List'!$B1:$AS671,27,FALSE)," ")</f>
        <v xml:space="preserve"> </v>
      </c>
      <c r="U329" s="85" t="str" cm="1">
        <f t="array" ref="U329">IFERROR(VLOOKUP($A329,'The List'!$B1:$AS671,28,FALSE)," ")</f>
        <v xml:space="preserve"> </v>
      </c>
      <c r="V329" s="85" t="str" cm="1">
        <f t="array" ref="V329">IFERROR(VLOOKUP($A329,'The List'!$B1:$AS671,29,FALSE)," ")</f>
        <v xml:space="preserve"> </v>
      </c>
      <c r="W329" s="85" t="str" cm="1">
        <f t="array" ref="W329">IFERROR(VLOOKUP($A329,'The List'!$B1:$AS671,30,FALSE)," ")</f>
        <v xml:space="preserve"> </v>
      </c>
      <c r="X329" s="85" t="str" cm="1">
        <f t="array" ref="X329">IFERROR(VLOOKUP($A329,'The List'!$B1:$AS671,31,FALSE)," ")</f>
        <v xml:space="preserve"> </v>
      </c>
      <c r="Y329" s="85" t="str" cm="1">
        <f t="array" ref="Y329">IFERROR(VLOOKUP($A329,'The List'!$B1:$AS671,32,FALSE)," ")</f>
        <v xml:space="preserve"> </v>
      </c>
      <c r="Z329" s="85" t="str" cm="1">
        <f t="array" ref="Z329">IFERROR(VLOOKUP($A329,'The List'!$B1:$AS671,33,FALSE)," ")</f>
        <v xml:space="preserve"> </v>
      </c>
      <c r="AA329" s="86"/>
      <c r="AB329" s="91"/>
      <c r="AC329" s="91"/>
      <c r="AD329" s="91"/>
      <c r="AE329" s="91"/>
      <c r="AF329" s="91"/>
    </row>
    <row r="330" spans="1:32" ht="21.25" customHeight="1" x14ac:dyDescent="0.15">
      <c r="A330" s="24"/>
      <c r="B330" s="97" t="str" cm="1">
        <f t="array" ref="B330">IFERROR(VLOOKUP($A330,'The List'!$B1:$AS671,3,FALSE)," ")</f>
        <v xml:space="preserve"> </v>
      </c>
      <c r="C330" s="99" t="str" cm="1">
        <f t="array" ref="C330">IFERROR(VLOOKUP($A330,'The List'!$B1:$AS671,4,FALSE)," ")</f>
        <v xml:space="preserve"> </v>
      </c>
      <c r="D330" s="18" t="str" cm="1">
        <f t="array" ref="D330">IFERROR(VLOOKUP($A330,'The List'!$B1:$AS671,5,FALSE)," ")</f>
        <v xml:space="preserve"> </v>
      </c>
      <c r="E330" s="18" t="str" cm="1">
        <f t="array" ref="E330">IFERROR(VLOOKUP($A330,'The List'!$B1:$AS671,6,FALSE)," ")</f>
        <v xml:space="preserve"> </v>
      </c>
      <c r="F330" s="93" t="str" cm="1">
        <f t="array" ref="F330">IFERROR(VLOOKUP($A330,'The List'!$B1:$AS671,8,FALSE)," ")</f>
        <v xml:space="preserve"> </v>
      </c>
      <c r="G330" s="93" t="str" cm="1">
        <f t="array" ref="G330">IFERROR(VLOOKUP($A330,'The List'!$B1:$AS671,10,FALSE)," ")</f>
        <v xml:space="preserve"> </v>
      </c>
      <c r="H330" s="55"/>
      <c r="I330" s="85" t="str" cm="1">
        <f t="array" ref="I330">IFERROR(VLOOKUP($A330,'The List'!$B1:$AS671,16,FALSE)," ")</f>
        <v xml:space="preserve"> </v>
      </c>
      <c r="J330" s="85" t="str" cm="1">
        <f t="array" ref="J330">IFERROR(VLOOKUP($A330,'The List'!$B1:$AS671,17,FALSE)," ")</f>
        <v xml:space="preserve"> </v>
      </c>
      <c r="K330" s="85" t="str" cm="1">
        <f t="array" ref="K330">IFERROR(VLOOKUP($A330,'The List'!$B1:$AS671,18,FALSE)," ")</f>
        <v xml:space="preserve"> </v>
      </c>
      <c r="L330" s="85" t="str" cm="1">
        <f t="array" ref="L330">IFERROR(VLOOKUP($A330,'The List'!$B1:$AS671,19,FALSE)," ")</f>
        <v xml:space="preserve"> </v>
      </c>
      <c r="M330" s="85" t="str" cm="1">
        <f t="array" ref="M330">IFERROR(VLOOKUP($A330,'The List'!$B1:$AS671,20,FALSE)," ")</f>
        <v xml:space="preserve"> </v>
      </c>
      <c r="N330" s="85" t="str" cm="1">
        <f t="array" ref="N330">IFERROR(VLOOKUP($A330,'The List'!$B1:$AS671,21,FALSE)," ")</f>
        <v xml:space="preserve"> </v>
      </c>
      <c r="O330" s="85" t="str" cm="1">
        <f t="array" ref="O330">IFERROR(VLOOKUP($A330,'The List'!$B1:$AS671,22,FALSE)," ")</f>
        <v xml:space="preserve"> </v>
      </c>
      <c r="P330" s="85" t="str" cm="1">
        <f t="array" ref="P330">IFERROR(VLOOKUP($A330,'The List'!$B1:$AS671,23,FALSE)," ")</f>
        <v xml:space="preserve"> </v>
      </c>
      <c r="Q330" s="85" t="str" cm="1">
        <f t="array" ref="Q330">IFERROR(VLOOKUP($A330,'The List'!$B1:$AS671,24,FALSE)," ")</f>
        <v xml:space="preserve"> </v>
      </c>
      <c r="R330" s="85" t="str" cm="1">
        <f t="array" ref="R330">IFERROR(VLOOKUP($A330,'The List'!$B1:$AS671,25,FALSE)," ")</f>
        <v xml:space="preserve"> </v>
      </c>
      <c r="S330" s="85" t="str" cm="1">
        <f t="array" ref="S330">IFERROR(VLOOKUP($A330,'The List'!$B1:$AS671,26,FALSE)," ")</f>
        <v xml:space="preserve"> </v>
      </c>
      <c r="T330" s="85" t="str" cm="1">
        <f t="array" ref="T330">IFERROR(VLOOKUP($A330,'The List'!$B1:$AS671,27,FALSE)," ")</f>
        <v xml:space="preserve"> </v>
      </c>
      <c r="U330" s="85" t="str" cm="1">
        <f t="array" ref="U330">IFERROR(VLOOKUP($A330,'The List'!$B1:$AS671,28,FALSE)," ")</f>
        <v xml:space="preserve"> </v>
      </c>
      <c r="V330" s="85" t="str" cm="1">
        <f t="array" ref="V330">IFERROR(VLOOKUP($A330,'The List'!$B1:$AS671,29,FALSE)," ")</f>
        <v xml:space="preserve"> </v>
      </c>
      <c r="W330" s="85" t="str" cm="1">
        <f t="array" ref="W330">IFERROR(VLOOKUP($A330,'The List'!$B1:$AS671,30,FALSE)," ")</f>
        <v xml:space="preserve"> </v>
      </c>
      <c r="X330" s="85" t="str" cm="1">
        <f t="array" ref="X330">IFERROR(VLOOKUP($A330,'The List'!$B1:$AS671,31,FALSE)," ")</f>
        <v xml:space="preserve"> </v>
      </c>
      <c r="Y330" s="85" t="str" cm="1">
        <f t="array" ref="Y330">IFERROR(VLOOKUP($A330,'The List'!$B1:$AS671,32,FALSE)," ")</f>
        <v xml:space="preserve"> </v>
      </c>
      <c r="Z330" s="85" t="str" cm="1">
        <f t="array" ref="Z330">IFERROR(VLOOKUP($A330,'The List'!$B1:$AS671,33,FALSE)," ")</f>
        <v xml:space="preserve"> </v>
      </c>
      <c r="AA330" s="86"/>
      <c r="AB330" s="91"/>
      <c r="AC330" s="91"/>
      <c r="AD330" s="91"/>
      <c r="AE330" s="91"/>
      <c r="AF330" s="91"/>
    </row>
    <row r="331" spans="1:32" ht="21.25" customHeight="1" x14ac:dyDescent="0.15">
      <c r="A331" s="24"/>
      <c r="B331" s="97" t="str" cm="1">
        <f t="array" ref="B331">IFERROR(VLOOKUP($A331,'The List'!$B1:$AS671,3,FALSE)," ")</f>
        <v xml:space="preserve"> </v>
      </c>
      <c r="C331" s="99" t="str" cm="1">
        <f t="array" ref="C331">IFERROR(VLOOKUP($A331,'The List'!$B1:$AS671,4,FALSE)," ")</f>
        <v xml:space="preserve"> </v>
      </c>
      <c r="D331" s="18" t="str" cm="1">
        <f t="array" ref="D331">IFERROR(VLOOKUP($A331,'The List'!$B1:$AS671,5,FALSE)," ")</f>
        <v xml:space="preserve"> </v>
      </c>
      <c r="E331" s="18" t="str" cm="1">
        <f t="array" ref="E331">IFERROR(VLOOKUP($A331,'The List'!$B1:$AS671,6,FALSE)," ")</f>
        <v xml:space="preserve"> </v>
      </c>
      <c r="F331" s="93" t="str" cm="1">
        <f t="array" ref="F331">IFERROR(VLOOKUP($A331,'The List'!$B1:$AS671,8,FALSE)," ")</f>
        <v xml:space="preserve"> </v>
      </c>
      <c r="G331" s="93" t="str" cm="1">
        <f t="array" ref="G331">IFERROR(VLOOKUP($A331,'The List'!$B1:$AS671,10,FALSE)," ")</f>
        <v xml:space="preserve"> </v>
      </c>
      <c r="H331" s="55"/>
      <c r="I331" s="85" t="str" cm="1">
        <f t="array" ref="I331">IFERROR(VLOOKUP($A331,'The List'!$B1:$AS671,16,FALSE)," ")</f>
        <v xml:space="preserve"> </v>
      </c>
      <c r="J331" s="85" t="str" cm="1">
        <f t="array" ref="J331">IFERROR(VLOOKUP($A331,'The List'!$B1:$AS671,17,FALSE)," ")</f>
        <v xml:space="preserve"> </v>
      </c>
      <c r="K331" s="85" t="str" cm="1">
        <f t="array" ref="K331">IFERROR(VLOOKUP($A331,'The List'!$B1:$AS671,18,FALSE)," ")</f>
        <v xml:space="preserve"> </v>
      </c>
      <c r="L331" s="85" t="str" cm="1">
        <f t="array" ref="L331">IFERROR(VLOOKUP($A331,'The List'!$B1:$AS671,19,FALSE)," ")</f>
        <v xml:space="preserve"> </v>
      </c>
      <c r="M331" s="85" t="str" cm="1">
        <f t="array" ref="M331">IFERROR(VLOOKUP($A331,'The List'!$B1:$AS671,20,FALSE)," ")</f>
        <v xml:space="preserve"> </v>
      </c>
      <c r="N331" s="85" t="str" cm="1">
        <f t="array" ref="N331">IFERROR(VLOOKUP($A331,'The List'!$B1:$AS671,21,FALSE)," ")</f>
        <v xml:space="preserve"> </v>
      </c>
      <c r="O331" s="85" t="str" cm="1">
        <f t="array" ref="O331">IFERROR(VLOOKUP($A331,'The List'!$B1:$AS671,22,FALSE)," ")</f>
        <v xml:space="preserve"> </v>
      </c>
      <c r="P331" s="85" t="str" cm="1">
        <f t="array" ref="P331">IFERROR(VLOOKUP($A331,'The List'!$B1:$AS671,23,FALSE)," ")</f>
        <v xml:space="preserve"> </v>
      </c>
      <c r="Q331" s="85" t="str" cm="1">
        <f t="array" ref="Q331">IFERROR(VLOOKUP($A331,'The List'!$B1:$AS671,24,FALSE)," ")</f>
        <v xml:space="preserve"> </v>
      </c>
      <c r="R331" s="85" t="str" cm="1">
        <f t="array" ref="R331">IFERROR(VLOOKUP($A331,'The List'!$B1:$AS671,25,FALSE)," ")</f>
        <v xml:space="preserve"> </v>
      </c>
      <c r="S331" s="85" t="str" cm="1">
        <f t="array" ref="S331">IFERROR(VLOOKUP($A331,'The List'!$B1:$AS671,26,FALSE)," ")</f>
        <v xml:space="preserve"> </v>
      </c>
      <c r="T331" s="85" t="str" cm="1">
        <f t="array" ref="T331">IFERROR(VLOOKUP($A331,'The List'!$B1:$AS671,27,FALSE)," ")</f>
        <v xml:space="preserve"> </v>
      </c>
      <c r="U331" s="85" t="str" cm="1">
        <f t="array" ref="U331">IFERROR(VLOOKUP($A331,'The List'!$B1:$AS671,28,FALSE)," ")</f>
        <v xml:space="preserve"> </v>
      </c>
      <c r="V331" s="85" t="str" cm="1">
        <f t="array" ref="V331">IFERROR(VLOOKUP($A331,'The List'!$B1:$AS671,29,FALSE)," ")</f>
        <v xml:space="preserve"> </v>
      </c>
      <c r="W331" s="85" t="str" cm="1">
        <f t="array" ref="W331">IFERROR(VLOOKUP($A331,'The List'!$B1:$AS671,30,FALSE)," ")</f>
        <v xml:space="preserve"> </v>
      </c>
      <c r="X331" s="85" t="str" cm="1">
        <f t="array" ref="X331">IFERROR(VLOOKUP($A331,'The List'!$B1:$AS671,31,FALSE)," ")</f>
        <v xml:space="preserve"> </v>
      </c>
      <c r="Y331" s="85" t="str" cm="1">
        <f t="array" ref="Y331">IFERROR(VLOOKUP($A331,'The List'!$B1:$AS671,32,FALSE)," ")</f>
        <v xml:space="preserve"> </v>
      </c>
      <c r="Z331" s="85" t="str" cm="1">
        <f t="array" ref="Z331">IFERROR(VLOOKUP($A331,'The List'!$B1:$AS671,33,FALSE)," ")</f>
        <v xml:space="preserve"> </v>
      </c>
      <c r="AA331" s="86"/>
      <c r="AB331" s="91"/>
      <c r="AC331" s="91"/>
      <c r="AD331" s="91"/>
      <c r="AE331" s="91"/>
      <c r="AF331" s="91"/>
    </row>
    <row r="332" spans="1:32" ht="21.25" customHeight="1" x14ac:dyDescent="0.15">
      <c r="A332" s="24"/>
      <c r="B332" s="97" t="str" cm="1">
        <f t="array" ref="B332">IFERROR(VLOOKUP($A332,'The List'!$B1:$AS671,3,FALSE)," ")</f>
        <v xml:space="preserve"> </v>
      </c>
      <c r="C332" s="99" t="str" cm="1">
        <f t="array" ref="C332">IFERROR(VLOOKUP($A332,'The List'!$B1:$AS671,4,FALSE)," ")</f>
        <v xml:space="preserve"> </v>
      </c>
      <c r="D332" s="18" t="str" cm="1">
        <f t="array" ref="D332">IFERROR(VLOOKUP($A332,'The List'!$B1:$AS671,5,FALSE)," ")</f>
        <v xml:space="preserve"> </v>
      </c>
      <c r="E332" s="18" t="str" cm="1">
        <f t="array" ref="E332">IFERROR(VLOOKUP($A332,'The List'!$B1:$AS671,6,FALSE)," ")</f>
        <v xml:space="preserve"> </v>
      </c>
      <c r="F332" s="93" t="str" cm="1">
        <f t="array" ref="F332">IFERROR(VLOOKUP($A332,'The List'!$B1:$AS671,8,FALSE)," ")</f>
        <v xml:space="preserve"> </v>
      </c>
      <c r="G332" s="93" t="str" cm="1">
        <f t="array" ref="G332">IFERROR(VLOOKUP($A332,'The List'!$B1:$AS671,10,FALSE)," ")</f>
        <v xml:space="preserve"> </v>
      </c>
      <c r="H332" s="55"/>
      <c r="I332" s="85" t="str" cm="1">
        <f t="array" ref="I332">IFERROR(VLOOKUP($A332,'The List'!$B1:$AS671,16,FALSE)," ")</f>
        <v xml:space="preserve"> </v>
      </c>
      <c r="J332" s="85" t="str" cm="1">
        <f t="array" ref="J332">IFERROR(VLOOKUP($A332,'The List'!$B1:$AS671,17,FALSE)," ")</f>
        <v xml:space="preserve"> </v>
      </c>
      <c r="K332" s="85" t="str" cm="1">
        <f t="array" ref="K332">IFERROR(VLOOKUP($A332,'The List'!$B1:$AS671,18,FALSE)," ")</f>
        <v xml:space="preserve"> </v>
      </c>
      <c r="L332" s="85" t="str" cm="1">
        <f t="array" ref="L332">IFERROR(VLOOKUP($A332,'The List'!$B1:$AS671,19,FALSE)," ")</f>
        <v xml:space="preserve"> </v>
      </c>
      <c r="M332" s="85" t="str" cm="1">
        <f t="array" ref="M332">IFERROR(VLOOKUP($A332,'The List'!$B1:$AS671,20,FALSE)," ")</f>
        <v xml:space="preserve"> </v>
      </c>
      <c r="N332" s="85" t="str" cm="1">
        <f t="array" ref="N332">IFERROR(VLOOKUP($A332,'The List'!$B1:$AS671,21,FALSE)," ")</f>
        <v xml:space="preserve"> </v>
      </c>
      <c r="O332" s="85" t="str" cm="1">
        <f t="array" ref="O332">IFERROR(VLOOKUP($A332,'The List'!$B1:$AS671,22,FALSE)," ")</f>
        <v xml:space="preserve"> </v>
      </c>
      <c r="P332" s="85" t="str" cm="1">
        <f t="array" ref="P332">IFERROR(VLOOKUP($A332,'The List'!$B1:$AS671,23,FALSE)," ")</f>
        <v xml:space="preserve"> </v>
      </c>
      <c r="Q332" s="85" t="str" cm="1">
        <f t="array" ref="Q332">IFERROR(VLOOKUP($A332,'The List'!$B1:$AS671,24,FALSE)," ")</f>
        <v xml:space="preserve"> </v>
      </c>
      <c r="R332" s="85" t="str" cm="1">
        <f t="array" ref="R332">IFERROR(VLOOKUP($A332,'The List'!$B1:$AS671,25,FALSE)," ")</f>
        <v xml:space="preserve"> </v>
      </c>
      <c r="S332" s="85" t="str" cm="1">
        <f t="array" ref="S332">IFERROR(VLOOKUP($A332,'The List'!$B1:$AS671,26,FALSE)," ")</f>
        <v xml:space="preserve"> </v>
      </c>
      <c r="T332" s="85" t="str" cm="1">
        <f t="array" ref="T332">IFERROR(VLOOKUP($A332,'The List'!$B1:$AS671,27,FALSE)," ")</f>
        <v xml:space="preserve"> </v>
      </c>
      <c r="U332" s="85" t="str" cm="1">
        <f t="array" ref="U332">IFERROR(VLOOKUP($A332,'The List'!$B1:$AS671,28,FALSE)," ")</f>
        <v xml:space="preserve"> </v>
      </c>
      <c r="V332" s="85" t="str" cm="1">
        <f t="array" ref="V332">IFERROR(VLOOKUP($A332,'The List'!$B1:$AS671,29,FALSE)," ")</f>
        <v xml:space="preserve"> </v>
      </c>
      <c r="W332" s="85" t="str" cm="1">
        <f t="array" ref="W332">IFERROR(VLOOKUP($A332,'The List'!$B1:$AS671,30,FALSE)," ")</f>
        <v xml:space="preserve"> </v>
      </c>
      <c r="X332" s="85" t="str" cm="1">
        <f t="array" ref="X332">IFERROR(VLOOKUP($A332,'The List'!$B1:$AS671,31,FALSE)," ")</f>
        <v xml:space="preserve"> </v>
      </c>
      <c r="Y332" s="85" t="str" cm="1">
        <f t="array" ref="Y332">IFERROR(VLOOKUP($A332,'The List'!$B1:$AS671,32,FALSE)," ")</f>
        <v xml:space="preserve"> </v>
      </c>
      <c r="Z332" s="85" t="str" cm="1">
        <f t="array" ref="Z332">IFERROR(VLOOKUP($A332,'The List'!$B1:$AS671,33,FALSE)," ")</f>
        <v xml:space="preserve"> </v>
      </c>
      <c r="AA332" s="86"/>
      <c r="AB332" s="91"/>
      <c r="AC332" s="91"/>
      <c r="AD332" s="91"/>
      <c r="AE332" s="91"/>
      <c r="AF332" s="91"/>
    </row>
    <row r="333" spans="1:32" ht="21.25" customHeight="1" x14ac:dyDescent="0.15">
      <c r="A333" s="24"/>
      <c r="B333" s="100" t="str" cm="1">
        <f t="array" ref="B333">IFERROR(VLOOKUP($A333,'The List'!$B1:$AS671,3,FALSE)," ")</f>
        <v xml:space="preserve"> </v>
      </c>
      <c r="C333" s="102" t="str" cm="1">
        <f t="array" ref="C333">IFERROR(VLOOKUP($A333,'The List'!$B1:$AS671,4,FALSE)," ")</f>
        <v xml:space="preserve"> </v>
      </c>
      <c r="D333" s="18" t="str" cm="1">
        <f t="array" ref="D333">IFERROR(VLOOKUP($A333,'The List'!$B1:$AS671,5,FALSE)," ")</f>
        <v xml:space="preserve"> </v>
      </c>
      <c r="E333" s="18" t="str" cm="1">
        <f t="array" ref="E333">IFERROR(VLOOKUP($A333,'The List'!$B1:$AS671,6,FALSE)," ")</f>
        <v xml:space="preserve"> </v>
      </c>
      <c r="F333" s="93" t="str" cm="1">
        <f t="array" ref="F333">IFERROR(VLOOKUP($A333,'The List'!$B1:$AS671,8,FALSE)," ")</f>
        <v xml:space="preserve"> </v>
      </c>
      <c r="G333" s="93" t="str" cm="1">
        <f t="array" ref="G333">IFERROR(VLOOKUP($A333,'The List'!$B1:$AS671,10,FALSE)," ")</f>
        <v xml:space="preserve"> </v>
      </c>
      <c r="H333" s="55"/>
      <c r="I333" s="85" t="str" cm="1">
        <f t="array" ref="I333">IFERROR(VLOOKUP($A333,'The List'!$B1:$AS671,16,FALSE)," ")</f>
        <v xml:space="preserve"> </v>
      </c>
      <c r="J333" s="85" t="str" cm="1">
        <f t="array" ref="J333">IFERROR(VLOOKUP($A333,'The List'!$B1:$AS671,17,FALSE)," ")</f>
        <v xml:space="preserve"> </v>
      </c>
      <c r="K333" s="85" t="str" cm="1">
        <f t="array" ref="K333">IFERROR(VLOOKUP($A333,'The List'!$B1:$AS671,18,FALSE)," ")</f>
        <v xml:space="preserve"> </v>
      </c>
      <c r="L333" s="85" t="str" cm="1">
        <f t="array" ref="L333">IFERROR(VLOOKUP($A333,'The List'!$B1:$AS671,19,FALSE)," ")</f>
        <v xml:space="preserve"> </v>
      </c>
      <c r="M333" s="85" t="str" cm="1">
        <f t="array" ref="M333">IFERROR(VLOOKUP($A333,'The List'!$B1:$AS671,20,FALSE)," ")</f>
        <v xml:space="preserve"> </v>
      </c>
      <c r="N333" s="85" t="str" cm="1">
        <f t="array" ref="N333">IFERROR(VLOOKUP($A333,'The List'!$B1:$AS671,21,FALSE)," ")</f>
        <v xml:space="preserve"> </v>
      </c>
      <c r="O333" s="85" t="str" cm="1">
        <f t="array" ref="O333">IFERROR(VLOOKUP($A333,'The List'!$B1:$AS671,22,FALSE)," ")</f>
        <v xml:space="preserve"> </v>
      </c>
      <c r="P333" s="85" t="str" cm="1">
        <f t="array" ref="P333">IFERROR(VLOOKUP($A333,'The List'!$B1:$AS671,23,FALSE)," ")</f>
        <v xml:space="preserve"> </v>
      </c>
      <c r="Q333" s="85" t="str" cm="1">
        <f t="array" ref="Q333">IFERROR(VLOOKUP($A333,'The List'!$B1:$AS671,24,FALSE)," ")</f>
        <v xml:space="preserve"> </v>
      </c>
      <c r="R333" s="85" t="str" cm="1">
        <f t="array" ref="R333">IFERROR(VLOOKUP($A333,'The List'!$B1:$AS671,25,FALSE)," ")</f>
        <v xml:space="preserve"> </v>
      </c>
      <c r="S333" s="85" t="str" cm="1">
        <f t="array" ref="S333">IFERROR(VLOOKUP($A333,'The List'!$B1:$AS671,26,FALSE)," ")</f>
        <v xml:space="preserve"> </v>
      </c>
      <c r="T333" s="85" t="str" cm="1">
        <f t="array" ref="T333">IFERROR(VLOOKUP($A333,'The List'!$B1:$AS671,27,FALSE)," ")</f>
        <v xml:space="preserve"> </v>
      </c>
      <c r="U333" s="85" t="str" cm="1">
        <f t="array" ref="U333">IFERROR(VLOOKUP($A333,'The List'!$B1:$AS671,28,FALSE)," ")</f>
        <v xml:space="preserve"> </v>
      </c>
      <c r="V333" s="85" t="str" cm="1">
        <f t="array" ref="V333">IFERROR(VLOOKUP($A333,'The List'!$B1:$AS671,29,FALSE)," ")</f>
        <v xml:space="preserve"> </v>
      </c>
      <c r="W333" s="85" t="str" cm="1">
        <f t="array" ref="W333">IFERROR(VLOOKUP($A333,'The List'!$B1:$AS671,30,FALSE)," ")</f>
        <v xml:space="preserve"> </v>
      </c>
      <c r="X333" s="85" t="str" cm="1">
        <f t="array" ref="X333">IFERROR(VLOOKUP($A333,'The List'!$B1:$AS671,31,FALSE)," ")</f>
        <v xml:space="preserve"> </v>
      </c>
      <c r="Y333" s="85" t="str" cm="1">
        <f t="array" ref="Y333">IFERROR(VLOOKUP($A333,'The List'!$B1:$AS671,32,FALSE)," ")</f>
        <v xml:space="preserve"> </v>
      </c>
      <c r="Z333" s="85" t="str" cm="1">
        <f t="array" ref="Z333">IFERROR(VLOOKUP($A333,'The List'!$B1:$AS671,33,FALSE)," ")</f>
        <v xml:space="preserve"> </v>
      </c>
      <c r="AA333" s="86"/>
      <c r="AB333" s="91"/>
      <c r="AC333" s="91"/>
      <c r="AD333" s="91"/>
      <c r="AE333" s="91"/>
      <c r="AF333" s="91"/>
    </row>
    <row r="334" spans="1:32" ht="21.25" customHeight="1" x14ac:dyDescent="0.15">
      <c r="A334" s="24"/>
      <c r="B334" s="100" t="str" cm="1">
        <f t="array" ref="B334">IFERROR(VLOOKUP($A334,'The List'!$B1:$AS671,3,FALSE)," ")</f>
        <v xml:space="preserve"> </v>
      </c>
      <c r="C334" s="102" t="str" cm="1">
        <f t="array" ref="C334">IFERROR(VLOOKUP($A334,'The List'!$B1:$AS671,4,FALSE)," ")</f>
        <v xml:space="preserve"> </v>
      </c>
      <c r="D334" s="18" t="str" cm="1">
        <f t="array" ref="D334">IFERROR(VLOOKUP($A334,'The List'!$B1:$AS671,5,FALSE)," ")</f>
        <v xml:space="preserve"> </v>
      </c>
      <c r="E334" s="18" t="str" cm="1">
        <f t="array" ref="E334">IFERROR(VLOOKUP($A334,'The List'!$B1:$AS671,6,FALSE)," ")</f>
        <v xml:space="preserve"> </v>
      </c>
      <c r="F334" s="93" t="str" cm="1">
        <f t="array" ref="F334">IFERROR(VLOOKUP($A334,'The List'!$B1:$AS671,8,FALSE)," ")</f>
        <v xml:space="preserve"> </v>
      </c>
      <c r="G334" s="93" t="str" cm="1">
        <f t="array" ref="G334">IFERROR(VLOOKUP($A334,'The List'!$B1:$AS671,10,FALSE)," ")</f>
        <v xml:space="preserve"> </v>
      </c>
      <c r="H334" s="55"/>
      <c r="I334" s="85" t="str" cm="1">
        <f t="array" ref="I334">IFERROR(VLOOKUP($A334,'The List'!$B1:$AS671,16,FALSE)," ")</f>
        <v xml:space="preserve"> </v>
      </c>
      <c r="J334" s="85" t="str" cm="1">
        <f t="array" ref="J334">IFERROR(VLOOKUP($A334,'The List'!$B1:$AS671,17,FALSE)," ")</f>
        <v xml:space="preserve"> </v>
      </c>
      <c r="K334" s="85" t="str" cm="1">
        <f t="array" ref="K334">IFERROR(VLOOKUP($A334,'The List'!$B1:$AS671,18,FALSE)," ")</f>
        <v xml:space="preserve"> </v>
      </c>
      <c r="L334" s="85" t="str" cm="1">
        <f t="array" ref="L334">IFERROR(VLOOKUP($A334,'The List'!$B1:$AS671,19,FALSE)," ")</f>
        <v xml:space="preserve"> </v>
      </c>
      <c r="M334" s="85" t="str" cm="1">
        <f t="array" ref="M334">IFERROR(VLOOKUP($A334,'The List'!$B1:$AS671,20,FALSE)," ")</f>
        <v xml:space="preserve"> </v>
      </c>
      <c r="N334" s="85" t="str" cm="1">
        <f t="array" ref="N334">IFERROR(VLOOKUP($A334,'The List'!$B1:$AS671,21,FALSE)," ")</f>
        <v xml:space="preserve"> </v>
      </c>
      <c r="O334" s="85" t="str" cm="1">
        <f t="array" ref="O334">IFERROR(VLOOKUP($A334,'The List'!$B1:$AS671,22,FALSE)," ")</f>
        <v xml:space="preserve"> </v>
      </c>
      <c r="P334" s="85" t="str" cm="1">
        <f t="array" ref="P334">IFERROR(VLOOKUP($A334,'The List'!$B1:$AS671,23,FALSE)," ")</f>
        <v xml:space="preserve"> </v>
      </c>
      <c r="Q334" s="85" t="str" cm="1">
        <f t="array" ref="Q334">IFERROR(VLOOKUP($A334,'The List'!$B1:$AS671,24,FALSE)," ")</f>
        <v xml:space="preserve"> </v>
      </c>
      <c r="R334" s="85" t="str" cm="1">
        <f t="array" ref="R334">IFERROR(VLOOKUP($A334,'The List'!$B1:$AS671,25,FALSE)," ")</f>
        <v xml:space="preserve"> </v>
      </c>
      <c r="S334" s="85" t="str" cm="1">
        <f t="array" ref="S334">IFERROR(VLOOKUP($A334,'The List'!$B1:$AS671,26,FALSE)," ")</f>
        <v xml:space="preserve"> </v>
      </c>
      <c r="T334" s="85" t="str" cm="1">
        <f t="array" ref="T334">IFERROR(VLOOKUP($A334,'The List'!$B1:$AS671,27,FALSE)," ")</f>
        <v xml:space="preserve"> </v>
      </c>
      <c r="U334" s="85" t="str" cm="1">
        <f t="array" ref="U334">IFERROR(VLOOKUP($A334,'The List'!$B1:$AS671,28,FALSE)," ")</f>
        <v xml:space="preserve"> </v>
      </c>
      <c r="V334" s="85" t="str" cm="1">
        <f t="array" ref="V334">IFERROR(VLOOKUP($A334,'The List'!$B1:$AS671,29,FALSE)," ")</f>
        <v xml:space="preserve"> </v>
      </c>
      <c r="W334" s="85" t="str" cm="1">
        <f t="array" ref="W334">IFERROR(VLOOKUP($A334,'The List'!$B1:$AS671,30,FALSE)," ")</f>
        <v xml:space="preserve"> </v>
      </c>
      <c r="X334" s="85" t="str" cm="1">
        <f t="array" ref="X334">IFERROR(VLOOKUP($A334,'The List'!$B1:$AS671,31,FALSE)," ")</f>
        <v xml:space="preserve"> </v>
      </c>
      <c r="Y334" s="85" t="str" cm="1">
        <f t="array" ref="Y334">IFERROR(VLOOKUP($A334,'The List'!$B1:$AS671,32,FALSE)," ")</f>
        <v xml:space="preserve"> </v>
      </c>
      <c r="Z334" s="85" t="str" cm="1">
        <f t="array" ref="Z334">IFERROR(VLOOKUP($A334,'The List'!$B1:$AS671,33,FALSE)," ")</f>
        <v xml:space="preserve"> </v>
      </c>
      <c r="AA334" s="86"/>
      <c r="AB334" s="91"/>
      <c r="AC334" s="91"/>
      <c r="AD334" s="91"/>
      <c r="AE334" s="91"/>
      <c r="AF334" s="91"/>
    </row>
    <row r="335" spans="1:32" ht="21.25" customHeight="1" x14ac:dyDescent="0.15">
      <c r="A335" s="24"/>
      <c r="B335" s="100" t="str" cm="1">
        <f t="array" ref="B335">IFERROR(VLOOKUP($A335,'The List'!$B1:$AS671,3,FALSE)," ")</f>
        <v xml:space="preserve"> </v>
      </c>
      <c r="C335" s="102" t="str" cm="1">
        <f t="array" ref="C335">IFERROR(VLOOKUP($A335,'The List'!$B1:$AS671,4,FALSE)," ")</f>
        <v xml:space="preserve"> </v>
      </c>
      <c r="D335" s="18" t="str" cm="1">
        <f t="array" ref="D335">IFERROR(VLOOKUP($A335,'The List'!$B1:$AS671,5,FALSE)," ")</f>
        <v xml:space="preserve"> </v>
      </c>
      <c r="E335" s="18" t="str" cm="1">
        <f t="array" ref="E335">IFERROR(VLOOKUP($A335,'The List'!$B1:$AS671,6,FALSE)," ")</f>
        <v xml:space="preserve"> </v>
      </c>
      <c r="F335" s="93" t="str" cm="1">
        <f t="array" ref="F335">IFERROR(VLOOKUP($A335,'The List'!$B1:$AS671,8,FALSE)," ")</f>
        <v xml:space="preserve"> </v>
      </c>
      <c r="G335" s="93" t="str" cm="1">
        <f t="array" ref="G335">IFERROR(VLOOKUP($A335,'The List'!$B1:$AS671,10,FALSE)," ")</f>
        <v xml:space="preserve"> </v>
      </c>
      <c r="H335" s="55"/>
      <c r="I335" s="85" t="str" cm="1">
        <f t="array" ref="I335">IFERROR(VLOOKUP($A335,'The List'!$B1:$AS671,16,FALSE)," ")</f>
        <v xml:space="preserve"> </v>
      </c>
      <c r="J335" s="85" t="str" cm="1">
        <f t="array" ref="J335">IFERROR(VLOOKUP($A335,'The List'!$B1:$AS671,17,FALSE)," ")</f>
        <v xml:space="preserve"> </v>
      </c>
      <c r="K335" s="85" t="str" cm="1">
        <f t="array" ref="K335">IFERROR(VLOOKUP($A335,'The List'!$B1:$AS671,18,FALSE)," ")</f>
        <v xml:space="preserve"> </v>
      </c>
      <c r="L335" s="85" t="str" cm="1">
        <f t="array" ref="L335">IFERROR(VLOOKUP($A335,'The List'!$B1:$AS671,19,FALSE)," ")</f>
        <v xml:space="preserve"> </v>
      </c>
      <c r="M335" s="85" t="str" cm="1">
        <f t="array" ref="M335">IFERROR(VLOOKUP($A335,'The List'!$B1:$AS671,20,FALSE)," ")</f>
        <v xml:space="preserve"> </v>
      </c>
      <c r="N335" s="85" t="str" cm="1">
        <f t="array" ref="N335">IFERROR(VLOOKUP($A335,'The List'!$B1:$AS671,21,FALSE)," ")</f>
        <v xml:space="preserve"> </v>
      </c>
      <c r="O335" s="85" t="str" cm="1">
        <f t="array" ref="O335">IFERROR(VLOOKUP($A335,'The List'!$B1:$AS671,22,FALSE)," ")</f>
        <v xml:space="preserve"> </v>
      </c>
      <c r="P335" s="85" t="str" cm="1">
        <f t="array" ref="P335">IFERROR(VLOOKUP($A335,'The List'!$B1:$AS671,23,FALSE)," ")</f>
        <v xml:space="preserve"> </v>
      </c>
      <c r="Q335" s="85" t="str" cm="1">
        <f t="array" ref="Q335">IFERROR(VLOOKUP($A335,'The List'!$B1:$AS671,24,FALSE)," ")</f>
        <v xml:space="preserve"> </v>
      </c>
      <c r="R335" s="85" t="str" cm="1">
        <f t="array" ref="R335">IFERROR(VLOOKUP($A335,'The List'!$B1:$AS671,25,FALSE)," ")</f>
        <v xml:space="preserve"> </v>
      </c>
      <c r="S335" s="85" t="str" cm="1">
        <f t="array" ref="S335">IFERROR(VLOOKUP($A335,'The List'!$B1:$AS671,26,FALSE)," ")</f>
        <v xml:space="preserve"> </v>
      </c>
      <c r="T335" s="85" t="str" cm="1">
        <f t="array" ref="T335">IFERROR(VLOOKUP($A335,'The List'!$B1:$AS671,27,FALSE)," ")</f>
        <v xml:space="preserve"> </v>
      </c>
      <c r="U335" s="85" t="str" cm="1">
        <f t="array" ref="U335">IFERROR(VLOOKUP($A335,'The List'!$B1:$AS671,28,FALSE)," ")</f>
        <v xml:space="preserve"> </v>
      </c>
      <c r="V335" s="85" t="str" cm="1">
        <f t="array" ref="V335">IFERROR(VLOOKUP($A335,'The List'!$B1:$AS671,29,FALSE)," ")</f>
        <v xml:space="preserve"> </v>
      </c>
      <c r="W335" s="85" t="str" cm="1">
        <f t="array" ref="W335">IFERROR(VLOOKUP($A335,'The List'!$B1:$AS671,30,FALSE)," ")</f>
        <v xml:space="preserve"> </v>
      </c>
      <c r="X335" s="85" t="str" cm="1">
        <f t="array" ref="X335">IFERROR(VLOOKUP($A335,'The List'!$B1:$AS671,31,FALSE)," ")</f>
        <v xml:space="preserve"> </v>
      </c>
      <c r="Y335" s="85" t="str" cm="1">
        <f t="array" ref="Y335">IFERROR(VLOOKUP($A335,'The List'!$B1:$AS671,32,FALSE)," ")</f>
        <v xml:space="preserve"> </v>
      </c>
      <c r="Z335" s="85" t="str" cm="1">
        <f t="array" ref="Z335">IFERROR(VLOOKUP($A335,'The List'!$B1:$AS671,33,FALSE)," ")</f>
        <v xml:space="preserve"> </v>
      </c>
      <c r="AA335" s="86"/>
      <c r="AB335" s="91"/>
      <c r="AC335" s="91"/>
      <c r="AD335" s="91"/>
      <c r="AE335" s="91"/>
      <c r="AF335" s="91"/>
    </row>
    <row r="336" spans="1:32" ht="21.25" customHeight="1" x14ac:dyDescent="0.15">
      <c r="A336" s="24"/>
      <c r="B336" s="100" t="str" cm="1">
        <f t="array" ref="B336">IFERROR(VLOOKUP($A336,'The List'!$B1:$AS671,3,FALSE)," ")</f>
        <v xml:space="preserve"> </v>
      </c>
      <c r="C336" s="102" t="str" cm="1">
        <f t="array" ref="C336">IFERROR(VLOOKUP($A336,'The List'!$B1:$AS671,4,FALSE)," ")</f>
        <v xml:space="preserve"> </v>
      </c>
      <c r="D336" s="18" t="str" cm="1">
        <f t="array" ref="D336">IFERROR(VLOOKUP($A336,'The List'!$B1:$AS671,5,FALSE)," ")</f>
        <v xml:space="preserve"> </v>
      </c>
      <c r="E336" s="18" t="str" cm="1">
        <f t="array" ref="E336">IFERROR(VLOOKUP($A336,'The List'!$B1:$AS671,6,FALSE)," ")</f>
        <v xml:space="preserve"> </v>
      </c>
      <c r="F336" s="93" t="str" cm="1">
        <f t="array" ref="F336">IFERROR(VLOOKUP($A336,'The List'!$B1:$AS671,8,FALSE)," ")</f>
        <v xml:space="preserve"> </v>
      </c>
      <c r="G336" s="93" t="str" cm="1">
        <f t="array" ref="G336">IFERROR(VLOOKUP($A336,'The List'!$B1:$AS671,10,FALSE)," ")</f>
        <v xml:space="preserve"> </v>
      </c>
      <c r="H336" s="55"/>
      <c r="I336" s="85" t="str" cm="1">
        <f t="array" ref="I336">IFERROR(VLOOKUP($A336,'The List'!$B1:$AS671,16,FALSE)," ")</f>
        <v xml:space="preserve"> </v>
      </c>
      <c r="J336" s="85" t="str" cm="1">
        <f t="array" ref="J336">IFERROR(VLOOKUP($A336,'The List'!$B1:$AS671,17,FALSE)," ")</f>
        <v xml:space="preserve"> </v>
      </c>
      <c r="K336" s="85" t="str" cm="1">
        <f t="array" ref="K336">IFERROR(VLOOKUP($A336,'The List'!$B1:$AS671,18,FALSE)," ")</f>
        <v xml:space="preserve"> </v>
      </c>
      <c r="L336" s="85" t="str" cm="1">
        <f t="array" ref="L336">IFERROR(VLOOKUP($A336,'The List'!$B1:$AS671,19,FALSE)," ")</f>
        <v xml:space="preserve"> </v>
      </c>
      <c r="M336" s="85" t="str" cm="1">
        <f t="array" ref="M336">IFERROR(VLOOKUP($A336,'The List'!$B1:$AS671,20,FALSE)," ")</f>
        <v xml:space="preserve"> </v>
      </c>
      <c r="N336" s="85" t="str" cm="1">
        <f t="array" ref="N336">IFERROR(VLOOKUP($A336,'The List'!$B1:$AS671,21,FALSE)," ")</f>
        <v xml:space="preserve"> </v>
      </c>
      <c r="O336" s="85" t="str" cm="1">
        <f t="array" ref="O336">IFERROR(VLOOKUP($A336,'The List'!$B1:$AS671,22,FALSE)," ")</f>
        <v xml:space="preserve"> </v>
      </c>
      <c r="P336" s="85" t="str" cm="1">
        <f t="array" ref="P336">IFERROR(VLOOKUP($A336,'The List'!$B1:$AS671,23,FALSE)," ")</f>
        <v xml:space="preserve"> </v>
      </c>
      <c r="Q336" s="85" t="str" cm="1">
        <f t="array" ref="Q336">IFERROR(VLOOKUP($A336,'The List'!$B1:$AS671,24,FALSE)," ")</f>
        <v xml:space="preserve"> </v>
      </c>
      <c r="R336" s="85" t="str" cm="1">
        <f t="array" ref="R336">IFERROR(VLOOKUP($A336,'The List'!$B1:$AS671,25,FALSE)," ")</f>
        <v xml:space="preserve"> </v>
      </c>
      <c r="S336" s="85" t="str" cm="1">
        <f t="array" ref="S336">IFERROR(VLOOKUP($A336,'The List'!$B1:$AS671,26,FALSE)," ")</f>
        <v xml:space="preserve"> </v>
      </c>
      <c r="T336" s="85" t="str" cm="1">
        <f t="array" ref="T336">IFERROR(VLOOKUP($A336,'The List'!$B1:$AS671,27,FALSE)," ")</f>
        <v xml:space="preserve"> </v>
      </c>
      <c r="U336" s="85" t="str" cm="1">
        <f t="array" ref="U336">IFERROR(VLOOKUP($A336,'The List'!$B1:$AS671,28,FALSE)," ")</f>
        <v xml:space="preserve"> </v>
      </c>
      <c r="V336" s="85" t="str" cm="1">
        <f t="array" ref="V336">IFERROR(VLOOKUP($A336,'The List'!$B1:$AS671,29,FALSE)," ")</f>
        <v xml:space="preserve"> </v>
      </c>
      <c r="W336" s="85" t="str" cm="1">
        <f t="array" ref="W336">IFERROR(VLOOKUP($A336,'The List'!$B1:$AS671,30,FALSE)," ")</f>
        <v xml:space="preserve"> </v>
      </c>
      <c r="X336" s="85" t="str" cm="1">
        <f t="array" ref="X336">IFERROR(VLOOKUP($A336,'The List'!$B1:$AS671,31,FALSE)," ")</f>
        <v xml:space="preserve"> </v>
      </c>
      <c r="Y336" s="85" t="str" cm="1">
        <f t="array" ref="Y336">IFERROR(VLOOKUP($A336,'The List'!$B1:$AS671,32,FALSE)," ")</f>
        <v xml:space="preserve"> </v>
      </c>
      <c r="Z336" s="85" t="str" cm="1">
        <f t="array" ref="Z336">IFERROR(VLOOKUP($A336,'The List'!$B1:$AS671,33,FALSE)," ")</f>
        <v xml:space="preserve"> </v>
      </c>
      <c r="AA336" s="86"/>
      <c r="AB336" s="91"/>
      <c r="AC336" s="91"/>
      <c r="AD336" s="91"/>
      <c r="AE336" s="91"/>
      <c r="AF336" s="91"/>
    </row>
    <row r="337" spans="1:32" ht="21.25" customHeight="1" x14ac:dyDescent="0.15">
      <c r="A337" s="24"/>
      <c r="B337" s="100" t="str" cm="1">
        <f t="array" ref="B337">IFERROR(VLOOKUP($A337,'The List'!$B1:$AS671,3,FALSE)," ")</f>
        <v xml:space="preserve"> </v>
      </c>
      <c r="C337" s="102" t="str" cm="1">
        <f t="array" ref="C337">IFERROR(VLOOKUP($A337,'The List'!$B1:$AS671,4,FALSE)," ")</f>
        <v xml:space="preserve"> </v>
      </c>
      <c r="D337" s="18" t="str" cm="1">
        <f t="array" ref="D337">IFERROR(VLOOKUP($A337,'The List'!$B1:$AS671,5,FALSE)," ")</f>
        <v xml:space="preserve"> </v>
      </c>
      <c r="E337" s="18" t="str" cm="1">
        <f t="array" ref="E337">IFERROR(VLOOKUP($A337,'The List'!$B1:$AS671,6,FALSE)," ")</f>
        <v xml:space="preserve"> </v>
      </c>
      <c r="F337" s="93" t="str" cm="1">
        <f t="array" ref="F337">IFERROR(VLOOKUP($A337,'The List'!$B1:$AS671,8,FALSE)," ")</f>
        <v xml:space="preserve"> </v>
      </c>
      <c r="G337" s="93" t="str" cm="1">
        <f t="array" ref="G337">IFERROR(VLOOKUP($A337,'The List'!$B1:$AS671,10,FALSE)," ")</f>
        <v xml:space="preserve"> </v>
      </c>
      <c r="H337" s="55"/>
      <c r="I337" s="85" t="str" cm="1">
        <f t="array" ref="I337">IFERROR(VLOOKUP($A337,'The List'!$B1:$AS671,16,FALSE)," ")</f>
        <v xml:space="preserve"> </v>
      </c>
      <c r="J337" s="85" t="str" cm="1">
        <f t="array" ref="J337">IFERROR(VLOOKUP($A337,'The List'!$B1:$AS671,17,FALSE)," ")</f>
        <v xml:space="preserve"> </v>
      </c>
      <c r="K337" s="85" t="str" cm="1">
        <f t="array" ref="K337">IFERROR(VLOOKUP($A337,'The List'!$B1:$AS671,18,FALSE)," ")</f>
        <v xml:space="preserve"> </v>
      </c>
      <c r="L337" s="85" t="str" cm="1">
        <f t="array" ref="L337">IFERROR(VLOOKUP($A337,'The List'!$B1:$AS671,19,FALSE)," ")</f>
        <v xml:space="preserve"> </v>
      </c>
      <c r="M337" s="85" t="str" cm="1">
        <f t="array" ref="M337">IFERROR(VLOOKUP($A337,'The List'!$B1:$AS671,20,FALSE)," ")</f>
        <v xml:space="preserve"> </v>
      </c>
      <c r="N337" s="85" t="str" cm="1">
        <f t="array" ref="N337">IFERROR(VLOOKUP($A337,'The List'!$B1:$AS671,21,FALSE)," ")</f>
        <v xml:space="preserve"> </v>
      </c>
      <c r="O337" s="85" t="str" cm="1">
        <f t="array" ref="O337">IFERROR(VLOOKUP($A337,'The List'!$B1:$AS671,22,FALSE)," ")</f>
        <v xml:space="preserve"> </v>
      </c>
      <c r="P337" s="85" t="str" cm="1">
        <f t="array" ref="P337">IFERROR(VLOOKUP($A337,'The List'!$B1:$AS671,23,FALSE)," ")</f>
        <v xml:space="preserve"> </v>
      </c>
      <c r="Q337" s="85" t="str" cm="1">
        <f t="array" ref="Q337">IFERROR(VLOOKUP($A337,'The List'!$B1:$AS671,24,FALSE)," ")</f>
        <v xml:space="preserve"> </v>
      </c>
      <c r="R337" s="85" t="str" cm="1">
        <f t="array" ref="R337">IFERROR(VLOOKUP($A337,'The List'!$B1:$AS671,25,FALSE)," ")</f>
        <v xml:space="preserve"> </v>
      </c>
      <c r="S337" s="85" t="str" cm="1">
        <f t="array" ref="S337">IFERROR(VLOOKUP($A337,'The List'!$B1:$AS671,26,FALSE)," ")</f>
        <v xml:space="preserve"> </v>
      </c>
      <c r="T337" s="85" t="str" cm="1">
        <f t="array" ref="T337">IFERROR(VLOOKUP($A337,'The List'!$B1:$AS671,27,FALSE)," ")</f>
        <v xml:space="preserve"> </v>
      </c>
      <c r="U337" s="85" t="str" cm="1">
        <f t="array" ref="U337">IFERROR(VLOOKUP($A337,'The List'!$B1:$AS671,28,FALSE)," ")</f>
        <v xml:space="preserve"> </v>
      </c>
      <c r="V337" s="85" t="str" cm="1">
        <f t="array" ref="V337">IFERROR(VLOOKUP($A337,'The List'!$B1:$AS671,29,FALSE)," ")</f>
        <v xml:space="preserve"> </v>
      </c>
      <c r="W337" s="85" t="str" cm="1">
        <f t="array" ref="W337">IFERROR(VLOOKUP($A337,'The List'!$B1:$AS671,30,FALSE)," ")</f>
        <v xml:space="preserve"> </v>
      </c>
      <c r="X337" s="85" t="str" cm="1">
        <f t="array" ref="X337">IFERROR(VLOOKUP($A337,'The List'!$B1:$AS671,31,FALSE)," ")</f>
        <v xml:space="preserve"> </v>
      </c>
      <c r="Y337" s="85" t="str" cm="1">
        <f t="array" ref="Y337">IFERROR(VLOOKUP($A337,'The List'!$B1:$AS671,32,FALSE)," ")</f>
        <v xml:space="preserve"> </v>
      </c>
      <c r="Z337" s="85" t="str" cm="1">
        <f t="array" ref="Z337">IFERROR(VLOOKUP($A337,'The List'!$B1:$AS671,33,FALSE)," ")</f>
        <v xml:space="preserve"> </v>
      </c>
      <c r="AA337" s="86"/>
      <c r="AB337" s="91"/>
      <c r="AC337" s="91"/>
      <c r="AD337" s="91"/>
      <c r="AE337" s="91"/>
      <c r="AF337" s="91"/>
    </row>
    <row r="338" spans="1:32" ht="21.25" customHeight="1" x14ac:dyDescent="0.15">
      <c r="A338" s="24"/>
      <c r="B338" s="100" t="str" cm="1">
        <f t="array" ref="B338">IFERROR(VLOOKUP($A338,'The List'!$B1:$AS671,3,FALSE)," ")</f>
        <v xml:space="preserve"> </v>
      </c>
      <c r="C338" s="102" t="str" cm="1">
        <f t="array" ref="C338">IFERROR(VLOOKUP($A338,'The List'!$B1:$AS671,4,FALSE)," ")</f>
        <v xml:space="preserve"> </v>
      </c>
      <c r="D338" s="18" t="str" cm="1">
        <f t="array" ref="D338">IFERROR(VLOOKUP($A338,'The List'!$B1:$AS671,5,FALSE)," ")</f>
        <v xml:space="preserve"> </v>
      </c>
      <c r="E338" s="18" t="str" cm="1">
        <f t="array" ref="E338">IFERROR(VLOOKUP($A338,'The List'!$B1:$AS671,6,FALSE)," ")</f>
        <v xml:space="preserve"> </v>
      </c>
      <c r="F338" s="93" t="str" cm="1">
        <f t="array" ref="F338">IFERROR(VLOOKUP($A338,'The List'!$B1:$AS671,8,FALSE)," ")</f>
        <v xml:space="preserve"> </v>
      </c>
      <c r="G338" s="93" t="str" cm="1">
        <f t="array" ref="G338">IFERROR(VLOOKUP($A338,'The List'!$B1:$AS671,10,FALSE)," ")</f>
        <v xml:space="preserve"> </v>
      </c>
      <c r="H338" s="55"/>
      <c r="I338" s="85" t="str" cm="1">
        <f t="array" ref="I338">IFERROR(VLOOKUP($A338,'The List'!$B1:$AS671,16,FALSE)," ")</f>
        <v xml:space="preserve"> </v>
      </c>
      <c r="J338" s="85" t="str" cm="1">
        <f t="array" ref="J338">IFERROR(VLOOKUP($A338,'The List'!$B1:$AS671,17,FALSE)," ")</f>
        <v xml:space="preserve"> </v>
      </c>
      <c r="K338" s="85" t="str" cm="1">
        <f t="array" ref="K338">IFERROR(VLOOKUP($A338,'The List'!$B1:$AS671,18,FALSE)," ")</f>
        <v xml:space="preserve"> </v>
      </c>
      <c r="L338" s="85" t="str" cm="1">
        <f t="array" ref="L338">IFERROR(VLOOKUP($A338,'The List'!$B1:$AS671,19,FALSE)," ")</f>
        <v xml:space="preserve"> </v>
      </c>
      <c r="M338" s="85" t="str" cm="1">
        <f t="array" ref="M338">IFERROR(VLOOKUP($A338,'The List'!$B1:$AS671,20,FALSE)," ")</f>
        <v xml:space="preserve"> </v>
      </c>
      <c r="N338" s="85" t="str" cm="1">
        <f t="array" ref="N338">IFERROR(VLOOKUP($A338,'The List'!$B1:$AS671,21,FALSE)," ")</f>
        <v xml:space="preserve"> </v>
      </c>
      <c r="O338" s="85" t="str" cm="1">
        <f t="array" ref="O338">IFERROR(VLOOKUP($A338,'The List'!$B1:$AS671,22,FALSE)," ")</f>
        <v xml:space="preserve"> </v>
      </c>
      <c r="P338" s="85" t="str" cm="1">
        <f t="array" ref="P338">IFERROR(VLOOKUP($A338,'The List'!$B1:$AS671,23,FALSE)," ")</f>
        <v xml:space="preserve"> </v>
      </c>
      <c r="Q338" s="85" t="str" cm="1">
        <f t="array" ref="Q338">IFERROR(VLOOKUP($A338,'The List'!$B1:$AS671,24,FALSE)," ")</f>
        <v xml:space="preserve"> </v>
      </c>
      <c r="R338" s="85" t="str" cm="1">
        <f t="array" ref="R338">IFERROR(VLOOKUP($A338,'The List'!$B1:$AS671,25,FALSE)," ")</f>
        <v xml:space="preserve"> </v>
      </c>
      <c r="S338" s="85" t="str" cm="1">
        <f t="array" ref="S338">IFERROR(VLOOKUP($A338,'The List'!$B1:$AS671,26,FALSE)," ")</f>
        <v xml:space="preserve"> </v>
      </c>
      <c r="T338" s="85" t="str" cm="1">
        <f t="array" ref="T338">IFERROR(VLOOKUP($A338,'The List'!$B1:$AS671,27,FALSE)," ")</f>
        <v xml:space="preserve"> </v>
      </c>
      <c r="U338" s="85" t="str" cm="1">
        <f t="array" ref="U338">IFERROR(VLOOKUP($A338,'The List'!$B1:$AS671,28,FALSE)," ")</f>
        <v xml:space="preserve"> </v>
      </c>
      <c r="V338" s="85" t="str" cm="1">
        <f t="array" ref="V338">IFERROR(VLOOKUP($A338,'The List'!$B1:$AS671,29,FALSE)," ")</f>
        <v xml:space="preserve"> </v>
      </c>
      <c r="W338" s="85" t="str" cm="1">
        <f t="array" ref="W338">IFERROR(VLOOKUP($A338,'The List'!$B1:$AS671,30,FALSE)," ")</f>
        <v xml:space="preserve"> </v>
      </c>
      <c r="X338" s="85" t="str" cm="1">
        <f t="array" ref="X338">IFERROR(VLOOKUP($A338,'The List'!$B1:$AS671,31,FALSE)," ")</f>
        <v xml:space="preserve"> </v>
      </c>
      <c r="Y338" s="85" t="str" cm="1">
        <f t="array" ref="Y338">IFERROR(VLOOKUP($A338,'The List'!$B1:$AS671,32,FALSE)," ")</f>
        <v xml:space="preserve"> </v>
      </c>
      <c r="Z338" s="85" t="str" cm="1">
        <f t="array" ref="Z338">IFERROR(VLOOKUP($A338,'The List'!$B1:$AS671,33,FALSE)," ")</f>
        <v xml:space="preserve"> </v>
      </c>
      <c r="AA338" s="86"/>
      <c r="AB338" s="91"/>
      <c r="AC338" s="91"/>
      <c r="AD338" s="91"/>
      <c r="AE338" s="91"/>
      <c r="AF338" s="91"/>
    </row>
    <row r="339" spans="1:32" ht="21.25" customHeight="1" x14ac:dyDescent="0.15">
      <c r="A339" s="24"/>
      <c r="B339" s="100" t="str" cm="1">
        <f t="array" ref="B339">IFERROR(VLOOKUP($A339,'The List'!$B1:$AS671,3,FALSE)," ")</f>
        <v xml:space="preserve"> </v>
      </c>
      <c r="C339" s="102" t="str" cm="1">
        <f t="array" ref="C339">IFERROR(VLOOKUP($A339,'The List'!$B1:$AS671,4,FALSE)," ")</f>
        <v xml:space="preserve"> </v>
      </c>
      <c r="D339" s="18" t="str" cm="1">
        <f t="array" ref="D339">IFERROR(VLOOKUP($A339,'The List'!$B1:$AS671,5,FALSE)," ")</f>
        <v xml:space="preserve"> </v>
      </c>
      <c r="E339" s="18" t="str" cm="1">
        <f t="array" ref="E339">IFERROR(VLOOKUP($A339,'The List'!$B1:$AS671,6,FALSE)," ")</f>
        <v xml:space="preserve"> </v>
      </c>
      <c r="F339" s="93" t="str" cm="1">
        <f t="array" ref="F339">IFERROR(VLOOKUP($A339,'The List'!$B1:$AS671,8,FALSE)," ")</f>
        <v xml:space="preserve"> </v>
      </c>
      <c r="G339" s="93" t="str" cm="1">
        <f t="array" ref="G339">IFERROR(VLOOKUP($A339,'The List'!$B1:$AS671,10,FALSE)," ")</f>
        <v xml:space="preserve"> </v>
      </c>
      <c r="H339" s="55"/>
      <c r="I339" s="85" t="str" cm="1">
        <f t="array" ref="I339">IFERROR(VLOOKUP($A339,'The List'!$B1:$AS671,16,FALSE)," ")</f>
        <v xml:space="preserve"> </v>
      </c>
      <c r="J339" s="85" t="str" cm="1">
        <f t="array" ref="J339">IFERROR(VLOOKUP($A339,'The List'!$B1:$AS671,17,FALSE)," ")</f>
        <v xml:space="preserve"> </v>
      </c>
      <c r="K339" s="85" t="str" cm="1">
        <f t="array" ref="K339">IFERROR(VLOOKUP($A339,'The List'!$B1:$AS671,18,FALSE)," ")</f>
        <v xml:space="preserve"> </v>
      </c>
      <c r="L339" s="85" t="str" cm="1">
        <f t="array" ref="L339">IFERROR(VLOOKUP($A339,'The List'!$B1:$AS671,19,FALSE)," ")</f>
        <v xml:space="preserve"> </v>
      </c>
      <c r="M339" s="85" t="str" cm="1">
        <f t="array" ref="M339">IFERROR(VLOOKUP($A339,'The List'!$B1:$AS671,20,FALSE)," ")</f>
        <v xml:space="preserve"> </v>
      </c>
      <c r="N339" s="85" t="str" cm="1">
        <f t="array" ref="N339">IFERROR(VLOOKUP($A339,'The List'!$B1:$AS671,21,FALSE)," ")</f>
        <v xml:space="preserve"> </v>
      </c>
      <c r="O339" s="85" t="str" cm="1">
        <f t="array" ref="O339">IFERROR(VLOOKUP($A339,'The List'!$B1:$AS671,22,FALSE)," ")</f>
        <v xml:space="preserve"> </v>
      </c>
      <c r="P339" s="85" t="str" cm="1">
        <f t="array" ref="P339">IFERROR(VLOOKUP($A339,'The List'!$B1:$AS671,23,FALSE)," ")</f>
        <v xml:space="preserve"> </v>
      </c>
      <c r="Q339" s="85" t="str" cm="1">
        <f t="array" ref="Q339">IFERROR(VLOOKUP($A339,'The List'!$B1:$AS671,24,FALSE)," ")</f>
        <v xml:space="preserve"> </v>
      </c>
      <c r="R339" s="85" t="str" cm="1">
        <f t="array" ref="R339">IFERROR(VLOOKUP($A339,'The List'!$B1:$AS671,25,FALSE)," ")</f>
        <v xml:space="preserve"> </v>
      </c>
      <c r="S339" s="85" t="str" cm="1">
        <f t="array" ref="S339">IFERROR(VLOOKUP($A339,'The List'!$B1:$AS671,26,FALSE)," ")</f>
        <v xml:space="preserve"> </v>
      </c>
      <c r="T339" s="85" t="str" cm="1">
        <f t="array" ref="T339">IFERROR(VLOOKUP($A339,'The List'!$B1:$AS671,27,FALSE)," ")</f>
        <v xml:space="preserve"> </v>
      </c>
      <c r="U339" s="85" t="str" cm="1">
        <f t="array" ref="U339">IFERROR(VLOOKUP($A339,'The List'!$B1:$AS671,28,FALSE)," ")</f>
        <v xml:space="preserve"> </v>
      </c>
      <c r="V339" s="85" t="str" cm="1">
        <f t="array" ref="V339">IFERROR(VLOOKUP($A339,'The List'!$B1:$AS671,29,FALSE)," ")</f>
        <v xml:space="preserve"> </v>
      </c>
      <c r="W339" s="85" t="str" cm="1">
        <f t="array" ref="W339">IFERROR(VLOOKUP($A339,'The List'!$B1:$AS671,30,FALSE)," ")</f>
        <v xml:space="preserve"> </v>
      </c>
      <c r="X339" s="85" t="str" cm="1">
        <f t="array" ref="X339">IFERROR(VLOOKUP($A339,'The List'!$B1:$AS671,31,FALSE)," ")</f>
        <v xml:space="preserve"> </v>
      </c>
      <c r="Y339" s="85" t="str" cm="1">
        <f t="array" ref="Y339">IFERROR(VLOOKUP($A339,'The List'!$B1:$AS671,32,FALSE)," ")</f>
        <v xml:space="preserve"> </v>
      </c>
      <c r="Z339" s="85" t="str" cm="1">
        <f t="array" ref="Z339">IFERROR(VLOOKUP($A339,'The List'!$B1:$AS671,33,FALSE)," ")</f>
        <v xml:space="preserve"> </v>
      </c>
      <c r="AA339" s="86"/>
      <c r="AB339" s="91"/>
      <c r="AC339" s="91"/>
      <c r="AD339" s="91"/>
      <c r="AE339" s="91"/>
      <c r="AF339" s="91"/>
    </row>
    <row r="340" spans="1:32" ht="21.25" customHeight="1" x14ac:dyDescent="0.15">
      <c r="A340" s="104"/>
      <c r="B340" s="105" t="str" cm="1">
        <f t="array" ref="B340">IFERROR(VLOOKUP($A340,'The List'!$B1:$AS671,3,FALSE)," ")</f>
        <v xml:space="preserve"> </v>
      </c>
      <c r="C340" s="106" t="str" cm="1">
        <f t="array" ref="C340">IFERROR(VLOOKUP($A340,'The List'!$B1:$AS671,4,FALSE)," ")</f>
        <v xml:space="preserve"> </v>
      </c>
      <c r="D340" s="107" t="str" cm="1">
        <f t="array" ref="D340">IFERROR(VLOOKUP($A340,'The List'!$B1:$AS671,5,FALSE)," ")</f>
        <v xml:space="preserve"> </v>
      </c>
      <c r="E340" s="107" t="str" cm="1">
        <f t="array" ref="E340">IFERROR(VLOOKUP($A340,'The List'!$B1:$AS671,6,FALSE)," ")</f>
        <v xml:space="preserve"> </v>
      </c>
      <c r="F340" s="108" t="str" cm="1">
        <f t="array" ref="F340">IFERROR(VLOOKUP($A340,'The List'!$B1:$AS671,8,FALSE)," ")</f>
        <v xml:space="preserve"> </v>
      </c>
      <c r="G340" s="108" t="str" cm="1">
        <f t="array" ref="G340">IFERROR(VLOOKUP($A340,'The List'!$B1:$AS671,10,FALSE)," ")</f>
        <v xml:space="preserve"> </v>
      </c>
      <c r="H340" s="109"/>
      <c r="I340" s="110" t="str" cm="1">
        <f t="array" ref="I340">IFERROR(VLOOKUP($A340,'The List'!$B1:$AS671,16,FALSE)," ")</f>
        <v xml:space="preserve"> </v>
      </c>
      <c r="J340" s="110" t="str" cm="1">
        <f t="array" ref="J340">IFERROR(VLOOKUP($A340,'The List'!$B1:$AS671,17,FALSE)," ")</f>
        <v xml:space="preserve"> </v>
      </c>
      <c r="K340" s="110" t="str" cm="1">
        <f t="array" ref="K340">IFERROR(VLOOKUP($A340,'The List'!$B1:$AS671,18,FALSE)," ")</f>
        <v xml:space="preserve"> </v>
      </c>
      <c r="L340" s="110" t="str" cm="1">
        <f t="array" ref="L340">IFERROR(VLOOKUP($A340,'The List'!$B1:$AS671,19,FALSE)," ")</f>
        <v xml:space="preserve"> </v>
      </c>
      <c r="M340" s="110" t="str" cm="1">
        <f t="array" ref="M340">IFERROR(VLOOKUP($A340,'The List'!$B1:$AS671,20,FALSE)," ")</f>
        <v xml:space="preserve"> </v>
      </c>
      <c r="N340" s="110" t="str" cm="1">
        <f t="array" ref="N340">IFERROR(VLOOKUP($A340,'The List'!$B1:$AS671,21,FALSE)," ")</f>
        <v xml:space="preserve"> </v>
      </c>
      <c r="O340" s="110" t="str" cm="1">
        <f t="array" ref="O340">IFERROR(VLOOKUP($A340,'The List'!$B1:$AS671,22,FALSE)," ")</f>
        <v xml:space="preserve"> </v>
      </c>
      <c r="P340" s="110" t="str" cm="1">
        <f t="array" ref="P340">IFERROR(VLOOKUP($A340,'The List'!$B1:$AS671,23,FALSE)," ")</f>
        <v xml:space="preserve"> </v>
      </c>
      <c r="Q340" s="110" t="str" cm="1">
        <f t="array" ref="Q340">IFERROR(VLOOKUP($A340,'The List'!$B1:$AS671,24,FALSE)," ")</f>
        <v xml:space="preserve"> </v>
      </c>
      <c r="R340" s="110" t="str" cm="1">
        <f t="array" ref="R340">IFERROR(VLOOKUP($A340,'The List'!$B1:$AS671,25,FALSE)," ")</f>
        <v xml:space="preserve"> </v>
      </c>
      <c r="S340" s="110" t="str" cm="1">
        <f t="array" ref="S340">IFERROR(VLOOKUP($A340,'The List'!$B1:$AS671,26,FALSE)," ")</f>
        <v xml:space="preserve"> </v>
      </c>
      <c r="T340" s="110" t="str" cm="1">
        <f t="array" ref="T340">IFERROR(VLOOKUP($A340,'The List'!$B1:$AS671,27,FALSE)," ")</f>
        <v xml:space="preserve"> </v>
      </c>
      <c r="U340" s="110" t="str" cm="1">
        <f t="array" ref="U340">IFERROR(VLOOKUP($A340,'The List'!$B1:$AS671,28,FALSE)," ")</f>
        <v xml:space="preserve"> </v>
      </c>
      <c r="V340" s="110" t="str" cm="1">
        <f t="array" ref="V340">IFERROR(VLOOKUP($A340,'The List'!$B1:$AS671,29,FALSE)," ")</f>
        <v xml:space="preserve"> </v>
      </c>
      <c r="W340" s="110" t="str" cm="1">
        <f t="array" ref="W340">IFERROR(VLOOKUP($A340,'The List'!$B1:$AS671,30,FALSE)," ")</f>
        <v xml:space="preserve"> </v>
      </c>
      <c r="X340" s="110" t="str" cm="1">
        <f t="array" ref="X340">IFERROR(VLOOKUP($A340,'The List'!$B1:$AS671,31,FALSE)," ")</f>
        <v xml:space="preserve"> </v>
      </c>
      <c r="Y340" s="110" t="str" cm="1">
        <f t="array" ref="Y340">IFERROR(VLOOKUP($A340,'The List'!$B1:$AS671,32,FALSE)," ")</f>
        <v xml:space="preserve"> </v>
      </c>
      <c r="Z340" s="110" t="str" cm="1">
        <f t="array" ref="Z340">IFERROR(VLOOKUP($A340,'The List'!$B1:$AS671,33,FALSE)," ")</f>
        <v xml:space="preserve"> </v>
      </c>
      <c r="AA340" s="86"/>
      <c r="AB340" s="91"/>
      <c r="AC340" s="91"/>
      <c r="AD340" s="91"/>
      <c r="AE340" s="91"/>
      <c r="AF340" s="91"/>
    </row>
    <row r="341" spans="1:32" ht="21.25" customHeight="1" x14ac:dyDescent="0.15">
      <c r="A341" s="111"/>
      <c r="B341" s="112"/>
      <c r="C341" s="113"/>
      <c r="D341" s="114"/>
      <c r="E341" s="114" t="str" cm="1">
        <f t="array" ref="E341">IFERROR(AVERAGE(E321:E340)," ")</f>
        <v xml:space="preserve"> </v>
      </c>
      <c r="F341" s="116" cm="1">
        <f t="array" ref="F341">SUM(F321:F340)</f>
        <v>0</v>
      </c>
      <c r="G341" s="116" cm="1">
        <f t="array" ref="G341">SUM(G321:G340)</f>
        <v>0</v>
      </c>
      <c r="H341" s="117"/>
      <c r="I341" s="118" cm="1">
        <f t="array" ref="I341">SUM(I321:I340)</f>
        <v>0</v>
      </c>
      <c r="J341" s="117" t="e" cm="1">
        <f t="array" ref="J341">AVERAGE(J321:J340)</f>
        <v>#DIV/0!</v>
      </c>
      <c r="K341" s="118" cm="1">
        <f t="array" ref="K341">SUM(K321:K340)</f>
        <v>0</v>
      </c>
      <c r="L341" s="118" cm="1">
        <f t="array" ref="L341">SUM(L321:L340)</f>
        <v>0</v>
      </c>
      <c r="M341" s="118" cm="1">
        <f t="array" ref="M341">SUM(M321:M340)</f>
        <v>0</v>
      </c>
      <c r="N341" s="118" cm="1">
        <f t="array" ref="N341">SUM(N321:N340)</f>
        <v>0</v>
      </c>
      <c r="O341" s="118" cm="1">
        <f t="array" ref="O341">SUM(O321:O340)</f>
        <v>0</v>
      </c>
      <c r="P341" s="118" cm="1">
        <f t="array" ref="P341">SUM(P321:P340)</f>
        <v>0</v>
      </c>
      <c r="Q341" s="118" cm="1">
        <f t="array" ref="Q341">SUM(Q321:Q340)</f>
        <v>0</v>
      </c>
      <c r="R341" s="118" cm="1">
        <f t="array" ref="R341">SUM(R321:R340)</f>
        <v>0</v>
      </c>
      <c r="S341" s="118" cm="1">
        <f t="array" ref="S341">SUM(S321:S340)</f>
        <v>0</v>
      </c>
      <c r="T341" s="118" cm="1">
        <f t="array" ref="T341">SUM(T321:T340)</f>
        <v>0</v>
      </c>
      <c r="U341" s="118" cm="1">
        <f t="array" ref="U341">SUM(U321:U340)</f>
        <v>0</v>
      </c>
      <c r="V341" s="118" cm="1">
        <f t="array" ref="V341">SUM(V321:V340)</f>
        <v>0</v>
      </c>
      <c r="W341" s="118" cm="1">
        <f t="array" ref="W341">SUM(W321:W340)</f>
        <v>0</v>
      </c>
      <c r="X341" s="118" cm="1">
        <f t="array" ref="X341">SUM(X321:X340)</f>
        <v>0</v>
      </c>
      <c r="Y341" s="118" cm="1">
        <f t="array" ref="Y341">SUM(Y321:Y340)</f>
        <v>0</v>
      </c>
      <c r="Z341" s="119" cm="1">
        <f t="array" ref="Z341">IFERROR(X341/(X341+Y341),0)</f>
        <v>0</v>
      </c>
      <c r="AA341" s="86"/>
      <c r="AB341" s="120"/>
      <c r="AC341" s="120"/>
      <c r="AD341" s="120"/>
      <c r="AE341" s="120"/>
      <c r="AF341" s="120"/>
    </row>
    <row r="342" spans="1:32" ht="21.25" customHeight="1" x14ac:dyDescent="0.15">
      <c r="A342" s="37"/>
      <c r="B342" s="121"/>
      <c r="C342" s="122"/>
      <c r="D342" s="13"/>
      <c r="E342" s="13"/>
      <c r="F342" s="123"/>
      <c r="G342" s="124"/>
      <c r="H342" s="125"/>
      <c r="I342" s="12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91"/>
      <c r="AC342" s="91"/>
      <c r="AD342" s="91"/>
      <c r="AE342" s="91"/>
      <c r="AF342" s="91"/>
    </row>
    <row r="343" spans="1:32" ht="21.25" customHeight="1" x14ac:dyDescent="0.15">
      <c r="A343" s="40" t="s">
        <v>91</v>
      </c>
      <c r="B343" s="205" t="s">
        <v>93</v>
      </c>
      <c r="C343" s="197"/>
      <c r="D343" s="127" t="s">
        <v>94</v>
      </c>
      <c r="E343" s="127" t="s">
        <v>95</v>
      </c>
      <c r="F343" s="128" t="s">
        <v>97</v>
      </c>
      <c r="G343" s="128" t="s">
        <v>99</v>
      </c>
      <c r="H343" s="129"/>
      <c r="I343" s="130" t="s">
        <v>104</v>
      </c>
      <c r="J343" s="130" t="s">
        <v>119</v>
      </c>
      <c r="K343" s="130" t="s">
        <v>120</v>
      </c>
      <c r="L343" s="130" t="s">
        <v>121</v>
      </c>
      <c r="M343" s="130" t="s">
        <v>122</v>
      </c>
      <c r="N343" s="130" t="s">
        <v>123</v>
      </c>
      <c r="O343" s="130" t="s">
        <v>124</v>
      </c>
      <c r="P343" s="130" t="s">
        <v>125</v>
      </c>
      <c r="Q343" s="130" t="s">
        <v>126</v>
      </c>
      <c r="R343" s="86"/>
      <c r="S343" s="86"/>
      <c r="T343" s="86"/>
      <c r="U343" s="205" t="s">
        <v>818</v>
      </c>
      <c r="V343" s="206"/>
      <c r="W343" s="206"/>
      <c r="X343" s="205" t="s">
        <v>819</v>
      </c>
      <c r="Y343" s="206"/>
      <c r="Z343" s="206"/>
      <c r="AA343" s="86"/>
      <c r="AB343" s="86"/>
      <c r="AC343" s="86"/>
      <c r="AD343" s="86"/>
      <c r="AE343" s="86"/>
      <c r="AF343" s="86"/>
    </row>
    <row r="344" spans="1:32" ht="21.25" customHeight="1" x14ac:dyDescent="0.15">
      <c r="A344" s="147"/>
      <c r="B344" s="132" t="str" cm="1">
        <f t="array" ref="B344">IFERROR(VLOOKUP($A344,'The List'!$B1:$AS671,3,FALSE)," ")</f>
        <v xml:space="preserve"> </v>
      </c>
      <c r="C344" s="148" t="str" cm="1">
        <f t="array" ref="C344">IFERROR(VLOOKUP($A344,'The List'!$B1:$AS671,4,FALSE)," ")</f>
        <v xml:space="preserve"> </v>
      </c>
      <c r="D344" s="134" t="str" cm="1">
        <f t="array" ref="D344">IFERROR(VLOOKUP($A344,'The List'!$B1:$AS671,5,FALSE)," ")</f>
        <v xml:space="preserve"> </v>
      </c>
      <c r="E344" s="134" t="str" cm="1">
        <f t="array" ref="E344">IFERROR(VLOOKUP($A344,'The List'!$B1:$AS671,6,FALSE)," ")</f>
        <v xml:space="preserve"> </v>
      </c>
      <c r="F344" s="149" t="str" cm="1">
        <f t="array" ref="F344">IFERROR(VLOOKUP($A344,'The List'!$B1:$AS671,8,FALSE)," ")</f>
        <v xml:space="preserve"> </v>
      </c>
      <c r="G344" s="149" t="str" cm="1">
        <f t="array" ref="G344">IFERROR(VLOOKUP($A344,'The List'!$B1:$AS671,10,FALSE)," ")</f>
        <v xml:space="preserve"> </v>
      </c>
      <c r="H344" s="83"/>
      <c r="I344" s="150" t="str" cm="1">
        <f t="array" ref="I344">IFERROR(VLOOKUP($A344,'The List'!$B1:$AS671,35,FALSE)," ")</f>
        <v xml:space="preserve"> </v>
      </c>
      <c r="J344" s="150" t="str" cm="1">
        <f t="array" ref="J344">IFERROR(VLOOKUP($A344,'The List'!$B1:$AS671,36,FALSE)," ")</f>
        <v xml:space="preserve"> </v>
      </c>
      <c r="K344" s="150" t="str" cm="1">
        <f t="array" ref="K344">IFERROR(VLOOKUP($A344,'The List'!$B1:$AS671,37,FALSE)," ")</f>
        <v xml:space="preserve"> </v>
      </c>
      <c r="L344" s="150" t="str" cm="1">
        <f t="array" ref="L344">IFERROR(VLOOKUP($A344,'The List'!$B1:$AS671,38,FALSE)," ")</f>
        <v xml:space="preserve"> </v>
      </c>
      <c r="M344" s="150" t="str" cm="1">
        <f t="array" ref="M344">IFERROR(VLOOKUP($A344,'The List'!$B1:$AS671,39,FALSE)," ")</f>
        <v xml:space="preserve"> </v>
      </c>
      <c r="N344" s="150" t="str" cm="1">
        <f t="array" ref="N344">IFERROR(VLOOKUP($A344,'The List'!$B1:$AS671,40,FALSE)," ")</f>
        <v xml:space="preserve"> </v>
      </c>
      <c r="O344" s="150" t="str" cm="1">
        <f t="array" ref="O344">IFERROR(VLOOKUP($A344,'The List'!$B1:$AS671,41,FALSE)," ")</f>
        <v xml:space="preserve"> </v>
      </c>
      <c r="P344" s="150" t="str" cm="1">
        <f t="array" ref="P344">IFERROR(VLOOKUP($A344,'The List'!$B1:$AS671,42,FALSE)," ")</f>
        <v xml:space="preserve"> </v>
      </c>
      <c r="Q344" s="150" t="str" cm="1">
        <f t="array" ref="Q344">IFERROR(VLOOKUP($A344,'The List'!$B1:$AS671,43,FALSE)," ")</f>
        <v xml:space="preserve"> </v>
      </c>
      <c r="R344" s="86"/>
      <c r="S344" s="86"/>
      <c r="T344" s="140" t="str" cm="1">
        <f t="array" ref="T344">A320</f>
        <v>TEAM 12</v>
      </c>
      <c r="U344" s="207" cm="1">
        <f t="array" ref="U344">F341+F347</f>
        <v>0</v>
      </c>
      <c r="V344" s="197"/>
      <c r="W344" s="197"/>
      <c r="X344" s="207" cm="1">
        <f t="array" ref="X344">G347+G341</f>
        <v>0</v>
      </c>
      <c r="Y344" s="197"/>
      <c r="Z344" s="197"/>
      <c r="AA344" s="86"/>
      <c r="AB344" s="86"/>
      <c r="AC344" s="86"/>
      <c r="AD344" s="86"/>
      <c r="AE344" s="86"/>
      <c r="AF344" s="86"/>
    </row>
    <row r="345" spans="1:32" ht="21.25" customHeight="1" x14ac:dyDescent="0.15">
      <c r="A345" s="24"/>
      <c r="B345" s="141" t="str" cm="1">
        <f t="array" ref="B345">IFERROR(VLOOKUP($A345,'The List'!$B1:$AS671,3,FALSE)," ")</f>
        <v xml:space="preserve"> </v>
      </c>
      <c r="C345" s="142" t="str" cm="1">
        <f t="array" ref="C345">IFERROR(VLOOKUP($A345,'The List'!$B1:$AS671,4,FALSE)," ")</f>
        <v xml:space="preserve"> </v>
      </c>
      <c r="D345" s="18" t="str" cm="1">
        <f t="array" ref="D345">IFERROR(VLOOKUP($A345,'The List'!$B1:$AS671,5,FALSE)," ")</f>
        <v xml:space="preserve"> </v>
      </c>
      <c r="E345" s="18" t="str" cm="1">
        <f t="array" ref="E345">IFERROR(VLOOKUP($A345,'The List'!$B1:$AS671,6,FALSE)," ")</f>
        <v xml:space="preserve"> </v>
      </c>
      <c r="F345" s="93" t="str" cm="1">
        <f t="array" ref="F345">IFERROR(VLOOKUP($A345,'The List'!$B1:$AS671,8,FALSE)," ")</f>
        <v xml:space="preserve"> </v>
      </c>
      <c r="G345" s="93" t="str" cm="1">
        <f t="array" ref="G345">IFERROR(VLOOKUP($A345,'The List'!$B1:$AS671,10,FALSE)," ")</f>
        <v xml:space="preserve"> </v>
      </c>
      <c r="H345" s="55"/>
      <c r="I345" s="85" t="str" cm="1">
        <f t="array" ref="I345">IFERROR(VLOOKUP($A345,'The List'!$B1:$AS671,35,FALSE)," ")</f>
        <v xml:space="preserve"> </v>
      </c>
      <c r="J345" s="85" t="str" cm="1">
        <f t="array" ref="J345">IFERROR(VLOOKUP($A345,'The List'!$B1:$AS671,36,FALSE)," ")</f>
        <v xml:space="preserve"> </v>
      </c>
      <c r="K345" s="85" t="str" cm="1">
        <f t="array" ref="K345">IFERROR(VLOOKUP($A345,'The List'!$B1:$AS671,37,FALSE)," ")</f>
        <v xml:space="preserve"> </v>
      </c>
      <c r="L345" s="85" t="str" cm="1">
        <f t="array" ref="L345">IFERROR(VLOOKUP($A345,'The List'!$B1:$AS671,38,FALSE)," ")</f>
        <v xml:space="preserve"> </v>
      </c>
      <c r="M345" s="85" t="str" cm="1">
        <f t="array" ref="M345">IFERROR(VLOOKUP($A345,'The List'!$B1:$AS671,39,FALSE)," ")</f>
        <v xml:space="preserve"> </v>
      </c>
      <c r="N345" s="85" t="str" cm="1">
        <f t="array" ref="N345">IFERROR(VLOOKUP($A345,'The List'!$B1:$AS671,40,FALSE)," ")</f>
        <v xml:space="preserve"> </v>
      </c>
      <c r="O345" s="85" t="str" cm="1">
        <f t="array" ref="O345">IFERROR(VLOOKUP($A345,'The List'!$B1:$AS671,41,FALSE)," ")</f>
        <v xml:space="preserve"> </v>
      </c>
      <c r="P345" s="85" t="str" cm="1">
        <f t="array" ref="P345">IFERROR(VLOOKUP($A345,'The List'!$B1:$AS671,42,FALSE)," ")</f>
        <v xml:space="preserve"> </v>
      </c>
      <c r="Q345" s="85" t="str" cm="1">
        <f t="array" ref="Q345">IFERROR(VLOOKUP($A345,'The List'!$B1:$AS671,43,FALSE)," ")</f>
        <v xml:space="preserve"> </v>
      </c>
      <c r="R345" s="86"/>
      <c r="S345" s="86"/>
      <c r="T345" s="86"/>
      <c r="U345" s="197"/>
      <c r="V345" s="197"/>
      <c r="W345" s="197"/>
      <c r="X345" s="197"/>
      <c r="Y345" s="197"/>
      <c r="Z345" s="197"/>
      <c r="AA345" s="86"/>
      <c r="AB345" s="86"/>
      <c r="AC345" s="86"/>
      <c r="AD345" s="86"/>
      <c r="AE345" s="86"/>
      <c r="AF345" s="86"/>
    </row>
    <row r="346" spans="1:32" ht="21.25" customHeight="1" x14ac:dyDescent="0.15">
      <c r="A346" s="104"/>
      <c r="B346" s="143" t="str" cm="1">
        <f t="array" ref="B346">IFERROR(VLOOKUP($A346,'The List'!$B1:$AS671,3,FALSE)," ")</f>
        <v xml:space="preserve"> </v>
      </c>
      <c r="C346" s="144" t="str" cm="1">
        <f t="array" ref="C346">IFERROR(VLOOKUP($A346,'The List'!$B1:$AS671,4,FALSE)," ")</f>
        <v xml:space="preserve"> </v>
      </c>
      <c r="D346" s="107" t="str" cm="1">
        <f t="array" ref="D346">IFERROR(VLOOKUP($A346,'The List'!$B1:$AS671,5,FALSE)," ")</f>
        <v xml:space="preserve"> </v>
      </c>
      <c r="E346" s="107" t="str" cm="1">
        <f t="array" ref="E346">IFERROR(VLOOKUP($A346,'The List'!$B1:$AS671,6,FALSE)," ")</f>
        <v xml:space="preserve"> </v>
      </c>
      <c r="F346" s="108" t="str" cm="1">
        <f t="array" ref="F346">IFERROR(VLOOKUP($A346,'The List'!$B1:$AS671,8,FALSE)," ")</f>
        <v xml:space="preserve"> </v>
      </c>
      <c r="G346" s="108" t="str" cm="1">
        <f t="array" ref="G346">IFERROR(VLOOKUP($A346,'The List'!$B1:$AS671,10,FALSE)," ")</f>
        <v xml:space="preserve"> </v>
      </c>
      <c r="H346" s="109"/>
      <c r="I346" s="110" t="str" cm="1">
        <f t="array" ref="I346">IFERROR(VLOOKUP($A346,'The List'!$B1:$AS671,35,FALSE)," ")</f>
        <v xml:space="preserve"> </v>
      </c>
      <c r="J346" s="110" t="str" cm="1">
        <f t="array" ref="J346">IFERROR(VLOOKUP($A346,'The List'!$B1:$AS671,36,FALSE)," ")</f>
        <v xml:space="preserve"> </v>
      </c>
      <c r="K346" s="110" t="str" cm="1">
        <f t="array" ref="K346">IFERROR(VLOOKUP($A346,'The List'!$B1:$AS671,37,FALSE)," ")</f>
        <v xml:space="preserve"> </v>
      </c>
      <c r="L346" s="110" t="str" cm="1">
        <f t="array" ref="L346">IFERROR(VLOOKUP($A346,'The List'!$B1:$AS671,38,FALSE)," ")</f>
        <v xml:space="preserve"> </v>
      </c>
      <c r="M346" s="110" t="str" cm="1">
        <f t="array" ref="M346">IFERROR(VLOOKUP($A346,'The List'!$B1:$AS671,39,FALSE)," ")</f>
        <v xml:space="preserve"> </v>
      </c>
      <c r="N346" s="110" t="str" cm="1">
        <f t="array" ref="N346">IFERROR(VLOOKUP($A346,'The List'!$B1:$AS671,40,FALSE)," ")</f>
        <v xml:space="preserve"> </v>
      </c>
      <c r="O346" s="110" t="str" cm="1">
        <f t="array" ref="O346">IFERROR(VLOOKUP($A346,'The List'!$B1:$AS671,41,FALSE)," ")</f>
        <v xml:space="preserve"> </v>
      </c>
      <c r="P346" s="110" t="str" cm="1">
        <f t="array" ref="P346">IFERROR(VLOOKUP($A346,'The List'!$B1:$AS671,42,FALSE)," ")</f>
        <v xml:space="preserve"> </v>
      </c>
      <c r="Q346" s="110" t="str" cm="1">
        <f t="array" ref="Q346">IFERROR(VLOOKUP($A346,'The List'!$B1:$AS671,43,FALSE)," ")</f>
        <v xml:space="preserve"> </v>
      </c>
      <c r="R346" s="86"/>
      <c r="S346" s="86"/>
      <c r="T346" s="86"/>
      <c r="U346" s="197"/>
      <c r="V346" s="197"/>
      <c r="W346" s="197"/>
      <c r="X346" s="197"/>
      <c r="Y346" s="197"/>
      <c r="Z346" s="197"/>
      <c r="AA346" s="86"/>
      <c r="AB346" s="86"/>
      <c r="AC346" s="86"/>
      <c r="AD346" s="86"/>
      <c r="AE346" s="86"/>
      <c r="AF346" s="86"/>
    </row>
    <row r="347" spans="1:32" ht="21.25" customHeight="1" x14ac:dyDescent="0.15">
      <c r="A347" s="111"/>
      <c r="B347" s="112"/>
      <c r="C347" s="113"/>
      <c r="D347" s="114"/>
      <c r="E347" s="114" t="str" cm="1">
        <f t="array" ref="E347">IFERROR(AVERAGE(E344:E346)," ")</f>
        <v xml:space="preserve"> </v>
      </c>
      <c r="F347" s="116" cm="1">
        <f t="array" ref="F347">SUM(F344:F346)</f>
        <v>0</v>
      </c>
      <c r="G347" s="116" cm="1">
        <f t="array" ref="G347">SUM(G344:G346)</f>
        <v>0</v>
      </c>
      <c r="H347" s="117"/>
      <c r="I347" s="118" cm="1">
        <f t="array" ref="I347">SUM(I344:I346)</f>
        <v>0</v>
      </c>
      <c r="J347" s="117" cm="1">
        <f t="array" ref="J347">SUM(J344:J346)</f>
        <v>0</v>
      </c>
      <c r="K347" s="118" cm="1">
        <f t="array" ref="K347">SUM(K344:K346)</f>
        <v>0</v>
      </c>
      <c r="L347" s="118" cm="1">
        <f t="array" ref="L347">SUM(L344:L346)</f>
        <v>0</v>
      </c>
      <c r="M347" s="118" cm="1">
        <f t="array" ref="M347">SUM(M344:M346)</f>
        <v>0</v>
      </c>
      <c r="N347" s="118" cm="1">
        <f t="array" ref="N347">SUM(N344:N346)</f>
        <v>0</v>
      </c>
      <c r="O347" s="118" cm="1">
        <f t="array" ref="O347">SUM(O344:O346)</f>
        <v>0</v>
      </c>
      <c r="P347" s="145" t="e" cm="1">
        <f t="array" ref="P347">1-(O347/(N347+O347))</f>
        <v>#DIV/0!</v>
      </c>
      <c r="Q347" s="146" t="e" cm="1">
        <f t="array" ref="Q347">O347/I347</f>
        <v>#DIV/0!</v>
      </c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</row>
    <row r="348" spans="1:32" ht="70.75" customHeight="1" x14ac:dyDescent="0.15">
      <c r="A348" s="37"/>
      <c r="B348" s="121"/>
      <c r="C348" s="122"/>
      <c r="D348" s="13"/>
      <c r="E348" s="13"/>
      <c r="F348" s="123"/>
      <c r="G348" s="124"/>
      <c r="H348" s="125"/>
      <c r="I348" s="12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91"/>
      <c r="AB348" s="91"/>
      <c r="AC348" s="91"/>
      <c r="AD348" s="91"/>
      <c r="AE348" s="91"/>
      <c r="AF348" s="91"/>
    </row>
    <row r="349" spans="1:32" ht="21.25" customHeight="1" x14ac:dyDescent="0.15">
      <c r="A349" s="41" t="s">
        <v>814</v>
      </c>
      <c r="B349" s="194" t="s">
        <v>93</v>
      </c>
      <c r="C349" s="195"/>
      <c r="D349" s="42" t="s">
        <v>94</v>
      </c>
      <c r="E349" s="42" t="s">
        <v>95</v>
      </c>
      <c r="F349" s="43" t="s">
        <v>97</v>
      </c>
      <c r="G349" s="43" t="s">
        <v>99</v>
      </c>
      <c r="H349" s="44"/>
      <c r="I349" s="46" t="s">
        <v>104</v>
      </c>
      <c r="J349" s="46" t="s">
        <v>56</v>
      </c>
      <c r="K349" s="46" t="s">
        <v>105</v>
      </c>
      <c r="L349" s="46" t="s">
        <v>106</v>
      </c>
      <c r="M349" s="46" t="s">
        <v>107</v>
      </c>
      <c r="N349" s="46" t="s">
        <v>108</v>
      </c>
      <c r="O349" s="46" t="s">
        <v>64</v>
      </c>
      <c r="P349" s="46" t="s">
        <v>68</v>
      </c>
      <c r="Q349" s="46" t="s">
        <v>109</v>
      </c>
      <c r="R349" s="46" t="s">
        <v>110</v>
      </c>
      <c r="S349" s="46" t="s">
        <v>111</v>
      </c>
      <c r="T349" s="46" t="s">
        <v>112</v>
      </c>
      <c r="U349" s="46" t="s">
        <v>113</v>
      </c>
      <c r="V349" s="46" t="s">
        <v>114</v>
      </c>
      <c r="W349" s="46" t="s">
        <v>115</v>
      </c>
      <c r="X349" s="46" t="s">
        <v>116</v>
      </c>
      <c r="Y349" s="46" t="s">
        <v>117</v>
      </c>
      <c r="Z349" s="46" t="s">
        <v>118</v>
      </c>
      <c r="AA349" s="86"/>
      <c r="AB349" s="87"/>
      <c r="AC349" s="87"/>
      <c r="AD349" s="87"/>
      <c r="AE349" s="87"/>
      <c r="AF349" s="87"/>
    </row>
    <row r="350" spans="1:32" ht="21.25" customHeight="1" x14ac:dyDescent="0.15">
      <c r="A350" s="24"/>
      <c r="B350" s="88" t="str" cm="1">
        <f t="array" ref="B350">IFERROR(VLOOKUP($A350,'The List'!$B1:$AS671,3,FALSE)," ")</f>
        <v xml:space="preserve"> </v>
      </c>
      <c r="C350" s="92" t="str" cm="1">
        <f t="array" ref="C350">IFERROR(VLOOKUP($A350,'The List'!$B1:$AS671,4,FALSE)," ")</f>
        <v xml:space="preserve"> </v>
      </c>
      <c r="D350" s="18" t="str" cm="1">
        <f t="array" ref="D350">IFERROR(VLOOKUP($A350,'The List'!$B1:$AS671,5,FALSE)," ")</f>
        <v xml:space="preserve"> </v>
      </c>
      <c r="E350" s="18" t="str" cm="1">
        <f t="array" ref="E350">IFERROR(VLOOKUP($A350,'The List'!$B1:$AS671,6,FALSE)," ")</f>
        <v xml:space="preserve"> </v>
      </c>
      <c r="F350" s="93" t="str" cm="1">
        <f t="array" ref="F350">IFERROR(VLOOKUP($A350,'The List'!$B1:$AS671,8,FALSE)," ")</f>
        <v xml:space="preserve"> </v>
      </c>
      <c r="G350" s="93" t="str" cm="1">
        <f t="array" ref="G350">IFERROR(VLOOKUP($A350,'The List'!$B1:$AS671,10,FALSE)," ")</f>
        <v xml:space="preserve"> </v>
      </c>
      <c r="H350" s="55"/>
      <c r="I350" s="85" t="str" cm="1">
        <f t="array" ref="I350">IFERROR(VLOOKUP($A350,'The List'!$B1:$AS671,16,FALSE)," ")</f>
        <v xml:space="preserve"> </v>
      </c>
      <c r="J350" s="85" t="str" cm="1">
        <f t="array" ref="J350">IFERROR(VLOOKUP($A350,'The List'!$B1:$AS671,17,FALSE)," ")</f>
        <v xml:space="preserve"> </v>
      </c>
      <c r="K350" s="85" t="str" cm="1">
        <f t="array" ref="K350">IFERROR(VLOOKUP($A350,'The List'!$B1:$AS671,18,FALSE)," ")</f>
        <v xml:space="preserve"> </v>
      </c>
      <c r="L350" s="85" t="str" cm="1">
        <f t="array" ref="L350">IFERROR(VLOOKUP($A350,'The List'!$B1:$AS671,19,FALSE)," ")</f>
        <v xml:space="preserve"> </v>
      </c>
      <c r="M350" s="85" t="str" cm="1">
        <f t="array" ref="M350">IFERROR(VLOOKUP($A350,'The List'!$B1:$AS671,20,FALSE)," ")</f>
        <v xml:space="preserve"> </v>
      </c>
      <c r="N350" s="85" t="str" cm="1">
        <f t="array" ref="N350">IFERROR(VLOOKUP($A350,'The List'!$B1:$AS671,21,FALSE)," ")</f>
        <v xml:space="preserve"> </v>
      </c>
      <c r="O350" s="85" t="str" cm="1">
        <f t="array" ref="O350">IFERROR(VLOOKUP($A350,'The List'!$B1:$AS671,22,FALSE)," ")</f>
        <v xml:space="preserve"> </v>
      </c>
      <c r="P350" s="85" t="str" cm="1">
        <f t="array" ref="P350">IFERROR(VLOOKUP($A350,'The List'!$B1:$AS671,23,FALSE)," ")</f>
        <v xml:space="preserve"> </v>
      </c>
      <c r="Q350" s="85" t="str" cm="1">
        <f t="array" ref="Q350">IFERROR(VLOOKUP($A350,'The List'!$B1:$AS671,24,FALSE)," ")</f>
        <v xml:space="preserve"> </v>
      </c>
      <c r="R350" s="85" t="str" cm="1">
        <f t="array" ref="R350">IFERROR(VLOOKUP($A350,'The List'!$B1:$AS671,25,FALSE)," ")</f>
        <v xml:space="preserve"> </v>
      </c>
      <c r="S350" s="85" t="str" cm="1">
        <f t="array" ref="S350">IFERROR(VLOOKUP($A350,'The List'!$B1:$AS671,26,FALSE)," ")</f>
        <v xml:space="preserve"> </v>
      </c>
      <c r="T350" s="85" t="str" cm="1">
        <f t="array" ref="T350">IFERROR(VLOOKUP($A350,'The List'!$B1:$AS671,27,FALSE)," ")</f>
        <v xml:space="preserve"> </v>
      </c>
      <c r="U350" s="85" t="str" cm="1">
        <f t="array" ref="U350">IFERROR(VLOOKUP($A350,'The List'!$B1:$AS671,28,FALSE)," ")</f>
        <v xml:space="preserve"> </v>
      </c>
      <c r="V350" s="85" t="str" cm="1">
        <f t="array" ref="V350">IFERROR(VLOOKUP($A350,'The List'!$B1:$AS671,29,FALSE)," ")</f>
        <v xml:space="preserve"> </v>
      </c>
      <c r="W350" s="85" t="str" cm="1">
        <f t="array" ref="W350">IFERROR(VLOOKUP($A350,'The List'!$B1:$AS671,30,FALSE)," ")</f>
        <v xml:space="preserve"> </v>
      </c>
      <c r="X350" s="85" t="str" cm="1">
        <f t="array" ref="X350">IFERROR(VLOOKUP($A350,'The List'!$B1:$AS671,31,FALSE)," ")</f>
        <v xml:space="preserve"> </v>
      </c>
      <c r="Y350" s="85" t="str" cm="1">
        <f t="array" ref="Y350">IFERROR(VLOOKUP($A350,'The List'!$B1:$AS671,32,FALSE)," ")</f>
        <v xml:space="preserve"> </v>
      </c>
      <c r="Z350" s="85" t="str" cm="1">
        <f t="array" ref="Z350">IFERROR(VLOOKUP($A350,'The List'!$B1:$AS671,33,FALSE)," ")</f>
        <v xml:space="preserve"> </v>
      </c>
      <c r="AA350" s="86"/>
      <c r="AB350" s="91"/>
      <c r="AC350" s="91"/>
      <c r="AD350" s="91"/>
      <c r="AE350" s="91"/>
      <c r="AF350" s="91"/>
    </row>
    <row r="351" spans="1:32" ht="21.25" customHeight="1" x14ac:dyDescent="0.15">
      <c r="A351" s="24"/>
      <c r="B351" s="88" t="str" cm="1">
        <f t="array" ref="B351">IFERROR(VLOOKUP($A351,'The List'!$B1:$AS671,3,FALSE)," ")</f>
        <v xml:space="preserve"> </v>
      </c>
      <c r="C351" s="92" t="str" cm="1">
        <f t="array" ref="C351">IFERROR(VLOOKUP($A351,'The List'!$B1:$AS671,4,FALSE)," ")</f>
        <v xml:space="preserve"> </v>
      </c>
      <c r="D351" s="18" t="str" cm="1">
        <f t="array" ref="D351">IFERROR(VLOOKUP($A351,'The List'!$B1:$AS671,5,FALSE)," ")</f>
        <v xml:space="preserve"> </v>
      </c>
      <c r="E351" s="18" t="str" cm="1">
        <f t="array" ref="E351">IFERROR(VLOOKUP($A351,'The List'!$B1:$AS671,6,FALSE)," ")</f>
        <v xml:space="preserve"> </v>
      </c>
      <c r="F351" s="93" t="str" cm="1">
        <f t="array" ref="F351">IFERROR(VLOOKUP($A351,'The List'!$B1:$AS671,8,FALSE)," ")</f>
        <v xml:space="preserve"> </v>
      </c>
      <c r="G351" s="93" t="str" cm="1">
        <f t="array" ref="G351">IFERROR(VLOOKUP($A351,'The List'!$B1:$AS671,10,FALSE)," ")</f>
        <v xml:space="preserve"> </v>
      </c>
      <c r="H351" s="55"/>
      <c r="I351" s="85" t="str" cm="1">
        <f t="array" ref="I351">IFERROR(VLOOKUP($A351,'The List'!$B1:$AS671,16,FALSE)," ")</f>
        <v xml:space="preserve"> </v>
      </c>
      <c r="J351" s="85" t="str" cm="1">
        <f t="array" ref="J351">IFERROR(VLOOKUP($A351,'The List'!$B1:$AS671,17,FALSE)," ")</f>
        <v xml:space="preserve"> </v>
      </c>
      <c r="K351" s="85" t="str" cm="1">
        <f t="array" ref="K351">IFERROR(VLOOKUP($A351,'The List'!$B1:$AS671,18,FALSE)," ")</f>
        <v xml:space="preserve"> </v>
      </c>
      <c r="L351" s="85" t="str" cm="1">
        <f t="array" ref="L351">IFERROR(VLOOKUP($A351,'The List'!$B1:$AS671,19,FALSE)," ")</f>
        <v xml:space="preserve"> </v>
      </c>
      <c r="M351" s="85" t="str" cm="1">
        <f t="array" ref="M351">IFERROR(VLOOKUP($A351,'The List'!$B1:$AS671,20,FALSE)," ")</f>
        <v xml:space="preserve"> </v>
      </c>
      <c r="N351" s="85" t="str" cm="1">
        <f t="array" ref="N351">IFERROR(VLOOKUP($A351,'The List'!$B1:$AS671,21,FALSE)," ")</f>
        <v xml:space="preserve"> </v>
      </c>
      <c r="O351" s="85" t="str" cm="1">
        <f t="array" ref="O351">IFERROR(VLOOKUP($A351,'The List'!$B1:$AS671,22,FALSE)," ")</f>
        <v xml:space="preserve"> </v>
      </c>
      <c r="P351" s="85" t="str" cm="1">
        <f t="array" ref="P351">IFERROR(VLOOKUP($A351,'The List'!$B1:$AS671,23,FALSE)," ")</f>
        <v xml:space="preserve"> </v>
      </c>
      <c r="Q351" s="85" t="str" cm="1">
        <f t="array" ref="Q351">IFERROR(VLOOKUP($A351,'The List'!$B1:$AS671,24,FALSE)," ")</f>
        <v xml:space="preserve"> </v>
      </c>
      <c r="R351" s="85" t="str" cm="1">
        <f t="array" ref="R351">IFERROR(VLOOKUP($A351,'The List'!$B1:$AS671,25,FALSE)," ")</f>
        <v xml:space="preserve"> </v>
      </c>
      <c r="S351" s="85" t="str" cm="1">
        <f t="array" ref="S351">IFERROR(VLOOKUP($A351,'The List'!$B1:$AS671,26,FALSE)," ")</f>
        <v xml:space="preserve"> </v>
      </c>
      <c r="T351" s="85" t="str" cm="1">
        <f t="array" ref="T351">IFERROR(VLOOKUP($A351,'The List'!$B1:$AS671,27,FALSE)," ")</f>
        <v xml:space="preserve"> </v>
      </c>
      <c r="U351" s="85" t="str" cm="1">
        <f t="array" ref="U351">IFERROR(VLOOKUP($A351,'The List'!$B1:$AS671,28,FALSE)," ")</f>
        <v xml:space="preserve"> </v>
      </c>
      <c r="V351" s="85" t="str" cm="1">
        <f t="array" ref="V351">IFERROR(VLOOKUP($A351,'The List'!$B1:$AS671,29,FALSE)," ")</f>
        <v xml:space="preserve"> </v>
      </c>
      <c r="W351" s="85" t="str" cm="1">
        <f t="array" ref="W351">IFERROR(VLOOKUP($A351,'The List'!$B1:$AS671,30,FALSE)," ")</f>
        <v xml:space="preserve"> </v>
      </c>
      <c r="X351" s="85" t="str" cm="1">
        <f t="array" ref="X351">IFERROR(VLOOKUP($A351,'The List'!$B1:$AS671,31,FALSE)," ")</f>
        <v xml:space="preserve"> </v>
      </c>
      <c r="Y351" s="85" t="str" cm="1">
        <f t="array" ref="Y351">IFERROR(VLOOKUP($A351,'The List'!$B1:$AS671,32,FALSE)," ")</f>
        <v xml:space="preserve"> </v>
      </c>
      <c r="Z351" s="85" t="str" cm="1">
        <f t="array" ref="Z351">IFERROR(VLOOKUP($A351,'The List'!$B1:$AS671,33,FALSE)," ")</f>
        <v xml:space="preserve"> </v>
      </c>
      <c r="AA351" s="86"/>
      <c r="AB351" s="91"/>
      <c r="AC351" s="91"/>
      <c r="AD351" s="91"/>
      <c r="AE351" s="91"/>
      <c r="AF351" s="91"/>
    </row>
    <row r="352" spans="1:32" ht="21.25" customHeight="1" x14ac:dyDescent="0.15">
      <c r="A352" s="24"/>
      <c r="B352" s="88" t="str" cm="1">
        <f t="array" ref="B352">IFERROR(VLOOKUP($A352,'The List'!$B1:$AS671,3,FALSE)," ")</f>
        <v xml:space="preserve"> </v>
      </c>
      <c r="C352" s="92" t="str" cm="1">
        <f t="array" ref="C352">IFERROR(VLOOKUP($A352,'The List'!$B1:$AS671,4,FALSE)," ")</f>
        <v xml:space="preserve"> </v>
      </c>
      <c r="D352" s="18" t="str" cm="1">
        <f t="array" ref="D352">IFERROR(VLOOKUP($A352,'The List'!$B1:$AS671,5,FALSE)," ")</f>
        <v xml:space="preserve"> </v>
      </c>
      <c r="E352" s="18" t="str" cm="1">
        <f t="array" ref="E352">IFERROR(VLOOKUP($A352,'The List'!$B1:$AS671,6,FALSE)," ")</f>
        <v xml:space="preserve"> </v>
      </c>
      <c r="F352" s="93" t="str" cm="1">
        <f t="array" ref="F352">IFERROR(VLOOKUP($A352,'The List'!$B1:$AS671,8,FALSE)," ")</f>
        <v xml:space="preserve"> </v>
      </c>
      <c r="G352" s="93" t="str" cm="1">
        <f t="array" ref="G352">IFERROR(VLOOKUP($A352,'The List'!$B1:$AS671,10,FALSE)," ")</f>
        <v xml:space="preserve"> </v>
      </c>
      <c r="H352" s="55"/>
      <c r="I352" s="85" t="str" cm="1">
        <f t="array" ref="I352">IFERROR(VLOOKUP($A352,'The List'!$B1:$AS671,16,FALSE)," ")</f>
        <v xml:space="preserve"> </v>
      </c>
      <c r="J352" s="85" t="str" cm="1">
        <f t="array" ref="J352">IFERROR(VLOOKUP($A352,'The List'!$B1:$AS671,17,FALSE)," ")</f>
        <v xml:space="preserve"> </v>
      </c>
      <c r="K352" s="85" t="str" cm="1">
        <f t="array" ref="K352">IFERROR(VLOOKUP($A352,'The List'!$B1:$AS671,18,FALSE)," ")</f>
        <v xml:space="preserve"> </v>
      </c>
      <c r="L352" s="85" t="str" cm="1">
        <f t="array" ref="L352">IFERROR(VLOOKUP($A352,'The List'!$B1:$AS671,19,FALSE)," ")</f>
        <v xml:space="preserve"> </v>
      </c>
      <c r="M352" s="85" t="str" cm="1">
        <f t="array" ref="M352">IFERROR(VLOOKUP($A352,'The List'!$B1:$AS671,20,FALSE)," ")</f>
        <v xml:space="preserve"> </v>
      </c>
      <c r="N352" s="85" t="str" cm="1">
        <f t="array" ref="N352">IFERROR(VLOOKUP($A352,'The List'!$B1:$AS671,21,FALSE)," ")</f>
        <v xml:space="preserve"> </v>
      </c>
      <c r="O352" s="85" t="str" cm="1">
        <f t="array" ref="O352">IFERROR(VLOOKUP($A352,'The List'!$B1:$AS671,22,FALSE)," ")</f>
        <v xml:space="preserve"> </v>
      </c>
      <c r="P352" s="85" t="str" cm="1">
        <f t="array" ref="P352">IFERROR(VLOOKUP($A352,'The List'!$B1:$AS671,23,FALSE)," ")</f>
        <v xml:space="preserve"> </v>
      </c>
      <c r="Q352" s="85" t="str" cm="1">
        <f t="array" ref="Q352">IFERROR(VLOOKUP($A352,'The List'!$B1:$AS671,24,FALSE)," ")</f>
        <v xml:space="preserve"> </v>
      </c>
      <c r="R352" s="85" t="str" cm="1">
        <f t="array" ref="R352">IFERROR(VLOOKUP($A352,'The List'!$B1:$AS671,25,FALSE)," ")</f>
        <v xml:space="preserve"> </v>
      </c>
      <c r="S352" s="85" t="str" cm="1">
        <f t="array" ref="S352">IFERROR(VLOOKUP($A352,'The List'!$B1:$AS671,26,FALSE)," ")</f>
        <v xml:space="preserve"> </v>
      </c>
      <c r="T352" s="85" t="str" cm="1">
        <f t="array" ref="T352">IFERROR(VLOOKUP($A352,'The List'!$B1:$AS671,27,FALSE)," ")</f>
        <v xml:space="preserve"> </v>
      </c>
      <c r="U352" s="85" t="str" cm="1">
        <f t="array" ref="U352">IFERROR(VLOOKUP($A352,'The List'!$B1:$AS671,28,FALSE)," ")</f>
        <v xml:space="preserve"> </v>
      </c>
      <c r="V352" s="85" t="str" cm="1">
        <f t="array" ref="V352">IFERROR(VLOOKUP($A352,'The List'!$B1:$AS671,29,FALSE)," ")</f>
        <v xml:space="preserve"> </v>
      </c>
      <c r="W352" s="85" t="str" cm="1">
        <f t="array" ref="W352">IFERROR(VLOOKUP($A352,'The List'!$B1:$AS671,30,FALSE)," ")</f>
        <v xml:space="preserve"> </v>
      </c>
      <c r="X352" s="85" t="str" cm="1">
        <f t="array" ref="X352">IFERROR(VLOOKUP($A352,'The List'!$B1:$AS671,31,FALSE)," ")</f>
        <v xml:space="preserve"> </v>
      </c>
      <c r="Y352" s="85" t="str" cm="1">
        <f t="array" ref="Y352">IFERROR(VLOOKUP($A352,'The List'!$B1:$AS671,32,FALSE)," ")</f>
        <v xml:space="preserve"> </v>
      </c>
      <c r="Z352" s="85" t="str" cm="1">
        <f t="array" ref="Z352">IFERROR(VLOOKUP($A352,'The List'!$B1:$AS671,33,FALSE)," ")</f>
        <v xml:space="preserve"> </v>
      </c>
      <c r="AA352" s="86"/>
      <c r="AB352" s="91"/>
      <c r="AC352" s="91"/>
      <c r="AD352" s="91"/>
      <c r="AE352" s="91"/>
      <c r="AF352" s="91"/>
    </row>
    <row r="353" spans="1:32" ht="21.25" customHeight="1" x14ac:dyDescent="0.15">
      <c r="A353" s="24"/>
      <c r="B353" s="88" t="str" cm="1">
        <f t="array" ref="B353">IFERROR(VLOOKUP($A353,'The List'!$B1:$AS671,3,FALSE)," ")</f>
        <v xml:space="preserve"> </v>
      </c>
      <c r="C353" s="92" t="str" cm="1">
        <f t="array" ref="C353">IFERROR(VLOOKUP($A353,'The List'!$B1:$AS671,4,FALSE)," ")</f>
        <v xml:space="preserve"> </v>
      </c>
      <c r="D353" s="18" t="str" cm="1">
        <f t="array" ref="D353">IFERROR(VLOOKUP($A353,'The List'!$B1:$AS671,5,FALSE)," ")</f>
        <v xml:space="preserve"> </v>
      </c>
      <c r="E353" s="18" t="str" cm="1">
        <f t="array" ref="E353">IFERROR(VLOOKUP($A353,'The List'!$B1:$AS671,6,FALSE)," ")</f>
        <v xml:space="preserve"> </v>
      </c>
      <c r="F353" s="93" t="str" cm="1">
        <f t="array" ref="F353">IFERROR(VLOOKUP($A353,'The List'!$B1:$AS671,8,FALSE)," ")</f>
        <v xml:space="preserve"> </v>
      </c>
      <c r="G353" s="93" t="str" cm="1">
        <f t="array" ref="G353">IFERROR(VLOOKUP($A353,'The List'!$B1:$AS671,10,FALSE)," ")</f>
        <v xml:space="preserve"> </v>
      </c>
      <c r="H353" s="55"/>
      <c r="I353" s="85" t="str" cm="1">
        <f t="array" ref="I353">IFERROR(VLOOKUP($A353,'The List'!$B1:$AS671,16,FALSE)," ")</f>
        <v xml:space="preserve"> </v>
      </c>
      <c r="J353" s="85" t="str" cm="1">
        <f t="array" ref="J353">IFERROR(VLOOKUP($A353,'The List'!$B1:$AS671,17,FALSE)," ")</f>
        <v xml:space="preserve"> </v>
      </c>
      <c r="K353" s="85" t="str" cm="1">
        <f t="array" ref="K353">IFERROR(VLOOKUP($A353,'The List'!$B1:$AS671,18,FALSE)," ")</f>
        <v xml:space="preserve"> </v>
      </c>
      <c r="L353" s="85" t="str" cm="1">
        <f t="array" ref="L353">IFERROR(VLOOKUP($A353,'The List'!$B1:$AS671,19,FALSE)," ")</f>
        <v xml:space="preserve"> </v>
      </c>
      <c r="M353" s="85" t="str" cm="1">
        <f t="array" ref="M353">IFERROR(VLOOKUP($A353,'The List'!$B1:$AS671,20,FALSE)," ")</f>
        <v xml:space="preserve"> </v>
      </c>
      <c r="N353" s="85" t="str" cm="1">
        <f t="array" ref="N353">IFERROR(VLOOKUP($A353,'The List'!$B1:$AS671,21,FALSE)," ")</f>
        <v xml:space="preserve"> </v>
      </c>
      <c r="O353" s="85" t="str" cm="1">
        <f t="array" ref="O353">IFERROR(VLOOKUP($A353,'The List'!$B1:$AS671,22,FALSE)," ")</f>
        <v xml:space="preserve"> </v>
      </c>
      <c r="P353" s="85" t="str" cm="1">
        <f t="array" ref="P353">IFERROR(VLOOKUP($A353,'The List'!$B1:$AS671,23,FALSE)," ")</f>
        <v xml:space="preserve"> </v>
      </c>
      <c r="Q353" s="85" t="str" cm="1">
        <f t="array" ref="Q353">IFERROR(VLOOKUP($A353,'The List'!$B1:$AS671,24,FALSE)," ")</f>
        <v xml:space="preserve"> </v>
      </c>
      <c r="R353" s="85" t="str" cm="1">
        <f t="array" ref="R353">IFERROR(VLOOKUP($A353,'The List'!$B1:$AS671,25,FALSE)," ")</f>
        <v xml:space="preserve"> </v>
      </c>
      <c r="S353" s="85" t="str" cm="1">
        <f t="array" ref="S353">IFERROR(VLOOKUP($A353,'The List'!$B1:$AS671,26,FALSE)," ")</f>
        <v xml:space="preserve"> </v>
      </c>
      <c r="T353" s="85" t="str" cm="1">
        <f t="array" ref="T353">IFERROR(VLOOKUP($A353,'The List'!$B1:$AS671,27,FALSE)," ")</f>
        <v xml:space="preserve"> </v>
      </c>
      <c r="U353" s="85" t="str" cm="1">
        <f t="array" ref="U353">IFERROR(VLOOKUP($A353,'The List'!$B1:$AS671,28,FALSE)," ")</f>
        <v xml:space="preserve"> </v>
      </c>
      <c r="V353" s="85" t="str" cm="1">
        <f t="array" ref="V353">IFERROR(VLOOKUP($A353,'The List'!$B1:$AS671,29,FALSE)," ")</f>
        <v xml:space="preserve"> </v>
      </c>
      <c r="W353" s="85" t="str" cm="1">
        <f t="array" ref="W353">IFERROR(VLOOKUP($A353,'The List'!$B1:$AS671,30,FALSE)," ")</f>
        <v xml:space="preserve"> </v>
      </c>
      <c r="X353" s="85" t="str" cm="1">
        <f t="array" ref="X353">IFERROR(VLOOKUP($A353,'The List'!$B1:$AS671,31,FALSE)," ")</f>
        <v xml:space="preserve"> </v>
      </c>
      <c r="Y353" s="85" t="str" cm="1">
        <f t="array" ref="Y353">IFERROR(VLOOKUP($A353,'The List'!$B1:$AS671,32,FALSE)," ")</f>
        <v xml:space="preserve"> </v>
      </c>
      <c r="Z353" s="85" t="str" cm="1">
        <f t="array" ref="Z353">IFERROR(VLOOKUP($A353,'The List'!$B1:$AS671,33,FALSE)," ")</f>
        <v xml:space="preserve"> </v>
      </c>
      <c r="AA353" s="86"/>
      <c r="AB353" s="91"/>
      <c r="AC353" s="91"/>
      <c r="AD353" s="91"/>
      <c r="AE353" s="91"/>
      <c r="AF353" s="91"/>
    </row>
    <row r="354" spans="1:32" ht="21.25" customHeight="1" x14ac:dyDescent="0.15">
      <c r="A354" s="24"/>
      <c r="B354" s="94" t="str" cm="1">
        <f t="array" ref="B354">IFERROR(VLOOKUP($A354,'The List'!$B1:$AS671,3,FALSE)," ")</f>
        <v xml:space="preserve"> </v>
      </c>
      <c r="C354" s="96" t="str" cm="1">
        <f t="array" ref="C354">IFERROR(VLOOKUP($A354,'The List'!$B1:$AS671,4,FALSE)," ")</f>
        <v xml:space="preserve"> </v>
      </c>
      <c r="D354" s="18" t="str" cm="1">
        <f t="array" ref="D354">IFERROR(VLOOKUP($A354,'The List'!$B1:$AS671,5,FALSE)," ")</f>
        <v xml:space="preserve"> </v>
      </c>
      <c r="E354" s="18" t="str" cm="1">
        <f t="array" ref="E354">IFERROR(VLOOKUP($A354,'The List'!$B1:$AS671,6,FALSE)," ")</f>
        <v xml:space="preserve"> </v>
      </c>
      <c r="F354" s="93" t="str" cm="1">
        <f t="array" ref="F354">IFERROR(VLOOKUP($A354,'The List'!$B1:$AS671,8,FALSE)," ")</f>
        <v xml:space="preserve"> </v>
      </c>
      <c r="G354" s="93" t="str" cm="1">
        <f t="array" ref="G354">IFERROR(VLOOKUP($A354,'The List'!$B1:$AS671,10,FALSE)," ")</f>
        <v xml:space="preserve"> </v>
      </c>
      <c r="H354" s="55"/>
      <c r="I354" s="85" t="str" cm="1">
        <f t="array" ref="I354">IFERROR(VLOOKUP($A354,'The List'!$B1:$AS671,16,FALSE)," ")</f>
        <v xml:space="preserve"> </v>
      </c>
      <c r="J354" s="85" t="str" cm="1">
        <f t="array" ref="J354">IFERROR(VLOOKUP($A354,'The List'!$B1:$AS671,17,FALSE)," ")</f>
        <v xml:space="preserve"> </v>
      </c>
      <c r="K354" s="85" t="str" cm="1">
        <f t="array" ref="K354">IFERROR(VLOOKUP($A354,'The List'!$B1:$AS671,18,FALSE)," ")</f>
        <v xml:space="preserve"> </v>
      </c>
      <c r="L354" s="85" t="str" cm="1">
        <f t="array" ref="L354">IFERROR(VLOOKUP($A354,'The List'!$B1:$AS671,19,FALSE)," ")</f>
        <v xml:space="preserve"> </v>
      </c>
      <c r="M354" s="85" t="str" cm="1">
        <f t="array" ref="M354">IFERROR(VLOOKUP($A354,'The List'!$B1:$AS671,20,FALSE)," ")</f>
        <v xml:space="preserve"> </v>
      </c>
      <c r="N354" s="85" t="str" cm="1">
        <f t="array" ref="N354">IFERROR(VLOOKUP($A354,'The List'!$B1:$AS671,21,FALSE)," ")</f>
        <v xml:space="preserve"> </v>
      </c>
      <c r="O354" s="85" t="str" cm="1">
        <f t="array" ref="O354">IFERROR(VLOOKUP($A354,'The List'!$B1:$AS671,22,FALSE)," ")</f>
        <v xml:space="preserve"> </v>
      </c>
      <c r="P354" s="85" t="str" cm="1">
        <f t="array" ref="P354">IFERROR(VLOOKUP($A354,'The List'!$B1:$AS671,23,FALSE)," ")</f>
        <v xml:space="preserve"> </v>
      </c>
      <c r="Q354" s="85" t="str" cm="1">
        <f t="array" ref="Q354">IFERROR(VLOOKUP($A354,'The List'!$B1:$AS671,24,FALSE)," ")</f>
        <v xml:space="preserve"> </v>
      </c>
      <c r="R354" s="85" t="str" cm="1">
        <f t="array" ref="R354">IFERROR(VLOOKUP($A354,'The List'!$B1:$AS671,25,FALSE)," ")</f>
        <v xml:space="preserve"> </v>
      </c>
      <c r="S354" s="85" t="str" cm="1">
        <f t="array" ref="S354">IFERROR(VLOOKUP($A354,'The List'!$B1:$AS671,26,FALSE)," ")</f>
        <v xml:space="preserve"> </v>
      </c>
      <c r="T354" s="85" t="str" cm="1">
        <f t="array" ref="T354">IFERROR(VLOOKUP($A354,'The List'!$B1:$AS671,27,FALSE)," ")</f>
        <v xml:space="preserve"> </v>
      </c>
      <c r="U354" s="85" t="str" cm="1">
        <f t="array" ref="U354">IFERROR(VLOOKUP($A354,'The List'!$B1:$AS671,28,FALSE)," ")</f>
        <v xml:space="preserve"> </v>
      </c>
      <c r="V354" s="85" t="str" cm="1">
        <f t="array" ref="V354">IFERROR(VLOOKUP($A354,'The List'!$B1:$AS671,29,FALSE)," ")</f>
        <v xml:space="preserve"> </v>
      </c>
      <c r="W354" s="85" t="str" cm="1">
        <f t="array" ref="W354">IFERROR(VLOOKUP($A354,'The List'!$B1:$AS671,30,FALSE)," ")</f>
        <v xml:space="preserve"> </v>
      </c>
      <c r="X354" s="85" t="str" cm="1">
        <f t="array" ref="X354">IFERROR(VLOOKUP($A354,'The List'!$B1:$AS671,31,FALSE)," ")</f>
        <v xml:space="preserve"> </v>
      </c>
      <c r="Y354" s="85" t="str" cm="1">
        <f t="array" ref="Y354">IFERROR(VLOOKUP($A354,'The List'!$B1:$AS671,32,FALSE)," ")</f>
        <v xml:space="preserve"> </v>
      </c>
      <c r="Z354" s="85" t="str" cm="1">
        <f t="array" ref="Z354">IFERROR(VLOOKUP($A354,'The List'!$B1:$AS671,33,FALSE)," ")</f>
        <v xml:space="preserve"> </v>
      </c>
      <c r="AA354" s="86"/>
      <c r="AB354" s="91"/>
      <c r="AC354" s="91"/>
      <c r="AD354" s="91"/>
      <c r="AE354" s="91"/>
      <c r="AF354" s="91"/>
    </row>
    <row r="355" spans="1:32" ht="21.25" customHeight="1" x14ac:dyDescent="0.15">
      <c r="A355" s="24"/>
      <c r="B355" s="94" t="str" cm="1">
        <f t="array" ref="B355">IFERROR(VLOOKUP($A355,'The List'!$B1:$AS671,3,FALSE)," ")</f>
        <v xml:space="preserve"> </v>
      </c>
      <c r="C355" s="96" t="str" cm="1">
        <f t="array" ref="C355">IFERROR(VLOOKUP($A355,'The List'!$B1:$AS671,4,FALSE)," ")</f>
        <v xml:space="preserve"> </v>
      </c>
      <c r="D355" s="18" t="str" cm="1">
        <f t="array" ref="D355">IFERROR(VLOOKUP($A355,'The List'!$B1:$AS671,5,FALSE)," ")</f>
        <v xml:space="preserve"> </v>
      </c>
      <c r="E355" s="18" t="str" cm="1">
        <f t="array" ref="E355">IFERROR(VLOOKUP($A355,'The List'!$B1:$AS671,6,FALSE)," ")</f>
        <v xml:space="preserve"> </v>
      </c>
      <c r="F355" s="93" t="str" cm="1">
        <f t="array" ref="F355">IFERROR(VLOOKUP($A355,'The List'!$B1:$AS671,8,FALSE)," ")</f>
        <v xml:space="preserve"> </v>
      </c>
      <c r="G355" s="93" t="str" cm="1">
        <f t="array" ref="G355">IFERROR(VLOOKUP($A355,'The List'!$B1:$AS671,10,FALSE)," ")</f>
        <v xml:space="preserve"> </v>
      </c>
      <c r="H355" s="55"/>
      <c r="I355" s="85" t="str" cm="1">
        <f t="array" ref="I355">IFERROR(VLOOKUP($A355,'The List'!$B1:$AS671,16,FALSE)," ")</f>
        <v xml:space="preserve"> </v>
      </c>
      <c r="J355" s="85" t="str" cm="1">
        <f t="array" ref="J355">IFERROR(VLOOKUP($A355,'The List'!$B1:$AS671,17,FALSE)," ")</f>
        <v xml:space="preserve"> </v>
      </c>
      <c r="K355" s="85" t="str" cm="1">
        <f t="array" ref="K355">IFERROR(VLOOKUP($A355,'The List'!$B1:$AS671,18,FALSE)," ")</f>
        <v xml:space="preserve"> </v>
      </c>
      <c r="L355" s="85" t="str" cm="1">
        <f t="array" ref="L355">IFERROR(VLOOKUP($A355,'The List'!$B1:$AS671,19,FALSE)," ")</f>
        <v xml:space="preserve"> </v>
      </c>
      <c r="M355" s="85" t="str" cm="1">
        <f t="array" ref="M355">IFERROR(VLOOKUP($A355,'The List'!$B1:$AS671,20,FALSE)," ")</f>
        <v xml:space="preserve"> </v>
      </c>
      <c r="N355" s="85" t="str" cm="1">
        <f t="array" ref="N355">IFERROR(VLOOKUP($A355,'The List'!$B1:$AS671,21,FALSE)," ")</f>
        <v xml:space="preserve"> </v>
      </c>
      <c r="O355" s="85" t="str" cm="1">
        <f t="array" ref="O355">IFERROR(VLOOKUP($A355,'The List'!$B1:$AS671,22,FALSE)," ")</f>
        <v xml:space="preserve"> </v>
      </c>
      <c r="P355" s="85" t="str" cm="1">
        <f t="array" ref="P355">IFERROR(VLOOKUP($A355,'The List'!$B1:$AS671,23,FALSE)," ")</f>
        <v xml:space="preserve"> </v>
      </c>
      <c r="Q355" s="85" t="str" cm="1">
        <f t="array" ref="Q355">IFERROR(VLOOKUP($A355,'The List'!$B1:$AS671,24,FALSE)," ")</f>
        <v xml:space="preserve"> </v>
      </c>
      <c r="R355" s="85" t="str" cm="1">
        <f t="array" ref="R355">IFERROR(VLOOKUP($A355,'The List'!$B1:$AS671,25,FALSE)," ")</f>
        <v xml:space="preserve"> </v>
      </c>
      <c r="S355" s="85" t="str" cm="1">
        <f t="array" ref="S355">IFERROR(VLOOKUP($A355,'The List'!$B1:$AS671,26,FALSE)," ")</f>
        <v xml:space="preserve"> </v>
      </c>
      <c r="T355" s="85" t="str" cm="1">
        <f t="array" ref="T355">IFERROR(VLOOKUP($A355,'The List'!$B1:$AS671,27,FALSE)," ")</f>
        <v xml:space="preserve"> </v>
      </c>
      <c r="U355" s="85" t="str" cm="1">
        <f t="array" ref="U355">IFERROR(VLOOKUP($A355,'The List'!$B1:$AS671,28,FALSE)," ")</f>
        <v xml:space="preserve"> </v>
      </c>
      <c r="V355" s="85" t="str" cm="1">
        <f t="array" ref="V355">IFERROR(VLOOKUP($A355,'The List'!$B1:$AS671,29,FALSE)," ")</f>
        <v xml:space="preserve"> </v>
      </c>
      <c r="W355" s="85" t="str" cm="1">
        <f t="array" ref="W355">IFERROR(VLOOKUP($A355,'The List'!$B1:$AS671,30,FALSE)," ")</f>
        <v xml:space="preserve"> </v>
      </c>
      <c r="X355" s="85" t="str" cm="1">
        <f t="array" ref="X355">IFERROR(VLOOKUP($A355,'The List'!$B1:$AS671,31,FALSE)," ")</f>
        <v xml:space="preserve"> </v>
      </c>
      <c r="Y355" s="85" t="str" cm="1">
        <f t="array" ref="Y355">IFERROR(VLOOKUP($A355,'The List'!$B1:$AS671,32,FALSE)," ")</f>
        <v xml:space="preserve"> </v>
      </c>
      <c r="Z355" s="85" t="str" cm="1">
        <f t="array" ref="Z355">IFERROR(VLOOKUP($A355,'The List'!$B1:$AS671,33,FALSE)," ")</f>
        <v xml:space="preserve"> </v>
      </c>
      <c r="AA355" s="86"/>
      <c r="AB355" s="91"/>
      <c r="AC355" s="91"/>
      <c r="AD355" s="91"/>
      <c r="AE355" s="91"/>
      <c r="AF355" s="91"/>
    </row>
    <row r="356" spans="1:32" ht="21.25" customHeight="1" x14ac:dyDescent="0.15">
      <c r="A356" s="24"/>
      <c r="B356" s="94" t="str" cm="1">
        <f t="array" ref="B356">IFERROR(VLOOKUP($A356,'The List'!$B1:$AS671,3,FALSE)," ")</f>
        <v xml:space="preserve"> </v>
      </c>
      <c r="C356" s="96" t="str" cm="1">
        <f t="array" ref="C356">IFERROR(VLOOKUP($A356,'The List'!$B1:$AS671,4,FALSE)," ")</f>
        <v xml:space="preserve"> </v>
      </c>
      <c r="D356" s="18" t="str" cm="1">
        <f t="array" ref="D356">IFERROR(VLOOKUP($A356,'The List'!$B1:$AS671,5,FALSE)," ")</f>
        <v xml:space="preserve"> </v>
      </c>
      <c r="E356" s="18" t="str" cm="1">
        <f t="array" ref="E356">IFERROR(VLOOKUP($A356,'The List'!$B1:$AS671,6,FALSE)," ")</f>
        <v xml:space="preserve"> </v>
      </c>
      <c r="F356" s="93" t="str" cm="1">
        <f t="array" ref="F356">IFERROR(VLOOKUP($A356,'The List'!$B1:$AS671,8,FALSE)," ")</f>
        <v xml:space="preserve"> </v>
      </c>
      <c r="G356" s="93" t="str" cm="1">
        <f t="array" ref="G356">IFERROR(VLOOKUP($A356,'The List'!$B1:$AS671,10,FALSE)," ")</f>
        <v xml:space="preserve"> </v>
      </c>
      <c r="H356" s="55"/>
      <c r="I356" s="85" t="str" cm="1">
        <f t="array" ref="I356">IFERROR(VLOOKUP($A356,'The List'!$B1:$AS671,16,FALSE)," ")</f>
        <v xml:space="preserve"> </v>
      </c>
      <c r="J356" s="85" t="str" cm="1">
        <f t="array" ref="J356">IFERROR(VLOOKUP($A356,'The List'!$B1:$AS671,17,FALSE)," ")</f>
        <v xml:space="preserve"> </v>
      </c>
      <c r="K356" s="85" t="str" cm="1">
        <f t="array" ref="K356">IFERROR(VLOOKUP($A356,'The List'!$B1:$AS671,18,FALSE)," ")</f>
        <v xml:space="preserve"> </v>
      </c>
      <c r="L356" s="85" t="str" cm="1">
        <f t="array" ref="L356">IFERROR(VLOOKUP($A356,'The List'!$B1:$AS671,19,FALSE)," ")</f>
        <v xml:space="preserve"> </v>
      </c>
      <c r="M356" s="85" t="str" cm="1">
        <f t="array" ref="M356">IFERROR(VLOOKUP($A356,'The List'!$B1:$AS671,20,FALSE)," ")</f>
        <v xml:space="preserve"> </v>
      </c>
      <c r="N356" s="85" t="str" cm="1">
        <f t="array" ref="N356">IFERROR(VLOOKUP($A356,'The List'!$B1:$AS671,21,FALSE)," ")</f>
        <v xml:space="preserve"> </v>
      </c>
      <c r="O356" s="85" t="str" cm="1">
        <f t="array" ref="O356">IFERROR(VLOOKUP($A356,'The List'!$B1:$AS671,22,FALSE)," ")</f>
        <v xml:space="preserve"> </v>
      </c>
      <c r="P356" s="85" t="str" cm="1">
        <f t="array" ref="P356">IFERROR(VLOOKUP($A356,'The List'!$B1:$AS671,23,FALSE)," ")</f>
        <v xml:space="preserve"> </v>
      </c>
      <c r="Q356" s="85" t="str" cm="1">
        <f t="array" ref="Q356">IFERROR(VLOOKUP($A356,'The List'!$B1:$AS671,24,FALSE)," ")</f>
        <v xml:space="preserve"> </v>
      </c>
      <c r="R356" s="85" t="str" cm="1">
        <f t="array" ref="R356">IFERROR(VLOOKUP($A356,'The List'!$B1:$AS671,25,FALSE)," ")</f>
        <v xml:space="preserve"> </v>
      </c>
      <c r="S356" s="85" t="str" cm="1">
        <f t="array" ref="S356">IFERROR(VLOOKUP($A356,'The List'!$B1:$AS671,26,FALSE)," ")</f>
        <v xml:space="preserve"> </v>
      </c>
      <c r="T356" s="85" t="str" cm="1">
        <f t="array" ref="T356">IFERROR(VLOOKUP($A356,'The List'!$B1:$AS671,27,FALSE)," ")</f>
        <v xml:space="preserve"> </v>
      </c>
      <c r="U356" s="85" t="str" cm="1">
        <f t="array" ref="U356">IFERROR(VLOOKUP($A356,'The List'!$B1:$AS671,28,FALSE)," ")</f>
        <v xml:space="preserve"> </v>
      </c>
      <c r="V356" s="85" t="str" cm="1">
        <f t="array" ref="V356">IFERROR(VLOOKUP($A356,'The List'!$B1:$AS671,29,FALSE)," ")</f>
        <v xml:space="preserve"> </v>
      </c>
      <c r="W356" s="85" t="str" cm="1">
        <f t="array" ref="W356">IFERROR(VLOOKUP($A356,'The List'!$B1:$AS671,30,FALSE)," ")</f>
        <v xml:space="preserve"> </v>
      </c>
      <c r="X356" s="85" t="str" cm="1">
        <f t="array" ref="X356">IFERROR(VLOOKUP($A356,'The List'!$B1:$AS671,31,FALSE)," ")</f>
        <v xml:space="preserve"> </v>
      </c>
      <c r="Y356" s="85" t="str" cm="1">
        <f t="array" ref="Y356">IFERROR(VLOOKUP($A356,'The List'!$B1:$AS671,32,FALSE)," ")</f>
        <v xml:space="preserve"> </v>
      </c>
      <c r="Z356" s="85" t="str" cm="1">
        <f t="array" ref="Z356">IFERROR(VLOOKUP($A356,'The List'!$B1:$AS671,33,FALSE)," ")</f>
        <v xml:space="preserve"> </v>
      </c>
      <c r="AA356" s="86"/>
      <c r="AB356" s="91"/>
      <c r="AC356" s="91"/>
      <c r="AD356" s="91"/>
      <c r="AE356" s="91"/>
      <c r="AF356" s="91"/>
    </row>
    <row r="357" spans="1:32" ht="21.25" customHeight="1" x14ac:dyDescent="0.15">
      <c r="A357" s="24"/>
      <c r="B357" s="94" t="str" cm="1">
        <f t="array" ref="B357">IFERROR(VLOOKUP($A357,'The List'!$B1:$AS671,3,FALSE)," ")</f>
        <v xml:space="preserve"> </v>
      </c>
      <c r="C357" s="96" t="str" cm="1">
        <f t="array" ref="C357">IFERROR(VLOOKUP($A357,'The List'!$B1:$AS671,4,FALSE)," ")</f>
        <v xml:space="preserve"> </v>
      </c>
      <c r="D357" s="18" t="str" cm="1">
        <f t="array" ref="D357">IFERROR(VLOOKUP($A357,'The List'!$B1:$AS671,5,FALSE)," ")</f>
        <v xml:space="preserve"> </v>
      </c>
      <c r="E357" s="18" t="str" cm="1">
        <f t="array" ref="E357">IFERROR(VLOOKUP($A357,'The List'!$B1:$AS671,6,FALSE)," ")</f>
        <v xml:space="preserve"> </v>
      </c>
      <c r="F357" s="93" t="str" cm="1">
        <f t="array" ref="F357">IFERROR(VLOOKUP($A357,'The List'!$B1:$AS671,8,FALSE)," ")</f>
        <v xml:space="preserve"> </v>
      </c>
      <c r="G357" s="93" t="str" cm="1">
        <f t="array" ref="G357">IFERROR(VLOOKUP($A357,'The List'!$B1:$AS671,10,FALSE)," ")</f>
        <v xml:space="preserve"> </v>
      </c>
      <c r="H357" s="55"/>
      <c r="I357" s="85" t="str" cm="1">
        <f t="array" ref="I357">IFERROR(VLOOKUP($A357,'The List'!$B1:$AS671,16,FALSE)," ")</f>
        <v xml:space="preserve"> </v>
      </c>
      <c r="J357" s="85" t="str" cm="1">
        <f t="array" ref="J357">IFERROR(VLOOKUP($A357,'The List'!$B1:$AS671,17,FALSE)," ")</f>
        <v xml:space="preserve"> </v>
      </c>
      <c r="K357" s="85" t="str" cm="1">
        <f t="array" ref="K357">IFERROR(VLOOKUP($A357,'The List'!$B1:$AS671,18,FALSE)," ")</f>
        <v xml:space="preserve"> </v>
      </c>
      <c r="L357" s="85" t="str" cm="1">
        <f t="array" ref="L357">IFERROR(VLOOKUP($A357,'The List'!$B1:$AS671,19,FALSE)," ")</f>
        <v xml:space="preserve"> </v>
      </c>
      <c r="M357" s="85" t="str" cm="1">
        <f t="array" ref="M357">IFERROR(VLOOKUP($A357,'The List'!$B1:$AS671,20,FALSE)," ")</f>
        <v xml:space="preserve"> </v>
      </c>
      <c r="N357" s="85" t="str" cm="1">
        <f t="array" ref="N357">IFERROR(VLOOKUP($A357,'The List'!$B1:$AS671,21,FALSE)," ")</f>
        <v xml:space="preserve"> </v>
      </c>
      <c r="O357" s="85" t="str" cm="1">
        <f t="array" ref="O357">IFERROR(VLOOKUP($A357,'The List'!$B1:$AS671,22,FALSE)," ")</f>
        <v xml:space="preserve"> </v>
      </c>
      <c r="P357" s="85" t="str" cm="1">
        <f t="array" ref="P357">IFERROR(VLOOKUP($A357,'The List'!$B1:$AS671,23,FALSE)," ")</f>
        <v xml:space="preserve"> </v>
      </c>
      <c r="Q357" s="85" t="str" cm="1">
        <f t="array" ref="Q357">IFERROR(VLOOKUP($A357,'The List'!$B1:$AS671,24,FALSE)," ")</f>
        <v xml:space="preserve"> </v>
      </c>
      <c r="R357" s="85" t="str" cm="1">
        <f t="array" ref="R357">IFERROR(VLOOKUP($A357,'The List'!$B1:$AS671,25,FALSE)," ")</f>
        <v xml:space="preserve"> </v>
      </c>
      <c r="S357" s="85" t="str" cm="1">
        <f t="array" ref="S357">IFERROR(VLOOKUP($A357,'The List'!$B1:$AS671,26,FALSE)," ")</f>
        <v xml:space="preserve"> </v>
      </c>
      <c r="T357" s="85" t="str" cm="1">
        <f t="array" ref="T357">IFERROR(VLOOKUP($A357,'The List'!$B1:$AS671,27,FALSE)," ")</f>
        <v xml:space="preserve"> </v>
      </c>
      <c r="U357" s="85" t="str" cm="1">
        <f t="array" ref="U357">IFERROR(VLOOKUP($A357,'The List'!$B1:$AS671,28,FALSE)," ")</f>
        <v xml:space="preserve"> </v>
      </c>
      <c r="V357" s="85" t="str" cm="1">
        <f t="array" ref="V357">IFERROR(VLOOKUP($A357,'The List'!$B1:$AS671,29,FALSE)," ")</f>
        <v xml:space="preserve"> </v>
      </c>
      <c r="W357" s="85" t="str" cm="1">
        <f t="array" ref="W357">IFERROR(VLOOKUP($A357,'The List'!$B1:$AS671,30,FALSE)," ")</f>
        <v xml:space="preserve"> </v>
      </c>
      <c r="X357" s="85" t="str" cm="1">
        <f t="array" ref="X357">IFERROR(VLOOKUP($A357,'The List'!$B1:$AS671,31,FALSE)," ")</f>
        <v xml:space="preserve"> </v>
      </c>
      <c r="Y357" s="85" t="str" cm="1">
        <f t="array" ref="Y357">IFERROR(VLOOKUP($A357,'The List'!$B1:$AS671,32,FALSE)," ")</f>
        <v xml:space="preserve"> </v>
      </c>
      <c r="Z357" s="85" t="str" cm="1">
        <f t="array" ref="Z357">IFERROR(VLOOKUP($A357,'The List'!$B1:$AS671,33,FALSE)," ")</f>
        <v xml:space="preserve"> </v>
      </c>
      <c r="AA357" s="86"/>
      <c r="AB357" s="91"/>
      <c r="AC357" s="91"/>
      <c r="AD357" s="91"/>
      <c r="AE357" s="91"/>
      <c r="AF357" s="91"/>
    </row>
    <row r="358" spans="1:32" ht="21.25" customHeight="1" x14ac:dyDescent="0.15">
      <c r="A358" s="24"/>
      <c r="B358" s="97" t="str" cm="1">
        <f t="array" ref="B358">IFERROR(VLOOKUP($A358,'The List'!$B1:$AS671,3,FALSE)," ")</f>
        <v xml:space="preserve"> </v>
      </c>
      <c r="C358" s="99" t="str" cm="1">
        <f t="array" ref="C358">IFERROR(VLOOKUP($A358,'The List'!$B1:$AS671,4,FALSE)," ")</f>
        <v xml:space="preserve"> </v>
      </c>
      <c r="D358" s="18" t="str" cm="1">
        <f t="array" ref="D358">IFERROR(VLOOKUP($A358,'The List'!$B1:$AS671,5,FALSE)," ")</f>
        <v xml:space="preserve"> </v>
      </c>
      <c r="E358" s="18" t="str" cm="1">
        <f t="array" ref="E358">IFERROR(VLOOKUP($A358,'The List'!$B1:$AS671,6,FALSE)," ")</f>
        <v xml:space="preserve"> </v>
      </c>
      <c r="F358" s="93" t="str" cm="1">
        <f t="array" ref="F358">IFERROR(VLOOKUP($A358,'The List'!$B1:$AS671,8,FALSE)," ")</f>
        <v xml:space="preserve"> </v>
      </c>
      <c r="G358" s="93" t="str" cm="1">
        <f t="array" ref="G358">IFERROR(VLOOKUP($A358,'The List'!$B1:$AS671,10,FALSE)," ")</f>
        <v xml:space="preserve"> </v>
      </c>
      <c r="H358" s="55"/>
      <c r="I358" s="85" t="str" cm="1">
        <f t="array" ref="I358">IFERROR(VLOOKUP($A358,'The List'!$B1:$AS671,16,FALSE)," ")</f>
        <v xml:space="preserve"> </v>
      </c>
      <c r="J358" s="85" t="str" cm="1">
        <f t="array" ref="J358">IFERROR(VLOOKUP($A358,'The List'!$B1:$AS671,17,FALSE)," ")</f>
        <v xml:space="preserve"> </v>
      </c>
      <c r="K358" s="85" t="str" cm="1">
        <f t="array" ref="K358">IFERROR(VLOOKUP($A358,'The List'!$B1:$AS671,18,FALSE)," ")</f>
        <v xml:space="preserve"> </v>
      </c>
      <c r="L358" s="85" t="str" cm="1">
        <f t="array" ref="L358">IFERROR(VLOOKUP($A358,'The List'!$B1:$AS671,19,FALSE)," ")</f>
        <v xml:space="preserve"> </v>
      </c>
      <c r="M358" s="85" t="str" cm="1">
        <f t="array" ref="M358">IFERROR(VLOOKUP($A358,'The List'!$B1:$AS671,20,FALSE)," ")</f>
        <v xml:space="preserve"> </v>
      </c>
      <c r="N358" s="85" t="str" cm="1">
        <f t="array" ref="N358">IFERROR(VLOOKUP($A358,'The List'!$B1:$AS671,21,FALSE)," ")</f>
        <v xml:space="preserve"> </v>
      </c>
      <c r="O358" s="85" t="str" cm="1">
        <f t="array" ref="O358">IFERROR(VLOOKUP($A358,'The List'!$B1:$AS671,22,FALSE)," ")</f>
        <v xml:space="preserve"> </v>
      </c>
      <c r="P358" s="85" t="str" cm="1">
        <f t="array" ref="P358">IFERROR(VLOOKUP($A358,'The List'!$B1:$AS671,23,FALSE)," ")</f>
        <v xml:space="preserve"> </v>
      </c>
      <c r="Q358" s="85" t="str" cm="1">
        <f t="array" ref="Q358">IFERROR(VLOOKUP($A358,'The List'!$B1:$AS671,24,FALSE)," ")</f>
        <v xml:space="preserve"> </v>
      </c>
      <c r="R358" s="85" t="str" cm="1">
        <f t="array" ref="R358">IFERROR(VLOOKUP($A358,'The List'!$B1:$AS671,25,FALSE)," ")</f>
        <v xml:space="preserve"> </v>
      </c>
      <c r="S358" s="85" t="str" cm="1">
        <f t="array" ref="S358">IFERROR(VLOOKUP($A358,'The List'!$B1:$AS671,26,FALSE)," ")</f>
        <v xml:space="preserve"> </v>
      </c>
      <c r="T358" s="85" t="str" cm="1">
        <f t="array" ref="T358">IFERROR(VLOOKUP($A358,'The List'!$B1:$AS671,27,FALSE)," ")</f>
        <v xml:space="preserve"> </v>
      </c>
      <c r="U358" s="85" t="str" cm="1">
        <f t="array" ref="U358">IFERROR(VLOOKUP($A358,'The List'!$B1:$AS671,28,FALSE)," ")</f>
        <v xml:space="preserve"> </v>
      </c>
      <c r="V358" s="85" t="str" cm="1">
        <f t="array" ref="V358">IFERROR(VLOOKUP($A358,'The List'!$B1:$AS671,29,FALSE)," ")</f>
        <v xml:space="preserve"> </v>
      </c>
      <c r="W358" s="85" t="str" cm="1">
        <f t="array" ref="W358">IFERROR(VLOOKUP($A358,'The List'!$B1:$AS671,30,FALSE)," ")</f>
        <v xml:space="preserve"> </v>
      </c>
      <c r="X358" s="85" t="str" cm="1">
        <f t="array" ref="X358">IFERROR(VLOOKUP($A358,'The List'!$B1:$AS671,31,FALSE)," ")</f>
        <v xml:space="preserve"> </v>
      </c>
      <c r="Y358" s="85" t="str" cm="1">
        <f t="array" ref="Y358">IFERROR(VLOOKUP($A358,'The List'!$B1:$AS671,32,FALSE)," ")</f>
        <v xml:space="preserve"> </v>
      </c>
      <c r="Z358" s="85" t="str" cm="1">
        <f t="array" ref="Z358">IFERROR(VLOOKUP($A358,'The List'!$B1:$AS671,33,FALSE)," ")</f>
        <v xml:space="preserve"> </v>
      </c>
      <c r="AA358" s="86"/>
      <c r="AB358" s="91"/>
      <c r="AC358" s="91"/>
      <c r="AD358" s="91"/>
      <c r="AE358" s="91"/>
      <c r="AF358" s="91"/>
    </row>
    <row r="359" spans="1:32" ht="21.25" customHeight="1" x14ac:dyDescent="0.15">
      <c r="A359" s="24"/>
      <c r="B359" s="97" t="str" cm="1">
        <f t="array" ref="B359">IFERROR(VLOOKUP($A359,'The List'!$B1:$AS671,3,FALSE)," ")</f>
        <v xml:space="preserve"> </v>
      </c>
      <c r="C359" s="99" t="str" cm="1">
        <f t="array" ref="C359">IFERROR(VLOOKUP($A359,'The List'!$B1:$AS671,4,FALSE)," ")</f>
        <v xml:space="preserve"> </v>
      </c>
      <c r="D359" s="18" t="str" cm="1">
        <f t="array" ref="D359">IFERROR(VLOOKUP($A359,'The List'!$B1:$AS671,5,FALSE)," ")</f>
        <v xml:space="preserve"> </v>
      </c>
      <c r="E359" s="18" t="str" cm="1">
        <f t="array" ref="E359">IFERROR(VLOOKUP($A359,'The List'!$B1:$AS671,6,FALSE)," ")</f>
        <v xml:space="preserve"> </v>
      </c>
      <c r="F359" s="93" t="str" cm="1">
        <f t="array" ref="F359">IFERROR(VLOOKUP($A359,'The List'!$B1:$AS671,8,FALSE)," ")</f>
        <v xml:space="preserve"> </v>
      </c>
      <c r="G359" s="93" t="str" cm="1">
        <f t="array" ref="G359">IFERROR(VLOOKUP($A359,'The List'!$B1:$AS671,10,FALSE)," ")</f>
        <v xml:space="preserve"> </v>
      </c>
      <c r="H359" s="55"/>
      <c r="I359" s="85" t="str" cm="1">
        <f t="array" ref="I359">IFERROR(VLOOKUP($A359,'The List'!$B1:$AS671,16,FALSE)," ")</f>
        <v xml:space="preserve"> </v>
      </c>
      <c r="J359" s="85" t="str" cm="1">
        <f t="array" ref="J359">IFERROR(VLOOKUP($A359,'The List'!$B1:$AS671,17,FALSE)," ")</f>
        <v xml:space="preserve"> </v>
      </c>
      <c r="K359" s="85" t="str" cm="1">
        <f t="array" ref="K359">IFERROR(VLOOKUP($A359,'The List'!$B1:$AS671,18,FALSE)," ")</f>
        <v xml:space="preserve"> </v>
      </c>
      <c r="L359" s="85" t="str" cm="1">
        <f t="array" ref="L359">IFERROR(VLOOKUP($A359,'The List'!$B1:$AS671,19,FALSE)," ")</f>
        <v xml:space="preserve"> </v>
      </c>
      <c r="M359" s="85" t="str" cm="1">
        <f t="array" ref="M359">IFERROR(VLOOKUP($A359,'The List'!$B1:$AS671,20,FALSE)," ")</f>
        <v xml:space="preserve"> </v>
      </c>
      <c r="N359" s="85" t="str" cm="1">
        <f t="array" ref="N359">IFERROR(VLOOKUP($A359,'The List'!$B1:$AS671,21,FALSE)," ")</f>
        <v xml:space="preserve"> </v>
      </c>
      <c r="O359" s="85" t="str" cm="1">
        <f t="array" ref="O359">IFERROR(VLOOKUP($A359,'The List'!$B1:$AS671,22,FALSE)," ")</f>
        <v xml:space="preserve"> </v>
      </c>
      <c r="P359" s="85" t="str" cm="1">
        <f t="array" ref="P359">IFERROR(VLOOKUP($A359,'The List'!$B1:$AS671,23,FALSE)," ")</f>
        <v xml:space="preserve"> </v>
      </c>
      <c r="Q359" s="85" t="str" cm="1">
        <f t="array" ref="Q359">IFERROR(VLOOKUP($A359,'The List'!$B1:$AS671,24,FALSE)," ")</f>
        <v xml:space="preserve"> </v>
      </c>
      <c r="R359" s="85" t="str" cm="1">
        <f t="array" ref="R359">IFERROR(VLOOKUP($A359,'The List'!$B1:$AS671,25,FALSE)," ")</f>
        <v xml:space="preserve"> </v>
      </c>
      <c r="S359" s="85" t="str" cm="1">
        <f t="array" ref="S359">IFERROR(VLOOKUP($A359,'The List'!$B1:$AS671,26,FALSE)," ")</f>
        <v xml:space="preserve"> </v>
      </c>
      <c r="T359" s="85" t="str" cm="1">
        <f t="array" ref="T359">IFERROR(VLOOKUP($A359,'The List'!$B1:$AS671,27,FALSE)," ")</f>
        <v xml:space="preserve"> </v>
      </c>
      <c r="U359" s="85" t="str" cm="1">
        <f t="array" ref="U359">IFERROR(VLOOKUP($A359,'The List'!$B1:$AS671,28,FALSE)," ")</f>
        <v xml:space="preserve"> </v>
      </c>
      <c r="V359" s="85" t="str" cm="1">
        <f t="array" ref="V359">IFERROR(VLOOKUP($A359,'The List'!$B1:$AS671,29,FALSE)," ")</f>
        <v xml:space="preserve"> </v>
      </c>
      <c r="W359" s="85" t="str" cm="1">
        <f t="array" ref="W359">IFERROR(VLOOKUP($A359,'The List'!$B1:$AS671,30,FALSE)," ")</f>
        <v xml:space="preserve"> </v>
      </c>
      <c r="X359" s="85" t="str" cm="1">
        <f t="array" ref="X359">IFERROR(VLOOKUP($A359,'The List'!$B1:$AS671,31,FALSE)," ")</f>
        <v xml:space="preserve"> </v>
      </c>
      <c r="Y359" s="85" t="str" cm="1">
        <f t="array" ref="Y359">IFERROR(VLOOKUP($A359,'The List'!$B1:$AS671,32,FALSE)," ")</f>
        <v xml:space="preserve"> </v>
      </c>
      <c r="Z359" s="85" t="str" cm="1">
        <f t="array" ref="Z359">IFERROR(VLOOKUP($A359,'The List'!$B1:$AS671,33,FALSE)," ")</f>
        <v xml:space="preserve"> </v>
      </c>
      <c r="AA359" s="86"/>
      <c r="AB359" s="91"/>
      <c r="AC359" s="91"/>
      <c r="AD359" s="91"/>
      <c r="AE359" s="91"/>
      <c r="AF359" s="91"/>
    </row>
    <row r="360" spans="1:32" ht="21.25" customHeight="1" x14ac:dyDescent="0.15">
      <c r="A360" s="24"/>
      <c r="B360" s="97" t="str" cm="1">
        <f t="array" ref="B360">IFERROR(VLOOKUP($A360,'The List'!$B1:$AS671,3,FALSE)," ")</f>
        <v xml:space="preserve"> </v>
      </c>
      <c r="C360" s="99" t="str" cm="1">
        <f t="array" ref="C360">IFERROR(VLOOKUP($A360,'The List'!$B1:$AS671,4,FALSE)," ")</f>
        <v xml:space="preserve"> </v>
      </c>
      <c r="D360" s="18" t="str" cm="1">
        <f t="array" ref="D360">IFERROR(VLOOKUP($A360,'The List'!$B1:$AS671,5,FALSE)," ")</f>
        <v xml:space="preserve"> </v>
      </c>
      <c r="E360" s="18" t="str" cm="1">
        <f t="array" ref="E360">IFERROR(VLOOKUP($A360,'The List'!$B1:$AS671,6,FALSE)," ")</f>
        <v xml:space="preserve"> </v>
      </c>
      <c r="F360" s="93" t="str" cm="1">
        <f t="array" ref="F360">IFERROR(VLOOKUP($A360,'The List'!$B1:$AS671,8,FALSE)," ")</f>
        <v xml:space="preserve"> </v>
      </c>
      <c r="G360" s="93" t="str" cm="1">
        <f t="array" ref="G360">IFERROR(VLOOKUP($A360,'The List'!$B1:$AS671,10,FALSE)," ")</f>
        <v xml:space="preserve"> </v>
      </c>
      <c r="H360" s="55"/>
      <c r="I360" s="85" t="str" cm="1">
        <f t="array" ref="I360">IFERROR(VLOOKUP($A360,'The List'!$B1:$AS671,16,FALSE)," ")</f>
        <v xml:space="preserve"> </v>
      </c>
      <c r="J360" s="85" t="str" cm="1">
        <f t="array" ref="J360">IFERROR(VLOOKUP($A360,'The List'!$B1:$AS671,17,FALSE)," ")</f>
        <v xml:space="preserve"> </v>
      </c>
      <c r="K360" s="85" t="str" cm="1">
        <f t="array" ref="K360">IFERROR(VLOOKUP($A360,'The List'!$B1:$AS671,18,FALSE)," ")</f>
        <v xml:space="preserve"> </v>
      </c>
      <c r="L360" s="85" t="str" cm="1">
        <f t="array" ref="L360">IFERROR(VLOOKUP($A360,'The List'!$B1:$AS671,19,FALSE)," ")</f>
        <v xml:space="preserve"> </v>
      </c>
      <c r="M360" s="85" t="str" cm="1">
        <f t="array" ref="M360">IFERROR(VLOOKUP($A360,'The List'!$B1:$AS671,20,FALSE)," ")</f>
        <v xml:space="preserve"> </v>
      </c>
      <c r="N360" s="85" t="str" cm="1">
        <f t="array" ref="N360">IFERROR(VLOOKUP($A360,'The List'!$B1:$AS671,21,FALSE)," ")</f>
        <v xml:space="preserve"> </v>
      </c>
      <c r="O360" s="85" t="str" cm="1">
        <f t="array" ref="O360">IFERROR(VLOOKUP($A360,'The List'!$B1:$AS671,22,FALSE)," ")</f>
        <v xml:space="preserve"> </v>
      </c>
      <c r="P360" s="85" t="str" cm="1">
        <f t="array" ref="P360">IFERROR(VLOOKUP($A360,'The List'!$B1:$AS671,23,FALSE)," ")</f>
        <v xml:space="preserve"> </v>
      </c>
      <c r="Q360" s="85" t="str" cm="1">
        <f t="array" ref="Q360">IFERROR(VLOOKUP($A360,'The List'!$B1:$AS671,24,FALSE)," ")</f>
        <v xml:space="preserve"> </v>
      </c>
      <c r="R360" s="85" t="str" cm="1">
        <f t="array" ref="R360">IFERROR(VLOOKUP($A360,'The List'!$B1:$AS671,25,FALSE)," ")</f>
        <v xml:space="preserve"> </v>
      </c>
      <c r="S360" s="85" t="str" cm="1">
        <f t="array" ref="S360">IFERROR(VLOOKUP($A360,'The List'!$B1:$AS671,26,FALSE)," ")</f>
        <v xml:space="preserve"> </v>
      </c>
      <c r="T360" s="85" t="str" cm="1">
        <f t="array" ref="T360">IFERROR(VLOOKUP($A360,'The List'!$B1:$AS671,27,FALSE)," ")</f>
        <v xml:space="preserve"> </v>
      </c>
      <c r="U360" s="85" t="str" cm="1">
        <f t="array" ref="U360">IFERROR(VLOOKUP($A360,'The List'!$B1:$AS671,28,FALSE)," ")</f>
        <v xml:space="preserve"> </v>
      </c>
      <c r="V360" s="85" t="str" cm="1">
        <f t="array" ref="V360">IFERROR(VLOOKUP($A360,'The List'!$B1:$AS671,29,FALSE)," ")</f>
        <v xml:space="preserve"> </v>
      </c>
      <c r="W360" s="85" t="str" cm="1">
        <f t="array" ref="W360">IFERROR(VLOOKUP($A360,'The List'!$B1:$AS671,30,FALSE)," ")</f>
        <v xml:space="preserve"> </v>
      </c>
      <c r="X360" s="85" t="str" cm="1">
        <f t="array" ref="X360">IFERROR(VLOOKUP($A360,'The List'!$B1:$AS671,31,FALSE)," ")</f>
        <v xml:space="preserve"> </v>
      </c>
      <c r="Y360" s="85" t="str" cm="1">
        <f t="array" ref="Y360">IFERROR(VLOOKUP($A360,'The List'!$B1:$AS671,32,FALSE)," ")</f>
        <v xml:space="preserve"> </v>
      </c>
      <c r="Z360" s="85" t="str" cm="1">
        <f t="array" ref="Z360">IFERROR(VLOOKUP($A360,'The List'!$B1:$AS671,33,FALSE)," ")</f>
        <v xml:space="preserve"> </v>
      </c>
      <c r="AA360" s="86"/>
      <c r="AB360" s="91"/>
      <c r="AC360" s="91"/>
      <c r="AD360" s="91"/>
      <c r="AE360" s="91"/>
      <c r="AF360" s="91"/>
    </row>
    <row r="361" spans="1:32" ht="21.25" customHeight="1" x14ac:dyDescent="0.15">
      <c r="A361" s="24"/>
      <c r="B361" s="97" t="str" cm="1">
        <f t="array" ref="B361">IFERROR(VLOOKUP($A361,'The List'!$B1:$AS671,3,FALSE)," ")</f>
        <v xml:space="preserve"> </v>
      </c>
      <c r="C361" s="99" t="str" cm="1">
        <f t="array" ref="C361">IFERROR(VLOOKUP($A361,'The List'!$B1:$AS671,4,FALSE)," ")</f>
        <v xml:space="preserve"> </v>
      </c>
      <c r="D361" s="18" t="str" cm="1">
        <f t="array" ref="D361">IFERROR(VLOOKUP($A361,'The List'!$B1:$AS671,5,FALSE)," ")</f>
        <v xml:space="preserve"> </v>
      </c>
      <c r="E361" s="18" t="str" cm="1">
        <f t="array" ref="E361">IFERROR(VLOOKUP($A361,'The List'!$B1:$AS671,6,FALSE)," ")</f>
        <v xml:space="preserve"> </v>
      </c>
      <c r="F361" s="93" t="str" cm="1">
        <f t="array" ref="F361">IFERROR(VLOOKUP($A361,'The List'!$B1:$AS671,8,FALSE)," ")</f>
        <v xml:space="preserve"> </v>
      </c>
      <c r="G361" s="93" t="str" cm="1">
        <f t="array" ref="G361">IFERROR(VLOOKUP($A361,'The List'!$B1:$AS671,10,FALSE)," ")</f>
        <v xml:space="preserve"> </v>
      </c>
      <c r="H361" s="55"/>
      <c r="I361" s="85" t="str" cm="1">
        <f t="array" ref="I361">IFERROR(VLOOKUP($A361,'The List'!$B1:$AS671,16,FALSE)," ")</f>
        <v xml:space="preserve"> </v>
      </c>
      <c r="J361" s="85" t="str" cm="1">
        <f t="array" ref="J361">IFERROR(VLOOKUP($A361,'The List'!$B1:$AS671,17,FALSE)," ")</f>
        <v xml:space="preserve"> </v>
      </c>
      <c r="K361" s="85" t="str" cm="1">
        <f t="array" ref="K361">IFERROR(VLOOKUP($A361,'The List'!$B1:$AS671,18,FALSE)," ")</f>
        <v xml:space="preserve"> </v>
      </c>
      <c r="L361" s="85" t="str" cm="1">
        <f t="array" ref="L361">IFERROR(VLOOKUP($A361,'The List'!$B1:$AS671,19,FALSE)," ")</f>
        <v xml:space="preserve"> </v>
      </c>
      <c r="M361" s="85" t="str" cm="1">
        <f t="array" ref="M361">IFERROR(VLOOKUP($A361,'The List'!$B1:$AS671,20,FALSE)," ")</f>
        <v xml:space="preserve"> </v>
      </c>
      <c r="N361" s="85" t="str" cm="1">
        <f t="array" ref="N361">IFERROR(VLOOKUP($A361,'The List'!$B1:$AS671,21,FALSE)," ")</f>
        <v xml:space="preserve"> </v>
      </c>
      <c r="O361" s="85" t="str" cm="1">
        <f t="array" ref="O361">IFERROR(VLOOKUP($A361,'The List'!$B1:$AS671,22,FALSE)," ")</f>
        <v xml:space="preserve"> </v>
      </c>
      <c r="P361" s="85" t="str" cm="1">
        <f t="array" ref="P361">IFERROR(VLOOKUP($A361,'The List'!$B1:$AS671,23,FALSE)," ")</f>
        <v xml:space="preserve"> </v>
      </c>
      <c r="Q361" s="85" t="str" cm="1">
        <f t="array" ref="Q361">IFERROR(VLOOKUP($A361,'The List'!$B1:$AS671,24,FALSE)," ")</f>
        <v xml:space="preserve"> </v>
      </c>
      <c r="R361" s="85" t="str" cm="1">
        <f t="array" ref="R361">IFERROR(VLOOKUP($A361,'The List'!$B1:$AS671,25,FALSE)," ")</f>
        <v xml:space="preserve"> </v>
      </c>
      <c r="S361" s="85" t="str" cm="1">
        <f t="array" ref="S361">IFERROR(VLOOKUP($A361,'The List'!$B1:$AS671,26,FALSE)," ")</f>
        <v xml:space="preserve"> </v>
      </c>
      <c r="T361" s="85" t="str" cm="1">
        <f t="array" ref="T361">IFERROR(VLOOKUP($A361,'The List'!$B1:$AS671,27,FALSE)," ")</f>
        <v xml:space="preserve"> </v>
      </c>
      <c r="U361" s="85" t="str" cm="1">
        <f t="array" ref="U361">IFERROR(VLOOKUP($A361,'The List'!$B1:$AS671,28,FALSE)," ")</f>
        <v xml:space="preserve"> </v>
      </c>
      <c r="V361" s="85" t="str" cm="1">
        <f t="array" ref="V361">IFERROR(VLOOKUP($A361,'The List'!$B1:$AS671,29,FALSE)," ")</f>
        <v xml:space="preserve"> </v>
      </c>
      <c r="W361" s="85" t="str" cm="1">
        <f t="array" ref="W361">IFERROR(VLOOKUP($A361,'The List'!$B1:$AS671,30,FALSE)," ")</f>
        <v xml:space="preserve"> </v>
      </c>
      <c r="X361" s="85" t="str" cm="1">
        <f t="array" ref="X361">IFERROR(VLOOKUP($A361,'The List'!$B1:$AS671,31,FALSE)," ")</f>
        <v xml:space="preserve"> </v>
      </c>
      <c r="Y361" s="85" t="str" cm="1">
        <f t="array" ref="Y361">IFERROR(VLOOKUP($A361,'The List'!$B1:$AS671,32,FALSE)," ")</f>
        <v xml:space="preserve"> </v>
      </c>
      <c r="Z361" s="85" t="str" cm="1">
        <f t="array" ref="Z361">IFERROR(VLOOKUP($A361,'The List'!$B1:$AS671,33,FALSE)," ")</f>
        <v xml:space="preserve"> </v>
      </c>
      <c r="AA361" s="86"/>
      <c r="AB361" s="91"/>
      <c r="AC361" s="91"/>
      <c r="AD361" s="91"/>
      <c r="AE361" s="91"/>
      <c r="AF361" s="91"/>
    </row>
    <row r="362" spans="1:32" ht="21.25" customHeight="1" x14ac:dyDescent="0.15">
      <c r="A362" s="24"/>
      <c r="B362" s="100" t="str" cm="1">
        <f t="array" ref="B362">IFERROR(VLOOKUP($A362,'The List'!$B1:$AS671,3,FALSE)," ")</f>
        <v xml:space="preserve"> </v>
      </c>
      <c r="C362" s="102" t="str" cm="1">
        <f t="array" ref="C362">IFERROR(VLOOKUP($A362,'The List'!$B1:$AS671,4,FALSE)," ")</f>
        <v xml:space="preserve"> </v>
      </c>
      <c r="D362" s="18" t="str" cm="1">
        <f t="array" ref="D362">IFERROR(VLOOKUP($A362,'The List'!$B1:$AS671,5,FALSE)," ")</f>
        <v xml:space="preserve"> </v>
      </c>
      <c r="E362" s="18" t="str" cm="1">
        <f t="array" ref="E362">IFERROR(VLOOKUP($A362,'The List'!$B1:$AS671,6,FALSE)," ")</f>
        <v xml:space="preserve"> </v>
      </c>
      <c r="F362" s="93" t="str" cm="1">
        <f t="array" ref="F362">IFERROR(VLOOKUP($A362,'The List'!$B1:$AS671,8,FALSE)," ")</f>
        <v xml:space="preserve"> </v>
      </c>
      <c r="G362" s="93" t="str" cm="1">
        <f t="array" ref="G362">IFERROR(VLOOKUP($A362,'The List'!$B1:$AS671,10,FALSE)," ")</f>
        <v xml:space="preserve"> </v>
      </c>
      <c r="H362" s="55"/>
      <c r="I362" s="85" t="str" cm="1">
        <f t="array" ref="I362">IFERROR(VLOOKUP($A362,'The List'!$B1:$AS671,16,FALSE)," ")</f>
        <v xml:space="preserve"> </v>
      </c>
      <c r="J362" s="85" t="str" cm="1">
        <f t="array" ref="J362">IFERROR(VLOOKUP($A362,'The List'!$B1:$AS671,17,FALSE)," ")</f>
        <v xml:space="preserve"> </v>
      </c>
      <c r="K362" s="85" t="str" cm="1">
        <f t="array" ref="K362">IFERROR(VLOOKUP($A362,'The List'!$B1:$AS671,18,FALSE)," ")</f>
        <v xml:space="preserve"> </v>
      </c>
      <c r="L362" s="85" t="str" cm="1">
        <f t="array" ref="L362">IFERROR(VLOOKUP($A362,'The List'!$B1:$AS671,19,FALSE)," ")</f>
        <v xml:space="preserve"> </v>
      </c>
      <c r="M362" s="85" t="str" cm="1">
        <f t="array" ref="M362">IFERROR(VLOOKUP($A362,'The List'!$B1:$AS671,20,FALSE)," ")</f>
        <v xml:space="preserve"> </v>
      </c>
      <c r="N362" s="85" t="str" cm="1">
        <f t="array" ref="N362">IFERROR(VLOOKUP($A362,'The List'!$B1:$AS671,21,FALSE)," ")</f>
        <v xml:space="preserve"> </v>
      </c>
      <c r="O362" s="85" t="str" cm="1">
        <f t="array" ref="O362">IFERROR(VLOOKUP($A362,'The List'!$B1:$AS671,22,FALSE)," ")</f>
        <v xml:space="preserve"> </v>
      </c>
      <c r="P362" s="85" t="str" cm="1">
        <f t="array" ref="P362">IFERROR(VLOOKUP($A362,'The List'!$B1:$AS671,23,FALSE)," ")</f>
        <v xml:space="preserve"> </v>
      </c>
      <c r="Q362" s="85" t="str" cm="1">
        <f t="array" ref="Q362">IFERROR(VLOOKUP($A362,'The List'!$B1:$AS671,24,FALSE)," ")</f>
        <v xml:space="preserve"> </v>
      </c>
      <c r="R362" s="85" t="str" cm="1">
        <f t="array" ref="R362">IFERROR(VLOOKUP($A362,'The List'!$B1:$AS671,25,FALSE)," ")</f>
        <v xml:space="preserve"> </v>
      </c>
      <c r="S362" s="85" t="str" cm="1">
        <f t="array" ref="S362">IFERROR(VLOOKUP($A362,'The List'!$B1:$AS671,26,FALSE)," ")</f>
        <v xml:space="preserve"> </v>
      </c>
      <c r="T362" s="85" t="str" cm="1">
        <f t="array" ref="T362">IFERROR(VLOOKUP($A362,'The List'!$B1:$AS671,27,FALSE)," ")</f>
        <v xml:space="preserve"> </v>
      </c>
      <c r="U362" s="85" t="str" cm="1">
        <f t="array" ref="U362">IFERROR(VLOOKUP($A362,'The List'!$B1:$AS671,28,FALSE)," ")</f>
        <v xml:space="preserve"> </v>
      </c>
      <c r="V362" s="85" t="str" cm="1">
        <f t="array" ref="V362">IFERROR(VLOOKUP($A362,'The List'!$B1:$AS671,29,FALSE)," ")</f>
        <v xml:space="preserve"> </v>
      </c>
      <c r="W362" s="85" t="str" cm="1">
        <f t="array" ref="W362">IFERROR(VLOOKUP($A362,'The List'!$B1:$AS671,30,FALSE)," ")</f>
        <v xml:space="preserve"> </v>
      </c>
      <c r="X362" s="85" t="str" cm="1">
        <f t="array" ref="X362">IFERROR(VLOOKUP($A362,'The List'!$B1:$AS671,31,FALSE)," ")</f>
        <v xml:space="preserve"> </v>
      </c>
      <c r="Y362" s="85" t="str" cm="1">
        <f t="array" ref="Y362">IFERROR(VLOOKUP($A362,'The List'!$B1:$AS671,32,FALSE)," ")</f>
        <v xml:space="preserve"> </v>
      </c>
      <c r="Z362" s="85" t="str" cm="1">
        <f t="array" ref="Z362">IFERROR(VLOOKUP($A362,'The List'!$B1:$AS671,33,FALSE)," ")</f>
        <v xml:space="preserve"> </v>
      </c>
      <c r="AA362" s="86"/>
      <c r="AB362" s="91"/>
      <c r="AC362" s="91"/>
      <c r="AD362" s="91"/>
      <c r="AE362" s="91"/>
      <c r="AF362" s="91"/>
    </row>
    <row r="363" spans="1:32" ht="21.25" customHeight="1" x14ac:dyDescent="0.15">
      <c r="A363" s="24"/>
      <c r="B363" s="100" t="str" cm="1">
        <f t="array" ref="B363">IFERROR(VLOOKUP($A363,'The List'!$B1:$AS671,3,FALSE)," ")</f>
        <v xml:space="preserve"> </v>
      </c>
      <c r="C363" s="102" t="str" cm="1">
        <f t="array" ref="C363">IFERROR(VLOOKUP($A363,'The List'!$B1:$AS671,4,FALSE)," ")</f>
        <v xml:space="preserve"> </v>
      </c>
      <c r="D363" s="18" t="str" cm="1">
        <f t="array" ref="D363">IFERROR(VLOOKUP($A363,'The List'!$B1:$AS671,5,FALSE)," ")</f>
        <v xml:space="preserve"> </v>
      </c>
      <c r="E363" s="18" t="str" cm="1">
        <f t="array" ref="E363">IFERROR(VLOOKUP($A363,'The List'!$B1:$AS671,6,FALSE)," ")</f>
        <v xml:space="preserve"> </v>
      </c>
      <c r="F363" s="93" t="str" cm="1">
        <f t="array" ref="F363">IFERROR(VLOOKUP($A363,'The List'!$B1:$AS671,8,FALSE)," ")</f>
        <v xml:space="preserve"> </v>
      </c>
      <c r="G363" s="93" t="str" cm="1">
        <f t="array" ref="G363">IFERROR(VLOOKUP($A363,'The List'!$B1:$AS671,10,FALSE)," ")</f>
        <v xml:space="preserve"> </v>
      </c>
      <c r="H363" s="55"/>
      <c r="I363" s="85" t="str" cm="1">
        <f t="array" ref="I363">IFERROR(VLOOKUP($A363,'The List'!$B1:$AS671,16,FALSE)," ")</f>
        <v xml:space="preserve"> </v>
      </c>
      <c r="J363" s="85" t="str" cm="1">
        <f t="array" ref="J363">IFERROR(VLOOKUP($A363,'The List'!$B1:$AS671,17,FALSE)," ")</f>
        <v xml:space="preserve"> </v>
      </c>
      <c r="K363" s="85" t="str" cm="1">
        <f t="array" ref="K363">IFERROR(VLOOKUP($A363,'The List'!$B1:$AS671,18,FALSE)," ")</f>
        <v xml:space="preserve"> </v>
      </c>
      <c r="L363" s="85" t="str" cm="1">
        <f t="array" ref="L363">IFERROR(VLOOKUP($A363,'The List'!$B1:$AS671,19,FALSE)," ")</f>
        <v xml:space="preserve"> </v>
      </c>
      <c r="M363" s="85" t="str" cm="1">
        <f t="array" ref="M363">IFERROR(VLOOKUP($A363,'The List'!$B1:$AS671,20,FALSE)," ")</f>
        <v xml:space="preserve"> </v>
      </c>
      <c r="N363" s="85" t="str" cm="1">
        <f t="array" ref="N363">IFERROR(VLOOKUP($A363,'The List'!$B1:$AS671,21,FALSE)," ")</f>
        <v xml:space="preserve"> </v>
      </c>
      <c r="O363" s="85" t="str" cm="1">
        <f t="array" ref="O363">IFERROR(VLOOKUP($A363,'The List'!$B1:$AS671,22,FALSE)," ")</f>
        <v xml:space="preserve"> </v>
      </c>
      <c r="P363" s="85" t="str" cm="1">
        <f t="array" ref="P363">IFERROR(VLOOKUP($A363,'The List'!$B1:$AS671,23,FALSE)," ")</f>
        <v xml:space="preserve"> </v>
      </c>
      <c r="Q363" s="85" t="str" cm="1">
        <f t="array" ref="Q363">IFERROR(VLOOKUP($A363,'The List'!$B1:$AS671,24,FALSE)," ")</f>
        <v xml:space="preserve"> </v>
      </c>
      <c r="R363" s="85" t="str" cm="1">
        <f t="array" ref="R363">IFERROR(VLOOKUP($A363,'The List'!$B1:$AS671,25,FALSE)," ")</f>
        <v xml:space="preserve"> </v>
      </c>
      <c r="S363" s="85" t="str" cm="1">
        <f t="array" ref="S363">IFERROR(VLOOKUP($A363,'The List'!$B1:$AS671,26,FALSE)," ")</f>
        <v xml:space="preserve"> </v>
      </c>
      <c r="T363" s="85" t="str" cm="1">
        <f t="array" ref="T363">IFERROR(VLOOKUP($A363,'The List'!$B1:$AS671,27,FALSE)," ")</f>
        <v xml:space="preserve"> </v>
      </c>
      <c r="U363" s="85" t="str" cm="1">
        <f t="array" ref="U363">IFERROR(VLOOKUP($A363,'The List'!$B1:$AS671,28,FALSE)," ")</f>
        <v xml:space="preserve"> </v>
      </c>
      <c r="V363" s="85" t="str" cm="1">
        <f t="array" ref="V363">IFERROR(VLOOKUP($A363,'The List'!$B1:$AS671,29,FALSE)," ")</f>
        <v xml:space="preserve"> </v>
      </c>
      <c r="W363" s="85" t="str" cm="1">
        <f t="array" ref="W363">IFERROR(VLOOKUP($A363,'The List'!$B1:$AS671,30,FALSE)," ")</f>
        <v xml:space="preserve"> </v>
      </c>
      <c r="X363" s="85" t="str" cm="1">
        <f t="array" ref="X363">IFERROR(VLOOKUP($A363,'The List'!$B1:$AS671,31,FALSE)," ")</f>
        <v xml:space="preserve"> </v>
      </c>
      <c r="Y363" s="85" t="str" cm="1">
        <f t="array" ref="Y363">IFERROR(VLOOKUP($A363,'The List'!$B1:$AS671,32,FALSE)," ")</f>
        <v xml:space="preserve"> </v>
      </c>
      <c r="Z363" s="85" t="str" cm="1">
        <f t="array" ref="Z363">IFERROR(VLOOKUP($A363,'The List'!$B1:$AS671,33,FALSE)," ")</f>
        <v xml:space="preserve"> </v>
      </c>
      <c r="AA363" s="86"/>
      <c r="AB363" s="91"/>
      <c r="AC363" s="91"/>
      <c r="AD363" s="91"/>
      <c r="AE363" s="91"/>
      <c r="AF363" s="91"/>
    </row>
    <row r="364" spans="1:32" ht="21.25" customHeight="1" x14ac:dyDescent="0.15">
      <c r="A364" s="24"/>
      <c r="B364" s="100" t="str" cm="1">
        <f t="array" ref="B364">IFERROR(VLOOKUP($A364,'The List'!$B1:$AS671,3,FALSE)," ")</f>
        <v xml:space="preserve"> </v>
      </c>
      <c r="C364" s="102" t="str" cm="1">
        <f t="array" ref="C364">IFERROR(VLOOKUP($A364,'The List'!$B1:$AS671,4,FALSE)," ")</f>
        <v xml:space="preserve"> </v>
      </c>
      <c r="D364" s="18" t="str" cm="1">
        <f t="array" ref="D364">IFERROR(VLOOKUP($A364,'The List'!$B1:$AS671,5,FALSE)," ")</f>
        <v xml:space="preserve"> </v>
      </c>
      <c r="E364" s="18" t="str" cm="1">
        <f t="array" ref="E364">IFERROR(VLOOKUP($A364,'The List'!$B1:$AS671,6,FALSE)," ")</f>
        <v xml:space="preserve"> </v>
      </c>
      <c r="F364" s="93" t="str" cm="1">
        <f t="array" ref="F364">IFERROR(VLOOKUP($A364,'The List'!$B1:$AS671,8,FALSE)," ")</f>
        <v xml:space="preserve"> </v>
      </c>
      <c r="G364" s="93" t="str" cm="1">
        <f t="array" ref="G364">IFERROR(VLOOKUP($A364,'The List'!$B1:$AS671,10,FALSE)," ")</f>
        <v xml:space="preserve"> </v>
      </c>
      <c r="H364" s="55"/>
      <c r="I364" s="85" t="str" cm="1">
        <f t="array" ref="I364">IFERROR(VLOOKUP($A364,'The List'!$B1:$AS671,16,FALSE)," ")</f>
        <v xml:space="preserve"> </v>
      </c>
      <c r="J364" s="85" t="str" cm="1">
        <f t="array" ref="J364">IFERROR(VLOOKUP($A364,'The List'!$B1:$AS671,17,FALSE)," ")</f>
        <v xml:space="preserve"> </v>
      </c>
      <c r="K364" s="85" t="str" cm="1">
        <f t="array" ref="K364">IFERROR(VLOOKUP($A364,'The List'!$B1:$AS671,18,FALSE)," ")</f>
        <v xml:space="preserve"> </v>
      </c>
      <c r="L364" s="85" t="str" cm="1">
        <f t="array" ref="L364">IFERROR(VLOOKUP($A364,'The List'!$B1:$AS671,19,FALSE)," ")</f>
        <v xml:space="preserve"> </v>
      </c>
      <c r="M364" s="85" t="str" cm="1">
        <f t="array" ref="M364">IFERROR(VLOOKUP($A364,'The List'!$B1:$AS671,20,FALSE)," ")</f>
        <v xml:space="preserve"> </v>
      </c>
      <c r="N364" s="85" t="str" cm="1">
        <f t="array" ref="N364">IFERROR(VLOOKUP($A364,'The List'!$B1:$AS671,21,FALSE)," ")</f>
        <v xml:space="preserve"> </v>
      </c>
      <c r="O364" s="85" t="str" cm="1">
        <f t="array" ref="O364">IFERROR(VLOOKUP($A364,'The List'!$B1:$AS671,22,FALSE)," ")</f>
        <v xml:space="preserve"> </v>
      </c>
      <c r="P364" s="85" t="str" cm="1">
        <f t="array" ref="P364">IFERROR(VLOOKUP($A364,'The List'!$B1:$AS671,23,FALSE)," ")</f>
        <v xml:space="preserve"> </v>
      </c>
      <c r="Q364" s="85" t="str" cm="1">
        <f t="array" ref="Q364">IFERROR(VLOOKUP($A364,'The List'!$B1:$AS671,24,FALSE)," ")</f>
        <v xml:space="preserve"> </v>
      </c>
      <c r="R364" s="85" t="str" cm="1">
        <f t="array" ref="R364">IFERROR(VLOOKUP($A364,'The List'!$B1:$AS671,25,FALSE)," ")</f>
        <v xml:space="preserve"> </v>
      </c>
      <c r="S364" s="85" t="str" cm="1">
        <f t="array" ref="S364">IFERROR(VLOOKUP($A364,'The List'!$B1:$AS671,26,FALSE)," ")</f>
        <v xml:space="preserve"> </v>
      </c>
      <c r="T364" s="85" t="str" cm="1">
        <f t="array" ref="T364">IFERROR(VLOOKUP($A364,'The List'!$B1:$AS671,27,FALSE)," ")</f>
        <v xml:space="preserve"> </v>
      </c>
      <c r="U364" s="85" t="str" cm="1">
        <f t="array" ref="U364">IFERROR(VLOOKUP($A364,'The List'!$B1:$AS671,28,FALSE)," ")</f>
        <v xml:space="preserve"> </v>
      </c>
      <c r="V364" s="85" t="str" cm="1">
        <f t="array" ref="V364">IFERROR(VLOOKUP($A364,'The List'!$B1:$AS671,29,FALSE)," ")</f>
        <v xml:space="preserve"> </v>
      </c>
      <c r="W364" s="85" t="str" cm="1">
        <f t="array" ref="W364">IFERROR(VLOOKUP($A364,'The List'!$B1:$AS671,30,FALSE)," ")</f>
        <v xml:space="preserve"> </v>
      </c>
      <c r="X364" s="85" t="str" cm="1">
        <f t="array" ref="X364">IFERROR(VLOOKUP($A364,'The List'!$B1:$AS671,31,FALSE)," ")</f>
        <v xml:space="preserve"> </v>
      </c>
      <c r="Y364" s="85" t="str" cm="1">
        <f t="array" ref="Y364">IFERROR(VLOOKUP($A364,'The List'!$B1:$AS671,32,FALSE)," ")</f>
        <v xml:space="preserve"> </v>
      </c>
      <c r="Z364" s="85" t="str" cm="1">
        <f t="array" ref="Z364">IFERROR(VLOOKUP($A364,'The List'!$B1:$AS671,33,FALSE)," ")</f>
        <v xml:space="preserve"> </v>
      </c>
      <c r="AA364" s="86"/>
      <c r="AB364" s="91"/>
      <c r="AC364" s="91"/>
      <c r="AD364" s="91"/>
      <c r="AE364" s="91"/>
      <c r="AF364" s="91"/>
    </row>
    <row r="365" spans="1:32" ht="21.25" customHeight="1" x14ac:dyDescent="0.15">
      <c r="A365" s="24"/>
      <c r="B365" s="100" t="str" cm="1">
        <f t="array" ref="B365">IFERROR(VLOOKUP($A365,'The List'!$B1:$AS671,3,FALSE)," ")</f>
        <v xml:space="preserve"> </v>
      </c>
      <c r="C365" s="102" t="str" cm="1">
        <f t="array" ref="C365">IFERROR(VLOOKUP($A365,'The List'!$B1:$AS671,4,FALSE)," ")</f>
        <v xml:space="preserve"> </v>
      </c>
      <c r="D365" s="18" t="str" cm="1">
        <f t="array" ref="D365">IFERROR(VLOOKUP($A365,'The List'!$B1:$AS671,5,FALSE)," ")</f>
        <v xml:space="preserve"> </v>
      </c>
      <c r="E365" s="18" t="str" cm="1">
        <f t="array" ref="E365">IFERROR(VLOOKUP($A365,'The List'!$B1:$AS671,6,FALSE)," ")</f>
        <v xml:space="preserve"> </v>
      </c>
      <c r="F365" s="93" t="str" cm="1">
        <f t="array" ref="F365">IFERROR(VLOOKUP($A365,'The List'!$B1:$AS671,8,FALSE)," ")</f>
        <v xml:space="preserve"> </v>
      </c>
      <c r="G365" s="93" t="str" cm="1">
        <f t="array" ref="G365">IFERROR(VLOOKUP($A365,'The List'!$B1:$AS671,10,FALSE)," ")</f>
        <v xml:space="preserve"> </v>
      </c>
      <c r="H365" s="55"/>
      <c r="I365" s="85" t="str" cm="1">
        <f t="array" ref="I365">IFERROR(VLOOKUP($A365,'The List'!$B1:$AS671,16,FALSE)," ")</f>
        <v xml:space="preserve"> </v>
      </c>
      <c r="J365" s="85" t="str" cm="1">
        <f t="array" ref="J365">IFERROR(VLOOKUP($A365,'The List'!$B1:$AS671,17,FALSE)," ")</f>
        <v xml:space="preserve"> </v>
      </c>
      <c r="K365" s="85" t="str" cm="1">
        <f t="array" ref="K365">IFERROR(VLOOKUP($A365,'The List'!$B1:$AS671,18,FALSE)," ")</f>
        <v xml:space="preserve"> </v>
      </c>
      <c r="L365" s="85" t="str" cm="1">
        <f t="array" ref="L365">IFERROR(VLOOKUP($A365,'The List'!$B1:$AS671,19,FALSE)," ")</f>
        <v xml:space="preserve"> </v>
      </c>
      <c r="M365" s="85" t="str" cm="1">
        <f t="array" ref="M365">IFERROR(VLOOKUP($A365,'The List'!$B1:$AS671,20,FALSE)," ")</f>
        <v xml:space="preserve"> </v>
      </c>
      <c r="N365" s="85" t="str" cm="1">
        <f t="array" ref="N365">IFERROR(VLOOKUP($A365,'The List'!$B1:$AS671,21,FALSE)," ")</f>
        <v xml:space="preserve"> </v>
      </c>
      <c r="O365" s="85" t="str" cm="1">
        <f t="array" ref="O365">IFERROR(VLOOKUP($A365,'The List'!$B1:$AS671,22,FALSE)," ")</f>
        <v xml:space="preserve"> </v>
      </c>
      <c r="P365" s="85" t="str" cm="1">
        <f t="array" ref="P365">IFERROR(VLOOKUP($A365,'The List'!$B1:$AS671,23,FALSE)," ")</f>
        <v xml:space="preserve"> </v>
      </c>
      <c r="Q365" s="85" t="str" cm="1">
        <f t="array" ref="Q365">IFERROR(VLOOKUP($A365,'The List'!$B1:$AS671,24,FALSE)," ")</f>
        <v xml:space="preserve"> </v>
      </c>
      <c r="R365" s="85" t="str" cm="1">
        <f t="array" ref="R365">IFERROR(VLOOKUP($A365,'The List'!$B1:$AS671,25,FALSE)," ")</f>
        <v xml:space="preserve"> </v>
      </c>
      <c r="S365" s="85" t="str" cm="1">
        <f t="array" ref="S365">IFERROR(VLOOKUP($A365,'The List'!$B1:$AS671,26,FALSE)," ")</f>
        <v xml:space="preserve"> </v>
      </c>
      <c r="T365" s="85" t="str" cm="1">
        <f t="array" ref="T365">IFERROR(VLOOKUP($A365,'The List'!$B1:$AS671,27,FALSE)," ")</f>
        <v xml:space="preserve"> </v>
      </c>
      <c r="U365" s="85" t="str" cm="1">
        <f t="array" ref="U365">IFERROR(VLOOKUP($A365,'The List'!$B1:$AS671,28,FALSE)," ")</f>
        <v xml:space="preserve"> </v>
      </c>
      <c r="V365" s="85" t="str" cm="1">
        <f t="array" ref="V365">IFERROR(VLOOKUP($A365,'The List'!$B1:$AS671,29,FALSE)," ")</f>
        <v xml:space="preserve"> </v>
      </c>
      <c r="W365" s="85" t="str" cm="1">
        <f t="array" ref="W365">IFERROR(VLOOKUP($A365,'The List'!$B1:$AS671,30,FALSE)," ")</f>
        <v xml:space="preserve"> </v>
      </c>
      <c r="X365" s="85" t="str" cm="1">
        <f t="array" ref="X365">IFERROR(VLOOKUP($A365,'The List'!$B1:$AS671,31,FALSE)," ")</f>
        <v xml:space="preserve"> </v>
      </c>
      <c r="Y365" s="85" t="str" cm="1">
        <f t="array" ref="Y365">IFERROR(VLOOKUP($A365,'The List'!$B1:$AS671,32,FALSE)," ")</f>
        <v xml:space="preserve"> </v>
      </c>
      <c r="Z365" s="85" t="str" cm="1">
        <f t="array" ref="Z365">IFERROR(VLOOKUP($A365,'The List'!$B1:$AS671,33,FALSE)," ")</f>
        <v xml:space="preserve"> </v>
      </c>
      <c r="AA365" s="86"/>
      <c r="AB365" s="91"/>
      <c r="AC365" s="91"/>
      <c r="AD365" s="91"/>
      <c r="AE365" s="91"/>
      <c r="AF365" s="91"/>
    </row>
    <row r="366" spans="1:32" ht="21.25" customHeight="1" x14ac:dyDescent="0.15">
      <c r="A366" s="24"/>
      <c r="B366" s="100" t="str" cm="1">
        <f t="array" ref="B366">IFERROR(VLOOKUP($A366,'The List'!$B1:$AS671,3,FALSE)," ")</f>
        <v xml:space="preserve"> </v>
      </c>
      <c r="C366" s="102" t="str" cm="1">
        <f t="array" ref="C366">IFERROR(VLOOKUP($A366,'The List'!$B1:$AS671,4,FALSE)," ")</f>
        <v xml:space="preserve"> </v>
      </c>
      <c r="D366" s="18" t="str" cm="1">
        <f t="array" ref="D366">IFERROR(VLOOKUP($A366,'The List'!$B1:$AS671,5,FALSE)," ")</f>
        <v xml:space="preserve"> </v>
      </c>
      <c r="E366" s="18" t="str" cm="1">
        <f t="array" ref="E366">IFERROR(VLOOKUP($A366,'The List'!$B1:$AS671,6,FALSE)," ")</f>
        <v xml:space="preserve"> </v>
      </c>
      <c r="F366" s="93" t="str" cm="1">
        <f t="array" ref="F366">IFERROR(VLOOKUP($A366,'The List'!$B1:$AS671,8,FALSE)," ")</f>
        <v xml:space="preserve"> </v>
      </c>
      <c r="G366" s="93" t="str" cm="1">
        <f t="array" ref="G366">IFERROR(VLOOKUP($A366,'The List'!$B1:$AS671,10,FALSE)," ")</f>
        <v xml:space="preserve"> </v>
      </c>
      <c r="H366" s="55"/>
      <c r="I366" s="85" t="str" cm="1">
        <f t="array" ref="I366">IFERROR(VLOOKUP($A366,'The List'!$B1:$AS671,16,FALSE)," ")</f>
        <v xml:space="preserve"> </v>
      </c>
      <c r="J366" s="85" t="str" cm="1">
        <f t="array" ref="J366">IFERROR(VLOOKUP($A366,'The List'!$B1:$AS671,17,FALSE)," ")</f>
        <v xml:space="preserve"> </v>
      </c>
      <c r="K366" s="85" t="str" cm="1">
        <f t="array" ref="K366">IFERROR(VLOOKUP($A366,'The List'!$B1:$AS671,18,FALSE)," ")</f>
        <v xml:space="preserve"> </v>
      </c>
      <c r="L366" s="85" t="str" cm="1">
        <f t="array" ref="L366">IFERROR(VLOOKUP($A366,'The List'!$B1:$AS671,19,FALSE)," ")</f>
        <v xml:space="preserve"> </v>
      </c>
      <c r="M366" s="85" t="str" cm="1">
        <f t="array" ref="M366">IFERROR(VLOOKUP($A366,'The List'!$B1:$AS671,20,FALSE)," ")</f>
        <v xml:space="preserve"> </v>
      </c>
      <c r="N366" s="85" t="str" cm="1">
        <f t="array" ref="N366">IFERROR(VLOOKUP($A366,'The List'!$B1:$AS671,21,FALSE)," ")</f>
        <v xml:space="preserve"> </v>
      </c>
      <c r="O366" s="85" t="str" cm="1">
        <f t="array" ref="O366">IFERROR(VLOOKUP($A366,'The List'!$B1:$AS671,22,FALSE)," ")</f>
        <v xml:space="preserve"> </v>
      </c>
      <c r="P366" s="85" t="str" cm="1">
        <f t="array" ref="P366">IFERROR(VLOOKUP($A366,'The List'!$B1:$AS671,23,FALSE)," ")</f>
        <v xml:space="preserve"> </v>
      </c>
      <c r="Q366" s="85" t="str" cm="1">
        <f t="array" ref="Q366">IFERROR(VLOOKUP($A366,'The List'!$B1:$AS671,24,FALSE)," ")</f>
        <v xml:space="preserve"> </v>
      </c>
      <c r="R366" s="85" t="str" cm="1">
        <f t="array" ref="R366">IFERROR(VLOOKUP($A366,'The List'!$B1:$AS671,25,FALSE)," ")</f>
        <v xml:space="preserve"> </v>
      </c>
      <c r="S366" s="85" t="str" cm="1">
        <f t="array" ref="S366">IFERROR(VLOOKUP($A366,'The List'!$B1:$AS671,26,FALSE)," ")</f>
        <v xml:space="preserve"> </v>
      </c>
      <c r="T366" s="85" t="str" cm="1">
        <f t="array" ref="T366">IFERROR(VLOOKUP($A366,'The List'!$B1:$AS671,27,FALSE)," ")</f>
        <v xml:space="preserve"> </v>
      </c>
      <c r="U366" s="85" t="str" cm="1">
        <f t="array" ref="U366">IFERROR(VLOOKUP($A366,'The List'!$B1:$AS671,28,FALSE)," ")</f>
        <v xml:space="preserve"> </v>
      </c>
      <c r="V366" s="85" t="str" cm="1">
        <f t="array" ref="V366">IFERROR(VLOOKUP($A366,'The List'!$B1:$AS671,29,FALSE)," ")</f>
        <v xml:space="preserve"> </v>
      </c>
      <c r="W366" s="85" t="str" cm="1">
        <f t="array" ref="W366">IFERROR(VLOOKUP($A366,'The List'!$B1:$AS671,30,FALSE)," ")</f>
        <v xml:space="preserve"> </v>
      </c>
      <c r="X366" s="85" t="str" cm="1">
        <f t="array" ref="X366">IFERROR(VLOOKUP($A366,'The List'!$B1:$AS671,31,FALSE)," ")</f>
        <v xml:space="preserve"> </v>
      </c>
      <c r="Y366" s="85" t="str" cm="1">
        <f t="array" ref="Y366">IFERROR(VLOOKUP($A366,'The List'!$B1:$AS671,32,FALSE)," ")</f>
        <v xml:space="preserve"> </v>
      </c>
      <c r="Z366" s="85" t="str" cm="1">
        <f t="array" ref="Z366">IFERROR(VLOOKUP($A366,'The List'!$B1:$AS671,33,FALSE)," ")</f>
        <v xml:space="preserve"> </v>
      </c>
      <c r="AA366" s="86"/>
      <c r="AB366" s="91"/>
      <c r="AC366" s="91"/>
      <c r="AD366" s="91"/>
      <c r="AE366" s="91"/>
      <c r="AF366" s="91"/>
    </row>
    <row r="367" spans="1:32" ht="21.25" customHeight="1" x14ac:dyDescent="0.15">
      <c r="A367" s="24"/>
      <c r="B367" s="100" t="str" cm="1">
        <f t="array" ref="B367">IFERROR(VLOOKUP($A367,'The List'!$B1:$AS671,3,FALSE)," ")</f>
        <v xml:space="preserve"> </v>
      </c>
      <c r="C367" s="102" t="str" cm="1">
        <f t="array" ref="C367">IFERROR(VLOOKUP($A367,'The List'!$B1:$AS671,4,FALSE)," ")</f>
        <v xml:space="preserve"> </v>
      </c>
      <c r="D367" s="18" t="str" cm="1">
        <f t="array" ref="D367">IFERROR(VLOOKUP($A367,'The List'!$B1:$AS671,5,FALSE)," ")</f>
        <v xml:space="preserve"> </v>
      </c>
      <c r="E367" s="18" t="str" cm="1">
        <f t="array" ref="E367">IFERROR(VLOOKUP($A367,'The List'!$B1:$AS671,6,FALSE)," ")</f>
        <v xml:space="preserve"> </v>
      </c>
      <c r="F367" s="93" t="str" cm="1">
        <f t="array" ref="F367">IFERROR(VLOOKUP($A367,'The List'!$B1:$AS671,8,FALSE)," ")</f>
        <v xml:space="preserve"> </v>
      </c>
      <c r="G367" s="93" t="str" cm="1">
        <f t="array" ref="G367">IFERROR(VLOOKUP($A367,'The List'!$B1:$AS671,10,FALSE)," ")</f>
        <v xml:space="preserve"> </v>
      </c>
      <c r="H367" s="55"/>
      <c r="I367" s="85" t="str" cm="1">
        <f t="array" ref="I367">IFERROR(VLOOKUP($A367,'The List'!$B1:$AS671,16,FALSE)," ")</f>
        <v xml:space="preserve"> </v>
      </c>
      <c r="J367" s="85" t="str" cm="1">
        <f t="array" ref="J367">IFERROR(VLOOKUP($A367,'The List'!$B1:$AS671,17,FALSE)," ")</f>
        <v xml:space="preserve"> </v>
      </c>
      <c r="K367" s="85" t="str" cm="1">
        <f t="array" ref="K367">IFERROR(VLOOKUP($A367,'The List'!$B1:$AS671,18,FALSE)," ")</f>
        <v xml:space="preserve"> </v>
      </c>
      <c r="L367" s="85" t="str" cm="1">
        <f t="array" ref="L367">IFERROR(VLOOKUP($A367,'The List'!$B1:$AS671,19,FALSE)," ")</f>
        <v xml:space="preserve"> </v>
      </c>
      <c r="M367" s="85" t="str" cm="1">
        <f t="array" ref="M367">IFERROR(VLOOKUP($A367,'The List'!$B1:$AS671,20,FALSE)," ")</f>
        <v xml:space="preserve"> </v>
      </c>
      <c r="N367" s="85" t="str" cm="1">
        <f t="array" ref="N367">IFERROR(VLOOKUP($A367,'The List'!$B1:$AS671,21,FALSE)," ")</f>
        <v xml:space="preserve"> </v>
      </c>
      <c r="O367" s="85" t="str" cm="1">
        <f t="array" ref="O367">IFERROR(VLOOKUP($A367,'The List'!$B1:$AS671,22,FALSE)," ")</f>
        <v xml:space="preserve"> </v>
      </c>
      <c r="P367" s="85" t="str" cm="1">
        <f t="array" ref="P367">IFERROR(VLOOKUP($A367,'The List'!$B1:$AS671,23,FALSE)," ")</f>
        <v xml:space="preserve"> </v>
      </c>
      <c r="Q367" s="85" t="str" cm="1">
        <f t="array" ref="Q367">IFERROR(VLOOKUP($A367,'The List'!$B1:$AS671,24,FALSE)," ")</f>
        <v xml:space="preserve"> </v>
      </c>
      <c r="R367" s="85" t="str" cm="1">
        <f t="array" ref="R367">IFERROR(VLOOKUP($A367,'The List'!$B1:$AS671,25,FALSE)," ")</f>
        <v xml:space="preserve"> </v>
      </c>
      <c r="S367" s="85" t="str" cm="1">
        <f t="array" ref="S367">IFERROR(VLOOKUP($A367,'The List'!$B1:$AS671,26,FALSE)," ")</f>
        <v xml:space="preserve"> </v>
      </c>
      <c r="T367" s="85" t="str" cm="1">
        <f t="array" ref="T367">IFERROR(VLOOKUP($A367,'The List'!$B1:$AS671,27,FALSE)," ")</f>
        <v xml:space="preserve"> </v>
      </c>
      <c r="U367" s="85" t="str" cm="1">
        <f t="array" ref="U367">IFERROR(VLOOKUP($A367,'The List'!$B1:$AS671,28,FALSE)," ")</f>
        <v xml:space="preserve"> </v>
      </c>
      <c r="V367" s="85" t="str" cm="1">
        <f t="array" ref="V367">IFERROR(VLOOKUP($A367,'The List'!$B1:$AS671,29,FALSE)," ")</f>
        <v xml:space="preserve"> </v>
      </c>
      <c r="W367" s="85" t="str" cm="1">
        <f t="array" ref="W367">IFERROR(VLOOKUP($A367,'The List'!$B1:$AS671,30,FALSE)," ")</f>
        <v xml:space="preserve"> </v>
      </c>
      <c r="X367" s="85" t="str" cm="1">
        <f t="array" ref="X367">IFERROR(VLOOKUP($A367,'The List'!$B1:$AS671,31,FALSE)," ")</f>
        <v xml:space="preserve"> </v>
      </c>
      <c r="Y367" s="85" t="str" cm="1">
        <f t="array" ref="Y367">IFERROR(VLOOKUP($A367,'The List'!$B1:$AS671,32,FALSE)," ")</f>
        <v xml:space="preserve"> </v>
      </c>
      <c r="Z367" s="85" t="str" cm="1">
        <f t="array" ref="Z367">IFERROR(VLOOKUP($A367,'The List'!$B1:$AS671,33,FALSE)," ")</f>
        <v xml:space="preserve"> </v>
      </c>
      <c r="AA367" s="86"/>
      <c r="AB367" s="91"/>
      <c r="AC367" s="91"/>
      <c r="AD367" s="91"/>
      <c r="AE367" s="91"/>
      <c r="AF367" s="91"/>
    </row>
    <row r="368" spans="1:32" ht="21.25" customHeight="1" x14ac:dyDescent="0.15">
      <c r="A368" s="24"/>
      <c r="B368" s="100" t="str" cm="1">
        <f t="array" ref="B368">IFERROR(VLOOKUP($A368,'The List'!$B1:$AS671,3,FALSE)," ")</f>
        <v xml:space="preserve"> </v>
      </c>
      <c r="C368" s="102" t="str" cm="1">
        <f t="array" ref="C368">IFERROR(VLOOKUP($A368,'The List'!$B1:$AS671,4,FALSE)," ")</f>
        <v xml:space="preserve"> </v>
      </c>
      <c r="D368" s="18" t="str" cm="1">
        <f t="array" ref="D368">IFERROR(VLOOKUP($A368,'The List'!$B1:$AS671,5,FALSE)," ")</f>
        <v xml:space="preserve"> </v>
      </c>
      <c r="E368" s="18" t="str" cm="1">
        <f t="array" ref="E368">IFERROR(VLOOKUP($A368,'The List'!$B1:$AS671,6,FALSE)," ")</f>
        <v xml:space="preserve"> </v>
      </c>
      <c r="F368" s="93" t="str" cm="1">
        <f t="array" ref="F368">IFERROR(VLOOKUP($A368,'The List'!$B1:$AS671,8,FALSE)," ")</f>
        <v xml:space="preserve"> </v>
      </c>
      <c r="G368" s="93" t="str" cm="1">
        <f t="array" ref="G368">IFERROR(VLOOKUP($A368,'The List'!$B1:$AS671,10,FALSE)," ")</f>
        <v xml:space="preserve"> </v>
      </c>
      <c r="H368" s="55"/>
      <c r="I368" s="85" t="str" cm="1">
        <f t="array" ref="I368">IFERROR(VLOOKUP($A368,'The List'!$B1:$AS671,16,FALSE)," ")</f>
        <v xml:space="preserve"> </v>
      </c>
      <c r="J368" s="85" t="str" cm="1">
        <f t="array" ref="J368">IFERROR(VLOOKUP($A368,'The List'!$B1:$AS671,17,FALSE)," ")</f>
        <v xml:space="preserve"> </v>
      </c>
      <c r="K368" s="85" t="str" cm="1">
        <f t="array" ref="K368">IFERROR(VLOOKUP($A368,'The List'!$B1:$AS671,18,FALSE)," ")</f>
        <v xml:space="preserve"> </v>
      </c>
      <c r="L368" s="85" t="str" cm="1">
        <f t="array" ref="L368">IFERROR(VLOOKUP($A368,'The List'!$B1:$AS671,19,FALSE)," ")</f>
        <v xml:space="preserve"> </v>
      </c>
      <c r="M368" s="85" t="str" cm="1">
        <f t="array" ref="M368">IFERROR(VLOOKUP($A368,'The List'!$B1:$AS671,20,FALSE)," ")</f>
        <v xml:space="preserve"> </v>
      </c>
      <c r="N368" s="85" t="str" cm="1">
        <f t="array" ref="N368">IFERROR(VLOOKUP($A368,'The List'!$B1:$AS671,21,FALSE)," ")</f>
        <v xml:space="preserve"> </v>
      </c>
      <c r="O368" s="85" t="str" cm="1">
        <f t="array" ref="O368">IFERROR(VLOOKUP($A368,'The List'!$B1:$AS671,22,FALSE)," ")</f>
        <v xml:space="preserve"> </v>
      </c>
      <c r="P368" s="85" t="str" cm="1">
        <f t="array" ref="P368">IFERROR(VLOOKUP($A368,'The List'!$B1:$AS671,23,FALSE)," ")</f>
        <v xml:space="preserve"> </v>
      </c>
      <c r="Q368" s="85" t="str" cm="1">
        <f t="array" ref="Q368">IFERROR(VLOOKUP($A368,'The List'!$B1:$AS671,24,FALSE)," ")</f>
        <v xml:space="preserve"> </v>
      </c>
      <c r="R368" s="85" t="str" cm="1">
        <f t="array" ref="R368">IFERROR(VLOOKUP($A368,'The List'!$B1:$AS671,25,FALSE)," ")</f>
        <v xml:space="preserve"> </v>
      </c>
      <c r="S368" s="85" t="str" cm="1">
        <f t="array" ref="S368">IFERROR(VLOOKUP($A368,'The List'!$B1:$AS671,26,FALSE)," ")</f>
        <v xml:space="preserve"> </v>
      </c>
      <c r="T368" s="85" t="str" cm="1">
        <f t="array" ref="T368">IFERROR(VLOOKUP($A368,'The List'!$B1:$AS671,27,FALSE)," ")</f>
        <v xml:space="preserve"> </v>
      </c>
      <c r="U368" s="85" t="str" cm="1">
        <f t="array" ref="U368">IFERROR(VLOOKUP($A368,'The List'!$B1:$AS671,28,FALSE)," ")</f>
        <v xml:space="preserve"> </v>
      </c>
      <c r="V368" s="85" t="str" cm="1">
        <f t="array" ref="V368">IFERROR(VLOOKUP($A368,'The List'!$B1:$AS671,29,FALSE)," ")</f>
        <v xml:space="preserve"> </v>
      </c>
      <c r="W368" s="85" t="str" cm="1">
        <f t="array" ref="W368">IFERROR(VLOOKUP($A368,'The List'!$B1:$AS671,30,FALSE)," ")</f>
        <v xml:space="preserve"> </v>
      </c>
      <c r="X368" s="85" t="str" cm="1">
        <f t="array" ref="X368">IFERROR(VLOOKUP($A368,'The List'!$B1:$AS671,31,FALSE)," ")</f>
        <v xml:space="preserve"> </v>
      </c>
      <c r="Y368" s="85" t="str" cm="1">
        <f t="array" ref="Y368">IFERROR(VLOOKUP($A368,'The List'!$B1:$AS671,32,FALSE)," ")</f>
        <v xml:space="preserve"> </v>
      </c>
      <c r="Z368" s="85" t="str" cm="1">
        <f t="array" ref="Z368">IFERROR(VLOOKUP($A368,'The List'!$B1:$AS671,33,FALSE)," ")</f>
        <v xml:space="preserve"> </v>
      </c>
      <c r="AA368" s="86"/>
      <c r="AB368" s="91"/>
      <c r="AC368" s="91"/>
      <c r="AD368" s="91"/>
      <c r="AE368" s="91"/>
      <c r="AF368" s="91"/>
    </row>
    <row r="369" spans="1:32" ht="21.25" customHeight="1" x14ac:dyDescent="0.15">
      <c r="A369" s="104"/>
      <c r="B369" s="105" t="str" cm="1">
        <f t="array" ref="B369">IFERROR(VLOOKUP($A369,'The List'!$B1:$AS671,3,FALSE)," ")</f>
        <v xml:space="preserve"> </v>
      </c>
      <c r="C369" s="106" t="str" cm="1">
        <f t="array" ref="C369">IFERROR(VLOOKUP($A369,'The List'!$B1:$AS671,4,FALSE)," ")</f>
        <v xml:space="preserve"> </v>
      </c>
      <c r="D369" s="107" t="str" cm="1">
        <f t="array" ref="D369">IFERROR(VLOOKUP($A369,'The List'!$B1:$AS671,5,FALSE)," ")</f>
        <v xml:space="preserve"> </v>
      </c>
      <c r="E369" s="107" t="str" cm="1">
        <f t="array" ref="E369">IFERROR(VLOOKUP($A369,'The List'!$B1:$AS671,6,FALSE)," ")</f>
        <v xml:space="preserve"> </v>
      </c>
      <c r="F369" s="108" t="str" cm="1">
        <f t="array" ref="F369">IFERROR(VLOOKUP($A369,'The List'!$B1:$AS671,8,FALSE)," ")</f>
        <v xml:space="preserve"> </v>
      </c>
      <c r="G369" s="108" t="str" cm="1">
        <f t="array" ref="G369">IFERROR(VLOOKUP($A369,'The List'!$B1:$AS671,10,FALSE)," ")</f>
        <v xml:space="preserve"> </v>
      </c>
      <c r="H369" s="109"/>
      <c r="I369" s="110" t="str" cm="1">
        <f t="array" ref="I369">IFERROR(VLOOKUP($A369,'The List'!$B1:$AS671,16,FALSE)," ")</f>
        <v xml:space="preserve"> </v>
      </c>
      <c r="J369" s="110" t="str" cm="1">
        <f t="array" ref="J369">IFERROR(VLOOKUP($A369,'The List'!$B1:$AS671,17,FALSE)," ")</f>
        <v xml:space="preserve"> </v>
      </c>
      <c r="K369" s="110" t="str" cm="1">
        <f t="array" ref="K369">IFERROR(VLOOKUP($A369,'The List'!$B1:$AS671,18,FALSE)," ")</f>
        <v xml:space="preserve"> </v>
      </c>
      <c r="L369" s="110" t="str" cm="1">
        <f t="array" ref="L369">IFERROR(VLOOKUP($A369,'The List'!$B1:$AS671,19,FALSE)," ")</f>
        <v xml:space="preserve"> </v>
      </c>
      <c r="M369" s="110" t="str" cm="1">
        <f t="array" ref="M369">IFERROR(VLOOKUP($A369,'The List'!$B1:$AS671,20,FALSE)," ")</f>
        <v xml:space="preserve"> </v>
      </c>
      <c r="N369" s="110" t="str" cm="1">
        <f t="array" ref="N369">IFERROR(VLOOKUP($A369,'The List'!$B1:$AS671,21,FALSE)," ")</f>
        <v xml:space="preserve"> </v>
      </c>
      <c r="O369" s="110" t="str" cm="1">
        <f t="array" ref="O369">IFERROR(VLOOKUP($A369,'The List'!$B1:$AS671,22,FALSE)," ")</f>
        <v xml:space="preserve"> </v>
      </c>
      <c r="P369" s="110" t="str" cm="1">
        <f t="array" ref="P369">IFERROR(VLOOKUP($A369,'The List'!$B1:$AS671,23,FALSE)," ")</f>
        <v xml:space="preserve"> </v>
      </c>
      <c r="Q369" s="110" t="str" cm="1">
        <f t="array" ref="Q369">IFERROR(VLOOKUP($A369,'The List'!$B1:$AS671,24,FALSE)," ")</f>
        <v xml:space="preserve"> </v>
      </c>
      <c r="R369" s="110" t="str" cm="1">
        <f t="array" ref="R369">IFERROR(VLOOKUP($A369,'The List'!$B1:$AS671,25,FALSE)," ")</f>
        <v xml:space="preserve"> </v>
      </c>
      <c r="S369" s="110" t="str" cm="1">
        <f t="array" ref="S369">IFERROR(VLOOKUP($A369,'The List'!$B1:$AS671,26,FALSE)," ")</f>
        <v xml:space="preserve"> </v>
      </c>
      <c r="T369" s="110" t="str" cm="1">
        <f t="array" ref="T369">IFERROR(VLOOKUP($A369,'The List'!$B1:$AS671,27,FALSE)," ")</f>
        <v xml:space="preserve"> </v>
      </c>
      <c r="U369" s="110" t="str" cm="1">
        <f t="array" ref="U369">IFERROR(VLOOKUP($A369,'The List'!$B1:$AS671,28,FALSE)," ")</f>
        <v xml:space="preserve"> </v>
      </c>
      <c r="V369" s="110" t="str" cm="1">
        <f t="array" ref="V369">IFERROR(VLOOKUP($A369,'The List'!$B1:$AS671,29,FALSE)," ")</f>
        <v xml:space="preserve"> </v>
      </c>
      <c r="W369" s="110" t="str" cm="1">
        <f t="array" ref="W369">IFERROR(VLOOKUP($A369,'The List'!$B1:$AS671,30,FALSE)," ")</f>
        <v xml:space="preserve"> </v>
      </c>
      <c r="X369" s="110" t="str" cm="1">
        <f t="array" ref="X369">IFERROR(VLOOKUP($A369,'The List'!$B1:$AS671,31,FALSE)," ")</f>
        <v xml:space="preserve"> </v>
      </c>
      <c r="Y369" s="110" t="str" cm="1">
        <f t="array" ref="Y369">IFERROR(VLOOKUP($A369,'The List'!$B1:$AS671,32,FALSE)," ")</f>
        <v xml:space="preserve"> </v>
      </c>
      <c r="Z369" s="110" t="str" cm="1">
        <f t="array" ref="Z369">IFERROR(VLOOKUP($A369,'The List'!$B1:$AS671,33,FALSE)," ")</f>
        <v xml:space="preserve"> </v>
      </c>
      <c r="AA369" s="86"/>
      <c r="AB369" s="91"/>
      <c r="AC369" s="91"/>
      <c r="AD369" s="91"/>
      <c r="AE369" s="91"/>
      <c r="AF369" s="91"/>
    </row>
    <row r="370" spans="1:32" ht="21.25" customHeight="1" x14ac:dyDescent="0.15">
      <c r="A370" s="111"/>
      <c r="B370" s="112"/>
      <c r="C370" s="113"/>
      <c r="D370" s="114"/>
      <c r="E370" s="114" t="str" cm="1">
        <f t="array" ref="E370">IFERROR(AVERAGE(E350:E369)," ")</f>
        <v xml:space="preserve"> </v>
      </c>
      <c r="F370" s="116" cm="1">
        <f t="array" ref="F370">SUM(F350:F369)</f>
        <v>0</v>
      </c>
      <c r="G370" s="116" cm="1">
        <f t="array" ref="G370">SUM(G350:G369)</f>
        <v>0</v>
      </c>
      <c r="H370" s="117"/>
      <c r="I370" s="118" cm="1">
        <f t="array" ref="I370">SUM(I350:I369)</f>
        <v>0</v>
      </c>
      <c r="J370" s="117" t="e" cm="1">
        <f t="array" ref="J370">AVERAGE(J350:J369)</f>
        <v>#DIV/0!</v>
      </c>
      <c r="K370" s="118" cm="1">
        <f t="array" ref="K370">SUM(K350:K369)</f>
        <v>0</v>
      </c>
      <c r="L370" s="118" cm="1">
        <f t="array" ref="L370">SUM(L350:L369)</f>
        <v>0</v>
      </c>
      <c r="M370" s="118" cm="1">
        <f t="array" ref="M370">SUM(M350:M369)</f>
        <v>0</v>
      </c>
      <c r="N370" s="118" cm="1">
        <f t="array" ref="N370">SUM(N350:N369)</f>
        <v>0</v>
      </c>
      <c r="O370" s="118" cm="1">
        <f t="array" ref="O370">SUM(O350:O369)</f>
        <v>0</v>
      </c>
      <c r="P370" s="118" cm="1">
        <f t="array" ref="P370">SUM(P350:P369)</f>
        <v>0</v>
      </c>
      <c r="Q370" s="118" cm="1">
        <f t="array" ref="Q370">SUM(Q350:Q369)</f>
        <v>0</v>
      </c>
      <c r="R370" s="118" cm="1">
        <f t="array" ref="R370">SUM(R350:R369)</f>
        <v>0</v>
      </c>
      <c r="S370" s="118" cm="1">
        <f t="array" ref="S370">SUM(S350:S369)</f>
        <v>0</v>
      </c>
      <c r="T370" s="118" cm="1">
        <f t="array" ref="T370">SUM(T350:T369)</f>
        <v>0</v>
      </c>
      <c r="U370" s="118" cm="1">
        <f t="array" ref="U370">SUM(U350:U369)</f>
        <v>0</v>
      </c>
      <c r="V370" s="118" cm="1">
        <f t="array" ref="V370">SUM(V350:V369)</f>
        <v>0</v>
      </c>
      <c r="W370" s="118" cm="1">
        <f t="array" ref="W370">SUM(W350:W369)</f>
        <v>0</v>
      </c>
      <c r="X370" s="118" cm="1">
        <f t="array" ref="X370">SUM(X350:X369)</f>
        <v>0</v>
      </c>
      <c r="Y370" s="118" cm="1">
        <f t="array" ref="Y370">SUM(Y350:Y369)</f>
        <v>0</v>
      </c>
      <c r="Z370" s="119" cm="1">
        <f t="array" ref="Z370">IFERROR(X370/(X370+Y370),0)</f>
        <v>0</v>
      </c>
      <c r="AA370" s="86"/>
      <c r="AB370" s="120"/>
      <c r="AC370" s="120"/>
      <c r="AD370" s="120"/>
      <c r="AE370" s="120"/>
      <c r="AF370" s="120"/>
    </row>
    <row r="371" spans="1:32" ht="21.25" customHeight="1" x14ac:dyDescent="0.15">
      <c r="A371" s="37"/>
      <c r="B371" s="121"/>
      <c r="C371" s="122"/>
      <c r="D371" s="13"/>
      <c r="E371" s="13"/>
      <c r="F371" s="123"/>
      <c r="G371" s="124"/>
      <c r="H371" s="125"/>
      <c r="I371" s="12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91"/>
      <c r="AC371" s="91"/>
      <c r="AD371" s="91"/>
      <c r="AE371" s="91"/>
      <c r="AF371" s="91"/>
    </row>
    <row r="372" spans="1:32" ht="21.25" customHeight="1" x14ac:dyDescent="0.15">
      <c r="A372" s="40" t="s">
        <v>91</v>
      </c>
      <c r="B372" s="205" t="s">
        <v>93</v>
      </c>
      <c r="C372" s="197"/>
      <c r="D372" s="127" t="s">
        <v>94</v>
      </c>
      <c r="E372" s="127" t="s">
        <v>95</v>
      </c>
      <c r="F372" s="128" t="s">
        <v>97</v>
      </c>
      <c r="G372" s="128" t="s">
        <v>99</v>
      </c>
      <c r="H372" s="129"/>
      <c r="I372" s="130" t="s">
        <v>104</v>
      </c>
      <c r="J372" s="130" t="s">
        <v>119</v>
      </c>
      <c r="K372" s="130" t="s">
        <v>120</v>
      </c>
      <c r="L372" s="130" t="s">
        <v>121</v>
      </c>
      <c r="M372" s="130" t="s">
        <v>122</v>
      </c>
      <c r="N372" s="130" t="s">
        <v>123</v>
      </c>
      <c r="O372" s="130" t="s">
        <v>124</v>
      </c>
      <c r="P372" s="130" t="s">
        <v>125</v>
      </c>
      <c r="Q372" s="130" t="s">
        <v>126</v>
      </c>
      <c r="R372" s="86"/>
      <c r="S372" s="86"/>
      <c r="T372" s="86"/>
      <c r="U372" s="205" t="s">
        <v>818</v>
      </c>
      <c r="V372" s="206"/>
      <c r="W372" s="206"/>
      <c r="X372" s="205" t="s">
        <v>819</v>
      </c>
      <c r="Y372" s="206"/>
      <c r="Z372" s="206"/>
      <c r="AA372" s="86"/>
      <c r="AB372" s="86"/>
      <c r="AC372" s="86"/>
      <c r="AD372" s="86"/>
      <c r="AE372" s="86"/>
      <c r="AF372" s="86"/>
    </row>
    <row r="373" spans="1:32" ht="21.25" customHeight="1" x14ac:dyDescent="0.15">
      <c r="A373" s="147"/>
      <c r="B373" s="132" t="str" cm="1">
        <f t="array" ref="B373">IFERROR(VLOOKUP($A373,'The List'!$B1:$AS671,3,FALSE)," ")</f>
        <v xml:space="preserve"> </v>
      </c>
      <c r="C373" s="148" t="str" cm="1">
        <f t="array" ref="C373">IFERROR(VLOOKUP($A373,'The List'!$B1:$AS671,4,FALSE)," ")</f>
        <v xml:space="preserve"> </v>
      </c>
      <c r="D373" s="134" t="str" cm="1">
        <f t="array" ref="D373">IFERROR(VLOOKUP($A373,'The List'!$B1:$AS671,5,FALSE)," ")</f>
        <v xml:space="preserve"> </v>
      </c>
      <c r="E373" s="134" t="str" cm="1">
        <f t="array" ref="E373">IFERROR(VLOOKUP($A373,'The List'!$B1:$AS671,6,FALSE)," ")</f>
        <v xml:space="preserve"> </v>
      </c>
      <c r="F373" s="149" t="str" cm="1">
        <f t="array" ref="F373">IFERROR(VLOOKUP($A373,'The List'!$B1:$AS671,8,FALSE)," ")</f>
        <v xml:space="preserve"> </v>
      </c>
      <c r="G373" s="149" t="str" cm="1">
        <f t="array" ref="G373">IFERROR(VLOOKUP($A373,'The List'!$B1:$AS671,10,FALSE)," ")</f>
        <v xml:space="preserve"> </v>
      </c>
      <c r="H373" s="83"/>
      <c r="I373" s="150" t="str" cm="1">
        <f t="array" ref="I373">IFERROR(VLOOKUP($A373,'The List'!$B1:$AS671,35,FALSE)," ")</f>
        <v xml:space="preserve"> </v>
      </c>
      <c r="J373" s="150" t="str" cm="1">
        <f t="array" ref="J373">IFERROR(VLOOKUP($A373,'The List'!$B1:$AS671,36,FALSE)," ")</f>
        <v xml:space="preserve"> </v>
      </c>
      <c r="K373" s="150" t="str" cm="1">
        <f t="array" ref="K373">IFERROR(VLOOKUP($A373,'The List'!$B1:$AS671,37,FALSE)," ")</f>
        <v xml:space="preserve"> </v>
      </c>
      <c r="L373" s="150" t="str" cm="1">
        <f t="array" ref="L373">IFERROR(VLOOKUP($A373,'The List'!$B1:$AS671,38,FALSE)," ")</f>
        <v xml:space="preserve"> </v>
      </c>
      <c r="M373" s="150" t="str" cm="1">
        <f t="array" ref="M373">IFERROR(VLOOKUP($A373,'The List'!$B1:$AS671,39,FALSE)," ")</f>
        <v xml:space="preserve"> </v>
      </c>
      <c r="N373" s="150" t="str" cm="1">
        <f t="array" ref="N373">IFERROR(VLOOKUP($A373,'The List'!$B1:$AS671,40,FALSE)," ")</f>
        <v xml:space="preserve"> </v>
      </c>
      <c r="O373" s="150" t="str" cm="1">
        <f t="array" ref="O373">IFERROR(VLOOKUP($A373,'The List'!$B1:$AS671,41,FALSE)," ")</f>
        <v xml:space="preserve"> </v>
      </c>
      <c r="P373" s="150" t="str" cm="1">
        <f t="array" ref="P373">IFERROR(VLOOKUP($A373,'The List'!$B1:$AS671,42,FALSE)," ")</f>
        <v xml:space="preserve"> </v>
      </c>
      <c r="Q373" s="150" t="str" cm="1">
        <f t="array" ref="Q373">IFERROR(VLOOKUP($A373,'The List'!$B1:$AS671,43,FALSE)," ")</f>
        <v xml:space="preserve"> </v>
      </c>
      <c r="R373" s="86"/>
      <c r="S373" s="86"/>
      <c r="T373" s="140" t="str" cm="1">
        <f t="array" ref="T373">A349</f>
        <v>TEAM 13</v>
      </c>
      <c r="U373" s="207" cm="1">
        <f t="array" ref="U373">F370+F376</f>
        <v>0</v>
      </c>
      <c r="V373" s="197"/>
      <c r="W373" s="197"/>
      <c r="X373" s="207" cm="1">
        <f t="array" ref="X373">G376+G370</f>
        <v>0</v>
      </c>
      <c r="Y373" s="197"/>
      <c r="Z373" s="197"/>
      <c r="AA373" s="86"/>
      <c r="AB373" s="86"/>
      <c r="AC373" s="86"/>
      <c r="AD373" s="86"/>
      <c r="AE373" s="86"/>
      <c r="AF373" s="86"/>
    </row>
    <row r="374" spans="1:32" ht="21.25" customHeight="1" x14ac:dyDescent="0.15">
      <c r="A374" s="24"/>
      <c r="B374" s="141" t="str" cm="1">
        <f t="array" ref="B374">IFERROR(VLOOKUP($A374,'The List'!$B1:$AS671,3,FALSE)," ")</f>
        <v xml:space="preserve"> </v>
      </c>
      <c r="C374" s="142" t="str" cm="1">
        <f t="array" ref="C374">IFERROR(VLOOKUP($A374,'The List'!$B1:$AS671,4,FALSE)," ")</f>
        <v xml:space="preserve"> </v>
      </c>
      <c r="D374" s="18" t="str" cm="1">
        <f t="array" ref="D374">IFERROR(VLOOKUP($A374,'The List'!$B1:$AS671,5,FALSE)," ")</f>
        <v xml:space="preserve"> </v>
      </c>
      <c r="E374" s="18" t="str" cm="1">
        <f t="array" ref="E374">IFERROR(VLOOKUP($A374,'The List'!$B1:$AS671,6,FALSE)," ")</f>
        <v xml:space="preserve"> </v>
      </c>
      <c r="F374" s="93" t="str" cm="1">
        <f t="array" ref="F374">IFERROR(VLOOKUP($A374,'The List'!$B1:$AS671,8,FALSE)," ")</f>
        <v xml:space="preserve"> </v>
      </c>
      <c r="G374" s="93" t="str" cm="1">
        <f t="array" ref="G374">IFERROR(VLOOKUP($A374,'The List'!$B1:$AS671,10,FALSE)," ")</f>
        <v xml:space="preserve"> </v>
      </c>
      <c r="H374" s="55"/>
      <c r="I374" s="85" t="str" cm="1">
        <f t="array" ref="I374">IFERROR(VLOOKUP($A374,'The List'!$B1:$AS671,35,FALSE)," ")</f>
        <v xml:space="preserve"> </v>
      </c>
      <c r="J374" s="85" t="str" cm="1">
        <f t="array" ref="J374">IFERROR(VLOOKUP($A374,'The List'!$B1:$AS671,36,FALSE)," ")</f>
        <v xml:space="preserve"> </v>
      </c>
      <c r="K374" s="85" t="str" cm="1">
        <f t="array" ref="K374">IFERROR(VLOOKUP($A374,'The List'!$B1:$AS671,37,FALSE)," ")</f>
        <v xml:space="preserve"> </v>
      </c>
      <c r="L374" s="85" t="str" cm="1">
        <f t="array" ref="L374">IFERROR(VLOOKUP($A374,'The List'!$B1:$AS671,38,FALSE)," ")</f>
        <v xml:space="preserve"> </v>
      </c>
      <c r="M374" s="85" t="str" cm="1">
        <f t="array" ref="M374">IFERROR(VLOOKUP($A374,'The List'!$B1:$AS671,39,FALSE)," ")</f>
        <v xml:space="preserve"> </v>
      </c>
      <c r="N374" s="85" t="str" cm="1">
        <f t="array" ref="N374">IFERROR(VLOOKUP($A374,'The List'!$B1:$AS671,40,FALSE)," ")</f>
        <v xml:space="preserve"> </v>
      </c>
      <c r="O374" s="85" t="str" cm="1">
        <f t="array" ref="O374">IFERROR(VLOOKUP($A374,'The List'!$B1:$AS671,41,FALSE)," ")</f>
        <v xml:space="preserve"> </v>
      </c>
      <c r="P374" s="85" t="str" cm="1">
        <f t="array" ref="P374">IFERROR(VLOOKUP($A374,'The List'!$B1:$AS671,42,FALSE)," ")</f>
        <v xml:space="preserve"> </v>
      </c>
      <c r="Q374" s="85" t="str" cm="1">
        <f t="array" ref="Q374">IFERROR(VLOOKUP($A374,'The List'!$B1:$AS671,43,FALSE)," ")</f>
        <v xml:space="preserve"> </v>
      </c>
      <c r="R374" s="86"/>
      <c r="S374" s="86"/>
      <c r="T374" s="86"/>
      <c r="U374" s="197"/>
      <c r="V374" s="197"/>
      <c r="W374" s="197"/>
      <c r="X374" s="197"/>
      <c r="Y374" s="197"/>
      <c r="Z374" s="197"/>
      <c r="AA374" s="86"/>
      <c r="AB374" s="86"/>
      <c r="AC374" s="86"/>
      <c r="AD374" s="86"/>
      <c r="AE374" s="86"/>
      <c r="AF374" s="86"/>
    </row>
    <row r="375" spans="1:32" ht="21.25" customHeight="1" x14ac:dyDescent="0.15">
      <c r="A375" s="104"/>
      <c r="B375" s="143" t="str" cm="1">
        <f t="array" ref="B375">IFERROR(VLOOKUP($A375,'The List'!$B1:$AS671,3,FALSE)," ")</f>
        <v xml:space="preserve"> </v>
      </c>
      <c r="C375" s="144" t="str" cm="1">
        <f t="array" ref="C375">IFERROR(VLOOKUP($A375,'The List'!$B1:$AS671,4,FALSE)," ")</f>
        <v xml:space="preserve"> </v>
      </c>
      <c r="D375" s="107" t="str" cm="1">
        <f t="array" ref="D375">IFERROR(VLOOKUP($A375,'The List'!$B1:$AS671,5,FALSE)," ")</f>
        <v xml:space="preserve"> </v>
      </c>
      <c r="E375" s="107" t="str" cm="1">
        <f t="array" ref="E375">IFERROR(VLOOKUP($A375,'The List'!$B1:$AS671,6,FALSE)," ")</f>
        <v xml:space="preserve"> </v>
      </c>
      <c r="F375" s="108" t="str" cm="1">
        <f t="array" ref="F375">IFERROR(VLOOKUP($A375,'The List'!$B1:$AS671,8,FALSE)," ")</f>
        <v xml:space="preserve"> </v>
      </c>
      <c r="G375" s="108" t="str" cm="1">
        <f t="array" ref="G375">IFERROR(VLOOKUP($A375,'The List'!$B1:$AS671,10,FALSE)," ")</f>
        <v xml:space="preserve"> </v>
      </c>
      <c r="H375" s="109"/>
      <c r="I375" s="110" t="str" cm="1">
        <f t="array" ref="I375">IFERROR(VLOOKUP($A375,'The List'!$B1:$AS671,35,FALSE)," ")</f>
        <v xml:space="preserve"> </v>
      </c>
      <c r="J375" s="110" t="str" cm="1">
        <f t="array" ref="J375">IFERROR(VLOOKUP($A375,'The List'!$B1:$AS671,36,FALSE)," ")</f>
        <v xml:space="preserve"> </v>
      </c>
      <c r="K375" s="110" t="str" cm="1">
        <f t="array" ref="K375">IFERROR(VLOOKUP($A375,'The List'!$B1:$AS671,37,FALSE)," ")</f>
        <v xml:space="preserve"> </v>
      </c>
      <c r="L375" s="110" t="str" cm="1">
        <f t="array" ref="L375">IFERROR(VLOOKUP($A375,'The List'!$B1:$AS671,38,FALSE)," ")</f>
        <v xml:space="preserve"> </v>
      </c>
      <c r="M375" s="110" t="str" cm="1">
        <f t="array" ref="M375">IFERROR(VLOOKUP($A375,'The List'!$B1:$AS671,39,FALSE)," ")</f>
        <v xml:space="preserve"> </v>
      </c>
      <c r="N375" s="110" t="str" cm="1">
        <f t="array" ref="N375">IFERROR(VLOOKUP($A375,'The List'!$B1:$AS671,40,FALSE)," ")</f>
        <v xml:space="preserve"> </v>
      </c>
      <c r="O375" s="110" t="str" cm="1">
        <f t="array" ref="O375">IFERROR(VLOOKUP($A375,'The List'!$B1:$AS671,41,FALSE)," ")</f>
        <v xml:space="preserve"> </v>
      </c>
      <c r="P375" s="110" t="str" cm="1">
        <f t="array" ref="P375">IFERROR(VLOOKUP($A375,'The List'!$B1:$AS671,42,FALSE)," ")</f>
        <v xml:space="preserve"> </v>
      </c>
      <c r="Q375" s="110" t="str" cm="1">
        <f t="array" ref="Q375">IFERROR(VLOOKUP($A375,'The List'!$B1:$AS671,43,FALSE)," ")</f>
        <v xml:space="preserve"> </v>
      </c>
      <c r="R375" s="86"/>
      <c r="S375" s="86"/>
      <c r="T375" s="86"/>
      <c r="U375" s="197"/>
      <c r="V375" s="197"/>
      <c r="W375" s="197"/>
      <c r="X375" s="197"/>
      <c r="Y375" s="197"/>
      <c r="Z375" s="197"/>
      <c r="AA375" s="86"/>
      <c r="AB375" s="86"/>
      <c r="AC375" s="86"/>
      <c r="AD375" s="86"/>
      <c r="AE375" s="86"/>
      <c r="AF375" s="86"/>
    </row>
    <row r="376" spans="1:32" ht="21.25" customHeight="1" x14ac:dyDescent="0.15">
      <c r="A376" s="111"/>
      <c r="B376" s="112"/>
      <c r="C376" s="113"/>
      <c r="D376" s="114"/>
      <c r="E376" s="114" t="str" cm="1">
        <f t="array" ref="E376">IFERROR(AVERAGE(E373:E375)," ")</f>
        <v xml:space="preserve"> </v>
      </c>
      <c r="F376" s="116" cm="1">
        <f t="array" ref="F376">SUM(F373:F375)</f>
        <v>0</v>
      </c>
      <c r="G376" s="116" cm="1">
        <f t="array" ref="G376">SUM(G373:G375)</f>
        <v>0</v>
      </c>
      <c r="H376" s="117"/>
      <c r="I376" s="118" cm="1">
        <f t="array" ref="I376">SUM(I373:I375)</f>
        <v>0</v>
      </c>
      <c r="J376" s="117" cm="1">
        <f t="array" ref="J376">SUM(J373:J375)</f>
        <v>0</v>
      </c>
      <c r="K376" s="118" cm="1">
        <f t="array" ref="K376">SUM(K373:K375)</f>
        <v>0</v>
      </c>
      <c r="L376" s="118" cm="1">
        <f t="array" ref="L376">SUM(L373:L375)</f>
        <v>0</v>
      </c>
      <c r="M376" s="118" cm="1">
        <f t="array" ref="M376">SUM(M373:M375)</f>
        <v>0</v>
      </c>
      <c r="N376" s="118" cm="1">
        <f t="array" ref="N376">SUM(N373:N375)</f>
        <v>0</v>
      </c>
      <c r="O376" s="118" cm="1">
        <f t="array" ref="O376">SUM(O373:O375)</f>
        <v>0</v>
      </c>
      <c r="P376" s="145" t="e" cm="1">
        <f t="array" ref="P376">1-(O376/(N376+O376))</f>
        <v>#DIV/0!</v>
      </c>
      <c r="Q376" s="146" t="e" cm="1">
        <f t="array" ref="Q376">O376/I376</f>
        <v>#DIV/0!</v>
      </c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</row>
    <row r="377" spans="1:32" ht="70.75" customHeight="1" x14ac:dyDescent="0.15">
      <c r="A377" s="37"/>
      <c r="B377" s="121"/>
      <c r="C377" s="122"/>
      <c r="D377" s="13"/>
      <c r="E377" s="13"/>
      <c r="F377" s="123"/>
      <c r="G377" s="124"/>
      <c r="H377" s="125"/>
      <c r="I377" s="12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91"/>
      <c r="AB377" s="91"/>
      <c r="AC377" s="91"/>
      <c r="AD377" s="91"/>
      <c r="AE377" s="91"/>
      <c r="AF377" s="91"/>
    </row>
    <row r="378" spans="1:32" ht="21.25" customHeight="1" x14ac:dyDescent="0.15">
      <c r="A378" s="41" t="s">
        <v>815</v>
      </c>
      <c r="B378" s="194" t="s">
        <v>93</v>
      </c>
      <c r="C378" s="195"/>
      <c r="D378" s="42" t="s">
        <v>94</v>
      </c>
      <c r="E378" s="42" t="s">
        <v>95</v>
      </c>
      <c r="F378" s="43" t="s">
        <v>97</v>
      </c>
      <c r="G378" s="43" t="s">
        <v>99</v>
      </c>
      <c r="H378" s="44"/>
      <c r="I378" s="46" t="s">
        <v>104</v>
      </c>
      <c r="J378" s="46" t="s">
        <v>56</v>
      </c>
      <c r="K378" s="46" t="s">
        <v>105</v>
      </c>
      <c r="L378" s="46" t="s">
        <v>106</v>
      </c>
      <c r="M378" s="46" t="s">
        <v>107</v>
      </c>
      <c r="N378" s="46" t="s">
        <v>108</v>
      </c>
      <c r="O378" s="46" t="s">
        <v>64</v>
      </c>
      <c r="P378" s="46" t="s">
        <v>68</v>
      </c>
      <c r="Q378" s="46" t="s">
        <v>109</v>
      </c>
      <c r="R378" s="46" t="s">
        <v>110</v>
      </c>
      <c r="S378" s="46" t="s">
        <v>111</v>
      </c>
      <c r="T378" s="46" t="s">
        <v>112</v>
      </c>
      <c r="U378" s="46" t="s">
        <v>113</v>
      </c>
      <c r="V378" s="46" t="s">
        <v>114</v>
      </c>
      <c r="W378" s="46" t="s">
        <v>115</v>
      </c>
      <c r="X378" s="46" t="s">
        <v>116</v>
      </c>
      <c r="Y378" s="46" t="s">
        <v>117</v>
      </c>
      <c r="Z378" s="46" t="s">
        <v>118</v>
      </c>
      <c r="AA378" s="86"/>
      <c r="AB378" s="87"/>
      <c r="AC378" s="87"/>
      <c r="AD378" s="87"/>
      <c r="AE378" s="87"/>
      <c r="AF378" s="87"/>
    </row>
    <row r="379" spans="1:32" ht="21.25" customHeight="1" x14ac:dyDescent="0.15">
      <c r="A379" s="24"/>
      <c r="B379" s="88" t="str" cm="1">
        <f t="array" ref="B379">IFERROR(VLOOKUP($A379,'The List'!$B1:$AS671,3,FALSE)," ")</f>
        <v xml:space="preserve"> </v>
      </c>
      <c r="C379" s="92" t="str" cm="1">
        <f t="array" ref="C379">IFERROR(VLOOKUP($A379,'The List'!$B1:$AS671,4,FALSE)," ")</f>
        <v xml:space="preserve"> </v>
      </c>
      <c r="D379" s="18" t="str" cm="1">
        <f t="array" ref="D379">IFERROR(VLOOKUP($A379,'The List'!$B1:$AS671,5,FALSE)," ")</f>
        <v xml:space="preserve"> </v>
      </c>
      <c r="E379" s="18" t="str" cm="1">
        <f t="array" ref="E379">IFERROR(VLOOKUP($A379,'The List'!$B1:$AS671,6,FALSE)," ")</f>
        <v xml:space="preserve"> </v>
      </c>
      <c r="F379" s="93" t="str" cm="1">
        <f t="array" ref="F379">IFERROR(VLOOKUP($A379,'The List'!$B1:$AS671,8,FALSE)," ")</f>
        <v xml:space="preserve"> </v>
      </c>
      <c r="G379" s="93" t="str" cm="1">
        <f t="array" ref="G379">IFERROR(VLOOKUP($A379,'The List'!$B1:$AS671,10,FALSE)," ")</f>
        <v xml:space="preserve"> </v>
      </c>
      <c r="H379" s="55"/>
      <c r="I379" s="85" t="str" cm="1">
        <f t="array" ref="I379">IFERROR(VLOOKUP($A379,'The List'!$B1:$AS671,16,FALSE)," ")</f>
        <v xml:space="preserve"> </v>
      </c>
      <c r="J379" s="85" t="str" cm="1">
        <f t="array" ref="J379">IFERROR(VLOOKUP($A379,'The List'!$B1:$AS671,17,FALSE)," ")</f>
        <v xml:space="preserve"> </v>
      </c>
      <c r="K379" s="85" t="str" cm="1">
        <f t="array" ref="K379">IFERROR(VLOOKUP($A379,'The List'!$B1:$AS671,18,FALSE)," ")</f>
        <v xml:space="preserve"> </v>
      </c>
      <c r="L379" s="85" t="str" cm="1">
        <f t="array" ref="L379">IFERROR(VLOOKUP($A379,'The List'!$B1:$AS671,19,FALSE)," ")</f>
        <v xml:space="preserve"> </v>
      </c>
      <c r="M379" s="85" t="str" cm="1">
        <f t="array" ref="M379">IFERROR(VLOOKUP($A379,'The List'!$B1:$AS671,20,FALSE)," ")</f>
        <v xml:space="preserve"> </v>
      </c>
      <c r="N379" s="85" t="str" cm="1">
        <f t="array" ref="N379">IFERROR(VLOOKUP($A379,'The List'!$B1:$AS671,21,FALSE)," ")</f>
        <v xml:space="preserve"> </v>
      </c>
      <c r="O379" s="85" t="str" cm="1">
        <f t="array" ref="O379">IFERROR(VLOOKUP($A379,'The List'!$B1:$AS671,22,FALSE)," ")</f>
        <v xml:space="preserve"> </v>
      </c>
      <c r="P379" s="85" t="str" cm="1">
        <f t="array" ref="P379">IFERROR(VLOOKUP($A379,'The List'!$B1:$AS671,23,FALSE)," ")</f>
        <v xml:space="preserve"> </v>
      </c>
      <c r="Q379" s="85" t="str" cm="1">
        <f t="array" ref="Q379">IFERROR(VLOOKUP($A379,'The List'!$B1:$AS671,24,FALSE)," ")</f>
        <v xml:space="preserve"> </v>
      </c>
      <c r="R379" s="85" t="str" cm="1">
        <f t="array" ref="R379">IFERROR(VLOOKUP($A379,'The List'!$B1:$AS671,25,FALSE)," ")</f>
        <v xml:space="preserve"> </v>
      </c>
      <c r="S379" s="85" t="str" cm="1">
        <f t="array" ref="S379">IFERROR(VLOOKUP($A379,'The List'!$B1:$AS671,26,FALSE)," ")</f>
        <v xml:space="preserve"> </v>
      </c>
      <c r="T379" s="85" t="str" cm="1">
        <f t="array" ref="T379">IFERROR(VLOOKUP($A379,'The List'!$B1:$AS671,27,FALSE)," ")</f>
        <v xml:space="preserve"> </v>
      </c>
      <c r="U379" s="85" t="str" cm="1">
        <f t="array" ref="U379">IFERROR(VLOOKUP($A379,'The List'!$B1:$AS671,28,FALSE)," ")</f>
        <v xml:space="preserve"> </v>
      </c>
      <c r="V379" s="85" t="str" cm="1">
        <f t="array" ref="V379">IFERROR(VLOOKUP($A379,'The List'!$B1:$AS671,29,FALSE)," ")</f>
        <v xml:space="preserve"> </v>
      </c>
      <c r="W379" s="85" t="str" cm="1">
        <f t="array" ref="W379">IFERROR(VLOOKUP($A379,'The List'!$B1:$AS671,30,FALSE)," ")</f>
        <v xml:space="preserve"> </v>
      </c>
      <c r="X379" s="85" t="str" cm="1">
        <f t="array" ref="X379">IFERROR(VLOOKUP($A379,'The List'!$B1:$AS671,31,FALSE)," ")</f>
        <v xml:space="preserve"> </v>
      </c>
      <c r="Y379" s="85" t="str" cm="1">
        <f t="array" ref="Y379">IFERROR(VLOOKUP($A379,'The List'!$B1:$AS671,32,FALSE)," ")</f>
        <v xml:space="preserve"> </v>
      </c>
      <c r="Z379" s="85" t="str" cm="1">
        <f t="array" ref="Z379">IFERROR(VLOOKUP($A379,'The List'!$B1:$AS671,33,FALSE)," ")</f>
        <v xml:space="preserve"> </v>
      </c>
      <c r="AA379" s="86"/>
      <c r="AB379" s="91"/>
      <c r="AC379" s="91"/>
      <c r="AD379" s="91"/>
      <c r="AE379" s="91"/>
      <c r="AF379" s="91"/>
    </row>
    <row r="380" spans="1:32" ht="21.25" customHeight="1" x14ac:dyDescent="0.15">
      <c r="A380" s="24"/>
      <c r="B380" s="88" t="str" cm="1">
        <f t="array" ref="B380">IFERROR(VLOOKUP($A380,'The List'!$B1:$AS671,3,FALSE)," ")</f>
        <v xml:space="preserve"> </v>
      </c>
      <c r="C380" s="92" t="str" cm="1">
        <f t="array" ref="C380">IFERROR(VLOOKUP($A380,'The List'!$B1:$AS671,4,FALSE)," ")</f>
        <v xml:space="preserve"> </v>
      </c>
      <c r="D380" s="18" t="str" cm="1">
        <f t="array" ref="D380">IFERROR(VLOOKUP($A380,'The List'!$B1:$AS671,5,FALSE)," ")</f>
        <v xml:space="preserve"> </v>
      </c>
      <c r="E380" s="18" t="str" cm="1">
        <f t="array" ref="E380">IFERROR(VLOOKUP($A380,'The List'!$B1:$AS671,6,FALSE)," ")</f>
        <v xml:space="preserve"> </v>
      </c>
      <c r="F380" s="93" t="str" cm="1">
        <f t="array" ref="F380">IFERROR(VLOOKUP($A380,'The List'!$B1:$AS671,8,FALSE)," ")</f>
        <v xml:space="preserve"> </v>
      </c>
      <c r="G380" s="93" t="str" cm="1">
        <f t="array" ref="G380">IFERROR(VLOOKUP($A380,'The List'!$B1:$AS671,10,FALSE)," ")</f>
        <v xml:space="preserve"> </v>
      </c>
      <c r="H380" s="55"/>
      <c r="I380" s="85" t="str" cm="1">
        <f t="array" ref="I380">IFERROR(VLOOKUP($A380,'The List'!$B1:$AS671,16,FALSE)," ")</f>
        <v xml:space="preserve"> </v>
      </c>
      <c r="J380" s="85" t="str" cm="1">
        <f t="array" ref="J380">IFERROR(VLOOKUP($A380,'The List'!$B1:$AS671,17,FALSE)," ")</f>
        <v xml:space="preserve"> </v>
      </c>
      <c r="K380" s="85" t="str" cm="1">
        <f t="array" ref="K380">IFERROR(VLOOKUP($A380,'The List'!$B1:$AS671,18,FALSE)," ")</f>
        <v xml:space="preserve"> </v>
      </c>
      <c r="L380" s="85" t="str" cm="1">
        <f t="array" ref="L380">IFERROR(VLOOKUP($A380,'The List'!$B1:$AS671,19,FALSE)," ")</f>
        <v xml:space="preserve"> </v>
      </c>
      <c r="M380" s="85" t="str" cm="1">
        <f t="array" ref="M380">IFERROR(VLOOKUP($A380,'The List'!$B1:$AS671,20,FALSE)," ")</f>
        <v xml:space="preserve"> </v>
      </c>
      <c r="N380" s="85" t="str" cm="1">
        <f t="array" ref="N380">IFERROR(VLOOKUP($A380,'The List'!$B1:$AS671,21,FALSE)," ")</f>
        <v xml:space="preserve"> </v>
      </c>
      <c r="O380" s="85" t="str" cm="1">
        <f t="array" ref="O380">IFERROR(VLOOKUP($A380,'The List'!$B1:$AS671,22,FALSE)," ")</f>
        <v xml:space="preserve"> </v>
      </c>
      <c r="P380" s="85" t="str" cm="1">
        <f t="array" ref="P380">IFERROR(VLOOKUP($A380,'The List'!$B1:$AS671,23,FALSE)," ")</f>
        <v xml:space="preserve"> </v>
      </c>
      <c r="Q380" s="85" t="str" cm="1">
        <f t="array" ref="Q380">IFERROR(VLOOKUP($A380,'The List'!$B1:$AS671,24,FALSE)," ")</f>
        <v xml:space="preserve"> </v>
      </c>
      <c r="R380" s="85" t="str" cm="1">
        <f t="array" ref="R380">IFERROR(VLOOKUP($A380,'The List'!$B1:$AS671,25,FALSE)," ")</f>
        <v xml:space="preserve"> </v>
      </c>
      <c r="S380" s="85" t="str" cm="1">
        <f t="array" ref="S380">IFERROR(VLOOKUP($A380,'The List'!$B1:$AS671,26,FALSE)," ")</f>
        <v xml:space="preserve"> </v>
      </c>
      <c r="T380" s="85" t="str" cm="1">
        <f t="array" ref="T380">IFERROR(VLOOKUP($A380,'The List'!$B1:$AS671,27,FALSE)," ")</f>
        <v xml:space="preserve"> </v>
      </c>
      <c r="U380" s="85" t="str" cm="1">
        <f t="array" ref="U380">IFERROR(VLOOKUP($A380,'The List'!$B1:$AS671,28,FALSE)," ")</f>
        <v xml:space="preserve"> </v>
      </c>
      <c r="V380" s="85" t="str" cm="1">
        <f t="array" ref="V380">IFERROR(VLOOKUP($A380,'The List'!$B1:$AS671,29,FALSE)," ")</f>
        <v xml:space="preserve"> </v>
      </c>
      <c r="W380" s="85" t="str" cm="1">
        <f t="array" ref="W380">IFERROR(VLOOKUP($A380,'The List'!$B1:$AS671,30,FALSE)," ")</f>
        <v xml:space="preserve"> </v>
      </c>
      <c r="X380" s="85" t="str" cm="1">
        <f t="array" ref="X380">IFERROR(VLOOKUP($A380,'The List'!$B1:$AS671,31,FALSE)," ")</f>
        <v xml:space="preserve"> </v>
      </c>
      <c r="Y380" s="85" t="str" cm="1">
        <f t="array" ref="Y380">IFERROR(VLOOKUP($A380,'The List'!$B1:$AS671,32,FALSE)," ")</f>
        <v xml:space="preserve"> </v>
      </c>
      <c r="Z380" s="85" t="str" cm="1">
        <f t="array" ref="Z380">IFERROR(VLOOKUP($A380,'The List'!$B1:$AS671,33,FALSE)," ")</f>
        <v xml:space="preserve"> </v>
      </c>
      <c r="AA380" s="86"/>
      <c r="AB380" s="91"/>
      <c r="AC380" s="91"/>
      <c r="AD380" s="91"/>
      <c r="AE380" s="91"/>
      <c r="AF380" s="91"/>
    </row>
    <row r="381" spans="1:32" ht="21.25" customHeight="1" x14ac:dyDescent="0.15">
      <c r="A381" s="24"/>
      <c r="B381" s="88" t="str" cm="1">
        <f t="array" ref="B381">IFERROR(VLOOKUP($A381,'The List'!$B1:$AS671,3,FALSE)," ")</f>
        <v xml:space="preserve"> </v>
      </c>
      <c r="C381" s="92" t="str" cm="1">
        <f t="array" ref="C381">IFERROR(VLOOKUP($A381,'The List'!$B1:$AS671,4,FALSE)," ")</f>
        <v xml:space="preserve"> </v>
      </c>
      <c r="D381" s="18" t="str" cm="1">
        <f t="array" ref="D381">IFERROR(VLOOKUP($A381,'The List'!$B1:$AS671,5,FALSE)," ")</f>
        <v xml:space="preserve"> </v>
      </c>
      <c r="E381" s="18" t="str" cm="1">
        <f t="array" ref="E381">IFERROR(VLOOKUP($A381,'The List'!$B1:$AS671,6,FALSE)," ")</f>
        <v xml:space="preserve"> </v>
      </c>
      <c r="F381" s="93" t="str" cm="1">
        <f t="array" ref="F381">IFERROR(VLOOKUP($A381,'The List'!$B1:$AS671,8,FALSE)," ")</f>
        <v xml:space="preserve"> </v>
      </c>
      <c r="G381" s="93" t="str" cm="1">
        <f t="array" ref="G381">IFERROR(VLOOKUP($A381,'The List'!$B1:$AS671,10,FALSE)," ")</f>
        <v xml:space="preserve"> </v>
      </c>
      <c r="H381" s="55"/>
      <c r="I381" s="85" t="str" cm="1">
        <f t="array" ref="I381">IFERROR(VLOOKUP($A381,'The List'!$B1:$AS671,16,FALSE)," ")</f>
        <v xml:space="preserve"> </v>
      </c>
      <c r="J381" s="85" t="str" cm="1">
        <f t="array" ref="J381">IFERROR(VLOOKUP($A381,'The List'!$B1:$AS671,17,FALSE)," ")</f>
        <v xml:space="preserve"> </v>
      </c>
      <c r="K381" s="85" t="str" cm="1">
        <f t="array" ref="K381">IFERROR(VLOOKUP($A381,'The List'!$B1:$AS671,18,FALSE)," ")</f>
        <v xml:space="preserve"> </v>
      </c>
      <c r="L381" s="85" t="str" cm="1">
        <f t="array" ref="L381">IFERROR(VLOOKUP($A381,'The List'!$B1:$AS671,19,FALSE)," ")</f>
        <v xml:space="preserve"> </v>
      </c>
      <c r="M381" s="85" t="str" cm="1">
        <f t="array" ref="M381">IFERROR(VLOOKUP($A381,'The List'!$B1:$AS671,20,FALSE)," ")</f>
        <v xml:space="preserve"> </v>
      </c>
      <c r="N381" s="85" t="str" cm="1">
        <f t="array" ref="N381">IFERROR(VLOOKUP($A381,'The List'!$B1:$AS671,21,FALSE)," ")</f>
        <v xml:space="preserve"> </v>
      </c>
      <c r="O381" s="85" t="str" cm="1">
        <f t="array" ref="O381">IFERROR(VLOOKUP($A381,'The List'!$B1:$AS671,22,FALSE)," ")</f>
        <v xml:space="preserve"> </v>
      </c>
      <c r="P381" s="85" t="str" cm="1">
        <f t="array" ref="P381">IFERROR(VLOOKUP($A381,'The List'!$B1:$AS671,23,FALSE)," ")</f>
        <v xml:space="preserve"> </v>
      </c>
      <c r="Q381" s="85" t="str" cm="1">
        <f t="array" ref="Q381">IFERROR(VLOOKUP($A381,'The List'!$B1:$AS671,24,FALSE)," ")</f>
        <v xml:space="preserve"> </v>
      </c>
      <c r="R381" s="85" t="str" cm="1">
        <f t="array" ref="R381">IFERROR(VLOOKUP($A381,'The List'!$B1:$AS671,25,FALSE)," ")</f>
        <v xml:space="preserve"> </v>
      </c>
      <c r="S381" s="85" t="str" cm="1">
        <f t="array" ref="S381">IFERROR(VLOOKUP($A381,'The List'!$B1:$AS671,26,FALSE)," ")</f>
        <v xml:space="preserve"> </v>
      </c>
      <c r="T381" s="85" t="str" cm="1">
        <f t="array" ref="T381">IFERROR(VLOOKUP($A381,'The List'!$B1:$AS671,27,FALSE)," ")</f>
        <v xml:space="preserve"> </v>
      </c>
      <c r="U381" s="85" t="str" cm="1">
        <f t="array" ref="U381">IFERROR(VLOOKUP($A381,'The List'!$B1:$AS671,28,FALSE)," ")</f>
        <v xml:space="preserve"> </v>
      </c>
      <c r="V381" s="85" t="str" cm="1">
        <f t="array" ref="V381">IFERROR(VLOOKUP($A381,'The List'!$B1:$AS671,29,FALSE)," ")</f>
        <v xml:space="preserve"> </v>
      </c>
      <c r="W381" s="85" t="str" cm="1">
        <f t="array" ref="W381">IFERROR(VLOOKUP($A381,'The List'!$B1:$AS671,30,FALSE)," ")</f>
        <v xml:space="preserve"> </v>
      </c>
      <c r="X381" s="85" t="str" cm="1">
        <f t="array" ref="X381">IFERROR(VLOOKUP($A381,'The List'!$B1:$AS671,31,FALSE)," ")</f>
        <v xml:space="preserve"> </v>
      </c>
      <c r="Y381" s="85" t="str" cm="1">
        <f t="array" ref="Y381">IFERROR(VLOOKUP($A381,'The List'!$B1:$AS671,32,FALSE)," ")</f>
        <v xml:space="preserve"> </v>
      </c>
      <c r="Z381" s="85" t="str" cm="1">
        <f t="array" ref="Z381">IFERROR(VLOOKUP($A381,'The List'!$B1:$AS671,33,FALSE)," ")</f>
        <v xml:space="preserve"> </v>
      </c>
      <c r="AA381" s="86"/>
      <c r="AB381" s="91"/>
      <c r="AC381" s="91"/>
      <c r="AD381" s="91"/>
      <c r="AE381" s="91"/>
      <c r="AF381" s="91"/>
    </row>
    <row r="382" spans="1:32" ht="21.25" customHeight="1" x14ac:dyDescent="0.15">
      <c r="A382" s="24"/>
      <c r="B382" s="88" t="str" cm="1">
        <f t="array" ref="B382">IFERROR(VLOOKUP($A382,'The List'!$B1:$AS671,3,FALSE)," ")</f>
        <v xml:space="preserve"> </v>
      </c>
      <c r="C382" s="92" t="str" cm="1">
        <f t="array" ref="C382">IFERROR(VLOOKUP($A382,'The List'!$B1:$AS671,4,FALSE)," ")</f>
        <v xml:space="preserve"> </v>
      </c>
      <c r="D382" s="18" t="str" cm="1">
        <f t="array" ref="D382">IFERROR(VLOOKUP($A382,'The List'!$B1:$AS671,5,FALSE)," ")</f>
        <v xml:space="preserve"> </v>
      </c>
      <c r="E382" s="18" t="str" cm="1">
        <f t="array" ref="E382">IFERROR(VLOOKUP($A382,'The List'!$B1:$AS671,6,FALSE)," ")</f>
        <v xml:space="preserve"> </v>
      </c>
      <c r="F382" s="93" t="str" cm="1">
        <f t="array" ref="F382">IFERROR(VLOOKUP($A382,'The List'!$B1:$AS671,8,FALSE)," ")</f>
        <v xml:space="preserve"> </v>
      </c>
      <c r="G382" s="93" t="str" cm="1">
        <f t="array" ref="G382">IFERROR(VLOOKUP($A382,'The List'!$B1:$AS671,10,FALSE)," ")</f>
        <v xml:space="preserve"> </v>
      </c>
      <c r="H382" s="55"/>
      <c r="I382" s="85" t="str" cm="1">
        <f t="array" ref="I382">IFERROR(VLOOKUP($A382,'The List'!$B1:$AS671,16,FALSE)," ")</f>
        <v xml:space="preserve"> </v>
      </c>
      <c r="J382" s="85" t="str" cm="1">
        <f t="array" ref="J382">IFERROR(VLOOKUP($A382,'The List'!$B1:$AS671,17,FALSE)," ")</f>
        <v xml:space="preserve"> </v>
      </c>
      <c r="K382" s="85" t="str" cm="1">
        <f t="array" ref="K382">IFERROR(VLOOKUP($A382,'The List'!$B1:$AS671,18,FALSE)," ")</f>
        <v xml:space="preserve"> </v>
      </c>
      <c r="L382" s="85" t="str" cm="1">
        <f t="array" ref="L382">IFERROR(VLOOKUP($A382,'The List'!$B1:$AS671,19,FALSE)," ")</f>
        <v xml:space="preserve"> </v>
      </c>
      <c r="M382" s="85" t="str" cm="1">
        <f t="array" ref="M382">IFERROR(VLOOKUP($A382,'The List'!$B1:$AS671,20,FALSE)," ")</f>
        <v xml:space="preserve"> </v>
      </c>
      <c r="N382" s="85" t="str" cm="1">
        <f t="array" ref="N382">IFERROR(VLOOKUP($A382,'The List'!$B1:$AS671,21,FALSE)," ")</f>
        <v xml:space="preserve"> </v>
      </c>
      <c r="O382" s="85" t="str" cm="1">
        <f t="array" ref="O382">IFERROR(VLOOKUP($A382,'The List'!$B1:$AS671,22,FALSE)," ")</f>
        <v xml:space="preserve"> </v>
      </c>
      <c r="P382" s="85" t="str" cm="1">
        <f t="array" ref="P382">IFERROR(VLOOKUP($A382,'The List'!$B1:$AS671,23,FALSE)," ")</f>
        <v xml:space="preserve"> </v>
      </c>
      <c r="Q382" s="85" t="str" cm="1">
        <f t="array" ref="Q382">IFERROR(VLOOKUP($A382,'The List'!$B1:$AS671,24,FALSE)," ")</f>
        <v xml:space="preserve"> </v>
      </c>
      <c r="R382" s="85" t="str" cm="1">
        <f t="array" ref="R382">IFERROR(VLOOKUP($A382,'The List'!$B1:$AS671,25,FALSE)," ")</f>
        <v xml:space="preserve"> </v>
      </c>
      <c r="S382" s="85" t="str" cm="1">
        <f t="array" ref="S382">IFERROR(VLOOKUP($A382,'The List'!$B1:$AS671,26,FALSE)," ")</f>
        <v xml:space="preserve"> </v>
      </c>
      <c r="T382" s="85" t="str" cm="1">
        <f t="array" ref="T382">IFERROR(VLOOKUP($A382,'The List'!$B1:$AS671,27,FALSE)," ")</f>
        <v xml:space="preserve"> </v>
      </c>
      <c r="U382" s="85" t="str" cm="1">
        <f t="array" ref="U382">IFERROR(VLOOKUP($A382,'The List'!$B1:$AS671,28,FALSE)," ")</f>
        <v xml:space="preserve"> </v>
      </c>
      <c r="V382" s="85" t="str" cm="1">
        <f t="array" ref="V382">IFERROR(VLOOKUP($A382,'The List'!$B1:$AS671,29,FALSE)," ")</f>
        <v xml:space="preserve"> </v>
      </c>
      <c r="W382" s="85" t="str" cm="1">
        <f t="array" ref="W382">IFERROR(VLOOKUP($A382,'The List'!$B1:$AS671,30,FALSE)," ")</f>
        <v xml:space="preserve"> </v>
      </c>
      <c r="X382" s="85" t="str" cm="1">
        <f t="array" ref="X382">IFERROR(VLOOKUP($A382,'The List'!$B1:$AS671,31,FALSE)," ")</f>
        <v xml:space="preserve"> </v>
      </c>
      <c r="Y382" s="85" t="str" cm="1">
        <f t="array" ref="Y382">IFERROR(VLOOKUP($A382,'The List'!$B1:$AS671,32,FALSE)," ")</f>
        <v xml:space="preserve"> </v>
      </c>
      <c r="Z382" s="85" t="str" cm="1">
        <f t="array" ref="Z382">IFERROR(VLOOKUP($A382,'The List'!$B1:$AS671,33,FALSE)," ")</f>
        <v xml:space="preserve"> </v>
      </c>
      <c r="AA382" s="86"/>
      <c r="AB382" s="91"/>
      <c r="AC382" s="91"/>
      <c r="AD382" s="91"/>
      <c r="AE382" s="91"/>
      <c r="AF382" s="91"/>
    </row>
    <row r="383" spans="1:32" ht="21.25" customHeight="1" x14ac:dyDescent="0.15">
      <c r="A383" s="24"/>
      <c r="B383" s="94" t="str" cm="1">
        <f t="array" ref="B383">IFERROR(VLOOKUP($A383,'The List'!$B1:$AS671,3,FALSE)," ")</f>
        <v xml:space="preserve"> </v>
      </c>
      <c r="C383" s="96" t="str" cm="1">
        <f t="array" ref="C383">IFERROR(VLOOKUP($A383,'The List'!$B1:$AS671,4,FALSE)," ")</f>
        <v xml:space="preserve"> </v>
      </c>
      <c r="D383" s="18" t="str" cm="1">
        <f t="array" ref="D383">IFERROR(VLOOKUP($A383,'The List'!$B1:$AS671,5,FALSE)," ")</f>
        <v xml:space="preserve"> </v>
      </c>
      <c r="E383" s="18" t="str" cm="1">
        <f t="array" ref="E383">IFERROR(VLOOKUP($A383,'The List'!$B1:$AS671,6,FALSE)," ")</f>
        <v xml:space="preserve"> </v>
      </c>
      <c r="F383" s="93" t="str" cm="1">
        <f t="array" ref="F383">IFERROR(VLOOKUP($A383,'The List'!$B1:$AS671,8,FALSE)," ")</f>
        <v xml:space="preserve"> </v>
      </c>
      <c r="G383" s="93" t="str" cm="1">
        <f t="array" ref="G383">IFERROR(VLOOKUP($A383,'The List'!$B1:$AS671,10,FALSE)," ")</f>
        <v xml:space="preserve"> </v>
      </c>
      <c r="H383" s="55"/>
      <c r="I383" s="85" t="str" cm="1">
        <f t="array" ref="I383">IFERROR(VLOOKUP($A383,'The List'!$B1:$AS671,16,FALSE)," ")</f>
        <v xml:space="preserve"> </v>
      </c>
      <c r="J383" s="85" t="str" cm="1">
        <f t="array" ref="J383">IFERROR(VLOOKUP($A383,'The List'!$B1:$AS671,17,FALSE)," ")</f>
        <v xml:space="preserve"> </v>
      </c>
      <c r="K383" s="85" t="str" cm="1">
        <f t="array" ref="K383">IFERROR(VLOOKUP($A383,'The List'!$B1:$AS671,18,FALSE)," ")</f>
        <v xml:space="preserve"> </v>
      </c>
      <c r="L383" s="85" t="str" cm="1">
        <f t="array" ref="L383">IFERROR(VLOOKUP($A383,'The List'!$B1:$AS671,19,FALSE)," ")</f>
        <v xml:space="preserve"> </v>
      </c>
      <c r="M383" s="85" t="str" cm="1">
        <f t="array" ref="M383">IFERROR(VLOOKUP($A383,'The List'!$B1:$AS671,20,FALSE)," ")</f>
        <v xml:space="preserve"> </v>
      </c>
      <c r="N383" s="85" t="str" cm="1">
        <f t="array" ref="N383">IFERROR(VLOOKUP($A383,'The List'!$B1:$AS671,21,FALSE)," ")</f>
        <v xml:space="preserve"> </v>
      </c>
      <c r="O383" s="85" t="str" cm="1">
        <f t="array" ref="O383">IFERROR(VLOOKUP($A383,'The List'!$B1:$AS671,22,FALSE)," ")</f>
        <v xml:space="preserve"> </v>
      </c>
      <c r="P383" s="85" t="str" cm="1">
        <f t="array" ref="P383">IFERROR(VLOOKUP($A383,'The List'!$B1:$AS671,23,FALSE)," ")</f>
        <v xml:space="preserve"> </v>
      </c>
      <c r="Q383" s="85" t="str" cm="1">
        <f t="array" ref="Q383">IFERROR(VLOOKUP($A383,'The List'!$B1:$AS671,24,FALSE)," ")</f>
        <v xml:space="preserve"> </v>
      </c>
      <c r="R383" s="85" t="str" cm="1">
        <f t="array" ref="R383">IFERROR(VLOOKUP($A383,'The List'!$B1:$AS671,25,FALSE)," ")</f>
        <v xml:space="preserve"> </v>
      </c>
      <c r="S383" s="85" t="str" cm="1">
        <f t="array" ref="S383">IFERROR(VLOOKUP($A383,'The List'!$B1:$AS671,26,FALSE)," ")</f>
        <v xml:space="preserve"> </v>
      </c>
      <c r="T383" s="85" t="str" cm="1">
        <f t="array" ref="T383">IFERROR(VLOOKUP($A383,'The List'!$B1:$AS671,27,FALSE)," ")</f>
        <v xml:space="preserve"> </v>
      </c>
      <c r="U383" s="85" t="str" cm="1">
        <f t="array" ref="U383">IFERROR(VLOOKUP($A383,'The List'!$B1:$AS671,28,FALSE)," ")</f>
        <v xml:space="preserve"> </v>
      </c>
      <c r="V383" s="85" t="str" cm="1">
        <f t="array" ref="V383">IFERROR(VLOOKUP($A383,'The List'!$B1:$AS671,29,FALSE)," ")</f>
        <v xml:space="preserve"> </v>
      </c>
      <c r="W383" s="85" t="str" cm="1">
        <f t="array" ref="W383">IFERROR(VLOOKUP($A383,'The List'!$B1:$AS671,30,FALSE)," ")</f>
        <v xml:space="preserve"> </v>
      </c>
      <c r="X383" s="85" t="str" cm="1">
        <f t="array" ref="X383">IFERROR(VLOOKUP($A383,'The List'!$B1:$AS671,31,FALSE)," ")</f>
        <v xml:space="preserve"> </v>
      </c>
      <c r="Y383" s="85" t="str" cm="1">
        <f t="array" ref="Y383">IFERROR(VLOOKUP($A383,'The List'!$B1:$AS671,32,FALSE)," ")</f>
        <v xml:space="preserve"> </v>
      </c>
      <c r="Z383" s="85" t="str" cm="1">
        <f t="array" ref="Z383">IFERROR(VLOOKUP($A383,'The List'!$B1:$AS671,33,FALSE)," ")</f>
        <v xml:space="preserve"> </v>
      </c>
      <c r="AA383" s="86"/>
      <c r="AB383" s="91"/>
      <c r="AC383" s="91"/>
      <c r="AD383" s="91"/>
      <c r="AE383" s="91"/>
      <c r="AF383" s="91"/>
    </row>
    <row r="384" spans="1:32" ht="21.25" customHeight="1" x14ac:dyDescent="0.15">
      <c r="A384" s="24"/>
      <c r="B384" s="94" t="str" cm="1">
        <f t="array" ref="B384">IFERROR(VLOOKUP($A384,'The List'!$B1:$AS671,3,FALSE)," ")</f>
        <v xml:space="preserve"> </v>
      </c>
      <c r="C384" s="96" t="str" cm="1">
        <f t="array" ref="C384">IFERROR(VLOOKUP($A384,'The List'!$B1:$AS671,4,FALSE)," ")</f>
        <v xml:space="preserve"> </v>
      </c>
      <c r="D384" s="18" t="str" cm="1">
        <f t="array" ref="D384">IFERROR(VLOOKUP($A384,'The List'!$B1:$AS671,5,FALSE)," ")</f>
        <v xml:space="preserve"> </v>
      </c>
      <c r="E384" s="18" t="str" cm="1">
        <f t="array" ref="E384">IFERROR(VLOOKUP($A384,'The List'!$B1:$AS671,6,FALSE)," ")</f>
        <v xml:space="preserve"> </v>
      </c>
      <c r="F384" s="93" t="str" cm="1">
        <f t="array" ref="F384">IFERROR(VLOOKUP($A384,'The List'!$B1:$AS671,8,FALSE)," ")</f>
        <v xml:space="preserve"> </v>
      </c>
      <c r="G384" s="93" t="str" cm="1">
        <f t="array" ref="G384">IFERROR(VLOOKUP($A384,'The List'!$B1:$AS671,10,FALSE)," ")</f>
        <v xml:space="preserve"> </v>
      </c>
      <c r="H384" s="55"/>
      <c r="I384" s="85" t="str" cm="1">
        <f t="array" ref="I384">IFERROR(VLOOKUP($A384,'The List'!$B1:$AS671,16,FALSE)," ")</f>
        <v xml:space="preserve"> </v>
      </c>
      <c r="J384" s="85" t="str" cm="1">
        <f t="array" ref="J384">IFERROR(VLOOKUP($A384,'The List'!$B1:$AS671,17,FALSE)," ")</f>
        <v xml:space="preserve"> </v>
      </c>
      <c r="K384" s="85" t="str" cm="1">
        <f t="array" ref="K384">IFERROR(VLOOKUP($A384,'The List'!$B1:$AS671,18,FALSE)," ")</f>
        <v xml:space="preserve"> </v>
      </c>
      <c r="L384" s="85" t="str" cm="1">
        <f t="array" ref="L384">IFERROR(VLOOKUP($A384,'The List'!$B1:$AS671,19,FALSE)," ")</f>
        <v xml:space="preserve"> </v>
      </c>
      <c r="M384" s="85" t="str" cm="1">
        <f t="array" ref="M384">IFERROR(VLOOKUP($A384,'The List'!$B1:$AS671,20,FALSE)," ")</f>
        <v xml:space="preserve"> </v>
      </c>
      <c r="N384" s="85" t="str" cm="1">
        <f t="array" ref="N384">IFERROR(VLOOKUP($A384,'The List'!$B1:$AS671,21,FALSE)," ")</f>
        <v xml:space="preserve"> </v>
      </c>
      <c r="O384" s="85" t="str" cm="1">
        <f t="array" ref="O384">IFERROR(VLOOKUP($A384,'The List'!$B1:$AS671,22,FALSE)," ")</f>
        <v xml:space="preserve"> </v>
      </c>
      <c r="P384" s="85" t="str" cm="1">
        <f t="array" ref="P384">IFERROR(VLOOKUP($A384,'The List'!$B1:$AS671,23,FALSE)," ")</f>
        <v xml:space="preserve"> </v>
      </c>
      <c r="Q384" s="85" t="str" cm="1">
        <f t="array" ref="Q384">IFERROR(VLOOKUP($A384,'The List'!$B1:$AS671,24,FALSE)," ")</f>
        <v xml:space="preserve"> </v>
      </c>
      <c r="R384" s="85" t="str" cm="1">
        <f t="array" ref="R384">IFERROR(VLOOKUP($A384,'The List'!$B1:$AS671,25,FALSE)," ")</f>
        <v xml:space="preserve"> </v>
      </c>
      <c r="S384" s="85" t="str" cm="1">
        <f t="array" ref="S384">IFERROR(VLOOKUP($A384,'The List'!$B1:$AS671,26,FALSE)," ")</f>
        <v xml:space="preserve"> </v>
      </c>
      <c r="T384" s="85" t="str" cm="1">
        <f t="array" ref="T384">IFERROR(VLOOKUP($A384,'The List'!$B1:$AS671,27,FALSE)," ")</f>
        <v xml:space="preserve"> </v>
      </c>
      <c r="U384" s="85" t="str" cm="1">
        <f t="array" ref="U384">IFERROR(VLOOKUP($A384,'The List'!$B1:$AS671,28,FALSE)," ")</f>
        <v xml:space="preserve"> </v>
      </c>
      <c r="V384" s="85" t="str" cm="1">
        <f t="array" ref="V384">IFERROR(VLOOKUP($A384,'The List'!$B1:$AS671,29,FALSE)," ")</f>
        <v xml:space="preserve"> </v>
      </c>
      <c r="W384" s="85" t="str" cm="1">
        <f t="array" ref="W384">IFERROR(VLOOKUP($A384,'The List'!$B1:$AS671,30,FALSE)," ")</f>
        <v xml:space="preserve"> </v>
      </c>
      <c r="X384" s="85" t="str" cm="1">
        <f t="array" ref="X384">IFERROR(VLOOKUP($A384,'The List'!$B1:$AS671,31,FALSE)," ")</f>
        <v xml:space="preserve"> </v>
      </c>
      <c r="Y384" s="85" t="str" cm="1">
        <f t="array" ref="Y384">IFERROR(VLOOKUP($A384,'The List'!$B1:$AS671,32,FALSE)," ")</f>
        <v xml:space="preserve"> </v>
      </c>
      <c r="Z384" s="85" t="str" cm="1">
        <f t="array" ref="Z384">IFERROR(VLOOKUP($A384,'The List'!$B1:$AS671,33,FALSE)," ")</f>
        <v xml:space="preserve"> </v>
      </c>
      <c r="AA384" s="86"/>
      <c r="AB384" s="91"/>
      <c r="AC384" s="91"/>
      <c r="AD384" s="91"/>
      <c r="AE384" s="91"/>
      <c r="AF384" s="91"/>
    </row>
    <row r="385" spans="1:32" ht="21.25" customHeight="1" x14ac:dyDescent="0.15">
      <c r="A385" s="24"/>
      <c r="B385" s="94" t="str" cm="1">
        <f t="array" ref="B385">IFERROR(VLOOKUP($A385,'The List'!$B1:$AS671,3,FALSE)," ")</f>
        <v xml:space="preserve"> </v>
      </c>
      <c r="C385" s="96" t="str" cm="1">
        <f t="array" ref="C385">IFERROR(VLOOKUP($A385,'The List'!$B1:$AS671,4,FALSE)," ")</f>
        <v xml:space="preserve"> </v>
      </c>
      <c r="D385" s="18" t="str" cm="1">
        <f t="array" ref="D385">IFERROR(VLOOKUP($A385,'The List'!$B1:$AS671,5,FALSE)," ")</f>
        <v xml:space="preserve"> </v>
      </c>
      <c r="E385" s="18" t="str" cm="1">
        <f t="array" ref="E385">IFERROR(VLOOKUP($A385,'The List'!$B1:$AS671,6,FALSE)," ")</f>
        <v xml:space="preserve"> </v>
      </c>
      <c r="F385" s="93" t="str" cm="1">
        <f t="array" ref="F385">IFERROR(VLOOKUP($A385,'The List'!$B1:$AS671,8,FALSE)," ")</f>
        <v xml:space="preserve"> </v>
      </c>
      <c r="G385" s="93" t="str" cm="1">
        <f t="array" ref="G385">IFERROR(VLOOKUP($A385,'The List'!$B1:$AS671,10,FALSE)," ")</f>
        <v xml:space="preserve"> </v>
      </c>
      <c r="H385" s="55"/>
      <c r="I385" s="85" t="str" cm="1">
        <f t="array" ref="I385">IFERROR(VLOOKUP($A385,'The List'!$B1:$AS671,16,FALSE)," ")</f>
        <v xml:space="preserve"> </v>
      </c>
      <c r="J385" s="85" t="str" cm="1">
        <f t="array" ref="J385">IFERROR(VLOOKUP($A385,'The List'!$B1:$AS671,17,FALSE)," ")</f>
        <v xml:space="preserve"> </v>
      </c>
      <c r="K385" s="85" t="str" cm="1">
        <f t="array" ref="K385">IFERROR(VLOOKUP($A385,'The List'!$B1:$AS671,18,FALSE)," ")</f>
        <v xml:space="preserve"> </v>
      </c>
      <c r="L385" s="85" t="str" cm="1">
        <f t="array" ref="L385">IFERROR(VLOOKUP($A385,'The List'!$B1:$AS671,19,FALSE)," ")</f>
        <v xml:space="preserve"> </v>
      </c>
      <c r="M385" s="85" t="str" cm="1">
        <f t="array" ref="M385">IFERROR(VLOOKUP($A385,'The List'!$B1:$AS671,20,FALSE)," ")</f>
        <v xml:space="preserve"> </v>
      </c>
      <c r="N385" s="85" t="str" cm="1">
        <f t="array" ref="N385">IFERROR(VLOOKUP($A385,'The List'!$B1:$AS671,21,FALSE)," ")</f>
        <v xml:space="preserve"> </v>
      </c>
      <c r="O385" s="85" t="str" cm="1">
        <f t="array" ref="O385">IFERROR(VLOOKUP($A385,'The List'!$B1:$AS671,22,FALSE)," ")</f>
        <v xml:space="preserve"> </v>
      </c>
      <c r="P385" s="85" t="str" cm="1">
        <f t="array" ref="P385">IFERROR(VLOOKUP($A385,'The List'!$B1:$AS671,23,FALSE)," ")</f>
        <v xml:space="preserve"> </v>
      </c>
      <c r="Q385" s="85" t="str" cm="1">
        <f t="array" ref="Q385">IFERROR(VLOOKUP($A385,'The List'!$B1:$AS671,24,FALSE)," ")</f>
        <v xml:space="preserve"> </v>
      </c>
      <c r="R385" s="85" t="str" cm="1">
        <f t="array" ref="R385">IFERROR(VLOOKUP($A385,'The List'!$B1:$AS671,25,FALSE)," ")</f>
        <v xml:space="preserve"> </v>
      </c>
      <c r="S385" s="85" t="str" cm="1">
        <f t="array" ref="S385">IFERROR(VLOOKUP($A385,'The List'!$B1:$AS671,26,FALSE)," ")</f>
        <v xml:space="preserve"> </v>
      </c>
      <c r="T385" s="85" t="str" cm="1">
        <f t="array" ref="T385">IFERROR(VLOOKUP($A385,'The List'!$B1:$AS671,27,FALSE)," ")</f>
        <v xml:space="preserve"> </v>
      </c>
      <c r="U385" s="85" t="str" cm="1">
        <f t="array" ref="U385">IFERROR(VLOOKUP($A385,'The List'!$B1:$AS671,28,FALSE)," ")</f>
        <v xml:space="preserve"> </v>
      </c>
      <c r="V385" s="85" t="str" cm="1">
        <f t="array" ref="V385">IFERROR(VLOOKUP($A385,'The List'!$B1:$AS671,29,FALSE)," ")</f>
        <v xml:space="preserve"> </v>
      </c>
      <c r="W385" s="85" t="str" cm="1">
        <f t="array" ref="W385">IFERROR(VLOOKUP($A385,'The List'!$B1:$AS671,30,FALSE)," ")</f>
        <v xml:space="preserve"> </v>
      </c>
      <c r="X385" s="85" t="str" cm="1">
        <f t="array" ref="X385">IFERROR(VLOOKUP($A385,'The List'!$B1:$AS671,31,FALSE)," ")</f>
        <v xml:space="preserve"> </v>
      </c>
      <c r="Y385" s="85" t="str" cm="1">
        <f t="array" ref="Y385">IFERROR(VLOOKUP($A385,'The List'!$B1:$AS671,32,FALSE)," ")</f>
        <v xml:space="preserve"> </v>
      </c>
      <c r="Z385" s="85" t="str" cm="1">
        <f t="array" ref="Z385">IFERROR(VLOOKUP($A385,'The List'!$B1:$AS671,33,FALSE)," ")</f>
        <v xml:space="preserve"> </v>
      </c>
      <c r="AA385" s="86"/>
      <c r="AB385" s="91"/>
      <c r="AC385" s="91"/>
      <c r="AD385" s="91"/>
      <c r="AE385" s="91"/>
      <c r="AF385" s="91"/>
    </row>
    <row r="386" spans="1:32" ht="21.25" customHeight="1" x14ac:dyDescent="0.15">
      <c r="A386" s="24"/>
      <c r="B386" s="94" t="str" cm="1">
        <f t="array" ref="B386">IFERROR(VLOOKUP($A386,'The List'!$B1:$AS671,3,FALSE)," ")</f>
        <v xml:space="preserve"> </v>
      </c>
      <c r="C386" s="96" t="str" cm="1">
        <f t="array" ref="C386">IFERROR(VLOOKUP($A386,'The List'!$B1:$AS671,4,FALSE)," ")</f>
        <v xml:space="preserve"> </v>
      </c>
      <c r="D386" s="18" t="str" cm="1">
        <f t="array" ref="D386">IFERROR(VLOOKUP($A386,'The List'!$B1:$AS671,5,FALSE)," ")</f>
        <v xml:space="preserve"> </v>
      </c>
      <c r="E386" s="18" t="str" cm="1">
        <f t="array" ref="E386">IFERROR(VLOOKUP($A386,'The List'!$B1:$AS671,6,FALSE)," ")</f>
        <v xml:space="preserve"> </v>
      </c>
      <c r="F386" s="93" t="str" cm="1">
        <f t="array" ref="F386">IFERROR(VLOOKUP($A386,'The List'!$B1:$AS671,8,FALSE)," ")</f>
        <v xml:space="preserve"> </v>
      </c>
      <c r="G386" s="93" t="str" cm="1">
        <f t="array" ref="G386">IFERROR(VLOOKUP($A386,'The List'!$B1:$AS671,10,FALSE)," ")</f>
        <v xml:space="preserve"> </v>
      </c>
      <c r="H386" s="55"/>
      <c r="I386" s="85" t="str" cm="1">
        <f t="array" ref="I386">IFERROR(VLOOKUP($A386,'The List'!$B1:$AS671,16,FALSE)," ")</f>
        <v xml:space="preserve"> </v>
      </c>
      <c r="J386" s="85" t="str" cm="1">
        <f t="array" ref="J386">IFERROR(VLOOKUP($A386,'The List'!$B1:$AS671,17,FALSE)," ")</f>
        <v xml:space="preserve"> </v>
      </c>
      <c r="K386" s="85" t="str" cm="1">
        <f t="array" ref="K386">IFERROR(VLOOKUP($A386,'The List'!$B1:$AS671,18,FALSE)," ")</f>
        <v xml:space="preserve"> </v>
      </c>
      <c r="L386" s="85" t="str" cm="1">
        <f t="array" ref="L386">IFERROR(VLOOKUP($A386,'The List'!$B1:$AS671,19,FALSE)," ")</f>
        <v xml:space="preserve"> </v>
      </c>
      <c r="M386" s="85" t="str" cm="1">
        <f t="array" ref="M386">IFERROR(VLOOKUP($A386,'The List'!$B1:$AS671,20,FALSE)," ")</f>
        <v xml:space="preserve"> </v>
      </c>
      <c r="N386" s="85" t="str" cm="1">
        <f t="array" ref="N386">IFERROR(VLOOKUP($A386,'The List'!$B1:$AS671,21,FALSE)," ")</f>
        <v xml:space="preserve"> </v>
      </c>
      <c r="O386" s="85" t="str" cm="1">
        <f t="array" ref="O386">IFERROR(VLOOKUP($A386,'The List'!$B1:$AS671,22,FALSE)," ")</f>
        <v xml:space="preserve"> </v>
      </c>
      <c r="P386" s="85" t="str" cm="1">
        <f t="array" ref="P386">IFERROR(VLOOKUP($A386,'The List'!$B1:$AS671,23,FALSE)," ")</f>
        <v xml:space="preserve"> </v>
      </c>
      <c r="Q386" s="85" t="str" cm="1">
        <f t="array" ref="Q386">IFERROR(VLOOKUP($A386,'The List'!$B1:$AS671,24,FALSE)," ")</f>
        <v xml:space="preserve"> </v>
      </c>
      <c r="R386" s="85" t="str" cm="1">
        <f t="array" ref="R386">IFERROR(VLOOKUP($A386,'The List'!$B1:$AS671,25,FALSE)," ")</f>
        <v xml:space="preserve"> </v>
      </c>
      <c r="S386" s="85" t="str" cm="1">
        <f t="array" ref="S386">IFERROR(VLOOKUP($A386,'The List'!$B1:$AS671,26,FALSE)," ")</f>
        <v xml:space="preserve"> </v>
      </c>
      <c r="T386" s="85" t="str" cm="1">
        <f t="array" ref="T386">IFERROR(VLOOKUP($A386,'The List'!$B1:$AS671,27,FALSE)," ")</f>
        <v xml:space="preserve"> </v>
      </c>
      <c r="U386" s="85" t="str" cm="1">
        <f t="array" ref="U386">IFERROR(VLOOKUP($A386,'The List'!$B1:$AS671,28,FALSE)," ")</f>
        <v xml:space="preserve"> </v>
      </c>
      <c r="V386" s="85" t="str" cm="1">
        <f t="array" ref="V386">IFERROR(VLOOKUP($A386,'The List'!$B1:$AS671,29,FALSE)," ")</f>
        <v xml:space="preserve"> </v>
      </c>
      <c r="W386" s="85" t="str" cm="1">
        <f t="array" ref="W386">IFERROR(VLOOKUP($A386,'The List'!$B1:$AS671,30,FALSE)," ")</f>
        <v xml:space="preserve"> </v>
      </c>
      <c r="X386" s="85" t="str" cm="1">
        <f t="array" ref="X386">IFERROR(VLOOKUP($A386,'The List'!$B1:$AS671,31,FALSE)," ")</f>
        <v xml:space="preserve"> </v>
      </c>
      <c r="Y386" s="85" t="str" cm="1">
        <f t="array" ref="Y386">IFERROR(VLOOKUP($A386,'The List'!$B1:$AS671,32,FALSE)," ")</f>
        <v xml:space="preserve"> </v>
      </c>
      <c r="Z386" s="85" t="str" cm="1">
        <f t="array" ref="Z386">IFERROR(VLOOKUP($A386,'The List'!$B1:$AS671,33,FALSE)," ")</f>
        <v xml:space="preserve"> </v>
      </c>
      <c r="AA386" s="86"/>
      <c r="AB386" s="91"/>
      <c r="AC386" s="91"/>
      <c r="AD386" s="91"/>
      <c r="AE386" s="91"/>
      <c r="AF386" s="91"/>
    </row>
    <row r="387" spans="1:32" ht="21.25" customHeight="1" x14ac:dyDescent="0.15">
      <c r="A387" s="24"/>
      <c r="B387" s="97" t="str" cm="1">
        <f t="array" ref="B387">IFERROR(VLOOKUP($A387,'The List'!$B1:$AS671,3,FALSE)," ")</f>
        <v xml:space="preserve"> </v>
      </c>
      <c r="C387" s="99" t="str" cm="1">
        <f t="array" ref="C387">IFERROR(VLOOKUP($A387,'The List'!$B1:$AS671,4,FALSE)," ")</f>
        <v xml:space="preserve"> </v>
      </c>
      <c r="D387" s="18" t="str" cm="1">
        <f t="array" ref="D387">IFERROR(VLOOKUP($A387,'The List'!$B1:$AS671,5,FALSE)," ")</f>
        <v xml:space="preserve"> </v>
      </c>
      <c r="E387" s="18" t="str" cm="1">
        <f t="array" ref="E387">IFERROR(VLOOKUP($A387,'The List'!$B1:$AS671,6,FALSE)," ")</f>
        <v xml:space="preserve"> </v>
      </c>
      <c r="F387" s="93" t="str" cm="1">
        <f t="array" ref="F387">IFERROR(VLOOKUP($A387,'The List'!$B1:$AS671,8,FALSE)," ")</f>
        <v xml:space="preserve"> </v>
      </c>
      <c r="G387" s="93" t="str" cm="1">
        <f t="array" ref="G387">IFERROR(VLOOKUP($A387,'The List'!$B1:$AS671,10,FALSE)," ")</f>
        <v xml:space="preserve"> </v>
      </c>
      <c r="H387" s="55"/>
      <c r="I387" s="85" t="str" cm="1">
        <f t="array" ref="I387">IFERROR(VLOOKUP($A387,'The List'!$B1:$AS671,16,FALSE)," ")</f>
        <v xml:space="preserve"> </v>
      </c>
      <c r="J387" s="85" t="str" cm="1">
        <f t="array" ref="J387">IFERROR(VLOOKUP($A387,'The List'!$B1:$AS671,17,FALSE)," ")</f>
        <v xml:space="preserve"> </v>
      </c>
      <c r="K387" s="85" t="str" cm="1">
        <f t="array" ref="K387">IFERROR(VLOOKUP($A387,'The List'!$B1:$AS671,18,FALSE)," ")</f>
        <v xml:space="preserve"> </v>
      </c>
      <c r="L387" s="85" t="str" cm="1">
        <f t="array" ref="L387">IFERROR(VLOOKUP($A387,'The List'!$B1:$AS671,19,FALSE)," ")</f>
        <v xml:space="preserve"> </v>
      </c>
      <c r="M387" s="85" t="str" cm="1">
        <f t="array" ref="M387">IFERROR(VLOOKUP($A387,'The List'!$B1:$AS671,20,FALSE)," ")</f>
        <v xml:space="preserve"> </v>
      </c>
      <c r="N387" s="85" t="str" cm="1">
        <f t="array" ref="N387">IFERROR(VLOOKUP($A387,'The List'!$B1:$AS671,21,FALSE)," ")</f>
        <v xml:space="preserve"> </v>
      </c>
      <c r="O387" s="85" t="str" cm="1">
        <f t="array" ref="O387">IFERROR(VLOOKUP($A387,'The List'!$B1:$AS671,22,FALSE)," ")</f>
        <v xml:space="preserve"> </v>
      </c>
      <c r="P387" s="85" t="str" cm="1">
        <f t="array" ref="P387">IFERROR(VLOOKUP($A387,'The List'!$B1:$AS671,23,FALSE)," ")</f>
        <v xml:space="preserve"> </v>
      </c>
      <c r="Q387" s="85" t="str" cm="1">
        <f t="array" ref="Q387">IFERROR(VLOOKUP($A387,'The List'!$B1:$AS671,24,FALSE)," ")</f>
        <v xml:space="preserve"> </v>
      </c>
      <c r="R387" s="85" t="str" cm="1">
        <f t="array" ref="R387">IFERROR(VLOOKUP($A387,'The List'!$B1:$AS671,25,FALSE)," ")</f>
        <v xml:space="preserve"> </v>
      </c>
      <c r="S387" s="85" t="str" cm="1">
        <f t="array" ref="S387">IFERROR(VLOOKUP($A387,'The List'!$B1:$AS671,26,FALSE)," ")</f>
        <v xml:space="preserve"> </v>
      </c>
      <c r="T387" s="85" t="str" cm="1">
        <f t="array" ref="T387">IFERROR(VLOOKUP($A387,'The List'!$B1:$AS671,27,FALSE)," ")</f>
        <v xml:space="preserve"> </v>
      </c>
      <c r="U387" s="85" t="str" cm="1">
        <f t="array" ref="U387">IFERROR(VLOOKUP($A387,'The List'!$B1:$AS671,28,FALSE)," ")</f>
        <v xml:space="preserve"> </v>
      </c>
      <c r="V387" s="85" t="str" cm="1">
        <f t="array" ref="V387">IFERROR(VLOOKUP($A387,'The List'!$B1:$AS671,29,FALSE)," ")</f>
        <v xml:space="preserve"> </v>
      </c>
      <c r="W387" s="85" t="str" cm="1">
        <f t="array" ref="W387">IFERROR(VLOOKUP($A387,'The List'!$B1:$AS671,30,FALSE)," ")</f>
        <v xml:space="preserve"> </v>
      </c>
      <c r="X387" s="85" t="str" cm="1">
        <f t="array" ref="X387">IFERROR(VLOOKUP($A387,'The List'!$B1:$AS671,31,FALSE)," ")</f>
        <v xml:space="preserve"> </v>
      </c>
      <c r="Y387" s="85" t="str" cm="1">
        <f t="array" ref="Y387">IFERROR(VLOOKUP($A387,'The List'!$B1:$AS671,32,FALSE)," ")</f>
        <v xml:space="preserve"> </v>
      </c>
      <c r="Z387" s="85" t="str" cm="1">
        <f t="array" ref="Z387">IFERROR(VLOOKUP($A387,'The List'!$B1:$AS671,33,FALSE)," ")</f>
        <v xml:space="preserve"> </v>
      </c>
      <c r="AA387" s="86"/>
      <c r="AB387" s="91"/>
      <c r="AC387" s="91"/>
      <c r="AD387" s="91"/>
      <c r="AE387" s="91"/>
      <c r="AF387" s="91"/>
    </row>
    <row r="388" spans="1:32" ht="21.25" customHeight="1" x14ac:dyDescent="0.15">
      <c r="A388" s="24"/>
      <c r="B388" s="97" t="str" cm="1">
        <f t="array" ref="B388">IFERROR(VLOOKUP($A388,'The List'!$B1:$AS671,3,FALSE)," ")</f>
        <v xml:space="preserve"> </v>
      </c>
      <c r="C388" s="99" t="str" cm="1">
        <f t="array" ref="C388">IFERROR(VLOOKUP($A388,'The List'!$B1:$AS671,4,FALSE)," ")</f>
        <v xml:space="preserve"> </v>
      </c>
      <c r="D388" s="18" t="str" cm="1">
        <f t="array" ref="D388">IFERROR(VLOOKUP($A388,'The List'!$B1:$AS671,5,FALSE)," ")</f>
        <v xml:space="preserve"> </v>
      </c>
      <c r="E388" s="18" t="str" cm="1">
        <f t="array" ref="E388">IFERROR(VLOOKUP($A388,'The List'!$B1:$AS671,6,FALSE)," ")</f>
        <v xml:space="preserve"> </v>
      </c>
      <c r="F388" s="93" t="str" cm="1">
        <f t="array" ref="F388">IFERROR(VLOOKUP($A388,'The List'!$B1:$AS671,8,FALSE)," ")</f>
        <v xml:space="preserve"> </v>
      </c>
      <c r="G388" s="93" t="str" cm="1">
        <f t="array" ref="G388">IFERROR(VLOOKUP($A388,'The List'!$B1:$AS671,10,FALSE)," ")</f>
        <v xml:space="preserve"> </v>
      </c>
      <c r="H388" s="55"/>
      <c r="I388" s="85" t="str" cm="1">
        <f t="array" ref="I388">IFERROR(VLOOKUP($A388,'The List'!$B1:$AS671,16,FALSE)," ")</f>
        <v xml:space="preserve"> </v>
      </c>
      <c r="J388" s="85" t="str" cm="1">
        <f t="array" ref="J388">IFERROR(VLOOKUP($A388,'The List'!$B1:$AS671,17,FALSE)," ")</f>
        <v xml:space="preserve"> </v>
      </c>
      <c r="K388" s="85" t="str" cm="1">
        <f t="array" ref="K388">IFERROR(VLOOKUP($A388,'The List'!$B1:$AS671,18,FALSE)," ")</f>
        <v xml:space="preserve"> </v>
      </c>
      <c r="L388" s="85" t="str" cm="1">
        <f t="array" ref="L388">IFERROR(VLOOKUP($A388,'The List'!$B1:$AS671,19,FALSE)," ")</f>
        <v xml:space="preserve"> </v>
      </c>
      <c r="M388" s="85" t="str" cm="1">
        <f t="array" ref="M388">IFERROR(VLOOKUP($A388,'The List'!$B1:$AS671,20,FALSE)," ")</f>
        <v xml:space="preserve"> </v>
      </c>
      <c r="N388" s="85" t="str" cm="1">
        <f t="array" ref="N388">IFERROR(VLOOKUP($A388,'The List'!$B1:$AS671,21,FALSE)," ")</f>
        <v xml:space="preserve"> </v>
      </c>
      <c r="O388" s="85" t="str" cm="1">
        <f t="array" ref="O388">IFERROR(VLOOKUP($A388,'The List'!$B1:$AS671,22,FALSE)," ")</f>
        <v xml:space="preserve"> </v>
      </c>
      <c r="P388" s="85" t="str" cm="1">
        <f t="array" ref="P388">IFERROR(VLOOKUP($A388,'The List'!$B1:$AS671,23,FALSE)," ")</f>
        <v xml:space="preserve"> </v>
      </c>
      <c r="Q388" s="85" t="str" cm="1">
        <f t="array" ref="Q388">IFERROR(VLOOKUP($A388,'The List'!$B1:$AS671,24,FALSE)," ")</f>
        <v xml:space="preserve"> </v>
      </c>
      <c r="R388" s="85" t="str" cm="1">
        <f t="array" ref="R388">IFERROR(VLOOKUP($A388,'The List'!$B1:$AS671,25,FALSE)," ")</f>
        <v xml:space="preserve"> </v>
      </c>
      <c r="S388" s="85" t="str" cm="1">
        <f t="array" ref="S388">IFERROR(VLOOKUP($A388,'The List'!$B1:$AS671,26,FALSE)," ")</f>
        <v xml:space="preserve"> </v>
      </c>
      <c r="T388" s="85" t="str" cm="1">
        <f t="array" ref="T388">IFERROR(VLOOKUP($A388,'The List'!$B1:$AS671,27,FALSE)," ")</f>
        <v xml:space="preserve"> </v>
      </c>
      <c r="U388" s="85" t="str" cm="1">
        <f t="array" ref="U388">IFERROR(VLOOKUP($A388,'The List'!$B1:$AS671,28,FALSE)," ")</f>
        <v xml:space="preserve"> </v>
      </c>
      <c r="V388" s="85" t="str" cm="1">
        <f t="array" ref="V388">IFERROR(VLOOKUP($A388,'The List'!$B1:$AS671,29,FALSE)," ")</f>
        <v xml:space="preserve"> </v>
      </c>
      <c r="W388" s="85" t="str" cm="1">
        <f t="array" ref="W388">IFERROR(VLOOKUP($A388,'The List'!$B1:$AS671,30,FALSE)," ")</f>
        <v xml:space="preserve"> </v>
      </c>
      <c r="X388" s="85" t="str" cm="1">
        <f t="array" ref="X388">IFERROR(VLOOKUP($A388,'The List'!$B1:$AS671,31,FALSE)," ")</f>
        <v xml:space="preserve"> </v>
      </c>
      <c r="Y388" s="85" t="str" cm="1">
        <f t="array" ref="Y388">IFERROR(VLOOKUP($A388,'The List'!$B1:$AS671,32,FALSE)," ")</f>
        <v xml:space="preserve"> </v>
      </c>
      <c r="Z388" s="85" t="str" cm="1">
        <f t="array" ref="Z388">IFERROR(VLOOKUP($A388,'The List'!$B1:$AS671,33,FALSE)," ")</f>
        <v xml:space="preserve"> </v>
      </c>
      <c r="AA388" s="86"/>
      <c r="AB388" s="91"/>
      <c r="AC388" s="91"/>
      <c r="AD388" s="91"/>
      <c r="AE388" s="91"/>
      <c r="AF388" s="91"/>
    </row>
    <row r="389" spans="1:32" ht="21.25" customHeight="1" x14ac:dyDescent="0.15">
      <c r="A389" s="24"/>
      <c r="B389" s="97" t="str" cm="1">
        <f t="array" ref="B389">IFERROR(VLOOKUP($A389,'The List'!$B1:$AS671,3,FALSE)," ")</f>
        <v xml:space="preserve"> </v>
      </c>
      <c r="C389" s="99" t="str" cm="1">
        <f t="array" ref="C389">IFERROR(VLOOKUP($A389,'The List'!$B1:$AS671,4,FALSE)," ")</f>
        <v xml:space="preserve"> </v>
      </c>
      <c r="D389" s="18" t="str" cm="1">
        <f t="array" ref="D389">IFERROR(VLOOKUP($A389,'The List'!$B1:$AS671,5,FALSE)," ")</f>
        <v xml:space="preserve"> </v>
      </c>
      <c r="E389" s="18" t="str" cm="1">
        <f t="array" ref="E389">IFERROR(VLOOKUP($A389,'The List'!$B1:$AS671,6,FALSE)," ")</f>
        <v xml:space="preserve"> </v>
      </c>
      <c r="F389" s="93" t="str" cm="1">
        <f t="array" ref="F389">IFERROR(VLOOKUP($A389,'The List'!$B1:$AS671,8,FALSE)," ")</f>
        <v xml:space="preserve"> </v>
      </c>
      <c r="G389" s="93" t="str" cm="1">
        <f t="array" ref="G389">IFERROR(VLOOKUP($A389,'The List'!$B1:$AS671,10,FALSE)," ")</f>
        <v xml:space="preserve"> </v>
      </c>
      <c r="H389" s="55"/>
      <c r="I389" s="85" t="str" cm="1">
        <f t="array" ref="I389">IFERROR(VLOOKUP($A389,'The List'!$B1:$AS671,16,FALSE)," ")</f>
        <v xml:space="preserve"> </v>
      </c>
      <c r="J389" s="85" t="str" cm="1">
        <f t="array" ref="J389">IFERROR(VLOOKUP($A389,'The List'!$B1:$AS671,17,FALSE)," ")</f>
        <v xml:space="preserve"> </v>
      </c>
      <c r="K389" s="85" t="str" cm="1">
        <f t="array" ref="K389">IFERROR(VLOOKUP($A389,'The List'!$B1:$AS671,18,FALSE)," ")</f>
        <v xml:space="preserve"> </v>
      </c>
      <c r="L389" s="85" t="str" cm="1">
        <f t="array" ref="L389">IFERROR(VLOOKUP($A389,'The List'!$B1:$AS671,19,FALSE)," ")</f>
        <v xml:space="preserve"> </v>
      </c>
      <c r="M389" s="85" t="str" cm="1">
        <f t="array" ref="M389">IFERROR(VLOOKUP($A389,'The List'!$B1:$AS671,20,FALSE)," ")</f>
        <v xml:space="preserve"> </v>
      </c>
      <c r="N389" s="85" t="str" cm="1">
        <f t="array" ref="N389">IFERROR(VLOOKUP($A389,'The List'!$B1:$AS671,21,FALSE)," ")</f>
        <v xml:space="preserve"> </v>
      </c>
      <c r="O389" s="85" t="str" cm="1">
        <f t="array" ref="O389">IFERROR(VLOOKUP($A389,'The List'!$B1:$AS671,22,FALSE)," ")</f>
        <v xml:space="preserve"> </v>
      </c>
      <c r="P389" s="85" t="str" cm="1">
        <f t="array" ref="P389">IFERROR(VLOOKUP($A389,'The List'!$B1:$AS671,23,FALSE)," ")</f>
        <v xml:space="preserve"> </v>
      </c>
      <c r="Q389" s="85" t="str" cm="1">
        <f t="array" ref="Q389">IFERROR(VLOOKUP($A389,'The List'!$B1:$AS671,24,FALSE)," ")</f>
        <v xml:space="preserve"> </v>
      </c>
      <c r="R389" s="85" t="str" cm="1">
        <f t="array" ref="R389">IFERROR(VLOOKUP($A389,'The List'!$B1:$AS671,25,FALSE)," ")</f>
        <v xml:space="preserve"> </v>
      </c>
      <c r="S389" s="85" t="str" cm="1">
        <f t="array" ref="S389">IFERROR(VLOOKUP($A389,'The List'!$B1:$AS671,26,FALSE)," ")</f>
        <v xml:space="preserve"> </v>
      </c>
      <c r="T389" s="85" t="str" cm="1">
        <f t="array" ref="T389">IFERROR(VLOOKUP($A389,'The List'!$B1:$AS671,27,FALSE)," ")</f>
        <v xml:space="preserve"> </v>
      </c>
      <c r="U389" s="85" t="str" cm="1">
        <f t="array" ref="U389">IFERROR(VLOOKUP($A389,'The List'!$B1:$AS671,28,FALSE)," ")</f>
        <v xml:space="preserve"> </v>
      </c>
      <c r="V389" s="85" t="str" cm="1">
        <f t="array" ref="V389">IFERROR(VLOOKUP($A389,'The List'!$B1:$AS671,29,FALSE)," ")</f>
        <v xml:space="preserve"> </v>
      </c>
      <c r="W389" s="85" t="str" cm="1">
        <f t="array" ref="W389">IFERROR(VLOOKUP($A389,'The List'!$B1:$AS671,30,FALSE)," ")</f>
        <v xml:space="preserve"> </v>
      </c>
      <c r="X389" s="85" t="str" cm="1">
        <f t="array" ref="X389">IFERROR(VLOOKUP($A389,'The List'!$B1:$AS671,31,FALSE)," ")</f>
        <v xml:space="preserve"> </v>
      </c>
      <c r="Y389" s="85" t="str" cm="1">
        <f t="array" ref="Y389">IFERROR(VLOOKUP($A389,'The List'!$B1:$AS671,32,FALSE)," ")</f>
        <v xml:space="preserve"> </v>
      </c>
      <c r="Z389" s="85" t="str" cm="1">
        <f t="array" ref="Z389">IFERROR(VLOOKUP($A389,'The List'!$B1:$AS671,33,FALSE)," ")</f>
        <v xml:space="preserve"> </v>
      </c>
      <c r="AA389" s="86"/>
      <c r="AB389" s="91"/>
      <c r="AC389" s="91"/>
      <c r="AD389" s="91"/>
      <c r="AE389" s="91"/>
      <c r="AF389" s="91"/>
    </row>
    <row r="390" spans="1:32" ht="21.25" customHeight="1" x14ac:dyDescent="0.15">
      <c r="A390" s="24"/>
      <c r="B390" s="97" t="str" cm="1">
        <f t="array" ref="B390">IFERROR(VLOOKUP($A390,'The List'!$B1:$AS671,3,FALSE)," ")</f>
        <v xml:space="preserve"> </v>
      </c>
      <c r="C390" s="99" t="str" cm="1">
        <f t="array" ref="C390">IFERROR(VLOOKUP($A390,'The List'!$B1:$AS671,4,FALSE)," ")</f>
        <v xml:space="preserve"> </v>
      </c>
      <c r="D390" s="18" t="str" cm="1">
        <f t="array" ref="D390">IFERROR(VLOOKUP($A390,'The List'!$B1:$AS671,5,FALSE)," ")</f>
        <v xml:space="preserve"> </v>
      </c>
      <c r="E390" s="18" t="str" cm="1">
        <f t="array" ref="E390">IFERROR(VLOOKUP($A390,'The List'!$B1:$AS671,6,FALSE)," ")</f>
        <v xml:space="preserve"> </v>
      </c>
      <c r="F390" s="93" t="str" cm="1">
        <f t="array" ref="F390">IFERROR(VLOOKUP($A390,'The List'!$B1:$AS671,8,FALSE)," ")</f>
        <v xml:space="preserve"> </v>
      </c>
      <c r="G390" s="93" t="str" cm="1">
        <f t="array" ref="G390">IFERROR(VLOOKUP($A390,'The List'!$B1:$AS671,10,FALSE)," ")</f>
        <v xml:space="preserve"> </v>
      </c>
      <c r="H390" s="55"/>
      <c r="I390" s="85" t="str" cm="1">
        <f t="array" ref="I390">IFERROR(VLOOKUP($A390,'The List'!$B1:$AS671,16,FALSE)," ")</f>
        <v xml:space="preserve"> </v>
      </c>
      <c r="J390" s="85" t="str" cm="1">
        <f t="array" ref="J390">IFERROR(VLOOKUP($A390,'The List'!$B1:$AS671,17,FALSE)," ")</f>
        <v xml:space="preserve"> </v>
      </c>
      <c r="K390" s="85" t="str" cm="1">
        <f t="array" ref="K390">IFERROR(VLOOKUP($A390,'The List'!$B1:$AS671,18,FALSE)," ")</f>
        <v xml:space="preserve"> </v>
      </c>
      <c r="L390" s="85" t="str" cm="1">
        <f t="array" ref="L390">IFERROR(VLOOKUP($A390,'The List'!$B1:$AS671,19,FALSE)," ")</f>
        <v xml:space="preserve"> </v>
      </c>
      <c r="M390" s="85" t="str" cm="1">
        <f t="array" ref="M390">IFERROR(VLOOKUP($A390,'The List'!$B1:$AS671,20,FALSE)," ")</f>
        <v xml:space="preserve"> </v>
      </c>
      <c r="N390" s="85" t="str" cm="1">
        <f t="array" ref="N390">IFERROR(VLOOKUP($A390,'The List'!$B1:$AS671,21,FALSE)," ")</f>
        <v xml:space="preserve"> </v>
      </c>
      <c r="O390" s="85" t="str" cm="1">
        <f t="array" ref="O390">IFERROR(VLOOKUP($A390,'The List'!$B1:$AS671,22,FALSE)," ")</f>
        <v xml:space="preserve"> </v>
      </c>
      <c r="P390" s="85" t="str" cm="1">
        <f t="array" ref="P390">IFERROR(VLOOKUP($A390,'The List'!$B1:$AS671,23,FALSE)," ")</f>
        <v xml:space="preserve"> </v>
      </c>
      <c r="Q390" s="85" t="str" cm="1">
        <f t="array" ref="Q390">IFERROR(VLOOKUP($A390,'The List'!$B1:$AS671,24,FALSE)," ")</f>
        <v xml:space="preserve"> </v>
      </c>
      <c r="R390" s="85" t="str" cm="1">
        <f t="array" ref="R390">IFERROR(VLOOKUP($A390,'The List'!$B1:$AS671,25,FALSE)," ")</f>
        <v xml:space="preserve"> </v>
      </c>
      <c r="S390" s="85" t="str" cm="1">
        <f t="array" ref="S390">IFERROR(VLOOKUP($A390,'The List'!$B1:$AS671,26,FALSE)," ")</f>
        <v xml:space="preserve"> </v>
      </c>
      <c r="T390" s="85" t="str" cm="1">
        <f t="array" ref="T390">IFERROR(VLOOKUP($A390,'The List'!$B1:$AS671,27,FALSE)," ")</f>
        <v xml:space="preserve"> </v>
      </c>
      <c r="U390" s="85" t="str" cm="1">
        <f t="array" ref="U390">IFERROR(VLOOKUP($A390,'The List'!$B1:$AS671,28,FALSE)," ")</f>
        <v xml:space="preserve"> </v>
      </c>
      <c r="V390" s="85" t="str" cm="1">
        <f t="array" ref="V390">IFERROR(VLOOKUP($A390,'The List'!$B1:$AS671,29,FALSE)," ")</f>
        <v xml:space="preserve"> </v>
      </c>
      <c r="W390" s="85" t="str" cm="1">
        <f t="array" ref="W390">IFERROR(VLOOKUP($A390,'The List'!$B1:$AS671,30,FALSE)," ")</f>
        <v xml:space="preserve"> </v>
      </c>
      <c r="X390" s="85" t="str" cm="1">
        <f t="array" ref="X390">IFERROR(VLOOKUP($A390,'The List'!$B1:$AS671,31,FALSE)," ")</f>
        <v xml:space="preserve"> </v>
      </c>
      <c r="Y390" s="85" t="str" cm="1">
        <f t="array" ref="Y390">IFERROR(VLOOKUP($A390,'The List'!$B1:$AS671,32,FALSE)," ")</f>
        <v xml:space="preserve"> </v>
      </c>
      <c r="Z390" s="85" t="str" cm="1">
        <f t="array" ref="Z390">IFERROR(VLOOKUP($A390,'The List'!$B1:$AS671,33,FALSE)," ")</f>
        <v xml:space="preserve"> </v>
      </c>
      <c r="AA390" s="86"/>
      <c r="AB390" s="91"/>
      <c r="AC390" s="91"/>
      <c r="AD390" s="91"/>
      <c r="AE390" s="91"/>
      <c r="AF390" s="91"/>
    </row>
    <row r="391" spans="1:32" ht="21.25" customHeight="1" x14ac:dyDescent="0.15">
      <c r="A391" s="24"/>
      <c r="B391" s="100" t="str" cm="1">
        <f t="array" ref="B391">IFERROR(VLOOKUP($A391,'The List'!$B1:$AS671,3,FALSE)," ")</f>
        <v xml:space="preserve"> </v>
      </c>
      <c r="C391" s="102" t="str" cm="1">
        <f t="array" ref="C391">IFERROR(VLOOKUP($A391,'The List'!$B1:$AS671,4,FALSE)," ")</f>
        <v xml:space="preserve"> </v>
      </c>
      <c r="D391" s="18" t="str" cm="1">
        <f t="array" ref="D391">IFERROR(VLOOKUP($A391,'The List'!$B1:$AS671,5,FALSE)," ")</f>
        <v xml:space="preserve"> </v>
      </c>
      <c r="E391" s="18" t="str" cm="1">
        <f t="array" ref="E391">IFERROR(VLOOKUP($A391,'The List'!$B1:$AS671,6,FALSE)," ")</f>
        <v xml:space="preserve"> </v>
      </c>
      <c r="F391" s="93" t="str" cm="1">
        <f t="array" ref="F391">IFERROR(VLOOKUP($A391,'The List'!$B1:$AS671,8,FALSE)," ")</f>
        <v xml:space="preserve"> </v>
      </c>
      <c r="G391" s="93" t="str" cm="1">
        <f t="array" ref="G391">IFERROR(VLOOKUP($A391,'The List'!$B1:$AS671,10,FALSE)," ")</f>
        <v xml:space="preserve"> </v>
      </c>
      <c r="H391" s="55"/>
      <c r="I391" s="85" t="str" cm="1">
        <f t="array" ref="I391">IFERROR(VLOOKUP($A391,'The List'!$B1:$AS671,16,FALSE)," ")</f>
        <v xml:space="preserve"> </v>
      </c>
      <c r="J391" s="85" t="str" cm="1">
        <f t="array" ref="J391">IFERROR(VLOOKUP($A391,'The List'!$B1:$AS671,17,FALSE)," ")</f>
        <v xml:space="preserve"> </v>
      </c>
      <c r="K391" s="85" t="str" cm="1">
        <f t="array" ref="K391">IFERROR(VLOOKUP($A391,'The List'!$B1:$AS671,18,FALSE)," ")</f>
        <v xml:space="preserve"> </v>
      </c>
      <c r="L391" s="85" t="str" cm="1">
        <f t="array" ref="L391">IFERROR(VLOOKUP($A391,'The List'!$B1:$AS671,19,FALSE)," ")</f>
        <v xml:space="preserve"> </v>
      </c>
      <c r="M391" s="85" t="str" cm="1">
        <f t="array" ref="M391">IFERROR(VLOOKUP($A391,'The List'!$B1:$AS671,20,FALSE)," ")</f>
        <v xml:space="preserve"> </v>
      </c>
      <c r="N391" s="85" t="str" cm="1">
        <f t="array" ref="N391">IFERROR(VLOOKUP($A391,'The List'!$B1:$AS671,21,FALSE)," ")</f>
        <v xml:space="preserve"> </v>
      </c>
      <c r="O391" s="85" t="str" cm="1">
        <f t="array" ref="O391">IFERROR(VLOOKUP($A391,'The List'!$B1:$AS671,22,FALSE)," ")</f>
        <v xml:space="preserve"> </v>
      </c>
      <c r="P391" s="85" t="str" cm="1">
        <f t="array" ref="P391">IFERROR(VLOOKUP($A391,'The List'!$B1:$AS671,23,FALSE)," ")</f>
        <v xml:space="preserve"> </v>
      </c>
      <c r="Q391" s="85" t="str" cm="1">
        <f t="array" ref="Q391">IFERROR(VLOOKUP($A391,'The List'!$B1:$AS671,24,FALSE)," ")</f>
        <v xml:space="preserve"> </v>
      </c>
      <c r="R391" s="85" t="str" cm="1">
        <f t="array" ref="R391">IFERROR(VLOOKUP($A391,'The List'!$B1:$AS671,25,FALSE)," ")</f>
        <v xml:space="preserve"> </v>
      </c>
      <c r="S391" s="85" t="str" cm="1">
        <f t="array" ref="S391">IFERROR(VLOOKUP($A391,'The List'!$B1:$AS671,26,FALSE)," ")</f>
        <v xml:space="preserve"> </v>
      </c>
      <c r="T391" s="85" t="str" cm="1">
        <f t="array" ref="T391">IFERROR(VLOOKUP($A391,'The List'!$B1:$AS671,27,FALSE)," ")</f>
        <v xml:space="preserve"> </v>
      </c>
      <c r="U391" s="85" t="str" cm="1">
        <f t="array" ref="U391">IFERROR(VLOOKUP($A391,'The List'!$B1:$AS671,28,FALSE)," ")</f>
        <v xml:space="preserve"> </v>
      </c>
      <c r="V391" s="85" t="str" cm="1">
        <f t="array" ref="V391">IFERROR(VLOOKUP($A391,'The List'!$B1:$AS671,29,FALSE)," ")</f>
        <v xml:space="preserve"> </v>
      </c>
      <c r="W391" s="85" t="str" cm="1">
        <f t="array" ref="W391">IFERROR(VLOOKUP($A391,'The List'!$B1:$AS671,30,FALSE)," ")</f>
        <v xml:space="preserve"> </v>
      </c>
      <c r="X391" s="85" t="str" cm="1">
        <f t="array" ref="X391">IFERROR(VLOOKUP($A391,'The List'!$B1:$AS671,31,FALSE)," ")</f>
        <v xml:space="preserve"> </v>
      </c>
      <c r="Y391" s="85" t="str" cm="1">
        <f t="array" ref="Y391">IFERROR(VLOOKUP($A391,'The List'!$B1:$AS671,32,FALSE)," ")</f>
        <v xml:space="preserve"> </v>
      </c>
      <c r="Z391" s="85" t="str" cm="1">
        <f t="array" ref="Z391">IFERROR(VLOOKUP($A391,'The List'!$B1:$AS671,33,FALSE)," ")</f>
        <v xml:space="preserve"> </v>
      </c>
      <c r="AA391" s="86"/>
      <c r="AB391" s="91"/>
      <c r="AC391" s="91"/>
      <c r="AD391" s="91"/>
      <c r="AE391" s="91"/>
      <c r="AF391" s="91"/>
    </row>
    <row r="392" spans="1:32" ht="21.25" customHeight="1" x14ac:dyDescent="0.15">
      <c r="A392" s="24"/>
      <c r="B392" s="100" t="str" cm="1">
        <f t="array" ref="B392">IFERROR(VLOOKUP($A392,'The List'!$B1:$AS671,3,FALSE)," ")</f>
        <v xml:space="preserve"> </v>
      </c>
      <c r="C392" s="102" t="str" cm="1">
        <f t="array" ref="C392">IFERROR(VLOOKUP($A392,'The List'!$B1:$AS671,4,FALSE)," ")</f>
        <v xml:space="preserve"> </v>
      </c>
      <c r="D392" s="18" t="str" cm="1">
        <f t="array" ref="D392">IFERROR(VLOOKUP($A392,'The List'!$B1:$AS671,5,FALSE)," ")</f>
        <v xml:space="preserve"> </v>
      </c>
      <c r="E392" s="18" t="str" cm="1">
        <f t="array" ref="E392">IFERROR(VLOOKUP($A392,'The List'!$B1:$AS671,6,FALSE)," ")</f>
        <v xml:space="preserve"> </v>
      </c>
      <c r="F392" s="93" t="str" cm="1">
        <f t="array" ref="F392">IFERROR(VLOOKUP($A392,'The List'!$B1:$AS671,8,FALSE)," ")</f>
        <v xml:space="preserve"> </v>
      </c>
      <c r="G392" s="93" t="str" cm="1">
        <f t="array" ref="G392">IFERROR(VLOOKUP($A392,'The List'!$B1:$AS671,10,FALSE)," ")</f>
        <v xml:space="preserve"> </v>
      </c>
      <c r="H392" s="55"/>
      <c r="I392" s="85" t="str" cm="1">
        <f t="array" ref="I392">IFERROR(VLOOKUP($A392,'The List'!$B1:$AS671,16,FALSE)," ")</f>
        <v xml:space="preserve"> </v>
      </c>
      <c r="J392" s="85" t="str" cm="1">
        <f t="array" ref="J392">IFERROR(VLOOKUP($A392,'The List'!$B1:$AS671,17,FALSE)," ")</f>
        <v xml:space="preserve"> </v>
      </c>
      <c r="K392" s="85" t="str" cm="1">
        <f t="array" ref="K392">IFERROR(VLOOKUP($A392,'The List'!$B1:$AS671,18,FALSE)," ")</f>
        <v xml:space="preserve"> </v>
      </c>
      <c r="L392" s="85" t="str" cm="1">
        <f t="array" ref="L392">IFERROR(VLOOKUP($A392,'The List'!$B1:$AS671,19,FALSE)," ")</f>
        <v xml:space="preserve"> </v>
      </c>
      <c r="M392" s="85" t="str" cm="1">
        <f t="array" ref="M392">IFERROR(VLOOKUP($A392,'The List'!$B1:$AS671,20,FALSE)," ")</f>
        <v xml:space="preserve"> </v>
      </c>
      <c r="N392" s="85" t="str" cm="1">
        <f t="array" ref="N392">IFERROR(VLOOKUP($A392,'The List'!$B1:$AS671,21,FALSE)," ")</f>
        <v xml:space="preserve"> </v>
      </c>
      <c r="O392" s="85" t="str" cm="1">
        <f t="array" ref="O392">IFERROR(VLOOKUP($A392,'The List'!$B1:$AS671,22,FALSE)," ")</f>
        <v xml:space="preserve"> </v>
      </c>
      <c r="P392" s="85" t="str" cm="1">
        <f t="array" ref="P392">IFERROR(VLOOKUP($A392,'The List'!$B1:$AS671,23,FALSE)," ")</f>
        <v xml:space="preserve"> </v>
      </c>
      <c r="Q392" s="85" t="str" cm="1">
        <f t="array" ref="Q392">IFERROR(VLOOKUP($A392,'The List'!$B1:$AS671,24,FALSE)," ")</f>
        <v xml:space="preserve"> </v>
      </c>
      <c r="R392" s="85" t="str" cm="1">
        <f t="array" ref="R392">IFERROR(VLOOKUP($A392,'The List'!$B1:$AS671,25,FALSE)," ")</f>
        <v xml:space="preserve"> </v>
      </c>
      <c r="S392" s="85" t="str" cm="1">
        <f t="array" ref="S392">IFERROR(VLOOKUP($A392,'The List'!$B1:$AS671,26,FALSE)," ")</f>
        <v xml:space="preserve"> </v>
      </c>
      <c r="T392" s="85" t="str" cm="1">
        <f t="array" ref="T392">IFERROR(VLOOKUP($A392,'The List'!$B1:$AS671,27,FALSE)," ")</f>
        <v xml:space="preserve"> </v>
      </c>
      <c r="U392" s="85" t="str" cm="1">
        <f t="array" ref="U392">IFERROR(VLOOKUP($A392,'The List'!$B1:$AS671,28,FALSE)," ")</f>
        <v xml:space="preserve"> </v>
      </c>
      <c r="V392" s="85" t="str" cm="1">
        <f t="array" ref="V392">IFERROR(VLOOKUP($A392,'The List'!$B1:$AS671,29,FALSE)," ")</f>
        <v xml:space="preserve"> </v>
      </c>
      <c r="W392" s="85" t="str" cm="1">
        <f t="array" ref="W392">IFERROR(VLOOKUP($A392,'The List'!$B1:$AS671,30,FALSE)," ")</f>
        <v xml:space="preserve"> </v>
      </c>
      <c r="X392" s="85" t="str" cm="1">
        <f t="array" ref="X392">IFERROR(VLOOKUP($A392,'The List'!$B1:$AS671,31,FALSE)," ")</f>
        <v xml:space="preserve"> </v>
      </c>
      <c r="Y392" s="85" t="str" cm="1">
        <f t="array" ref="Y392">IFERROR(VLOOKUP($A392,'The List'!$B1:$AS671,32,FALSE)," ")</f>
        <v xml:space="preserve"> </v>
      </c>
      <c r="Z392" s="85" t="str" cm="1">
        <f t="array" ref="Z392">IFERROR(VLOOKUP($A392,'The List'!$B1:$AS671,33,FALSE)," ")</f>
        <v xml:space="preserve"> </v>
      </c>
      <c r="AA392" s="86"/>
      <c r="AB392" s="91"/>
      <c r="AC392" s="91"/>
      <c r="AD392" s="91"/>
      <c r="AE392" s="91"/>
      <c r="AF392" s="91"/>
    </row>
    <row r="393" spans="1:32" ht="21.25" customHeight="1" x14ac:dyDescent="0.15">
      <c r="A393" s="24"/>
      <c r="B393" s="100" t="str" cm="1">
        <f t="array" ref="B393">IFERROR(VLOOKUP($A393,'The List'!$B1:$AS671,3,FALSE)," ")</f>
        <v xml:space="preserve"> </v>
      </c>
      <c r="C393" s="102" t="str" cm="1">
        <f t="array" ref="C393">IFERROR(VLOOKUP($A393,'The List'!$B1:$AS671,4,FALSE)," ")</f>
        <v xml:space="preserve"> </v>
      </c>
      <c r="D393" s="18" t="str" cm="1">
        <f t="array" ref="D393">IFERROR(VLOOKUP($A393,'The List'!$B1:$AS671,5,FALSE)," ")</f>
        <v xml:space="preserve"> </v>
      </c>
      <c r="E393" s="18" t="str" cm="1">
        <f t="array" ref="E393">IFERROR(VLOOKUP($A393,'The List'!$B1:$AS671,6,FALSE)," ")</f>
        <v xml:space="preserve"> </v>
      </c>
      <c r="F393" s="93" t="str" cm="1">
        <f t="array" ref="F393">IFERROR(VLOOKUP($A393,'The List'!$B1:$AS671,8,FALSE)," ")</f>
        <v xml:space="preserve"> </v>
      </c>
      <c r="G393" s="93" t="str" cm="1">
        <f t="array" ref="G393">IFERROR(VLOOKUP($A393,'The List'!$B1:$AS671,10,FALSE)," ")</f>
        <v xml:space="preserve"> </v>
      </c>
      <c r="H393" s="55"/>
      <c r="I393" s="85" t="str" cm="1">
        <f t="array" ref="I393">IFERROR(VLOOKUP($A393,'The List'!$B1:$AS671,16,FALSE)," ")</f>
        <v xml:space="preserve"> </v>
      </c>
      <c r="J393" s="85" t="str" cm="1">
        <f t="array" ref="J393">IFERROR(VLOOKUP($A393,'The List'!$B1:$AS671,17,FALSE)," ")</f>
        <v xml:space="preserve"> </v>
      </c>
      <c r="K393" s="85" t="str" cm="1">
        <f t="array" ref="K393">IFERROR(VLOOKUP($A393,'The List'!$B1:$AS671,18,FALSE)," ")</f>
        <v xml:space="preserve"> </v>
      </c>
      <c r="L393" s="85" t="str" cm="1">
        <f t="array" ref="L393">IFERROR(VLOOKUP($A393,'The List'!$B1:$AS671,19,FALSE)," ")</f>
        <v xml:space="preserve"> </v>
      </c>
      <c r="M393" s="85" t="str" cm="1">
        <f t="array" ref="M393">IFERROR(VLOOKUP($A393,'The List'!$B1:$AS671,20,FALSE)," ")</f>
        <v xml:space="preserve"> </v>
      </c>
      <c r="N393" s="85" t="str" cm="1">
        <f t="array" ref="N393">IFERROR(VLOOKUP($A393,'The List'!$B1:$AS671,21,FALSE)," ")</f>
        <v xml:space="preserve"> </v>
      </c>
      <c r="O393" s="85" t="str" cm="1">
        <f t="array" ref="O393">IFERROR(VLOOKUP($A393,'The List'!$B1:$AS671,22,FALSE)," ")</f>
        <v xml:space="preserve"> </v>
      </c>
      <c r="P393" s="85" t="str" cm="1">
        <f t="array" ref="P393">IFERROR(VLOOKUP($A393,'The List'!$B1:$AS671,23,FALSE)," ")</f>
        <v xml:space="preserve"> </v>
      </c>
      <c r="Q393" s="85" t="str" cm="1">
        <f t="array" ref="Q393">IFERROR(VLOOKUP($A393,'The List'!$B1:$AS671,24,FALSE)," ")</f>
        <v xml:space="preserve"> </v>
      </c>
      <c r="R393" s="85" t="str" cm="1">
        <f t="array" ref="R393">IFERROR(VLOOKUP($A393,'The List'!$B1:$AS671,25,FALSE)," ")</f>
        <v xml:space="preserve"> </v>
      </c>
      <c r="S393" s="85" t="str" cm="1">
        <f t="array" ref="S393">IFERROR(VLOOKUP($A393,'The List'!$B1:$AS671,26,FALSE)," ")</f>
        <v xml:space="preserve"> </v>
      </c>
      <c r="T393" s="85" t="str" cm="1">
        <f t="array" ref="T393">IFERROR(VLOOKUP($A393,'The List'!$B1:$AS671,27,FALSE)," ")</f>
        <v xml:space="preserve"> </v>
      </c>
      <c r="U393" s="85" t="str" cm="1">
        <f t="array" ref="U393">IFERROR(VLOOKUP($A393,'The List'!$B1:$AS671,28,FALSE)," ")</f>
        <v xml:space="preserve"> </v>
      </c>
      <c r="V393" s="85" t="str" cm="1">
        <f t="array" ref="V393">IFERROR(VLOOKUP($A393,'The List'!$B1:$AS671,29,FALSE)," ")</f>
        <v xml:space="preserve"> </v>
      </c>
      <c r="W393" s="85" t="str" cm="1">
        <f t="array" ref="W393">IFERROR(VLOOKUP($A393,'The List'!$B1:$AS671,30,FALSE)," ")</f>
        <v xml:space="preserve"> </v>
      </c>
      <c r="X393" s="85" t="str" cm="1">
        <f t="array" ref="X393">IFERROR(VLOOKUP($A393,'The List'!$B1:$AS671,31,FALSE)," ")</f>
        <v xml:space="preserve"> </v>
      </c>
      <c r="Y393" s="85" t="str" cm="1">
        <f t="array" ref="Y393">IFERROR(VLOOKUP($A393,'The List'!$B1:$AS671,32,FALSE)," ")</f>
        <v xml:space="preserve"> </v>
      </c>
      <c r="Z393" s="85" t="str" cm="1">
        <f t="array" ref="Z393">IFERROR(VLOOKUP($A393,'The List'!$B1:$AS671,33,FALSE)," ")</f>
        <v xml:space="preserve"> </v>
      </c>
      <c r="AA393" s="86"/>
      <c r="AB393" s="91"/>
      <c r="AC393" s="91"/>
      <c r="AD393" s="91"/>
      <c r="AE393" s="91"/>
      <c r="AF393" s="91"/>
    </row>
    <row r="394" spans="1:32" ht="21.25" customHeight="1" x14ac:dyDescent="0.15">
      <c r="A394" s="24"/>
      <c r="B394" s="100" t="str" cm="1">
        <f t="array" ref="B394">IFERROR(VLOOKUP($A394,'The List'!$B1:$AS671,3,FALSE)," ")</f>
        <v xml:space="preserve"> </v>
      </c>
      <c r="C394" s="102" t="str" cm="1">
        <f t="array" ref="C394">IFERROR(VLOOKUP($A394,'The List'!$B1:$AS671,4,FALSE)," ")</f>
        <v xml:space="preserve"> </v>
      </c>
      <c r="D394" s="18" t="str" cm="1">
        <f t="array" ref="D394">IFERROR(VLOOKUP($A394,'The List'!$B1:$AS671,5,FALSE)," ")</f>
        <v xml:space="preserve"> </v>
      </c>
      <c r="E394" s="18" t="str" cm="1">
        <f t="array" ref="E394">IFERROR(VLOOKUP($A394,'The List'!$B1:$AS671,6,FALSE)," ")</f>
        <v xml:space="preserve"> </v>
      </c>
      <c r="F394" s="93" t="str" cm="1">
        <f t="array" ref="F394">IFERROR(VLOOKUP($A394,'The List'!$B1:$AS671,8,FALSE)," ")</f>
        <v xml:space="preserve"> </v>
      </c>
      <c r="G394" s="93" t="str" cm="1">
        <f t="array" ref="G394">IFERROR(VLOOKUP($A394,'The List'!$B1:$AS671,10,FALSE)," ")</f>
        <v xml:space="preserve"> </v>
      </c>
      <c r="H394" s="55"/>
      <c r="I394" s="85" t="str" cm="1">
        <f t="array" ref="I394">IFERROR(VLOOKUP($A394,'The List'!$B1:$AS671,16,FALSE)," ")</f>
        <v xml:space="preserve"> </v>
      </c>
      <c r="J394" s="85" t="str" cm="1">
        <f t="array" ref="J394">IFERROR(VLOOKUP($A394,'The List'!$B1:$AS671,17,FALSE)," ")</f>
        <v xml:space="preserve"> </v>
      </c>
      <c r="K394" s="85" t="str" cm="1">
        <f t="array" ref="K394">IFERROR(VLOOKUP($A394,'The List'!$B1:$AS671,18,FALSE)," ")</f>
        <v xml:space="preserve"> </v>
      </c>
      <c r="L394" s="85" t="str" cm="1">
        <f t="array" ref="L394">IFERROR(VLOOKUP($A394,'The List'!$B1:$AS671,19,FALSE)," ")</f>
        <v xml:space="preserve"> </v>
      </c>
      <c r="M394" s="85" t="str" cm="1">
        <f t="array" ref="M394">IFERROR(VLOOKUP($A394,'The List'!$B1:$AS671,20,FALSE)," ")</f>
        <v xml:space="preserve"> </v>
      </c>
      <c r="N394" s="85" t="str" cm="1">
        <f t="array" ref="N394">IFERROR(VLOOKUP($A394,'The List'!$B1:$AS671,21,FALSE)," ")</f>
        <v xml:space="preserve"> </v>
      </c>
      <c r="O394" s="85" t="str" cm="1">
        <f t="array" ref="O394">IFERROR(VLOOKUP($A394,'The List'!$B1:$AS671,22,FALSE)," ")</f>
        <v xml:space="preserve"> </v>
      </c>
      <c r="P394" s="85" t="str" cm="1">
        <f t="array" ref="P394">IFERROR(VLOOKUP($A394,'The List'!$B1:$AS671,23,FALSE)," ")</f>
        <v xml:space="preserve"> </v>
      </c>
      <c r="Q394" s="85" t="str" cm="1">
        <f t="array" ref="Q394">IFERROR(VLOOKUP($A394,'The List'!$B1:$AS671,24,FALSE)," ")</f>
        <v xml:space="preserve"> </v>
      </c>
      <c r="R394" s="85" t="str" cm="1">
        <f t="array" ref="R394">IFERROR(VLOOKUP($A394,'The List'!$B1:$AS671,25,FALSE)," ")</f>
        <v xml:space="preserve"> </v>
      </c>
      <c r="S394" s="85" t="str" cm="1">
        <f t="array" ref="S394">IFERROR(VLOOKUP($A394,'The List'!$B1:$AS671,26,FALSE)," ")</f>
        <v xml:space="preserve"> </v>
      </c>
      <c r="T394" s="85" t="str" cm="1">
        <f t="array" ref="T394">IFERROR(VLOOKUP($A394,'The List'!$B1:$AS671,27,FALSE)," ")</f>
        <v xml:space="preserve"> </v>
      </c>
      <c r="U394" s="85" t="str" cm="1">
        <f t="array" ref="U394">IFERROR(VLOOKUP($A394,'The List'!$B1:$AS671,28,FALSE)," ")</f>
        <v xml:space="preserve"> </v>
      </c>
      <c r="V394" s="85" t="str" cm="1">
        <f t="array" ref="V394">IFERROR(VLOOKUP($A394,'The List'!$B1:$AS671,29,FALSE)," ")</f>
        <v xml:space="preserve"> </v>
      </c>
      <c r="W394" s="85" t="str" cm="1">
        <f t="array" ref="W394">IFERROR(VLOOKUP($A394,'The List'!$B1:$AS671,30,FALSE)," ")</f>
        <v xml:space="preserve"> </v>
      </c>
      <c r="X394" s="85" t="str" cm="1">
        <f t="array" ref="X394">IFERROR(VLOOKUP($A394,'The List'!$B1:$AS671,31,FALSE)," ")</f>
        <v xml:space="preserve"> </v>
      </c>
      <c r="Y394" s="85" t="str" cm="1">
        <f t="array" ref="Y394">IFERROR(VLOOKUP($A394,'The List'!$B1:$AS671,32,FALSE)," ")</f>
        <v xml:space="preserve"> </v>
      </c>
      <c r="Z394" s="85" t="str" cm="1">
        <f t="array" ref="Z394">IFERROR(VLOOKUP($A394,'The List'!$B1:$AS671,33,FALSE)," ")</f>
        <v xml:space="preserve"> </v>
      </c>
      <c r="AA394" s="86"/>
      <c r="AB394" s="91"/>
      <c r="AC394" s="91"/>
      <c r="AD394" s="91"/>
      <c r="AE394" s="91"/>
      <c r="AF394" s="91"/>
    </row>
    <row r="395" spans="1:32" ht="21.25" customHeight="1" x14ac:dyDescent="0.15">
      <c r="A395" s="24"/>
      <c r="B395" s="100" t="str" cm="1">
        <f t="array" ref="B395">IFERROR(VLOOKUP($A395,'The List'!$B1:$AS671,3,FALSE)," ")</f>
        <v xml:space="preserve"> </v>
      </c>
      <c r="C395" s="102" t="str" cm="1">
        <f t="array" ref="C395">IFERROR(VLOOKUP($A395,'The List'!$B1:$AS671,4,FALSE)," ")</f>
        <v xml:space="preserve"> </v>
      </c>
      <c r="D395" s="18" t="str" cm="1">
        <f t="array" ref="D395">IFERROR(VLOOKUP($A395,'The List'!$B1:$AS671,5,FALSE)," ")</f>
        <v xml:space="preserve"> </v>
      </c>
      <c r="E395" s="18" t="str" cm="1">
        <f t="array" ref="E395">IFERROR(VLOOKUP($A395,'The List'!$B1:$AS671,6,FALSE)," ")</f>
        <v xml:space="preserve"> </v>
      </c>
      <c r="F395" s="93" t="str" cm="1">
        <f t="array" ref="F395">IFERROR(VLOOKUP($A395,'The List'!$B1:$AS671,8,FALSE)," ")</f>
        <v xml:space="preserve"> </v>
      </c>
      <c r="G395" s="93" t="str" cm="1">
        <f t="array" ref="G395">IFERROR(VLOOKUP($A395,'The List'!$B1:$AS671,10,FALSE)," ")</f>
        <v xml:space="preserve"> </v>
      </c>
      <c r="H395" s="55"/>
      <c r="I395" s="85" t="str" cm="1">
        <f t="array" ref="I395">IFERROR(VLOOKUP($A395,'The List'!$B1:$AS671,16,FALSE)," ")</f>
        <v xml:space="preserve"> </v>
      </c>
      <c r="J395" s="85" t="str" cm="1">
        <f t="array" ref="J395">IFERROR(VLOOKUP($A395,'The List'!$B1:$AS671,17,FALSE)," ")</f>
        <v xml:space="preserve"> </v>
      </c>
      <c r="K395" s="85" t="str" cm="1">
        <f t="array" ref="K395">IFERROR(VLOOKUP($A395,'The List'!$B1:$AS671,18,FALSE)," ")</f>
        <v xml:space="preserve"> </v>
      </c>
      <c r="L395" s="85" t="str" cm="1">
        <f t="array" ref="L395">IFERROR(VLOOKUP($A395,'The List'!$B1:$AS671,19,FALSE)," ")</f>
        <v xml:space="preserve"> </v>
      </c>
      <c r="M395" s="85" t="str" cm="1">
        <f t="array" ref="M395">IFERROR(VLOOKUP($A395,'The List'!$B1:$AS671,20,FALSE)," ")</f>
        <v xml:space="preserve"> </v>
      </c>
      <c r="N395" s="85" t="str" cm="1">
        <f t="array" ref="N395">IFERROR(VLOOKUP($A395,'The List'!$B1:$AS671,21,FALSE)," ")</f>
        <v xml:space="preserve"> </v>
      </c>
      <c r="O395" s="85" t="str" cm="1">
        <f t="array" ref="O395">IFERROR(VLOOKUP($A395,'The List'!$B1:$AS671,22,FALSE)," ")</f>
        <v xml:space="preserve"> </v>
      </c>
      <c r="P395" s="85" t="str" cm="1">
        <f t="array" ref="P395">IFERROR(VLOOKUP($A395,'The List'!$B1:$AS671,23,FALSE)," ")</f>
        <v xml:space="preserve"> </v>
      </c>
      <c r="Q395" s="85" t="str" cm="1">
        <f t="array" ref="Q395">IFERROR(VLOOKUP($A395,'The List'!$B1:$AS671,24,FALSE)," ")</f>
        <v xml:space="preserve"> </v>
      </c>
      <c r="R395" s="85" t="str" cm="1">
        <f t="array" ref="R395">IFERROR(VLOOKUP($A395,'The List'!$B1:$AS671,25,FALSE)," ")</f>
        <v xml:space="preserve"> </v>
      </c>
      <c r="S395" s="85" t="str" cm="1">
        <f t="array" ref="S395">IFERROR(VLOOKUP($A395,'The List'!$B1:$AS671,26,FALSE)," ")</f>
        <v xml:space="preserve"> </v>
      </c>
      <c r="T395" s="85" t="str" cm="1">
        <f t="array" ref="T395">IFERROR(VLOOKUP($A395,'The List'!$B1:$AS671,27,FALSE)," ")</f>
        <v xml:space="preserve"> </v>
      </c>
      <c r="U395" s="85" t="str" cm="1">
        <f t="array" ref="U395">IFERROR(VLOOKUP($A395,'The List'!$B1:$AS671,28,FALSE)," ")</f>
        <v xml:space="preserve"> </v>
      </c>
      <c r="V395" s="85" t="str" cm="1">
        <f t="array" ref="V395">IFERROR(VLOOKUP($A395,'The List'!$B1:$AS671,29,FALSE)," ")</f>
        <v xml:space="preserve"> </v>
      </c>
      <c r="W395" s="85" t="str" cm="1">
        <f t="array" ref="W395">IFERROR(VLOOKUP($A395,'The List'!$B1:$AS671,30,FALSE)," ")</f>
        <v xml:space="preserve"> </v>
      </c>
      <c r="X395" s="85" t="str" cm="1">
        <f t="array" ref="X395">IFERROR(VLOOKUP($A395,'The List'!$B1:$AS671,31,FALSE)," ")</f>
        <v xml:space="preserve"> </v>
      </c>
      <c r="Y395" s="85" t="str" cm="1">
        <f t="array" ref="Y395">IFERROR(VLOOKUP($A395,'The List'!$B1:$AS671,32,FALSE)," ")</f>
        <v xml:space="preserve"> </v>
      </c>
      <c r="Z395" s="85" t="str" cm="1">
        <f t="array" ref="Z395">IFERROR(VLOOKUP($A395,'The List'!$B1:$AS671,33,FALSE)," ")</f>
        <v xml:space="preserve"> </v>
      </c>
      <c r="AA395" s="86"/>
      <c r="AB395" s="91"/>
      <c r="AC395" s="91"/>
      <c r="AD395" s="91"/>
      <c r="AE395" s="91"/>
      <c r="AF395" s="91"/>
    </row>
    <row r="396" spans="1:32" ht="21.25" customHeight="1" x14ac:dyDescent="0.15">
      <c r="A396" s="24"/>
      <c r="B396" s="100" t="str" cm="1">
        <f t="array" ref="B396">IFERROR(VLOOKUP($A396,'The List'!$B1:$AS671,3,FALSE)," ")</f>
        <v xml:space="preserve"> </v>
      </c>
      <c r="C396" s="102" t="str" cm="1">
        <f t="array" ref="C396">IFERROR(VLOOKUP($A396,'The List'!$B1:$AS671,4,FALSE)," ")</f>
        <v xml:space="preserve"> </v>
      </c>
      <c r="D396" s="18" t="str" cm="1">
        <f t="array" ref="D396">IFERROR(VLOOKUP($A396,'The List'!$B1:$AS671,5,FALSE)," ")</f>
        <v xml:space="preserve"> </v>
      </c>
      <c r="E396" s="18" t="str" cm="1">
        <f t="array" ref="E396">IFERROR(VLOOKUP($A396,'The List'!$B1:$AS671,6,FALSE)," ")</f>
        <v xml:space="preserve"> </v>
      </c>
      <c r="F396" s="93" t="str" cm="1">
        <f t="array" ref="F396">IFERROR(VLOOKUP($A396,'The List'!$B1:$AS671,8,FALSE)," ")</f>
        <v xml:space="preserve"> </v>
      </c>
      <c r="G396" s="93" t="str" cm="1">
        <f t="array" ref="G396">IFERROR(VLOOKUP($A396,'The List'!$B1:$AS671,10,FALSE)," ")</f>
        <v xml:space="preserve"> </v>
      </c>
      <c r="H396" s="55"/>
      <c r="I396" s="85" t="str" cm="1">
        <f t="array" ref="I396">IFERROR(VLOOKUP($A396,'The List'!$B1:$AS671,16,FALSE)," ")</f>
        <v xml:space="preserve"> </v>
      </c>
      <c r="J396" s="85" t="str" cm="1">
        <f t="array" ref="J396">IFERROR(VLOOKUP($A396,'The List'!$B1:$AS671,17,FALSE)," ")</f>
        <v xml:space="preserve"> </v>
      </c>
      <c r="K396" s="85" t="str" cm="1">
        <f t="array" ref="K396">IFERROR(VLOOKUP($A396,'The List'!$B1:$AS671,18,FALSE)," ")</f>
        <v xml:space="preserve"> </v>
      </c>
      <c r="L396" s="85" t="str" cm="1">
        <f t="array" ref="L396">IFERROR(VLOOKUP($A396,'The List'!$B1:$AS671,19,FALSE)," ")</f>
        <v xml:space="preserve"> </v>
      </c>
      <c r="M396" s="85" t="str" cm="1">
        <f t="array" ref="M396">IFERROR(VLOOKUP($A396,'The List'!$B1:$AS671,20,FALSE)," ")</f>
        <v xml:space="preserve"> </v>
      </c>
      <c r="N396" s="85" t="str" cm="1">
        <f t="array" ref="N396">IFERROR(VLOOKUP($A396,'The List'!$B1:$AS671,21,FALSE)," ")</f>
        <v xml:space="preserve"> </v>
      </c>
      <c r="O396" s="85" t="str" cm="1">
        <f t="array" ref="O396">IFERROR(VLOOKUP($A396,'The List'!$B1:$AS671,22,FALSE)," ")</f>
        <v xml:space="preserve"> </v>
      </c>
      <c r="P396" s="85" t="str" cm="1">
        <f t="array" ref="P396">IFERROR(VLOOKUP($A396,'The List'!$B1:$AS671,23,FALSE)," ")</f>
        <v xml:space="preserve"> </v>
      </c>
      <c r="Q396" s="85" t="str" cm="1">
        <f t="array" ref="Q396">IFERROR(VLOOKUP($A396,'The List'!$B1:$AS671,24,FALSE)," ")</f>
        <v xml:space="preserve"> </v>
      </c>
      <c r="R396" s="85" t="str" cm="1">
        <f t="array" ref="R396">IFERROR(VLOOKUP($A396,'The List'!$B1:$AS671,25,FALSE)," ")</f>
        <v xml:space="preserve"> </v>
      </c>
      <c r="S396" s="85" t="str" cm="1">
        <f t="array" ref="S396">IFERROR(VLOOKUP($A396,'The List'!$B1:$AS671,26,FALSE)," ")</f>
        <v xml:space="preserve"> </v>
      </c>
      <c r="T396" s="85" t="str" cm="1">
        <f t="array" ref="T396">IFERROR(VLOOKUP($A396,'The List'!$B1:$AS671,27,FALSE)," ")</f>
        <v xml:space="preserve"> </v>
      </c>
      <c r="U396" s="85" t="str" cm="1">
        <f t="array" ref="U396">IFERROR(VLOOKUP($A396,'The List'!$B1:$AS671,28,FALSE)," ")</f>
        <v xml:space="preserve"> </v>
      </c>
      <c r="V396" s="85" t="str" cm="1">
        <f t="array" ref="V396">IFERROR(VLOOKUP($A396,'The List'!$B1:$AS671,29,FALSE)," ")</f>
        <v xml:space="preserve"> </v>
      </c>
      <c r="W396" s="85" t="str" cm="1">
        <f t="array" ref="W396">IFERROR(VLOOKUP($A396,'The List'!$B1:$AS671,30,FALSE)," ")</f>
        <v xml:space="preserve"> </v>
      </c>
      <c r="X396" s="85" t="str" cm="1">
        <f t="array" ref="X396">IFERROR(VLOOKUP($A396,'The List'!$B1:$AS671,31,FALSE)," ")</f>
        <v xml:space="preserve"> </v>
      </c>
      <c r="Y396" s="85" t="str" cm="1">
        <f t="array" ref="Y396">IFERROR(VLOOKUP($A396,'The List'!$B1:$AS671,32,FALSE)," ")</f>
        <v xml:space="preserve"> </v>
      </c>
      <c r="Z396" s="85" t="str" cm="1">
        <f t="array" ref="Z396">IFERROR(VLOOKUP($A396,'The List'!$B1:$AS671,33,FALSE)," ")</f>
        <v xml:space="preserve"> </v>
      </c>
      <c r="AA396" s="86"/>
      <c r="AB396" s="91"/>
      <c r="AC396" s="91"/>
      <c r="AD396" s="91"/>
      <c r="AE396" s="91"/>
      <c r="AF396" s="91"/>
    </row>
    <row r="397" spans="1:32" ht="21.25" customHeight="1" x14ac:dyDescent="0.15">
      <c r="A397" s="24"/>
      <c r="B397" s="100" t="str" cm="1">
        <f t="array" ref="B397">IFERROR(VLOOKUP($A397,'The List'!$B1:$AS671,3,FALSE)," ")</f>
        <v xml:space="preserve"> </v>
      </c>
      <c r="C397" s="102" t="str" cm="1">
        <f t="array" ref="C397">IFERROR(VLOOKUP($A397,'The List'!$B1:$AS671,4,FALSE)," ")</f>
        <v xml:space="preserve"> </v>
      </c>
      <c r="D397" s="18" t="str" cm="1">
        <f t="array" ref="D397">IFERROR(VLOOKUP($A397,'The List'!$B1:$AS671,5,FALSE)," ")</f>
        <v xml:space="preserve"> </v>
      </c>
      <c r="E397" s="18" t="str" cm="1">
        <f t="array" ref="E397">IFERROR(VLOOKUP($A397,'The List'!$B1:$AS671,6,FALSE)," ")</f>
        <v xml:space="preserve"> </v>
      </c>
      <c r="F397" s="93" t="str" cm="1">
        <f t="array" ref="F397">IFERROR(VLOOKUP($A397,'The List'!$B1:$AS671,8,FALSE)," ")</f>
        <v xml:space="preserve"> </v>
      </c>
      <c r="G397" s="93" t="str" cm="1">
        <f t="array" ref="G397">IFERROR(VLOOKUP($A397,'The List'!$B1:$AS671,10,FALSE)," ")</f>
        <v xml:space="preserve"> </v>
      </c>
      <c r="H397" s="55"/>
      <c r="I397" s="85" t="str" cm="1">
        <f t="array" ref="I397">IFERROR(VLOOKUP($A397,'The List'!$B1:$AS671,16,FALSE)," ")</f>
        <v xml:space="preserve"> </v>
      </c>
      <c r="J397" s="85" t="str" cm="1">
        <f t="array" ref="J397">IFERROR(VLOOKUP($A397,'The List'!$B1:$AS671,17,FALSE)," ")</f>
        <v xml:space="preserve"> </v>
      </c>
      <c r="K397" s="85" t="str" cm="1">
        <f t="array" ref="K397">IFERROR(VLOOKUP($A397,'The List'!$B1:$AS671,18,FALSE)," ")</f>
        <v xml:space="preserve"> </v>
      </c>
      <c r="L397" s="85" t="str" cm="1">
        <f t="array" ref="L397">IFERROR(VLOOKUP($A397,'The List'!$B1:$AS671,19,FALSE)," ")</f>
        <v xml:space="preserve"> </v>
      </c>
      <c r="M397" s="85" t="str" cm="1">
        <f t="array" ref="M397">IFERROR(VLOOKUP($A397,'The List'!$B1:$AS671,20,FALSE)," ")</f>
        <v xml:space="preserve"> </v>
      </c>
      <c r="N397" s="85" t="str" cm="1">
        <f t="array" ref="N397">IFERROR(VLOOKUP($A397,'The List'!$B1:$AS671,21,FALSE)," ")</f>
        <v xml:space="preserve"> </v>
      </c>
      <c r="O397" s="85" t="str" cm="1">
        <f t="array" ref="O397">IFERROR(VLOOKUP($A397,'The List'!$B1:$AS671,22,FALSE)," ")</f>
        <v xml:space="preserve"> </v>
      </c>
      <c r="P397" s="85" t="str" cm="1">
        <f t="array" ref="P397">IFERROR(VLOOKUP($A397,'The List'!$B1:$AS671,23,FALSE)," ")</f>
        <v xml:space="preserve"> </v>
      </c>
      <c r="Q397" s="85" t="str" cm="1">
        <f t="array" ref="Q397">IFERROR(VLOOKUP($A397,'The List'!$B1:$AS671,24,FALSE)," ")</f>
        <v xml:space="preserve"> </v>
      </c>
      <c r="R397" s="85" t="str" cm="1">
        <f t="array" ref="R397">IFERROR(VLOOKUP($A397,'The List'!$B1:$AS671,25,FALSE)," ")</f>
        <v xml:space="preserve"> </v>
      </c>
      <c r="S397" s="85" t="str" cm="1">
        <f t="array" ref="S397">IFERROR(VLOOKUP($A397,'The List'!$B1:$AS671,26,FALSE)," ")</f>
        <v xml:space="preserve"> </v>
      </c>
      <c r="T397" s="85" t="str" cm="1">
        <f t="array" ref="T397">IFERROR(VLOOKUP($A397,'The List'!$B1:$AS671,27,FALSE)," ")</f>
        <v xml:space="preserve"> </v>
      </c>
      <c r="U397" s="85" t="str" cm="1">
        <f t="array" ref="U397">IFERROR(VLOOKUP($A397,'The List'!$B1:$AS671,28,FALSE)," ")</f>
        <v xml:space="preserve"> </v>
      </c>
      <c r="V397" s="85" t="str" cm="1">
        <f t="array" ref="V397">IFERROR(VLOOKUP($A397,'The List'!$B1:$AS671,29,FALSE)," ")</f>
        <v xml:space="preserve"> </v>
      </c>
      <c r="W397" s="85" t="str" cm="1">
        <f t="array" ref="W397">IFERROR(VLOOKUP($A397,'The List'!$B1:$AS671,30,FALSE)," ")</f>
        <v xml:space="preserve"> </v>
      </c>
      <c r="X397" s="85" t="str" cm="1">
        <f t="array" ref="X397">IFERROR(VLOOKUP($A397,'The List'!$B1:$AS671,31,FALSE)," ")</f>
        <v xml:space="preserve"> </v>
      </c>
      <c r="Y397" s="85" t="str" cm="1">
        <f t="array" ref="Y397">IFERROR(VLOOKUP($A397,'The List'!$B1:$AS671,32,FALSE)," ")</f>
        <v xml:space="preserve"> </v>
      </c>
      <c r="Z397" s="85" t="str" cm="1">
        <f t="array" ref="Z397">IFERROR(VLOOKUP($A397,'The List'!$B1:$AS671,33,FALSE)," ")</f>
        <v xml:space="preserve"> </v>
      </c>
      <c r="AA397" s="86"/>
      <c r="AB397" s="91"/>
      <c r="AC397" s="91"/>
      <c r="AD397" s="91"/>
      <c r="AE397" s="91"/>
      <c r="AF397" s="91"/>
    </row>
    <row r="398" spans="1:32" ht="21.25" customHeight="1" x14ac:dyDescent="0.15">
      <c r="A398" s="104"/>
      <c r="B398" s="105" t="str" cm="1">
        <f t="array" ref="B398">IFERROR(VLOOKUP($A398,'The List'!$B1:$AS671,3,FALSE)," ")</f>
        <v xml:space="preserve"> </v>
      </c>
      <c r="C398" s="106" t="str" cm="1">
        <f t="array" ref="C398">IFERROR(VLOOKUP($A398,'The List'!$B1:$AS671,4,FALSE)," ")</f>
        <v xml:space="preserve"> </v>
      </c>
      <c r="D398" s="107" t="str" cm="1">
        <f t="array" ref="D398">IFERROR(VLOOKUP($A398,'The List'!$B1:$AS671,5,FALSE)," ")</f>
        <v xml:space="preserve"> </v>
      </c>
      <c r="E398" s="107" t="str" cm="1">
        <f t="array" ref="E398">IFERROR(VLOOKUP($A398,'The List'!$B1:$AS671,6,FALSE)," ")</f>
        <v xml:space="preserve"> </v>
      </c>
      <c r="F398" s="108" t="str" cm="1">
        <f t="array" ref="F398">IFERROR(VLOOKUP($A398,'The List'!$B1:$AS671,8,FALSE)," ")</f>
        <v xml:space="preserve"> </v>
      </c>
      <c r="G398" s="108" t="str" cm="1">
        <f t="array" ref="G398">IFERROR(VLOOKUP($A398,'The List'!$B1:$AS671,10,FALSE)," ")</f>
        <v xml:space="preserve"> </v>
      </c>
      <c r="H398" s="109"/>
      <c r="I398" s="110" t="str" cm="1">
        <f t="array" ref="I398">IFERROR(VLOOKUP($A398,'The List'!$B1:$AS671,16,FALSE)," ")</f>
        <v xml:space="preserve"> </v>
      </c>
      <c r="J398" s="110" t="str" cm="1">
        <f t="array" ref="J398">IFERROR(VLOOKUP($A398,'The List'!$B1:$AS671,17,FALSE)," ")</f>
        <v xml:space="preserve"> </v>
      </c>
      <c r="K398" s="110" t="str" cm="1">
        <f t="array" ref="K398">IFERROR(VLOOKUP($A398,'The List'!$B1:$AS671,18,FALSE)," ")</f>
        <v xml:space="preserve"> </v>
      </c>
      <c r="L398" s="110" t="str" cm="1">
        <f t="array" ref="L398">IFERROR(VLOOKUP($A398,'The List'!$B1:$AS671,19,FALSE)," ")</f>
        <v xml:space="preserve"> </v>
      </c>
      <c r="M398" s="110" t="str" cm="1">
        <f t="array" ref="M398">IFERROR(VLOOKUP($A398,'The List'!$B1:$AS671,20,FALSE)," ")</f>
        <v xml:space="preserve"> </v>
      </c>
      <c r="N398" s="110" t="str" cm="1">
        <f t="array" ref="N398">IFERROR(VLOOKUP($A398,'The List'!$B1:$AS671,21,FALSE)," ")</f>
        <v xml:space="preserve"> </v>
      </c>
      <c r="O398" s="110" t="str" cm="1">
        <f t="array" ref="O398">IFERROR(VLOOKUP($A398,'The List'!$B1:$AS671,22,FALSE)," ")</f>
        <v xml:space="preserve"> </v>
      </c>
      <c r="P398" s="110" t="str" cm="1">
        <f t="array" ref="P398">IFERROR(VLOOKUP($A398,'The List'!$B1:$AS671,23,FALSE)," ")</f>
        <v xml:space="preserve"> </v>
      </c>
      <c r="Q398" s="110" t="str" cm="1">
        <f t="array" ref="Q398">IFERROR(VLOOKUP($A398,'The List'!$B1:$AS671,24,FALSE)," ")</f>
        <v xml:space="preserve"> </v>
      </c>
      <c r="R398" s="110" t="str" cm="1">
        <f t="array" ref="R398">IFERROR(VLOOKUP($A398,'The List'!$B1:$AS671,25,FALSE)," ")</f>
        <v xml:space="preserve"> </v>
      </c>
      <c r="S398" s="110" t="str" cm="1">
        <f t="array" ref="S398">IFERROR(VLOOKUP($A398,'The List'!$B1:$AS671,26,FALSE)," ")</f>
        <v xml:space="preserve"> </v>
      </c>
      <c r="T398" s="110" t="str" cm="1">
        <f t="array" ref="T398">IFERROR(VLOOKUP($A398,'The List'!$B1:$AS671,27,FALSE)," ")</f>
        <v xml:space="preserve"> </v>
      </c>
      <c r="U398" s="110" t="str" cm="1">
        <f t="array" ref="U398">IFERROR(VLOOKUP($A398,'The List'!$B1:$AS671,28,FALSE)," ")</f>
        <v xml:space="preserve"> </v>
      </c>
      <c r="V398" s="110" t="str" cm="1">
        <f t="array" ref="V398">IFERROR(VLOOKUP($A398,'The List'!$B1:$AS671,29,FALSE)," ")</f>
        <v xml:space="preserve"> </v>
      </c>
      <c r="W398" s="110" t="str" cm="1">
        <f t="array" ref="W398">IFERROR(VLOOKUP($A398,'The List'!$B1:$AS671,30,FALSE)," ")</f>
        <v xml:space="preserve"> </v>
      </c>
      <c r="X398" s="110" t="str" cm="1">
        <f t="array" ref="X398">IFERROR(VLOOKUP($A398,'The List'!$B1:$AS671,31,FALSE)," ")</f>
        <v xml:space="preserve"> </v>
      </c>
      <c r="Y398" s="110" t="str" cm="1">
        <f t="array" ref="Y398">IFERROR(VLOOKUP($A398,'The List'!$B1:$AS671,32,FALSE)," ")</f>
        <v xml:space="preserve"> </v>
      </c>
      <c r="Z398" s="110" t="str" cm="1">
        <f t="array" ref="Z398">IFERROR(VLOOKUP($A398,'The List'!$B1:$AS671,33,FALSE)," ")</f>
        <v xml:space="preserve"> </v>
      </c>
      <c r="AA398" s="86"/>
      <c r="AB398" s="91"/>
      <c r="AC398" s="91"/>
      <c r="AD398" s="91"/>
      <c r="AE398" s="91"/>
      <c r="AF398" s="91"/>
    </row>
    <row r="399" spans="1:32" ht="21.25" customHeight="1" x14ac:dyDescent="0.15">
      <c r="A399" s="111"/>
      <c r="B399" s="112"/>
      <c r="C399" s="113"/>
      <c r="D399" s="114"/>
      <c r="E399" s="114" t="str" cm="1">
        <f t="array" ref="E399">IFERROR(AVERAGE(E379:E398)," ")</f>
        <v xml:space="preserve"> </v>
      </c>
      <c r="F399" s="116" cm="1">
        <f t="array" ref="F399">SUM(F379:F398)</f>
        <v>0</v>
      </c>
      <c r="G399" s="116" cm="1">
        <f t="array" ref="G399">SUM(G379:G398)</f>
        <v>0</v>
      </c>
      <c r="H399" s="117"/>
      <c r="I399" s="118" cm="1">
        <f t="array" ref="I399">SUM(I379:I398)</f>
        <v>0</v>
      </c>
      <c r="J399" s="117" t="e" cm="1">
        <f t="array" ref="J399">AVERAGE(J379:J398)</f>
        <v>#DIV/0!</v>
      </c>
      <c r="K399" s="118" cm="1">
        <f t="array" ref="K399">SUM(K379:K398)</f>
        <v>0</v>
      </c>
      <c r="L399" s="118" cm="1">
        <f t="array" ref="L399">SUM(L379:L398)</f>
        <v>0</v>
      </c>
      <c r="M399" s="118" cm="1">
        <f t="array" ref="M399">SUM(M379:M398)</f>
        <v>0</v>
      </c>
      <c r="N399" s="118" cm="1">
        <f t="array" ref="N399">SUM(N379:N398)</f>
        <v>0</v>
      </c>
      <c r="O399" s="118" cm="1">
        <f t="array" ref="O399">SUM(O379:O398)</f>
        <v>0</v>
      </c>
      <c r="P399" s="118" cm="1">
        <f t="array" ref="P399">SUM(P379:P398)</f>
        <v>0</v>
      </c>
      <c r="Q399" s="118" cm="1">
        <f t="array" ref="Q399">SUM(Q379:Q398)</f>
        <v>0</v>
      </c>
      <c r="R399" s="118" cm="1">
        <f t="array" ref="R399">SUM(R379:R398)</f>
        <v>0</v>
      </c>
      <c r="S399" s="118" cm="1">
        <f t="array" ref="S399">SUM(S379:S398)</f>
        <v>0</v>
      </c>
      <c r="T399" s="118" cm="1">
        <f t="array" ref="T399">SUM(T379:T398)</f>
        <v>0</v>
      </c>
      <c r="U399" s="118" cm="1">
        <f t="array" ref="U399">SUM(U379:U398)</f>
        <v>0</v>
      </c>
      <c r="V399" s="118" cm="1">
        <f t="array" ref="V399">SUM(V379:V398)</f>
        <v>0</v>
      </c>
      <c r="W399" s="118" cm="1">
        <f t="array" ref="W399">SUM(W379:W398)</f>
        <v>0</v>
      </c>
      <c r="X399" s="118" cm="1">
        <f t="array" ref="X399">SUM(X379:X398)</f>
        <v>0</v>
      </c>
      <c r="Y399" s="118" cm="1">
        <f t="array" ref="Y399">SUM(Y379:Y398)</f>
        <v>0</v>
      </c>
      <c r="Z399" s="119" cm="1">
        <f t="array" ref="Z399">IFERROR(X399/(X399+Y399),0)</f>
        <v>0</v>
      </c>
      <c r="AA399" s="86"/>
      <c r="AB399" s="120"/>
      <c r="AC399" s="120"/>
      <c r="AD399" s="120"/>
      <c r="AE399" s="120"/>
      <c r="AF399" s="120"/>
    </row>
    <row r="400" spans="1:32" ht="21.25" customHeight="1" x14ac:dyDescent="0.15">
      <c r="A400" s="37"/>
      <c r="B400" s="121"/>
      <c r="C400" s="122"/>
      <c r="D400" s="13"/>
      <c r="E400" s="13"/>
      <c r="F400" s="123"/>
      <c r="G400" s="124"/>
      <c r="H400" s="125"/>
      <c r="I400" s="12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91"/>
      <c r="AC400" s="91"/>
      <c r="AD400" s="91"/>
      <c r="AE400" s="91"/>
      <c r="AF400" s="91"/>
    </row>
    <row r="401" spans="1:32" ht="21.25" customHeight="1" x14ac:dyDescent="0.15">
      <c r="A401" s="40" t="s">
        <v>91</v>
      </c>
      <c r="B401" s="205" t="s">
        <v>93</v>
      </c>
      <c r="C401" s="197"/>
      <c r="D401" s="127" t="s">
        <v>94</v>
      </c>
      <c r="E401" s="127" t="s">
        <v>95</v>
      </c>
      <c r="F401" s="128" t="s">
        <v>97</v>
      </c>
      <c r="G401" s="128" t="s">
        <v>99</v>
      </c>
      <c r="H401" s="129"/>
      <c r="I401" s="130" t="s">
        <v>104</v>
      </c>
      <c r="J401" s="130" t="s">
        <v>119</v>
      </c>
      <c r="K401" s="130" t="s">
        <v>120</v>
      </c>
      <c r="L401" s="130" t="s">
        <v>121</v>
      </c>
      <c r="M401" s="130" t="s">
        <v>122</v>
      </c>
      <c r="N401" s="130" t="s">
        <v>123</v>
      </c>
      <c r="O401" s="130" t="s">
        <v>124</v>
      </c>
      <c r="P401" s="130" t="s">
        <v>125</v>
      </c>
      <c r="Q401" s="130" t="s">
        <v>126</v>
      </c>
      <c r="R401" s="86"/>
      <c r="S401" s="86"/>
      <c r="T401" s="86"/>
      <c r="U401" s="205" t="s">
        <v>818</v>
      </c>
      <c r="V401" s="206"/>
      <c r="W401" s="206"/>
      <c r="X401" s="205" t="s">
        <v>819</v>
      </c>
      <c r="Y401" s="206"/>
      <c r="Z401" s="206"/>
      <c r="AA401" s="86"/>
      <c r="AB401" s="86"/>
      <c r="AC401" s="86"/>
      <c r="AD401" s="86"/>
      <c r="AE401" s="86"/>
      <c r="AF401" s="86"/>
    </row>
    <row r="402" spans="1:32" ht="21.25" customHeight="1" x14ac:dyDescent="0.15">
      <c r="A402" s="147"/>
      <c r="B402" s="132" t="str" cm="1">
        <f t="array" ref="B402">IFERROR(VLOOKUP($A402,'The List'!$B1:$AS671,3,FALSE)," ")</f>
        <v xml:space="preserve"> </v>
      </c>
      <c r="C402" s="148" t="str" cm="1">
        <f t="array" ref="C402">IFERROR(VLOOKUP($A402,'The List'!$B1:$AS671,4,FALSE)," ")</f>
        <v xml:space="preserve"> </v>
      </c>
      <c r="D402" s="134" t="str" cm="1">
        <f t="array" ref="D402">IFERROR(VLOOKUP($A402,'The List'!$B1:$AS671,5,FALSE)," ")</f>
        <v xml:space="preserve"> </v>
      </c>
      <c r="E402" s="134" t="str" cm="1">
        <f t="array" ref="E402">IFERROR(VLOOKUP($A402,'The List'!$B1:$AS671,6,FALSE)," ")</f>
        <v xml:space="preserve"> </v>
      </c>
      <c r="F402" s="149" t="str" cm="1">
        <f t="array" ref="F402">IFERROR(VLOOKUP($A402,'The List'!$B1:$AS671,8,FALSE)," ")</f>
        <v xml:space="preserve"> </v>
      </c>
      <c r="G402" s="149" t="str" cm="1">
        <f t="array" ref="G402">IFERROR(VLOOKUP($A402,'The List'!$B1:$AS671,10,FALSE)," ")</f>
        <v xml:space="preserve"> </v>
      </c>
      <c r="H402" s="83"/>
      <c r="I402" s="150" t="str" cm="1">
        <f t="array" ref="I402">IFERROR(VLOOKUP($A402,'The List'!$B1:$AS671,35,FALSE)," ")</f>
        <v xml:space="preserve"> </v>
      </c>
      <c r="J402" s="150" t="str" cm="1">
        <f t="array" ref="J402">IFERROR(VLOOKUP($A402,'The List'!$B1:$AS671,36,FALSE)," ")</f>
        <v xml:space="preserve"> </v>
      </c>
      <c r="K402" s="150" t="str" cm="1">
        <f t="array" ref="K402">IFERROR(VLOOKUP($A402,'The List'!$B1:$AS671,37,FALSE)," ")</f>
        <v xml:space="preserve"> </v>
      </c>
      <c r="L402" s="150" t="str" cm="1">
        <f t="array" ref="L402">IFERROR(VLOOKUP($A402,'The List'!$B1:$AS671,38,FALSE)," ")</f>
        <v xml:space="preserve"> </v>
      </c>
      <c r="M402" s="150" t="str" cm="1">
        <f t="array" ref="M402">IFERROR(VLOOKUP($A402,'The List'!$B1:$AS671,39,FALSE)," ")</f>
        <v xml:space="preserve"> </v>
      </c>
      <c r="N402" s="150" t="str" cm="1">
        <f t="array" ref="N402">IFERROR(VLOOKUP($A402,'The List'!$B1:$AS671,40,FALSE)," ")</f>
        <v xml:space="preserve"> </v>
      </c>
      <c r="O402" s="150" t="str" cm="1">
        <f t="array" ref="O402">IFERROR(VLOOKUP($A402,'The List'!$B1:$AS671,41,FALSE)," ")</f>
        <v xml:space="preserve"> </v>
      </c>
      <c r="P402" s="150" t="str" cm="1">
        <f t="array" ref="P402">IFERROR(VLOOKUP($A402,'The List'!$B1:$AS671,42,FALSE)," ")</f>
        <v xml:space="preserve"> </v>
      </c>
      <c r="Q402" s="150" t="str" cm="1">
        <f t="array" ref="Q402">IFERROR(VLOOKUP($A402,'The List'!$B1:$AS671,43,FALSE)," ")</f>
        <v xml:space="preserve"> </v>
      </c>
      <c r="R402" s="86"/>
      <c r="S402" s="86"/>
      <c r="T402" s="140" t="str" cm="1">
        <f t="array" ref="T402">A378</f>
        <v>TEAM 14</v>
      </c>
      <c r="U402" s="207" cm="1">
        <f t="array" ref="U402">F399+F405</f>
        <v>0</v>
      </c>
      <c r="V402" s="197"/>
      <c r="W402" s="197"/>
      <c r="X402" s="207" cm="1">
        <f t="array" ref="X402">G405+G399</f>
        <v>0</v>
      </c>
      <c r="Y402" s="197"/>
      <c r="Z402" s="197"/>
      <c r="AA402" s="86"/>
      <c r="AB402" s="86"/>
      <c r="AC402" s="86"/>
      <c r="AD402" s="86"/>
      <c r="AE402" s="86"/>
      <c r="AF402" s="86"/>
    </row>
    <row r="403" spans="1:32" ht="21.25" customHeight="1" x14ac:dyDescent="0.15">
      <c r="A403" s="24"/>
      <c r="B403" s="141" t="str" cm="1">
        <f t="array" ref="B403">IFERROR(VLOOKUP($A403,'The List'!$B1:$AS671,3,FALSE)," ")</f>
        <v xml:space="preserve"> </v>
      </c>
      <c r="C403" s="142" t="str" cm="1">
        <f t="array" ref="C403">IFERROR(VLOOKUP($A403,'The List'!$B1:$AS671,4,FALSE)," ")</f>
        <v xml:space="preserve"> </v>
      </c>
      <c r="D403" s="18" t="str" cm="1">
        <f t="array" ref="D403">IFERROR(VLOOKUP($A403,'The List'!$B1:$AS671,5,FALSE)," ")</f>
        <v xml:space="preserve"> </v>
      </c>
      <c r="E403" s="18" t="str" cm="1">
        <f t="array" ref="E403">IFERROR(VLOOKUP($A403,'The List'!$B1:$AS671,6,FALSE)," ")</f>
        <v xml:space="preserve"> </v>
      </c>
      <c r="F403" s="93" t="str" cm="1">
        <f t="array" ref="F403">IFERROR(VLOOKUP($A403,'The List'!$B1:$AS671,8,FALSE)," ")</f>
        <v xml:space="preserve"> </v>
      </c>
      <c r="G403" s="93" t="str" cm="1">
        <f t="array" ref="G403">IFERROR(VLOOKUP($A403,'The List'!$B1:$AS671,10,FALSE)," ")</f>
        <v xml:space="preserve"> </v>
      </c>
      <c r="H403" s="55"/>
      <c r="I403" s="85" t="str" cm="1">
        <f t="array" ref="I403">IFERROR(VLOOKUP($A403,'The List'!$B1:$AS671,35,FALSE)," ")</f>
        <v xml:space="preserve"> </v>
      </c>
      <c r="J403" s="85" t="str" cm="1">
        <f t="array" ref="J403">IFERROR(VLOOKUP($A403,'The List'!$B1:$AS671,36,FALSE)," ")</f>
        <v xml:space="preserve"> </v>
      </c>
      <c r="K403" s="85" t="str" cm="1">
        <f t="array" ref="K403">IFERROR(VLOOKUP($A403,'The List'!$B1:$AS671,37,FALSE)," ")</f>
        <v xml:space="preserve"> </v>
      </c>
      <c r="L403" s="85" t="str" cm="1">
        <f t="array" ref="L403">IFERROR(VLOOKUP($A403,'The List'!$B1:$AS671,38,FALSE)," ")</f>
        <v xml:space="preserve"> </v>
      </c>
      <c r="M403" s="85" t="str" cm="1">
        <f t="array" ref="M403">IFERROR(VLOOKUP($A403,'The List'!$B1:$AS671,39,FALSE)," ")</f>
        <v xml:space="preserve"> </v>
      </c>
      <c r="N403" s="85" t="str" cm="1">
        <f t="array" ref="N403">IFERROR(VLOOKUP($A403,'The List'!$B1:$AS671,40,FALSE)," ")</f>
        <v xml:space="preserve"> </v>
      </c>
      <c r="O403" s="85" t="str" cm="1">
        <f t="array" ref="O403">IFERROR(VLOOKUP($A403,'The List'!$B1:$AS671,41,FALSE)," ")</f>
        <v xml:space="preserve"> </v>
      </c>
      <c r="P403" s="85" t="str" cm="1">
        <f t="array" ref="P403">IFERROR(VLOOKUP($A403,'The List'!$B1:$AS671,42,FALSE)," ")</f>
        <v xml:space="preserve"> </v>
      </c>
      <c r="Q403" s="85" t="str" cm="1">
        <f t="array" ref="Q403">IFERROR(VLOOKUP($A403,'The List'!$B1:$AS671,43,FALSE)," ")</f>
        <v xml:space="preserve"> </v>
      </c>
      <c r="R403" s="86"/>
      <c r="S403" s="86"/>
      <c r="T403" s="86"/>
      <c r="U403" s="197"/>
      <c r="V403" s="197"/>
      <c r="W403" s="197"/>
      <c r="X403" s="197"/>
      <c r="Y403" s="197"/>
      <c r="Z403" s="197"/>
      <c r="AA403" s="86"/>
      <c r="AB403" s="86"/>
      <c r="AC403" s="86"/>
      <c r="AD403" s="86"/>
      <c r="AE403" s="86"/>
      <c r="AF403" s="86"/>
    </row>
    <row r="404" spans="1:32" ht="21.25" customHeight="1" x14ac:dyDescent="0.15">
      <c r="A404" s="104"/>
      <c r="B404" s="143" t="str" cm="1">
        <f t="array" ref="B404">IFERROR(VLOOKUP($A404,'The List'!$B1:$AS671,3,FALSE)," ")</f>
        <v xml:space="preserve"> </v>
      </c>
      <c r="C404" s="144" t="str" cm="1">
        <f t="array" ref="C404">IFERROR(VLOOKUP($A404,'The List'!$B1:$AS671,4,FALSE)," ")</f>
        <v xml:space="preserve"> </v>
      </c>
      <c r="D404" s="107" t="str" cm="1">
        <f t="array" ref="D404">IFERROR(VLOOKUP($A404,'The List'!$B1:$AS671,5,FALSE)," ")</f>
        <v xml:space="preserve"> </v>
      </c>
      <c r="E404" s="107" t="str" cm="1">
        <f t="array" ref="E404">IFERROR(VLOOKUP($A404,'The List'!$B1:$AS671,6,FALSE)," ")</f>
        <v xml:space="preserve"> </v>
      </c>
      <c r="F404" s="108" t="str" cm="1">
        <f t="array" ref="F404">IFERROR(VLOOKUP($A404,'The List'!$B1:$AS671,8,FALSE)," ")</f>
        <v xml:space="preserve"> </v>
      </c>
      <c r="G404" s="108" t="str" cm="1">
        <f t="array" ref="G404">IFERROR(VLOOKUP($A404,'The List'!$B1:$AS671,10,FALSE)," ")</f>
        <v xml:space="preserve"> </v>
      </c>
      <c r="H404" s="109"/>
      <c r="I404" s="110" t="str" cm="1">
        <f t="array" ref="I404">IFERROR(VLOOKUP($A404,'The List'!$B1:$AS671,35,FALSE)," ")</f>
        <v xml:space="preserve"> </v>
      </c>
      <c r="J404" s="110" t="str" cm="1">
        <f t="array" ref="J404">IFERROR(VLOOKUP($A404,'The List'!$B1:$AS671,36,FALSE)," ")</f>
        <v xml:space="preserve"> </v>
      </c>
      <c r="K404" s="110" t="str" cm="1">
        <f t="array" ref="K404">IFERROR(VLOOKUP($A404,'The List'!$B1:$AS671,37,FALSE)," ")</f>
        <v xml:space="preserve"> </v>
      </c>
      <c r="L404" s="110" t="str" cm="1">
        <f t="array" ref="L404">IFERROR(VLOOKUP($A404,'The List'!$B1:$AS671,38,FALSE)," ")</f>
        <v xml:space="preserve"> </v>
      </c>
      <c r="M404" s="110" t="str" cm="1">
        <f t="array" ref="M404">IFERROR(VLOOKUP($A404,'The List'!$B1:$AS671,39,FALSE)," ")</f>
        <v xml:space="preserve"> </v>
      </c>
      <c r="N404" s="110" t="str" cm="1">
        <f t="array" ref="N404">IFERROR(VLOOKUP($A404,'The List'!$B1:$AS671,40,FALSE)," ")</f>
        <v xml:space="preserve"> </v>
      </c>
      <c r="O404" s="110" t="str" cm="1">
        <f t="array" ref="O404">IFERROR(VLOOKUP($A404,'The List'!$B1:$AS671,41,FALSE)," ")</f>
        <v xml:space="preserve"> </v>
      </c>
      <c r="P404" s="110" t="str" cm="1">
        <f t="array" ref="P404">IFERROR(VLOOKUP($A404,'The List'!$B1:$AS671,42,FALSE)," ")</f>
        <v xml:space="preserve"> </v>
      </c>
      <c r="Q404" s="110" t="str" cm="1">
        <f t="array" ref="Q404">IFERROR(VLOOKUP($A404,'The List'!$B1:$AS671,43,FALSE)," ")</f>
        <v xml:space="preserve"> </v>
      </c>
      <c r="R404" s="86"/>
      <c r="S404" s="86"/>
      <c r="T404" s="86"/>
      <c r="U404" s="197"/>
      <c r="V404" s="197"/>
      <c r="W404" s="197"/>
      <c r="X404" s="197"/>
      <c r="Y404" s="197"/>
      <c r="Z404" s="197"/>
      <c r="AA404" s="86"/>
      <c r="AB404" s="86"/>
      <c r="AC404" s="86"/>
      <c r="AD404" s="86"/>
      <c r="AE404" s="86"/>
      <c r="AF404" s="86"/>
    </row>
    <row r="405" spans="1:32" ht="21.25" customHeight="1" x14ac:dyDescent="0.15">
      <c r="A405" s="111"/>
      <c r="B405" s="112"/>
      <c r="C405" s="113"/>
      <c r="D405" s="114"/>
      <c r="E405" s="114" t="str" cm="1">
        <f t="array" ref="E405">IFERROR(AVERAGE(E402:E404)," ")</f>
        <v xml:space="preserve"> </v>
      </c>
      <c r="F405" s="116" cm="1">
        <f t="array" ref="F405">SUM(F402:F404)</f>
        <v>0</v>
      </c>
      <c r="G405" s="116" cm="1">
        <f t="array" ref="G405">SUM(G402:G404)</f>
        <v>0</v>
      </c>
      <c r="H405" s="117"/>
      <c r="I405" s="118" cm="1">
        <f t="array" ref="I405">SUM(I402:I404)</f>
        <v>0</v>
      </c>
      <c r="J405" s="117" cm="1">
        <f t="array" ref="J405">SUM(J402:J404)</f>
        <v>0</v>
      </c>
      <c r="K405" s="118" cm="1">
        <f t="array" ref="K405">SUM(K402:K404)</f>
        <v>0</v>
      </c>
      <c r="L405" s="118" cm="1">
        <f t="array" ref="L405">SUM(L402:L404)</f>
        <v>0</v>
      </c>
      <c r="M405" s="118" cm="1">
        <f t="array" ref="M405">SUM(M402:M404)</f>
        <v>0</v>
      </c>
      <c r="N405" s="118" cm="1">
        <f t="array" ref="N405">SUM(N402:N404)</f>
        <v>0</v>
      </c>
      <c r="O405" s="118" cm="1">
        <f t="array" ref="O405">SUM(O402:O404)</f>
        <v>0</v>
      </c>
      <c r="P405" s="145" t="e" cm="1">
        <f t="array" ref="P405">1-(O405/(N405+O405))</f>
        <v>#DIV/0!</v>
      </c>
      <c r="Q405" s="146" t="e" cm="1">
        <f t="array" ref="Q405">O405/I405</f>
        <v>#DIV/0!</v>
      </c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</row>
    <row r="406" spans="1:32" ht="70.75" customHeight="1" x14ac:dyDescent="0.15">
      <c r="A406" s="37"/>
      <c r="B406" s="121"/>
      <c r="C406" s="122"/>
      <c r="D406" s="13"/>
      <c r="E406" s="13"/>
      <c r="F406" s="123"/>
      <c r="G406" s="124"/>
      <c r="H406" s="125"/>
      <c r="I406" s="12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91"/>
      <c r="AB406" s="91"/>
      <c r="AC406" s="91"/>
      <c r="AD406" s="91"/>
      <c r="AE406" s="91"/>
      <c r="AF406" s="91"/>
    </row>
    <row r="407" spans="1:32" ht="21.25" customHeight="1" x14ac:dyDescent="0.15">
      <c r="A407" s="41" t="s">
        <v>816</v>
      </c>
      <c r="B407" s="194" t="s">
        <v>93</v>
      </c>
      <c r="C407" s="195"/>
      <c r="D407" s="42" t="s">
        <v>94</v>
      </c>
      <c r="E407" s="42" t="s">
        <v>95</v>
      </c>
      <c r="F407" s="43" t="s">
        <v>97</v>
      </c>
      <c r="G407" s="43" t="s">
        <v>99</v>
      </c>
      <c r="H407" s="44"/>
      <c r="I407" s="46" t="s">
        <v>104</v>
      </c>
      <c r="J407" s="46" t="s">
        <v>56</v>
      </c>
      <c r="K407" s="46" t="s">
        <v>105</v>
      </c>
      <c r="L407" s="46" t="s">
        <v>106</v>
      </c>
      <c r="M407" s="46" t="s">
        <v>107</v>
      </c>
      <c r="N407" s="46" t="s">
        <v>108</v>
      </c>
      <c r="O407" s="46" t="s">
        <v>64</v>
      </c>
      <c r="P407" s="46" t="s">
        <v>68</v>
      </c>
      <c r="Q407" s="46" t="s">
        <v>109</v>
      </c>
      <c r="R407" s="46" t="s">
        <v>110</v>
      </c>
      <c r="S407" s="46" t="s">
        <v>111</v>
      </c>
      <c r="T407" s="46" t="s">
        <v>112</v>
      </c>
      <c r="U407" s="46" t="s">
        <v>113</v>
      </c>
      <c r="V407" s="46" t="s">
        <v>114</v>
      </c>
      <c r="W407" s="46" t="s">
        <v>115</v>
      </c>
      <c r="X407" s="46" t="s">
        <v>116</v>
      </c>
      <c r="Y407" s="46" t="s">
        <v>117</v>
      </c>
      <c r="Z407" s="46" t="s">
        <v>118</v>
      </c>
      <c r="AA407" s="86"/>
      <c r="AB407" s="87"/>
      <c r="AC407" s="87"/>
      <c r="AD407" s="87"/>
      <c r="AE407" s="87"/>
      <c r="AF407" s="87"/>
    </row>
    <row r="408" spans="1:32" ht="21.25" customHeight="1" x14ac:dyDescent="0.15">
      <c r="A408" s="24"/>
      <c r="B408" s="88" t="str" cm="1">
        <f t="array" ref="B408">IFERROR(VLOOKUP($A408,'The List'!$B1:$AS671,3,FALSE)," ")</f>
        <v xml:space="preserve"> </v>
      </c>
      <c r="C408" s="92" t="str" cm="1">
        <f t="array" ref="C408">IFERROR(VLOOKUP($A408,'The List'!$B1:$AS671,4,FALSE)," ")</f>
        <v xml:space="preserve"> </v>
      </c>
      <c r="D408" s="18" t="str" cm="1">
        <f t="array" ref="D408">IFERROR(VLOOKUP($A408,'The List'!$B1:$AS671,5,FALSE)," ")</f>
        <v xml:space="preserve"> </v>
      </c>
      <c r="E408" s="18" t="str" cm="1">
        <f t="array" ref="E408">IFERROR(VLOOKUP($A408,'The List'!$B1:$AS671,6,FALSE)," ")</f>
        <v xml:space="preserve"> </v>
      </c>
      <c r="F408" s="93" t="str" cm="1">
        <f t="array" ref="F408">IFERROR(VLOOKUP($A408,'The List'!$B1:$AS671,8,FALSE)," ")</f>
        <v xml:space="preserve"> </v>
      </c>
      <c r="G408" s="93" t="str" cm="1">
        <f t="array" ref="G408">IFERROR(VLOOKUP($A408,'The List'!$B1:$AS671,10,FALSE)," ")</f>
        <v xml:space="preserve"> </v>
      </c>
      <c r="H408" s="55"/>
      <c r="I408" s="85" t="str" cm="1">
        <f t="array" ref="I408">IFERROR(VLOOKUP($A408,'The List'!$B1:$AS671,16,FALSE)," ")</f>
        <v xml:space="preserve"> </v>
      </c>
      <c r="J408" s="85" t="str" cm="1">
        <f t="array" ref="J408">IFERROR(VLOOKUP($A408,'The List'!$B1:$AS671,17,FALSE)," ")</f>
        <v xml:space="preserve"> </v>
      </c>
      <c r="K408" s="85" t="str" cm="1">
        <f t="array" ref="K408">IFERROR(VLOOKUP($A408,'The List'!$B1:$AS671,18,FALSE)," ")</f>
        <v xml:space="preserve"> </v>
      </c>
      <c r="L408" s="85" t="str" cm="1">
        <f t="array" ref="L408">IFERROR(VLOOKUP($A408,'The List'!$B1:$AS671,19,FALSE)," ")</f>
        <v xml:space="preserve"> </v>
      </c>
      <c r="M408" s="85" t="str" cm="1">
        <f t="array" ref="M408">IFERROR(VLOOKUP($A408,'The List'!$B1:$AS671,20,FALSE)," ")</f>
        <v xml:space="preserve"> </v>
      </c>
      <c r="N408" s="85" t="str" cm="1">
        <f t="array" ref="N408">IFERROR(VLOOKUP($A408,'The List'!$B1:$AS671,21,FALSE)," ")</f>
        <v xml:space="preserve"> </v>
      </c>
      <c r="O408" s="85" t="str" cm="1">
        <f t="array" ref="O408">IFERROR(VLOOKUP($A408,'The List'!$B1:$AS671,22,FALSE)," ")</f>
        <v xml:space="preserve"> </v>
      </c>
      <c r="P408" s="85" t="str" cm="1">
        <f t="array" ref="P408">IFERROR(VLOOKUP($A408,'The List'!$B1:$AS671,23,FALSE)," ")</f>
        <v xml:space="preserve"> </v>
      </c>
      <c r="Q408" s="85" t="str" cm="1">
        <f t="array" ref="Q408">IFERROR(VLOOKUP($A408,'The List'!$B1:$AS671,24,FALSE)," ")</f>
        <v xml:space="preserve"> </v>
      </c>
      <c r="R408" s="85" t="str" cm="1">
        <f t="array" ref="R408">IFERROR(VLOOKUP($A408,'The List'!$B1:$AS671,25,FALSE)," ")</f>
        <v xml:space="preserve"> </v>
      </c>
      <c r="S408" s="85" t="str" cm="1">
        <f t="array" ref="S408">IFERROR(VLOOKUP($A408,'The List'!$B1:$AS671,26,FALSE)," ")</f>
        <v xml:space="preserve"> </v>
      </c>
      <c r="T408" s="85" t="str" cm="1">
        <f t="array" ref="T408">IFERROR(VLOOKUP($A408,'The List'!$B1:$AS671,27,FALSE)," ")</f>
        <v xml:space="preserve"> </v>
      </c>
      <c r="U408" s="85" t="str" cm="1">
        <f t="array" ref="U408">IFERROR(VLOOKUP($A408,'The List'!$B1:$AS671,28,FALSE)," ")</f>
        <v xml:space="preserve"> </v>
      </c>
      <c r="V408" s="85" t="str" cm="1">
        <f t="array" ref="V408">IFERROR(VLOOKUP($A408,'The List'!$B1:$AS671,29,FALSE)," ")</f>
        <v xml:space="preserve"> </v>
      </c>
      <c r="W408" s="85" t="str" cm="1">
        <f t="array" ref="W408">IFERROR(VLOOKUP($A408,'The List'!$B1:$AS671,30,FALSE)," ")</f>
        <v xml:space="preserve"> </v>
      </c>
      <c r="X408" s="85" t="str" cm="1">
        <f t="array" ref="X408">IFERROR(VLOOKUP($A408,'The List'!$B1:$AS671,31,FALSE)," ")</f>
        <v xml:space="preserve"> </v>
      </c>
      <c r="Y408" s="85" t="str" cm="1">
        <f t="array" ref="Y408">IFERROR(VLOOKUP($A408,'The List'!$B1:$AS671,32,FALSE)," ")</f>
        <v xml:space="preserve"> </v>
      </c>
      <c r="Z408" s="85" t="str" cm="1">
        <f t="array" ref="Z408">IFERROR(VLOOKUP($A408,'The List'!$B1:$AS671,33,FALSE)," ")</f>
        <v xml:space="preserve"> </v>
      </c>
      <c r="AA408" s="86"/>
      <c r="AB408" s="91"/>
      <c r="AC408" s="91"/>
      <c r="AD408" s="91"/>
      <c r="AE408" s="91"/>
      <c r="AF408" s="91"/>
    </row>
    <row r="409" spans="1:32" ht="21.25" customHeight="1" x14ac:dyDescent="0.15">
      <c r="A409" s="24"/>
      <c r="B409" s="88" t="str" cm="1">
        <f t="array" ref="B409">IFERROR(VLOOKUP($A409,'The List'!$B1:$AS671,3,FALSE)," ")</f>
        <v xml:space="preserve"> </v>
      </c>
      <c r="C409" s="92" t="str" cm="1">
        <f t="array" ref="C409">IFERROR(VLOOKUP($A409,'The List'!$B1:$AS671,4,FALSE)," ")</f>
        <v xml:space="preserve"> </v>
      </c>
      <c r="D409" s="18" t="str" cm="1">
        <f t="array" ref="D409">IFERROR(VLOOKUP($A409,'The List'!$B1:$AS671,5,FALSE)," ")</f>
        <v xml:space="preserve"> </v>
      </c>
      <c r="E409" s="18" t="str" cm="1">
        <f t="array" ref="E409">IFERROR(VLOOKUP($A409,'The List'!$B1:$AS671,6,FALSE)," ")</f>
        <v xml:space="preserve"> </v>
      </c>
      <c r="F409" s="93" t="str" cm="1">
        <f t="array" ref="F409">IFERROR(VLOOKUP($A409,'The List'!$B1:$AS671,8,FALSE)," ")</f>
        <v xml:space="preserve"> </v>
      </c>
      <c r="G409" s="93" t="str" cm="1">
        <f t="array" ref="G409">IFERROR(VLOOKUP($A409,'The List'!$B1:$AS671,10,FALSE)," ")</f>
        <v xml:space="preserve"> </v>
      </c>
      <c r="H409" s="55"/>
      <c r="I409" s="85" t="str" cm="1">
        <f t="array" ref="I409">IFERROR(VLOOKUP($A409,'The List'!$B1:$AS671,16,FALSE)," ")</f>
        <v xml:space="preserve"> </v>
      </c>
      <c r="J409" s="85" t="str" cm="1">
        <f t="array" ref="J409">IFERROR(VLOOKUP($A409,'The List'!$B1:$AS671,17,FALSE)," ")</f>
        <v xml:space="preserve"> </v>
      </c>
      <c r="K409" s="85" t="str" cm="1">
        <f t="array" ref="K409">IFERROR(VLOOKUP($A409,'The List'!$B1:$AS671,18,FALSE)," ")</f>
        <v xml:space="preserve"> </v>
      </c>
      <c r="L409" s="85" t="str" cm="1">
        <f t="array" ref="L409">IFERROR(VLOOKUP($A409,'The List'!$B1:$AS671,19,FALSE)," ")</f>
        <v xml:space="preserve"> </v>
      </c>
      <c r="M409" s="85" t="str" cm="1">
        <f t="array" ref="M409">IFERROR(VLOOKUP($A409,'The List'!$B1:$AS671,20,FALSE)," ")</f>
        <v xml:space="preserve"> </v>
      </c>
      <c r="N409" s="85" t="str" cm="1">
        <f t="array" ref="N409">IFERROR(VLOOKUP($A409,'The List'!$B1:$AS671,21,FALSE)," ")</f>
        <v xml:space="preserve"> </v>
      </c>
      <c r="O409" s="85" t="str" cm="1">
        <f t="array" ref="O409">IFERROR(VLOOKUP($A409,'The List'!$B1:$AS671,22,FALSE)," ")</f>
        <v xml:space="preserve"> </v>
      </c>
      <c r="P409" s="85" t="str" cm="1">
        <f t="array" ref="P409">IFERROR(VLOOKUP($A409,'The List'!$B1:$AS671,23,FALSE)," ")</f>
        <v xml:space="preserve"> </v>
      </c>
      <c r="Q409" s="85" t="str" cm="1">
        <f t="array" ref="Q409">IFERROR(VLOOKUP($A409,'The List'!$B1:$AS671,24,FALSE)," ")</f>
        <v xml:space="preserve"> </v>
      </c>
      <c r="R409" s="85" t="str" cm="1">
        <f t="array" ref="R409">IFERROR(VLOOKUP($A409,'The List'!$B1:$AS671,25,FALSE)," ")</f>
        <v xml:space="preserve"> </v>
      </c>
      <c r="S409" s="85" t="str" cm="1">
        <f t="array" ref="S409">IFERROR(VLOOKUP($A409,'The List'!$B1:$AS671,26,FALSE)," ")</f>
        <v xml:space="preserve"> </v>
      </c>
      <c r="T409" s="85" t="str" cm="1">
        <f t="array" ref="T409">IFERROR(VLOOKUP($A409,'The List'!$B1:$AS671,27,FALSE)," ")</f>
        <v xml:space="preserve"> </v>
      </c>
      <c r="U409" s="85" t="str" cm="1">
        <f t="array" ref="U409">IFERROR(VLOOKUP($A409,'The List'!$B1:$AS671,28,FALSE)," ")</f>
        <v xml:space="preserve"> </v>
      </c>
      <c r="V409" s="85" t="str" cm="1">
        <f t="array" ref="V409">IFERROR(VLOOKUP($A409,'The List'!$B1:$AS671,29,FALSE)," ")</f>
        <v xml:space="preserve"> </v>
      </c>
      <c r="W409" s="85" t="str" cm="1">
        <f t="array" ref="W409">IFERROR(VLOOKUP($A409,'The List'!$B1:$AS671,30,FALSE)," ")</f>
        <v xml:space="preserve"> </v>
      </c>
      <c r="X409" s="85" t="str" cm="1">
        <f t="array" ref="X409">IFERROR(VLOOKUP($A409,'The List'!$B1:$AS671,31,FALSE)," ")</f>
        <v xml:space="preserve"> </v>
      </c>
      <c r="Y409" s="85" t="str" cm="1">
        <f t="array" ref="Y409">IFERROR(VLOOKUP($A409,'The List'!$B1:$AS671,32,FALSE)," ")</f>
        <v xml:space="preserve"> </v>
      </c>
      <c r="Z409" s="85" t="str" cm="1">
        <f t="array" ref="Z409">IFERROR(VLOOKUP($A409,'The List'!$B1:$AS671,33,FALSE)," ")</f>
        <v xml:space="preserve"> </v>
      </c>
      <c r="AA409" s="86"/>
      <c r="AB409" s="91"/>
      <c r="AC409" s="91"/>
      <c r="AD409" s="91"/>
      <c r="AE409" s="91"/>
      <c r="AF409" s="91"/>
    </row>
    <row r="410" spans="1:32" ht="21.25" customHeight="1" x14ac:dyDescent="0.15">
      <c r="A410" s="24"/>
      <c r="B410" s="88" t="str" cm="1">
        <f t="array" ref="B410">IFERROR(VLOOKUP($A410,'The List'!$B1:$AS671,3,FALSE)," ")</f>
        <v xml:space="preserve"> </v>
      </c>
      <c r="C410" s="92" t="str" cm="1">
        <f t="array" ref="C410">IFERROR(VLOOKUP($A410,'The List'!$B1:$AS671,4,FALSE)," ")</f>
        <v xml:space="preserve"> </v>
      </c>
      <c r="D410" s="18" t="str" cm="1">
        <f t="array" ref="D410">IFERROR(VLOOKUP($A410,'The List'!$B1:$AS671,5,FALSE)," ")</f>
        <v xml:space="preserve"> </v>
      </c>
      <c r="E410" s="18" t="str" cm="1">
        <f t="array" ref="E410">IFERROR(VLOOKUP($A410,'The List'!$B1:$AS671,6,FALSE)," ")</f>
        <v xml:space="preserve"> </v>
      </c>
      <c r="F410" s="93" t="str" cm="1">
        <f t="array" ref="F410">IFERROR(VLOOKUP($A410,'The List'!$B1:$AS671,8,FALSE)," ")</f>
        <v xml:space="preserve"> </v>
      </c>
      <c r="G410" s="93" t="str" cm="1">
        <f t="array" ref="G410">IFERROR(VLOOKUP($A410,'The List'!$B1:$AS671,10,FALSE)," ")</f>
        <v xml:space="preserve"> </v>
      </c>
      <c r="H410" s="55"/>
      <c r="I410" s="85" t="str" cm="1">
        <f t="array" ref="I410">IFERROR(VLOOKUP($A410,'The List'!$B1:$AS671,16,FALSE)," ")</f>
        <v xml:space="preserve"> </v>
      </c>
      <c r="J410" s="85" t="str" cm="1">
        <f t="array" ref="J410">IFERROR(VLOOKUP($A410,'The List'!$B1:$AS671,17,FALSE)," ")</f>
        <v xml:space="preserve"> </v>
      </c>
      <c r="K410" s="85" t="str" cm="1">
        <f t="array" ref="K410">IFERROR(VLOOKUP($A410,'The List'!$B1:$AS671,18,FALSE)," ")</f>
        <v xml:space="preserve"> </v>
      </c>
      <c r="L410" s="85" t="str" cm="1">
        <f t="array" ref="L410">IFERROR(VLOOKUP($A410,'The List'!$B1:$AS671,19,FALSE)," ")</f>
        <v xml:space="preserve"> </v>
      </c>
      <c r="M410" s="85" t="str" cm="1">
        <f t="array" ref="M410">IFERROR(VLOOKUP($A410,'The List'!$B1:$AS671,20,FALSE)," ")</f>
        <v xml:space="preserve"> </v>
      </c>
      <c r="N410" s="85" t="str" cm="1">
        <f t="array" ref="N410">IFERROR(VLOOKUP($A410,'The List'!$B1:$AS671,21,FALSE)," ")</f>
        <v xml:space="preserve"> </v>
      </c>
      <c r="O410" s="85" t="str" cm="1">
        <f t="array" ref="O410">IFERROR(VLOOKUP($A410,'The List'!$B1:$AS671,22,FALSE)," ")</f>
        <v xml:space="preserve"> </v>
      </c>
      <c r="P410" s="85" t="str" cm="1">
        <f t="array" ref="P410">IFERROR(VLOOKUP($A410,'The List'!$B1:$AS671,23,FALSE)," ")</f>
        <v xml:space="preserve"> </v>
      </c>
      <c r="Q410" s="85" t="str" cm="1">
        <f t="array" ref="Q410">IFERROR(VLOOKUP($A410,'The List'!$B1:$AS671,24,FALSE)," ")</f>
        <v xml:space="preserve"> </v>
      </c>
      <c r="R410" s="85" t="str" cm="1">
        <f t="array" ref="R410">IFERROR(VLOOKUP($A410,'The List'!$B1:$AS671,25,FALSE)," ")</f>
        <v xml:space="preserve"> </v>
      </c>
      <c r="S410" s="85" t="str" cm="1">
        <f t="array" ref="S410">IFERROR(VLOOKUP($A410,'The List'!$B1:$AS671,26,FALSE)," ")</f>
        <v xml:space="preserve"> </v>
      </c>
      <c r="T410" s="85" t="str" cm="1">
        <f t="array" ref="T410">IFERROR(VLOOKUP($A410,'The List'!$B1:$AS671,27,FALSE)," ")</f>
        <v xml:space="preserve"> </v>
      </c>
      <c r="U410" s="85" t="str" cm="1">
        <f t="array" ref="U410">IFERROR(VLOOKUP($A410,'The List'!$B1:$AS671,28,FALSE)," ")</f>
        <v xml:space="preserve"> </v>
      </c>
      <c r="V410" s="85" t="str" cm="1">
        <f t="array" ref="V410">IFERROR(VLOOKUP($A410,'The List'!$B1:$AS671,29,FALSE)," ")</f>
        <v xml:space="preserve"> </v>
      </c>
      <c r="W410" s="85" t="str" cm="1">
        <f t="array" ref="W410">IFERROR(VLOOKUP($A410,'The List'!$B1:$AS671,30,FALSE)," ")</f>
        <v xml:space="preserve"> </v>
      </c>
      <c r="X410" s="85" t="str" cm="1">
        <f t="array" ref="X410">IFERROR(VLOOKUP($A410,'The List'!$B1:$AS671,31,FALSE)," ")</f>
        <v xml:space="preserve"> </v>
      </c>
      <c r="Y410" s="85" t="str" cm="1">
        <f t="array" ref="Y410">IFERROR(VLOOKUP($A410,'The List'!$B1:$AS671,32,FALSE)," ")</f>
        <v xml:space="preserve"> </v>
      </c>
      <c r="Z410" s="85" t="str" cm="1">
        <f t="array" ref="Z410">IFERROR(VLOOKUP($A410,'The List'!$B1:$AS671,33,FALSE)," ")</f>
        <v xml:space="preserve"> </v>
      </c>
      <c r="AA410" s="86"/>
      <c r="AB410" s="91"/>
      <c r="AC410" s="91"/>
      <c r="AD410" s="91"/>
      <c r="AE410" s="91"/>
      <c r="AF410" s="91"/>
    </row>
    <row r="411" spans="1:32" ht="21.25" customHeight="1" x14ac:dyDescent="0.15">
      <c r="A411" s="24"/>
      <c r="B411" s="88" t="str" cm="1">
        <f t="array" ref="B411">IFERROR(VLOOKUP($A411,'The List'!$B1:$AS671,3,FALSE)," ")</f>
        <v xml:space="preserve"> </v>
      </c>
      <c r="C411" s="92" t="str" cm="1">
        <f t="array" ref="C411">IFERROR(VLOOKUP($A411,'The List'!$B1:$AS671,4,FALSE)," ")</f>
        <v xml:space="preserve"> </v>
      </c>
      <c r="D411" s="18" t="str" cm="1">
        <f t="array" ref="D411">IFERROR(VLOOKUP($A411,'The List'!$B1:$AS671,5,FALSE)," ")</f>
        <v xml:space="preserve"> </v>
      </c>
      <c r="E411" s="18" t="str" cm="1">
        <f t="array" ref="E411">IFERROR(VLOOKUP($A411,'The List'!$B1:$AS671,6,FALSE)," ")</f>
        <v xml:space="preserve"> </v>
      </c>
      <c r="F411" s="93" t="str" cm="1">
        <f t="array" ref="F411">IFERROR(VLOOKUP($A411,'The List'!$B1:$AS671,8,FALSE)," ")</f>
        <v xml:space="preserve"> </v>
      </c>
      <c r="G411" s="93" t="str" cm="1">
        <f t="array" ref="G411">IFERROR(VLOOKUP($A411,'The List'!$B1:$AS671,10,FALSE)," ")</f>
        <v xml:space="preserve"> </v>
      </c>
      <c r="H411" s="55"/>
      <c r="I411" s="85" t="str" cm="1">
        <f t="array" ref="I411">IFERROR(VLOOKUP($A411,'The List'!$B1:$AS671,16,FALSE)," ")</f>
        <v xml:space="preserve"> </v>
      </c>
      <c r="J411" s="85" t="str" cm="1">
        <f t="array" ref="J411">IFERROR(VLOOKUP($A411,'The List'!$B1:$AS671,17,FALSE)," ")</f>
        <v xml:space="preserve"> </v>
      </c>
      <c r="K411" s="85" t="str" cm="1">
        <f t="array" ref="K411">IFERROR(VLOOKUP($A411,'The List'!$B1:$AS671,18,FALSE)," ")</f>
        <v xml:space="preserve"> </v>
      </c>
      <c r="L411" s="85" t="str" cm="1">
        <f t="array" ref="L411">IFERROR(VLOOKUP($A411,'The List'!$B1:$AS671,19,FALSE)," ")</f>
        <v xml:space="preserve"> </v>
      </c>
      <c r="M411" s="85" t="str" cm="1">
        <f t="array" ref="M411">IFERROR(VLOOKUP($A411,'The List'!$B1:$AS671,20,FALSE)," ")</f>
        <v xml:space="preserve"> </v>
      </c>
      <c r="N411" s="85" t="str" cm="1">
        <f t="array" ref="N411">IFERROR(VLOOKUP($A411,'The List'!$B1:$AS671,21,FALSE)," ")</f>
        <v xml:space="preserve"> </v>
      </c>
      <c r="O411" s="85" t="str" cm="1">
        <f t="array" ref="O411">IFERROR(VLOOKUP($A411,'The List'!$B1:$AS671,22,FALSE)," ")</f>
        <v xml:space="preserve"> </v>
      </c>
      <c r="P411" s="85" t="str" cm="1">
        <f t="array" ref="P411">IFERROR(VLOOKUP($A411,'The List'!$B1:$AS671,23,FALSE)," ")</f>
        <v xml:space="preserve"> </v>
      </c>
      <c r="Q411" s="85" t="str" cm="1">
        <f t="array" ref="Q411">IFERROR(VLOOKUP($A411,'The List'!$B1:$AS671,24,FALSE)," ")</f>
        <v xml:space="preserve"> </v>
      </c>
      <c r="R411" s="85" t="str" cm="1">
        <f t="array" ref="R411">IFERROR(VLOOKUP($A411,'The List'!$B1:$AS671,25,FALSE)," ")</f>
        <v xml:space="preserve"> </v>
      </c>
      <c r="S411" s="85" t="str" cm="1">
        <f t="array" ref="S411">IFERROR(VLOOKUP($A411,'The List'!$B1:$AS671,26,FALSE)," ")</f>
        <v xml:space="preserve"> </v>
      </c>
      <c r="T411" s="85" t="str" cm="1">
        <f t="array" ref="T411">IFERROR(VLOOKUP($A411,'The List'!$B1:$AS671,27,FALSE)," ")</f>
        <v xml:space="preserve"> </v>
      </c>
      <c r="U411" s="85" t="str" cm="1">
        <f t="array" ref="U411">IFERROR(VLOOKUP($A411,'The List'!$B1:$AS671,28,FALSE)," ")</f>
        <v xml:space="preserve"> </v>
      </c>
      <c r="V411" s="85" t="str" cm="1">
        <f t="array" ref="V411">IFERROR(VLOOKUP($A411,'The List'!$B1:$AS671,29,FALSE)," ")</f>
        <v xml:space="preserve"> </v>
      </c>
      <c r="W411" s="85" t="str" cm="1">
        <f t="array" ref="W411">IFERROR(VLOOKUP($A411,'The List'!$B1:$AS671,30,FALSE)," ")</f>
        <v xml:space="preserve"> </v>
      </c>
      <c r="X411" s="85" t="str" cm="1">
        <f t="array" ref="X411">IFERROR(VLOOKUP($A411,'The List'!$B1:$AS671,31,FALSE)," ")</f>
        <v xml:space="preserve"> </v>
      </c>
      <c r="Y411" s="85" t="str" cm="1">
        <f t="array" ref="Y411">IFERROR(VLOOKUP($A411,'The List'!$B1:$AS671,32,FALSE)," ")</f>
        <v xml:space="preserve"> </v>
      </c>
      <c r="Z411" s="85" t="str" cm="1">
        <f t="array" ref="Z411">IFERROR(VLOOKUP($A411,'The List'!$B1:$AS671,33,FALSE)," ")</f>
        <v xml:space="preserve"> </v>
      </c>
      <c r="AA411" s="86"/>
      <c r="AB411" s="91"/>
      <c r="AC411" s="91"/>
      <c r="AD411" s="91"/>
      <c r="AE411" s="91"/>
      <c r="AF411" s="91"/>
    </row>
    <row r="412" spans="1:32" ht="21.25" customHeight="1" x14ac:dyDescent="0.15">
      <c r="A412" s="24"/>
      <c r="B412" s="94" t="str" cm="1">
        <f t="array" ref="B412">IFERROR(VLOOKUP($A412,'The List'!$B1:$AS671,3,FALSE)," ")</f>
        <v xml:space="preserve"> </v>
      </c>
      <c r="C412" s="96" t="str" cm="1">
        <f t="array" ref="C412">IFERROR(VLOOKUP($A412,'The List'!$B1:$AS671,4,FALSE)," ")</f>
        <v xml:space="preserve"> </v>
      </c>
      <c r="D412" s="18" t="str" cm="1">
        <f t="array" ref="D412">IFERROR(VLOOKUP($A412,'The List'!$B1:$AS671,5,FALSE)," ")</f>
        <v xml:space="preserve"> </v>
      </c>
      <c r="E412" s="18" t="str" cm="1">
        <f t="array" ref="E412">IFERROR(VLOOKUP($A412,'The List'!$B1:$AS671,6,FALSE)," ")</f>
        <v xml:space="preserve"> </v>
      </c>
      <c r="F412" s="93" t="str" cm="1">
        <f t="array" ref="F412">IFERROR(VLOOKUP($A412,'The List'!$B1:$AS671,8,FALSE)," ")</f>
        <v xml:space="preserve"> </v>
      </c>
      <c r="G412" s="93" t="str" cm="1">
        <f t="array" ref="G412">IFERROR(VLOOKUP($A412,'The List'!$B1:$AS671,10,FALSE)," ")</f>
        <v xml:space="preserve"> </v>
      </c>
      <c r="H412" s="55"/>
      <c r="I412" s="85" t="str" cm="1">
        <f t="array" ref="I412">IFERROR(VLOOKUP($A412,'The List'!$B1:$AS671,16,FALSE)," ")</f>
        <v xml:space="preserve"> </v>
      </c>
      <c r="J412" s="85" t="str" cm="1">
        <f t="array" ref="J412">IFERROR(VLOOKUP($A412,'The List'!$B1:$AS671,17,FALSE)," ")</f>
        <v xml:space="preserve"> </v>
      </c>
      <c r="K412" s="85" t="str" cm="1">
        <f t="array" ref="K412">IFERROR(VLOOKUP($A412,'The List'!$B1:$AS671,18,FALSE)," ")</f>
        <v xml:space="preserve"> </v>
      </c>
      <c r="L412" s="85" t="str" cm="1">
        <f t="array" ref="L412">IFERROR(VLOOKUP($A412,'The List'!$B1:$AS671,19,FALSE)," ")</f>
        <v xml:space="preserve"> </v>
      </c>
      <c r="M412" s="85" t="str" cm="1">
        <f t="array" ref="M412">IFERROR(VLOOKUP($A412,'The List'!$B1:$AS671,20,FALSE)," ")</f>
        <v xml:space="preserve"> </v>
      </c>
      <c r="N412" s="85" t="str" cm="1">
        <f t="array" ref="N412">IFERROR(VLOOKUP($A412,'The List'!$B1:$AS671,21,FALSE)," ")</f>
        <v xml:space="preserve"> </v>
      </c>
      <c r="O412" s="85" t="str" cm="1">
        <f t="array" ref="O412">IFERROR(VLOOKUP($A412,'The List'!$B1:$AS671,22,FALSE)," ")</f>
        <v xml:space="preserve"> </v>
      </c>
      <c r="P412" s="85" t="str" cm="1">
        <f t="array" ref="P412">IFERROR(VLOOKUP($A412,'The List'!$B1:$AS671,23,FALSE)," ")</f>
        <v xml:space="preserve"> </v>
      </c>
      <c r="Q412" s="85" t="str" cm="1">
        <f t="array" ref="Q412">IFERROR(VLOOKUP($A412,'The List'!$B1:$AS671,24,FALSE)," ")</f>
        <v xml:space="preserve"> </v>
      </c>
      <c r="R412" s="85" t="str" cm="1">
        <f t="array" ref="R412">IFERROR(VLOOKUP($A412,'The List'!$B1:$AS671,25,FALSE)," ")</f>
        <v xml:space="preserve"> </v>
      </c>
      <c r="S412" s="85" t="str" cm="1">
        <f t="array" ref="S412">IFERROR(VLOOKUP($A412,'The List'!$B1:$AS671,26,FALSE)," ")</f>
        <v xml:space="preserve"> </v>
      </c>
      <c r="T412" s="85" t="str" cm="1">
        <f t="array" ref="T412">IFERROR(VLOOKUP($A412,'The List'!$B1:$AS671,27,FALSE)," ")</f>
        <v xml:space="preserve"> </v>
      </c>
      <c r="U412" s="85" t="str" cm="1">
        <f t="array" ref="U412">IFERROR(VLOOKUP($A412,'The List'!$B1:$AS671,28,FALSE)," ")</f>
        <v xml:space="preserve"> </v>
      </c>
      <c r="V412" s="85" t="str" cm="1">
        <f t="array" ref="V412">IFERROR(VLOOKUP($A412,'The List'!$B1:$AS671,29,FALSE)," ")</f>
        <v xml:space="preserve"> </v>
      </c>
      <c r="W412" s="85" t="str" cm="1">
        <f t="array" ref="W412">IFERROR(VLOOKUP($A412,'The List'!$B1:$AS671,30,FALSE)," ")</f>
        <v xml:space="preserve"> </v>
      </c>
      <c r="X412" s="85" t="str" cm="1">
        <f t="array" ref="X412">IFERROR(VLOOKUP($A412,'The List'!$B1:$AS671,31,FALSE)," ")</f>
        <v xml:space="preserve"> </v>
      </c>
      <c r="Y412" s="85" t="str" cm="1">
        <f t="array" ref="Y412">IFERROR(VLOOKUP($A412,'The List'!$B1:$AS671,32,FALSE)," ")</f>
        <v xml:space="preserve"> </v>
      </c>
      <c r="Z412" s="85" t="str" cm="1">
        <f t="array" ref="Z412">IFERROR(VLOOKUP($A412,'The List'!$B1:$AS671,33,FALSE)," ")</f>
        <v xml:space="preserve"> </v>
      </c>
      <c r="AA412" s="86"/>
      <c r="AB412" s="91"/>
      <c r="AC412" s="91"/>
      <c r="AD412" s="91"/>
      <c r="AE412" s="91"/>
      <c r="AF412" s="91"/>
    </row>
    <row r="413" spans="1:32" ht="21.25" customHeight="1" x14ac:dyDescent="0.15">
      <c r="A413" s="24"/>
      <c r="B413" s="94" t="str" cm="1">
        <f t="array" ref="B413">IFERROR(VLOOKUP($A413,'The List'!$B1:$AS671,3,FALSE)," ")</f>
        <v xml:space="preserve"> </v>
      </c>
      <c r="C413" s="96" t="str" cm="1">
        <f t="array" ref="C413">IFERROR(VLOOKUP($A413,'The List'!$B1:$AS671,4,FALSE)," ")</f>
        <v xml:space="preserve"> </v>
      </c>
      <c r="D413" s="18" t="str" cm="1">
        <f t="array" ref="D413">IFERROR(VLOOKUP($A413,'The List'!$B1:$AS671,5,FALSE)," ")</f>
        <v xml:space="preserve"> </v>
      </c>
      <c r="E413" s="18" t="str" cm="1">
        <f t="array" ref="E413">IFERROR(VLOOKUP($A413,'The List'!$B1:$AS671,6,FALSE)," ")</f>
        <v xml:space="preserve"> </v>
      </c>
      <c r="F413" s="93" t="str" cm="1">
        <f t="array" ref="F413">IFERROR(VLOOKUP($A413,'The List'!$B1:$AS671,8,FALSE)," ")</f>
        <v xml:space="preserve"> </v>
      </c>
      <c r="G413" s="93" t="str" cm="1">
        <f t="array" ref="G413">IFERROR(VLOOKUP($A413,'The List'!$B1:$AS671,10,FALSE)," ")</f>
        <v xml:space="preserve"> </v>
      </c>
      <c r="H413" s="55"/>
      <c r="I413" s="85" t="str" cm="1">
        <f t="array" ref="I413">IFERROR(VLOOKUP($A413,'The List'!$B1:$AS671,16,FALSE)," ")</f>
        <v xml:space="preserve"> </v>
      </c>
      <c r="J413" s="85" t="str" cm="1">
        <f t="array" ref="J413">IFERROR(VLOOKUP($A413,'The List'!$B1:$AS671,17,FALSE)," ")</f>
        <v xml:space="preserve"> </v>
      </c>
      <c r="K413" s="85" t="str" cm="1">
        <f t="array" ref="K413">IFERROR(VLOOKUP($A413,'The List'!$B1:$AS671,18,FALSE)," ")</f>
        <v xml:space="preserve"> </v>
      </c>
      <c r="L413" s="85" t="str" cm="1">
        <f t="array" ref="L413">IFERROR(VLOOKUP($A413,'The List'!$B1:$AS671,19,FALSE)," ")</f>
        <v xml:space="preserve"> </v>
      </c>
      <c r="M413" s="85" t="str" cm="1">
        <f t="array" ref="M413">IFERROR(VLOOKUP($A413,'The List'!$B1:$AS671,20,FALSE)," ")</f>
        <v xml:space="preserve"> </v>
      </c>
      <c r="N413" s="85" t="str" cm="1">
        <f t="array" ref="N413">IFERROR(VLOOKUP($A413,'The List'!$B1:$AS671,21,FALSE)," ")</f>
        <v xml:space="preserve"> </v>
      </c>
      <c r="O413" s="85" t="str" cm="1">
        <f t="array" ref="O413">IFERROR(VLOOKUP($A413,'The List'!$B1:$AS671,22,FALSE)," ")</f>
        <v xml:space="preserve"> </v>
      </c>
      <c r="P413" s="85" t="str" cm="1">
        <f t="array" ref="P413">IFERROR(VLOOKUP($A413,'The List'!$B1:$AS671,23,FALSE)," ")</f>
        <v xml:space="preserve"> </v>
      </c>
      <c r="Q413" s="85" t="str" cm="1">
        <f t="array" ref="Q413">IFERROR(VLOOKUP($A413,'The List'!$B1:$AS671,24,FALSE)," ")</f>
        <v xml:space="preserve"> </v>
      </c>
      <c r="R413" s="85" t="str" cm="1">
        <f t="array" ref="R413">IFERROR(VLOOKUP($A413,'The List'!$B1:$AS671,25,FALSE)," ")</f>
        <v xml:space="preserve"> </v>
      </c>
      <c r="S413" s="85" t="str" cm="1">
        <f t="array" ref="S413">IFERROR(VLOOKUP($A413,'The List'!$B1:$AS671,26,FALSE)," ")</f>
        <v xml:space="preserve"> </v>
      </c>
      <c r="T413" s="85" t="str" cm="1">
        <f t="array" ref="T413">IFERROR(VLOOKUP($A413,'The List'!$B1:$AS671,27,FALSE)," ")</f>
        <v xml:space="preserve"> </v>
      </c>
      <c r="U413" s="85" t="str" cm="1">
        <f t="array" ref="U413">IFERROR(VLOOKUP($A413,'The List'!$B1:$AS671,28,FALSE)," ")</f>
        <v xml:space="preserve"> </v>
      </c>
      <c r="V413" s="85" t="str" cm="1">
        <f t="array" ref="V413">IFERROR(VLOOKUP($A413,'The List'!$B1:$AS671,29,FALSE)," ")</f>
        <v xml:space="preserve"> </v>
      </c>
      <c r="W413" s="85" t="str" cm="1">
        <f t="array" ref="W413">IFERROR(VLOOKUP($A413,'The List'!$B1:$AS671,30,FALSE)," ")</f>
        <v xml:space="preserve"> </v>
      </c>
      <c r="X413" s="85" t="str" cm="1">
        <f t="array" ref="X413">IFERROR(VLOOKUP($A413,'The List'!$B1:$AS671,31,FALSE)," ")</f>
        <v xml:space="preserve"> </v>
      </c>
      <c r="Y413" s="85" t="str" cm="1">
        <f t="array" ref="Y413">IFERROR(VLOOKUP($A413,'The List'!$B1:$AS671,32,FALSE)," ")</f>
        <v xml:space="preserve"> </v>
      </c>
      <c r="Z413" s="85" t="str" cm="1">
        <f t="array" ref="Z413">IFERROR(VLOOKUP($A413,'The List'!$B1:$AS671,33,FALSE)," ")</f>
        <v xml:space="preserve"> </v>
      </c>
      <c r="AA413" s="86"/>
      <c r="AB413" s="91"/>
      <c r="AC413" s="91"/>
      <c r="AD413" s="91"/>
      <c r="AE413" s="91"/>
      <c r="AF413" s="91"/>
    </row>
    <row r="414" spans="1:32" ht="21.25" customHeight="1" x14ac:dyDescent="0.15">
      <c r="A414" s="24"/>
      <c r="B414" s="94" t="str" cm="1">
        <f t="array" ref="B414">IFERROR(VLOOKUP($A414,'The List'!$B1:$AS671,3,FALSE)," ")</f>
        <v xml:space="preserve"> </v>
      </c>
      <c r="C414" s="96" t="str" cm="1">
        <f t="array" ref="C414">IFERROR(VLOOKUP($A414,'The List'!$B1:$AS671,4,FALSE)," ")</f>
        <v xml:space="preserve"> </v>
      </c>
      <c r="D414" s="18" t="str" cm="1">
        <f t="array" ref="D414">IFERROR(VLOOKUP($A414,'The List'!$B1:$AS671,5,FALSE)," ")</f>
        <v xml:space="preserve"> </v>
      </c>
      <c r="E414" s="18" t="str" cm="1">
        <f t="array" ref="E414">IFERROR(VLOOKUP($A414,'The List'!$B1:$AS671,6,FALSE)," ")</f>
        <v xml:space="preserve"> </v>
      </c>
      <c r="F414" s="93" t="str" cm="1">
        <f t="array" ref="F414">IFERROR(VLOOKUP($A414,'The List'!$B1:$AS671,8,FALSE)," ")</f>
        <v xml:space="preserve"> </v>
      </c>
      <c r="G414" s="93" t="str" cm="1">
        <f t="array" ref="G414">IFERROR(VLOOKUP($A414,'The List'!$B1:$AS671,10,FALSE)," ")</f>
        <v xml:space="preserve"> </v>
      </c>
      <c r="H414" s="55"/>
      <c r="I414" s="85" t="str" cm="1">
        <f t="array" ref="I414">IFERROR(VLOOKUP($A414,'The List'!$B1:$AS671,16,FALSE)," ")</f>
        <v xml:space="preserve"> </v>
      </c>
      <c r="J414" s="85" t="str" cm="1">
        <f t="array" ref="J414">IFERROR(VLOOKUP($A414,'The List'!$B1:$AS671,17,FALSE)," ")</f>
        <v xml:space="preserve"> </v>
      </c>
      <c r="K414" s="85" t="str" cm="1">
        <f t="array" ref="K414">IFERROR(VLOOKUP($A414,'The List'!$B1:$AS671,18,FALSE)," ")</f>
        <v xml:space="preserve"> </v>
      </c>
      <c r="L414" s="85" t="str" cm="1">
        <f t="array" ref="L414">IFERROR(VLOOKUP($A414,'The List'!$B1:$AS671,19,FALSE)," ")</f>
        <v xml:space="preserve"> </v>
      </c>
      <c r="M414" s="85" t="str" cm="1">
        <f t="array" ref="M414">IFERROR(VLOOKUP($A414,'The List'!$B1:$AS671,20,FALSE)," ")</f>
        <v xml:space="preserve"> </v>
      </c>
      <c r="N414" s="85" t="str" cm="1">
        <f t="array" ref="N414">IFERROR(VLOOKUP($A414,'The List'!$B1:$AS671,21,FALSE)," ")</f>
        <v xml:space="preserve"> </v>
      </c>
      <c r="O414" s="85" t="str" cm="1">
        <f t="array" ref="O414">IFERROR(VLOOKUP($A414,'The List'!$B1:$AS671,22,FALSE)," ")</f>
        <v xml:space="preserve"> </v>
      </c>
      <c r="P414" s="85" t="str" cm="1">
        <f t="array" ref="P414">IFERROR(VLOOKUP($A414,'The List'!$B1:$AS671,23,FALSE)," ")</f>
        <v xml:space="preserve"> </v>
      </c>
      <c r="Q414" s="85" t="str" cm="1">
        <f t="array" ref="Q414">IFERROR(VLOOKUP($A414,'The List'!$B1:$AS671,24,FALSE)," ")</f>
        <v xml:space="preserve"> </v>
      </c>
      <c r="R414" s="85" t="str" cm="1">
        <f t="array" ref="R414">IFERROR(VLOOKUP($A414,'The List'!$B1:$AS671,25,FALSE)," ")</f>
        <v xml:space="preserve"> </v>
      </c>
      <c r="S414" s="85" t="str" cm="1">
        <f t="array" ref="S414">IFERROR(VLOOKUP($A414,'The List'!$B1:$AS671,26,FALSE)," ")</f>
        <v xml:space="preserve"> </v>
      </c>
      <c r="T414" s="85" t="str" cm="1">
        <f t="array" ref="T414">IFERROR(VLOOKUP($A414,'The List'!$B1:$AS671,27,FALSE)," ")</f>
        <v xml:space="preserve"> </v>
      </c>
      <c r="U414" s="85" t="str" cm="1">
        <f t="array" ref="U414">IFERROR(VLOOKUP($A414,'The List'!$B1:$AS671,28,FALSE)," ")</f>
        <v xml:space="preserve"> </v>
      </c>
      <c r="V414" s="85" t="str" cm="1">
        <f t="array" ref="V414">IFERROR(VLOOKUP($A414,'The List'!$B1:$AS671,29,FALSE)," ")</f>
        <v xml:space="preserve"> </v>
      </c>
      <c r="W414" s="85" t="str" cm="1">
        <f t="array" ref="W414">IFERROR(VLOOKUP($A414,'The List'!$B1:$AS671,30,FALSE)," ")</f>
        <v xml:space="preserve"> </v>
      </c>
      <c r="X414" s="85" t="str" cm="1">
        <f t="array" ref="X414">IFERROR(VLOOKUP($A414,'The List'!$B1:$AS671,31,FALSE)," ")</f>
        <v xml:space="preserve"> </v>
      </c>
      <c r="Y414" s="85" t="str" cm="1">
        <f t="array" ref="Y414">IFERROR(VLOOKUP($A414,'The List'!$B1:$AS671,32,FALSE)," ")</f>
        <v xml:space="preserve"> </v>
      </c>
      <c r="Z414" s="85" t="str" cm="1">
        <f t="array" ref="Z414">IFERROR(VLOOKUP($A414,'The List'!$B1:$AS671,33,FALSE)," ")</f>
        <v xml:space="preserve"> </v>
      </c>
      <c r="AA414" s="86"/>
      <c r="AB414" s="91"/>
      <c r="AC414" s="91"/>
      <c r="AD414" s="91"/>
      <c r="AE414" s="91"/>
      <c r="AF414" s="91"/>
    </row>
    <row r="415" spans="1:32" ht="21.25" customHeight="1" x14ac:dyDescent="0.15">
      <c r="A415" s="24"/>
      <c r="B415" s="94" t="str" cm="1">
        <f t="array" ref="B415">IFERROR(VLOOKUP($A415,'The List'!$B1:$AS671,3,FALSE)," ")</f>
        <v xml:space="preserve"> </v>
      </c>
      <c r="C415" s="96" t="str" cm="1">
        <f t="array" ref="C415">IFERROR(VLOOKUP($A415,'The List'!$B1:$AS671,4,FALSE)," ")</f>
        <v xml:space="preserve"> </v>
      </c>
      <c r="D415" s="18" t="str" cm="1">
        <f t="array" ref="D415">IFERROR(VLOOKUP($A415,'The List'!$B1:$AS671,5,FALSE)," ")</f>
        <v xml:space="preserve"> </v>
      </c>
      <c r="E415" s="18" t="str" cm="1">
        <f t="array" ref="E415">IFERROR(VLOOKUP($A415,'The List'!$B1:$AS671,6,FALSE)," ")</f>
        <v xml:space="preserve"> </v>
      </c>
      <c r="F415" s="93" t="str" cm="1">
        <f t="array" ref="F415">IFERROR(VLOOKUP($A415,'The List'!$B1:$AS671,8,FALSE)," ")</f>
        <v xml:space="preserve"> </v>
      </c>
      <c r="G415" s="93" t="str" cm="1">
        <f t="array" ref="G415">IFERROR(VLOOKUP($A415,'The List'!$B1:$AS671,10,FALSE)," ")</f>
        <v xml:space="preserve"> </v>
      </c>
      <c r="H415" s="55"/>
      <c r="I415" s="85" t="str" cm="1">
        <f t="array" ref="I415">IFERROR(VLOOKUP($A415,'The List'!$B1:$AS671,16,FALSE)," ")</f>
        <v xml:space="preserve"> </v>
      </c>
      <c r="J415" s="85" t="str" cm="1">
        <f t="array" ref="J415">IFERROR(VLOOKUP($A415,'The List'!$B1:$AS671,17,FALSE)," ")</f>
        <v xml:space="preserve"> </v>
      </c>
      <c r="K415" s="85" t="str" cm="1">
        <f t="array" ref="K415">IFERROR(VLOOKUP($A415,'The List'!$B1:$AS671,18,FALSE)," ")</f>
        <v xml:space="preserve"> </v>
      </c>
      <c r="L415" s="85" t="str" cm="1">
        <f t="array" ref="L415">IFERROR(VLOOKUP($A415,'The List'!$B1:$AS671,19,FALSE)," ")</f>
        <v xml:space="preserve"> </v>
      </c>
      <c r="M415" s="85" t="str" cm="1">
        <f t="array" ref="M415">IFERROR(VLOOKUP($A415,'The List'!$B1:$AS671,20,FALSE)," ")</f>
        <v xml:space="preserve"> </v>
      </c>
      <c r="N415" s="85" t="str" cm="1">
        <f t="array" ref="N415">IFERROR(VLOOKUP($A415,'The List'!$B1:$AS671,21,FALSE)," ")</f>
        <v xml:space="preserve"> </v>
      </c>
      <c r="O415" s="85" t="str" cm="1">
        <f t="array" ref="O415">IFERROR(VLOOKUP($A415,'The List'!$B1:$AS671,22,FALSE)," ")</f>
        <v xml:space="preserve"> </v>
      </c>
      <c r="P415" s="85" t="str" cm="1">
        <f t="array" ref="P415">IFERROR(VLOOKUP($A415,'The List'!$B1:$AS671,23,FALSE)," ")</f>
        <v xml:space="preserve"> </v>
      </c>
      <c r="Q415" s="85" t="str" cm="1">
        <f t="array" ref="Q415">IFERROR(VLOOKUP($A415,'The List'!$B1:$AS671,24,FALSE)," ")</f>
        <v xml:space="preserve"> </v>
      </c>
      <c r="R415" s="85" t="str" cm="1">
        <f t="array" ref="R415">IFERROR(VLOOKUP($A415,'The List'!$B1:$AS671,25,FALSE)," ")</f>
        <v xml:space="preserve"> </v>
      </c>
      <c r="S415" s="85" t="str" cm="1">
        <f t="array" ref="S415">IFERROR(VLOOKUP($A415,'The List'!$B1:$AS671,26,FALSE)," ")</f>
        <v xml:space="preserve"> </v>
      </c>
      <c r="T415" s="85" t="str" cm="1">
        <f t="array" ref="T415">IFERROR(VLOOKUP($A415,'The List'!$B1:$AS671,27,FALSE)," ")</f>
        <v xml:space="preserve"> </v>
      </c>
      <c r="U415" s="85" t="str" cm="1">
        <f t="array" ref="U415">IFERROR(VLOOKUP($A415,'The List'!$B1:$AS671,28,FALSE)," ")</f>
        <v xml:space="preserve"> </v>
      </c>
      <c r="V415" s="85" t="str" cm="1">
        <f t="array" ref="V415">IFERROR(VLOOKUP($A415,'The List'!$B1:$AS671,29,FALSE)," ")</f>
        <v xml:space="preserve"> </v>
      </c>
      <c r="W415" s="85" t="str" cm="1">
        <f t="array" ref="W415">IFERROR(VLOOKUP($A415,'The List'!$B1:$AS671,30,FALSE)," ")</f>
        <v xml:space="preserve"> </v>
      </c>
      <c r="X415" s="85" t="str" cm="1">
        <f t="array" ref="X415">IFERROR(VLOOKUP($A415,'The List'!$B1:$AS671,31,FALSE)," ")</f>
        <v xml:space="preserve"> </v>
      </c>
      <c r="Y415" s="85" t="str" cm="1">
        <f t="array" ref="Y415">IFERROR(VLOOKUP($A415,'The List'!$B1:$AS671,32,FALSE)," ")</f>
        <v xml:space="preserve"> </v>
      </c>
      <c r="Z415" s="85" t="str" cm="1">
        <f t="array" ref="Z415">IFERROR(VLOOKUP($A415,'The List'!$B1:$AS671,33,FALSE)," ")</f>
        <v xml:space="preserve"> </v>
      </c>
      <c r="AA415" s="86"/>
      <c r="AB415" s="91"/>
      <c r="AC415" s="91"/>
      <c r="AD415" s="91"/>
      <c r="AE415" s="91"/>
      <c r="AF415" s="91"/>
    </row>
    <row r="416" spans="1:32" ht="21.25" customHeight="1" x14ac:dyDescent="0.15">
      <c r="A416" s="24"/>
      <c r="B416" s="97" t="str" cm="1">
        <f t="array" ref="B416">IFERROR(VLOOKUP($A416,'The List'!$B1:$AS671,3,FALSE)," ")</f>
        <v xml:space="preserve"> </v>
      </c>
      <c r="C416" s="99" t="str" cm="1">
        <f t="array" ref="C416">IFERROR(VLOOKUP($A416,'The List'!$B1:$AS671,4,FALSE)," ")</f>
        <v xml:space="preserve"> </v>
      </c>
      <c r="D416" s="18" t="str" cm="1">
        <f t="array" ref="D416">IFERROR(VLOOKUP($A416,'The List'!$B1:$AS671,5,FALSE)," ")</f>
        <v xml:space="preserve"> </v>
      </c>
      <c r="E416" s="18" t="str" cm="1">
        <f t="array" ref="E416">IFERROR(VLOOKUP($A416,'The List'!$B1:$AS671,6,FALSE)," ")</f>
        <v xml:space="preserve"> </v>
      </c>
      <c r="F416" s="93" t="str" cm="1">
        <f t="array" ref="F416">IFERROR(VLOOKUP($A416,'The List'!$B1:$AS671,8,FALSE)," ")</f>
        <v xml:space="preserve"> </v>
      </c>
      <c r="G416" s="93" t="str" cm="1">
        <f t="array" ref="G416">IFERROR(VLOOKUP($A416,'The List'!$B1:$AS671,10,FALSE)," ")</f>
        <v xml:space="preserve"> </v>
      </c>
      <c r="H416" s="55"/>
      <c r="I416" s="85" t="str" cm="1">
        <f t="array" ref="I416">IFERROR(VLOOKUP($A416,'The List'!$B1:$AS671,16,FALSE)," ")</f>
        <v xml:space="preserve"> </v>
      </c>
      <c r="J416" s="85" t="str" cm="1">
        <f t="array" ref="J416">IFERROR(VLOOKUP($A416,'The List'!$B1:$AS671,17,FALSE)," ")</f>
        <v xml:space="preserve"> </v>
      </c>
      <c r="K416" s="85" t="str" cm="1">
        <f t="array" ref="K416">IFERROR(VLOOKUP($A416,'The List'!$B1:$AS671,18,FALSE)," ")</f>
        <v xml:space="preserve"> </v>
      </c>
      <c r="L416" s="85" t="str" cm="1">
        <f t="array" ref="L416">IFERROR(VLOOKUP($A416,'The List'!$B1:$AS671,19,FALSE)," ")</f>
        <v xml:space="preserve"> </v>
      </c>
      <c r="M416" s="85" t="str" cm="1">
        <f t="array" ref="M416">IFERROR(VLOOKUP($A416,'The List'!$B1:$AS671,20,FALSE)," ")</f>
        <v xml:space="preserve"> </v>
      </c>
      <c r="N416" s="85" t="str" cm="1">
        <f t="array" ref="N416">IFERROR(VLOOKUP($A416,'The List'!$B1:$AS671,21,FALSE)," ")</f>
        <v xml:space="preserve"> </v>
      </c>
      <c r="O416" s="85" t="str" cm="1">
        <f t="array" ref="O416">IFERROR(VLOOKUP($A416,'The List'!$B1:$AS671,22,FALSE)," ")</f>
        <v xml:space="preserve"> </v>
      </c>
      <c r="P416" s="85" t="str" cm="1">
        <f t="array" ref="P416">IFERROR(VLOOKUP($A416,'The List'!$B1:$AS671,23,FALSE)," ")</f>
        <v xml:space="preserve"> </v>
      </c>
      <c r="Q416" s="85" t="str" cm="1">
        <f t="array" ref="Q416">IFERROR(VLOOKUP($A416,'The List'!$B1:$AS671,24,FALSE)," ")</f>
        <v xml:space="preserve"> </v>
      </c>
      <c r="R416" s="85" t="str" cm="1">
        <f t="array" ref="R416">IFERROR(VLOOKUP($A416,'The List'!$B1:$AS671,25,FALSE)," ")</f>
        <v xml:space="preserve"> </v>
      </c>
      <c r="S416" s="85" t="str" cm="1">
        <f t="array" ref="S416">IFERROR(VLOOKUP($A416,'The List'!$B1:$AS671,26,FALSE)," ")</f>
        <v xml:space="preserve"> </v>
      </c>
      <c r="T416" s="85" t="str" cm="1">
        <f t="array" ref="T416">IFERROR(VLOOKUP($A416,'The List'!$B1:$AS671,27,FALSE)," ")</f>
        <v xml:space="preserve"> </v>
      </c>
      <c r="U416" s="85" t="str" cm="1">
        <f t="array" ref="U416">IFERROR(VLOOKUP($A416,'The List'!$B1:$AS671,28,FALSE)," ")</f>
        <v xml:space="preserve"> </v>
      </c>
      <c r="V416" s="85" t="str" cm="1">
        <f t="array" ref="V416">IFERROR(VLOOKUP($A416,'The List'!$B1:$AS671,29,FALSE)," ")</f>
        <v xml:space="preserve"> </v>
      </c>
      <c r="W416" s="85" t="str" cm="1">
        <f t="array" ref="W416">IFERROR(VLOOKUP($A416,'The List'!$B1:$AS671,30,FALSE)," ")</f>
        <v xml:space="preserve"> </v>
      </c>
      <c r="X416" s="85" t="str" cm="1">
        <f t="array" ref="X416">IFERROR(VLOOKUP($A416,'The List'!$B1:$AS671,31,FALSE)," ")</f>
        <v xml:space="preserve"> </v>
      </c>
      <c r="Y416" s="85" t="str" cm="1">
        <f t="array" ref="Y416">IFERROR(VLOOKUP($A416,'The List'!$B1:$AS671,32,FALSE)," ")</f>
        <v xml:space="preserve"> </v>
      </c>
      <c r="Z416" s="85" t="str" cm="1">
        <f t="array" ref="Z416">IFERROR(VLOOKUP($A416,'The List'!$B1:$AS671,33,FALSE)," ")</f>
        <v xml:space="preserve"> </v>
      </c>
      <c r="AA416" s="86"/>
      <c r="AB416" s="91"/>
      <c r="AC416" s="91"/>
      <c r="AD416" s="91"/>
      <c r="AE416" s="91"/>
      <c r="AF416" s="91"/>
    </row>
    <row r="417" spans="1:32" ht="21.25" customHeight="1" x14ac:dyDescent="0.15">
      <c r="A417" s="24"/>
      <c r="B417" s="97" t="str" cm="1">
        <f t="array" ref="B417">IFERROR(VLOOKUP($A417,'The List'!$B1:$AS671,3,FALSE)," ")</f>
        <v xml:space="preserve"> </v>
      </c>
      <c r="C417" s="99" t="str" cm="1">
        <f t="array" ref="C417">IFERROR(VLOOKUP($A417,'The List'!$B1:$AS671,4,FALSE)," ")</f>
        <v xml:space="preserve"> </v>
      </c>
      <c r="D417" s="18" t="str" cm="1">
        <f t="array" ref="D417">IFERROR(VLOOKUP($A417,'The List'!$B1:$AS671,5,FALSE)," ")</f>
        <v xml:space="preserve"> </v>
      </c>
      <c r="E417" s="18" t="str" cm="1">
        <f t="array" ref="E417">IFERROR(VLOOKUP($A417,'The List'!$B1:$AS671,6,FALSE)," ")</f>
        <v xml:space="preserve"> </v>
      </c>
      <c r="F417" s="93" t="str" cm="1">
        <f t="array" ref="F417">IFERROR(VLOOKUP($A417,'The List'!$B1:$AS671,8,FALSE)," ")</f>
        <v xml:space="preserve"> </v>
      </c>
      <c r="G417" s="93" t="str" cm="1">
        <f t="array" ref="G417">IFERROR(VLOOKUP($A417,'The List'!$B1:$AS671,10,FALSE)," ")</f>
        <v xml:space="preserve"> </v>
      </c>
      <c r="H417" s="55"/>
      <c r="I417" s="85" t="str" cm="1">
        <f t="array" ref="I417">IFERROR(VLOOKUP($A417,'The List'!$B1:$AS671,16,FALSE)," ")</f>
        <v xml:space="preserve"> </v>
      </c>
      <c r="J417" s="85" t="str" cm="1">
        <f t="array" ref="J417">IFERROR(VLOOKUP($A417,'The List'!$B1:$AS671,17,FALSE)," ")</f>
        <v xml:space="preserve"> </v>
      </c>
      <c r="K417" s="85" t="str" cm="1">
        <f t="array" ref="K417">IFERROR(VLOOKUP($A417,'The List'!$B1:$AS671,18,FALSE)," ")</f>
        <v xml:space="preserve"> </v>
      </c>
      <c r="L417" s="85" t="str" cm="1">
        <f t="array" ref="L417">IFERROR(VLOOKUP($A417,'The List'!$B1:$AS671,19,FALSE)," ")</f>
        <v xml:space="preserve"> </v>
      </c>
      <c r="M417" s="85" t="str" cm="1">
        <f t="array" ref="M417">IFERROR(VLOOKUP($A417,'The List'!$B1:$AS671,20,FALSE)," ")</f>
        <v xml:space="preserve"> </v>
      </c>
      <c r="N417" s="85" t="str" cm="1">
        <f t="array" ref="N417">IFERROR(VLOOKUP($A417,'The List'!$B1:$AS671,21,FALSE)," ")</f>
        <v xml:space="preserve"> </v>
      </c>
      <c r="O417" s="85" t="str" cm="1">
        <f t="array" ref="O417">IFERROR(VLOOKUP($A417,'The List'!$B1:$AS671,22,FALSE)," ")</f>
        <v xml:space="preserve"> </v>
      </c>
      <c r="P417" s="85" t="str" cm="1">
        <f t="array" ref="P417">IFERROR(VLOOKUP($A417,'The List'!$B1:$AS671,23,FALSE)," ")</f>
        <v xml:space="preserve"> </v>
      </c>
      <c r="Q417" s="85" t="str" cm="1">
        <f t="array" ref="Q417">IFERROR(VLOOKUP($A417,'The List'!$B1:$AS671,24,FALSE)," ")</f>
        <v xml:space="preserve"> </v>
      </c>
      <c r="R417" s="85" t="str" cm="1">
        <f t="array" ref="R417">IFERROR(VLOOKUP($A417,'The List'!$B1:$AS671,25,FALSE)," ")</f>
        <v xml:space="preserve"> </v>
      </c>
      <c r="S417" s="85" t="str" cm="1">
        <f t="array" ref="S417">IFERROR(VLOOKUP($A417,'The List'!$B1:$AS671,26,FALSE)," ")</f>
        <v xml:space="preserve"> </v>
      </c>
      <c r="T417" s="85" t="str" cm="1">
        <f t="array" ref="T417">IFERROR(VLOOKUP($A417,'The List'!$B1:$AS671,27,FALSE)," ")</f>
        <v xml:space="preserve"> </v>
      </c>
      <c r="U417" s="85" t="str" cm="1">
        <f t="array" ref="U417">IFERROR(VLOOKUP($A417,'The List'!$B1:$AS671,28,FALSE)," ")</f>
        <v xml:space="preserve"> </v>
      </c>
      <c r="V417" s="85" t="str" cm="1">
        <f t="array" ref="V417">IFERROR(VLOOKUP($A417,'The List'!$B1:$AS671,29,FALSE)," ")</f>
        <v xml:space="preserve"> </v>
      </c>
      <c r="W417" s="85" t="str" cm="1">
        <f t="array" ref="W417">IFERROR(VLOOKUP($A417,'The List'!$B1:$AS671,30,FALSE)," ")</f>
        <v xml:space="preserve"> </v>
      </c>
      <c r="X417" s="85" t="str" cm="1">
        <f t="array" ref="X417">IFERROR(VLOOKUP($A417,'The List'!$B1:$AS671,31,FALSE)," ")</f>
        <v xml:space="preserve"> </v>
      </c>
      <c r="Y417" s="85" t="str" cm="1">
        <f t="array" ref="Y417">IFERROR(VLOOKUP($A417,'The List'!$B1:$AS671,32,FALSE)," ")</f>
        <v xml:space="preserve"> </v>
      </c>
      <c r="Z417" s="85" t="str" cm="1">
        <f t="array" ref="Z417">IFERROR(VLOOKUP($A417,'The List'!$B1:$AS671,33,FALSE)," ")</f>
        <v xml:space="preserve"> </v>
      </c>
      <c r="AA417" s="86"/>
      <c r="AB417" s="91"/>
      <c r="AC417" s="91"/>
      <c r="AD417" s="91"/>
      <c r="AE417" s="91"/>
      <c r="AF417" s="91"/>
    </row>
    <row r="418" spans="1:32" ht="21.25" customHeight="1" x14ac:dyDescent="0.15">
      <c r="A418" s="24"/>
      <c r="B418" s="97" t="str" cm="1">
        <f t="array" ref="B418">IFERROR(VLOOKUP($A418,'The List'!$B1:$AS671,3,FALSE)," ")</f>
        <v xml:space="preserve"> </v>
      </c>
      <c r="C418" s="99" t="str" cm="1">
        <f t="array" ref="C418">IFERROR(VLOOKUP($A418,'The List'!$B1:$AS671,4,FALSE)," ")</f>
        <v xml:space="preserve"> </v>
      </c>
      <c r="D418" s="18" t="str" cm="1">
        <f t="array" ref="D418">IFERROR(VLOOKUP($A418,'The List'!$B1:$AS671,5,FALSE)," ")</f>
        <v xml:space="preserve"> </v>
      </c>
      <c r="E418" s="18" t="str" cm="1">
        <f t="array" ref="E418">IFERROR(VLOOKUP($A418,'The List'!$B1:$AS671,6,FALSE)," ")</f>
        <v xml:space="preserve"> </v>
      </c>
      <c r="F418" s="93" t="str" cm="1">
        <f t="array" ref="F418">IFERROR(VLOOKUP($A418,'The List'!$B1:$AS671,8,FALSE)," ")</f>
        <v xml:space="preserve"> </v>
      </c>
      <c r="G418" s="93" t="str" cm="1">
        <f t="array" ref="G418">IFERROR(VLOOKUP($A418,'The List'!$B1:$AS671,10,FALSE)," ")</f>
        <v xml:space="preserve"> </v>
      </c>
      <c r="H418" s="55"/>
      <c r="I418" s="85" t="str" cm="1">
        <f t="array" ref="I418">IFERROR(VLOOKUP($A418,'The List'!$B1:$AS671,16,FALSE)," ")</f>
        <v xml:space="preserve"> </v>
      </c>
      <c r="J418" s="85" t="str" cm="1">
        <f t="array" ref="J418">IFERROR(VLOOKUP($A418,'The List'!$B1:$AS671,17,FALSE)," ")</f>
        <v xml:space="preserve"> </v>
      </c>
      <c r="K418" s="85" t="str" cm="1">
        <f t="array" ref="K418">IFERROR(VLOOKUP($A418,'The List'!$B1:$AS671,18,FALSE)," ")</f>
        <v xml:space="preserve"> </v>
      </c>
      <c r="L418" s="85" t="str" cm="1">
        <f t="array" ref="L418">IFERROR(VLOOKUP($A418,'The List'!$B1:$AS671,19,FALSE)," ")</f>
        <v xml:space="preserve"> </v>
      </c>
      <c r="M418" s="85" t="str" cm="1">
        <f t="array" ref="M418">IFERROR(VLOOKUP($A418,'The List'!$B1:$AS671,20,FALSE)," ")</f>
        <v xml:space="preserve"> </v>
      </c>
      <c r="N418" s="85" t="str" cm="1">
        <f t="array" ref="N418">IFERROR(VLOOKUP($A418,'The List'!$B1:$AS671,21,FALSE)," ")</f>
        <v xml:space="preserve"> </v>
      </c>
      <c r="O418" s="85" t="str" cm="1">
        <f t="array" ref="O418">IFERROR(VLOOKUP($A418,'The List'!$B1:$AS671,22,FALSE)," ")</f>
        <v xml:space="preserve"> </v>
      </c>
      <c r="P418" s="85" t="str" cm="1">
        <f t="array" ref="P418">IFERROR(VLOOKUP($A418,'The List'!$B1:$AS671,23,FALSE)," ")</f>
        <v xml:space="preserve"> </v>
      </c>
      <c r="Q418" s="85" t="str" cm="1">
        <f t="array" ref="Q418">IFERROR(VLOOKUP($A418,'The List'!$B1:$AS671,24,FALSE)," ")</f>
        <v xml:space="preserve"> </v>
      </c>
      <c r="R418" s="85" t="str" cm="1">
        <f t="array" ref="R418">IFERROR(VLOOKUP($A418,'The List'!$B1:$AS671,25,FALSE)," ")</f>
        <v xml:space="preserve"> </v>
      </c>
      <c r="S418" s="85" t="str" cm="1">
        <f t="array" ref="S418">IFERROR(VLOOKUP($A418,'The List'!$B1:$AS671,26,FALSE)," ")</f>
        <v xml:space="preserve"> </v>
      </c>
      <c r="T418" s="85" t="str" cm="1">
        <f t="array" ref="T418">IFERROR(VLOOKUP($A418,'The List'!$B1:$AS671,27,FALSE)," ")</f>
        <v xml:space="preserve"> </v>
      </c>
      <c r="U418" s="85" t="str" cm="1">
        <f t="array" ref="U418">IFERROR(VLOOKUP($A418,'The List'!$B1:$AS671,28,FALSE)," ")</f>
        <v xml:space="preserve"> </v>
      </c>
      <c r="V418" s="85" t="str" cm="1">
        <f t="array" ref="V418">IFERROR(VLOOKUP($A418,'The List'!$B1:$AS671,29,FALSE)," ")</f>
        <v xml:space="preserve"> </v>
      </c>
      <c r="W418" s="85" t="str" cm="1">
        <f t="array" ref="W418">IFERROR(VLOOKUP($A418,'The List'!$B1:$AS671,30,FALSE)," ")</f>
        <v xml:space="preserve"> </v>
      </c>
      <c r="X418" s="85" t="str" cm="1">
        <f t="array" ref="X418">IFERROR(VLOOKUP($A418,'The List'!$B1:$AS671,31,FALSE)," ")</f>
        <v xml:space="preserve"> </v>
      </c>
      <c r="Y418" s="85" t="str" cm="1">
        <f t="array" ref="Y418">IFERROR(VLOOKUP($A418,'The List'!$B1:$AS671,32,FALSE)," ")</f>
        <v xml:space="preserve"> </v>
      </c>
      <c r="Z418" s="85" t="str" cm="1">
        <f t="array" ref="Z418">IFERROR(VLOOKUP($A418,'The List'!$B1:$AS671,33,FALSE)," ")</f>
        <v xml:space="preserve"> </v>
      </c>
      <c r="AA418" s="86"/>
      <c r="AB418" s="91"/>
      <c r="AC418" s="91"/>
      <c r="AD418" s="91"/>
      <c r="AE418" s="91"/>
      <c r="AF418" s="91"/>
    </row>
    <row r="419" spans="1:32" ht="21.25" customHeight="1" x14ac:dyDescent="0.15">
      <c r="A419" s="24"/>
      <c r="B419" s="97" t="str" cm="1">
        <f t="array" ref="B419">IFERROR(VLOOKUP($A419,'The List'!$B1:$AS671,3,FALSE)," ")</f>
        <v xml:space="preserve"> </v>
      </c>
      <c r="C419" s="99" t="str" cm="1">
        <f t="array" ref="C419">IFERROR(VLOOKUP($A419,'The List'!$B1:$AS671,4,FALSE)," ")</f>
        <v xml:space="preserve"> </v>
      </c>
      <c r="D419" s="18" t="str" cm="1">
        <f t="array" ref="D419">IFERROR(VLOOKUP($A419,'The List'!$B1:$AS671,5,FALSE)," ")</f>
        <v xml:space="preserve"> </v>
      </c>
      <c r="E419" s="18" t="str" cm="1">
        <f t="array" ref="E419">IFERROR(VLOOKUP($A419,'The List'!$B1:$AS671,6,FALSE)," ")</f>
        <v xml:space="preserve"> </v>
      </c>
      <c r="F419" s="93" t="str" cm="1">
        <f t="array" ref="F419">IFERROR(VLOOKUP($A419,'The List'!$B1:$AS671,8,FALSE)," ")</f>
        <v xml:space="preserve"> </v>
      </c>
      <c r="G419" s="93" t="str" cm="1">
        <f t="array" ref="G419">IFERROR(VLOOKUP($A419,'The List'!$B1:$AS671,10,FALSE)," ")</f>
        <v xml:space="preserve"> </v>
      </c>
      <c r="H419" s="55"/>
      <c r="I419" s="85" t="str" cm="1">
        <f t="array" ref="I419">IFERROR(VLOOKUP($A419,'The List'!$B1:$AS671,16,FALSE)," ")</f>
        <v xml:space="preserve"> </v>
      </c>
      <c r="J419" s="85" t="str" cm="1">
        <f t="array" ref="J419">IFERROR(VLOOKUP($A419,'The List'!$B1:$AS671,17,FALSE)," ")</f>
        <v xml:space="preserve"> </v>
      </c>
      <c r="K419" s="85" t="str" cm="1">
        <f t="array" ref="K419">IFERROR(VLOOKUP($A419,'The List'!$B1:$AS671,18,FALSE)," ")</f>
        <v xml:space="preserve"> </v>
      </c>
      <c r="L419" s="85" t="str" cm="1">
        <f t="array" ref="L419">IFERROR(VLOOKUP($A419,'The List'!$B1:$AS671,19,FALSE)," ")</f>
        <v xml:space="preserve"> </v>
      </c>
      <c r="M419" s="85" t="str" cm="1">
        <f t="array" ref="M419">IFERROR(VLOOKUP($A419,'The List'!$B1:$AS671,20,FALSE)," ")</f>
        <v xml:space="preserve"> </v>
      </c>
      <c r="N419" s="85" t="str" cm="1">
        <f t="array" ref="N419">IFERROR(VLOOKUP($A419,'The List'!$B1:$AS671,21,FALSE)," ")</f>
        <v xml:space="preserve"> </v>
      </c>
      <c r="O419" s="85" t="str" cm="1">
        <f t="array" ref="O419">IFERROR(VLOOKUP($A419,'The List'!$B1:$AS671,22,FALSE)," ")</f>
        <v xml:space="preserve"> </v>
      </c>
      <c r="P419" s="85" t="str" cm="1">
        <f t="array" ref="P419">IFERROR(VLOOKUP($A419,'The List'!$B1:$AS671,23,FALSE)," ")</f>
        <v xml:space="preserve"> </v>
      </c>
      <c r="Q419" s="85" t="str" cm="1">
        <f t="array" ref="Q419">IFERROR(VLOOKUP($A419,'The List'!$B1:$AS671,24,FALSE)," ")</f>
        <v xml:space="preserve"> </v>
      </c>
      <c r="R419" s="85" t="str" cm="1">
        <f t="array" ref="R419">IFERROR(VLOOKUP($A419,'The List'!$B1:$AS671,25,FALSE)," ")</f>
        <v xml:space="preserve"> </v>
      </c>
      <c r="S419" s="85" t="str" cm="1">
        <f t="array" ref="S419">IFERROR(VLOOKUP($A419,'The List'!$B1:$AS671,26,FALSE)," ")</f>
        <v xml:space="preserve"> </v>
      </c>
      <c r="T419" s="85" t="str" cm="1">
        <f t="array" ref="T419">IFERROR(VLOOKUP($A419,'The List'!$B1:$AS671,27,FALSE)," ")</f>
        <v xml:space="preserve"> </v>
      </c>
      <c r="U419" s="85" t="str" cm="1">
        <f t="array" ref="U419">IFERROR(VLOOKUP($A419,'The List'!$B1:$AS671,28,FALSE)," ")</f>
        <v xml:space="preserve"> </v>
      </c>
      <c r="V419" s="85" t="str" cm="1">
        <f t="array" ref="V419">IFERROR(VLOOKUP($A419,'The List'!$B1:$AS671,29,FALSE)," ")</f>
        <v xml:space="preserve"> </v>
      </c>
      <c r="W419" s="85" t="str" cm="1">
        <f t="array" ref="W419">IFERROR(VLOOKUP($A419,'The List'!$B1:$AS671,30,FALSE)," ")</f>
        <v xml:space="preserve"> </v>
      </c>
      <c r="X419" s="85" t="str" cm="1">
        <f t="array" ref="X419">IFERROR(VLOOKUP($A419,'The List'!$B1:$AS671,31,FALSE)," ")</f>
        <v xml:space="preserve"> </v>
      </c>
      <c r="Y419" s="85" t="str" cm="1">
        <f t="array" ref="Y419">IFERROR(VLOOKUP($A419,'The List'!$B1:$AS671,32,FALSE)," ")</f>
        <v xml:space="preserve"> </v>
      </c>
      <c r="Z419" s="85" t="str" cm="1">
        <f t="array" ref="Z419">IFERROR(VLOOKUP($A419,'The List'!$B1:$AS671,33,FALSE)," ")</f>
        <v xml:space="preserve"> </v>
      </c>
      <c r="AA419" s="86"/>
      <c r="AB419" s="91"/>
      <c r="AC419" s="91"/>
      <c r="AD419" s="91"/>
      <c r="AE419" s="91"/>
      <c r="AF419" s="91"/>
    </row>
    <row r="420" spans="1:32" ht="21.25" customHeight="1" x14ac:dyDescent="0.15">
      <c r="A420" s="24"/>
      <c r="B420" s="100" t="str" cm="1">
        <f t="array" ref="B420">IFERROR(VLOOKUP($A420,'The List'!$B1:$AS671,3,FALSE)," ")</f>
        <v xml:space="preserve"> </v>
      </c>
      <c r="C420" s="102" t="str" cm="1">
        <f t="array" ref="C420">IFERROR(VLOOKUP($A420,'The List'!$B1:$AS671,4,FALSE)," ")</f>
        <v xml:space="preserve"> </v>
      </c>
      <c r="D420" s="18" t="str" cm="1">
        <f t="array" ref="D420">IFERROR(VLOOKUP($A420,'The List'!$B1:$AS671,5,FALSE)," ")</f>
        <v xml:space="preserve"> </v>
      </c>
      <c r="E420" s="18" t="str" cm="1">
        <f t="array" ref="E420">IFERROR(VLOOKUP($A420,'The List'!$B1:$AS671,6,FALSE)," ")</f>
        <v xml:space="preserve"> </v>
      </c>
      <c r="F420" s="93" t="str" cm="1">
        <f t="array" ref="F420">IFERROR(VLOOKUP($A420,'The List'!$B1:$AS671,8,FALSE)," ")</f>
        <v xml:space="preserve"> </v>
      </c>
      <c r="G420" s="93" t="str" cm="1">
        <f t="array" ref="G420">IFERROR(VLOOKUP($A420,'The List'!$B1:$AS671,10,FALSE)," ")</f>
        <v xml:space="preserve"> </v>
      </c>
      <c r="H420" s="55"/>
      <c r="I420" s="85" t="str" cm="1">
        <f t="array" ref="I420">IFERROR(VLOOKUP($A420,'The List'!$B1:$AS671,16,FALSE)," ")</f>
        <v xml:space="preserve"> </v>
      </c>
      <c r="J420" s="85" t="str" cm="1">
        <f t="array" ref="J420">IFERROR(VLOOKUP($A420,'The List'!$B1:$AS671,17,FALSE)," ")</f>
        <v xml:space="preserve"> </v>
      </c>
      <c r="K420" s="85" t="str" cm="1">
        <f t="array" ref="K420">IFERROR(VLOOKUP($A420,'The List'!$B1:$AS671,18,FALSE)," ")</f>
        <v xml:space="preserve"> </v>
      </c>
      <c r="L420" s="85" t="str" cm="1">
        <f t="array" ref="L420">IFERROR(VLOOKUP($A420,'The List'!$B1:$AS671,19,FALSE)," ")</f>
        <v xml:space="preserve"> </v>
      </c>
      <c r="M420" s="85" t="str" cm="1">
        <f t="array" ref="M420">IFERROR(VLOOKUP($A420,'The List'!$B1:$AS671,20,FALSE)," ")</f>
        <v xml:space="preserve"> </v>
      </c>
      <c r="N420" s="85" t="str" cm="1">
        <f t="array" ref="N420">IFERROR(VLOOKUP($A420,'The List'!$B1:$AS671,21,FALSE)," ")</f>
        <v xml:space="preserve"> </v>
      </c>
      <c r="O420" s="85" t="str" cm="1">
        <f t="array" ref="O420">IFERROR(VLOOKUP($A420,'The List'!$B1:$AS671,22,FALSE)," ")</f>
        <v xml:space="preserve"> </v>
      </c>
      <c r="P420" s="85" t="str" cm="1">
        <f t="array" ref="P420">IFERROR(VLOOKUP($A420,'The List'!$B1:$AS671,23,FALSE)," ")</f>
        <v xml:space="preserve"> </v>
      </c>
      <c r="Q420" s="85" t="str" cm="1">
        <f t="array" ref="Q420">IFERROR(VLOOKUP($A420,'The List'!$B1:$AS671,24,FALSE)," ")</f>
        <v xml:space="preserve"> </v>
      </c>
      <c r="R420" s="85" t="str" cm="1">
        <f t="array" ref="R420">IFERROR(VLOOKUP($A420,'The List'!$B1:$AS671,25,FALSE)," ")</f>
        <v xml:space="preserve"> </v>
      </c>
      <c r="S420" s="85" t="str" cm="1">
        <f t="array" ref="S420">IFERROR(VLOOKUP($A420,'The List'!$B1:$AS671,26,FALSE)," ")</f>
        <v xml:space="preserve"> </v>
      </c>
      <c r="T420" s="85" t="str" cm="1">
        <f t="array" ref="T420">IFERROR(VLOOKUP($A420,'The List'!$B1:$AS671,27,FALSE)," ")</f>
        <v xml:space="preserve"> </v>
      </c>
      <c r="U420" s="85" t="str" cm="1">
        <f t="array" ref="U420">IFERROR(VLOOKUP($A420,'The List'!$B1:$AS671,28,FALSE)," ")</f>
        <v xml:space="preserve"> </v>
      </c>
      <c r="V420" s="85" t="str" cm="1">
        <f t="array" ref="V420">IFERROR(VLOOKUP($A420,'The List'!$B1:$AS671,29,FALSE)," ")</f>
        <v xml:space="preserve"> </v>
      </c>
      <c r="W420" s="85" t="str" cm="1">
        <f t="array" ref="W420">IFERROR(VLOOKUP($A420,'The List'!$B1:$AS671,30,FALSE)," ")</f>
        <v xml:space="preserve"> </v>
      </c>
      <c r="X420" s="85" t="str" cm="1">
        <f t="array" ref="X420">IFERROR(VLOOKUP($A420,'The List'!$B1:$AS671,31,FALSE)," ")</f>
        <v xml:space="preserve"> </v>
      </c>
      <c r="Y420" s="85" t="str" cm="1">
        <f t="array" ref="Y420">IFERROR(VLOOKUP($A420,'The List'!$B1:$AS671,32,FALSE)," ")</f>
        <v xml:space="preserve"> </v>
      </c>
      <c r="Z420" s="85" t="str" cm="1">
        <f t="array" ref="Z420">IFERROR(VLOOKUP($A420,'The List'!$B1:$AS671,33,FALSE)," ")</f>
        <v xml:space="preserve"> </v>
      </c>
      <c r="AA420" s="86"/>
      <c r="AB420" s="91"/>
      <c r="AC420" s="91"/>
      <c r="AD420" s="91"/>
      <c r="AE420" s="91"/>
      <c r="AF420" s="91"/>
    </row>
    <row r="421" spans="1:32" ht="21.25" customHeight="1" x14ac:dyDescent="0.15">
      <c r="A421" s="24"/>
      <c r="B421" s="100" t="str" cm="1">
        <f t="array" ref="B421">IFERROR(VLOOKUP($A421,'The List'!$B1:$AS671,3,FALSE)," ")</f>
        <v xml:space="preserve"> </v>
      </c>
      <c r="C421" s="102" t="str" cm="1">
        <f t="array" ref="C421">IFERROR(VLOOKUP($A421,'The List'!$B1:$AS671,4,FALSE)," ")</f>
        <v xml:space="preserve"> </v>
      </c>
      <c r="D421" s="18" t="str" cm="1">
        <f t="array" ref="D421">IFERROR(VLOOKUP($A421,'The List'!$B1:$AS671,5,FALSE)," ")</f>
        <v xml:space="preserve"> </v>
      </c>
      <c r="E421" s="18" t="str" cm="1">
        <f t="array" ref="E421">IFERROR(VLOOKUP($A421,'The List'!$B1:$AS671,6,FALSE)," ")</f>
        <v xml:space="preserve"> </v>
      </c>
      <c r="F421" s="93" t="str" cm="1">
        <f t="array" ref="F421">IFERROR(VLOOKUP($A421,'The List'!$B1:$AS671,8,FALSE)," ")</f>
        <v xml:space="preserve"> </v>
      </c>
      <c r="G421" s="93" t="str" cm="1">
        <f t="array" ref="G421">IFERROR(VLOOKUP($A421,'The List'!$B1:$AS671,10,FALSE)," ")</f>
        <v xml:space="preserve"> </v>
      </c>
      <c r="H421" s="55"/>
      <c r="I421" s="85" t="str" cm="1">
        <f t="array" ref="I421">IFERROR(VLOOKUP($A421,'The List'!$B1:$AS671,16,FALSE)," ")</f>
        <v xml:space="preserve"> </v>
      </c>
      <c r="J421" s="85" t="str" cm="1">
        <f t="array" ref="J421">IFERROR(VLOOKUP($A421,'The List'!$B1:$AS671,17,FALSE)," ")</f>
        <v xml:space="preserve"> </v>
      </c>
      <c r="K421" s="85" t="str" cm="1">
        <f t="array" ref="K421">IFERROR(VLOOKUP($A421,'The List'!$B1:$AS671,18,FALSE)," ")</f>
        <v xml:space="preserve"> </v>
      </c>
      <c r="L421" s="85" t="str" cm="1">
        <f t="array" ref="L421">IFERROR(VLOOKUP($A421,'The List'!$B1:$AS671,19,FALSE)," ")</f>
        <v xml:space="preserve"> </v>
      </c>
      <c r="M421" s="85" t="str" cm="1">
        <f t="array" ref="M421">IFERROR(VLOOKUP($A421,'The List'!$B1:$AS671,20,FALSE)," ")</f>
        <v xml:space="preserve"> </v>
      </c>
      <c r="N421" s="85" t="str" cm="1">
        <f t="array" ref="N421">IFERROR(VLOOKUP($A421,'The List'!$B1:$AS671,21,FALSE)," ")</f>
        <v xml:space="preserve"> </v>
      </c>
      <c r="O421" s="85" t="str" cm="1">
        <f t="array" ref="O421">IFERROR(VLOOKUP($A421,'The List'!$B1:$AS671,22,FALSE)," ")</f>
        <v xml:space="preserve"> </v>
      </c>
      <c r="P421" s="85" t="str" cm="1">
        <f t="array" ref="P421">IFERROR(VLOOKUP($A421,'The List'!$B1:$AS671,23,FALSE)," ")</f>
        <v xml:space="preserve"> </v>
      </c>
      <c r="Q421" s="85" t="str" cm="1">
        <f t="array" ref="Q421">IFERROR(VLOOKUP($A421,'The List'!$B1:$AS671,24,FALSE)," ")</f>
        <v xml:space="preserve"> </v>
      </c>
      <c r="R421" s="85" t="str" cm="1">
        <f t="array" ref="R421">IFERROR(VLOOKUP($A421,'The List'!$B1:$AS671,25,FALSE)," ")</f>
        <v xml:space="preserve"> </v>
      </c>
      <c r="S421" s="85" t="str" cm="1">
        <f t="array" ref="S421">IFERROR(VLOOKUP($A421,'The List'!$B1:$AS671,26,FALSE)," ")</f>
        <v xml:space="preserve"> </v>
      </c>
      <c r="T421" s="85" t="str" cm="1">
        <f t="array" ref="T421">IFERROR(VLOOKUP($A421,'The List'!$B1:$AS671,27,FALSE)," ")</f>
        <v xml:space="preserve"> </v>
      </c>
      <c r="U421" s="85" t="str" cm="1">
        <f t="array" ref="U421">IFERROR(VLOOKUP($A421,'The List'!$B1:$AS671,28,FALSE)," ")</f>
        <v xml:space="preserve"> </v>
      </c>
      <c r="V421" s="85" t="str" cm="1">
        <f t="array" ref="V421">IFERROR(VLOOKUP($A421,'The List'!$B1:$AS671,29,FALSE)," ")</f>
        <v xml:space="preserve"> </v>
      </c>
      <c r="W421" s="85" t="str" cm="1">
        <f t="array" ref="W421">IFERROR(VLOOKUP($A421,'The List'!$B1:$AS671,30,FALSE)," ")</f>
        <v xml:space="preserve"> </v>
      </c>
      <c r="X421" s="85" t="str" cm="1">
        <f t="array" ref="X421">IFERROR(VLOOKUP($A421,'The List'!$B1:$AS671,31,FALSE)," ")</f>
        <v xml:space="preserve"> </v>
      </c>
      <c r="Y421" s="85" t="str" cm="1">
        <f t="array" ref="Y421">IFERROR(VLOOKUP($A421,'The List'!$B1:$AS671,32,FALSE)," ")</f>
        <v xml:space="preserve"> </v>
      </c>
      <c r="Z421" s="85" t="str" cm="1">
        <f t="array" ref="Z421">IFERROR(VLOOKUP($A421,'The List'!$B1:$AS671,33,FALSE)," ")</f>
        <v xml:space="preserve"> </v>
      </c>
      <c r="AA421" s="86"/>
      <c r="AB421" s="91"/>
      <c r="AC421" s="91"/>
      <c r="AD421" s="91"/>
      <c r="AE421" s="91"/>
      <c r="AF421" s="91"/>
    </row>
    <row r="422" spans="1:32" ht="21.25" customHeight="1" x14ac:dyDescent="0.15">
      <c r="A422" s="24"/>
      <c r="B422" s="100" t="str" cm="1">
        <f t="array" ref="B422">IFERROR(VLOOKUP($A422,'The List'!$B1:$AS671,3,FALSE)," ")</f>
        <v xml:space="preserve"> </v>
      </c>
      <c r="C422" s="102" t="str" cm="1">
        <f t="array" ref="C422">IFERROR(VLOOKUP($A422,'The List'!$B1:$AS671,4,FALSE)," ")</f>
        <v xml:space="preserve"> </v>
      </c>
      <c r="D422" s="18" t="str" cm="1">
        <f t="array" ref="D422">IFERROR(VLOOKUP($A422,'The List'!$B1:$AS671,5,FALSE)," ")</f>
        <v xml:space="preserve"> </v>
      </c>
      <c r="E422" s="18" t="str" cm="1">
        <f t="array" ref="E422">IFERROR(VLOOKUP($A422,'The List'!$B1:$AS671,6,FALSE)," ")</f>
        <v xml:space="preserve"> </v>
      </c>
      <c r="F422" s="93" t="str" cm="1">
        <f t="array" ref="F422">IFERROR(VLOOKUP($A422,'The List'!$B1:$AS671,8,FALSE)," ")</f>
        <v xml:space="preserve"> </v>
      </c>
      <c r="G422" s="93" t="str" cm="1">
        <f t="array" ref="G422">IFERROR(VLOOKUP($A422,'The List'!$B1:$AS671,10,FALSE)," ")</f>
        <v xml:space="preserve"> </v>
      </c>
      <c r="H422" s="55"/>
      <c r="I422" s="85" t="str" cm="1">
        <f t="array" ref="I422">IFERROR(VLOOKUP($A422,'The List'!$B1:$AS671,16,FALSE)," ")</f>
        <v xml:space="preserve"> </v>
      </c>
      <c r="J422" s="85" t="str" cm="1">
        <f t="array" ref="J422">IFERROR(VLOOKUP($A422,'The List'!$B1:$AS671,17,FALSE)," ")</f>
        <v xml:space="preserve"> </v>
      </c>
      <c r="K422" s="85" t="str" cm="1">
        <f t="array" ref="K422">IFERROR(VLOOKUP($A422,'The List'!$B1:$AS671,18,FALSE)," ")</f>
        <v xml:space="preserve"> </v>
      </c>
      <c r="L422" s="85" t="str" cm="1">
        <f t="array" ref="L422">IFERROR(VLOOKUP($A422,'The List'!$B1:$AS671,19,FALSE)," ")</f>
        <v xml:space="preserve"> </v>
      </c>
      <c r="M422" s="85" t="str" cm="1">
        <f t="array" ref="M422">IFERROR(VLOOKUP($A422,'The List'!$B1:$AS671,20,FALSE)," ")</f>
        <v xml:space="preserve"> </v>
      </c>
      <c r="N422" s="85" t="str" cm="1">
        <f t="array" ref="N422">IFERROR(VLOOKUP($A422,'The List'!$B1:$AS671,21,FALSE)," ")</f>
        <v xml:space="preserve"> </v>
      </c>
      <c r="O422" s="85" t="str" cm="1">
        <f t="array" ref="O422">IFERROR(VLOOKUP($A422,'The List'!$B1:$AS671,22,FALSE)," ")</f>
        <v xml:space="preserve"> </v>
      </c>
      <c r="P422" s="85" t="str" cm="1">
        <f t="array" ref="P422">IFERROR(VLOOKUP($A422,'The List'!$B1:$AS671,23,FALSE)," ")</f>
        <v xml:space="preserve"> </v>
      </c>
      <c r="Q422" s="85" t="str" cm="1">
        <f t="array" ref="Q422">IFERROR(VLOOKUP($A422,'The List'!$B1:$AS671,24,FALSE)," ")</f>
        <v xml:space="preserve"> </v>
      </c>
      <c r="R422" s="85" t="str" cm="1">
        <f t="array" ref="R422">IFERROR(VLOOKUP($A422,'The List'!$B1:$AS671,25,FALSE)," ")</f>
        <v xml:space="preserve"> </v>
      </c>
      <c r="S422" s="85" t="str" cm="1">
        <f t="array" ref="S422">IFERROR(VLOOKUP($A422,'The List'!$B1:$AS671,26,FALSE)," ")</f>
        <v xml:space="preserve"> </v>
      </c>
      <c r="T422" s="85" t="str" cm="1">
        <f t="array" ref="T422">IFERROR(VLOOKUP($A422,'The List'!$B1:$AS671,27,FALSE)," ")</f>
        <v xml:space="preserve"> </v>
      </c>
      <c r="U422" s="85" t="str" cm="1">
        <f t="array" ref="U422">IFERROR(VLOOKUP($A422,'The List'!$B1:$AS671,28,FALSE)," ")</f>
        <v xml:space="preserve"> </v>
      </c>
      <c r="V422" s="85" t="str" cm="1">
        <f t="array" ref="V422">IFERROR(VLOOKUP($A422,'The List'!$B1:$AS671,29,FALSE)," ")</f>
        <v xml:space="preserve"> </v>
      </c>
      <c r="W422" s="85" t="str" cm="1">
        <f t="array" ref="W422">IFERROR(VLOOKUP($A422,'The List'!$B1:$AS671,30,FALSE)," ")</f>
        <v xml:space="preserve"> </v>
      </c>
      <c r="X422" s="85" t="str" cm="1">
        <f t="array" ref="X422">IFERROR(VLOOKUP($A422,'The List'!$B1:$AS671,31,FALSE)," ")</f>
        <v xml:space="preserve"> </v>
      </c>
      <c r="Y422" s="85" t="str" cm="1">
        <f t="array" ref="Y422">IFERROR(VLOOKUP($A422,'The List'!$B1:$AS671,32,FALSE)," ")</f>
        <v xml:space="preserve"> </v>
      </c>
      <c r="Z422" s="85" t="str" cm="1">
        <f t="array" ref="Z422">IFERROR(VLOOKUP($A422,'The List'!$B1:$AS671,33,FALSE)," ")</f>
        <v xml:space="preserve"> </v>
      </c>
      <c r="AA422" s="86"/>
      <c r="AB422" s="91"/>
      <c r="AC422" s="91"/>
      <c r="AD422" s="91"/>
      <c r="AE422" s="91"/>
      <c r="AF422" s="91"/>
    </row>
    <row r="423" spans="1:32" ht="21.25" customHeight="1" x14ac:dyDescent="0.15">
      <c r="A423" s="24"/>
      <c r="B423" s="100" t="str" cm="1">
        <f t="array" ref="B423">IFERROR(VLOOKUP($A423,'The List'!$B1:$AS671,3,FALSE)," ")</f>
        <v xml:space="preserve"> </v>
      </c>
      <c r="C423" s="102" t="str" cm="1">
        <f t="array" ref="C423">IFERROR(VLOOKUP($A423,'The List'!$B1:$AS671,4,FALSE)," ")</f>
        <v xml:space="preserve"> </v>
      </c>
      <c r="D423" s="18" t="str" cm="1">
        <f t="array" ref="D423">IFERROR(VLOOKUP($A423,'The List'!$B1:$AS671,5,FALSE)," ")</f>
        <v xml:space="preserve"> </v>
      </c>
      <c r="E423" s="18" t="str" cm="1">
        <f t="array" ref="E423">IFERROR(VLOOKUP($A423,'The List'!$B1:$AS671,6,FALSE)," ")</f>
        <v xml:space="preserve"> </v>
      </c>
      <c r="F423" s="93" t="str" cm="1">
        <f t="array" ref="F423">IFERROR(VLOOKUP($A423,'The List'!$B1:$AS671,8,FALSE)," ")</f>
        <v xml:space="preserve"> </v>
      </c>
      <c r="G423" s="93" t="str" cm="1">
        <f t="array" ref="G423">IFERROR(VLOOKUP($A423,'The List'!$B1:$AS671,10,FALSE)," ")</f>
        <v xml:space="preserve"> </v>
      </c>
      <c r="H423" s="55"/>
      <c r="I423" s="85" t="str" cm="1">
        <f t="array" ref="I423">IFERROR(VLOOKUP($A423,'The List'!$B1:$AS671,16,FALSE)," ")</f>
        <v xml:space="preserve"> </v>
      </c>
      <c r="J423" s="85" t="str" cm="1">
        <f t="array" ref="J423">IFERROR(VLOOKUP($A423,'The List'!$B1:$AS671,17,FALSE)," ")</f>
        <v xml:space="preserve"> </v>
      </c>
      <c r="K423" s="85" t="str" cm="1">
        <f t="array" ref="K423">IFERROR(VLOOKUP($A423,'The List'!$B1:$AS671,18,FALSE)," ")</f>
        <v xml:space="preserve"> </v>
      </c>
      <c r="L423" s="85" t="str" cm="1">
        <f t="array" ref="L423">IFERROR(VLOOKUP($A423,'The List'!$B1:$AS671,19,FALSE)," ")</f>
        <v xml:space="preserve"> </v>
      </c>
      <c r="M423" s="85" t="str" cm="1">
        <f t="array" ref="M423">IFERROR(VLOOKUP($A423,'The List'!$B1:$AS671,20,FALSE)," ")</f>
        <v xml:space="preserve"> </v>
      </c>
      <c r="N423" s="85" t="str" cm="1">
        <f t="array" ref="N423">IFERROR(VLOOKUP($A423,'The List'!$B1:$AS671,21,FALSE)," ")</f>
        <v xml:space="preserve"> </v>
      </c>
      <c r="O423" s="85" t="str" cm="1">
        <f t="array" ref="O423">IFERROR(VLOOKUP($A423,'The List'!$B1:$AS671,22,FALSE)," ")</f>
        <v xml:space="preserve"> </v>
      </c>
      <c r="P423" s="85" t="str" cm="1">
        <f t="array" ref="P423">IFERROR(VLOOKUP($A423,'The List'!$B1:$AS671,23,FALSE)," ")</f>
        <v xml:space="preserve"> </v>
      </c>
      <c r="Q423" s="85" t="str" cm="1">
        <f t="array" ref="Q423">IFERROR(VLOOKUP($A423,'The List'!$B1:$AS671,24,FALSE)," ")</f>
        <v xml:space="preserve"> </v>
      </c>
      <c r="R423" s="85" t="str" cm="1">
        <f t="array" ref="R423">IFERROR(VLOOKUP($A423,'The List'!$B1:$AS671,25,FALSE)," ")</f>
        <v xml:space="preserve"> </v>
      </c>
      <c r="S423" s="85" t="str" cm="1">
        <f t="array" ref="S423">IFERROR(VLOOKUP($A423,'The List'!$B1:$AS671,26,FALSE)," ")</f>
        <v xml:space="preserve"> </v>
      </c>
      <c r="T423" s="85" t="str" cm="1">
        <f t="array" ref="T423">IFERROR(VLOOKUP($A423,'The List'!$B1:$AS671,27,FALSE)," ")</f>
        <v xml:space="preserve"> </v>
      </c>
      <c r="U423" s="85" t="str" cm="1">
        <f t="array" ref="U423">IFERROR(VLOOKUP($A423,'The List'!$B1:$AS671,28,FALSE)," ")</f>
        <v xml:space="preserve"> </v>
      </c>
      <c r="V423" s="85" t="str" cm="1">
        <f t="array" ref="V423">IFERROR(VLOOKUP($A423,'The List'!$B1:$AS671,29,FALSE)," ")</f>
        <v xml:space="preserve"> </v>
      </c>
      <c r="W423" s="85" t="str" cm="1">
        <f t="array" ref="W423">IFERROR(VLOOKUP($A423,'The List'!$B1:$AS671,30,FALSE)," ")</f>
        <v xml:space="preserve"> </v>
      </c>
      <c r="X423" s="85" t="str" cm="1">
        <f t="array" ref="X423">IFERROR(VLOOKUP($A423,'The List'!$B1:$AS671,31,FALSE)," ")</f>
        <v xml:space="preserve"> </v>
      </c>
      <c r="Y423" s="85" t="str" cm="1">
        <f t="array" ref="Y423">IFERROR(VLOOKUP($A423,'The List'!$B1:$AS671,32,FALSE)," ")</f>
        <v xml:space="preserve"> </v>
      </c>
      <c r="Z423" s="85" t="str" cm="1">
        <f t="array" ref="Z423">IFERROR(VLOOKUP($A423,'The List'!$B1:$AS671,33,FALSE)," ")</f>
        <v xml:space="preserve"> </v>
      </c>
      <c r="AA423" s="86"/>
      <c r="AB423" s="91"/>
      <c r="AC423" s="91"/>
      <c r="AD423" s="91"/>
      <c r="AE423" s="91"/>
      <c r="AF423" s="91"/>
    </row>
    <row r="424" spans="1:32" ht="21.25" customHeight="1" x14ac:dyDescent="0.15">
      <c r="A424" s="24"/>
      <c r="B424" s="100" t="str" cm="1">
        <f t="array" ref="B424">IFERROR(VLOOKUP($A424,'The List'!$B1:$AS671,3,FALSE)," ")</f>
        <v xml:space="preserve"> </v>
      </c>
      <c r="C424" s="102" t="str" cm="1">
        <f t="array" ref="C424">IFERROR(VLOOKUP($A424,'The List'!$B1:$AS671,4,FALSE)," ")</f>
        <v xml:space="preserve"> </v>
      </c>
      <c r="D424" s="18" t="str" cm="1">
        <f t="array" ref="D424">IFERROR(VLOOKUP($A424,'The List'!$B1:$AS671,5,FALSE)," ")</f>
        <v xml:space="preserve"> </v>
      </c>
      <c r="E424" s="18" t="str" cm="1">
        <f t="array" ref="E424">IFERROR(VLOOKUP($A424,'The List'!$B1:$AS671,6,FALSE)," ")</f>
        <v xml:space="preserve"> </v>
      </c>
      <c r="F424" s="93" t="str" cm="1">
        <f t="array" ref="F424">IFERROR(VLOOKUP($A424,'The List'!$B1:$AS671,8,FALSE)," ")</f>
        <v xml:space="preserve"> </v>
      </c>
      <c r="G424" s="93" t="str" cm="1">
        <f t="array" ref="G424">IFERROR(VLOOKUP($A424,'The List'!$B1:$AS671,10,FALSE)," ")</f>
        <v xml:space="preserve"> </v>
      </c>
      <c r="H424" s="55"/>
      <c r="I424" s="85" t="str" cm="1">
        <f t="array" ref="I424">IFERROR(VLOOKUP($A424,'The List'!$B1:$AS671,16,FALSE)," ")</f>
        <v xml:space="preserve"> </v>
      </c>
      <c r="J424" s="85" t="str" cm="1">
        <f t="array" ref="J424">IFERROR(VLOOKUP($A424,'The List'!$B1:$AS671,17,FALSE)," ")</f>
        <v xml:space="preserve"> </v>
      </c>
      <c r="K424" s="85" t="str" cm="1">
        <f t="array" ref="K424">IFERROR(VLOOKUP($A424,'The List'!$B1:$AS671,18,FALSE)," ")</f>
        <v xml:space="preserve"> </v>
      </c>
      <c r="L424" s="85" t="str" cm="1">
        <f t="array" ref="L424">IFERROR(VLOOKUP($A424,'The List'!$B1:$AS671,19,FALSE)," ")</f>
        <v xml:space="preserve"> </v>
      </c>
      <c r="M424" s="85" t="str" cm="1">
        <f t="array" ref="M424">IFERROR(VLOOKUP($A424,'The List'!$B1:$AS671,20,FALSE)," ")</f>
        <v xml:space="preserve"> </v>
      </c>
      <c r="N424" s="85" t="str" cm="1">
        <f t="array" ref="N424">IFERROR(VLOOKUP($A424,'The List'!$B1:$AS671,21,FALSE)," ")</f>
        <v xml:space="preserve"> </v>
      </c>
      <c r="O424" s="85" t="str" cm="1">
        <f t="array" ref="O424">IFERROR(VLOOKUP($A424,'The List'!$B1:$AS671,22,FALSE)," ")</f>
        <v xml:space="preserve"> </v>
      </c>
      <c r="P424" s="85" t="str" cm="1">
        <f t="array" ref="P424">IFERROR(VLOOKUP($A424,'The List'!$B1:$AS671,23,FALSE)," ")</f>
        <v xml:space="preserve"> </v>
      </c>
      <c r="Q424" s="85" t="str" cm="1">
        <f t="array" ref="Q424">IFERROR(VLOOKUP($A424,'The List'!$B1:$AS671,24,FALSE)," ")</f>
        <v xml:space="preserve"> </v>
      </c>
      <c r="R424" s="85" t="str" cm="1">
        <f t="array" ref="R424">IFERROR(VLOOKUP($A424,'The List'!$B1:$AS671,25,FALSE)," ")</f>
        <v xml:space="preserve"> </v>
      </c>
      <c r="S424" s="85" t="str" cm="1">
        <f t="array" ref="S424">IFERROR(VLOOKUP($A424,'The List'!$B1:$AS671,26,FALSE)," ")</f>
        <v xml:space="preserve"> </v>
      </c>
      <c r="T424" s="85" t="str" cm="1">
        <f t="array" ref="T424">IFERROR(VLOOKUP($A424,'The List'!$B1:$AS671,27,FALSE)," ")</f>
        <v xml:space="preserve"> </v>
      </c>
      <c r="U424" s="85" t="str" cm="1">
        <f t="array" ref="U424">IFERROR(VLOOKUP($A424,'The List'!$B1:$AS671,28,FALSE)," ")</f>
        <v xml:space="preserve"> </v>
      </c>
      <c r="V424" s="85" t="str" cm="1">
        <f t="array" ref="V424">IFERROR(VLOOKUP($A424,'The List'!$B1:$AS671,29,FALSE)," ")</f>
        <v xml:space="preserve"> </v>
      </c>
      <c r="W424" s="85" t="str" cm="1">
        <f t="array" ref="W424">IFERROR(VLOOKUP($A424,'The List'!$B1:$AS671,30,FALSE)," ")</f>
        <v xml:space="preserve"> </v>
      </c>
      <c r="X424" s="85" t="str" cm="1">
        <f t="array" ref="X424">IFERROR(VLOOKUP($A424,'The List'!$B1:$AS671,31,FALSE)," ")</f>
        <v xml:space="preserve"> </v>
      </c>
      <c r="Y424" s="85" t="str" cm="1">
        <f t="array" ref="Y424">IFERROR(VLOOKUP($A424,'The List'!$B1:$AS671,32,FALSE)," ")</f>
        <v xml:space="preserve"> </v>
      </c>
      <c r="Z424" s="85" t="str" cm="1">
        <f t="array" ref="Z424">IFERROR(VLOOKUP($A424,'The List'!$B1:$AS671,33,FALSE)," ")</f>
        <v xml:space="preserve"> </v>
      </c>
      <c r="AA424" s="86"/>
      <c r="AB424" s="91"/>
      <c r="AC424" s="91"/>
      <c r="AD424" s="91"/>
      <c r="AE424" s="91"/>
      <c r="AF424" s="91"/>
    </row>
    <row r="425" spans="1:32" ht="21.25" customHeight="1" x14ac:dyDescent="0.15">
      <c r="A425" s="24"/>
      <c r="B425" s="100" t="str" cm="1">
        <f t="array" ref="B425">IFERROR(VLOOKUP($A425,'The List'!$B1:$AS671,3,FALSE)," ")</f>
        <v xml:space="preserve"> </v>
      </c>
      <c r="C425" s="102" t="str" cm="1">
        <f t="array" ref="C425">IFERROR(VLOOKUP($A425,'The List'!$B1:$AS671,4,FALSE)," ")</f>
        <v xml:space="preserve"> </v>
      </c>
      <c r="D425" s="18" t="str" cm="1">
        <f t="array" ref="D425">IFERROR(VLOOKUP($A425,'The List'!$B1:$AS671,5,FALSE)," ")</f>
        <v xml:space="preserve"> </v>
      </c>
      <c r="E425" s="18" t="str" cm="1">
        <f t="array" ref="E425">IFERROR(VLOOKUP($A425,'The List'!$B1:$AS671,6,FALSE)," ")</f>
        <v xml:space="preserve"> </v>
      </c>
      <c r="F425" s="93" t="str" cm="1">
        <f t="array" ref="F425">IFERROR(VLOOKUP($A425,'The List'!$B1:$AS671,8,FALSE)," ")</f>
        <v xml:space="preserve"> </v>
      </c>
      <c r="G425" s="93" t="str" cm="1">
        <f t="array" ref="G425">IFERROR(VLOOKUP($A425,'The List'!$B1:$AS671,10,FALSE)," ")</f>
        <v xml:space="preserve"> </v>
      </c>
      <c r="H425" s="55"/>
      <c r="I425" s="85" t="str" cm="1">
        <f t="array" ref="I425">IFERROR(VLOOKUP($A425,'The List'!$B1:$AS671,16,FALSE)," ")</f>
        <v xml:space="preserve"> </v>
      </c>
      <c r="J425" s="85" t="str" cm="1">
        <f t="array" ref="J425">IFERROR(VLOOKUP($A425,'The List'!$B1:$AS671,17,FALSE)," ")</f>
        <v xml:space="preserve"> </v>
      </c>
      <c r="K425" s="85" t="str" cm="1">
        <f t="array" ref="K425">IFERROR(VLOOKUP($A425,'The List'!$B1:$AS671,18,FALSE)," ")</f>
        <v xml:space="preserve"> </v>
      </c>
      <c r="L425" s="85" t="str" cm="1">
        <f t="array" ref="L425">IFERROR(VLOOKUP($A425,'The List'!$B1:$AS671,19,FALSE)," ")</f>
        <v xml:space="preserve"> </v>
      </c>
      <c r="M425" s="85" t="str" cm="1">
        <f t="array" ref="M425">IFERROR(VLOOKUP($A425,'The List'!$B1:$AS671,20,FALSE)," ")</f>
        <v xml:space="preserve"> </v>
      </c>
      <c r="N425" s="85" t="str" cm="1">
        <f t="array" ref="N425">IFERROR(VLOOKUP($A425,'The List'!$B1:$AS671,21,FALSE)," ")</f>
        <v xml:space="preserve"> </v>
      </c>
      <c r="O425" s="85" t="str" cm="1">
        <f t="array" ref="O425">IFERROR(VLOOKUP($A425,'The List'!$B1:$AS671,22,FALSE)," ")</f>
        <v xml:space="preserve"> </v>
      </c>
      <c r="P425" s="85" t="str" cm="1">
        <f t="array" ref="P425">IFERROR(VLOOKUP($A425,'The List'!$B1:$AS671,23,FALSE)," ")</f>
        <v xml:space="preserve"> </v>
      </c>
      <c r="Q425" s="85" t="str" cm="1">
        <f t="array" ref="Q425">IFERROR(VLOOKUP($A425,'The List'!$B1:$AS671,24,FALSE)," ")</f>
        <v xml:space="preserve"> </v>
      </c>
      <c r="R425" s="85" t="str" cm="1">
        <f t="array" ref="R425">IFERROR(VLOOKUP($A425,'The List'!$B1:$AS671,25,FALSE)," ")</f>
        <v xml:space="preserve"> </v>
      </c>
      <c r="S425" s="85" t="str" cm="1">
        <f t="array" ref="S425">IFERROR(VLOOKUP($A425,'The List'!$B1:$AS671,26,FALSE)," ")</f>
        <v xml:space="preserve"> </v>
      </c>
      <c r="T425" s="85" t="str" cm="1">
        <f t="array" ref="T425">IFERROR(VLOOKUP($A425,'The List'!$B1:$AS671,27,FALSE)," ")</f>
        <v xml:space="preserve"> </v>
      </c>
      <c r="U425" s="85" t="str" cm="1">
        <f t="array" ref="U425">IFERROR(VLOOKUP($A425,'The List'!$B1:$AS671,28,FALSE)," ")</f>
        <v xml:space="preserve"> </v>
      </c>
      <c r="V425" s="85" t="str" cm="1">
        <f t="array" ref="V425">IFERROR(VLOOKUP($A425,'The List'!$B1:$AS671,29,FALSE)," ")</f>
        <v xml:space="preserve"> </v>
      </c>
      <c r="W425" s="85" t="str" cm="1">
        <f t="array" ref="W425">IFERROR(VLOOKUP($A425,'The List'!$B1:$AS671,30,FALSE)," ")</f>
        <v xml:space="preserve"> </v>
      </c>
      <c r="X425" s="85" t="str" cm="1">
        <f t="array" ref="X425">IFERROR(VLOOKUP($A425,'The List'!$B1:$AS671,31,FALSE)," ")</f>
        <v xml:space="preserve"> </v>
      </c>
      <c r="Y425" s="85" t="str" cm="1">
        <f t="array" ref="Y425">IFERROR(VLOOKUP($A425,'The List'!$B1:$AS671,32,FALSE)," ")</f>
        <v xml:space="preserve"> </v>
      </c>
      <c r="Z425" s="85" t="str" cm="1">
        <f t="array" ref="Z425">IFERROR(VLOOKUP($A425,'The List'!$B1:$AS671,33,FALSE)," ")</f>
        <v xml:space="preserve"> </v>
      </c>
      <c r="AA425" s="86"/>
      <c r="AB425" s="91"/>
      <c r="AC425" s="91"/>
      <c r="AD425" s="91"/>
      <c r="AE425" s="91"/>
      <c r="AF425" s="91"/>
    </row>
    <row r="426" spans="1:32" ht="21.25" customHeight="1" x14ac:dyDescent="0.15">
      <c r="A426" s="24"/>
      <c r="B426" s="100" t="str" cm="1">
        <f t="array" ref="B426">IFERROR(VLOOKUP($A426,'The List'!$B1:$AS671,3,FALSE)," ")</f>
        <v xml:space="preserve"> </v>
      </c>
      <c r="C426" s="102" t="str" cm="1">
        <f t="array" ref="C426">IFERROR(VLOOKUP($A426,'The List'!$B1:$AS671,4,FALSE)," ")</f>
        <v xml:space="preserve"> </v>
      </c>
      <c r="D426" s="18" t="str" cm="1">
        <f t="array" ref="D426">IFERROR(VLOOKUP($A426,'The List'!$B1:$AS671,5,FALSE)," ")</f>
        <v xml:space="preserve"> </v>
      </c>
      <c r="E426" s="18" t="str" cm="1">
        <f t="array" ref="E426">IFERROR(VLOOKUP($A426,'The List'!$B1:$AS671,6,FALSE)," ")</f>
        <v xml:space="preserve"> </v>
      </c>
      <c r="F426" s="93" t="str" cm="1">
        <f t="array" ref="F426">IFERROR(VLOOKUP($A426,'The List'!$B1:$AS671,8,FALSE)," ")</f>
        <v xml:space="preserve"> </v>
      </c>
      <c r="G426" s="93" t="str" cm="1">
        <f t="array" ref="G426">IFERROR(VLOOKUP($A426,'The List'!$B1:$AS671,10,FALSE)," ")</f>
        <v xml:space="preserve"> </v>
      </c>
      <c r="H426" s="55"/>
      <c r="I426" s="85" t="str" cm="1">
        <f t="array" ref="I426">IFERROR(VLOOKUP($A426,'The List'!$B1:$AS671,16,FALSE)," ")</f>
        <v xml:space="preserve"> </v>
      </c>
      <c r="J426" s="85" t="str" cm="1">
        <f t="array" ref="J426">IFERROR(VLOOKUP($A426,'The List'!$B1:$AS671,17,FALSE)," ")</f>
        <v xml:space="preserve"> </v>
      </c>
      <c r="K426" s="85" t="str" cm="1">
        <f t="array" ref="K426">IFERROR(VLOOKUP($A426,'The List'!$B1:$AS671,18,FALSE)," ")</f>
        <v xml:space="preserve"> </v>
      </c>
      <c r="L426" s="85" t="str" cm="1">
        <f t="array" ref="L426">IFERROR(VLOOKUP($A426,'The List'!$B1:$AS671,19,FALSE)," ")</f>
        <v xml:space="preserve"> </v>
      </c>
      <c r="M426" s="85" t="str" cm="1">
        <f t="array" ref="M426">IFERROR(VLOOKUP($A426,'The List'!$B1:$AS671,20,FALSE)," ")</f>
        <v xml:space="preserve"> </v>
      </c>
      <c r="N426" s="85" t="str" cm="1">
        <f t="array" ref="N426">IFERROR(VLOOKUP($A426,'The List'!$B1:$AS671,21,FALSE)," ")</f>
        <v xml:space="preserve"> </v>
      </c>
      <c r="O426" s="85" t="str" cm="1">
        <f t="array" ref="O426">IFERROR(VLOOKUP($A426,'The List'!$B1:$AS671,22,FALSE)," ")</f>
        <v xml:space="preserve"> </v>
      </c>
      <c r="P426" s="85" t="str" cm="1">
        <f t="array" ref="P426">IFERROR(VLOOKUP($A426,'The List'!$B1:$AS671,23,FALSE)," ")</f>
        <v xml:space="preserve"> </v>
      </c>
      <c r="Q426" s="85" t="str" cm="1">
        <f t="array" ref="Q426">IFERROR(VLOOKUP($A426,'The List'!$B1:$AS671,24,FALSE)," ")</f>
        <v xml:space="preserve"> </v>
      </c>
      <c r="R426" s="85" t="str" cm="1">
        <f t="array" ref="R426">IFERROR(VLOOKUP($A426,'The List'!$B1:$AS671,25,FALSE)," ")</f>
        <v xml:space="preserve"> </v>
      </c>
      <c r="S426" s="85" t="str" cm="1">
        <f t="array" ref="S426">IFERROR(VLOOKUP($A426,'The List'!$B1:$AS671,26,FALSE)," ")</f>
        <v xml:space="preserve"> </v>
      </c>
      <c r="T426" s="85" t="str" cm="1">
        <f t="array" ref="T426">IFERROR(VLOOKUP($A426,'The List'!$B1:$AS671,27,FALSE)," ")</f>
        <v xml:space="preserve"> </v>
      </c>
      <c r="U426" s="85" t="str" cm="1">
        <f t="array" ref="U426">IFERROR(VLOOKUP($A426,'The List'!$B1:$AS671,28,FALSE)," ")</f>
        <v xml:space="preserve"> </v>
      </c>
      <c r="V426" s="85" t="str" cm="1">
        <f t="array" ref="V426">IFERROR(VLOOKUP($A426,'The List'!$B1:$AS671,29,FALSE)," ")</f>
        <v xml:space="preserve"> </v>
      </c>
      <c r="W426" s="85" t="str" cm="1">
        <f t="array" ref="W426">IFERROR(VLOOKUP($A426,'The List'!$B1:$AS671,30,FALSE)," ")</f>
        <v xml:space="preserve"> </v>
      </c>
      <c r="X426" s="85" t="str" cm="1">
        <f t="array" ref="X426">IFERROR(VLOOKUP($A426,'The List'!$B1:$AS671,31,FALSE)," ")</f>
        <v xml:space="preserve"> </v>
      </c>
      <c r="Y426" s="85" t="str" cm="1">
        <f t="array" ref="Y426">IFERROR(VLOOKUP($A426,'The List'!$B1:$AS671,32,FALSE)," ")</f>
        <v xml:space="preserve"> </v>
      </c>
      <c r="Z426" s="85" t="str" cm="1">
        <f t="array" ref="Z426">IFERROR(VLOOKUP($A426,'The List'!$B1:$AS671,33,FALSE)," ")</f>
        <v xml:space="preserve"> </v>
      </c>
      <c r="AA426" s="86"/>
      <c r="AB426" s="91"/>
      <c r="AC426" s="91"/>
      <c r="AD426" s="91"/>
      <c r="AE426" s="91"/>
      <c r="AF426" s="91"/>
    </row>
    <row r="427" spans="1:32" ht="21.25" customHeight="1" x14ac:dyDescent="0.15">
      <c r="A427" s="104"/>
      <c r="B427" s="105" t="str" cm="1">
        <f t="array" ref="B427">IFERROR(VLOOKUP($A427,'The List'!$B1:$AS671,3,FALSE)," ")</f>
        <v xml:space="preserve"> </v>
      </c>
      <c r="C427" s="106" t="str" cm="1">
        <f t="array" ref="C427">IFERROR(VLOOKUP($A427,'The List'!$B1:$AS671,4,FALSE)," ")</f>
        <v xml:space="preserve"> </v>
      </c>
      <c r="D427" s="107" t="str" cm="1">
        <f t="array" ref="D427">IFERROR(VLOOKUP($A427,'The List'!$B1:$AS671,5,FALSE)," ")</f>
        <v xml:space="preserve"> </v>
      </c>
      <c r="E427" s="107" t="str" cm="1">
        <f t="array" ref="E427">IFERROR(VLOOKUP($A427,'The List'!$B1:$AS671,6,FALSE)," ")</f>
        <v xml:space="preserve"> </v>
      </c>
      <c r="F427" s="108" t="str" cm="1">
        <f t="array" ref="F427">IFERROR(VLOOKUP($A427,'The List'!$B1:$AS671,8,FALSE)," ")</f>
        <v xml:space="preserve"> </v>
      </c>
      <c r="G427" s="108" t="str" cm="1">
        <f t="array" ref="G427">IFERROR(VLOOKUP($A427,'The List'!$B1:$AS671,10,FALSE)," ")</f>
        <v xml:space="preserve"> </v>
      </c>
      <c r="H427" s="109"/>
      <c r="I427" s="110" t="str" cm="1">
        <f t="array" ref="I427">IFERROR(VLOOKUP($A427,'The List'!$B1:$AS671,16,FALSE)," ")</f>
        <v xml:space="preserve"> </v>
      </c>
      <c r="J427" s="110" t="str" cm="1">
        <f t="array" ref="J427">IFERROR(VLOOKUP($A427,'The List'!$B1:$AS671,17,FALSE)," ")</f>
        <v xml:space="preserve"> </v>
      </c>
      <c r="K427" s="110" t="str" cm="1">
        <f t="array" ref="K427">IFERROR(VLOOKUP($A427,'The List'!$B1:$AS671,18,FALSE)," ")</f>
        <v xml:space="preserve"> </v>
      </c>
      <c r="L427" s="110" t="str" cm="1">
        <f t="array" ref="L427">IFERROR(VLOOKUP($A427,'The List'!$B1:$AS671,19,FALSE)," ")</f>
        <v xml:space="preserve"> </v>
      </c>
      <c r="M427" s="110" t="str" cm="1">
        <f t="array" ref="M427">IFERROR(VLOOKUP($A427,'The List'!$B1:$AS671,20,FALSE)," ")</f>
        <v xml:space="preserve"> </v>
      </c>
      <c r="N427" s="110" t="str" cm="1">
        <f t="array" ref="N427">IFERROR(VLOOKUP($A427,'The List'!$B1:$AS671,21,FALSE)," ")</f>
        <v xml:space="preserve"> </v>
      </c>
      <c r="O427" s="110" t="str" cm="1">
        <f t="array" ref="O427">IFERROR(VLOOKUP($A427,'The List'!$B1:$AS671,22,FALSE)," ")</f>
        <v xml:space="preserve"> </v>
      </c>
      <c r="P427" s="110" t="str" cm="1">
        <f t="array" ref="P427">IFERROR(VLOOKUP($A427,'The List'!$B1:$AS671,23,FALSE)," ")</f>
        <v xml:space="preserve"> </v>
      </c>
      <c r="Q427" s="110" t="str" cm="1">
        <f t="array" ref="Q427">IFERROR(VLOOKUP($A427,'The List'!$B1:$AS671,24,FALSE)," ")</f>
        <v xml:space="preserve"> </v>
      </c>
      <c r="R427" s="110" t="str" cm="1">
        <f t="array" ref="R427">IFERROR(VLOOKUP($A427,'The List'!$B1:$AS671,25,FALSE)," ")</f>
        <v xml:space="preserve"> </v>
      </c>
      <c r="S427" s="110" t="str" cm="1">
        <f t="array" ref="S427">IFERROR(VLOOKUP($A427,'The List'!$B1:$AS671,26,FALSE)," ")</f>
        <v xml:space="preserve"> </v>
      </c>
      <c r="T427" s="110" t="str" cm="1">
        <f t="array" ref="T427">IFERROR(VLOOKUP($A427,'The List'!$B1:$AS671,27,FALSE)," ")</f>
        <v xml:space="preserve"> </v>
      </c>
      <c r="U427" s="110" t="str" cm="1">
        <f t="array" ref="U427">IFERROR(VLOOKUP($A427,'The List'!$B1:$AS671,28,FALSE)," ")</f>
        <v xml:space="preserve"> </v>
      </c>
      <c r="V427" s="110" t="str" cm="1">
        <f t="array" ref="V427">IFERROR(VLOOKUP($A427,'The List'!$B1:$AS671,29,FALSE)," ")</f>
        <v xml:space="preserve"> </v>
      </c>
      <c r="W427" s="110" t="str" cm="1">
        <f t="array" ref="W427">IFERROR(VLOOKUP($A427,'The List'!$B1:$AS671,30,FALSE)," ")</f>
        <v xml:space="preserve"> </v>
      </c>
      <c r="X427" s="110" t="str" cm="1">
        <f t="array" ref="X427">IFERROR(VLOOKUP($A427,'The List'!$B1:$AS671,31,FALSE)," ")</f>
        <v xml:space="preserve"> </v>
      </c>
      <c r="Y427" s="110" t="str" cm="1">
        <f t="array" ref="Y427">IFERROR(VLOOKUP($A427,'The List'!$B1:$AS671,32,FALSE)," ")</f>
        <v xml:space="preserve"> </v>
      </c>
      <c r="Z427" s="110" t="str" cm="1">
        <f t="array" ref="Z427">IFERROR(VLOOKUP($A427,'The List'!$B1:$AS671,33,FALSE)," ")</f>
        <v xml:space="preserve"> </v>
      </c>
      <c r="AA427" s="86"/>
      <c r="AB427" s="91"/>
      <c r="AC427" s="91"/>
      <c r="AD427" s="91"/>
      <c r="AE427" s="91"/>
      <c r="AF427" s="91"/>
    </row>
    <row r="428" spans="1:32" ht="21.25" customHeight="1" x14ac:dyDescent="0.15">
      <c r="A428" s="111"/>
      <c r="B428" s="112"/>
      <c r="C428" s="113"/>
      <c r="D428" s="114"/>
      <c r="E428" s="114" t="str" cm="1">
        <f t="array" ref="E428">IFERROR(AVERAGE(E408:E427)," ")</f>
        <v xml:space="preserve"> </v>
      </c>
      <c r="F428" s="116" cm="1">
        <f t="array" ref="F428">SUM(F408:F427)</f>
        <v>0</v>
      </c>
      <c r="G428" s="116" cm="1">
        <f t="array" ref="G428">SUM(G408:G427)</f>
        <v>0</v>
      </c>
      <c r="H428" s="117"/>
      <c r="I428" s="118" cm="1">
        <f t="array" ref="I428">SUM(I408:I427)</f>
        <v>0</v>
      </c>
      <c r="J428" s="117" t="e" cm="1">
        <f t="array" ref="J428">AVERAGE(J408:J427)</f>
        <v>#DIV/0!</v>
      </c>
      <c r="K428" s="118" cm="1">
        <f t="array" ref="K428">SUM(K408:K427)</f>
        <v>0</v>
      </c>
      <c r="L428" s="118" cm="1">
        <f t="array" ref="L428">SUM(L408:L427)</f>
        <v>0</v>
      </c>
      <c r="M428" s="118" cm="1">
        <f t="array" ref="M428">SUM(M408:M427)</f>
        <v>0</v>
      </c>
      <c r="N428" s="118" cm="1">
        <f t="array" ref="N428">SUM(N408:N427)</f>
        <v>0</v>
      </c>
      <c r="O428" s="118" cm="1">
        <f t="array" ref="O428">SUM(O408:O427)</f>
        <v>0</v>
      </c>
      <c r="P428" s="118" cm="1">
        <f t="array" ref="P428">SUM(P408:P427)</f>
        <v>0</v>
      </c>
      <c r="Q428" s="118" cm="1">
        <f t="array" ref="Q428">SUM(Q408:Q427)</f>
        <v>0</v>
      </c>
      <c r="R428" s="118" cm="1">
        <f t="array" ref="R428">SUM(R408:R427)</f>
        <v>0</v>
      </c>
      <c r="S428" s="118" cm="1">
        <f t="array" ref="S428">SUM(S408:S427)</f>
        <v>0</v>
      </c>
      <c r="T428" s="118" cm="1">
        <f t="array" ref="T428">SUM(T408:T427)</f>
        <v>0</v>
      </c>
      <c r="U428" s="118" cm="1">
        <f t="array" ref="U428">SUM(U408:U427)</f>
        <v>0</v>
      </c>
      <c r="V428" s="118" cm="1">
        <f t="array" ref="V428">SUM(V408:V427)</f>
        <v>0</v>
      </c>
      <c r="W428" s="118" cm="1">
        <f t="array" ref="W428">SUM(W408:W427)</f>
        <v>0</v>
      </c>
      <c r="X428" s="118" cm="1">
        <f t="array" ref="X428">SUM(X408:X427)</f>
        <v>0</v>
      </c>
      <c r="Y428" s="118" cm="1">
        <f t="array" ref="Y428">SUM(Y408:Y427)</f>
        <v>0</v>
      </c>
      <c r="Z428" s="119" cm="1">
        <f t="array" ref="Z428">IFERROR(X428/(X428+Y428),0)</f>
        <v>0</v>
      </c>
      <c r="AA428" s="86"/>
      <c r="AB428" s="120"/>
      <c r="AC428" s="120"/>
      <c r="AD428" s="120"/>
      <c r="AE428" s="120"/>
      <c r="AF428" s="120"/>
    </row>
    <row r="429" spans="1:32" ht="21.25" customHeight="1" x14ac:dyDescent="0.15">
      <c r="A429" s="37"/>
      <c r="B429" s="121"/>
      <c r="C429" s="122"/>
      <c r="D429" s="13"/>
      <c r="E429" s="13"/>
      <c r="F429" s="123"/>
      <c r="G429" s="124"/>
      <c r="H429" s="125"/>
      <c r="I429" s="12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91"/>
      <c r="AC429" s="91"/>
      <c r="AD429" s="91"/>
      <c r="AE429" s="91"/>
      <c r="AF429" s="91"/>
    </row>
    <row r="430" spans="1:32" ht="21.25" customHeight="1" x14ac:dyDescent="0.15">
      <c r="A430" s="40" t="s">
        <v>91</v>
      </c>
      <c r="B430" s="205" t="s">
        <v>93</v>
      </c>
      <c r="C430" s="197"/>
      <c r="D430" s="127" t="s">
        <v>94</v>
      </c>
      <c r="E430" s="127" t="s">
        <v>95</v>
      </c>
      <c r="F430" s="128" t="s">
        <v>97</v>
      </c>
      <c r="G430" s="128" t="s">
        <v>99</v>
      </c>
      <c r="H430" s="129"/>
      <c r="I430" s="130" t="s">
        <v>104</v>
      </c>
      <c r="J430" s="130" t="s">
        <v>119</v>
      </c>
      <c r="K430" s="130" t="s">
        <v>120</v>
      </c>
      <c r="L430" s="130" t="s">
        <v>121</v>
      </c>
      <c r="M430" s="130" t="s">
        <v>122</v>
      </c>
      <c r="N430" s="130" t="s">
        <v>123</v>
      </c>
      <c r="O430" s="130" t="s">
        <v>124</v>
      </c>
      <c r="P430" s="130" t="s">
        <v>125</v>
      </c>
      <c r="Q430" s="130" t="s">
        <v>126</v>
      </c>
      <c r="R430" s="86"/>
      <c r="S430" s="86"/>
      <c r="T430" s="86"/>
      <c r="U430" s="205" t="s">
        <v>818</v>
      </c>
      <c r="V430" s="206"/>
      <c r="W430" s="206"/>
      <c r="X430" s="205" t="s">
        <v>819</v>
      </c>
      <c r="Y430" s="206"/>
      <c r="Z430" s="206"/>
      <c r="AA430" s="86"/>
      <c r="AB430" s="86"/>
      <c r="AC430" s="86"/>
      <c r="AD430" s="86"/>
      <c r="AE430" s="86"/>
      <c r="AF430" s="86"/>
    </row>
    <row r="431" spans="1:32" ht="21.25" customHeight="1" x14ac:dyDescent="0.15">
      <c r="A431" s="147"/>
      <c r="B431" s="132" t="str" cm="1">
        <f t="array" ref="B431">IFERROR(VLOOKUP($A431,'The List'!$B1:$AS671,3,FALSE)," ")</f>
        <v xml:space="preserve"> </v>
      </c>
      <c r="C431" s="148" t="str" cm="1">
        <f t="array" ref="C431">IFERROR(VLOOKUP($A431,'The List'!$B1:$AS671,4,FALSE)," ")</f>
        <v xml:space="preserve"> </v>
      </c>
      <c r="D431" s="134" t="str" cm="1">
        <f t="array" ref="D431">IFERROR(VLOOKUP($A431,'The List'!$B1:$AS671,5,FALSE)," ")</f>
        <v xml:space="preserve"> </v>
      </c>
      <c r="E431" s="134" t="str" cm="1">
        <f t="array" ref="E431">IFERROR(VLOOKUP($A431,'The List'!$B1:$AS671,6,FALSE)," ")</f>
        <v xml:space="preserve"> </v>
      </c>
      <c r="F431" s="149" t="str" cm="1">
        <f t="array" ref="F431">IFERROR(VLOOKUP($A431,'The List'!$B1:$AS671,8,FALSE)," ")</f>
        <v xml:space="preserve"> </v>
      </c>
      <c r="G431" s="149" t="str" cm="1">
        <f t="array" ref="G431">IFERROR(VLOOKUP($A431,'The List'!$B1:$AS671,10,FALSE)," ")</f>
        <v xml:space="preserve"> </v>
      </c>
      <c r="H431" s="83"/>
      <c r="I431" s="150" t="str" cm="1">
        <f t="array" ref="I431">IFERROR(VLOOKUP($A431,'The List'!$B1:$AS671,35,FALSE)," ")</f>
        <v xml:space="preserve"> </v>
      </c>
      <c r="J431" s="150" t="str" cm="1">
        <f t="array" ref="J431">IFERROR(VLOOKUP($A431,'The List'!$B1:$AS671,36,FALSE)," ")</f>
        <v xml:space="preserve"> </v>
      </c>
      <c r="K431" s="150" t="str" cm="1">
        <f t="array" ref="K431">IFERROR(VLOOKUP($A431,'The List'!$B1:$AS671,37,FALSE)," ")</f>
        <v xml:space="preserve"> </v>
      </c>
      <c r="L431" s="150" t="str" cm="1">
        <f t="array" ref="L431">IFERROR(VLOOKUP($A431,'The List'!$B1:$AS671,38,FALSE)," ")</f>
        <v xml:space="preserve"> </v>
      </c>
      <c r="M431" s="150" t="str" cm="1">
        <f t="array" ref="M431">IFERROR(VLOOKUP($A431,'The List'!$B1:$AS671,39,FALSE)," ")</f>
        <v xml:space="preserve"> </v>
      </c>
      <c r="N431" s="150" t="str" cm="1">
        <f t="array" ref="N431">IFERROR(VLOOKUP($A431,'The List'!$B1:$AS671,40,FALSE)," ")</f>
        <v xml:space="preserve"> </v>
      </c>
      <c r="O431" s="150" t="str" cm="1">
        <f t="array" ref="O431">IFERROR(VLOOKUP($A431,'The List'!$B1:$AS671,41,FALSE)," ")</f>
        <v xml:space="preserve"> </v>
      </c>
      <c r="P431" s="150" t="str" cm="1">
        <f t="array" ref="P431">IFERROR(VLOOKUP($A431,'The List'!$B1:$AS671,42,FALSE)," ")</f>
        <v xml:space="preserve"> </v>
      </c>
      <c r="Q431" s="150" t="str" cm="1">
        <f t="array" ref="Q431">IFERROR(VLOOKUP($A431,'The List'!$B1:$AS671,43,FALSE)," ")</f>
        <v xml:space="preserve"> </v>
      </c>
      <c r="R431" s="86"/>
      <c r="S431" s="86"/>
      <c r="T431" s="140" t="str" cm="1">
        <f t="array" ref="T431">A407</f>
        <v>TEAM 15</v>
      </c>
      <c r="U431" s="207" cm="1">
        <f t="array" ref="U431">F428+F434</f>
        <v>0</v>
      </c>
      <c r="V431" s="197"/>
      <c r="W431" s="197"/>
      <c r="X431" s="207" cm="1">
        <f t="array" ref="X431">G434+G428</f>
        <v>0</v>
      </c>
      <c r="Y431" s="197"/>
      <c r="Z431" s="197"/>
      <c r="AA431" s="86"/>
      <c r="AB431" s="86"/>
      <c r="AC431" s="86"/>
      <c r="AD431" s="86"/>
      <c r="AE431" s="86"/>
      <c r="AF431" s="86"/>
    </row>
    <row r="432" spans="1:32" ht="21.25" customHeight="1" x14ac:dyDescent="0.15">
      <c r="A432" s="24"/>
      <c r="B432" s="141" t="str" cm="1">
        <f t="array" ref="B432">IFERROR(VLOOKUP($A432,'The List'!$B1:$AS671,3,FALSE)," ")</f>
        <v xml:space="preserve"> </v>
      </c>
      <c r="C432" s="142" t="str" cm="1">
        <f t="array" ref="C432">IFERROR(VLOOKUP($A432,'The List'!$B1:$AS671,4,FALSE)," ")</f>
        <v xml:space="preserve"> </v>
      </c>
      <c r="D432" s="18" t="str" cm="1">
        <f t="array" ref="D432">IFERROR(VLOOKUP($A432,'The List'!$B1:$AS671,5,FALSE)," ")</f>
        <v xml:space="preserve"> </v>
      </c>
      <c r="E432" s="18" t="str" cm="1">
        <f t="array" ref="E432">IFERROR(VLOOKUP($A432,'The List'!$B1:$AS671,6,FALSE)," ")</f>
        <v xml:space="preserve"> </v>
      </c>
      <c r="F432" s="93" t="str" cm="1">
        <f t="array" ref="F432">IFERROR(VLOOKUP($A432,'The List'!$B1:$AS671,8,FALSE)," ")</f>
        <v xml:space="preserve"> </v>
      </c>
      <c r="G432" s="93" t="str" cm="1">
        <f t="array" ref="G432">IFERROR(VLOOKUP($A432,'The List'!$B1:$AS671,10,FALSE)," ")</f>
        <v xml:space="preserve"> </v>
      </c>
      <c r="H432" s="55"/>
      <c r="I432" s="85" t="str" cm="1">
        <f t="array" ref="I432">IFERROR(VLOOKUP($A432,'The List'!$B1:$AS671,35,FALSE)," ")</f>
        <v xml:space="preserve"> </v>
      </c>
      <c r="J432" s="85" t="str" cm="1">
        <f t="array" ref="J432">IFERROR(VLOOKUP($A432,'The List'!$B1:$AS671,36,FALSE)," ")</f>
        <v xml:space="preserve"> </v>
      </c>
      <c r="K432" s="85" t="str" cm="1">
        <f t="array" ref="K432">IFERROR(VLOOKUP($A432,'The List'!$B1:$AS671,37,FALSE)," ")</f>
        <v xml:space="preserve"> </v>
      </c>
      <c r="L432" s="85" t="str" cm="1">
        <f t="array" ref="L432">IFERROR(VLOOKUP($A432,'The List'!$B1:$AS671,38,FALSE)," ")</f>
        <v xml:space="preserve"> </v>
      </c>
      <c r="M432" s="85" t="str" cm="1">
        <f t="array" ref="M432">IFERROR(VLOOKUP($A432,'The List'!$B1:$AS671,39,FALSE)," ")</f>
        <v xml:space="preserve"> </v>
      </c>
      <c r="N432" s="85" t="str" cm="1">
        <f t="array" ref="N432">IFERROR(VLOOKUP($A432,'The List'!$B1:$AS671,40,FALSE)," ")</f>
        <v xml:space="preserve"> </v>
      </c>
      <c r="O432" s="85" t="str" cm="1">
        <f t="array" ref="O432">IFERROR(VLOOKUP($A432,'The List'!$B1:$AS671,41,FALSE)," ")</f>
        <v xml:space="preserve"> </v>
      </c>
      <c r="P432" s="85" t="str" cm="1">
        <f t="array" ref="P432">IFERROR(VLOOKUP($A432,'The List'!$B1:$AS671,42,FALSE)," ")</f>
        <v xml:space="preserve"> </v>
      </c>
      <c r="Q432" s="85" t="str" cm="1">
        <f t="array" ref="Q432">IFERROR(VLOOKUP($A432,'The List'!$B1:$AS671,43,FALSE)," ")</f>
        <v xml:space="preserve"> </v>
      </c>
      <c r="R432" s="86"/>
      <c r="S432" s="86"/>
      <c r="T432" s="86"/>
      <c r="U432" s="197"/>
      <c r="V432" s="197"/>
      <c r="W432" s="197"/>
      <c r="X432" s="197"/>
      <c r="Y432" s="197"/>
      <c r="Z432" s="197"/>
      <c r="AA432" s="86"/>
      <c r="AB432" s="86"/>
      <c r="AC432" s="86"/>
      <c r="AD432" s="86"/>
      <c r="AE432" s="86"/>
      <c r="AF432" s="86"/>
    </row>
    <row r="433" spans="1:32" ht="21.25" customHeight="1" x14ac:dyDescent="0.15">
      <c r="A433" s="104"/>
      <c r="B433" s="143" t="str" cm="1">
        <f t="array" ref="B433">IFERROR(VLOOKUP($A433,'The List'!$B1:$AS671,3,FALSE)," ")</f>
        <v xml:space="preserve"> </v>
      </c>
      <c r="C433" s="144" t="str" cm="1">
        <f t="array" ref="C433">IFERROR(VLOOKUP($A433,'The List'!$B1:$AS671,4,FALSE)," ")</f>
        <v xml:space="preserve"> </v>
      </c>
      <c r="D433" s="107" t="str" cm="1">
        <f t="array" ref="D433">IFERROR(VLOOKUP($A433,'The List'!$B1:$AS671,5,FALSE)," ")</f>
        <v xml:space="preserve"> </v>
      </c>
      <c r="E433" s="107" t="str" cm="1">
        <f t="array" ref="E433">IFERROR(VLOOKUP($A433,'The List'!$B1:$AS671,6,FALSE)," ")</f>
        <v xml:space="preserve"> </v>
      </c>
      <c r="F433" s="108" t="str" cm="1">
        <f t="array" ref="F433">IFERROR(VLOOKUP($A433,'The List'!$B1:$AS671,8,FALSE)," ")</f>
        <v xml:space="preserve"> </v>
      </c>
      <c r="G433" s="108" t="str" cm="1">
        <f t="array" ref="G433">IFERROR(VLOOKUP($A433,'The List'!$B1:$AS671,10,FALSE)," ")</f>
        <v xml:space="preserve"> </v>
      </c>
      <c r="H433" s="109"/>
      <c r="I433" s="110" t="str" cm="1">
        <f t="array" ref="I433">IFERROR(VLOOKUP($A433,'The List'!$B1:$AS671,35,FALSE)," ")</f>
        <v xml:space="preserve"> </v>
      </c>
      <c r="J433" s="110" t="str" cm="1">
        <f t="array" ref="J433">IFERROR(VLOOKUP($A433,'The List'!$B1:$AS671,36,FALSE)," ")</f>
        <v xml:space="preserve"> </v>
      </c>
      <c r="K433" s="110" t="str" cm="1">
        <f t="array" ref="K433">IFERROR(VLOOKUP($A433,'The List'!$B1:$AS671,37,FALSE)," ")</f>
        <v xml:space="preserve"> </v>
      </c>
      <c r="L433" s="110" t="str" cm="1">
        <f t="array" ref="L433">IFERROR(VLOOKUP($A433,'The List'!$B1:$AS671,38,FALSE)," ")</f>
        <v xml:space="preserve"> </v>
      </c>
      <c r="M433" s="110" t="str" cm="1">
        <f t="array" ref="M433">IFERROR(VLOOKUP($A433,'The List'!$B1:$AS671,39,FALSE)," ")</f>
        <v xml:space="preserve"> </v>
      </c>
      <c r="N433" s="110" t="str" cm="1">
        <f t="array" ref="N433">IFERROR(VLOOKUP($A433,'The List'!$B1:$AS671,40,FALSE)," ")</f>
        <v xml:space="preserve"> </v>
      </c>
      <c r="O433" s="110" t="str" cm="1">
        <f t="array" ref="O433">IFERROR(VLOOKUP($A433,'The List'!$B1:$AS671,41,FALSE)," ")</f>
        <v xml:space="preserve"> </v>
      </c>
      <c r="P433" s="110" t="str" cm="1">
        <f t="array" ref="P433">IFERROR(VLOOKUP($A433,'The List'!$B1:$AS671,42,FALSE)," ")</f>
        <v xml:space="preserve"> </v>
      </c>
      <c r="Q433" s="110" t="str" cm="1">
        <f t="array" ref="Q433">IFERROR(VLOOKUP($A433,'The List'!$B1:$AS671,43,FALSE)," ")</f>
        <v xml:space="preserve"> </v>
      </c>
      <c r="R433" s="86"/>
      <c r="S433" s="86"/>
      <c r="T433" s="86"/>
      <c r="U433" s="197"/>
      <c r="V433" s="197"/>
      <c r="W433" s="197"/>
      <c r="X433" s="197"/>
      <c r="Y433" s="197"/>
      <c r="Z433" s="197"/>
      <c r="AA433" s="86"/>
      <c r="AB433" s="86"/>
      <c r="AC433" s="86"/>
      <c r="AD433" s="86"/>
      <c r="AE433" s="86"/>
      <c r="AF433" s="86"/>
    </row>
    <row r="434" spans="1:32" ht="21.25" customHeight="1" x14ac:dyDescent="0.15">
      <c r="A434" s="111"/>
      <c r="B434" s="112"/>
      <c r="C434" s="113"/>
      <c r="D434" s="114"/>
      <c r="E434" s="114" t="str" cm="1">
        <f t="array" ref="E434">IFERROR(AVERAGE(E431:E433)," ")</f>
        <v xml:space="preserve"> </v>
      </c>
      <c r="F434" s="116" cm="1">
        <f t="array" ref="F434">SUM(F431:F433)</f>
        <v>0</v>
      </c>
      <c r="G434" s="116" cm="1">
        <f t="array" ref="G434">SUM(G431:G433)</f>
        <v>0</v>
      </c>
      <c r="H434" s="117"/>
      <c r="I434" s="118" cm="1">
        <f t="array" ref="I434">SUM(I431:I433)</f>
        <v>0</v>
      </c>
      <c r="J434" s="117" cm="1">
        <f t="array" ref="J434">SUM(J431:J433)</f>
        <v>0</v>
      </c>
      <c r="K434" s="118" cm="1">
        <f t="array" ref="K434">SUM(K431:K433)</f>
        <v>0</v>
      </c>
      <c r="L434" s="118" cm="1">
        <f t="array" ref="L434">SUM(L431:L433)</f>
        <v>0</v>
      </c>
      <c r="M434" s="118" cm="1">
        <f t="array" ref="M434">SUM(M431:M433)</f>
        <v>0</v>
      </c>
      <c r="N434" s="118" cm="1">
        <f t="array" ref="N434">SUM(N431:N433)</f>
        <v>0</v>
      </c>
      <c r="O434" s="118" cm="1">
        <f t="array" ref="O434">SUM(O431:O433)</f>
        <v>0</v>
      </c>
      <c r="P434" s="145" t="e" cm="1">
        <f t="array" ref="P434">1-(O434/(N434+O434))</f>
        <v>#DIV/0!</v>
      </c>
      <c r="Q434" s="146" t="e" cm="1">
        <f t="array" ref="Q434">O434/I434</f>
        <v>#DIV/0!</v>
      </c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</row>
    <row r="435" spans="1:32" ht="70.75" customHeight="1" x14ac:dyDescent="0.15">
      <c r="A435" s="37"/>
      <c r="B435" s="121"/>
      <c r="C435" s="122"/>
      <c r="D435" s="13"/>
      <c r="E435" s="13"/>
      <c r="F435" s="123"/>
      <c r="G435" s="124"/>
      <c r="H435" s="125"/>
      <c r="I435" s="12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91"/>
      <c r="AB435" s="91"/>
      <c r="AC435" s="91"/>
      <c r="AD435" s="91"/>
      <c r="AE435" s="91"/>
      <c r="AF435" s="91"/>
    </row>
    <row r="436" spans="1:32" ht="21.25" customHeight="1" x14ac:dyDescent="0.15">
      <c r="A436" s="41" t="s">
        <v>817</v>
      </c>
      <c r="B436" s="194" t="s">
        <v>93</v>
      </c>
      <c r="C436" s="195"/>
      <c r="D436" s="42" t="s">
        <v>94</v>
      </c>
      <c r="E436" s="42" t="s">
        <v>95</v>
      </c>
      <c r="F436" s="43" t="s">
        <v>97</v>
      </c>
      <c r="G436" s="43" t="s">
        <v>99</v>
      </c>
      <c r="H436" s="44"/>
      <c r="I436" s="46" t="s">
        <v>104</v>
      </c>
      <c r="J436" s="46" t="s">
        <v>56</v>
      </c>
      <c r="K436" s="46" t="s">
        <v>105</v>
      </c>
      <c r="L436" s="46" t="s">
        <v>106</v>
      </c>
      <c r="M436" s="46" t="s">
        <v>107</v>
      </c>
      <c r="N436" s="46" t="s">
        <v>108</v>
      </c>
      <c r="O436" s="46" t="s">
        <v>64</v>
      </c>
      <c r="P436" s="46" t="s">
        <v>68</v>
      </c>
      <c r="Q436" s="46" t="s">
        <v>109</v>
      </c>
      <c r="R436" s="46" t="s">
        <v>110</v>
      </c>
      <c r="S436" s="46" t="s">
        <v>111</v>
      </c>
      <c r="T436" s="46" t="s">
        <v>112</v>
      </c>
      <c r="U436" s="46" t="s">
        <v>113</v>
      </c>
      <c r="V436" s="46" t="s">
        <v>114</v>
      </c>
      <c r="W436" s="46" t="s">
        <v>115</v>
      </c>
      <c r="X436" s="46" t="s">
        <v>116</v>
      </c>
      <c r="Y436" s="46" t="s">
        <v>117</v>
      </c>
      <c r="Z436" s="46" t="s">
        <v>118</v>
      </c>
      <c r="AA436" s="86"/>
      <c r="AB436" s="87"/>
      <c r="AC436" s="87"/>
      <c r="AD436" s="87"/>
      <c r="AE436" s="87"/>
      <c r="AF436" s="87"/>
    </row>
    <row r="437" spans="1:32" ht="21.25" customHeight="1" x14ac:dyDescent="0.15">
      <c r="A437" s="24"/>
      <c r="B437" s="88" t="str" cm="1">
        <f t="array" ref="B437">IFERROR(VLOOKUP($A437,'The List'!$B1:$AS671,3,FALSE)," ")</f>
        <v xml:space="preserve"> </v>
      </c>
      <c r="C437" s="92" t="str" cm="1">
        <f t="array" ref="C437">IFERROR(VLOOKUP($A437,'The List'!$B1:$AS671,4,FALSE)," ")</f>
        <v xml:space="preserve"> </v>
      </c>
      <c r="D437" s="18" t="str" cm="1">
        <f t="array" ref="D437">IFERROR(VLOOKUP($A437,'The List'!$B1:$AS671,5,FALSE)," ")</f>
        <v xml:space="preserve"> </v>
      </c>
      <c r="E437" s="18" t="str" cm="1">
        <f t="array" ref="E437">IFERROR(VLOOKUP($A437,'The List'!$B1:$AS671,6,FALSE)," ")</f>
        <v xml:space="preserve"> </v>
      </c>
      <c r="F437" s="93" t="str" cm="1">
        <f t="array" ref="F437">IFERROR(VLOOKUP($A437,'The List'!$B1:$AS671,8,FALSE)," ")</f>
        <v xml:space="preserve"> </v>
      </c>
      <c r="G437" s="93" t="str" cm="1">
        <f t="array" ref="G437">IFERROR(VLOOKUP($A437,'The List'!$B1:$AS671,10,FALSE)," ")</f>
        <v xml:space="preserve"> </v>
      </c>
      <c r="H437" s="55"/>
      <c r="I437" s="85" t="str" cm="1">
        <f t="array" ref="I437">IFERROR(VLOOKUP($A437,'The List'!$B1:$AS671,16,FALSE)," ")</f>
        <v xml:space="preserve"> </v>
      </c>
      <c r="J437" s="85" t="str" cm="1">
        <f t="array" ref="J437">IFERROR(VLOOKUP($A437,'The List'!$B1:$AS671,17,FALSE)," ")</f>
        <v xml:space="preserve"> </v>
      </c>
      <c r="K437" s="85" t="str" cm="1">
        <f t="array" ref="K437">IFERROR(VLOOKUP($A437,'The List'!$B1:$AS671,18,FALSE)," ")</f>
        <v xml:space="preserve"> </v>
      </c>
      <c r="L437" s="85" t="str" cm="1">
        <f t="array" ref="L437">IFERROR(VLOOKUP($A437,'The List'!$B1:$AS671,19,FALSE)," ")</f>
        <v xml:space="preserve"> </v>
      </c>
      <c r="M437" s="85" t="str" cm="1">
        <f t="array" ref="M437">IFERROR(VLOOKUP($A437,'The List'!$B1:$AS671,20,FALSE)," ")</f>
        <v xml:space="preserve"> </v>
      </c>
      <c r="N437" s="85" t="str" cm="1">
        <f t="array" ref="N437">IFERROR(VLOOKUP($A437,'The List'!$B1:$AS671,21,FALSE)," ")</f>
        <v xml:space="preserve"> </v>
      </c>
      <c r="O437" s="85" t="str" cm="1">
        <f t="array" ref="O437">IFERROR(VLOOKUP($A437,'The List'!$B1:$AS671,22,FALSE)," ")</f>
        <v xml:space="preserve"> </v>
      </c>
      <c r="P437" s="85" t="str" cm="1">
        <f t="array" ref="P437">IFERROR(VLOOKUP($A437,'The List'!$B1:$AS671,23,FALSE)," ")</f>
        <v xml:space="preserve"> </v>
      </c>
      <c r="Q437" s="85" t="str" cm="1">
        <f t="array" ref="Q437">IFERROR(VLOOKUP($A437,'The List'!$B1:$AS671,24,FALSE)," ")</f>
        <v xml:space="preserve"> </v>
      </c>
      <c r="R437" s="85" t="str" cm="1">
        <f t="array" ref="R437">IFERROR(VLOOKUP($A437,'The List'!$B1:$AS671,25,FALSE)," ")</f>
        <v xml:space="preserve"> </v>
      </c>
      <c r="S437" s="85" t="str" cm="1">
        <f t="array" ref="S437">IFERROR(VLOOKUP($A437,'The List'!$B1:$AS671,26,FALSE)," ")</f>
        <v xml:space="preserve"> </v>
      </c>
      <c r="T437" s="85" t="str" cm="1">
        <f t="array" ref="T437">IFERROR(VLOOKUP($A437,'The List'!$B1:$AS671,27,FALSE)," ")</f>
        <v xml:space="preserve"> </v>
      </c>
      <c r="U437" s="85" t="str" cm="1">
        <f t="array" ref="U437">IFERROR(VLOOKUP($A437,'The List'!$B1:$AS671,28,FALSE)," ")</f>
        <v xml:space="preserve"> </v>
      </c>
      <c r="V437" s="85" t="str" cm="1">
        <f t="array" ref="V437">IFERROR(VLOOKUP($A437,'The List'!$B1:$AS671,29,FALSE)," ")</f>
        <v xml:space="preserve"> </v>
      </c>
      <c r="W437" s="85" t="str" cm="1">
        <f t="array" ref="W437">IFERROR(VLOOKUP($A437,'The List'!$B1:$AS671,30,FALSE)," ")</f>
        <v xml:space="preserve"> </v>
      </c>
      <c r="X437" s="85" t="str" cm="1">
        <f t="array" ref="X437">IFERROR(VLOOKUP($A437,'The List'!$B1:$AS671,31,FALSE)," ")</f>
        <v xml:space="preserve"> </v>
      </c>
      <c r="Y437" s="85" t="str" cm="1">
        <f t="array" ref="Y437">IFERROR(VLOOKUP($A437,'The List'!$B1:$AS671,32,FALSE)," ")</f>
        <v xml:space="preserve"> </v>
      </c>
      <c r="Z437" s="85" t="str" cm="1">
        <f t="array" ref="Z437">IFERROR(VLOOKUP($A437,'The List'!$B1:$AS671,33,FALSE)," ")</f>
        <v xml:space="preserve"> </v>
      </c>
      <c r="AA437" s="86"/>
      <c r="AB437" s="91"/>
      <c r="AC437" s="91"/>
      <c r="AD437" s="91"/>
      <c r="AE437" s="91"/>
      <c r="AF437" s="91"/>
    </row>
    <row r="438" spans="1:32" ht="21.25" customHeight="1" x14ac:dyDescent="0.15">
      <c r="A438" s="24"/>
      <c r="B438" s="88" t="str" cm="1">
        <f t="array" ref="B438">IFERROR(VLOOKUP($A438,'The List'!$B1:$AS671,3,FALSE)," ")</f>
        <v xml:space="preserve"> </v>
      </c>
      <c r="C438" s="92" t="str" cm="1">
        <f t="array" ref="C438">IFERROR(VLOOKUP($A438,'The List'!$B1:$AS671,4,FALSE)," ")</f>
        <v xml:space="preserve"> </v>
      </c>
      <c r="D438" s="18" t="str" cm="1">
        <f t="array" ref="D438">IFERROR(VLOOKUP($A438,'The List'!$B1:$AS671,5,FALSE)," ")</f>
        <v xml:space="preserve"> </v>
      </c>
      <c r="E438" s="18" t="str" cm="1">
        <f t="array" ref="E438">IFERROR(VLOOKUP($A438,'The List'!$B1:$AS671,6,FALSE)," ")</f>
        <v xml:space="preserve"> </v>
      </c>
      <c r="F438" s="93" t="str" cm="1">
        <f t="array" ref="F438">IFERROR(VLOOKUP($A438,'The List'!$B1:$AS671,8,FALSE)," ")</f>
        <v xml:space="preserve"> </v>
      </c>
      <c r="G438" s="93" t="str" cm="1">
        <f t="array" ref="G438">IFERROR(VLOOKUP($A438,'The List'!$B1:$AS671,10,FALSE)," ")</f>
        <v xml:space="preserve"> </v>
      </c>
      <c r="H438" s="55"/>
      <c r="I438" s="85" t="str" cm="1">
        <f t="array" ref="I438">IFERROR(VLOOKUP($A438,'The List'!$B1:$AS671,16,FALSE)," ")</f>
        <v xml:space="preserve"> </v>
      </c>
      <c r="J438" s="85" t="str" cm="1">
        <f t="array" ref="J438">IFERROR(VLOOKUP($A438,'The List'!$B1:$AS671,17,FALSE)," ")</f>
        <v xml:space="preserve"> </v>
      </c>
      <c r="K438" s="85" t="str" cm="1">
        <f t="array" ref="K438">IFERROR(VLOOKUP($A438,'The List'!$B1:$AS671,18,FALSE)," ")</f>
        <v xml:space="preserve"> </v>
      </c>
      <c r="L438" s="85" t="str" cm="1">
        <f t="array" ref="L438">IFERROR(VLOOKUP($A438,'The List'!$B1:$AS671,19,FALSE)," ")</f>
        <v xml:space="preserve"> </v>
      </c>
      <c r="M438" s="85" t="str" cm="1">
        <f t="array" ref="M438">IFERROR(VLOOKUP($A438,'The List'!$B1:$AS671,20,FALSE)," ")</f>
        <v xml:space="preserve"> </v>
      </c>
      <c r="N438" s="85" t="str" cm="1">
        <f t="array" ref="N438">IFERROR(VLOOKUP($A438,'The List'!$B1:$AS671,21,FALSE)," ")</f>
        <v xml:space="preserve"> </v>
      </c>
      <c r="O438" s="85" t="str" cm="1">
        <f t="array" ref="O438">IFERROR(VLOOKUP($A438,'The List'!$B1:$AS671,22,FALSE)," ")</f>
        <v xml:space="preserve"> </v>
      </c>
      <c r="P438" s="85" t="str" cm="1">
        <f t="array" ref="P438">IFERROR(VLOOKUP($A438,'The List'!$B1:$AS671,23,FALSE)," ")</f>
        <v xml:space="preserve"> </v>
      </c>
      <c r="Q438" s="85" t="str" cm="1">
        <f t="array" ref="Q438">IFERROR(VLOOKUP($A438,'The List'!$B1:$AS671,24,FALSE)," ")</f>
        <v xml:space="preserve"> </v>
      </c>
      <c r="R438" s="85" t="str" cm="1">
        <f t="array" ref="R438">IFERROR(VLOOKUP($A438,'The List'!$B1:$AS671,25,FALSE)," ")</f>
        <v xml:space="preserve"> </v>
      </c>
      <c r="S438" s="85" t="str" cm="1">
        <f t="array" ref="S438">IFERROR(VLOOKUP($A438,'The List'!$B1:$AS671,26,FALSE)," ")</f>
        <v xml:space="preserve"> </v>
      </c>
      <c r="T438" s="85" t="str" cm="1">
        <f t="array" ref="T438">IFERROR(VLOOKUP($A438,'The List'!$B1:$AS671,27,FALSE)," ")</f>
        <v xml:space="preserve"> </v>
      </c>
      <c r="U438" s="85" t="str" cm="1">
        <f t="array" ref="U438">IFERROR(VLOOKUP($A438,'The List'!$B1:$AS671,28,FALSE)," ")</f>
        <v xml:space="preserve"> </v>
      </c>
      <c r="V438" s="85" t="str" cm="1">
        <f t="array" ref="V438">IFERROR(VLOOKUP($A438,'The List'!$B1:$AS671,29,FALSE)," ")</f>
        <v xml:space="preserve"> </v>
      </c>
      <c r="W438" s="85" t="str" cm="1">
        <f t="array" ref="W438">IFERROR(VLOOKUP($A438,'The List'!$B1:$AS671,30,FALSE)," ")</f>
        <v xml:space="preserve"> </v>
      </c>
      <c r="X438" s="85" t="str" cm="1">
        <f t="array" ref="X438">IFERROR(VLOOKUP($A438,'The List'!$B1:$AS671,31,FALSE)," ")</f>
        <v xml:space="preserve"> </v>
      </c>
      <c r="Y438" s="85" t="str" cm="1">
        <f t="array" ref="Y438">IFERROR(VLOOKUP($A438,'The List'!$B1:$AS671,32,FALSE)," ")</f>
        <v xml:space="preserve"> </v>
      </c>
      <c r="Z438" s="85" t="str" cm="1">
        <f t="array" ref="Z438">IFERROR(VLOOKUP($A438,'The List'!$B1:$AS671,33,FALSE)," ")</f>
        <v xml:space="preserve"> </v>
      </c>
      <c r="AA438" s="86"/>
      <c r="AB438" s="91"/>
      <c r="AC438" s="91"/>
      <c r="AD438" s="91"/>
      <c r="AE438" s="91"/>
      <c r="AF438" s="91"/>
    </row>
    <row r="439" spans="1:32" ht="21.25" customHeight="1" x14ac:dyDescent="0.15">
      <c r="A439" s="24"/>
      <c r="B439" s="88" t="str" cm="1">
        <f t="array" ref="B439">IFERROR(VLOOKUP($A439,'The List'!$B1:$AS671,3,FALSE)," ")</f>
        <v xml:space="preserve"> </v>
      </c>
      <c r="C439" s="92" t="str" cm="1">
        <f t="array" ref="C439">IFERROR(VLOOKUP($A439,'The List'!$B1:$AS671,4,FALSE)," ")</f>
        <v xml:space="preserve"> </v>
      </c>
      <c r="D439" s="18" t="str" cm="1">
        <f t="array" ref="D439">IFERROR(VLOOKUP($A439,'The List'!$B1:$AS671,5,FALSE)," ")</f>
        <v xml:space="preserve"> </v>
      </c>
      <c r="E439" s="18" t="str" cm="1">
        <f t="array" ref="E439">IFERROR(VLOOKUP($A439,'The List'!$B1:$AS671,6,FALSE)," ")</f>
        <v xml:space="preserve"> </v>
      </c>
      <c r="F439" s="93" t="str" cm="1">
        <f t="array" ref="F439">IFERROR(VLOOKUP($A439,'The List'!$B1:$AS671,8,FALSE)," ")</f>
        <v xml:space="preserve"> </v>
      </c>
      <c r="G439" s="93" t="str" cm="1">
        <f t="array" ref="G439">IFERROR(VLOOKUP($A439,'The List'!$B1:$AS671,10,FALSE)," ")</f>
        <v xml:space="preserve"> </v>
      </c>
      <c r="H439" s="55"/>
      <c r="I439" s="85" t="str" cm="1">
        <f t="array" ref="I439">IFERROR(VLOOKUP($A439,'The List'!$B1:$AS671,16,FALSE)," ")</f>
        <v xml:space="preserve"> </v>
      </c>
      <c r="J439" s="85" t="str" cm="1">
        <f t="array" ref="J439">IFERROR(VLOOKUP($A439,'The List'!$B1:$AS671,17,FALSE)," ")</f>
        <v xml:space="preserve"> </v>
      </c>
      <c r="K439" s="85" t="str" cm="1">
        <f t="array" ref="K439">IFERROR(VLOOKUP($A439,'The List'!$B1:$AS671,18,FALSE)," ")</f>
        <v xml:space="preserve"> </v>
      </c>
      <c r="L439" s="85" t="str" cm="1">
        <f t="array" ref="L439">IFERROR(VLOOKUP($A439,'The List'!$B1:$AS671,19,FALSE)," ")</f>
        <v xml:space="preserve"> </v>
      </c>
      <c r="M439" s="85" t="str" cm="1">
        <f t="array" ref="M439">IFERROR(VLOOKUP($A439,'The List'!$B1:$AS671,20,FALSE)," ")</f>
        <v xml:space="preserve"> </v>
      </c>
      <c r="N439" s="85" t="str" cm="1">
        <f t="array" ref="N439">IFERROR(VLOOKUP($A439,'The List'!$B1:$AS671,21,FALSE)," ")</f>
        <v xml:space="preserve"> </v>
      </c>
      <c r="O439" s="85" t="str" cm="1">
        <f t="array" ref="O439">IFERROR(VLOOKUP($A439,'The List'!$B1:$AS671,22,FALSE)," ")</f>
        <v xml:space="preserve"> </v>
      </c>
      <c r="P439" s="85" t="str" cm="1">
        <f t="array" ref="P439">IFERROR(VLOOKUP($A439,'The List'!$B1:$AS671,23,FALSE)," ")</f>
        <v xml:space="preserve"> </v>
      </c>
      <c r="Q439" s="85" t="str" cm="1">
        <f t="array" ref="Q439">IFERROR(VLOOKUP($A439,'The List'!$B1:$AS671,24,FALSE)," ")</f>
        <v xml:space="preserve"> </v>
      </c>
      <c r="R439" s="85" t="str" cm="1">
        <f t="array" ref="R439">IFERROR(VLOOKUP($A439,'The List'!$B1:$AS671,25,FALSE)," ")</f>
        <v xml:space="preserve"> </v>
      </c>
      <c r="S439" s="85" t="str" cm="1">
        <f t="array" ref="S439">IFERROR(VLOOKUP($A439,'The List'!$B1:$AS671,26,FALSE)," ")</f>
        <v xml:space="preserve"> </v>
      </c>
      <c r="T439" s="85" t="str" cm="1">
        <f t="array" ref="T439">IFERROR(VLOOKUP($A439,'The List'!$B1:$AS671,27,FALSE)," ")</f>
        <v xml:space="preserve"> </v>
      </c>
      <c r="U439" s="85" t="str" cm="1">
        <f t="array" ref="U439">IFERROR(VLOOKUP($A439,'The List'!$B1:$AS671,28,FALSE)," ")</f>
        <v xml:space="preserve"> </v>
      </c>
      <c r="V439" s="85" t="str" cm="1">
        <f t="array" ref="V439">IFERROR(VLOOKUP($A439,'The List'!$B1:$AS671,29,FALSE)," ")</f>
        <v xml:space="preserve"> </v>
      </c>
      <c r="W439" s="85" t="str" cm="1">
        <f t="array" ref="W439">IFERROR(VLOOKUP($A439,'The List'!$B1:$AS671,30,FALSE)," ")</f>
        <v xml:space="preserve"> </v>
      </c>
      <c r="X439" s="85" t="str" cm="1">
        <f t="array" ref="X439">IFERROR(VLOOKUP($A439,'The List'!$B1:$AS671,31,FALSE)," ")</f>
        <v xml:space="preserve"> </v>
      </c>
      <c r="Y439" s="85" t="str" cm="1">
        <f t="array" ref="Y439">IFERROR(VLOOKUP($A439,'The List'!$B1:$AS671,32,FALSE)," ")</f>
        <v xml:space="preserve"> </v>
      </c>
      <c r="Z439" s="85" t="str" cm="1">
        <f t="array" ref="Z439">IFERROR(VLOOKUP($A439,'The List'!$B1:$AS671,33,FALSE)," ")</f>
        <v xml:space="preserve"> </v>
      </c>
      <c r="AA439" s="86"/>
      <c r="AB439" s="91"/>
      <c r="AC439" s="91"/>
      <c r="AD439" s="91"/>
      <c r="AE439" s="91"/>
      <c r="AF439" s="91"/>
    </row>
    <row r="440" spans="1:32" ht="21.25" customHeight="1" x14ac:dyDescent="0.15">
      <c r="A440" s="24"/>
      <c r="B440" s="88" t="str" cm="1">
        <f t="array" ref="B440">IFERROR(VLOOKUP($A440,'The List'!$B1:$AS671,3,FALSE)," ")</f>
        <v xml:space="preserve"> </v>
      </c>
      <c r="C440" s="92" t="str" cm="1">
        <f t="array" ref="C440">IFERROR(VLOOKUP($A440,'The List'!$B1:$AS671,4,FALSE)," ")</f>
        <v xml:space="preserve"> </v>
      </c>
      <c r="D440" s="18" t="str" cm="1">
        <f t="array" ref="D440">IFERROR(VLOOKUP($A440,'The List'!$B1:$AS671,5,FALSE)," ")</f>
        <v xml:space="preserve"> </v>
      </c>
      <c r="E440" s="18" t="str" cm="1">
        <f t="array" ref="E440">IFERROR(VLOOKUP($A440,'The List'!$B1:$AS671,6,FALSE)," ")</f>
        <v xml:space="preserve"> </v>
      </c>
      <c r="F440" s="93" t="str" cm="1">
        <f t="array" ref="F440">IFERROR(VLOOKUP($A440,'The List'!$B1:$AS671,8,FALSE)," ")</f>
        <v xml:space="preserve"> </v>
      </c>
      <c r="G440" s="93" t="str" cm="1">
        <f t="array" ref="G440">IFERROR(VLOOKUP($A440,'The List'!$B1:$AS671,10,FALSE)," ")</f>
        <v xml:space="preserve"> </v>
      </c>
      <c r="H440" s="55"/>
      <c r="I440" s="85" t="str" cm="1">
        <f t="array" ref="I440">IFERROR(VLOOKUP($A440,'The List'!$B1:$AS671,16,FALSE)," ")</f>
        <v xml:space="preserve"> </v>
      </c>
      <c r="J440" s="85" t="str" cm="1">
        <f t="array" ref="J440">IFERROR(VLOOKUP($A440,'The List'!$B1:$AS671,17,FALSE)," ")</f>
        <v xml:space="preserve"> </v>
      </c>
      <c r="K440" s="85" t="str" cm="1">
        <f t="array" ref="K440">IFERROR(VLOOKUP($A440,'The List'!$B1:$AS671,18,FALSE)," ")</f>
        <v xml:space="preserve"> </v>
      </c>
      <c r="L440" s="85" t="str" cm="1">
        <f t="array" ref="L440">IFERROR(VLOOKUP($A440,'The List'!$B1:$AS671,19,FALSE)," ")</f>
        <v xml:space="preserve"> </v>
      </c>
      <c r="M440" s="85" t="str" cm="1">
        <f t="array" ref="M440">IFERROR(VLOOKUP($A440,'The List'!$B1:$AS671,20,FALSE)," ")</f>
        <v xml:space="preserve"> </v>
      </c>
      <c r="N440" s="85" t="str" cm="1">
        <f t="array" ref="N440">IFERROR(VLOOKUP($A440,'The List'!$B1:$AS671,21,FALSE)," ")</f>
        <v xml:space="preserve"> </v>
      </c>
      <c r="O440" s="85" t="str" cm="1">
        <f t="array" ref="O440">IFERROR(VLOOKUP($A440,'The List'!$B1:$AS671,22,FALSE)," ")</f>
        <v xml:space="preserve"> </v>
      </c>
      <c r="P440" s="85" t="str" cm="1">
        <f t="array" ref="P440">IFERROR(VLOOKUP($A440,'The List'!$B1:$AS671,23,FALSE)," ")</f>
        <v xml:space="preserve"> </v>
      </c>
      <c r="Q440" s="85" t="str" cm="1">
        <f t="array" ref="Q440">IFERROR(VLOOKUP($A440,'The List'!$B1:$AS671,24,FALSE)," ")</f>
        <v xml:space="preserve"> </v>
      </c>
      <c r="R440" s="85" t="str" cm="1">
        <f t="array" ref="R440">IFERROR(VLOOKUP($A440,'The List'!$B1:$AS671,25,FALSE)," ")</f>
        <v xml:space="preserve"> </v>
      </c>
      <c r="S440" s="85" t="str" cm="1">
        <f t="array" ref="S440">IFERROR(VLOOKUP($A440,'The List'!$B1:$AS671,26,FALSE)," ")</f>
        <v xml:space="preserve"> </v>
      </c>
      <c r="T440" s="85" t="str" cm="1">
        <f t="array" ref="T440">IFERROR(VLOOKUP($A440,'The List'!$B1:$AS671,27,FALSE)," ")</f>
        <v xml:space="preserve"> </v>
      </c>
      <c r="U440" s="85" t="str" cm="1">
        <f t="array" ref="U440">IFERROR(VLOOKUP($A440,'The List'!$B1:$AS671,28,FALSE)," ")</f>
        <v xml:space="preserve"> </v>
      </c>
      <c r="V440" s="85" t="str" cm="1">
        <f t="array" ref="V440">IFERROR(VLOOKUP($A440,'The List'!$B1:$AS671,29,FALSE)," ")</f>
        <v xml:space="preserve"> </v>
      </c>
      <c r="W440" s="85" t="str" cm="1">
        <f t="array" ref="W440">IFERROR(VLOOKUP($A440,'The List'!$B1:$AS671,30,FALSE)," ")</f>
        <v xml:space="preserve"> </v>
      </c>
      <c r="X440" s="85" t="str" cm="1">
        <f t="array" ref="X440">IFERROR(VLOOKUP($A440,'The List'!$B1:$AS671,31,FALSE)," ")</f>
        <v xml:space="preserve"> </v>
      </c>
      <c r="Y440" s="85" t="str" cm="1">
        <f t="array" ref="Y440">IFERROR(VLOOKUP($A440,'The List'!$B1:$AS671,32,FALSE)," ")</f>
        <v xml:space="preserve"> </v>
      </c>
      <c r="Z440" s="85" t="str" cm="1">
        <f t="array" ref="Z440">IFERROR(VLOOKUP($A440,'The List'!$B1:$AS671,33,FALSE)," ")</f>
        <v xml:space="preserve"> </v>
      </c>
      <c r="AA440" s="86"/>
      <c r="AB440" s="91"/>
      <c r="AC440" s="91"/>
      <c r="AD440" s="91"/>
      <c r="AE440" s="91"/>
      <c r="AF440" s="91"/>
    </row>
    <row r="441" spans="1:32" ht="21.25" customHeight="1" x14ac:dyDescent="0.15">
      <c r="A441" s="24"/>
      <c r="B441" s="94" t="str" cm="1">
        <f t="array" ref="B441">IFERROR(VLOOKUP($A441,'The List'!$B1:$AS671,3,FALSE)," ")</f>
        <v xml:space="preserve"> </v>
      </c>
      <c r="C441" s="96" t="str" cm="1">
        <f t="array" ref="C441">IFERROR(VLOOKUP($A441,'The List'!$B1:$AS671,4,FALSE)," ")</f>
        <v xml:space="preserve"> </v>
      </c>
      <c r="D441" s="18" t="str" cm="1">
        <f t="array" ref="D441">IFERROR(VLOOKUP($A441,'The List'!$B1:$AS671,5,FALSE)," ")</f>
        <v xml:space="preserve"> </v>
      </c>
      <c r="E441" s="18" t="str" cm="1">
        <f t="array" ref="E441">IFERROR(VLOOKUP($A441,'The List'!$B1:$AS671,6,FALSE)," ")</f>
        <v xml:space="preserve"> </v>
      </c>
      <c r="F441" s="93" t="str" cm="1">
        <f t="array" ref="F441">IFERROR(VLOOKUP($A441,'The List'!$B1:$AS671,8,FALSE)," ")</f>
        <v xml:space="preserve"> </v>
      </c>
      <c r="G441" s="93" t="str" cm="1">
        <f t="array" ref="G441">IFERROR(VLOOKUP($A441,'The List'!$B1:$AS671,10,FALSE)," ")</f>
        <v xml:space="preserve"> </v>
      </c>
      <c r="H441" s="55"/>
      <c r="I441" s="85" t="str" cm="1">
        <f t="array" ref="I441">IFERROR(VLOOKUP($A441,'The List'!$B1:$AS671,16,FALSE)," ")</f>
        <v xml:space="preserve"> </v>
      </c>
      <c r="J441" s="85" t="str" cm="1">
        <f t="array" ref="J441">IFERROR(VLOOKUP($A441,'The List'!$B1:$AS671,17,FALSE)," ")</f>
        <v xml:space="preserve"> </v>
      </c>
      <c r="K441" s="85" t="str" cm="1">
        <f t="array" ref="K441">IFERROR(VLOOKUP($A441,'The List'!$B1:$AS671,18,FALSE)," ")</f>
        <v xml:space="preserve"> </v>
      </c>
      <c r="L441" s="85" t="str" cm="1">
        <f t="array" ref="L441">IFERROR(VLOOKUP($A441,'The List'!$B1:$AS671,19,FALSE)," ")</f>
        <v xml:space="preserve"> </v>
      </c>
      <c r="M441" s="85" t="str" cm="1">
        <f t="array" ref="M441">IFERROR(VLOOKUP($A441,'The List'!$B1:$AS671,20,FALSE)," ")</f>
        <v xml:space="preserve"> </v>
      </c>
      <c r="N441" s="85" t="str" cm="1">
        <f t="array" ref="N441">IFERROR(VLOOKUP($A441,'The List'!$B1:$AS671,21,FALSE)," ")</f>
        <v xml:space="preserve"> </v>
      </c>
      <c r="O441" s="85" t="str" cm="1">
        <f t="array" ref="O441">IFERROR(VLOOKUP($A441,'The List'!$B1:$AS671,22,FALSE)," ")</f>
        <v xml:space="preserve"> </v>
      </c>
      <c r="P441" s="85" t="str" cm="1">
        <f t="array" ref="P441">IFERROR(VLOOKUP($A441,'The List'!$B1:$AS671,23,FALSE)," ")</f>
        <v xml:space="preserve"> </v>
      </c>
      <c r="Q441" s="85" t="str" cm="1">
        <f t="array" ref="Q441">IFERROR(VLOOKUP($A441,'The List'!$B1:$AS671,24,FALSE)," ")</f>
        <v xml:space="preserve"> </v>
      </c>
      <c r="R441" s="85" t="str" cm="1">
        <f t="array" ref="R441">IFERROR(VLOOKUP($A441,'The List'!$B1:$AS671,25,FALSE)," ")</f>
        <v xml:space="preserve"> </v>
      </c>
      <c r="S441" s="85" t="str" cm="1">
        <f t="array" ref="S441">IFERROR(VLOOKUP($A441,'The List'!$B1:$AS671,26,FALSE)," ")</f>
        <v xml:space="preserve"> </v>
      </c>
      <c r="T441" s="85" t="str" cm="1">
        <f t="array" ref="T441">IFERROR(VLOOKUP($A441,'The List'!$B1:$AS671,27,FALSE)," ")</f>
        <v xml:space="preserve"> </v>
      </c>
      <c r="U441" s="85" t="str" cm="1">
        <f t="array" ref="U441">IFERROR(VLOOKUP($A441,'The List'!$B1:$AS671,28,FALSE)," ")</f>
        <v xml:space="preserve"> </v>
      </c>
      <c r="V441" s="85" t="str" cm="1">
        <f t="array" ref="V441">IFERROR(VLOOKUP($A441,'The List'!$B1:$AS671,29,FALSE)," ")</f>
        <v xml:space="preserve"> </v>
      </c>
      <c r="W441" s="85" t="str" cm="1">
        <f t="array" ref="W441">IFERROR(VLOOKUP($A441,'The List'!$B1:$AS671,30,FALSE)," ")</f>
        <v xml:space="preserve"> </v>
      </c>
      <c r="X441" s="85" t="str" cm="1">
        <f t="array" ref="X441">IFERROR(VLOOKUP($A441,'The List'!$B1:$AS671,31,FALSE)," ")</f>
        <v xml:space="preserve"> </v>
      </c>
      <c r="Y441" s="85" t="str" cm="1">
        <f t="array" ref="Y441">IFERROR(VLOOKUP($A441,'The List'!$B1:$AS671,32,FALSE)," ")</f>
        <v xml:space="preserve"> </v>
      </c>
      <c r="Z441" s="85" t="str" cm="1">
        <f t="array" ref="Z441">IFERROR(VLOOKUP($A441,'The List'!$B1:$AS671,33,FALSE)," ")</f>
        <v xml:space="preserve"> </v>
      </c>
      <c r="AA441" s="86"/>
      <c r="AB441" s="91"/>
      <c r="AC441" s="91"/>
      <c r="AD441" s="91"/>
      <c r="AE441" s="91"/>
      <c r="AF441" s="91"/>
    </row>
    <row r="442" spans="1:32" ht="21.25" customHeight="1" x14ac:dyDescent="0.15">
      <c r="A442" s="24"/>
      <c r="B442" s="94" t="str" cm="1">
        <f t="array" ref="B442">IFERROR(VLOOKUP($A442,'The List'!$B1:$AS671,3,FALSE)," ")</f>
        <v xml:space="preserve"> </v>
      </c>
      <c r="C442" s="96" t="str" cm="1">
        <f t="array" ref="C442">IFERROR(VLOOKUP($A442,'The List'!$B1:$AS671,4,FALSE)," ")</f>
        <v xml:space="preserve"> </v>
      </c>
      <c r="D442" s="18" t="str" cm="1">
        <f t="array" ref="D442">IFERROR(VLOOKUP($A442,'The List'!$B1:$AS671,5,FALSE)," ")</f>
        <v xml:space="preserve"> </v>
      </c>
      <c r="E442" s="18" t="str" cm="1">
        <f t="array" ref="E442">IFERROR(VLOOKUP($A442,'The List'!$B1:$AS671,6,FALSE)," ")</f>
        <v xml:space="preserve"> </v>
      </c>
      <c r="F442" s="93" t="str" cm="1">
        <f t="array" ref="F442">IFERROR(VLOOKUP($A442,'The List'!$B1:$AS671,8,FALSE)," ")</f>
        <v xml:space="preserve"> </v>
      </c>
      <c r="G442" s="93" t="str" cm="1">
        <f t="array" ref="G442">IFERROR(VLOOKUP($A442,'The List'!$B1:$AS671,10,FALSE)," ")</f>
        <v xml:space="preserve"> </v>
      </c>
      <c r="H442" s="55"/>
      <c r="I442" s="85" t="str" cm="1">
        <f t="array" ref="I442">IFERROR(VLOOKUP($A442,'The List'!$B1:$AS671,16,FALSE)," ")</f>
        <v xml:space="preserve"> </v>
      </c>
      <c r="J442" s="85" t="str" cm="1">
        <f t="array" ref="J442">IFERROR(VLOOKUP($A442,'The List'!$B1:$AS671,17,FALSE)," ")</f>
        <v xml:space="preserve"> </v>
      </c>
      <c r="K442" s="85" t="str" cm="1">
        <f t="array" ref="K442">IFERROR(VLOOKUP($A442,'The List'!$B1:$AS671,18,FALSE)," ")</f>
        <v xml:space="preserve"> </v>
      </c>
      <c r="L442" s="85" t="str" cm="1">
        <f t="array" ref="L442">IFERROR(VLOOKUP($A442,'The List'!$B1:$AS671,19,FALSE)," ")</f>
        <v xml:space="preserve"> </v>
      </c>
      <c r="M442" s="85" t="str" cm="1">
        <f t="array" ref="M442">IFERROR(VLOOKUP($A442,'The List'!$B1:$AS671,20,FALSE)," ")</f>
        <v xml:space="preserve"> </v>
      </c>
      <c r="N442" s="85" t="str" cm="1">
        <f t="array" ref="N442">IFERROR(VLOOKUP($A442,'The List'!$B1:$AS671,21,FALSE)," ")</f>
        <v xml:space="preserve"> </v>
      </c>
      <c r="O442" s="85" t="str" cm="1">
        <f t="array" ref="O442">IFERROR(VLOOKUP($A442,'The List'!$B1:$AS671,22,FALSE)," ")</f>
        <v xml:space="preserve"> </v>
      </c>
      <c r="P442" s="85" t="str" cm="1">
        <f t="array" ref="P442">IFERROR(VLOOKUP($A442,'The List'!$B1:$AS671,23,FALSE)," ")</f>
        <v xml:space="preserve"> </v>
      </c>
      <c r="Q442" s="85" t="str" cm="1">
        <f t="array" ref="Q442">IFERROR(VLOOKUP($A442,'The List'!$B1:$AS671,24,FALSE)," ")</f>
        <v xml:space="preserve"> </v>
      </c>
      <c r="R442" s="85" t="str" cm="1">
        <f t="array" ref="R442">IFERROR(VLOOKUP($A442,'The List'!$B1:$AS671,25,FALSE)," ")</f>
        <v xml:space="preserve"> </v>
      </c>
      <c r="S442" s="85" t="str" cm="1">
        <f t="array" ref="S442">IFERROR(VLOOKUP($A442,'The List'!$B1:$AS671,26,FALSE)," ")</f>
        <v xml:space="preserve"> </v>
      </c>
      <c r="T442" s="85" t="str" cm="1">
        <f t="array" ref="T442">IFERROR(VLOOKUP($A442,'The List'!$B1:$AS671,27,FALSE)," ")</f>
        <v xml:space="preserve"> </v>
      </c>
      <c r="U442" s="85" t="str" cm="1">
        <f t="array" ref="U442">IFERROR(VLOOKUP($A442,'The List'!$B1:$AS671,28,FALSE)," ")</f>
        <v xml:space="preserve"> </v>
      </c>
      <c r="V442" s="85" t="str" cm="1">
        <f t="array" ref="V442">IFERROR(VLOOKUP($A442,'The List'!$B1:$AS671,29,FALSE)," ")</f>
        <v xml:space="preserve"> </v>
      </c>
      <c r="W442" s="85" t="str" cm="1">
        <f t="array" ref="W442">IFERROR(VLOOKUP($A442,'The List'!$B1:$AS671,30,FALSE)," ")</f>
        <v xml:space="preserve"> </v>
      </c>
      <c r="X442" s="85" t="str" cm="1">
        <f t="array" ref="X442">IFERROR(VLOOKUP($A442,'The List'!$B1:$AS671,31,FALSE)," ")</f>
        <v xml:space="preserve"> </v>
      </c>
      <c r="Y442" s="85" t="str" cm="1">
        <f t="array" ref="Y442">IFERROR(VLOOKUP($A442,'The List'!$B1:$AS671,32,FALSE)," ")</f>
        <v xml:space="preserve"> </v>
      </c>
      <c r="Z442" s="85" t="str" cm="1">
        <f t="array" ref="Z442">IFERROR(VLOOKUP($A442,'The List'!$B1:$AS671,33,FALSE)," ")</f>
        <v xml:space="preserve"> </v>
      </c>
      <c r="AA442" s="86"/>
      <c r="AB442" s="91"/>
      <c r="AC442" s="91"/>
      <c r="AD442" s="91"/>
      <c r="AE442" s="91"/>
      <c r="AF442" s="91"/>
    </row>
    <row r="443" spans="1:32" ht="21.25" customHeight="1" x14ac:dyDescent="0.15">
      <c r="A443" s="24"/>
      <c r="B443" s="94" t="str" cm="1">
        <f t="array" ref="B443">IFERROR(VLOOKUP($A443,'The List'!$B1:$AS671,3,FALSE)," ")</f>
        <v xml:space="preserve"> </v>
      </c>
      <c r="C443" s="96" t="str" cm="1">
        <f t="array" ref="C443">IFERROR(VLOOKUP($A443,'The List'!$B1:$AS671,4,FALSE)," ")</f>
        <v xml:space="preserve"> </v>
      </c>
      <c r="D443" s="18" t="str" cm="1">
        <f t="array" ref="D443">IFERROR(VLOOKUP($A443,'The List'!$B1:$AS671,5,FALSE)," ")</f>
        <v xml:space="preserve"> </v>
      </c>
      <c r="E443" s="18" t="str" cm="1">
        <f t="array" ref="E443">IFERROR(VLOOKUP($A443,'The List'!$B1:$AS671,6,FALSE)," ")</f>
        <v xml:space="preserve"> </v>
      </c>
      <c r="F443" s="93" t="str" cm="1">
        <f t="array" ref="F443">IFERROR(VLOOKUP($A443,'The List'!$B1:$AS671,8,FALSE)," ")</f>
        <v xml:space="preserve"> </v>
      </c>
      <c r="G443" s="93" t="str" cm="1">
        <f t="array" ref="G443">IFERROR(VLOOKUP($A443,'The List'!$B1:$AS671,10,FALSE)," ")</f>
        <v xml:space="preserve"> </v>
      </c>
      <c r="H443" s="55"/>
      <c r="I443" s="85" t="str" cm="1">
        <f t="array" ref="I443">IFERROR(VLOOKUP($A443,'The List'!$B1:$AS671,16,FALSE)," ")</f>
        <v xml:space="preserve"> </v>
      </c>
      <c r="J443" s="85" t="str" cm="1">
        <f t="array" ref="J443">IFERROR(VLOOKUP($A443,'The List'!$B1:$AS671,17,FALSE)," ")</f>
        <v xml:space="preserve"> </v>
      </c>
      <c r="K443" s="85" t="str" cm="1">
        <f t="array" ref="K443">IFERROR(VLOOKUP($A443,'The List'!$B1:$AS671,18,FALSE)," ")</f>
        <v xml:space="preserve"> </v>
      </c>
      <c r="L443" s="85" t="str" cm="1">
        <f t="array" ref="L443">IFERROR(VLOOKUP($A443,'The List'!$B1:$AS671,19,FALSE)," ")</f>
        <v xml:space="preserve"> </v>
      </c>
      <c r="M443" s="85" t="str" cm="1">
        <f t="array" ref="M443">IFERROR(VLOOKUP($A443,'The List'!$B1:$AS671,20,FALSE)," ")</f>
        <v xml:space="preserve"> </v>
      </c>
      <c r="N443" s="85" t="str" cm="1">
        <f t="array" ref="N443">IFERROR(VLOOKUP($A443,'The List'!$B1:$AS671,21,FALSE)," ")</f>
        <v xml:space="preserve"> </v>
      </c>
      <c r="O443" s="85" t="str" cm="1">
        <f t="array" ref="O443">IFERROR(VLOOKUP($A443,'The List'!$B1:$AS671,22,FALSE)," ")</f>
        <v xml:space="preserve"> </v>
      </c>
      <c r="P443" s="85" t="str" cm="1">
        <f t="array" ref="P443">IFERROR(VLOOKUP($A443,'The List'!$B1:$AS671,23,FALSE)," ")</f>
        <v xml:space="preserve"> </v>
      </c>
      <c r="Q443" s="85" t="str" cm="1">
        <f t="array" ref="Q443">IFERROR(VLOOKUP($A443,'The List'!$B1:$AS671,24,FALSE)," ")</f>
        <v xml:space="preserve"> </v>
      </c>
      <c r="R443" s="85" t="str" cm="1">
        <f t="array" ref="R443">IFERROR(VLOOKUP($A443,'The List'!$B1:$AS671,25,FALSE)," ")</f>
        <v xml:space="preserve"> </v>
      </c>
      <c r="S443" s="85" t="str" cm="1">
        <f t="array" ref="S443">IFERROR(VLOOKUP($A443,'The List'!$B1:$AS671,26,FALSE)," ")</f>
        <v xml:space="preserve"> </v>
      </c>
      <c r="T443" s="85" t="str" cm="1">
        <f t="array" ref="T443">IFERROR(VLOOKUP($A443,'The List'!$B1:$AS671,27,FALSE)," ")</f>
        <v xml:space="preserve"> </v>
      </c>
      <c r="U443" s="85" t="str" cm="1">
        <f t="array" ref="U443">IFERROR(VLOOKUP($A443,'The List'!$B1:$AS671,28,FALSE)," ")</f>
        <v xml:space="preserve"> </v>
      </c>
      <c r="V443" s="85" t="str" cm="1">
        <f t="array" ref="V443">IFERROR(VLOOKUP($A443,'The List'!$B1:$AS671,29,FALSE)," ")</f>
        <v xml:space="preserve"> </v>
      </c>
      <c r="W443" s="85" t="str" cm="1">
        <f t="array" ref="W443">IFERROR(VLOOKUP($A443,'The List'!$B1:$AS671,30,FALSE)," ")</f>
        <v xml:space="preserve"> </v>
      </c>
      <c r="X443" s="85" t="str" cm="1">
        <f t="array" ref="X443">IFERROR(VLOOKUP($A443,'The List'!$B1:$AS671,31,FALSE)," ")</f>
        <v xml:space="preserve"> </v>
      </c>
      <c r="Y443" s="85" t="str" cm="1">
        <f t="array" ref="Y443">IFERROR(VLOOKUP($A443,'The List'!$B1:$AS671,32,FALSE)," ")</f>
        <v xml:space="preserve"> </v>
      </c>
      <c r="Z443" s="85" t="str" cm="1">
        <f t="array" ref="Z443">IFERROR(VLOOKUP($A443,'The List'!$B1:$AS671,33,FALSE)," ")</f>
        <v xml:space="preserve"> </v>
      </c>
      <c r="AA443" s="86"/>
      <c r="AB443" s="91"/>
      <c r="AC443" s="91"/>
      <c r="AD443" s="91"/>
      <c r="AE443" s="91"/>
      <c r="AF443" s="91"/>
    </row>
    <row r="444" spans="1:32" ht="21.25" customHeight="1" x14ac:dyDescent="0.15">
      <c r="A444" s="24"/>
      <c r="B444" s="94" t="str" cm="1">
        <f t="array" ref="B444">IFERROR(VLOOKUP($A444,'The List'!$B1:$AS671,3,FALSE)," ")</f>
        <v xml:space="preserve"> </v>
      </c>
      <c r="C444" s="96" t="str" cm="1">
        <f t="array" ref="C444">IFERROR(VLOOKUP($A444,'The List'!$B1:$AS671,4,FALSE)," ")</f>
        <v xml:space="preserve"> </v>
      </c>
      <c r="D444" s="18" t="str" cm="1">
        <f t="array" ref="D444">IFERROR(VLOOKUP($A444,'The List'!$B1:$AS671,5,FALSE)," ")</f>
        <v xml:space="preserve"> </v>
      </c>
      <c r="E444" s="18" t="str" cm="1">
        <f t="array" ref="E444">IFERROR(VLOOKUP($A444,'The List'!$B1:$AS671,6,FALSE)," ")</f>
        <v xml:space="preserve"> </v>
      </c>
      <c r="F444" s="93" t="str" cm="1">
        <f t="array" ref="F444">IFERROR(VLOOKUP($A444,'The List'!$B1:$AS671,8,FALSE)," ")</f>
        <v xml:space="preserve"> </v>
      </c>
      <c r="G444" s="93" t="str" cm="1">
        <f t="array" ref="G444">IFERROR(VLOOKUP($A444,'The List'!$B1:$AS671,10,FALSE)," ")</f>
        <v xml:space="preserve"> </v>
      </c>
      <c r="H444" s="55"/>
      <c r="I444" s="85" t="str" cm="1">
        <f t="array" ref="I444">IFERROR(VLOOKUP($A444,'The List'!$B1:$AS671,16,FALSE)," ")</f>
        <v xml:space="preserve"> </v>
      </c>
      <c r="J444" s="85" t="str" cm="1">
        <f t="array" ref="J444">IFERROR(VLOOKUP($A444,'The List'!$B1:$AS671,17,FALSE)," ")</f>
        <v xml:space="preserve"> </v>
      </c>
      <c r="K444" s="85" t="str" cm="1">
        <f t="array" ref="K444">IFERROR(VLOOKUP($A444,'The List'!$B1:$AS671,18,FALSE)," ")</f>
        <v xml:space="preserve"> </v>
      </c>
      <c r="L444" s="85" t="str" cm="1">
        <f t="array" ref="L444">IFERROR(VLOOKUP($A444,'The List'!$B1:$AS671,19,FALSE)," ")</f>
        <v xml:space="preserve"> </v>
      </c>
      <c r="M444" s="85" t="str" cm="1">
        <f t="array" ref="M444">IFERROR(VLOOKUP($A444,'The List'!$B1:$AS671,20,FALSE)," ")</f>
        <v xml:space="preserve"> </v>
      </c>
      <c r="N444" s="85" t="str" cm="1">
        <f t="array" ref="N444">IFERROR(VLOOKUP($A444,'The List'!$B1:$AS671,21,FALSE)," ")</f>
        <v xml:space="preserve"> </v>
      </c>
      <c r="O444" s="85" t="str" cm="1">
        <f t="array" ref="O444">IFERROR(VLOOKUP($A444,'The List'!$B1:$AS671,22,FALSE)," ")</f>
        <v xml:space="preserve"> </v>
      </c>
      <c r="P444" s="85" t="str" cm="1">
        <f t="array" ref="P444">IFERROR(VLOOKUP($A444,'The List'!$B1:$AS671,23,FALSE)," ")</f>
        <v xml:space="preserve"> </v>
      </c>
      <c r="Q444" s="85" t="str" cm="1">
        <f t="array" ref="Q444">IFERROR(VLOOKUP($A444,'The List'!$B1:$AS671,24,FALSE)," ")</f>
        <v xml:space="preserve"> </v>
      </c>
      <c r="R444" s="85" t="str" cm="1">
        <f t="array" ref="R444">IFERROR(VLOOKUP($A444,'The List'!$B1:$AS671,25,FALSE)," ")</f>
        <v xml:space="preserve"> </v>
      </c>
      <c r="S444" s="85" t="str" cm="1">
        <f t="array" ref="S444">IFERROR(VLOOKUP($A444,'The List'!$B1:$AS671,26,FALSE)," ")</f>
        <v xml:space="preserve"> </v>
      </c>
      <c r="T444" s="85" t="str" cm="1">
        <f t="array" ref="T444">IFERROR(VLOOKUP($A444,'The List'!$B1:$AS671,27,FALSE)," ")</f>
        <v xml:space="preserve"> </v>
      </c>
      <c r="U444" s="85" t="str" cm="1">
        <f t="array" ref="U444">IFERROR(VLOOKUP($A444,'The List'!$B1:$AS671,28,FALSE)," ")</f>
        <v xml:space="preserve"> </v>
      </c>
      <c r="V444" s="85" t="str" cm="1">
        <f t="array" ref="V444">IFERROR(VLOOKUP($A444,'The List'!$B1:$AS671,29,FALSE)," ")</f>
        <v xml:space="preserve"> </v>
      </c>
      <c r="W444" s="85" t="str" cm="1">
        <f t="array" ref="W444">IFERROR(VLOOKUP($A444,'The List'!$B1:$AS671,30,FALSE)," ")</f>
        <v xml:space="preserve"> </v>
      </c>
      <c r="X444" s="85" t="str" cm="1">
        <f t="array" ref="X444">IFERROR(VLOOKUP($A444,'The List'!$B1:$AS671,31,FALSE)," ")</f>
        <v xml:space="preserve"> </v>
      </c>
      <c r="Y444" s="85" t="str" cm="1">
        <f t="array" ref="Y444">IFERROR(VLOOKUP($A444,'The List'!$B1:$AS671,32,FALSE)," ")</f>
        <v xml:space="preserve"> </v>
      </c>
      <c r="Z444" s="85" t="str" cm="1">
        <f t="array" ref="Z444">IFERROR(VLOOKUP($A444,'The List'!$B1:$AS671,33,FALSE)," ")</f>
        <v xml:space="preserve"> </v>
      </c>
      <c r="AA444" s="86"/>
      <c r="AB444" s="91"/>
      <c r="AC444" s="91"/>
      <c r="AD444" s="91"/>
      <c r="AE444" s="91"/>
      <c r="AF444" s="91"/>
    </row>
    <row r="445" spans="1:32" ht="21.25" customHeight="1" x14ac:dyDescent="0.15">
      <c r="A445" s="24"/>
      <c r="B445" s="97" t="str" cm="1">
        <f t="array" ref="B445">IFERROR(VLOOKUP($A445,'The List'!$B1:$AS671,3,FALSE)," ")</f>
        <v xml:space="preserve"> </v>
      </c>
      <c r="C445" s="99" t="str" cm="1">
        <f t="array" ref="C445">IFERROR(VLOOKUP($A445,'The List'!$B1:$AS671,4,FALSE)," ")</f>
        <v xml:space="preserve"> </v>
      </c>
      <c r="D445" s="18" t="str" cm="1">
        <f t="array" ref="D445">IFERROR(VLOOKUP($A445,'The List'!$B1:$AS671,5,FALSE)," ")</f>
        <v xml:space="preserve"> </v>
      </c>
      <c r="E445" s="18" t="str" cm="1">
        <f t="array" ref="E445">IFERROR(VLOOKUP($A445,'The List'!$B1:$AS671,6,FALSE)," ")</f>
        <v xml:space="preserve"> </v>
      </c>
      <c r="F445" s="93" t="str" cm="1">
        <f t="array" ref="F445">IFERROR(VLOOKUP($A445,'The List'!$B1:$AS671,8,FALSE)," ")</f>
        <v xml:space="preserve"> </v>
      </c>
      <c r="G445" s="93" t="str" cm="1">
        <f t="array" ref="G445">IFERROR(VLOOKUP($A445,'The List'!$B1:$AS671,10,FALSE)," ")</f>
        <v xml:space="preserve"> </v>
      </c>
      <c r="H445" s="55"/>
      <c r="I445" s="85" t="str" cm="1">
        <f t="array" ref="I445">IFERROR(VLOOKUP($A445,'The List'!$B1:$AS671,16,FALSE)," ")</f>
        <v xml:space="preserve"> </v>
      </c>
      <c r="J445" s="85" t="str" cm="1">
        <f t="array" ref="J445">IFERROR(VLOOKUP($A445,'The List'!$B1:$AS671,17,FALSE)," ")</f>
        <v xml:space="preserve"> </v>
      </c>
      <c r="K445" s="85" t="str" cm="1">
        <f t="array" ref="K445">IFERROR(VLOOKUP($A445,'The List'!$B1:$AS671,18,FALSE)," ")</f>
        <v xml:space="preserve"> </v>
      </c>
      <c r="L445" s="85" t="str" cm="1">
        <f t="array" ref="L445">IFERROR(VLOOKUP($A445,'The List'!$B1:$AS671,19,FALSE)," ")</f>
        <v xml:space="preserve"> </v>
      </c>
      <c r="M445" s="85" t="str" cm="1">
        <f t="array" ref="M445">IFERROR(VLOOKUP($A445,'The List'!$B1:$AS671,20,FALSE)," ")</f>
        <v xml:space="preserve"> </v>
      </c>
      <c r="N445" s="85" t="str" cm="1">
        <f t="array" ref="N445">IFERROR(VLOOKUP($A445,'The List'!$B1:$AS671,21,FALSE)," ")</f>
        <v xml:space="preserve"> </v>
      </c>
      <c r="O445" s="85" t="str" cm="1">
        <f t="array" ref="O445">IFERROR(VLOOKUP($A445,'The List'!$B1:$AS671,22,FALSE)," ")</f>
        <v xml:space="preserve"> </v>
      </c>
      <c r="P445" s="85" t="str" cm="1">
        <f t="array" ref="P445">IFERROR(VLOOKUP($A445,'The List'!$B1:$AS671,23,FALSE)," ")</f>
        <v xml:space="preserve"> </v>
      </c>
      <c r="Q445" s="85" t="str" cm="1">
        <f t="array" ref="Q445">IFERROR(VLOOKUP($A445,'The List'!$B1:$AS671,24,FALSE)," ")</f>
        <v xml:space="preserve"> </v>
      </c>
      <c r="R445" s="85" t="str" cm="1">
        <f t="array" ref="R445">IFERROR(VLOOKUP($A445,'The List'!$B1:$AS671,25,FALSE)," ")</f>
        <v xml:space="preserve"> </v>
      </c>
      <c r="S445" s="85" t="str" cm="1">
        <f t="array" ref="S445">IFERROR(VLOOKUP($A445,'The List'!$B1:$AS671,26,FALSE)," ")</f>
        <v xml:space="preserve"> </v>
      </c>
      <c r="T445" s="85" t="str" cm="1">
        <f t="array" ref="T445">IFERROR(VLOOKUP($A445,'The List'!$B1:$AS671,27,FALSE)," ")</f>
        <v xml:space="preserve"> </v>
      </c>
      <c r="U445" s="85" t="str" cm="1">
        <f t="array" ref="U445">IFERROR(VLOOKUP($A445,'The List'!$B1:$AS671,28,FALSE)," ")</f>
        <v xml:space="preserve"> </v>
      </c>
      <c r="V445" s="85" t="str" cm="1">
        <f t="array" ref="V445">IFERROR(VLOOKUP($A445,'The List'!$B1:$AS671,29,FALSE)," ")</f>
        <v xml:space="preserve"> </v>
      </c>
      <c r="W445" s="85" t="str" cm="1">
        <f t="array" ref="W445">IFERROR(VLOOKUP($A445,'The List'!$B1:$AS671,30,FALSE)," ")</f>
        <v xml:space="preserve"> </v>
      </c>
      <c r="X445" s="85" t="str" cm="1">
        <f t="array" ref="X445">IFERROR(VLOOKUP($A445,'The List'!$B1:$AS671,31,FALSE)," ")</f>
        <v xml:space="preserve"> </v>
      </c>
      <c r="Y445" s="85" t="str" cm="1">
        <f t="array" ref="Y445">IFERROR(VLOOKUP($A445,'The List'!$B1:$AS671,32,FALSE)," ")</f>
        <v xml:space="preserve"> </v>
      </c>
      <c r="Z445" s="85" t="str" cm="1">
        <f t="array" ref="Z445">IFERROR(VLOOKUP($A445,'The List'!$B1:$AS671,33,FALSE)," ")</f>
        <v xml:space="preserve"> </v>
      </c>
      <c r="AA445" s="86"/>
      <c r="AB445" s="91"/>
      <c r="AC445" s="91"/>
      <c r="AD445" s="91"/>
      <c r="AE445" s="91"/>
      <c r="AF445" s="91"/>
    </row>
    <row r="446" spans="1:32" ht="21.25" customHeight="1" x14ac:dyDescent="0.15">
      <c r="A446" s="24"/>
      <c r="B446" s="97" t="str" cm="1">
        <f t="array" ref="B446">IFERROR(VLOOKUP($A446,'The List'!$B1:$AS671,3,FALSE)," ")</f>
        <v xml:space="preserve"> </v>
      </c>
      <c r="C446" s="99" t="str" cm="1">
        <f t="array" ref="C446">IFERROR(VLOOKUP($A446,'The List'!$B1:$AS671,4,FALSE)," ")</f>
        <v xml:space="preserve"> </v>
      </c>
      <c r="D446" s="18" t="str" cm="1">
        <f t="array" ref="D446">IFERROR(VLOOKUP($A446,'The List'!$B1:$AS671,5,FALSE)," ")</f>
        <v xml:space="preserve"> </v>
      </c>
      <c r="E446" s="18" t="str" cm="1">
        <f t="array" ref="E446">IFERROR(VLOOKUP($A446,'The List'!$B1:$AS671,6,FALSE)," ")</f>
        <v xml:space="preserve"> </v>
      </c>
      <c r="F446" s="93" t="str" cm="1">
        <f t="array" ref="F446">IFERROR(VLOOKUP($A446,'The List'!$B1:$AS671,8,FALSE)," ")</f>
        <v xml:space="preserve"> </v>
      </c>
      <c r="G446" s="93" t="str" cm="1">
        <f t="array" ref="G446">IFERROR(VLOOKUP($A446,'The List'!$B1:$AS671,10,FALSE)," ")</f>
        <v xml:space="preserve"> </v>
      </c>
      <c r="H446" s="55"/>
      <c r="I446" s="85" t="str" cm="1">
        <f t="array" ref="I446">IFERROR(VLOOKUP($A446,'The List'!$B1:$AS671,16,FALSE)," ")</f>
        <v xml:space="preserve"> </v>
      </c>
      <c r="J446" s="85" t="str" cm="1">
        <f t="array" ref="J446">IFERROR(VLOOKUP($A446,'The List'!$B1:$AS671,17,FALSE)," ")</f>
        <v xml:space="preserve"> </v>
      </c>
      <c r="K446" s="85" t="str" cm="1">
        <f t="array" ref="K446">IFERROR(VLOOKUP($A446,'The List'!$B1:$AS671,18,FALSE)," ")</f>
        <v xml:space="preserve"> </v>
      </c>
      <c r="L446" s="85" t="str" cm="1">
        <f t="array" ref="L446">IFERROR(VLOOKUP($A446,'The List'!$B1:$AS671,19,FALSE)," ")</f>
        <v xml:space="preserve"> </v>
      </c>
      <c r="M446" s="85" t="str" cm="1">
        <f t="array" ref="M446">IFERROR(VLOOKUP($A446,'The List'!$B1:$AS671,20,FALSE)," ")</f>
        <v xml:space="preserve"> </v>
      </c>
      <c r="N446" s="85" t="str" cm="1">
        <f t="array" ref="N446">IFERROR(VLOOKUP($A446,'The List'!$B1:$AS671,21,FALSE)," ")</f>
        <v xml:space="preserve"> </v>
      </c>
      <c r="O446" s="85" t="str" cm="1">
        <f t="array" ref="O446">IFERROR(VLOOKUP($A446,'The List'!$B1:$AS671,22,FALSE)," ")</f>
        <v xml:space="preserve"> </v>
      </c>
      <c r="P446" s="85" t="str" cm="1">
        <f t="array" ref="P446">IFERROR(VLOOKUP($A446,'The List'!$B1:$AS671,23,FALSE)," ")</f>
        <v xml:space="preserve"> </v>
      </c>
      <c r="Q446" s="85" t="str" cm="1">
        <f t="array" ref="Q446">IFERROR(VLOOKUP($A446,'The List'!$B1:$AS671,24,FALSE)," ")</f>
        <v xml:space="preserve"> </v>
      </c>
      <c r="R446" s="85" t="str" cm="1">
        <f t="array" ref="R446">IFERROR(VLOOKUP($A446,'The List'!$B1:$AS671,25,FALSE)," ")</f>
        <v xml:space="preserve"> </v>
      </c>
      <c r="S446" s="85" t="str" cm="1">
        <f t="array" ref="S446">IFERROR(VLOOKUP($A446,'The List'!$B1:$AS671,26,FALSE)," ")</f>
        <v xml:space="preserve"> </v>
      </c>
      <c r="T446" s="85" t="str" cm="1">
        <f t="array" ref="T446">IFERROR(VLOOKUP($A446,'The List'!$B1:$AS671,27,FALSE)," ")</f>
        <v xml:space="preserve"> </v>
      </c>
      <c r="U446" s="85" t="str" cm="1">
        <f t="array" ref="U446">IFERROR(VLOOKUP($A446,'The List'!$B1:$AS671,28,FALSE)," ")</f>
        <v xml:space="preserve"> </v>
      </c>
      <c r="V446" s="85" t="str" cm="1">
        <f t="array" ref="V446">IFERROR(VLOOKUP($A446,'The List'!$B1:$AS671,29,FALSE)," ")</f>
        <v xml:space="preserve"> </v>
      </c>
      <c r="W446" s="85" t="str" cm="1">
        <f t="array" ref="W446">IFERROR(VLOOKUP($A446,'The List'!$B1:$AS671,30,FALSE)," ")</f>
        <v xml:space="preserve"> </v>
      </c>
      <c r="X446" s="85" t="str" cm="1">
        <f t="array" ref="X446">IFERROR(VLOOKUP($A446,'The List'!$B1:$AS671,31,FALSE)," ")</f>
        <v xml:space="preserve"> </v>
      </c>
      <c r="Y446" s="85" t="str" cm="1">
        <f t="array" ref="Y446">IFERROR(VLOOKUP($A446,'The List'!$B1:$AS671,32,FALSE)," ")</f>
        <v xml:space="preserve"> </v>
      </c>
      <c r="Z446" s="85" t="str" cm="1">
        <f t="array" ref="Z446">IFERROR(VLOOKUP($A446,'The List'!$B1:$AS671,33,FALSE)," ")</f>
        <v xml:space="preserve"> </v>
      </c>
      <c r="AA446" s="86"/>
      <c r="AB446" s="91"/>
      <c r="AC446" s="91"/>
      <c r="AD446" s="91"/>
      <c r="AE446" s="91"/>
      <c r="AF446" s="91"/>
    </row>
    <row r="447" spans="1:32" ht="21.25" customHeight="1" x14ac:dyDescent="0.15">
      <c r="A447" s="24"/>
      <c r="B447" s="97" t="str" cm="1">
        <f t="array" ref="B447">IFERROR(VLOOKUP($A447,'The List'!$B1:$AS671,3,FALSE)," ")</f>
        <v xml:space="preserve"> </v>
      </c>
      <c r="C447" s="99" t="str" cm="1">
        <f t="array" ref="C447">IFERROR(VLOOKUP($A447,'The List'!$B1:$AS671,4,FALSE)," ")</f>
        <v xml:space="preserve"> </v>
      </c>
      <c r="D447" s="18" t="str" cm="1">
        <f t="array" ref="D447">IFERROR(VLOOKUP($A447,'The List'!$B1:$AS671,5,FALSE)," ")</f>
        <v xml:space="preserve"> </v>
      </c>
      <c r="E447" s="18" t="str" cm="1">
        <f t="array" ref="E447">IFERROR(VLOOKUP($A447,'The List'!$B1:$AS671,6,FALSE)," ")</f>
        <v xml:space="preserve"> </v>
      </c>
      <c r="F447" s="93" t="str" cm="1">
        <f t="array" ref="F447">IFERROR(VLOOKUP($A447,'The List'!$B1:$AS671,8,FALSE)," ")</f>
        <v xml:space="preserve"> </v>
      </c>
      <c r="G447" s="93" t="str" cm="1">
        <f t="array" ref="G447">IFERROR(VLOOKUP($A447,'The List'!$B1:$AS671,10,FALSE)," ")</f>
        <v xml:space="preserve"> </v>
      </c>
      <c r="H447" s="55"/>
      <c r="I447" s="85" t="str" cm="1">
        <f t="array" ref="I447">IFERROR(VLOOKUP($A447,'The List'!$B1:$AS671,16,FALSE)," ")</f>
        <v xml:space="preserve"> </v>
      </c>
      <c r="J447" s="85" t="str" cm="1">
        <f t="array" ref="J447">IFERROR(VLOOKUP($A447,'The List'!$B1:$AS671,17,FALSE)," ")</f>
        <v xml:space="preserve"> </v>
      </c>
      <c r="K447" s="85" t="str" cm="1">
        <f t="array" ref="K447">IFERROR(VLOOKUP($A447,'The List'!$B1:$AS671,18,FALSE)," ")</f>
        <v xml:space="preserve"> </v>
      </c>
      <c r="L447" s="85" t="str" cm="1">
        <f t="array" ref="L447">IFERROR(VLOOKUP($A447,'The List'!$B1:$AS671,19,FALSE)," ")</f>
        <v xml:space="preserve"> </v>
      </c>
      <c r="M447" s="85" t="str" cm="1">
        <f t="array" ref="M447">IFERROR(VLOOKUP($A447,'The List'!$B1:$AS671,20,FALSE)," ")</f>
        <v xml:space="preserve"> </v>
      </c>
      <c r="N447" s="85" t="str" cm="1">
        <f t="array" ref="N447">IFERROR(VLOOKUP($A447,'The List'!$B1:$AS671,21,FALSE)," ")</f>
        <v xml:space="preserve"> </v>
      </c>
      <c r="O447" s="85" t="str" cm="1">
        <f t="array" ref="O447">IFERROR(VLOOKUP($A447,'The List'!$B1:$AS671,22,FALSE)," ")</f>
        <v xml:space="preserve"> </v>
      </c>
      <c r="P447" s="85" t="str" cm="1">
        <f t="array" ref="P447">IFERROR(VLOOKUP($A447,'The List'!$B1:$AS671,23,FALSE)," ")</f>
        <v xml:space="preserve"> </v>
      </c>
      <c r="Q447" s="85" t="str" cm="1">
        <f t="array" ref="Q447">IFERROR(VLOOKUP($A447,'The List'!$B1:$AS671,24,FALSE)," ")</f>
        <v xml:space="preserve"> </v>
      </c>
      <c r="R447" s="85" t="str" cm="1">
        <f t="array" ref="R447">IFERROR(VLOOKUP($A447,'The List'!$B1:$AS671,25,FALSE)," ")</f>
        <v xml:space="preserve"> </v>
      </c>
      <c r="S447" s="85" t="str" cm="1">
        <f t="array" ref="S447">IFERROR(VLOOKUP($A447,'The List'!$B1:$AS671,26,FALSE)," ")</f>
        <v xml:space="preserve"> </v>
      </c>
      <c r="T447" s="85" t="str" cm="1">
        <f t="array" ref="T447">IFERROR(VLOOKUP($A447,'The List'!$B1:$AS671,27,FALSE)," ")</f>
        <v xml:space="preserve"> </v>
      </c>
      <c r="U447" s="85" t="str" cm="1">
        <f t="array" ref="U447">IFERROR(VLOOKUP($A447,'The List'!$B1:$AS671,28,FALSE)," ")</f>
        <v xml:space="preserve"> </v>
      </c>
      <c r="V447" s="85" t="str" cm="1">
        <f t="array" ref="V447">IFERROR(VLOOKUP($A447,'The List'!$B1:$AS671,29,FALSE)," ")</f>
        <v xml:space="preserve"> </v>
      </c>
      <c r="W447" s="85" t="str" cm="1">
        <f t="array" ref="W447">IFERROR(VLOOKUP($A447,'The List'!$B1:$AS671,30,FALSE)," ")</f>
        <v xml:space="preserve"> </v>
      </c>
      <c r="X447" s="85" t="str" cm="1">
        <f t="array" ref="X447">IFERROR(VLOOKUP($A447,'The List'!$B1:$AS671,31,FALSE)," ")</f>
        <v xml:space="preserve"> </v>
      </c>
      <c r="Y447" s="85" t="str" cm="1">
        <f t="array" ref="Y447">IFERROR(VLOOKUP($A447,'The List'!$B1:$AS671,32,FALSE)," ")</f>
        <v xml:space="preserve"> </v>
      </c>
      <c r="Z447" s="85" t="str" cm="1">
        <f t="array" ref="Z447">IFERROR(VLOOKUP($A447,'The List'!$B1:$AS671,33,FALSE)," ")</f>
        <v xml:space="preserve"> </v>
      </c>
      <c r="AA447" s="86"/>
      <c r="AB447" s="91"/>
      <c r="AC447" s="91"/>
      <c r="AD447" s="91"/>
      <c r="AE447" s="91"/>
      <c r="AF447" s="91"/>
    </row>
    <row r="448" spans="1:32" ht="21.25" customHeight="1" x14ac:dyDescent="0.15">
      <c r="A448" s="24"/>
      <c r="B448" s="97" t="str" cm="1">
        <f t="array" ref="B448">IFERROR(VLOOKUP($A448,'The List'!$B1:$AS671,3,FALSE)," ")</f>
        <v xml:space="preserve"> </v>
      </c>
      <c r="C448" s="99" t="str" cm="1">
        <f t="array" ref="C448">IFERROR(VLOOKUP($A448,'The List'!$B1:$AS671,4,FALSE)," ")</f>
        <v xml:space="preserve"> </v>
      </c>
      <c r="D448" s="18" t="str" cm="1">
        <f t="array" ref="D448">IFERROR(VLOOKUP($A448,'The List'!$B1:$AS671,5,FALSE)," ")</f>
        <v xml:space="preserve"> </v>
      </c>
      <c r="E448" s="18" t="str" cm="1">
        <f t="array" ref="E448">IFERROR(VLOOKUP($A448,'The List'!$B1:$AS671,6,FALSE)," ")</f>
        <v xml:space="preserve"> </v>
      </c>
      <c r="F448" s="93" t="str" cm="1">
        <f t="array" ref="F448">IFERROR(VLOOKUP($A448,'The List'!$B1:$AS671,8,FALSE)," ")</f>
        <v xml:space="preserve"> </v>
      </c>
      <c r="G448" s="93" t="str" cm="1">
        <f t="array" ref="G448">IFERROR(VLOOKUP($A448,'The List'!$B1:$AS671,10,FALSE)," ")</f>
        <v xml:space="preserve"> </v>
      </c>
      <c r="H448" s="55"/>
      <c r="I448" s="85" t="str" cm="1">
        <f t="array" ref="I448">IFERROR(VLOOKUP($A448,'The List'!$B1:$AS671,16,FALSE)," ")</f>
        <v xml:space="preserve"> </v>
      </c>
      <c r="J448" s="85" t="str" cm="1">
        <f t="array" ref="J448">IFERROR(VLOOKUP($A448,'The List'!$B1:$AS671,17,FALSE)," ")</f>
        <v xml:space="preserve"> </v>
      </c>
      <c r="K448" s="85" t="str" cm="1">
        <f t="array" ref="K448">IFERROR(VLOOKUP($A448,'The List'!$B1:$AS671,18,FALSE)," ")</f>
        <v xml:space="preserve"> </v>
      </c>
      <c r="L448" s="85" t="str" cm="1">
        <f t="array" ref="L448">IFERROR(VLOOKUP($A448,'The List'!$B1:$AS671,19,FALSE)," ")</f>
        <v xml:space="preserve"> </v>
      </c>
      <c r="M448" s="85" t="str" cm="1">
        <f t="array" ref="M448">IFERROR(VLOOKUP($A448,'The List'!$B1:$AS671,20,FALSE)," ")</f>
        <v xml:space="preserve"> </v>
      </c>
      <c r="N448" s="85" t="str" cm="1">
        <f t="array" ref="N448">IFERROR(VLOOKUP($A448,'The List'!$B1:$AS671,21,FALSE)," ")</f>
        <v xml:space="preserve"> </v>
      </c>
      <c r="O448" s="85" t="str" cm="1">
        <f t="array" ref="O448">IFERROR(VLOOKUP($A448,'The List'!$B1:$AS671,22,FALSE)," ")</f>
        <v xml:space="preserve"> </v>
      </c>
      <c r="P448" s="85" t="str" cm="1">
        <f t="array" ref="P448">IFERROR(VLOOKUP($A448,'The List'!$B1:$AS671,23,FALSE)," ")</f>
        <v xml:space="preserve"> </v>
      </c>
      <c r="Q448" s="85" t="str" cm="1">
        <f t="array" ref="Q448">IFERROR(VLOOKUP($A448,'The List'!$B1:$AS671,24,FALSE)," ")</f>
        <v xml:space="preserve"> </v>
      </c>
      <c r="R448" s="85" t="str" cm="1">
        <f t="array" ref="R448">IFERROR(VLOOKUP($A448,'The List'!$B1:$AS671,25,FALSE)," ")</f>
        <v xml:space="preserve"> </v>
      </c>
      <c r="S448" s="85" t="str" cm="1">
        <f t="array" ref="S448">IFERROR(VLOOKUP($A448,'The List'!$B1:$AS671,26,FALSE)," ")</f>
        <v xml:space="preserve"> </v>
      </c>
      <c r="T448" s="85" t="str" cm="1">
        <f t="array" ref="T448">IFERROR(VLOOKUP($A448,'The List'!$B1:$AS671,27,FALSE)," ")</f>
        <v xml:space="preserve"> </v>
      </c>
      <c r="U448" s="85" t="str" cm="1">
        <f t="array" ref="U448">IFERROR(VLOOKUP($A448,'The List'!$B1:$AS671,28,FALSE)," ")</f>
        <v xml:space="preserve"> </v>
      </c>
      <c r="V448" s="85" t="str" cm="1">
        <f t="array" ref="V448">IFERROR(VLOOKUP($A448,'The List'!$B1:$AS671,29,FALSE)," ")</f>
        <v xml:space="preserve"> </v>
      </c>
      <c r="W448" s="85" t="str" cm="1">
        <f t="array" ref="W448">IFERROR(VLOOKUP($A448,'The List'!$B1:$AS671,30,FALSE)," ")</f>
        <v xml:space="preserve"> </v>
      </c>
      <c r="X448" s="85" t="str" cm="1">
        <f t="array" ref="X448">IFERROR(VLOOKUP($A448,'The List'!$B1:$AS671,31,FALSE)," ")</f>
        <v xml:space="preserve"> </v>
      </c>
      <c r="Y448" s="85" t="str" cm="1">
        <f t="array" ref="Y448">IFERROR(VLOOKUP($A448,'The List'!$B1:$AS671,32,FALSE)," ")</f>
        <v xml:space="preserve"> </v>
      </c>
      <c r="Z448" s="85" t="str" cm="1">
        <f t="array" ref="Z448">IFERROR(VLOOKUP($A448,'The List'!$B1:$AS671,33,FALSE)," ")</f>
        <v xml:space="preserve"> </v>
      </c>
      <c r="AA448" s="86"/>
      <c r="AB448" s="91"/>
      <c r="AC448" s="91"/>
      <c r="AD448" s="91"/>
      <c r="AE448" s="91"/>
      <c r="AF448" s="91"/>
    </row>
    <row r="449" spans="1:32" ht="21.25" customHeight="1" x14ac:dyDescent="0.15">
      <c r="A449" s="24"/>
      <c r="B449" s="100" t="str" cm="1">
        <f t="array" ref="B449">IFERROR(VLOOKUP($A449,'The List'!$B1:$AS671,3,FALSE)," ")</f>
        <v xml:space="preserve"> </v>
      </c>
      <c r="C449" s="102" t="str" cm="1">
        <f t="array" ref="C449">IFERROR(VLOOKUP($A449,'The List'!$B1:$AS671,4,FALSE)," ")</f>
        <v xml:space="preserve"> </v>
      </c>
      <c r="D449" s="18" t="str" cm="1">
        <f t="array" ref="D449">IFERROR(VLOOKUP($A449,'The List'!$B1:$AS671,5,FALSE)," ")</f>
        <v xml:space="preserve"> </v>
      </c>
      <c r="E449" s="18" t="str" cm="1">
        <f t="array" ref="E449">IFERROR(VLOOKUP($A449,'The List'!$B1:$AS671,6,FALSE)," ")</f>
        <v xml:space="preserve"> </v>
      </c>
      <c r="F449" s="93" t="str" cm="1">
        <f t="array" ref="F449">IFERROR(VLOOKUP($A449,'The List'!$B1:$AS671,8,FALSE)," ")</f>
        <v xml:space="preserve"> </v>
      </c>
      <c r="G449" s="93" t="str" cm="1">
        <f t="array" ref="G449">IFERROR(VLOOKUP($A449,'The List'!$B1:$AS671,10,FALSE)," ")</f>
        <v xml:space="preserve"> </v>
      </c>
      <c r="H449" s="55"/>
      <c r="I449" s="85" t="str" cm="1">
        <f t="array" ref="I449">IFERROR(VLOOKUP($A449,'The List'!$B1:$AS671,16,FALSE)," ")</f>
        <v xml:space="preserve"> </v>
      </c>
      <c r="J449" s="85" t="str" cm="1">
        <f t="array" ref="J449">IFERROR(VLOOKUP($A449,'The List'!$B1:$AS671,17,FALSE)," ")</f>
        <v xml:space="preserve"> </v>
      </c>
      <c r="K449" s="85" t="str" cm="1">
        <f t="array" ref="K449">IFERROR(VLOOKUP($A449,'The List'!$B1:$AS671,18,FALSE)," ")</f>
        <v xml:space="preserve"> </v>
      </c>
      <c r="L449" s="85" t="str" cm="1">
        <f t="array" ref="L449">IFERROR(VLOOKUP($A449,'The List'!$B1:$AS671,19,FALSE)," ")</f>
        <v xml:space="preserve"> </v>
      </c>
      <c r="M449" s="85" t="str" cm="1">
        <f t="array" ref="M449">IFERROR(VLOOKUP($A449,'The List'!$B1:$AS671,20,FALSE)," ")</f>
        <v xml:space="preserve"> </v>
      </c>
      <c r="N449" s="85" t="str" cm="1">
        <f t="array" ref="N449">IFERROR(VLOOKUP($A449,'The List'!$B1:$AS671,21,FALSE)," ")</f>
        <v xml:space="preserve"> </v>
      </c>
      <c r="O449" s="85" t="str" cm="1">
        <f t="array" ref="O449">IFERROR(VLOOKUP($A449,'The List'!$B1:$AS671,22,FALSE)," ")</f>
        <v xml:space="preserve"> </v>
      </c>
      <c r="P449" s="85" t="str" cm="1">
        <f t="array" ref="P449">IFERROR(VLOOKUP($A449,'The List'!$B1:$AS671,23,FALSE)," ")</f>
        <v xml:space="preserve"> </v>
      </c>
      <c r="Q449" s="85" t="str" cm="1">
        <f t="array" ref="Q449">IFERROR(VLOOKUP($A449,'The List'!$B1:$AS671,24,FALSE)," ")</f>
        <v xml:space="preserve"> </v>
      </c>
      <c r="R449" s="85" t="str" cm="1">
        <f t="array" ref="R449">IFERROR(VLOOKUP($A449,'The List'!$B1:$AS671,25,FALSE)," ")</f>
        <v xml:space="preserve"> </v>
      </c>
      <c r="S449" s="85" t="str" cm="1">
        <f t="array" ref="S449">IFERROR(VLOOKUP($A449,'The List'!$B1:$AS671,26,FALSE)," ")</f>
        <v xml:space="preserve"> </v>
      </c>
      <c r="T449" s="85" t="str" cm="1">
        <f t="array" ref="T449">IFERROR(VLOOKUP($A449,'The List'!$B1:$AS671,27,FALSE)," ")</f>
        <v xml:space="preserve"> </v>
      </c>
      <c r="U449" s="85" t="str" cm="1">
        <f t="array" ref="U449">IFERROR(VLOOKUP($A449,'The List'!$B1:$AS671,28,FALSE)," ")</f>
        <v xml:space="preserve"> </v>
      </c>
      <c r="V449" s="85" t="str" cm="1">
        <f t="array" ref="V449">IFERROR(VLOOKUP($A449,'The List'!$B1:$AS671,29,FALSE)," ")</f>
        <v xml:space="preserve"> </v>
      </c>
      <c r="W449" s="85" t="str" cm="1">
        <f t="array" ref="W449">IFERROR(VLOOKUP($A449,'The List'!$B1:$AS671,30,FALSE)," ")</f>
        <v xml:space="preserve"> </v>
      </c>
      <c r="X449" s="85" t="str" cm="1">
        <f t="array" ref="X449">IFERROR(VLOOKUP($A449,'The List'!$B1:$AS671,31,FALSE)," ")</f>
        <v xml:space="preserve"> </v>
      </c>
      <c r="Y449" s="85" t="str" cm="1">
        <f t="array" ref="Y449">IFERROR(VLOOKUP($A449,'The List'!$B1:$AS671,32,FALSE)," ")</f>
        <v xml:space="preserve"> </v>
      </c>
      <c r="Z449" s="85" t="str" cm="1">
        <f t="array" ref="Z449">IFERROR(VLOOKUP($A449,'The List'!$B1:$AS671,33,FALSE)," ")</f>
        <v xml:space="preserve"> </v>
      </c>
      <c r="AA449" s="86"/>
      <c r="AB449" s="91"/>
      <c r="AC449" s="91"/>
      <c r="AD449" s="91"/>
      <c r="AE449" s="91"/>
      <c r="AF449" s="91"/>
    </row>
    <row r="450" spans="1:32" ht="21.25" customHeight="1" x14ac:dyDescent="0.15">
      <c r="A450" s="24"/>
      <c r="B450" s="100" t="str" cm="1">
        <f t="array" ref="B450">IFERROR(VLOOKUP($A450,'The List'!$B1:$AS671,3,FALSE)," ")</f>
        <v xml:space="preserve"> </v>
      </c>
      <c r="C450" s="102" t="str" cm="1">
        <f t="array" ref="C450">IFERROR(VLOOKUP($A450,'The List'!$B1:$AS671,4,FALSE)," ")</f>
        <v xml:space="preserve"> </v>
      </c>
      <c r="D450" s="18" t="str" cm="1">
        <f t="array" ref="D450">IFERROR(VLOOKUP($A450,'The List'!$B1:$AS671,5,FALSE)," ")</f>
        <v xml:space="preserve"> </v>
      </c>
      <c r="E450" s="18" t="str" cm="1">
        <f t="array" ref="E450">IFERROR(VLOOKUP($A450,'The List'!$B1:$AS671,6,FALSE)," ")</f>
        <v xml:space="preserve"> </v>
      </c>
      <c r="F450" s="93" t="str" cm="1">
        <f t="array" ref="F450">IFERROR(VLOOKUP($A450,'The List'!$B1:$AS671,8,FALSE)," ")</f>
        <v xml:space="preserve"> </v>
      </c>
      <c r="G450" s="93" t="str" cm="1">
        <f t="array" ref="G450">IFERROR(VLOOKUP($A450,'The List'!$B1:$AS671,10,FALSE)," ")</f>
        <v xml:space="preserve"> </v>
      </c>
      <c r="H450" s="55"/>
      <c r="I450" s="85" t="str" cm="1">
        <f t="array" ref="I450">IFERROR(VLOOKUP($A450,'The List'!$B1:$AS671,16,FALSE)," ")</f>
        <v xml:space="preserve"> </v>
      </c>
      <c r="J450" s="85" t="str" cm="1">
        <f t="array" ref="J450">IFERROR(VLOOKUP($A450,'The List'!$B1:$AS671,17,FALSE)," ")</f>
        <v xml:space="preserve"> </v>
      </c>
      <c r="K450" s="85" t="str" cm="1">
        <f t="array" ref="K450">IFERROR(VLOOKUP($A450,'The List'!$B1:$AS671,18,FALSE)," ")</f>
        <v xml:space="preserve"> </v>
      </c>
      <c r="L450" s="85" t="str" cm="1">
        <f t="array" ref="L450">IFERROR(VLOOKUP($A450,'The List'!$B1:$AS671,19,FALSE)," ")</f>
        <v xml:space="preserve"> </v>
      </c>
      <c r="M450" s="85" t="str" cm="1">
        <f t="array" ref="M450">IFERROR(VLOOKUP($A450,'The List'!$B1:$AS671,20,FALSE)," ")</f>
        <v xml:space="preserve"> </v>
      </c>
      <c r="N450" s="85" t="str" cm="1">
        <f t="array" ref="N450">IFERROR(VLOOKUP($A450,'The List'!$B1:$AS671,21,FALSE)," ")</f>
        <v xml:space="preserve"> </v>
      </c>
      <c r="O450" s="85" t="str" cm="1">
        <f t="array" ref="O450">IFERROR(VLOOKUP($A450,'The List'!$B1:$AS671,22,FALSE)," ")</f>
        <v xml:space="preserve"> </v>
      </c>
      <c r="P450" s="85" t="str" cm="1">
        <f t="array" ref="P450">IFERROR(VLOOKUP($A450,'The List'!$B1:$AS671,23,FALSE)," ")</f>
        <v xml:space="preserve"> </v>
      </c>
      <c r="Q450" s="85" t="str" cm="1">
        <f t="array" ref="Q450">IFERROR(VLOOKUP($A450,'The List'!$B1:$AS671,24,FALSE)," ")</f>
        <v xml:space="preserve"> </v>
      </c>
      <c r="R450" s="85" t="str" cm="1">
        <f t="array" ref="R450">IFERROR(VLOOKUP($A450,'The List'!$B1:$AS671,25,FALSE)," ")</f>
        <v xml:space="preserve"> </v>
      </c>
      <c r="S450" s="85" t="str" cm="1">
        <f t="array" ref="S450">IFERROR(VLOOKUP($A450,'The List'!$B1:$AS671,26,FALSE)," ")</f>
        <v xml:space="preserve"> </v>
      </c>
      <c r="T450" s="85" t="str" cm="1">
        <f t="array" ref="T450">IFERROR(VLOOKUP($A450,'The List'!$B1:$AS671,27,FALSE)," ")</f>
        <v xml:space="preserve"> </v>
      </c>
      <c r="U450" s="85" t="str" cm="1">
        <f t="array" ref="U450">IFERROR(VLOOKUP($A450,'The List'!$B1:$AS671,28,FALSE)," ")</f>
        <v xml:space="preserve"> </v>
      </c>
      <c r="V450" s="85" t="str" cm="1">
        <f t="array" ref="V450">IFERROR(VLOOKUP($A450,'The List'!$B1:$AS671,29,FALSE)," ")</f>
        <v xml:space="preserve"> </v>
      </c>
      <c r="W450" s="85" t="str" cm="1">
        <f t="array" ref="W450">IFERROR(VLOOKUP($A450,'The List'!$B1:$AS671,30,FALSE)," ")</f>
        <v xml:space="preserve"> </v>
      </c>
      <c r="X450" s="85" t="str" cm="1">
        <f t="array" ref="X450">IFERROR(VLOOKUP($A450,'The List'!$B1:$AS671,31,FALSE)," ")</f>
        <v xml:space="preserve"> </v>
      </c>
      <c r="Y450" s="85" t="str" cm="1">
        <f t="array" ref="Y450">IFERROR(VLOOKUP($A450,'The List'!$B1:$AS671,32,FALSE)," ")</f>
        <v xml:space="preserve"> </v>
      </c>
      <c r="Z450" s="85" t="str" cm="1">
        <f t="array" ref="Z450">IFERROR(VLOOKUP($A450,'The List'!$B1:$AS671,33,FALSE)," ")</f>
        <v xml:space="preserve"> </v>
      </c>
      <c r="AA450" s="86"/>
      <c r="AB450" s="91"/>
      <c r="AC450" s="91"/>
      <c r="AD450" s="91"/>
      <c r="AE450" s="91"/>
      <c r="AF450" s="91"/>
    </row>
    <row r="451" spans="1:32" ht="21.25" customHeight="1" x14ac:dyDescent="0.15">
      <c r="A451" s="24"/>
      <c r="B451" s="100" t="str" cm="1">
        <f t="array" ref="B451">IFERROR(VLOOKUP($A451,'The List'!$B1:$AS671,3,FALSE)," ")</f>
        <v xml:space="preserve"> </v>
      </c>
      <c r="C451" s="102" t="str" cm="1">
        <f t="array" ref="C451">IFERROR(VLOOKUP($A451,'The List'!$B1:$AS671,4,FALSE)," ")</f>
        <v xml:space="preserve"> </v>
      </c>
      <c r="D451" s="18" t="str" cm="1">
        <f t="array" ref="D451">IFERROR(VLOOKUP($A451,'The List'!$B1:$AS671,5,FALSE)," ")</f>
        <v xml:space="preserve"> </v>
      </c>
      <c r="E451" s="18" t="str" cm="1">
        <f t="array" ref="E451">IFERROR(VLOOKUP($A451,'The List'!$B1:$AS671,6,FALSE)," ")</f>
        <v xml:space="preserve"> </v>
      </c>
      <c r="F451" s="93" t="str" cm="1">
        <f t="array" ref="F451">IFERROR(VLOOKUP($A451,'The List'!$B1:$AS671,8,FALSE)," ")</f>
        <v xml:space="preserve"> </v>
      </c>
      <c r="G451" s="93" t="str" cm="1">
        <f t="array" ref="G451">IFERROR(VLOOKUP($A451,'The List'!$B1:$AS671,10,FALSE)," ")</f>
        <v xml:space="preserve"> </v>
      </c>
      <c r="H451" s="55"/>
      <c r="I451" s="85" t="str" cm="1">
        <f t="array" ref="I451">IFERROR(VLOOKUP($A451,'The List'!$B1:$AS671,16,FALSE)," ")</f>
        <v xml:space="preserve"> </v>
      </c>
      <c r="J451" s="85" t="str" cm="1">
        <f t="array" ref="J451">IFERROR(VLOOKUP($A451,'The List'!$B1:$AS671,17,FALSE)," ")</f>
        <v xml:space="preserve"> </v>
      </c>
      <c r="K451" s="85" t="str" cm="1">
        <f t="array" ref="K451">IFERROR(VLOOKUP($A451,'The List'!$B1:$AS671,18,FALSE)," ")</f>
        <v xml:space="preserve"> </v>
      </c>
      <c r="L451" s="85" t="str" cm="1">
        <f t="array" ref="L451">IFERROR(VLOOKUP($A451,'The List'!$B1:$AS671,19,FALSE)," ")</f>
        <v xml:space="preserve"> </v>
      </c>
      <c r="M451" s="85" t="str" cm="1">
        <f t="array" ref="M451">IFERROR(VLOOKUP($A451,'The List'!$B1:$AS671,20,FALSE)," ")</f>
        <v xml:space="preserve"> </v>
      </c>
      <c r="N451" s="85" t="str" cm="1">
        <f t="array" ref="N451">IFERROR(VLOOKUP($A451,'The List'!$B1:$AS671,21,FALSE)," ")</f>
        <v xml:space="preserve"> </v>
      </c>
      <c r="O451" s="85" t="str" cm="1">
        <f t="array" ref="O451">IFERROR(VLOOKUP($A451,'The List'!$B1:$AS671,22,FALSE)," ")</f>
        <v xml:space="preserve"> </v>
      </c>
      <c r="P451" s="85" t="str" cm="1">
        <f t="array" ref="P451">IFERROR(VLOOKUP($A451,'The List'!$B1:$AS671,23,FALSE)," ")</f>
        <v xml:space="preserve"> </v>
      </c>
      <c r="Q451" s="85" t="str" cm="1">
        <f t="array" ref="Q451">IFERROR(VLOOKUP($A451,'The List'!$B1:$AS671,24,FALSE)," ")</f>
        <v xml:space="preserve"> </v>
      </c>
      <c r="R451" s="85" t="str" cm="1">
        <f t="array" ref="R451">IFERROR(VLOOKUP($A451,'The List'!$B1:$AS671,25,FALSE)," ")</f>
        <v xml:space="preserve"> </v>
      </c>
      <c r="S451" s="85" t="str" cm="1">
        <f t="array" ref="S451">IFERROR(VLOOKUP($A451,'The List'!$B1:$AS671,26,FALSE)," ")</f>
        <v xml:space="preserve"> </v>
      </c>
      <c r="T451" s="85" t="str" cm="1">
        <f t="array" ref="T451">IFERROR(VLOOKUP($A451,'The List'!$B1:$AS671,27,FALSE)," ")</f>
        <v xml:space="preserve"> </v>
      </c>
      <c r="U451" s="85" t="str" cm="1">
        <f t="array" ref="U451">IFERROR(VLOOKUP($A451,'The List'!$B1:$AS671,28,FALSE)," ")</f>
        <v xml:space="preserve"> </v>
      </c>
      <c r="V451" s="85" t="str" cm="1">
        <f t="array" ref="V451">IFERROR(VLOOKUP($A451,'The List'!$B1:$AS671,29,FALSE)," ")</f>
        <v xml:space="preserve"> </v>
      </c>
      <c r="W451" s="85" t="str" cm="1">
        <f t="array" ref="W451">IFERROR(VLOOKUP($A451,'The List'!$B1:$AS671,30,FALSE)," ")</f>
        <v xml:space="preserve"> </v>
      </c>
      <c r="X451" s="85" t="str" cm="1">
        <f t="array" ref="X451">IFERROR(VLOOKUP($A451,'The List'!$B1:$AS671,31,FALSE)," ")</f>
        <v xml:space="preserve"> </v>
      </c>
      <c r="Y451" s="85" t="str" cm="1">
        <f t="array" ref="Y451">IFERROR(VLOOKUP($A451,'The List'!$B1:$AS671,32,FALSE)," ")</f>
        <v xml:space="preserve"> </v>
      </c>
      <c r="Z451" s="85" t="str" cm="1">
        <f t="array" ref="Z451">IFERROR(VLOOKUP($A451,'The List'!$B1:$AS671,33,FALSE)," ")</f>
        <v xml:space="preserve"> </v>
      </c>
      <c r="AA451" s="86"/>
      <c r="AB451" s="91"/>
      <c r="AC451" s="91"/>
      <c r="AD451" s="91"/>
      <c r="AE451" s="91"/>
      <c r="AF451" s="91"/>
    </row>
    <row r="452" spans="1:32" ht="21.25" customHeight="1" x14ac:dyDescent="0.15">
      <c r="A452" s="24"/>
      <c r="B452" s="100" t="str" cm="1">
        <f t="array" ref="B452">IFERROR(VLOOKUP($A452,'The List'!$B1:$AS671,3,FALSE)," ")</f>
        <v xml:space="preserve"> </v>
      </c>
      <c r="C452" s="102" t="str" cm="1">
        <f t="array" ref="C452">IFERROR(VLOOKUP($A452,'The List'!$B1:$AS671,4,FALSE)," ")</f>
        <v xml:space="preserve"> </v>
      </c>
      <c r="D452" s="18" t="str" cm="1">
        <f t="array" ref="D452">IFERROR(VLOOKUP($A452,'The List'!$B1:$AS671,5,FALSE)," ")</f>
        <v xml:space="preserve"> </v>
      </c>
      <c r="E452" s="18" t="str" cm="1">
        <f t="array" ref="E452">IFERROR(VLOOKUP($A452,'The List'!$B1:$AS671,6,FALSE)," ")</f>
        <v xml:space="preserve"> </v>
      </c>
      <c r="F452" s="93" t="str" cm="1">
        <f t="array" ref="F452">IFERROR(VLOOKUP($A452,'The List'!$B1:$AS671,8,FALSE)," ")</f>
        <v xml:space="preserve"> </v>
      </c>
      <c r="G452" s="93" t="str" cm="1">
        <f t="array" ref="G452">IFERROR(VLOOKUP($A452,'The List'!$B1:$AS671,10,FALSE)," ")</f>
        <v xml:space="preserve"> </v>
      </c>
      <c r="H452" s="55"/>
      <c r="I452" s="85" t="str" cm="1">
        <f t="array" ref="I452">IFERROR(VLOOKUP($A452,'The List'!$B1:$AS671,16,FALSE)," ")</f>
        <v xml:space="preserve"> </v>
      </c>
      <c r="J452" s="85" t="str" cm="1">
        <f t="array" ref="J452">IFERROR(VLOOKUP($A452,'The List'!$B1:$AS671,17,FALSE)," ")</f>
        <v xml:space="preserve"> </v>
      </c>
      <c r="K452" s="85" t="str" cm="1">
        <f t="array" ref="K452">IFERROR(VLOOKUP($A452,'The List'!$B1:$AS671,18,FALSE)," ")</f>
        <v xml:space="preserve"> </v>
      </c>
      <c r="L452" s="85" t="str" cm="1">
        <f t="array" ref="L452">IFERROR(VLOOKUP($A452,'The List'!$B1:$AS671,19,FALSE)," ")</f>
        <v xml:space="preserve"> </v>
      </c>
      <c r="M452" s="85" t="str" cm="1">
        <f t="array" ref="M452">IFERROR(VLOOKUP($A452,'The List'!$B1:$AS671,20,FALSE)," ")</f>
        <v xml:space="preserve"> </v>
      </c>
      <c r="N452" s="85" t="str" cm="1">
        <f t="array" ref="N452">IFERROR(VLOOKUP($A452,'The List'!$B1:$AS671,21,FALSE)," ")</f>
        <v xml:space="preserve"> </v>
      </c>
      <c r="O452" s="85" t="str" cm="1">
        <f t="array" ref="O452">IFERROR(VLOOKUP($A452,'The List'!$B1:$AS671,22,FALSE)," ")</f>
        <v xml:space="preserve"> </v>
      </c>
      <c r="P452" s="85" t="str" cm="1">
        <f t="array" ref="P452">IFERROR(VLOOKUP($A452,'The List'!$B1:$AS671,23,FALSE)," ")</f>
        <v xml:space="preserve"> </v>
      </c>
      <c r="Q452" s="85" t="str" cm="1">
        <f t="array" ref="Q452">IFERROR(VLOOKUP($A452,'The List'!$B1:$AS671,24,FALSE)," ")</f>
        <v xml:space="preserve"> </v>
      </c>
      <c r="R452" s="85" t="str" cm="1">
        <f t="array" ref="R452">IFERROR(VLOOKUP($A452,'The List'!$B1:$AS671,25,FALSE)," ")</f>
        <v xml:space="preserve"> </v>
      </c>
      <c r="S452" s="85" t="str" cm="1">
        <f t="array" ref="S452">IFERROR(VLOOKUP($A452,'The List'!$B1:$AS671,26,FALSE)," ")</f>
        <v xml:space="preserve"> </v>
      </c>
      <c r="T452" s="85" t="str" cm="1">
        <f t="array" ref="T452">IFERROR(VLOOKUP($A452,'The List'!$B1:$AS671,27,FALSE)," ")</f>
        <v xml:space="preserve"> </v>
      </c>
      <c r="U452" s="85" t="str" cm="1">
        <f t="array" ref="U452">IFERROR(VLOOKUP($A452,'The List'!$B1:$AS671,28,FALSE)," ")</f>
        <v xml:space="preserve"> </v>
      </c>
      <c r="V452" s="85" t="str" cm="1">
        <f t="array" ref="V452">IFERROR(VLOOKUP($A452,'The List'!$B1:$AS671,29,FALSE)," ")</f>
        <v xml:space="preserve"> </v>
      </c>
      <c r="W452" s="85" t="str" cm="1">
        <f t="array" ref="W452">IFERROR(VLOOKUP($A452,'The List'!$B1:$AS671,30,FALSE)," ")</f>
        <v xml:space="preserve"> </v>
      </c>
      <c r="X452" s="85" t="str" cm="1">
        <f t="array" ref="X452">IFERROR(VLOOKUP($A452,'The List'!$B1:$AS671,31,FALSE)," ")</f>
        <v xml:space="preserve"> </v>
      </c>
      <c r="Y452" s="85" t="str" cm="1">
        <f t="array" ref="Y452">IFERROR(VLOOKUP($A452,'The List'!$B1:$AS671,32,FALSE)," ")</f>
        <v xml:space="preserve"> </v>
      </c>
      <c r="Z452" s="85" t="str" cm="1">
        <f t="array" ref="Z452">IFERROR(VLOOKUP($A452,'The List'!$B1:$AS671,33,FALSE)," ")</f>
        <v xml:space="preserve"> </v>
      </c>
      <c r="AA452" s="86"/>
      <c r="AB452" s="91"/>
      <c r="AC452" s="91"/>
      <c r="AD452" s="91"/>
      <c r="AE452" s="91"/>
      <c r="AF452" s="91"/>
    </row>
    <row r="453" spans="1:32" ht="21.25" customHeight="1" x14ac:dyDescent="0.15">
      <c r="A453" s="24"/>
      <c r="B453" s="100" t="str" cm="1">
        <f t="array" ref="B453">IFERROR(VLOOKUP($A453,'The List'!$B1:$AS671,3,FALSE)," ")</f>
        <v xml:space="preserve"> </v>
      </c>
      <c r="C453" s="102" t="str" cm="1">
        <f t="array" ref="C453">IFERROR(VLOOKUP($A453,'The List'!$B1:$AS671,4,FALSE)," ")</f>
        <v xml:space="preserve"> </v>
      </c>
      <c r="D453" s="18" t="str" cm="1">
        <f t="array" ref="D453">IFERROR(VLOOKUP($A453,'The List'!$B1:$AS671,5,FALSE)," ")</f>
        <v xml:space="preserve"> </v>
      </c>
      <c r="E453" s="18" t="str" cm="1">
        <f t="array" ref="E453">IFERROR(VLOOKUP($A453,'The List'!$B1:$AS671,6,FALSE)," ")</f>
        <v xml:space="preserve"> </v>
      </c>
      <c r="F453" s="93" t="str" cm="1">
        <f t="array" ref="F453">IFERROR(VLOOKUP($A453,'The List'!$B1:$AS671,8,FALSE)," ")</f>
        <v xml:space="preserve"> </v>
      </c>
      <c r="G453" s="93" t="str" cm="1">
        <f t="array" ref="G453">IFERROR(VLOOKUP($A453,'The List'!$B1:$AS671,10,FALSE)," ")</f>
        <v xml:space="preserve"> </v>
      </c>
      <c r="H453" s="55"/>
      <c r="I453" s="85" t="str" cm="1">
        <f t="array" ref="I453">IFERROR(VLOOKUP($A453,'The List'!$B1:$AS671,16,FALSE)," ")</f>
        <v xml:space="preserve"> </v>
      </c>
      <c r="J453" s="85" t="str" cm="1">
        <f t="array" ref="J453">IFERROR(VLOOKUP($A453,'The List'!$B1:$AS671,17,FALSE)," ")</f>
        <v xml:space="preserve"> </v>
      </c>
      <c r="K453" s="85" t="str" cm="1">
        <f t="array" ref="K453">IFERROR(VLOOKUP($A453,'The List'!$B1:$AS671,18,FALSE)," ")</f>
        <v xml:space="preserve"> </v>
      </c>
      <c r="L453" s="85" t="str" cm="1">
        <f t="array" ref="L453">IFERROR(VLOOKUP($A453,'The List'!$B1:$AS671,19,FALSE)," ")</f>
        <v xml:space="preserve"> </v>
      </c>
      <c r="M453" s="85" t="str" cm="1">
        <f t="array" ref="M453">IFERROR(VLOOKUP($A453,'The List'!$B1:$AS671,20,FALSE)," ")</f>
        <v xml:space="preserve"> </v>
      </c>
      <c r="N453" s="85" t="str" cm="1">
        <f t="array" ref="N453">IFERROR(VLOOKUP($A453,'The List'!$B1:$AS671,21,FALSE)," ")</f>
        <v xml:space="preserve"> </v>
      </c>
      <c r="O453" s="85" t="str" cm="1">
        <f t="array" ref="O453">IFERROR(VLOOKUP($A453,'The List'!$B1:$AS671,22,FALSE)," ")</f>
        <v xml:space="preserve"> </v>
      </c>
      <c r="P453" s="85" t="str" cm="1">
        <f t="array" ref="P453">IFERROR(VLOOKUP($A453,'The List'!$B1:$AS671,23,FALSE)," ")</f>
        <v xml:space="preserve"> </v>
      </c>
      <c r="Q453" s="85" t="str" cm="1">
        <f t="array" ref="Q453">IFERROR(VLOOKUP($A453,'The List'!$B1:$AS671,24,FALSE)," ")</f>
        <v xml:space="preserve"> </v>
      </c>
      <c r="R453" s="85" t="str" cm="1">
        <f t="array" ref="R453">IFERROR(VLOOKUP($A453,'The List'!$B1:$AS671,25,FALSE)," ")</f>
        <v xml:space="preserve"> </v>
      </c>
      <c r="S453" s="85" t="str" cm="1">
        <f t="array" ref="S453">IFERROR(VLOOKUP($A453,'The List'!$B1:$AS671,26,FALSE)," ")</f>
        <v xml:space="preserve"> </v>
      </c>
      <c r="T453" s="85" t="str" cm="1">
        <f t="array" ref="T453">IFERROR(VLOOKUP($A453,'The List'!$B1:$AS671,27,FALSE)," ")</f>
        <v xml:space="preserve"> </v>
      </c>
      <c r="U453" s="85" t="str" cm="1">
        <f t="array" ref="U453">IFERROR(VLOOKUP($A453,'The List'!$B1:$AS671,28,FALSE)," ")</f>
        <v xml:space="preserve"> </v>
      </c>
      <c r="V453" s="85" t="str" cm="1">
        <f t="array" ref="V453">IFERROR(VLOOKUP($A453,'The List'!$B1:$AS671,29,FALSE)," ")</f>
        <v xml:space="preserve"> </v>
      </c>
      <c r="W453" s="85" t="str" cm="1">
        <f t="array" ref="W453">IFERROR(VLOOKUP($A453,'The List'!$B1:$AS671,30,FALSE)," ")</f>
        <v xml:space="preserve"> </v>
      </c>
      <c r="X453" s="85" t="str" cm="1">
        <f t="array" ref="X453">IFERROR(VLOOKUP($A453,'The List'!$B1:$AS671,31,FALSE)," ")</f>
        <v xml:space="preserve"> </v>
      </c>
      <c r="Y453" s="85" t="str" cm="1">
        <f t="array" ref="Y453">IFERROR(VLOOKUP($A453,'The List'!$B1:$AS671,32,FALSE)," ")</f>
        <v xml:space="preserve"> </v>
      </c>
      <c r="Z453" s="85" t="str" cm="1">
        <f t="array" ref="Z453">IFERROR(VLOOKUP($A453,'The List'!$B1:$AS671,33,FALSE)," ")</f>
        <v xml:space="preserve"> </v>
      </c>
      <c r="AA453" s="86"/>
      <c r="AB453" s="91"/>
      <c r="AC453" s="91"/>
      <c r="AD453" s="91"/>
      <c r="AE453" s="91"/>
      <c r="AF453" s="91"/>
    </row>
    <row r="454" spans="1:32" ht="21.25" customHeight="1" x14ac:dyDescent="0.15">
      <c r="A454" s="24"/>
      <c r="B454" s="100" t="str" cm="1">
        <f t="array" ref="B454">IFERROR(VLOOKUP($A454,'The List'!$B1:$AS671,3,FALSE)," ")</f>
        <v xml:space="preserve"> </v>
      </c>
      <c r="C454" s="102" t="str" cm="1">
        <f t="array" ref="C454">IFERROR(VLOOKUP($A454,'The List'!$B1:$AS671,4,FALSE)," ")</f>
        <v xml:space="preserve"> </v>
      </c>
      <c r="D454" s="18" t="str" cm="1">
        <f t="array" ref="D454">IFERROR(VLOOKUP($A454,'The List'!$B1:$AS671,5,FALSE)," ")</f>
        <v xml:space="preserve"> </v>
      </c>
      <c r="E454" s="18" t="str" cm="1">
        <f t="array" ref="E454">IFERROR(VLOOKUP($A454,'The List'!$B1:$AS671,6,FALSE)," ")</f>
        <v xml:space="preserve"> </v>
      </c>
      <c r="F454" s="93" t="str" cm="1">
        <f t="array" ref="F454">IFERROR(VLOOKUP($A454,'The List'!$B1:$AS671,8,FALSE)," ")</f>
        <v xml:space="preserve"> </v>
      </c>
      <c r="G454" s="93" t="str" cm="1">
        <f t="array" ref="G454">IFERROR(VLOOKUP($A454,'The List'!$B1:$AS671,10,FALSE)," ")</f>
        <v xml:space="preserve"> </v>
      </c>
      <c r="H454" s="55"/>
      <c r="I454" s="85" t="str" cm="1">
        <f t="array" ref="I454">IFERROR(VLOOKUP($A454,'The List'!$B1:$AS671,16,FALSE)," ")</f>
        <v xml:space="preserve"> </v>
      </c>
      <c r="J454" s="85" t="str" cm="1">
        <f t="array" ref="J454">IFERROR(VLOOKUP($A454,'The List'!$B1:$AS671,17,FALSE)," ")</f>
        <v xml:space="preserve"> </v>
      </c>
      <c r="K454" s="85" t="str" cm="1">
        <f t="array" ref="K454">IFERROR(VLOOKUP($A454,'The List'!$B1:$AS671,18,FALSE)," ")</f>
        <v xml:space="preserve"> </v>
      </c>
      <c r="L454" s="85" t="str" cm="1">
        <f t="array" ref="L454">IFERROR(VLOOKUP($A454,'The List'!$B1:$AS671,19,FALSE)," ")</f>
        <v xml:space="preserve"> </v>
      </c>
      <c r="M454" s="85" t="str" cm="1">
        <f t="array" ref="M454">IFERROR(VLOOKUP($A454,'The List'!$B1:$AS671,20,FALSE)," ")</f>
        <v xml:space="preserve"> </v>
      </c>
      <c r="N454" s="85" t="str" cm="1">
        <f t="array" ref="N454">IFERROR(VLOOKUP($A454,'The List'!$B1:$AS671,21,FALSE)," ")</f>
        <v xml:space="preserve"> </v>
      </c>
      <c r="O454" s="85" t="str" cm="1">
        <f t="array" ref="O454">IFERROR(VLOOKUP($A454,'The List'!$B1:$AS671,22,FALSE)," ")</f>
        <v xml:space="preserve"> </v>
      </c>
      <c r="P454" s="85" t="str" cm="1">
        <f t="array" ref="P454">IFERROR(VLOOKUP($A454,'The List'!$B1:$AS671,23,FALSE)," ")</f>
        <v xml:space="preserve"> </v>
      </c>
      <c r="Q454" s="85" t="str" cm="1">
        <f t="array" ref="Q454">IFERROR(VLOOKUP($A454,'The List'!$B1:$AS671,24,FALSE)," ")</f>
        <v xml:space="preserve"> </v>
      </c>
      <c r="R454" s="85" t="str" cm="1">
        <f t="array" ref="R454">IFERROR(VLOOKUP($A454,'The List'!$B1:$AS671,25,FALSE)," ")</f>
        <v xml:space="preserve"> </v>
      </c>
      <c r="S454" s="85" t="str" cm="1">
        <f t="array" ref="S454">IFERROR(VLOOKUP($A454,'The List'!$B1:$AS671,26,FALSE)," ")</f>
        <v xml:space="preserve"> </v>
      </c>
      <c r="T454" s="85" t="str" cm="1">
        <f t="array" ref="T454">IFERROR(VLOOKUP($A454,'The List'!$B1:$AS671,27,FALSE)," ")</f>
        <v xml:space="preserve"> </v>
      </c>
      <c r="U454" s="85" t="str" cm="1">
        <f t="array" ref="U454">IFERROR(VLOOKUP($A454,'The List'!$B1:$AS671,28,FALSE)," ")</f>
        <v xml:space="preserve"> </v>
      </c>
      <c r="V454" s="85" t="str" cm="1">
        <f t="array" ref="V454">IFERROR(VLOOKUP($A454,'The List'!$B1:$AS671,29,FALSE)," ")</f>
        <v xml:space="preserve"> </v>
      </c>
      <c r="W454" s="85" t="str" cm="1">
        <f t="array" ref="W454">IFERROR(VLOOKUP($A454,'The List'!$B1:$AS671,30,FALSE)," ")</f>
        <v xml:space="preserve"> </v>
      </c>
      <c r="X454" s="85" t="str" cm="1">
        <f t="array" ref="X454">IFERROR(VLOOKUP($A454,'The List'!$B1:$AS671,31,FALSE)," ")</f>
        <v xml:space="preserve"> </v>
      </c>
      <c r="Y454" s="85" t="str" cm="1">
        <f t="array" ref="Y454">IFERROR(VLOOKUP($A454,'The List'!$B1:$AS671,32,FALSE)," ")</f>
        <v xml:space="preserve"> </v>
      </c>
      <c r="Z454" s="85" t="str" cm="1">
        <f t="array" ref="Z454">IFERROR(VLOOKUP($A454,'The List'!$B1:$AS671,33,FALSE)," ")</f>
        <v xml:space="preserve"> </v>
      </c>
      <c r="AA454" s="86"/>
      <c r="AB454" s="91"/>
      <c r="AC454" s="91"/>
      <c r="AD454" s="91"/>
      <c r="AE454" s="91"/>
      <c r="AF454" s="91"/>
    </row>
    <row r="455" spans="1:32" ht="21.25" customHeight="1" x14ac:dyDescent="0.15">
      <c r="A455" s="24"/>
      <c r="B455" s="100" t="str" cm="1">
        <f t="array" ref="B455">IFERROR(VLOOKUP($A455,'The List'!$B1:$AS671,3,FALSE)," ")</f>
        <v xml:space="preserve"> </v>
      </c>
      <c r="C455" s="102" t="str" cm="1">
        <f t="array" ref="C455">IFERROR(VLOOKUP($A455,'The List'!$B1:$AS671,4,FALSE)," ")</f>
        <v xml:space="preserve"> </v>
      </c>
      <c r="D455" s="18" t="str" cm="1">
        <f t="array" ref="D455">IFERROR(VLOOKUP($A455,'The List'!$B1:$AS671,5,FALSE)," ")</f>
        <v xml:space="preserve"> </v>
      </c>
      <c r="E455" s="18" t="str" cm="1">
        <f t="array" ref="E455">IFERROR(VLOOKUP($A455,'The List'!$B1:$AS671,6,FALSE)," ")</f>
        <v xml:space="preserve"> </v>
      </c>
      <c r="F455" s="93" t="str" cm="1">
        <f t="array" ref="F455">IFERROR(VLOOKUP($A455,'The List'!$B1:$AS671,8,FALSE)," ")</f>
        <v xml:space="preserve"> </v>
      </c>
      <c r="G455" s="93" t="str" cm="1">
        <f t="array" ref="G455">IFERROR(VLOOKUP($A455,'The List'!$B1:$AS671,10,FALSE)," ")</f>
        <v xml:space="preserve"> </v>
      </c>
      <c r="H455" s="55"/>
      <c r="I455" s="85" t="str" cm="1">
        <f t="array" ref="I455">IFERROR(VLOOKUP($A455,'The List'!$B1:$AS671,16,FALSE)," ")</f>
        <v xml:space="preserve"> </v>
      </c>
      <c r="J455" s="85" t="str" cm="1">
        <f t="array" ref="J455">IFERROR(VLOOKUP($A455,'The List'!$B1:$AS671,17,FALSE)," ")</f>
        <v xml:space="preserve"> </v>
      </c>
      <c r="K455" s="85" t="str" cm="1">
        <f t="array" ref="K455">IFERROR(VLOOKUP($A455,'The List'!$B1:$AS671,18,FALSE)," ")</f>
        <v xml:space="preserve"> </v>
      </c>
      <c r="L455" s="85" t="str" cm="1">
        <f t="array" ref="L455">IFERROR(VLOOKUP($A455,'The List'!$B1:$AS671,19,FALSE)," ")</f>
        <v xml:space="preserve"> </v>
      </c>
      <c r="M455" s="85" t="str" cm="1">
        <f t="array" ref="M455">IFERROR(VLOOKUP($A455,'The List'!$B1:$AS671,20,FALSE)," ")</f>
        <v xml:space="preserve"> </v>
      </c>
      <c r="N455" s="85" t="str" cm="1">
        <f t="array" ref="N455">IFERROR(VLOOKUP($A455,'The List'!$B1:$AS671,21,FALSE)," ")</f>
        <v xml:space="preserve"> </v>
      </c>
      <c r="O455" s="85" t="str" cm="1">
        <f t="array" ref="O455">IFERROR(VLOOKUP($A455,'The List'!$B1:$AS671,22,FALSE)," ")</f>
        <v xml:space="preserve"> </v>
      </c>
      <c r="P455" s="85" t="str" cm="1">
        <f t="array" ref="P455">IFERROR(VLOOKUP($A455,'The List'!$B1:$AS671,23,FALSE)," ")</f>
        <v xml:space="preserve"> </v>
      </c>
      <c r="Q455" s="85" t="str" cm="1">
        <f t="array" ref="Q455">IFERROR(VLOOKUP($A455,'The List'!$B1:$AS671,24,FALSE)," ")</f>
        <v xml:space="preserve"> </v>
      </c>
      <c r="R455" s="85" t="str" cm="1">
        <f t="array" ref="R455">IFERROR(VLOOKUP($A455,'The List'!$B1:$AS671,25,FALSE)," ")</f>
        <v xml:space="preserve"> </v>
      </c>
      <c r="S455" s="85" t="str" cm="1">
        <f t="array" ref="S455">IFERROR(VLOOKUP($A455,'The List'!$B1:$AS671,26,FALSE)," ")</f>
        <v xml:space="preserve"> </v>
      </c>
      <c r="T455" s="85" t="str" cm="1">
        <f t="array" ref="T455">IFERROR(VLOOKUP($A455,'The List'!$B1:$AS671,27,FALSE)," ")</f>
        <v xml:space="preserve"> </v>
      </c>
      <c r="U455" s="85" t="str" cm="1">
        <f t="array" ref="U455">IFERROR(VLOOKUP($A455,'The List'!$B1:$AS671,28,FALSE)," ")</f>
        <v xml:space="preserve"> </v>
      </c>
      <c r="V455" s="85" t="str" cm="1">
        <f t="array" ref="V455">IFERROR(VLOOKUP($A455,'The List'!$B1:$AS671,29,FALSE)," ")</f>
        <v xml:space="preserve"> </v>
      </c>
      <c r="W455" s="85" t="str" cm="1">
        <f t="array" ref="W455">IFERROR(VLOOKUP($A455,'The List'!$B1:$AS671,30,FALSE)," ")</f>
        <v xml:space="preserve"> </v>
      </c>
      <c r="X455" s="85" t="str" cm="1">
        <f t="array" ref="X455">IFERROR(VLOOKUP($A455,'The List'!$B1:$AS671,31,FALSE)," ")</f>
        <v xml:space="preserve"> </v>
      </c>
      <c r="Y455" s="85" t="str" cm="1">
        <f t="array" ref="Y455">IFERROR(VLOOKUP($A455,'The List'!$B1:$AS671,32,FALSE)," ")</f>
        <v xml:space="preserve"> </v>
      </c>
      <c r="Z455" s="85" t="str" cm="1">
        <f t="array" ref="Z455">IFERROR(VLOOKUP($A455,'The List'!$B1:$AS671,33,FALSE)," ")</f>
        <v xml:space="preserve"> </v>
      </c>
      <c r="AA455" s="86"/>
      <c r="AB455" s="91"/>
      <c r="AC455" s="91"/>
      <c r="AD455" s="91"/>
      <c r="AE455" s="91"/>
      <c r="AF455" s="91"/>
    </row>
    <row r="456" spans="1:32" ht="21.25" customHeight="1" x14ac:dyDescent="0.15">
      <c r="A456" s="104"/>
      <c r="B456" s="105" t="str" cm="1">
        <f t="array" ref="B456">IFERROR(VLOOKUP($A456,'The List'!$B1:$AS671,3,FALSE)," ")</f>
        <v xml:space="preserve"> </v>
      </c>
      <c r="C456" s="106" t="str" cm="1">
        <f t="array" ref="C456">IFERROR(VLOOKUP($A456,'The List'!$B1:$AS671,4,FALSE)," ")</f>
        <v xml:space="preserve"> </v>
      </c>
      <c r="D456" s="107" t="str" cm="1">
        <f t="array" ref="D456">IFERROR(VLOOKUP($A456,'The List'!$B1:$AS671,5,FALSE)," ")</f>
        <v xml:space="preserve"> </v>
      </c>
      <c r="E456" s="107" t="str" cm="1">
        <f t="array" ref="E456">IFERROR(VLOOKUP($A456,'The List'!$B1:$AS671,6,FALSE)," ")</f>
        <v xml:space="preserve"> </v>
      </c>
      <c r="F456" s="108" t="str" cm="1">
        <f t="array" ref="F456">IFERROR(VLOOKUP($A456,'The List'!$B1:$AS671,8,FALSE)," ")</f>
        <v xml:space="preserve"> </v>
      </c>
      <c r="G456" s="108" t="str" cm="1">
        <f t="array" ref="G456">IFERROR(VLOOKUP($A456,'The List'!$B1:$AS671,10,FALSE)," ")</f>
        <v xml:space="preserve"> </v>
      </c>
      <c r="H456" s="109"/>
      <c r="I456" s="110" t="str" cm="1">
        <f t="array" ref="I456">IFERROR(VLOOKUP($A456,'The List'!$B1:$AS671,16,FALSE)," ")</f>
        <v xml:space="preserve"> </v>
      </c>
      <c r="J456" s="110" t="str" cm="1">
        <f t="array" ref="J456">IFERROR(VLOOKUP($A456,'The List'!$B1:$AS671,17,FALSE)," ")</f>
        <v xml:space="preserve"> </v>
      </c>
      <c r="K456" s="110" t="str" cm="1">
        <f t="array" ref="K456">IFERROR(VLOOKUP($A456,'The List'!$B1:$AS671,18,FALSE)," ")</f>
        <v xml:space="preserve"> </v>
      </c>
      <c r="L456" s="110" t="str" cm="1">
        <f t="array" ref="L456">IFERROR(VLOOKUP($A456,'The List'!$B1:$AS671,19,FALSE)," ")</f>
        <v xml:space="preserve"> </v>
      </c>
      <c r="M456" s="110" t="str" cm="1">
        <f t="array" ref="M456">IFERROR(VLOOKUP($A456,'The List'!$B1:$AS671,20,FALSE)," ")</f>
        <v xml:space="preserve"> </v>
      </c>
      <c r="N456" s="110" t="str" cm="1">
        <f t="array" ref="N456">IFERROR(VLOOKUP($A456,'The List'!$B1:$AS671,21,FALSE)," ")</f>
        <v xml:space="preserve"> </v>
      </c>
      <c r="O456" s="110" t="str" cm="1">
        <f t="array" ref="O456">IFERROR(VLOOKUP($A456,'The List'!$B1:$AS671,22,FALSE)," ")</f>
        <v xml:space="preserve"> </v>
      </c>
      <c r="P456" s="110" t="str" cm="1">
        <f t="array" ref="P456">IFERROR(VLOOKUP($A456,'The List'!$B1:$AS671,23,FALSE)," ")</f>
        <v xml:space="preserve"> </v>
      </c>
      <c r="Q456" s="110" t="str" cm="1">
        <f t="array" ref="Q456">IFERROR(VLOOKUP($A456,'The List'!$B1:$AS671,24,FALSE)," ")</f>
        <v xml:space="preserve"> </v>
      </c>
      <c r="R456" s="110" t="str" cm="1">
        <f t="array" ref="R456">IFERROR(VLOOKUP($A456,'The List'!$B1:$AS671,25,FALSE)," ")</f>
        <v xml:space="preserve"> </v>
      </c>
      <c r="S456" s="110" t="str" cm="1">
        <f t="array" ref="S456">IFERROR(VLOOKUP($A456,'The List'!$B1:$AS671,26,FALSE)," ")</f>
        <v xml:space="preserve"> </v>
      </c>
      <c r="T456" s="110" t="str" cm="1">
        <f t="array" ref="T456">IFERROR(VLOOKUP($A456,'The List'!$B1:$AS671,27,FALSE)," ")</f>
        <v xml:space="preserve"> </v>
      </c>
      <c r="U456" s="110" t="str" cm="1">
        <f t="array" ref="U456">IFERROR(VLOOKUP($A456,'The List'!$B1:$AS671,28,FALSE)," ")</f>
        <v xml:space="preserve"> </v>
      </c>
      <c r="V456" s="110" t="str" cm="1">
        <f t="array" ref="V456">IFERROR(VLOOKUP($A456,'The List'!$B1:$AS671,29,FALSE)," ")</f>
        <v xml:space="preserve"> </v>
      </c>
      <c r="W456" s="110" t="str" cm="1">
        <f t="array" ref="W456">IFERROR(VLOOKUP($A456,'The List'!$B1:$AS671,30,FALSE)," ")</f>
        <v xml:space="preserve"> </v>
      </c>
      <c r="X456" s="110" t="str" cm="1">
        <f t="array" ref="X456">IFERROR(VLOOKUP($A456,'The List'!$B1:$AS671,31,FALSE)," ")</f>
        <v xml:space="preserve"> </v>
      </c>
      <c r="Y456" s="110" t="str" cm="1">
        <f t="array" ref="Y456">IFERROR(VLOOKUP($A456,'The List'!$B1:$AS671,32,FALSE)," ")</f>
        <v xml:space="preserve"> </v>
      </c>
      <c r="Z456" s="110" t="str" cm="1">
        <f t="array" ref="Z456">IFERROR(VLOOKUP($A456,'The List'!$B1:$AS671,33,FALSE)," ")</f>
        <v xml:space="preserve"> </v>
      </c>
      <c r="AA456" s="86"/>
      <c r="AB456" s="91"/>
      <c r="AC456" s="91"/>
      <c r="AD456" s="91"/>
      <c r="AE456" s="91"/>
      <c r="AF456" s="91"/>
    </row>
    <row r="457" spans="1:32" ht="21.25" customHeight="1" x14ac:dyDescent="0.15">
      <c r="A457" s="111"/>
      <c r="B457" s="112"/>
      <c r="C457" s="113"/>
      <c r="D457" s="114"/>
      <c r="E457" s="114" t="str" cm="1">
        <f t="array" ref="E457">IFERROR(AVERAGE(E437:E456)," ")</f>
        <v xml:space="preserve"> </v>
      </c>
      <c r="F457" s="116" cm="1">
        <f t="array" ref="F457">SUM(F437:F456)</f>
        <v>0</v>
      </c>
      <c r="G457" s="116" cm="1">
        <f t="array" ref="G457">SUM(G437:G456)</f>
        <v>0</v>
      </c>
      <c r="H457" s="117"/>
      <c r="I457" s="118" cm="1">
        <f t="array" ref="I457">SUM(I437:I456)</f>
        <v>0</v>
      </c>
      <c r="J457" s="117" t="e" cm="1">
        <f t="array" ref="J457">AVERAGE(J437:J456)</f>
        <v>#DIV/0!</v>
      </c>
      <c r="K457" s="118" cm="1">
        <f t="array" ref="K457">SUM(K437:K456)</f>
        <v>0</v>
      </c>
      <c r="L457" s="118" cm="1">
        <f t="array" ref="L457">SUM(L437:L456)</f>
        <v>0</v>
      </c>
      <c r="M457" s="118" cm="1">
        <f t="array" ref="M457">SUM(M437:M456)</f>
        <v>0</v>
      </c>
      <c r="N457" s="118" cm="1">
        <f t="array" ref="N457">SUM(N437:N456)</f>
        <v>0</v>
      </c>
      <c r="O457" s="118" cm="1">
        <f t="array" ref="O457">SUM(O437:O456)</f>
        <v>0</v>
      </c>
      <c r="P457" s="118" cm="1">
        <f t="array" ref="P457">SUM(P437:P456)</f>
        <v>0</v>
      </c>
      <c r="Q457" s="118" cm="1">
        <f t="array" ref="Q457">SUM(Q437:Q456)</f>
        <v>0</v>
      </c>
      <c r="R457" s="118" cm="1">
        <f t="array" ref="R457">SUM(R437:R456)</f>
        <v>0</v>
      </c>
      <c r="S457" s="118" cm="1">
        <f t="array" ref="S457">SUM(S437:S456)</f>
        <v>0</v>
      </c>
      <c r="T457" s="118" cm="1">
        <f t="array" ref="T457">SUM(T437:T456)</f>
        <v>0</v>
      </c>
      <c r="U457" s="118" cm="1">
        <f t="array" ref="U457">SUM(U437:U456)</f>
        <v>0</v>
      </c>
      <c r="V457" s="118" cm="1">
        <f t="array" ref="V457">SUM(V437:V456)</f>
        <v>0</v>
      </c>
      <c r="W457" s="118" cm="1">
        <f t="array" ref="W457">SUM(W437:W456)</f>
        <v>0</v>
      </c>
      <c r="X457" s="118" cm="1">
        <f t="array" ref="X457">SUM(X437:X456)</f>
        <v>0</v>
      </c>
      <c r="Y457" s="118" cm="1">
        <f t="array" ref="Y457">SUM(Y437:Y456)</f>
        <v>0</v>
      </c>
      <c r="Z457" s="119" cm="1">
        <f t="array" ref="Z457">IFERROR(X457/(X457+Y457),0)</f>
        <v>0</v>
      </c>
      <c r="AA457" s="86"/>
      <c r="AB457" s="120"/>
      <c r="AC457" s="120"/>
      <c r="AD457" s="120"/>
      <c r="AE457" s="120"/>
      <c r="AF457" s="120"/>
    </row>
    <row r="458" spans="1:32" ht="21.25" customHeight="1" x14ac:dyDescent="0.15">
      <c r="A458" s="37"/>
      <c r="B458" s="121"/>
      <c r="C458" s="122"/>
      <c r="D458" s="13"/>
      <c r="E458" s="13"/>
      <c r="F458" s="123"/>
      <c r="G458" s="124"/>
      <c r="H458" s="125"/>
      <c r="I458" s="12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91"/>
      <c r="AC458" s="91"/>
      <c r="AD458" s="91"/>
      <c r="AE458" s="91"/>
      <c r="AF458" s="91"/>
    </row>
    <row r="459" spans="1:32" ht="21.25" customHeight="1" x14ac:dyDescent="0.15">
      <c r="A459" s="40" t="s">
        <v>91</v>
      </c>
      <c r="B459" s="205" t="s">
        <v>93</v>
      </c>
      <c r="C459" s="197"/>
      <c r="D459" s="127" t="s">
        <v>94</v>
      </c>
      <c r="E459" s="127" t="s">
        <v>95</v>
      </c>
      <c r="F459" s="128" t="s">
        <v>97</v>
      </c>
      <c r="G459" s="128" t="s">
        <v>99</v>
      </c>
      <c r="H459" s="129"/>
      <c r="I459" s="130" t="s">
        <v>104</v>
      </c>
      <c r="J459" s="130" t="s">
        <v>119</v>
      </c>
      <c r="K459" s="130" t="s">
        <v>120</v>
      </c>
      <c r="L459" s="130" t="s">
        <v>121</v>
      </c>
      <c r="M459" s="130" t="s">
        <v>122</v>
      </c>
      <c r="N459" s="130" t="s">
        <v>123</v>
      </c>
      <c r="O459" s="130" t="s">
        <v>124</v>
      </c>
      <c r="P459" s="130" t="s">
        <v>125</v>
      </c>
      <c r="Q459" s="130" t="s">
        <v>126</v>
      </c>
      <c r="R459" s="86"/>
      <c r="S459" s="86"/>
      <c r="T459" s="86"/>
      <c r="U459" s="205" t="s">
        <v>818</v>
      </c>
      <c r="V459" s="206"/>
      <c r="W459" s="206"/>
      <c r="X459" s="205" t="s">
        <v>819</v>
      </c>
      <c r="Y459" s="206"/>
      <c r="Z459" s="206"/>
      <c r="AA459" s="86"/>
      <c r="AB459" s="86"/>
      <c r="AC459" s="86"/>
      <c r="AD459" s="86"/>
      <c r="AE459" s="86"/>
      <c r="AF459" s="86"/>
    </row>
    <row r="460" spans="1:32" ht="21.25" customHeight="1" x14ac:dyDescent="0.15">
      <c r="A460" s="147"/>
      <c r="B460" s="132" t="str" cm="1">
        <f t="array" ref="B460">IFERROR(VLOOKUP($A460,'The List'!$B1:$AS671,3,FALSE)," ")</f>
        <v xml:space="preserve"> </v>
      </c>
      <c r="C460" s="148" t="str" cm="1">
        <f t="array" ref="C460">IFERROR(VLOOKUP($A460,'The List'!$B1:$AS671,4,FALSE)," ")</f>
        <v xml:space="preserve"> </v>
      </c>
      <c r="D460" s="134" t="str" cm="1">
        <f t="array" ref="D460">IFERROR(VLOOKUP($A460,'The List'!$B1:$AS671,5,FALSE)," ")</f>
        <v xml:space="preserve"> </v>
      </c>
      <c r="E460" s="134" t="str" cm="1">
        <f t="array" ref="E460">IFERROR(VLOOKUP($A460,'The List'!$B1:$AS671,6,FALSE)," ")</f>
        <v xml:space="preserve"> </v>
      </c>
      <c r="F460" s="149" t="str" cm="1">
        <f t="array" ref="F460">IFERROR(VLOOKUP($A460,'The List'!$B1:$AS671,8,FALSE)," ")</f>
        <v xml:space="preserve"> </v>
      </c>
      <c r="G460" s="149" t="str" cm="1">
        <f t="array" ref="G460">IFERROR(VLOOKUP($A460,'The List'!$B1:$AS671,10,FALSE)," ")</f>
        <v xml:space="preserve"> </v>
      </c>
      <c r="H460" s="83"/>
      <c r="I460" s="150" t="str" cm="1">
        <f t="array" ref="I460">IFERROR(VLOOKUP($A460,'The List'!$B1:$AS671,35,FALSE)," ")</f>
        <v xml:space="preserve"> </v>
      </c>
      <c r="J460" s="150" t="str" cm="1">
        <f t="array" ref="J460">IFERROR(VLOOKUP($A460,'The List'!$B1:$AS671,36,FALSE)," ")</f>
        <v xml:space="preserve"> </v>
      </c>
      <c r="K460" s="150" t="str" cm="1">
        <f t="array" ref="K460">IFERROR(VLOOKUP($A460,'The List'!$B1:$AS671,37,FALSE)," ")</f>
        <v xml:space="preserve"> </v>
      </c>
      <c r="L460" s="150" t="str" cm="1">
        <f t="array" ref="L460">IFERROR(VLOOKUP($A460,'The List'!$B1:$AS671,38,FALSE)," ")</f>
        <v xml:space="preserve"> </v>
      </c>
      <c r="M460" s="150" t="str" cm="1">
        <f t="array" ref="M460">IFERROR(VLOOKUP($A460,'The List'!$B1:$AS671,39,FALSE)," ")</f>
        <v xml:space="preserve"> </v>
      </c>
      <c r="N460" s="150" t="str" cm="1">
        <f t="array" ref="N460">IFERROR(VLOOKUP($A460,'The List'!$B1:$AS671,40,FALSE)," ")</f>
        <v xml:space="preserve"> </v>
      </c>
      <c r="O460" s="150" t="str" cm="1">
        <f t="array" ref="O460">IFERROR(VLOOKUP($A460,'The List'!$B1:$AS671,41,FALSE)," ")</f>
        <v xml:space="preserve"> </v>
      </c>
      <c r="P460" s="150" t="str" cm="1">
        <f t="array" ref="P460">IFERROR(VLOOKUP($A460,'The List'!$B1:$AS671,42,FALSE)," ")</f>
        <v xml:space="preserve"> </v>
      </c>
      <c r="Q460" s="150" t="str" cm="1">
        <f t="array" ref="Q460">IFERROR(VLOOKUP($A460,'The List'!$B1:$AS671,43,FALSE)," ")</f>
        <v xml:space="preserve"> </v>
      </c>
      <c r="R460" s="86"/>
      <c r="S460" s="86"/>
      <c r="T460" s="140" t="str" cm="1">
        <f t="array" ref="T460">A436</f>
        <v>TEAM 16</v>
      </c>
      <c r="U460" s="207" cm="1">
        <f t="array" ref="U460">F457+F463</f>
        <v>0</v>
      </c>
      <c r="V460" s="197"/>
      <c r="W460" s="197"/>
      <c r="X460" s="207" cm="1">
        <f t="array" ref="X460">G463+G457</f>
        <v>0</v>
      </c>
      <c r="Y460" s="197"/>
      <c r="Z460" s="197"/>
      <c r="AA460" s="86"/>
      <c r="AB460" s="86"/>
      <c r="AC460" s="86"/>
      <c r="AD460" s="86"/>
      <c r="AE460" s="86"/>
      <c r="AF460" s="86"/>
    </row>
    <row r="461" spans="1:32" ht="21.25" customHeight="1" x14ac:dyDescent="0.15">
      <c r="A461" s="24"/>
      <c r="B461" s="141" t="str" cm="1">
        <f t="array" ref="B461">IFERROR(VLOOKUP($A461,'The List'!$B1:$AS671,3,FALSE)," ")</f>
        <v xml:space="preserve"> </v>
      </c>
      <c r="C461" s="142" t="str" cm="1">
        <f t="array" ref="C461">IFERROR(VLOOKUP($A461,'The List'!$B1:$AS671,4,FALSE)," ")</f>
        <v xml:space="preserve"> </v>
      </c>
      <c r="D461" s="18" t="str" cm="1">
        <f t="array" ref="D461">IFERROR(VLOOKUP($A461,'The List'!$B1:$AS671,5,FALSE)," ")</f>
        <v xml:space="preserve"> </v>
      </c>
      <c r="E461" s="18" t="str" cm="1">
        <f t="array" ref="E461">IFERROR(VLOOKUP($A461,'The List'!$B1:$AS671,6,FALSE)," ")</f>
        <v xml:space="preserve"> </v>
      </c>
      <c r="F461" s="93" t="str" cm="1">
        <f t="array" ref="F461">IFERROR(VLOOKUP($A461,'The List'!$B1:$AS671,8,FALSE)," ")</f>
        <v xml:space="preserve"> </v>
      </c>
      <c r="G461" s="93" t="str" cm="1">
        <f t="array" ref="G461">IFERROR(VLOOKUP($A461,'The List'!$B1:$AS671,10,FALSE)," ")</f>
        <v xml:space="preserve"> </v>
      </c>
      <c r="H461" s="55"/>
      <c r="I461" s="85" t="str" cm="1">
        <f t="array" ref="I461">IFERROR(VLOOKUP($A461,'The List'!$B1:$AS671,35,FALSE)," ")</f>
        <v xml:space="preserve"> </v>
      </c>
      <c r="J461" s="85" t="str" cm="1">
        <f t="array" ref="J461">IFERROR(VLOOKUP($A461,'The List'!$B1:$AS671,36,FALSE)," ")</f>
        <v xml:space="preserve"> </v>
      </c>
      <c r="K461" s="85" t="str" cm="1">
        <f t="array" ref="K461">IFERROR(VLOOKUP($A461,'The List'!$B1:$AS671,37,FALSE)," ")</f>
        <v xml:space="preserve"> </v>
      </c>
      <c r="L461" s="85" t="str" cm="1">
        <f t="array" ref="L461">IFERROR(VLOOKUP($A461,'The List'!$B1:$AS671,38,FALSE)," ")</f>
        <v xml:space="preserve"> </v>
      </c>
      <c r="M461" s="85" t="str" cm="1">
        <f t="array" ref="M461">IFERROR(VLOOKUP($A461,'The List'!$B1:$AS671,39,FALSE)," ")</f>
        <v xml:space="preserve"> </v>
      </c>
      <c r="N461" s="85" t="str" cm="1">
        <f t="array" ref="N461">IFERROR(VLOOKUP($A461,'The List'!$B1:$AS671,40,FALSE)," ")</f>
        <v xml:space="preserve"> </v>
      </c>
      <c r="O461" s="85" t="str" cm="1">
        <f t="array" ref="O461">IFERROR(VLOOKUP($A461,'The List'!$B1:$AS671,41,FALSE)," ")</f>
        <v xml:space="preserve"> </v>
      </c>
      <c r="P461" s="85" t="str" cm="1">
        <f t="array" ref="P461">IFERROR(VLOOKUP($A461,'The List'!$B1:$AS671,42,FALSE)," ")</f>
        <v xml:space="preserve"> </v>
      </c>
      <c r="Q461" s="85" t="str" cm="1">
        <f t="array" ref="Q461">IFERROR(VLOOKUP($A461,'The List'!$B1:$AS671,43,FALSE)," ")</f>
        <v xml:space="preserve"> </v>
      </c>
      <c r="R461" s="86"/>
      <c r="S461" s="86"/>
      <c r="T461" s="86"/>
      <c r="U461" s="197"/>
      <c r="V461" s="197"/>
      <c r="W461" s="197"/>
      <c r="X461" s="197"/>
      <c r="Y461" s="197"/>
      <c r="Z461" s="197"/>
      <c r="AA461" s="86"/>
      <c r="AB461" s="86"/>
      <c r="AC461" s="86"/>
      <c r="AD461" s="86"/>
      <c r="AE461" s="86"/>
      <c r="AF461" s="86"/>
    </row>
    <row r="462" spans="1:32" ht="21.25" customHeight="1" x14ac:dyDescent="0.15">
      <c r="A462" s="104"/>
      <c r="B462" s="143" t="str" cm="1">
        <f t="array" ref="B462">IFERROR(VLOOKUP($A462,'The List'!$B1:$AS671,3,FALSE)," ")</f>
        <v xml:space="preserve"> </v>
      </c>
      <c r="C462" s="144" t="str" cm="1">
        <f t="array" ref="C462">IFERROR(VLOOKUP($A462,'The List'!$B1:$AS671,4,FALSE)," ")</f>
        <v xml:space="preserve"> </v>
      </c>
      <c r="D462" s="107" t="str" cm="1">
        <f t="array" ref="D462">IFERROR(VLOOKUP($A462,'The List'!$B1:$AS671,5,FALSE)," ")</f>
        <v xml:space="preserve"> </v>
      </c>
      <c r="E462" s="107" t="str" cm="1">
        <f t="array" ref="E462">IFERROR(VLOOKUP($A462,'The List'!$B1:$AS671,6,FALSE)," ")</f>
        <v xml:space="preserve"> </v>
      </c>
      <c r="F462" s="108" t="str" cm="1">
        <f t="array" ref="F462">IFERROR(VLOOKUP($A462,'The List'!$B1:$AS671,8,FALSE)," ")</f>
        <v xml:space="preserve"> </v>
      </c>
      <c r="G462" s="108" t="str" cm="1">
        <f t="array" ref="G462">IFERROR(VLOOKUP($A462,'The List'!$B1:$AS671,10,FALSE)," ")</f>
        <v xml:space="preserve"> </v>
      </c>
      <c r="H462" s="109"/>
      <c r="I462" s="110" t="str" cm="1">
        <f t="array" ref="I462">IFERROR(VLOOKUP($A462,'The List'!$B1:$AS671,35,FALSE)," ")</f>
        <v xml:space="preserve"> </v>
      </c>
      <c r="J462" s="110" t="str" cm="1">
        <f t="array" ref="J462">IFERROR(VLOOKUP($A462,'The List'!$B1:$AS671,36,FALSE)," ")</f>
        <v xml:space="preserve"> </v>
      </c>
      <c r="K462" s="110" t="str" cm="1">
        <f t="array" ref="K462">IFERROR(VLOOKUP($A462,'The List'!$B1:$AS671,37,FALSE)," ")</f>
        <v xml:space="preserve"> </v>
      </c>
      <c r="L462" s="110" t="str" cm="1">
        <f t="array" ref="L462">IFERROR(VLOOKUP($A462,'The List'!$B1:$AS671,38,FALSE)," ")</f>
        <v xml:space="preserve"> </v>
      </c>
      <c r="M462" s="110" t="str" cm="1">
        <f t="array" ref="M462">IFERROR(VLOOKUP($A462,'The List'!$B1:$AS671,39,FALSE)," ")</f>
        <v xml:space="preserve"> </v>
      </c>
      <c r="N462" s="110" t="str" cm="1">
        <f t="array" ref="N462">IFERROR(VLOOKUP($A462,'The List'!$B1:$AS671,40,FALSE)," ")</f>
        <v xml:space="preserve"> </v>
      </c>
      <c r="O462" s="110" t="str" cm="1">
        <f t="array" ref="O462">IFERROR(VLOOKUP($A462,'The List'!$B1:$AS671,41,FALSE)," ")</f>
        <v xml:space="preserve"> </v>
      </c>
      <c r="P462" s="110" t="str" cm="1">
        <f t="array" ref="P462">IFERROR(VLOOKUP($A462,'The List'!$B1:$AS671,42,FALSE)," ")</f>
        <v xml:space="preserve"> </v>
      </c>
      <c r="Q462" s="110" t="str" cm="1">
        <f t="array" ref="Q462">IFERROR(VLOOKUP($A462,'The List'!$B1:$AS671,43,FALSE)," ")</f>
        <v xml:space="preserve"> </v>
      </c>
      <c r="R462" s="86"/>
      <c r="S462" s="86"/>
      <c r="T462" s="86"/>
      <c r="U462" s="197"/>
      <c r="V462" s="197"/>
      <c r="W462" s="197"/>
      <c r="X462" s="197"/>
      <c r="Y462" s="197"/>
      <c r="Z462" s="197"/>
      <c r="AA462" s="86"/>
      <c r="AB462" s="86"/>
      <c r="AC462" s="86"/>
      <c r="AD462" s="86"/>
      <c r="AE462" s="86"/>
      <c r="AF462" s="86"/>
    </row>
    <row r="463" spans="1:32" ht="21.25" customHeight="1" x14ac:dyDescent="0.15">
      <c r="A463" s="111"/>
      <c r="B463" s="112"/>
      <c r="C463" s="113"/>
      <c r="D463" s="114"/>
      <c r="E463" s="114" t="str" cm="1">
        <f t="array" ref="E463">IFERROR(AVERAGE(E460:E462)," ")</f>
        <v xml:space="preserve"> </v>
      </c>
      <c r="F463" s="116" cm="1">
        <f t="array" ref="F463">SUM(F460:F462)</f>
        <v>0</v>
      </c>
      <c r="G463" s="116" cm="1">
        <f t="array" ref="G463">SUM(G460:G462)</f>
        <v>0</v>
      </c>
      <c r="H463" s="117"/>
      <c r="I463" s="118" cm="1">
        <f t="array" ref="I463">SUM(I460:I462)</f>
        <v>0</v>
      </c>
      <c r="J463" s="117" cm="1">
        <f t="array" ref="J463">SUM(J460:J462)</f>
        <v>0</v>
      </c>
      <c r="K463" s="118" cm="1">
        <f t="array" ref="K463">SUM(K460:K462)</f>
        <v>0</v>
      </c>
      <c r="L463" s="118" cm="1">
        <f t="array" ref="L463">SUM(L460:L462)</f>
        <v>0</v>
      </c>
      <c r="M463" s="118" cm="1">
        <f t="array" ref="M463">SUM(M460:M462)</f>
        <v>0</v>
      </c>
      <c r="N463" s="118" cm="1">
        <f t="array" ref="N463">SUM(N460:N462)</f>
        <v>0</v>
      </c>
      <c r="O463" s="118" cm="1">
        <f t="array" ref="O463">SUM(O460:O462)</f>
        <v>0</v>
      </c>
      <c r="P463" s="145" t="e" cm="1">
        <f t="array" ref="P463">1-(O463/(N463+O463))</f>
        <v>#DIV/0!</v>
      </c>
      <c r="Q463" s="146" t="e" cm="1">
        <f t="array" ref="Q463">O463/I463</f>
        <v>#DIV/0!</v>
      </c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  <c r="AC463" s="86"/>
      <c r="AD463" s="86"/>
      <c r="AE463" s="86"/>
      <c r="AF463" s="86"/>
    </row>
    <row r="464" spans="1:32" ht="21.25" customHeight="1" x14ac:dyDescent="0.15">
      <c r="A464" s="37"/>
      <c r="B464" s="121"/>
      <c r="C464" s="122"/>
      <c r="D464" s="13"/>
      <c r="E464" s="13"/>
      <c r="F464" s="123"/>
      <c r="G464" s="124"/>
      <c r="H464" s="125"/>
      <c r="I464" s="12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91"/>
      <c r="AB464" s="91"/>
      <c r="AC464" s="91"/>
      <c r="AD464" s="91"/>
      <c r="AE464" s="91"/>
      <c r="AF464" s="91"/>
    </row>
  </sheetData>
  <mergeCells count="96">
    <mergeCell ref="U460:W462"/>
    <mergeCell ref="X459:Z459"/>
    <mergeCell ref="X460:Z462"/>
    <mergeCell ref="U431:W433"/>
    <mergeCell ref="X430:Z430"/>
    <mergeCell ref="X431:Z433"/>
    <mergeCell ref="B459:C459"/>
    <mergeCell ref="U459:W459"/>
    <mergeCell ref="U402:W404"/>
    <mergeCell ref="X401:Z401"/>
    <mergeCell ref="X402:Z404"/>
    <mergeCell ref="B430:C430"/>
    <mergeCell ref="U430:W430"/>
    <mergeCell ref="B407:C407"/>
    <mergeCell ref="B436:C436"/>
    <mergeCell ref="U373:W375"/>
    <mergeCell ref="X372:Z372"/>
    <mergeCell ref="X373:Z375"/>
    <mergeCell ref="B401:C401"/>
    <mergeCell ref="U401:W401"/>
    <mergeCell ref="B378:C378"/>
    <mergeCell ref="U344:W346"/>
    <mergeCell ref="X343:Z343"/>
    <mergeCell ref="X344:Z346"/>
    <mergeCell ref="B372:C372"/>
    <mergeCell ref="U372:W372"/>
    <mergeCell ref="B349:C349"/>
    <mergeCell ref="U315:W317"/>
    <mergeCell ref="X314:Z314"/>
    <mergeCell ref="X315:Z317"/>
    <mergeCell ref="B343:C343"/>
    <mergeCell ref="U343:W343"/>
    <mergeCell ref="B320:C320"/>
    <mergeCell ref="U286:W288"/>
    <mergeCell ref="X285:Z285"/>
    <mergeCell ref="X286:Z288"/>
    <mergeCell ref="B314:C314"/>
    <mergeCell ref="U314:W314"/>
    <mergeCell ref="B291:C291"/>
    <mergeCell ref="U257:W259"/>
    <mergeCell ref="X256:Z256"/>
    <mergeCell ref="X257:Z259"/>
    <mergeCell ref="B285:C285"/>
    <mergeCell ref="U285:W285"/>
    <mergeCell ref="B262:C262"/>
    <mergeCell ref="U228:W230"/>
    <mergeCell ref="X227:Z227"/>
    <mergeCell ref="X228:Z230"/>
    <mergeCell ref="B256:C256"/>
    <mergeCell ref="U256:W256"/>
    <mergeCell ref="B233:C233"/>
    <mergeCell ref="U199:W201"/>
    <mergeCell ref="X198:Z198"/>
    <mergeCell ref="X199:Z201"/>
    <mergeCell ref="B227:C227"/>
    <mergeCell ref="U227:W227"/>
    <mergeCell ref="B204:C204"/>
    <mergeCell ref="U170:W172"/>
    <mergeCell ref="X169:Z169"/>
    <mergeCell ref="X170:Z172"/>
    <mergeCell ref="B198:C198"/>
    <mergeCell ref="U198:W198"/>
    <mergeCell ref="B175:C175"/>
    <mergeCell ref="U141:W143"/>
    <mergeCell ref="X140:Z140"/>
    <mergeCell ref="X141:Z143"/>
    <mergeCell ref="B169:C169"/>
    <mergeCell ref="U169:W169"/>
    <mergeCell ref="U112:W114"/>
    <mergeCell ref="X111:Z111"/>
    <mergeCell ref="X112:Z114"/>
    <mergeCell ref="B140:C140"/>
    <mergeCell ref="U140:W140"/>
    <mergeCell ref="U83:W85"/>
    <mergeCell ref="X82:Z82"/>
    <mergeCell ref="X83:Z85"/>
    <mergeCell ref="B111:C111"/>
    <mergeCell ref="U111:W111"/>
    <mergeCell ref="U53:W53"/>
    <mergeCell ref="U54:W56"/>
    <mergeCell ref="X53:Z53"/>
    <mergeCell ref="X54:Z56"/>
    <mergeCell ref="B82:C82"/>
    <mergeCell ref="U82:W82"/>
    <mergeCell ref="B30:C30"/>
    <mergeCell ref="B59:C59"/>
    <mergeCell ref="B88:C88"/>
    <mergeCell ref="B117:C117"/>
    <mergeCell ref="B146:C146"/>
    <mergeCell ref="B53:C53"/>
    <mergeCell ref="B1:C1"/>
    <mergeCell ref="B24:C24"/>
    <mergeCell ref="U24:W24"/>
    <mergeCell ref="U25:W27"/>
    <mergeCell ref="X24:Z24"/>
    <mergeCell ref="X25:Z27"/>
  </mergeCells>
  <conditionalFormatting sqref="C2:C23 C25:C29 C31:C52 C54:C58 C60:C81 C83:C87 C89:C110 C112:C116 C118:C139 C141:C145 C147:C168 C170:C174 C176:C197 C199:C203 C205:C226 C228:C232 C234:C255 C257:C261 C263:C284 C286:C290 C292:C313 C315:C319 C321:C342 C344:C348 C350:C371 C373:C377 C379:C400 C402:C406 C408:C429 C431:C435 C437:C458 C460:C464">
    <cfRule type="containsText" dxfId="41" priority="1" stopIfTrue="1" operator="containsText" text="/">
      <formula>NOT(ISERROR(FIND(UPPER("/"),UPPER(C2))))</formula>
      <formula>"/"</formula>
    </cfRule>
    <cfRule type="containsText" dxfId="40" priority="2" stopIfTrue="1" operator="containsText" text="C">
      <formula>NOT(ISERROR(FIND(UPPER("C"),UPPER(C2))))</formula>
      <formula>"C"</formula>
    </cfRule>
    <cfRule type="containsText" dxfId="39" priority="3" stopIfTrue="1" operator="containsText" text="D">
      <formula>NOT(ISERROR(FIND(UPPER("D"),UPPER(C2))))</formula>
      <formula>"D"</formula>
    </cfRule>
    <cfRule type="containsText" dxfId="38" priority="4" stopIfTrue="1" operator="containsText" text="LW">
      <formula>NOT(ISERROR(FIND(UPPER("LW"),UPPER(C2))))</formula>
      <formula>"LW"</formula>
    </cfRule>
    <cfRule type="containsText" dxfId="37" priority="5" stopIfTrue="1" operator="containsText" text="RW">
      <formula>NOT(ISERROR(FIND(UPPER("RW"),UPPER(C2))))</formula>
      <formula>"RW"</formula>
    </cfRule>
    <cfRule type="containsText" dxfId="36" priority="6" stopIfTrue="1" operator="containsText" text="G">
      <formula>NOT(ISERROR(FIND(UPPER("G"),UPPER(C2))))</formula>
      <formula>"G"</formula>
    </cfRule>
  </conditionalFormatting>
  <pageMargins left="1" right="1" top="1" bottom="1" header="0.25" footer="0.25"/>
  <pageSetup orientation="portrait"/>
  <headerFooter>
    <oddFooter>&amp;C&amp;"Helvetica,Regular"&amp;12&amp;K000000&amp;P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407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821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Settings!F2+Settings!F3+Settings!F4</f>
        <v>58</v>
      </c>
      <c r="C2" s="161"/>
      <c r="D2" s="162"/>
      <c r="E2" s="163"/>
      <c r="F2" s="163"/>
      <c r="G2" s="163"/>
      <c r="H2" s="164"/>
      <c r="I2" s="165"/>
      <c r="J2" s="165"/>
    </row>
    <row r="3" spans="1:10" ht="21.25" customHeight="1" x14ac:dyDescent="0.15">
      <c r="A3" s="10" t="s">
        <v>127</v>
      </c>
      <c r="B3" s="166" t="str" cm="1">
        <f t="array" ref="B3">VLOOKUP(A3,'The List'!B1:D671,3,FALSE)</f>
        <v>C</v>
      </c>
      <c r="C3" s="74" cm="1">
        <f t="array" ref="C3">IF(Settings!$E$15="POINTS",RANK(E3,E3:E407),H3)</f>
        <v>1</v>
      </c>
      <c r="D3" s="18" t="str" cm="1">
        <f t="array" ref="D3">VLOOKUP(A3,'The List'!B1:F671,5,FALSE)</f>
        <v>COL</v>
      </c>
      <c r="E3" s="55" cm="1">
        <f t="array" ref="E3">VLOOKUP(A3,'The List'!B1:I671,8,FALSE)</f>
        <v>603.01791929249828</v>
      </c>
      <c r="F3" s="55" cm="1">
        <f t="array" ref="F3">IF(Settings!$E$15="POINTS",E3-VLOOKUP(B$2,C1:E407,3,FALSE),J3)</f>
        <v>252.28490189203615</v>
      </c>
      <c r="G3" s="55"/>
      <c r="H3" s="167" cm="1">
        <f t="array" ref="H3">RANK(I3,I3:I407)</f>
        <v>1</v>
      </c>
      <c r="I3" s="168" cm="1">
        <f t="array" ref="I3">VLOOKUP(A3,'Standard Deviations'!A1:C672,3,FALSE)</f>
        <v>16.110259440066848</v>
      </c>
      <c r="J3" s="168" cm="1">
        <f t="array" ref="J3">I3-VLOOKUP(B$2,H1:J407,2,FALSE)</f>
        <v>10.619616080143793</v>
      </c>
    </row>
    <row r="4" spans="1:10" ht="21.25" customHeight="1" x14ac:dyDescent="0.15">
      <c r="A4" s="10" t="s">
        <v>129</v>
      </c>
      <c r="B4" s="166" t="str" cm="1">
        <f t="array" ref="B4">VLOOKUP(A4,'The List'!B1:D671,3,FALSE)</f>
        <v>C</v>
      </c>
      <c r="C4" s="74" cm="1">
        <f t="array" ref="C4">IF(Settings!$E$15="POINTS",RANK(E4,E3:E407),H4)</f>
        <v>2</v>
      </c>
      <c r="D4" s="18" t="str" cm="1">
        <f t="array" ref="D4">VLOOKUP(A4,'The List'!B1:F671,5,FALSE)</f>
        <v>EDM</v>
      </c>
      <c r="E4" s="55" cm="1">
        <f t="array" ref="E4">VLOOKUP(A4,'The List'!B1:I671,8,FALSE)</f>
        <v>599.21773180247033</v>
      </c>
      <c r="F4" s="55" cm="1">
        <f t="array" ref="F4">IF(Settings!$E$15="POINTS",E4-VLOOKUP(B$2,C1:E407,3,FALSE),J4)</f>
        <v>248.48471440200819</v>
      </c>
      <c r="G4" s="55"/>
      <c r="H4" s="167" cm="1">
        <f t="array" ref="H4">RANK(I4,I3:I407)</f>
        <v>2</v>
      </c>
      <c r="I4" s="168" cm="1">
        <f t="array" ref="I4">VLOOKUP(A4,'Standard Deviations'!A1:C672,3,FALSE)</f>
        <v>16.015530676966371</v>
      </c>
      <c r="J4" s="168" cm="1">
        <f t="array" ref="J4">I4-VLOOKUP(B$2,H1:J407,2,FALSE)</f>
        <v>10.524887317043316</v>
      </c>
    </row>
    <row r="5" spans="1:10" ht="21.25" customHeight="1" x14ac:dyDescent="0.15">
      <c r="A5" s="10" t="s">
        <v>130</v>
      </c>
      <c r="B5" s="166" t="str" cm="1">
        <f t="array" ref="B5">VLOOKUP(A5,'The List'!B1:D671,3,FALSE)</f>
        <v>RW</v>
      </c>
      <c r="C5" s="74" cm="1">
        <f t="array" ref="C5">IF(Settings!$E$15="POINTS",RANK(E5,E3:E407),H5)</f>
        <v>3</v>
      </c>
      <c r="D5" s="18" t="str" cm="1">
        <f t="array" ref="D5">VLOOKUP(A5,'The List'!B1:F671,5,FALSE)</f>
        <v>T.B</v>
      </c>
      <c r="E5" s="55" cm="1">
        <f t="array" ref="E5">VLOOKUP(A5,'The List'!B1:I671,8,FALSE)</f>
        <v>570.68556458331921</v>
      </c>
      <c r="F5" s="55" cm="1">
        <f t="array" ref="F5">IF(Settings!$E$15="POINTS",E5-VLOOKUP(B$2,C1:E407,3,FALSE),J5)</f>
        <v>219.95254718285707</v>
      </c>
      <c r="G5" s="55"/>
      <c r="H5" s="167" cm="1">
        <f t="array" ref="H5">RANK(I5,I3:I407)</f>
        <v>3</v>
      </c>
      <c r="I5" s="168" cm="1">
        <f t="array" ref="I5">VLOOKUP(A5,'Standard Deviations'!A1:C672,3,FALSE)</f>
        <v>15.149623236256513</v>
      </c>
      <c r="J5" s="168" cm="1">
        <f t="array" ref="J5">I5-VLOOKUP(B$2,H1:J407,2,FALSE)</f>
        <v>9.6589798763334578</v>
      </c>
    </row>
    <row r="6" spans="1:10" ht="21.25" customHeight="1" x14ac:dyDescent="0.15">
      <c r="A6" s="10" t="s">
        <v>134</v>
      </c>
      <c r="B6" s="166" t="str" cm="1">
        <f t="array" ref="B6">VLOOKUP(A6,'The List'!B1:D671,3,FALSE)</f>
        <v>C</v>
      </c>
      <c r="C6" s="74" cm="1">
        <f t="array" ref="C6">IF(Settings!$E$15="POINTS",RANK(E6,E3:E407),H6)</f>
        <v>4</v>
      </c>
      <c r="D6" s="18" t="str" cm="1">
        <f t="array" ref="D6">VLOOKUP(A6,'The List'!B1:F671,5,FALSE)</f>
        <v>S.J</v>
      </c>
      <c r="E6" s="55" cm="1">
        <f t="array" ref="E6">VLOOKUP(A6,'The List'!B1:I671,8,FALSE)</f>
        <v>545.68359017702312</v>
      </c>
      <c r="F6" s="55" cm="1">
        <f t="array" ref="F6">IF(Settings!$E$15="POINTS",E6-VLOOKUP(B$2,C1:E407,3,FALSE),J6)</f>
        <v>194.95057277656099</v>
      </c>
      <c r="G6" s="55"/>
      <c r="H6" s="167" cm="1">
        <f t="array" ref="H6">RANK(I6,I3:I407)</f>
        <v>5</v>
      </c>
      <c r="I6" s="168" cm="1">
        <f t="array" ref="I6">VLOOKUP(A6,'Standard Deviations'!A1:C672,3,FALSE)</f>
        <v>11.799275814543098</v>
      </c>
      <c r="J6" s="168" cm="1">
        <f t="array" ref="J6">I6-VLOOKUP(B$2,H1:J407,2,FALSE)</f>
        <v>6.3086324546200423</v>
      </c>
    </row>
    <row r="7" spans="1:10" ht="21.25" customHeight="1" x14ac:dyDescent="0.15">
      <c r="A7" s="10" t="s">
        <v>136</v>
      </c>
      <c r="B7" s="166" t="str" cm="1">
        <f t="array" ref="B7">VLOOKUP(A7,'The List'!B1:D671,3,FALSE)</f>
        <v>RW</v>
      </c>
      <c r="C7" s="74" cm="1">
        <f t="array" ref="C7">IF(Settings!$E$15="POINTS",RANK(E7,E3:E407),H7)</f>
        <v>5</v>
      </c>
      <c r="D7" s="18" t="str" cm="1">
        <f t="array" ref="D7">VLOOKUP(A7,'The List'!B1:F671,5,FALSE)</f>
        <v>BOS</v>
      </c>
      <c r="E7" s="55" cm="1">
        <f t="array" ref="E7">VLOOKUP(A7,'The List'!B1:I671,8,FALSE)</f>
        <v>513.56769092086074</v>
      </c>
      <c r="F7" s="55" cm="1">
        <f t="array" ref="F7">IF(Settings!$E$15="POINTS",E7-VLOOKUP(B$2,C1:E407,3,FALSE),J7)</f>
        <v>162.83467352039861</v>
      </c>
      <c r="G7" s="55"/>
      <c r="H7" s="167" cm="1">
        <f t="array" ref="H7">RANK(I7,I3:I407)</f>
        <v>8</v>
      </c>
      <c r="I7" s="168" cm="1">
        <f t="array" ref="I7">VLOOKUP(A7,'Standard Deviations'!A1:C672,3,FALSE)</f>
        <v>11.067278631660665</v>
      </c>
      <c r="J7" s="168" cm="1">
        <f t="array" ref="J7">I7-VLOOKUP(B$2,H1:J407,2,FALSE)</f>
        <v>5.5766352717376098</v>
      </c>
    </row>
    <row r="8" spans="1:10" ht="21.25" customHeight="1" x14ac:dyDescent="0.15">
      <c r="A8" s="10" t="s">
        <v>138</v>
      </c>
      <c r="B8" s="166" t="str" cm="1">
        <f t="array" ref="B8">VLOOKUP(A8,'The List'!B1:D671,3,FALSE)</f>
        <v>C,LW</v>
      </c>
      <c r="C8" s="74" cm="1">
        <f t="array" ref="C8">IF(Settings!$E$15="POINTS",RANK(E8,E3:E407),H8)</f>
        <v>6</v>
      </c>
      <c r="D8" s="18" t="str" cm="1">
        <f t="array" ref="D8">VLOOKUP(A8,'The List'!B1:F671,5,FALSE)</f>
        <v>EDM</v>
      </c>
      <c r="E8" s="55" cm="1">
        <f t="array" ref="E8">VLOOKUP(A8,'The List'!B1:I671,8,FALSE)</f>
        <v>509.65722947201846</v>
      </c>
      <c r="F8" s="55" cm="1">
        <f t="array" ref="F8">IF(Settings!$E$15="POINTS",E8-VLOOKUP(B$2,C1:E407,3,FALSE),J8)</f>
        <v>158.92421207155633</v>
      </c>
      <c r="G8" s="55"/>
      <c r="H8" s="167" cm="1">
        <f t="array" ref="H8">RANK(I8,I3:I407)</f>
        <v>4</v>
      </c>
      <c r="I8" s="168" cm="1">
        <f t="array" ref="I8">VLOOKUP(A8,'Standard Deviations'!A1:C672,3,FALSE)</f>
        <v>13.230736262853329</v>
      </c>
      <c r="J8" s="168" cm="1">
        <f t="array" ref="J8">I8-VLOOKUP(B$2,H1:J407,2,FALSE)</f>
        <v>7.7400929029302734</v>
      </c>
    </row>
    <row r="9" spans="1:10" ht="21.25" customHeight="1" x14ac:dyDescent="0.15">
      <c r="A9" s="10" t="s">
        <v>142</v>
      </c>
      <c r="B9" s="166" t="str" cm="1">
        <f t="array" ref="B9">VLOOKUP(A9,'The List'!B1:D671,3,FALSE)</f>
        <v>C,LW</v>
      </c>
      <c r="C9" s="74" cm="1">
        <f t="array" ref="C9">IF(Settings!$E$15="POINTS",RANK(E9,E3:E407),H9)</f>
        <v>7</v>
      </c>
      <c r="D9" s="18" t="str" cm="1">
        <f t="array" ref="D9">VLOOKUP(A9,'The List'!B1:F671,5,FALSE)</f>
        <v>N.J</v>
      </c>
      <c r="E9" s="55" cm="1">
        <f t="array" ref="E9">VLOOKUP(A9,'The List'!B1:I671,8,FALSE)</f>
        <v>499.85379527947913</v>
      </c>
      <c r="F9" s="55" cm="1">
        <f t="array" ref="F9">IF(Settings!$E$15="POINTS",E9-VLOOKUP(B$2,C1:E407,3,FALSE),J9)</f>
        <v>149.120777879017</v>
      </c>
      <c r="G9" s="55"/>
      <c r="H9" s="167" cm="1">
        <f t="array" ref="H9">RANK(I9,I3:I407)</f>
        <v>17</v>
      </c>
      <c r="I9" s="168" cm="1">
        <f t="array" ref="I9">VLOOKUP(A9,'Standard Deviations'!A1:C672,3,FALSE)</f>
        <v>9.5002375978834799</v>
      </c>
      <c r="J9" s="168" cm="1">
        <f t="array" ref="J9">I9-VLOOKUP(B$2,H1:J407,2,FALSE)</f>
        <v>4.0095942379604246</v>
      </c>
    </row>
    <row r="10" spans="1:10" ht="21.25" customHeight="1" x14ac:dyDescent="0.15">
      <c r="A10" s="10" t="s">
        <v>139</v>
      </c>
      <c r="B10" s="166" t="str" cm="1">
        <f t="array" ref="B10">VLOOKUP(A10,'The List'!B1:D671,3,FALSE)</f>
        <v>C</v>
      </c>
      <c r="C10" s="74" cm="1">
        <f t="array" ref="C10">IF(Settings!$E$15="POINTS",RANK(E10,E3:E407),H10)</f>
        <v>8</v>
      </c>
      <c r="D10" s="18" t="str" cm="1">
        <f t="array" ref="D10">VLOOKUP(A10,'The List'!B1:F671,5,FALSE)</f>
        <v>VGK</v>
      </c>
      <c r="E10" s="55" cm="1">
        <f t="array" ref="E10">VLOOKUP(A10,'The List'!B1:I671,8,FALSE)</f>
        <v>496.57307154782234</v>
      </c>
      <c r="F10" s="55" cm="1">
        <f t="array" ref="F10">IF(Settings!$E$15="POINTS",E10-VLOOKUP(B$2,C1:E407,3,FALSE),J10)</f>
        <v>145.84005414736021</v>
      </c>
      <c r="G10" s="55"/>
      <c r="H10" s="167" cm="1">
        <f t="array" ref="H10">RANK(I10,I3:I407)</f>
        <v>10</v>
      </c>
      <c r="I10" s="168" cm="1">
        <f t="array" ref="I10">VLOOKUP(A10,'Standard Deviations'!A1:C672,3,FALSE)</f>
        <v>10.660204513073603</v>
      </c>
      <c r="J10" s="168" cm="1">
        <f t="array" ref="J10">I10-VLOOKUP(B$2,H1:J407,2,FALSE)</f>
        <v>5.1695611531505481</v>
      </c>
    </row>
    <row r="11" spans="1:10" ht="21.25" customHeight="1" x14ac:dyDescent="0.15">
      <c r="A11" s="10" t="s">
        <v>140</v>
      </c>
      <c r="B11" s="166" t="str" cm="1">
        <f t="array" ref="B11">VLOOKUP(A11,'The List'!B1:D671,3,FALSE)</f>
        <v>C</v>
      </c>
      <c r="C11" s="74" cm="1">
        <f t="array" ref="C11">IF(Settings!$E$15="POINTS",RANK(E11,E3:E407),H11)</f>
        <v>9</v>
      </c>
      <c r="D11" s="18" t="str" cm="1">
        <f t="array" ref="D11">VLOOKUP(A11,'The List'!B1:F671,5,FALSE)</f>
        <v>TOR</v>
      </c>
      <c r="E11" s="55" cm="1">
        <f t="array" ref="E11">VLOOKUP(A11,'The List'!B1:I671,8,FALSE)</f>
        <v>495.64227558991104</v>
      </c>
      <c r="F11" s="55" cm="1">
        <f t="array" ref="F11">IF(Settings!$E$15="POINTS",E11-VLOOKUP(B$2,C1:E407,3,FALSE),J11)</f>
        <v>144.90925818944891</v>
      </c>
      <c r="G11" s="55"/>
      <c r="H11" s="167" cm="1">
        <f t="array" ref="H11">RANK(I11,I3:I407)</f>
        <v>12</v>
      </c>
      <c r="I11" s="168" cm="1">
        <f t="array" ref="I11">VLOOKUP(A11,'Standard Deviations'!A1:C672,3,FALSE)</f>
        <v>10.262851916762823</v>
      </c>
      <c r="J11" s="168" cm="1">
        <f t="array" ref="J11">I11-VLOOKUP(B$2,H1:J407,2,FALSE)</f>
        <v>4.7722085568397681</v>
      </c>
    </row>
    <row r="12" spans="1:10" ht="21.25" customHeight="1" x14ac:dyDescent="0.15">
      <c r="A12" s="10" t="s">
        <v>143</v>
      </c>
      <c r="B12" s="166" t="str" cm="1">
        <f t="array" ref="B12">VLOOKUP(A12,'The List'!B1:D671,3,FALSE)</f>
        <v>LW,RW</v>
      </c>
      <c r="C12" s="74" cm="1">
        <f t="array" ref="C12">IF(Settings!$E$15="POINTS",RANK(E12,E3:E407),H12)</f>
        <v>10</v>
      </c>
      <c r="D12" s="18" t="str" cm="1">
        <f t="array" ref="D12">VLOOKUP(A12,'The List'!B1:F671,5,FALSE)</f>
        <v>MIN</v>
      </c>
      <c r="E12" s="55" cm="1">
        <f t="array" ref="E12">VLOOKUP(A12,'The List'!B1:I671,8,FALSE)</f>
        <v>484.91184206940261</v>
      </c>
      <c r="F12" s="55" cm="1">
        <f t="array" ref="F12">IF(Settings!$E$15="POINTS",E12-VLOOKUP(B$2,C1:E407,3,FALSE),J12)</f>
        <v>134.17882466894048</v>
      </c>
      <c r="G12" s="55"/>
      <c r="H12" s="167" cm="1">
        <f t="array" ref="H12">RANK(I12,I3:I407)</f>
        <v>6</v>
      </c>
      <c r="I12" s="168" cm="1">
        <f t="array" ref="I12">VLOOKUP(A12,'Standard Deviations'!A1:C672,3,FALSE)</f>
        <v>11.762726894081251</v>
      </c>
      <c r="J12" s="168" cm="1">
        <f t="array" ref="J12">I12-VLOOKUP(B$2,H1:J407,2,FALSE)</f>
        <v>6.2720835341581953</v>
      </c>
    </row>
    <row r="13" spans="1:10" ht="21.25" customHeight="1" x14ac:dyDescent="0.15">
      <c r="A13" s="10" t="s">
        <v>144</v>
      </c>
      <c r="B13" s="166" t="str" cm="1">
        <f t="array" ref="B13">VLOOKUP(A13,'The List'!B1:D671,3,FALSE)</f>
        <v>LW,RW</v>
      </c>
      <c r="C13" s="74" cm="1">
        <f t="array" ref="C13">IF(Settings!$E$15="POINTS",RANK(E13,E3:E407),H13)</f>
        <v>11</v>
      </c>
      <c r="D13" s="18" t="str" cm="1">
        <f t="array" ref="D13">VLOOKUP(A13,'The List'!B1:F671,5,FALSE)</f>
        <v>DAL</v>
      </c>
      <c r="E13" s="55" cm="1">
        <f t="array" ref="E13">VLOOKUP(A13,'The List'!B1:I671,8,FALSE)</f>
        <v>482.26198502606582</v>
      </c>
      <c r="F13" s="55" cm="1">
        <f t="array" ref="F13">IF(Settings!$E$15="POINTS",E13-VLOOKUP(B$2,C1:E407,3,FALSE),J13)</f>
        <v>131.52896762560368</v>
      </c>
      <c r="G13" s="55"/>
      <c r="H13" s="167" cm="1">
        <f t="array" ref="H13">RANK(I13,I3:I407)</f>
        <v>7</v>
      </c>
      <c r="I13" s="168" cm="1">
        <f t="array" ref="I13">VLOOKUP(A13,'Standard Deviations'!A1:C672,3,FALSE)</f>
        <v>11.309423823210317</v>
      </c>
      <c r="J13" s="168" cm="1">
        <f t="array" ref="J13">I13-VLOOKUP(B$2,H1:J407,2,FALSE)</f>
        <v>5.8187804632872613</v>
      </c>
    </row>
    <row r="14" spans="1:10" ht="21.25" customHeight="1" x14ac:dyDescent="0.15">
      <c r="A14" s="10" t="s">
        <v>148</v>
      </c>
      <c r="B14" s="166" t="str" cm="1">
        <f t="array" ref="B14">VLOOKUP(A14,'The List'!B1:D671,3,FALSE)</f>
        <v>LW</v>
      </c>
      <c r="C14" s="74" cm="1">
        <f t="array" ref="C14">IF(Settings!$E$15="POINTS",RANK(E14,E3:E407),H14)</f>
        <v>12</v>
      </c>
      <c r="D14" s="18" t="str" cm="1">
        <f t="array" ref="D14">VLOOKUP(A14,'The List'!B1:F671,5,FALSE)</f>
        <v>MIN</v>
      </c>
      <c r="E14" s="55" cm="1">
        <f t="array" ref="E14">VLOOKUP(A14,'The List'!B1:I671,8,FALSE)</f>
        <v>475.66771056679676</v>
      </c>
      <c r="F14" s="55" cm="1">
        <f t="array" ref="F14">IF(Settings!$E$15="POINTS",E14-VLOOKUP(B$2,C1:E407,3,FALSE),J14)</f>
        <v>124.93469316633463</v>
      </c>
      <c r="G14" s="55"/>
      <c r="H14" s="167" cm="1">
        <f t="array" ref="H14">RANK(I14,I3:I407)</f>
        <v>11</v>
      </c>
      <c r="I14" s="168" cm="1">
        <f t="array" ref="I14">VLOOKUP(A14,'Standard Deviations'!A1:C672,3,FALSE)</f>
        <v>10.511012996838099</v>
      </c>
      <c r="J14" s="168" cm="1">
        <f t="array" ref="J14">I14-VLOOKUP(B$2,H1:J407,2,FALSE)</f>
        <v>5.0203696369150439</v>
      </c>
    </row>
    <row r="15" spans="1:10" ht="21.25" customHeight="1" x14ac:dyDescent="0.15">
      <c r="A15" s="10" t="s">
        <v>155</v>
      </c>
      <c r="B15" s="166" t="str" cm="1">
        <f t="array" ref="B15">VLOOKUP(A15,'The List'!B1:D671,3,FALSE)</f>
        <v>LW</v>
      </c>
      <c r="C15" s="74" cm="1">
        <f t="array" ref="C15">IF(Settings!$E$15="POINTS",RANK(E15,E3:E407),H15)</f>
        <v>13</v>
      </c>
      <c r="D15" s="18" t="str" cm="1">
        <f t="array" ref="D15">VLOOKUP(A15,'The List'!B1:F671,5,FALSE)</f>
        <v>WPG</v>
      </c>
      <c r="E15" s="55" cm="1">
        <f t="array" ref="E15">VLOOKUP(A15,'The List'!B1:I671,8,FALSE)</f>
        <v>449.77356481658967</v>
      </c>
      <c r="F15" s="55" cm="1">
        <f t="array" ref="F15">IF(Settings!$E$15="POINTS",E15-VLOOKUP(B$2,C1:E407,3,FALSE),J15)</f>
        <v>99.040547416127538</v>
      </c>
      <c r="G15" s="55"/>
      <c r="H15" s="167" cm="1">
        <f t="array" ref="H15">RANK(I15,I3:I407)</f>
        <v>33</v>
      </c>
      <c r="I15" s="168" cm="1">
        <f t="array" ref="I15">VLOOKUP(A15,'Standard Deviations'!A1:C672,3,FALSE)</f>
        <v>7.1151731503986202</v>
      </c>
      <c r="J15" s="168" cm="1">
        <f t="array" ref="J15">I15-VLOOKUP(B$2,H1:J407,2,FALSE)</f>
        <v>1.6245297904755649</v>
      </c>
    </row>
    <row r="16" spans="1:10" ht="21.25" customHeight="1" x14ac:dyDescent="0.15">
      <c r="A16" s="10" t="s">
        <v>149</v>
      </c>
      <c r="B16" s="166" t="str" cm="1">
        <f t="array" ref="B16">VLOOKUP(A16,'The List'!B1:D671,3,FALSE)</f>
        <v>C</v>
      </c>
      <c r="C16" s="74" cm="1">
        <f t="array" ref="C16">IF(Settings!$E$15="POINTS",RANK(E16,E3:E407),H16)</f>
        <v>14</v>
      </c>
      <c r="D16" s="18" t="str" cm="1">
        <f t="array" ref="D16">VLOOKUP(A16,'The List'!B1:F671,5,FALSE)</f>
        <v>MTL</v>
      </c>
      <c r="E16" s="55" cm="1">
        <f t="array" ref="E16">VLOOKUP(A16,'The List'!B1:I671,8,FALSE)</f>
        <v>448.75186605027466</v>
      </c>
      <c r="F16" s="55" cm="1">
        <f t="array" ref="F16">IF(Settings!$E$15="POINTS",E16-VLOOKUP(B$2,C1:E407,3,FALSE),J16)</f>
        <v>98.018848649812526</v>
      </c>
      <c r="G16" s="55"/>
      <c r="H16" s="167" cm="1">
        <f t="array" ref="H16">RANK(I16,I3:I407)</f>
        <v>19</v>
      </c>
      <c r="I16" s="168" cm="1">
        <f t="array" ref="I16">VLOOKUP(A16,'Standard Deviations'!A1:C672,3,FALSE)</f>
        <v>9.2557016278736306</v>
      </c>
      <c r="J16" s="168" cm="1">
        <f t="array" ref="J16">I16-VLOOKUP(B$2,H1:J407,2,FALSE)</f>
        <v>3.7650582679505753</v>
      </c>
    </row>
    <row r="17" spans="1:10" ht="21.25" customHeight="1" x14ac:dyDescent="0.15">
      <c r="A17" s="10" t="s">
        <v>154</v>
      </c>
      <c r="B17" s="166" t="str" cm="1">
        <f t="array" ref="B17">VLOOKUP(A17,'The List'!B1:D671,3,FALSE)</f>
        <v>RW</v>
      </c>
      <c r="C17" s="74" cm="1">
        <f t="array" ref="C17">IF(Settings!$E$15="POINTS",RANK(E17,E3:E407),H17)</f>
        <v>15</v>
      </c>
      <c r="D17" s="18" t="str" cm="1">
        <f t="array" ref="D17">VLOOKUP(A17,'The List'!B1:F671,5,FALSE)</f>
        <v>COL</v>
      </c>
      <c r="E17" s="55" cm="1">
        <f t="array" ref="E17">VLOOKUP(A17,'The List'!B1:I671,8,FALSE)</f>
        <v>447.45576947843551</v>
      </c>
      <c r="F17" s="55" cm="1">
        <f t="array" ref="F17">IF(Settings!$E$15="POINTS",E17-VLOOKUP(B$2,C1:E407,3,FALSE),J17)</f>
        <v>96.722752077973382</v>
      </c>
      <c r="G17" s="55"/>
      <c r="H17" s="167" cm="1">
        <f t="array" ref="H17">RANK(I17,I3:I407)</f>
        <v>14</v>
      </c>
      <c r="I17" s="168" cm="1">
        <f t="array" ref="I17">VLOOKUP(A17,'Standard Deviations'!A1:C672,3,FALSE)</f>
        <v>9.9141785280861274</v>
      </c>
      <c r="J17" s="168" cm="1">
        <f t="array" ref="J17">I17-VLOOKUP(B$2,H1:J407,2,FALSE)</f>
        <v>4.4235351681630721</v>
      </c>
    </row>
    <row r="18" spans="1:10" ht="21.25" customHeight="1" x14ac:dyDescent="0.15">
      <c r="A18" s="10" t="s">
        <v>156</v>
      </c>
      <c r="B18" s="166" t="str" cm="1">
        <f t="array" ref="B18">VLOOKUP(A18,'The List'!B1:D671,3,FALSE)</f>
        <v>C,RW</v>
      </c>
      <c r="C18" s="74" cm="1">
        <f t="array" ref="C18">IF(Settings!$E$15="POINTS",RANK(E18,E3:E407),H18)</f>
        <v>16</v>
      </c>
      <c r="D18" s="18" t="str" cm="1">
        <f t="array" ref="D18">VLOOKUP(A18,'The List'!B1:F671,5,FALSE)</f>
        <v>DAL</v>
      </c>
      <c r="E18" s="55" cm="1">
        <f t="array" ref="E18">VLOOKUP(A18,'The List'!B1:I671,8,FALSE)</f>
        <v>442.61340358960956</v>
      </c>
      <c r="F18" s="55" cm="1">
        <f t="array" ref="F18">IF(Settings!$E$15="POINTS",E18-VLOOKUP(B$2,C1:E407,3,FALSE),J18)</f>
        <v>91.88038618914743</v>
      </c>
      <c r="G18" s="55"/>
      <c r="H18" s="167" cm="1">
        <f t="array" ref="H18">RANK(I18,I3:I407)</f>
        <v>15</v>
      </c>
      <c r="I18" s="168" cm="1">
        <f t="array" ref="I18">VLOOKUP(A18,'Standard Deviations'!A1:C672,3,FALSE)</f>
        <v>9.784511660278433</v>
      </c>
      <c r="J18" s="168" cm="1">
        <f t="array" ref="J18">I18-VLOOKUP(B$2,H1:J407,2,FALSE)</f>
        <v>4.2938683003553777</v>
      </c>
    </row>
    <row r="19" spans="1:10" ht="21.25" customHeight="1" x14ac:dyDescent="0.15">
      <c r="A19" s="10" t="s">
        <v>159</v>
      </c>
      <c r="B19" s="166" t="str" cm="1">
        <f t="array" ref="B19">VLOOKUP(A19,'The List'!B1:D671,3,FALSE)</f>
        <v>C,RW</v>
      </c>
      <c r="C19" s="74" cm="1">
        <f t="array" ref="C19">IF(Settings!$E$15="POINTS",RANK(E19,E3:E407),H19)</f>
        <v>17</v>
      </c>
      <c r="D19" s="18" t="str" cm="1">
        <f t="array" ref="D19">VLOOKUP(A19,'The List'!B1:F671,5,FALSE)</f>
        <v>TOR</v>
      </c>
      <c r="E19" s="55" cm="1">
        <f t="array" ref="E19">VLOOKUP(A19,'The List'!B1:I671,8,FALSE)</f>
        <v>440.10286191423052</v>
      </c>
      <c r="F19" s="55" cm="1">
        <f t="array" ref="F19">IF(Settings!$E$15="POINTS",E19-VLOOKUP(B$2,C1:E407,3,FALSE),J19)</f>
        <v>89.369844513768385</v>
      </c>
      <c r="G19" s="55"/>
      <c r="H19" s="167" cm="1">
        <f t="array" ref="H19">RANK(I19,I3:I407)</f>
        <v>28</v>
      </c>
      <c r="I19" s="168" cm="1">
        <f t="array" ref="I19">VLOOKUP(A19,'Standard Deviations'!A1:C672,3,FALSE)</f>
        <v>7.6196700567487516</v>
      </c>
      <c r="J19" s="168" cm="1">
        <f t="array" ref="J19">I19-VLOOKUP(B$2,H1:J407,2,FALSE)</f>
        <v>2.1290266968256963</v>
      </c>
    </row>
    <row r="20" spans="1:10" ht="21.25" customHeight="1" x14ac:dyDescent="0.15">
      <c r="A20" s="10" t="s">
        <v>162</v>
      </c>
      <c r="B20" s="166" t="str" cm="1">
        <f t="array" ref="B20">VLOOKUP(A20,'The List'!B1:D671,3,FALSE)</f>
        <v>C,LW,RW</v>
      </c>
      <c r="C20" s="74" cm="1">
        <f t="array" ref="C20">IF(Settings!$E$15="POINTS",RANK(E20,E3:E407),H20)</f>
        <v>18</v>
      </c>
      <c r="D20" s="18" t="str" cm="1">
        <f t="array" ref="D20">VLOOKUP(A20,'The List'!B1:F671,5,FALSE)</f>
        <v>ANA</v>
      </c>
      <c r="E20" s="55" cm="1">
        <f t="array" ref="E20">VLOOKUP(A20,'The List'!B1:I671,8,FALSE)</f>
        <v>431.07519953197504</v>
      </c>
      <c r="F20" s="55" cm="1">
        <f t="array" ref="F20">IF(Settings!$E$15="POINTS",E20-VLOOKUP(B$2,C1:E407,3,FALSE),J20)</f>
        <v>80.342182131512914</v>
      </c>
      <c r="G20" s="55"/>
      <c r="H20" s="167" cm="1">
        <f t="array" ref="H20">RANK(I20,I3:I407)</f>
        <v>32</v>
      </c>
      <c r="I20" s="168" cm="1">
        <f t="array" ref="I20">VLOOKUP(A20,'Standard Deviations'!A1:C672,3,FALSE)</f>
        <v>7.1712434118436592</v>
      </c>
      <c r="J20" s="168" cm="1">
        <f t="array" ref="J20">I20-VLOOKUP(B$2,H1:J407,2,FALSE)</f>
        <v>1.6806000519206039</v>
      </c>
    </row>
    <row r="21" spans="1:10" ht="21.25" customHeight="1" x14ac:dyDescent="0.15">
      <c r="A21" s="10" t="s">
        <v>164</v>
      </c>
      <c r="B21" s="166" t="str" cm="1">
        <f t="array" ref="B21">VLOOKUP(A21,'The List'!B1:D671,3,FALSE)</f>
        <v>LW,RW</v>
      </c>
      <c r="C21" s="74" cm="1">
        <f t="array" ref="C21">IF(Settings!$E$15="POINTS",RANK(E21,E3:E407),H21)</f>
        <v>19</v>
      </c>
      <c r="D21" s="18" t="str" cm="1">
        <f t="array" ref="D21">VLOOKUP(A21,'The List'!B1:F671,5,FALSE)</f>
        <v>DAL</v>
      </c>
      <c r="E21" s="55" cm="1">
        <f t="array" ref="E21">VLOOKUP(A21,'The List'!B1:I671,8,FALSE)</f>
        <v>429.44531913112792</v>
      </c>
      <c r="F21" s="55" cm="1">
        <f t="array" ref="F21">IF(Settings!$E$15="POINTS",E21-VLOOKUP(B$2,C1:E407,3,FALSE),J21)</f>
        <v>78.712301730665786</v>
      </c>
      <c r="G21" s="55"/>
      <c r="H21" s="167" cm="1">
        <f t="array" ref="H21">RANK(I21,I3:I407)</f>
        <v>9</v>
      </c>
      <c r="I21" s="168" cm="1">
        <f t="array" ref="I21">VLOOKUP(A21,'Standard Deviations'!A1:C672,3,FALSE)</f>
        <v>10.966766360835466</v>
      </c>
      <c r="J21" s="168" cm="1">
        <f t="array" ref="J21">I21-VLOOKUP(B$2,H1:J407,2,FALSE)</f>
        <v>5.4761230009124109</v>
      </c>
    </row>
    <row r="22" spans="1:10" ht="21.25" customHeight="1" x14ac:dyDescent="0.15">
      <c r="A22" s="10" t="s">
        <v>168</v>
      </c>
      <c r="B22" s="166" t="str" cm="1">
        <f t="array" ref="B22">VLOOKUP(A22,'The List'!B1:D671,3,FALSE)</f>
        <v>LW,RW</v>
      </c>
      <c r="C22" s="74" cm="1">
        <f t="array" ref="C22">IF(Settings!$E$15="POINTS",RANK(E22,E3:E407),H22)</f>
        <v>20</v>
      </c>
      <c r="D22" s="18" t="str" cm="1">
        <f t="array" ref="D22">VLOOKUP(A22,'The List'!B1:F671,5,FALSE)</f>
        <v>UTA</v>
      </c>
      <c r="E22" s="55" cm="1">
        <f t="array" ref="E22">VLOOKUP(A22,'The List'!B1:I671,8,FALSE)</f>
        <v>421.1259218806934</v>
      </c>
      <c r="F22" s="55" cm="1">
        <f t="array" ref="F22">IF(Settings!$E$15="POINTS",E22-VLOOKUP(B$2,C1:E407,3,FALSE),J22)</f>
        <v>70.392904480231266</v>
      </c>
      <c r="G22" s="55"/>
      <c r="H22" s="167" cm="1">
        <f t="array" ref="H22">RANK(I22,I3:I407)</f>
        <v>22</v>
      </c>
      <c r="I22" s="168" cm="1">
        <f t="array" ref="I22">VLOOKUP(A22,'Standard Deviations'!A1:C672,3,FALSE)</f>
        <v>8.0246101399434515</v>
      </c>
      <c r="J22" s="168" cm="1">
        <f t="array" ref="J22">I22-VLOOKUP(B$2,H1:J407,2,FALSE)</f>
        <v>2.5339667800203962</v>
      </c>
    </row>
    <row r="23" spans="1:10" ht="21.25" customHeight="1" x14ac:dyDescent="0.15">
      <c r="A23" s="10" t="s">
        <v>169</v>
      </c>
      <c r="B23" s="166" t="str" cm="1">
        <f t="array" ref="B23">VLOOKUP(A23,'The List'!B1:D671,3,FALSE)</f>
        <v>LW,RW</v>
      </c>
      <c r="C23" s="74" cm="1">
        <f t="array" ref="C23">IF(Settings!$E$15="POINTS",RANK(E23,E3:E407),H23)</f>
        <v>21</v>
      </c>
      <c r="D23" s="18" t="str" cm="1">
        <f t="array" ref="D23">VLOOKUP(A23,'The List'!B1:F671,5,FALSE)</f>
        <v>UTA</v>
      </c>
      <c r="E23" s="55" cm="1">
        <f t="array" ref="E23">VLOOKUP(A23,'The List'!B1:I671,8,FALSE)</f>
        <v>420.17530426193724</v>
      </c>
      <c r="F23" s="55" cm="1">
        <f t="array" ref="F23">IF(Settings!$E$15="POINTS",E23-VLOOKUP(B$2,C1:E407,3,FALSE),J23)</f>
        <v>69.442286861475111</v>
      </c>
      <c r="G23" s="55"/>
      <c r="H23" s="167" cm="1">
        <f t="array" ref="H23">RANK(I23,I3:I407)</f>
        <v>23</v>
      </c>
      <c r="I23" s="168" cm="1">
        <f t="array" ref="I23">VLOOKUP(A23,'Standard Deviations'!A1:C672,3,FALSE)</f>
        <v>7.9550365125768741</v>
      </c>
      <c r="J23" s="168" cm="1">
        <f t="array" ref="J23">I23-VLOOKUP(B$2,H1:J407,2,FALSE)</f>
        <v>2.4643931526538188</v>
      </c>
    </row>
    <row r="24" spans="1:10" ht="21.25" customHeight="1" x14ac:dyDescent="0.15">
      <c r="A24" s="10" t="s">
        <v>165</v>
      </c>
      <c r="B24" s="166" t="str" cm="1">
        <f t="array" ref="B24">VLOOKUP(A24,'The List'!B1:D671,3,FALSE)</f>
        <v>C</v>
      </c>
      <c r="C24" s="74" cm="1">
        <f t="array" ref="C24">IF(Settings!$E$15="POINTS",RANK(E24,E3:E407),H24)</f>
        <v>22</v>
      </c>
      <c r="D24" s="18" t="str" cm="1">
        <f t="array" ref="D24">VLOOKUP(A24,'The List'!B1:F671,5,FALSE)</f>
        <v>ANA</v>
      </c>
      <c r="E24" s="55" cm="1">
        <f t="array" ref="E24">VLOOKUP(A24,'The List'!B1:I671,8,FALSE)</f>
        <v>419.95061535469569</v>
      </c>
      <c r="F24" s="55" cm="1">
        <f t="array" ref="F24">IF(Settings!$E$15="POINTS",E24-VLOOKUP(B$2,C1:E407,3,FALSE),J24)</f>
        <v>69.217597954233554</v>
      </c>
      <c r="G24" s="55"/>
      <c r="H24" s="167" cm="1">
        <f t="array" ref="H24">RANK(I24,I3:I407)</f>
        <v>51</v>
      </c>
      <c r="I24" s="168" cm="1">
        <f t="array" ref="I24">VLOOKUP(A24,'Standard Deviations'!A1:C672,3,FALSE)</f>
        <v>5.8861300810524071</v>
      </c>
      <c r="J24" s="168" cm="1">
        <f t="array" ref="J24">I24-VLOOKUP(B$2,H1:J407,2,FALSE)</f>
        <v>0.39548672112935179</v>
      </c>
    </row>
    <row r="25" spans="1:10" ht="21.25" customHeight="1" x14ac:dyDescent="0.15">
      <c r="A25" s="10" t="s">
        <v>171</v>
      </c>
      <c r="B25" s="166" t="str" cm="1">
        <f t="array" ref="B25">VLOOKUP(A25,'The List'!B1:D671,3,FALSE)</f>
        <v>C,RW</v>
      </c>
      <c r="C25" s="74" cm="1">
        <f t="array" ref="C25">IF(Settings!$E$15="POINTS",RANK(E25,E3:E407),H25)</f>
        <v>23</v>
      </c>
      <c r="D25" s="18" t="str" cm="1">
        <f t="array" ref="D25">VLOOKUP(A25,'The List'!B1:F671,5,FALSE)</f>
        <v>BUF</v>
      </c>
      <c r="E25" s="55" cm="1">
        <f t="array" ref="E25">VLOOKUP(A25,'The List'!B1:I671,8,FALSE)</f>
        <v>417.52590445678203</v>
      </c>
      <c r="F25" s="55" cm="1">
        <f t="array" ref="F25">IF(Settings!$E$15="POINTS",E25-VLOOKUP(B$2,C1:E407,3,FALSE),J25)</f>
        <v>66.792887056319898</v>
      </c>
      <c r="G25" s="55"/>
      <c r="H25" s="167" cm="1">
        <f t="array" ref="H25">RANK(I25,I3:I407)</f>
        <v>27</v>
      </c>
      <c r="I25" s="168" cm="1">
        <f t="array" ref="I25">VLOOKUP(A25,'Standard Deviations'!A1:C672,3,FALSE)</f>
        <v>7.7487190265722159</v>
      </c>
      <c r="J25" s="168" cm="1">
        <f t="array" ref="J25">I25-VLOOKUP(B$2,H1:J407,2,FALSE)</f>
        <v>2.2580756666491606</v>
      </c>
    </row>
    <row r="26" spans="1:10" ht="21.25" customHeight="1" x14ac:dyDescent="0.15">
      <c r="A26" s="10" t="s">
        <v>176</v>
      </c>
      <c r="B26" s="166" t="str" cm="1">
        <f t="array" ref="B26">VLOOKUP(A26,'The List'!B1:D671,3,FALSE)</f>
        <v>LW,RW</v>
      </c>
      <c r="C26" s="74" cm="1">
        <f t="array" ref="C26">IF(Settings!$E$15="POINTS",RANK(E26,E3:E407),H26)</f>
        <v>24</v>
      </c>
      <c r="D26" s="18" t="str" cm="1">
        <f t="array" ref="D26">VLOOKUP(A26,'The List'!B1:F671,5,FALSE)</f>
        <v>DET</v>
      </c>
      <c r="E26" s="55" cm="1">
        <f t="array" ref="E26">VLOOKUP(A26,'The List'!B1:I671,8,FALSE)</f>
        <v>414.42600016670809</v>
      </c>
      <c r="F26" s="55" cm="1">
        <f t="array" ref="F26">IF(Settings!$E$15="POINTS",E26-VLOOKUP(B$2,C1:E407,3,FALSE),J26)</f>
        <v>63.692982766245962</v>
      </c>
      <c r="G26" s="55"/>
      <c r="H26" s="167" cm="1">
        <f t="array" ref="H26">RANK(I26,I3:I407)</f>
        <v>36</v>
      </c>
      <c r="I26" s="168" cm="1">
        <f t="array" ref="I26">VLOOKUP(A26,'Standard Deviations'!A1:C672,3,FALSE)</f>
        <v>7.0210080392316865</v>
      </c>
      <c r="J26" s="168" cm="1">
        <f t="array" ref="J26">I26-VLOOKUP(B$2,H1:J407,2,FALSE)</f>
        <v>1.5303646793086312</v>
      </c>
    </row>
    <row r="27" spans="1:10" ht="21.25" customHeight="1" x14ac:dyDescent="0.15">
      <c r="A27" s="10" t="s">
        <v>182</v>
      </c>
      <c r="B27" s="166" t="str" cm="1">
        <f t="array" ref="B27">VLOOKUP(A27,'The List'!B1:D671,3,FALSE)</f>
        <v>LW</v>
      </c>
      <c r="C27" s="74" cm="1">
        <f t="array" ref="C27">IF(Settings!$E$15="POINTS",RANK(E27,E3:E407),H27)</f>
        <v>25</v>
      </c>
      <c r="D27" s="18" t="str" cm="1">
        <f t="array" ref="D27">VLOOKUP(A27,'The List'!B1:F671,5,FALSE)</f>
        <v>L.A</v>
      </c>
      <c r="E27" s="55" cm="1">
        <f t="array" ref="E27">VLOOKUP(A27,'The List'!B1:I671,8,FALSE)</f>
        <v>414.13956054448539</v>
      </c>
      <c r="F27" s="55" cm="1">
        <f t="array" ref="F27">IF(Settings!$E$15="POINTS",E27-VLOOKUP(B$2,C1:E407,3,FALSE),J27)</f>
        <v>63.40654314402326</v>
      </c>
      <c r="G27" s="55"/>
      <c r="H27" s="167" cm="1">
        <f t="array" ref="H27">RANK(I27,I3:I407)</f>
        <v>45</v>
      </c>
      <c r="I27" s="168" cm="1">
        <f t="array" ref="I27">VLOOKUP(A27,'Standard Deviations'!A1:C672,3,FALSE)</f>
        <v>6.4898329739021241</v>
      </c>
      <c r="J27" s="168" cm="1">
        <f t="array" ref="J27">I27-VLOOKUP(B$2,H1:J407,2,FALSE)</f>
        <v>0.9991896139790688</v>
      </c>
    </row>
    <row r="28" spans="1:10" ht="21.25" customHeight="1" x14ac:dyDescent="0.15">
      <c r="A28" s="10" t="s">
        <v>179</v>
      </c>
      <c r="B28" s="166" t="str" cm="1">
        <f t="array" ref="B28">VLOOKUP(A28,'The List'!B1:D671,3,FALSE)</f>
        <v>LW,RW</v>
      </c>
      <c r="C28" s="74" cm="1">
        <f t="array" ref="C28">IF(Settings!$E$15="POINTS",RANK(E28,E3:E407),H28)</f>
        <v>26</v>
      </c>
      <c r="D28" s="18" t="str" cm="1">
        <f t="array" ref="D28">VLOOKUP(A28,'The List'!B1:F671,5,FALSE)</f>
        <v>MTL</v>
      </c>
      <c r="E28" s="55" cm="1">
        <f t="array" ref="E28">VLOOKUP(A28,'The List'!B1:I671,8,FALSE)</f>
        <v>412.80847420064674</v>
      </c>
      <c r="F28" s="55" cm="1">
        <f t="array" ref="F28">IF(Settings!$E$15="POINTS",E28-VLOOKUP(B$2,C1:E407,3,FALSE),J28)</f>
        <v>62.075456800184611</v>
      </c>
      <c r="G28" s="55"/>
      <c r="H28" s="167" cm="1">
        <f t="array" ref="H28">RANK(I28,I3:I407)</f>
        <v>29</v>
      </c>
      <c r="I28" s="168" cm="1">
        <f t="array" ref="I28">VLOOKUP(A28,'Standard Deviations'!A1:C672,3,FALSE)</f>
        <v>7.3542571314399572</v>
      </c>
      <c r="J28" s="168" cm="1">
        <f t="array" ref="J28">I28-VLOOKUP(B$2,H1:J407,2,FALSE)</f>
        <v>1.8636137715169019</v>
      </c>
    </row>
    <row r="29" spans="1:10" ht="21.25" customHeight="1" x14ac:dyDescent="0.15">
      <c r="A29" s="10" t="s">
        <v>185</v>
      </c>
      <c r="B29" s="166" t="str" cm="1">
        <f t="array" ref="B29">VLOOKUP(A29,'The List'!B1:D671,3,FALSE)</f>
        <v>LW,RW</v>
      </c>
      <c r="C29" s="74" cm="1">
        <f t="array" ref="C29">IF(Settings!$E$15="POINTS",RANK(E29,E3:E407),H29)</f>
        <v>27</v>
      </c>
      <c r="D29" s="18" t="str" cm="1">
        <f t="array" ref="D29">VLOOKUP(A29,'The List'!B1:F671,5,FALSE)</f>
        <v>FLA</v>
      </c>
      <c r="E29" s="55" cm="1">
        <f t="array" ref="E29">VLOOKUP(A29,'The List'!B1:I671,8,FALSE)</f>
        <v>409.03605123904606</v>
      </c>
      <c r="F29" s="55" cm="1">
        <f t="array" ref="F29">IF(Settings!$E$15="POINTS",E29-VLOOKUP(B$2,C1:E407,3,FALSE),J29)</f>
        <v>58.303033838583929</v>
      </c>
      <c r="G29" s="55"/>
      <c r="H29" s="167" cm="1">
        <f t="array" ref="H29">RANK(I29,I3:I407)</f>
        <v>13</v>
      </c>
      <c r="I29" s="168" cm="1">
        <f t="array" ref="I29">VLOOKUP(A29,'Standard Deviations'!A1:C672,3,FALSE)</f>
        <v>10.159290277344384</v>
      </c>
      <c r="J29" s="168" cm="1">
        <f t="array" ref="J29">I29-VLOOKUP(B$2,H1:J407,2,FALSE)</f>
        <v>4.668646917421329</v>
      </c>
    </row>
    <row r="30" spans="1:10" ht="21.25" customHeight="1" x14ac:dyDescent="0.15">
      <c r="A30" s="10" t="s">
        <v>190</v>
      </c>
      <c r="B30" s="166" t="str" cm="1">
        <f t="array" ref="B30">VLOOKUP(A30,'The List'!B1:D671,3,FALSE)</f>
        <v>LW</v>
      </c>
      <c r="C30" s="74" cm="1">
        <f t="array" ref="C30">IF(Settings!$E$15="POINTS",RANK(E30,E3:E407),H30)</f>
        <v>28</v>
      </c>
      <c r="D30" s="18" t="str" cm="1">
        <f t="array" ref="D30">VLOOKUP(A30,'The List'!B1:F671,5,FALSE)</f>
        <v>NSH</v>
      </c>
      <c r="E30" s="55" cm="1">
        <f t="array" ref="E30">VLOOKUP(A30,'The List'!B1:I671,8,FALSE)</f>
        <v>409.00654484962962</v>
      </c>
      <c r="F30" s="55" cm="1">
        <f t="array" ref="F30">IF(Settings!$E$15="POINTS",E30-VLOOKUP(B$2,C1:E407,3,FALSE),J30)</f>
        <v>58.273527449167489</v>
      </c>
      <c r="G30" s="55"/>
      <c r="H30" s="167" cm="1">
        <f t="array" ref="H30">RANK(I30,I3:I407)</f>
        <v>38</v>
      </c>
      <c r="I30" s="168" cm="1">
        <f t="array" ref="I30">VLOOKUP(A30,'Standard Deviations'!A1:C672,3,FALSE)</f>
        <v>6.9685181931353144</v>
      </c>
      <c r="J30" s="168" cm="1">
        <f t="array" ref="J30">I30-VLOOKUP(B$2,H1:J407,2,FALSE)</f>
        <v>1.4778748332122591</v>
      </c>
    </row>
    <row r="31" spans="1:10" ht="21.25" customHeight="1" x14ac:dyDescent="0.15">
      <c r="A31" s="10" t="s">
        <v>173</v>
      </c>
      <c r="B31" s="166" t="str" cm="1">
        <f t="array" ref="B31">VLOOKUP(A31,'The List'!B1:D671,3,FALSE)</f>
        <v>C</v>
      </c>
      <c r="C31" s="74" cm="1">
        <f t="array" ref="C31">IF(Settings!$E$15="POINTS",RANK(E31,E3:E407),H31)</f>
        <v>29</v>
      </c>
      <c r="D31" s="18" t="str" cm="1">
        <f t="array" ref="D31">VLOOKUP(A31,'The List'!B1:F671,5,FALSE)</f>
        <v>FLA</v>
      </c>
      <c r="E31" s="55" cm="1">
        <f t="array" ref="E31">VLOOKUP(A31,'The List'!B1:I671,8,FALSE)</f>
        <v>408.20016425027711</v>
      </c>
      <c r="F31" s="55" cm="1">
        <f t="array" ref="F31">IF(Settings!$E$15="POINTS",E31-VLOOKUP(B$2,C1:E407,3,FALSE),J31)</f>
        <v>57.467146849814981</v>
      </c>
      <c r="G31" s="55"/>
      <c r="H31" s="167" cm="1">
        <f t="array" ref="H31">RANK(I31,I3:I407)</f>
        <v>26</v>
      </c>
      <c r="I31" s="168" cm="1">
        <f t="array" ref="I31">VLOOKUP(A31,'Standard Deviations'!A1:C672,3,FALSE)</f>
        <v>7.7641873069054217</v>
      </c>
      <c r="J31" s="168" cm="1">
        <f t="array" ref="J31">I31-VLOOKUP(B$2,H1:J407,2,FALSE)</f>
        <v>2.2735439469823664</v>
      </c>
    </row>
    <row r="32" spans="1:10" ht="21.25" customHeight="1" x14ac:dyDescent="0.15">
      <c r="A32" s="10" t="s">
        <v>188</v>
      </c>
      <c r="B32" s="166" t="str" cm="1">
        <f t="array" ref="B32">VLOOKUP(A32,'The List'!B1:D671,3,FALSE)</f>
        <v>C,LW,RW</v>
      </c>
      <c r="C32" s="74" cm="1">
        <f t="array" ref="C32">IF(Settings!$E$15="POINTS",RANK(E32,E3:E407),H32)</f>
        <v>30</v>
      </c>
      <c r="D32" s="18" t="str" cm="1">
        <f t="array" ref="D32">VLOOKUP(A32,'The List'!B1:F671,5,FALSE)</f>
        <v>VGK</v>
      </c>
      <c r="E32" s="55" cm="1">
        <f t="array" ref="E32">VLOOKUP(A32,'The List'!B1:I671,8,FALSE)</f>
        <v>407.01221704076733</v>
      </c>
      <c r="F32" s="55" cm="1">
        <f t="array" ref="F32">IF(Settings!$E$15="POINTS",E32-VLOOKUP(B$2,C1:E407,3,FALSE),J32)</f>
        <v>56.279199640305194</v>
      </c>
      <c r="G32" s="55"/>
      <c r="H32" s="167" cm="1">
        <f t="array" ref="H32">RANK(I32,I3:I407)</f>
        <v>31</v>
      </c>
      <c r="I32" s="168" cm="1">
        <f t="array" ref="I32">VLOOKUP(A32,'Standard Deviations'!A1:C672,3,FALSE)</f>
        <v>7.3167480216897305</v>
      </c>
      <c r="J32" s="168" cm="1">
        <f t="array" ref="J32">I32-VLOOKUP(B$2,H1:J407,2,FALSE)</f>
        <v>1.8261046617666752</v>
      </c>
    </row>
    <row r="33" spans="1:10" ht="21.25" customHeight="1" x14ac:dyDescent="0.15">
      <c r="A33" s="10" t="s">
        <v>175</v>
      </c>
      <c r="B33" s="166" t="str" cm="1">
        <f t="array" ref="B33">VLOOKUP(A33,'The List'!B1:D671,3,FALSE)</f>
        <v>C</v>
      </c>
      <c r="C33" s="74" cm="1">
        <f t="array" ref="C33">IF(Settings!$E$15="POINTS",RANK(E33,E3:E407),H33)</f>
        <v>31</v>
      </c>
      <c r="D33" s="18" t="str" cm="1">
        <f t="array" ref="D33">VLOOKUP(A33,'The List'!B1:F671,5,FALSE)</f>
        <v>PIT</v>
      </c>
      <c r="E33" s="55" cm="1">
        <f t="array" ref="E33">VLOOKUP(A33,'The List'!B1:I671,8,FALSE)</f>
        <v>406.17400647248132</v>
      </c>
      <c r="F33" s="55" cm="1">
        <f t="array" ref="F33">IF(Settings!$E$15="POINTS",E33-VLOOKUP(B$2,C1:E407,3,FALSE),J33)</f>
        <v>55.440989072019192</v>
      </c>
      <c r="G33" s="55"/>
      <c r="H33" s="167" cm="1">
        <f t="array" ref="H33">RANK(I33,I3:I407)</f>
        <v>35</v>
      </c>
      <c r="I33" s="168" cm="1">
        <f t="array" ref="I33">VLOOKUP(A33,'Standard Deviations'!A1:C672,3,FALSE)</f>
        <v>7.0827325791123839</v>
      </c>
      <c r="J33" s="168" cm="1">
        <f t="array" ref="J33">I33-VLOOKUP(B$2,H1:J407,2,FALSE)</f>
        <v>1.5920892191893286</v>
      </c>
    </row>
    <row r="34" spans="1:10" ht="21.25" customHeight="1" x14ac:dyDescent="0.15">
      <c r="A34" s="10" t="s">
        <v>181</v>
      </c>
      <c r="B34" s="166" t="str" cm="1">
        <f t="array" ref="B34">VLOOKUP(A34,'The List'!B1:D671,3,FALSE)</f>
        <v>C</v>
      </c>
      <c r="C34" s="74" cm="1">
        <f t="array" ref="C34">IF(Settings!$E$15="POINTS",RANK(E34,E3:E407),H34)</f>
        <v>32</v>
      </c>
      <c r="D34" s="18" t="str" cm="1">
        <f t="array" ref="D34">VLOOKUP(A34,'The List'!B1:F671,5,FALSE)</f>
        <v>WPG</v>
      </c>
      <c r="E34" s="55" cm="1">
        <f t="array" ref="E34">VLOOKUP(A34,'The List'!B1:I671,8,FALSE)</f>
        <v>401.75318611888156</v>
      </c>
      <c r="F34" s="55" cm="1">
        <f t="array" ref="F34">IF(Settings!$E$15="POINTS",E34-VLOOKUP(B$2,C1:E407,3,FALSE),J34)</f>
        <v>51.020168718419427</v>
      </c>
      <c r="G34" s="55"/>
      <c r="H34" s="167" cm="1">
        <f t="array" ref="H34">RANK(I34,I3:I407)</f>
        <v>34</v>
      </c>
      <c r="I34" s="168" cm="1">
        <f t="array" ref="I34">VLOOKUP(A34,'Standard Deviations'!A1:C672,3,FALSE)</f>
        <v>7.1083929049250152</v>
      </c>
      <c r="J34" s="168" cm="1">
        <f t="array" ref="J34">I34-VLOOKUP(B$2,H1:J407,2,FALSE)</f>
        <v>1.6177495450019599</v>
      </c>
    </row>
    <row r="35" spans="1:10" ht="21.25" customHeight="1" x14ac:dyDescent="0.15">
      <c r="A35" s="10" t="s">
        <v>192</v>
      </c>
      <c r="B35" s="166" t="str" cm="1">
        <f t="array" ref="B35">VLOOKUP(A35,'The List'!B1:D671,3,FALSE)</f>
        <v>LW,RW</v>
      </c>
      <c r="C35" s="74" cm="1">
        <f t="array" ref="C35">IF(Settings!$E$15="POINTS",RANK(E35,E3:E407),H35)</f>
        <v>33</v>
      </c>
      <c r="D35" s="18" t="str" cm="1">
        <f t="array" ref="D35">VLOOKUP(A35,'The List'!B1:F671,5,FALSE)</f>
        <v>T.B</v>
      </c>
      <c r="E35" s="55" cm="1">
        <f t="array" ref="E35">VLOOKUP(A35,'The List'!B1:I671,8,FALSE)</f>
        <v>399.31299331372009</v>
      </c>
      <c r="F35" s="55" cm="1">
        <f t="array" ref="F35">IF(Settings!$E$15="POINTS",E35-VLOOKUP(B$2,C1:E407,3,FALSE),J35)</f>
        <v>48.579975913257954</v>
      </c>
      <c r="G35" s="55"/>
      <c r="H35" s="167" cm="1">
        <f t="array" ref="H35">RANK(I35,I3:I407)</f>
        <v>20</v>
      </c>
      <c r="I35" s="168" cm="1">
        <f t="array" ref="I35">VLOOKUP(A35,'Standard Deviations'!A1:C672,3,FALSE)</f>
        <v>8.7150618533856807</v>
      </c>
      <c r="J35" s="168" cm="1">
        <f t="array" ref="J35">I35-VLOOKUP(B$2,H1:J407,2,FALSE)</f>
        <v>3.2244184934626254</v>
      </c>
    </row>
    <row r="36" spans="1:10" ht="21.25" customHeight="1" x14ac:dyDescent="0.15">
      <c r="A36" s="10" t="s">
        <v>193</v>
      </c>
      <c r="B36" s="166" t="str" cm="1">
        <f t="array" ref="B36">VLOOKUP(A36,'The List'!B1:D671,3,FALSE)</f>
        <v>RW</v>
      </c>
      <c r="C36" s="74" cm="1">
        <f t="array" ref="C36">IF(Settings!$E$15="POINTS",RANK(E36,E3:E407),H36)</f>
        <v>34</v>
      </c>
      <c r="D36" s="18" t="str" cm="1">
        <f t="array" ref="D36">VLOOKUP(A36,'The List'!B1:F671,5,FALSE)</f>
        <v>DET</v>
      </c>
      <c r="E36" s="55" cm="1">
        <f t="array" ref="E36">VLOOKUP(A36,'The List'!B1:I671,8,FALSE)</f>
        <v>398.7504136781717</v>
      </c>
      <c r="F36" s="55" cm="1">
        <f t="array" ref="F36">IF(Settings!$E$15="POINTS",E36-VLOOKUP(B$2,C1:E407,3,FALSE),J36)</f>
        <v>48.017396277709565</v>
      </c>
      <c r="G36" s="55"/>
      <c r="H36" s="167" cm="1">
        <f t="array" ref="H36">RANK(I36,I3:I407)</f>
        <v>55</v>
      </c>
      <c r="I36" s="168" cm="1">
        <f t="array" ref="I36">VLOOKUP(A36,'Standard Deviations'!A1:C672,3,FALSE)</f>
        <v>5.6577775945022708</v>
      </c>
      <c r="J36" s="168" cm="1">
        <f t="array" ref="J36">I36-VLOOKUP(B$2,H1:J407,2,FALSE)</f>
        <v>0.1671342345792155</v>
      </c>
    </row>
    <row r="37" spans="1:10" ht="21.25" customHeight="1" x14ac:dyDescent="0.15">
      <c r="A37" s="10" t="s">
        <v>195</v>
      </c>
      <c r="B37" s="166" t="str" cm="1">
        <f t="array" ref="B37">VLOOKUP(A37,'The List'!B1:D671,3,FALSE)</f>
        <v>LW,RW</v>
      </c>
      <c r="C37" s="74" cm="1">
        <f t="array" ref="C37">IF(Settings!$E$15="POINTS",RANK(E37,E3:E407),H37)</f>
        <v>35</v>
      </c>
      <c r="D37" s="18" t="str" cm="1">
        <f t="array" ref="D37">VLOOKUP(A37,'The List'!B1:F671,5,FALSE)</f>
        <v>T.B</v>
      </c>
      <c r="E37" s="55" cm="1">
        <f t="array" ref="E37">VLOOKUP(A37,'The List'!B1:I671,8,FALSE)</f>
        <v>397.59998409230695</v>
      </c>
      <c r="F37" s="55" cm="1">
        <f t="array" ref="F37">IF(Settings!$E$15="POINTS",E37-VLOOKUP(B$2,C1:E407,3,FALSE),J37)</f>
        <v>46.866966691844823</v>
      </c>
      <c r="G37" s="55"/>
      <c r="H37" s="167" cm="1">
        <f t="array" ref="H37">RANK(I37,I3:I407)</f>
        <v>16</v>
      </c>
      <c r="I37" s="168" cm="1">
        <f t="array" ref="I37">VLOOKUP(A37,'Standard Deviations'!A1:C672,3,FALSE)</f>
        <v>9.6746821991179619</v>
      </c>
      <c r="J37" s="168" cm="1">
        <f t="array" ref="J37">I37-VLOOKUP(B$2,H1:J407,2,FALSE)</f>
        <v>4.1840388391949066</v>
      </c>
    </row>
    <row r="38" spans="1:10" ht="21.25" customHeight="1" x14ac:dyDescent="0.15">
      <c r="A38" s="10" t="s">
        <v>198</v>
      </c>
      <c r="B38" s="166" t="str" cm="1">
        <f t="array" ref="B38">VLOOKUP(A38,'The List'!B1:D671,3,FALSE)</f>
        <v>C,RW</v>
      </c>
      <c r="C38" s="74" cm="1">
        <f t="array" ref="C38">IF(Settings!$E$15="POINTS",RANK(E38,E3:E407),H38)</f>
        <v>36</v>
      </c>
      <c r="D38" s="18" t="str" cm="1">
        <f t="array" ref="D38">VLOOKUP(A38,'The List'!B1:F671,5,FALSE)</f>
        <v>NYR</v>
      </c>
      <c r="E38" s="55" cm="1">
        <f t="array" ref="E38">VLOOKUP(A38,'The List'!B1:I671,8,FALSE)</f>
        <v>394.94346469355747</v>
      </c>
      <c r="F38" s="55" cm="1">
        <f t="array" ref="F38">IF(Settings!$E$15="POINTS",E38-VLOOKUP(B$2,C1:E407,3,FALSE),J38)</f>
        <v>44.210447293095342</v>
      </c>
      <c r="G38" s="55"/>
      <c r="H38" s="167" cm="1">
        <f t="array" ref="H38">RANK(I38,I3:I407)</f>
        <v>53</v>
      </c>
      <c r="I38" s="168" cm="1">
        <f t="array" ref="I38">VLOOKUP(A38,'Standard Deviations'!A1:C672,3,FALSE)</f>
        <v>5.7305508910243264</v>
      </c>
      <c r="J38" s="168" cm="1">
        <f t="array" ref="J38">I38-VLOOKUP(B$2,H1:J407,2,FALSE)</f>
        <v>0.23990753110127105</v>
      </c>
    </row>
    <row r="39" spans="1:10" ht="21.25" customHeight="1" x14ac:dyDescent="0.15">
      <c r="A39" s="10" t="s">
        <v>201</v>
      </c>
      <c r="B39" s="166" t="str" cm="1">
        <f t="array" ref="B39">VLOOKUP(A39,'The List'!B1:D671,3,FALSE)</f>
        <v>RW</v>
      </c>
      <c r="C39" s="74" cm="1">
        <f t="array" ref="C39">IF(Settings!$E$15="POINTS",RANK(E39,E3:E407),H39)</f>
        <v>37</v>
      </c>
      <c r="D39" s="18" t="str" cm="1">
        <f t="array" ref="D39">VLOOKUP(A39,'The List'!B1:F671,5,FALSE)</f>
        <v>FLA</v>
      </c>
      <c r="E39" s="55" cm="1">
        <f t="array" ref="E39">VLOOKUP(A39,'The List'!B1:I671,8,FALSE)</f>
        <v>392.22670305232941</v>
      </c>
      <c r="F39" s="55" cm="1">
        <f t="array" ref="F39">IF(Settings!$E$15="POINTS",E39-VLOOKUP(B$2,C1:E407,3,FALSE),J39)</f>
        <v>41.493685651867281</v>
      </c>
      <c r="G39" s="55"/>
      <c r="H39" s="167" cm="1">
        <f t="array" ref="H39">RANK(I39,I3:I407)</f>
        <v>41</v>
      </c>
      <c r="I39" s="168" cm="1">
        <f t="array" ref="I39">VLOOKUP(A39,'Standard Deviations'!A1:C672,3,FALSE)</f>
        <v>6.8168801389860549</v>
      </c>
      <c r="J39" s="168" cm="1">
        <f t="array" ref="J39">I39-VLOOKUP(B$2,H1:J407,2,FALSE)</f>
        <v>1.3262367790629996</v>
      </c>
    </row>
    <row r="40" spans="1:10" ht="21.25" customHeight="1" x14ac:dyDescent="0.15">
      <c r="A40" s="10" t="s">
        <v>196</v>
      </c>
      <c r="B40" s="166" t="str" cm="1">
        <f t="array" ref="B40">VLOOKUP(A40,'The List'!B1:D671,3,FALSE)</f>
        <v>C</v>
      </c>
      <c r="C40" s="74" cm="1">
        <f t="array" ref="C40">IF(Settings!$E$15="POINTS",RANK(E40,E3:E407),H40)</f>
        <v>38</v>
      </c>
      <c r="D40" s="18" t="str" cm="1">
        <f t="array" ref="D40">VLOOKUP(A40,'The List'!B1:F671,5,FALSE)</f>
        <v>N.J</v>
      </c>
      <c r="E40" s="55" cm="1">
        <f t="array" ref="E40">VLOOKUP(A40,'The List'!B1:I671,8,FALSE)</f>
        <v>388.32024654568772</v>
      </c>
      <c r="F40" s="55" cm="1">
        <f t="array" ref="F40">IF(Settings!$E$15="POINTS",E40-VLOOKUP(B$2,C1:E407,3,FALSE),J40)</f>
        <v>37.587229145225592</v>
      </c>
      <c r="G40" s="55"/>
      <c r="H40" s="167" cm="1">
        <f t="array" ref="H40">RANK(I40,I3:I407)</f>
        <v>46</v>
      </c>
      <c r="I40" s="168" cm="1">
        <f t="array" ref="I40">VLOOKUP(A40,'Standard Deviations'!A1:C672,3,FALSE)</f>
        <v>6.3814744029529438</v>
      </c>
      <c r="J40" s="168" cm="1">
        <f t="array" ref="J40">I40-VLOOKUP(B$2,H1:J407,2,FALSE)</f>
        <v>0.89083104302988847</v>
      </c>
    </row>
    <row r="41" spans="1:10" ht="21.25" customHeight="1" x14ac:dyDescent="0.15">
      <c r="A41" s="10" t="s">
        <v>197</v>
      </c>
      <c r="B41" s="166" t="str" cm="1">
        <f t="array" ref="B41">VLOOKUP(A41,'The List'!B1:D671,3,FALSE)</f>
        <v>C</v>
      </c>
      <c r="C41" s="74" cm="1">
        <f t="array" ref="C41">IF(Settings!$E$15="POINTS",RANK(E41,E3:E407),H41)</f>
        <v>39</v>
      </c>
      <c r="D41" s="18" t="str" cm="1">
        <f t="array" ref="D41">VLOOKUP(A41,'The List'!B1:F671,5,FALSE)</f>
        <v>CAR</v>
      </c>
      <c r="E41" s="55" cm="1">
        <f t="array" ref="E41">VLOOKUP(A41,'The List'!B1:I671,8,FALSE)</f>
        <v>387.90150989274497</v>
      </c>
      <c r="F41" s="55" cm="1">
        <f t="array" ref="F41">IF(Settings!$E$15="POINTS",E41-VLOOKUP(B$2,C1:E407,3,FALSE),J41)</f>
        <v>37.168492492282837</v>
      </c>
      <c r="G41" s="55"/>
      <c r="H41" s="167" cm="1">
        <f t="array" ref="H41">RANK(I41,I3:I407)</f>
        <v>25</v>
      </c>
      <c r="I41" s="168" cm="1">
        <f t="array" ref="I41">VLOOKUP(A41,'Standard Deviations'!A1:C672,3,FALSE)</f>
        <v>7.8535427653283243</v>
      </c>
      <c r="J41" s="168" cm="1">
        <f t="array" ref="J41">I41-VLOOKUP(B$2,H1:J407,2,FALSE)</f>
        <v>2.362899405405269</v>
      </c>
    </row>
    <row r="42" spans="1:10" ht="21.25" customHeight="1" x14ac:dyDescent="0.15">
      <c r="A42" s="10" t="s">
        <v>211</v>
      </c>
      <c r="B42" s="166" t="str" cm="1">
        <f t="array" ref="B42">VLOOKUP(A42,'The List'!B1:D671,3,FALSE)</f>
        <v>C,LW</v>
      </c>
      <c r="C42" s="74" cm="1">
        <f t="array" ref="C42">IF(Settings!$E$15="POINTS",RANK(E42,E3:E407),H42)</f>
        <v>40</v>
      </c>
      <c r="D42" s="18" t="str" cm="1">
        <f t="array" ref="D42">VLOOKUP(A42,'The List'!B1:F671,5,FALSE)</f>
        <v>OTT</v>
      </c>
      <c r="E42" s="55" cm="1">
        <f t="array" ref="E42">VLOOKUP(A42,'The List'!B1:I671,8,FALSE)</f>
        <v>386.535206393083</v>
      </c>
      <c r="F42" s="55" cm="1">
        <f t="array" ref="F42">IF(Settings!$E$15="POINTS",E42-VLOOKUP(B$2,C1:E407,3,FALSE),J42)</f>
        <v>35.80218899262087</v>
      </c>
      <c r="G42" s="55"/>
      <c r="H42" s="167" cm="1">
        <f t="array" ref="H42">RANK(I42,I3:I407)</f>
        <v>39</v>
      </c>
      <c r="I42" s="168" cm="1">
        <f t="array" ref="I42">VLOOKUP(A42,'Standard Deviations'!A1:C672,3,FALSE)</f>
        <v>6.9310667029514708</v>
      </c>
      <c r="J42" s="168" cm="1">
        <f t="array" ref="J42">I42-VLOOKUP(B$2,H1:J407,2,FALSE)</f>
        <v>1.4404233430284155</v>
      </c>
    </row>
    <row r="43" spans="1:10" ht="21.25" customHeight="1" x14ac:dyDescent="0.15">
      <c r="A43" s="10" t="s">
        <v>207</v>
      </c>
      <c r="B43" s="166" t="str" cm="1">
        <f t="array" ref="B43">VLOOKUP(A43,'The List'!B1:D671,3,FALSE)</f>
        <v>RW</v>
      </c>
      <c r="C43" s="74" cm="1">
        <f t="array" ref="C43">IF(Settings!$E$15="POINTS",RANK(E43,E3:E407),H43)</f>
        <v>41</v>
      </c>
      <c r="D43" s="18" t="str" cm="1">
        <f t="array" ref="D43">VLOOKUP(A43,'The List'!B1:F671,5,FALSE)</f>
        <v>CBJ</v>
      </c>
      <c r="E43" s="55" cm="1">
        <f t="array" ref="E43">VLOOKUP(A43,'The List'!B1:I671,8,FALSE)</f>
        <v>385.41604058909758</v>
      </c>
      <c r="F43" s="55" cm="1">
        <f t="array" ref="F43">IF(Settings!$E$15="POINTS",E43-VLOOKUP(B$2,C1:E407,3,FALSE),J43)</f>
        <v>34.683023188635445</v>
      </c>
      <c r="G43" s="55"/>
      <c r="H43" s="167" cm="1">
        <f t="array" ref="H43">RANK(I43,I3:I407)</f>
        <v>42</v>
      </c>
      <c r="I43" s="168" cm="1">
        <f t="array" ref="I43">VLOOKUP(A43,'Standard Deviations'!A1:C672,3,FALSE)</f>
        <v>6.6579308238782255</v>
      </c>
      <c r="J43" s="168" cm="1">
        <f t="array" ref="J43">I43-VLOOKUP(B$2,H1:J407,2,FALSE)</f>
        <v>1.1672874639551702</v>
      </c>
    </row>
    <row r="44" spans="1:10" ht="21.25" customHeight="1" x14ac:dyDescent="0.15">
      <c r="A44" s="10" t="s">
        <v>210</v>
      </c>
      <c r="B44" s="166" t="str" cm="1">
        <f t="array" ref="B44">VLOOKUP(A44,'The List'!B1:D671,3,FALSE)</f>
        <v>LW,RW</v>
      </c>
      <c r="C44" s="74" cm="1">
        <f t="array" ref="C44">IF(Settings!$E$15="POINTS",RANK(E44,E3:E407),H44)</f>
        <v>42</v>
      </c>
      <c r="D44" s="18" t="str" cm="1">
        <f t="array" ref="D44">VLOOKUP(A44,'The List'!B1:F671,5,FALSE)</f>
        <v>N.J</v>
      </c>
      <c r="E44" s="55" cm="1">
        <f t="array" ref="E44">VLOOKUP(A44,'The List'!B1:I671,8,FALSE)</f>
        <v>383.46511643154287</v>
      </c>
      <c r="F44" s="55" cm="1">
        <f t="array" ref="F44">IF(Settings!$E$15="POINTS",E44-VLOOKUP(B$2,C1:E407,3,FALSE),J44)</f>
        <v>32.732099031080736</v>
      </c>
      <c r="G44" s="55"/>
      <c r="H44" s="167" cm="1">
        <f t="array" ref="H44">RANK(I44,I3:I407)</f>
        <v>71</v>
      </c>
      <c r="I44" s="168" cm="1">
        <f t="array" ref="I44">VLOOKUP(A44,'Standard Deviations'!A1:C672,3,FALSE)</f>
        <v>4.9509929294211084</v>
      </c>
      <c r="J44" s="168" cm="1">
        <f t="array" ref="J44">I44-VLOOKUP(B$2,H1:J407,2,FALSE)</f>
        <v>-0.53965043050194694</v>
      </c>
    </row>
    <row r="45" spans="1:10" ht="21.25" customHeight="1" x14ac:dyDescent="0.15">
      <c r="A45" s="10" t="s">
        <v>213</v>
      </c>
      <c r="B45" s="166" t="str" cm="1">
        <f t="array" ref="B45">VLOOKUP(A45,'The List'!B1:D671,3,FALSE)</f>
        <v>RW</v>
      </c>
      <c r="C45" s="74" cm="1">
        <f t="array" ref="C45">IF(Settings!$E$15="POINTS",RANK(E45,E3:E407),H45)</f>
        <v>43</v>
      </c>
      <c r="D45" s="18" t="str" cm="1">
        <f t="array" ref="D45">VLOOKUP(A45,'The List'!B1:F671,5,FALSE)</f>
        <v>L.A</v>
      </c>
      <c r="E45" s="55" cm="1">
        <f t="array" ref="E45">VLOOKUP(A45,'The List'!B1:I671,8,FALSE)</f>
        <v>381.06922865705565</v>
      </c>
      <c r="F45" s="55" cm="1">
        <f t="array" ref="F45">IF(Settings!$E$15="POINTS",E45-VLOOKUP(B$2,C1:E407,3,FALSE),J45)</f>
        <v>30.336211256593515</v>
      </c>
      <c r="G45" s="55"/>
      <c r="H45" s="167" cm="1">
        <f t="array" ref="H45">RANK(I45,I3:I407)</f>
        <v>40</v>
      </c>
      <c r="I45" s="168" cm="1">
        <f t="array" ref="I45">VLOOKUP(A45,'Standard Deviations'!A1:C672,3,FALSE)</f>
        <v>6.9144140987073452</v>
      </c>
      <c r="J45" s="168" cm="1">
        <f t="array" ref="J45">I45-VLOOKUP(B$2,H1:J407,2,FALSE)</f>
        <v>1.4237707387842899</v>
      </c>
    </row>
    <row r="46" spans="1:10" ht="21.25" customHeight="1" x14ac:dyDescent="0.15">
      <c r="A46" s="10" t="s">
        <v>203</v>
      </c>
      <c r="B46" s="166" t="str" cm="1">
        <f t="array" ref="B46">VLOOKUP(A46,'The List'!B1:D671,3,FALSE)</f>
        <v>C</v>
      </c>
      <c r="C46" s="74" cm="1">
        <f t="array" ref="C46">IF(Settings!$E$15="POINTS",RANK(E46,E3:E407),H46)</f>
        <v>44</v>
      </c>
      <c r="D46" s="18" t="str" cm="1">
        <f t="array" ref="D46">VLOOKUP(A46,'The List'!B1:F671,5,FALSE)</f>
        <v>DET</v>
      </c>
      <c r="E46" s="55" cm="1">
        <f t="array" ref="E46">VLOOKUP(A46,'The List'!B1:I671,8,FALSE)</f>
        <v>380.51614842404416</v>
      </c>
      <c r="F46" s="55" cm="1">
        <f t="array" ref="F46">IF(Settings!$E$15="POINTS",E46-VLOOKUP(B$2,C1:E407,3,FALSE),J46)</f>
        <v>29.78313102358203</v>
      </c>
      <c r="G46" s="55"/>
      <c r="H46" s="167" cm="1">
        <f t="array" ref="H46">RANK(I46,I3:I407)</f>
        <v>50</v>
      </c>
      <c r="I46" s="168" cm="1">
        <f t="array" ref="I46">VLOOKUP(A46,'Standard Deviations'!A1:C672,3,FALSE)</f>
        <v>6.0857155576502313</v>
      </c>
      <c r="J46" s="168" cm="1">
        <f t="array" ref="J46">I46-VLOOKUP(B$2,H1:J407,2,FALSE)</f>
        <v>0.59507219772717601</v>
      </c>
    </row>
    <row r="47" spans="1:10" ht="21.25" customHeight="1" x14ac:dyDescent="0.15">
      <c r="A47" s="10" t="s">
        <v>204</v>
      </c>
      <c r="B47" s="166" t="str" cm="1">
        <f t="array" ref="B47">VLOOKUP(A47,'The List'!B1:D671,3,FALSE)</f>
        <v>C</v>
      </c>
      <c r="C47" s="74" cm="1">
        <f t="array" ref="C47">IF(Settings!$E$15="POINTS",RANK(E47,E3:E407),H47)</f>
        <v>45</v>
      </c>
      <c r="D47" s="18" t="str" cm="1">
        <f t="array" ref="D47">VLOOKUP(A47,'The List'!B1:F671,5,FALSE)</f>
        <v>NYI</v>
      </c>
      <c r="E47" s="55" cm="1">
        <f t="array" ref="E47">VLOOKUP(A47,'The List'!B1:I671,8,FALSE)</f>
        <v>378.93996407838853</v>
      </c>
      <c r="F47" s="55" cm="1">
        <f t="array" ref="F47">IF(Settings!$E$15="POINTS",E47-VLOOKUP(B$2,C1:E407,3,FALSE),J47)</f>
        <v>28.206946677926396</v>
      </c>
      <c r="G47" s="55"/>
      <c r="H47" s="167" cm="1">
        <f t="array" ref="H47">RANK(I47,I3:I407)</f>
        <v>69</v>
      </c>
      <c r="I47" s="168" cm="1">
        <f t="array" ref="I47">VLOOKUP(A47,'Standard Deviations'!A1:C672,3,FALSE)</f>
        <v>4.9588812512340636</v>
      </c>
      <c r="J47" s="168" cm="1">
        <f t="array" ref="J47">I47-VLOOKUP(B$2,H1:J407,2,FALSE)</f>
        <v>-0.53176210868899165</v>
      </c>
    </row>
    <row r="48" spans="1:10" ht="21.25" customHeight="1" x14ac:dyDescent="0.15">
      <c r="A48" s="10" t="s">
        <v>215</v>
      </c>
      <c r="B48" s="166" t="str" cm="1">
        <f t="array" ref="B48">VLOOKUP(A48,'The List'!B1:D671,3,FALSE)</f>
        <v>C,RW</v>
      </c>
      <c r="C48" s="74" cm="1">
        <f t="array" ref="C48">IF(Settings!$E$15="POINTS",RANK(E48,E3:E407),H48)</f>
        <v>46</v>
      </c>
      <c r="D48" s="18" t="str" cm="1">
        <f t="array" ref="D48">VLOOKUP(A48,'The List'!B1:F671,5,FALSE)</f>
        <v>CHI</v>
      </c>
      <c r="E48" s="55" cm="1">
        <f t="array" ref="E48">VLOOKUP(A48,'The List'!B1:I671,8,FALSE)</f>
        <v>378.62916688119009</v>
      </c>
      <c r="F48" s="55" cm="1">
        <f t="array" ref="F48">IF(Settings!$E$15="POINTS",E48-VLOOKUP(B$2,C1:E407,3,FALSE),J48)</f>
        <v>27.896149480727956</v>
      </c>
      <c r="G48" s="55"/>
      <c r="H48" s="167" cm="1">
        <f t="array" ref="H48">RANK(I48,I3:I407)</f>
        <v>88</v>
      </c>
      <c r="I48" s="168" cm="1">
        <f t="array" ref="I48">VLOOKUP(A48,'Standard Deviations'!A1:C672,3,FALSE)</f>
        <v>4.0841165212633355</v>
      </c>
      <c r="J48" s="168" cm="1">
        <f t="array" ref="J48">I48-VLOOKUP(B$2,H1:J407,2,FALSE)</f>
        <v>-1.4065268386597198</v>
      </c>
    </row>
    <row r="49" spans="1:10" ht="21.25" customHeight="1" x14ac:dyDescent="0.15">
      <c r="A49" s="10" t="s">
        <v>212</v>
      </c>
      <c r="B49" s="166" t="str" cm="1">
        <f t="array" ref="B49">VLOOKUP(A49,'The List'!B1:D671,3,FALSE)</f>
        <v>C</v>
      </c>
      <c r="C49" s="74" cm="1">
        <f t="array" ref="C49">IF(Settings!$E$15="POINTS",RANK(E49,E3:E407),H49)</f>
        <v>47</v>
      </c>
      <c r="D49" s="18" t="str" cm="1">
        <f t="array" ref="D49">VLOOKUP(A49,'The List'!B1:F671,5,FALSE)</f>
        <v>UTA</v>
      </c>
      <c r="E49" s="55" cm="1">
        <f t="array" ref="E49">VLOOKUP(A49,'The List'!B1:I671,8,FALSE)</f>
        <v>372.79951970062672</v>
      </c>
      <c r="F49" s="55" cm="1">
        <f t="array" ref="F49">IF(Settings!$E$15="POINTS",E49-VLOOKUP(B$2,C1:E407,3,FALSE),J49)</f>
        <v>22.066502300164586</v>
      </c>
      <c r="G49" s="55"/>
      <c r="H49" s="167" cm="1">
        <f t="array" ref="H49">RANK(I49,I3:I407)</f>
        <v>44</v>
      </c>
      <c r="I49" s="168" cm="1">
        <f t="array" ref="I49">VLOOKUP(A49,'Standard Deviations'!A1:C672,3,FALSE)</f>
        <v>6.5845199159300254</v>
      </c>
      <c r="J49" s="168" cm="1">
        <f t="array" ref="J49">I49-VLOOKUP(B$2,H1:J407,2,FALSE)</f>
        <v>1.0938765560069701</v>
      </c>
    </row>
    <row r="50" spans="1:10" ht="21.25" customHeight="1" x14ac:dyDescent="0.15">
      <c r="A50" s="10" t="s">
        <v>223</v>
      </c>
      <c r="B50" s="166" t="str" cm="1">
        <f t="array" ref="B50">VLOOKUP(A50,'The List'!B1:D671,3,FALSE)</f>
        <v>LW</v>
      </c>
      <c r="C50" s="74" cm="1">
        <f t="array" ref="C50">IF(Settings!$E$15="POINTS",RANK(E50,E3:E407),H50)</f>
        <v>48</v>
      </c>
      <c r="D50" s="18" t="str" cm="1">
        <f t="array" ref="D50">VLOOKUP(A50,'The List'!B1:F671,5,FALSE)</f>
        <v>CAR</v>
      </c>
      <c r="E50" s="55" cm="1">
        <f t="array" ref="E50">VLOOKUP(A50,'The List'!B1:I671,8,FALSE)</f>
        <v>371.05732682391113</v>
      </c>
      <c r="F50" s="55" cm="1">
        <f t="array" ref="F50">IF(Settings!$E$15="POINTS",E50-VLOOKUP(B$2,C1:E407,3,FALSE),J50)</f>
        <v>20.324309423448994</v>
      </c>
      <c r="G50" s="55"/>
      <c r="H50" s="167" cm="1">
        <f t="array" ref="H50">RANK(I50,I3:I407)</f>
        <v>43</v>
      </c>
      <c r="I50" s="168" cm="1">
        <f t="array" ref="I50">VLOOKUP(A50,'Standard Deviations'!A1:C672,3,FALSE)</f>
        <v>6.6280930244361942</v>
      </c>
      <c r="J50" s="168" cm="1">
        <f t="array" ref="J50">I50-VLOOKUP(B$2,H1:J407,2,FALSE)</f>
        <v>1.1374496645131389</v>
      </c>
    </row>
    <row r="51" spans="1:10" ht="21.25" customHeight="1" x14ac:dyDescent="0.15">
      <c r="A51" s="10" t="s">
        <v>216</v>
      </c>
      <c r="B51" s="166" t="str" cm="1">
        <f t="array" ref="B51">VLOOKUP(A51,'The List'!B1:D671,3,FALSE)</f>
        <v>C</v>
      </c>
      <c r="C51" s="74" cm="1">
        <f t="array" ref="C51">IF(Settings!$E$15="POINTS",RANK(E51,E3:E407),H51)</f>
        <v>49</v>
      </c>
      <c r="D51" s="18" t="str" cm="1">
        <f t="array" ref="D51">VLOOKUP(A51,'The List'!B1:F671,5,FALSE)</f>
        <v>CBJ</v>
      </c>
      <c r="E51" s="55" cm="1">
        <f t="array" ref="E51">VLOOKUP(A51,'The List'!B1:I671,8,FALSE)</f>
        <v>368.60383750203829</v>
      </c>
      <c r="F51" s="55" cm="1">
        <f t="array" ref="F51">IF(Settings!$E$15="POINTS",E51-VLOOKUP(B$2,C1:E407,3,FALSE),J51)</f>
        <v>17.870820101576157</v>
      </c>
      <c r="G51" s="55"/>
      <c r="H51" s="167" cm="1">
        <f t="array" ref="H51">RANK(I51,I3:I407)</f>
        <v>66</v>
      </c>
      <c r="I51" s="168" cm="1">
        <f t="array" ref="I51">VLOOKUP(A51,'Standard Deviations'!A1:C672,3,FALSE)</f>
        <v>5.1547403532399461</v>
      </c>
      <c r="J51" s="168" cm="1">
        <f t="array" ref="J51">I51-VLOOKUP(B$2,H1:J407,2,FALSE)</f>
        <v>-0.33590300668310924</v>
      </c>
    </row>
    <row r="52" spans="1:10" ht="21.25" customHeight="1" x14ac:dyDescent="0.15">
      <c r="A52" s="10" t="s">
        <v>229</v>
      </c>
      <c r="B52" s="166" t="str" cm="1">
        <f t="array" ref="B52">VLOOKUP(A52,'The List'!B1:D671,3,FALSE)</f>
        <v>C,LW</v>
      </c>
      <c r="C52" s="74" cm="1">
        <f t="array" ref="C52">IF(Settings!$E$15="POINTS",RANK(E52,E3:E407),H52)</f>
        <v>50</v>
      </c>
      <c r="D52" s="18" t="str" cm="1">
        <f t="array" ref="D52">VLOOKUP(A52,'The List'!B1:F671,5,FALSE)</f>
        <v>FLA</v>
      </c>
      <c r="E52" s="55" cm="1">
        <f t="array" ref="E52">VLOOKUP(A52,'The List'!B1:I671,8,FALSE)</f>
        <v>366.09111973250168</v>
      </c>
      <c r="F52" s="55" cm="1">
        <f t="array" ref="F52">IF(Settings!$E$15="POINTS",E52-VLOOKUP(B$2,C1:E407,3,FALSE),J52)</f>
        <v>15.35810233203955</v>
      </c>
      <c r="G52" s="55"/>
      <c r="H52" s="167" cm="1">
        <f t="array" ref="H52">RANK(I52,I3:I407)</f>
        <v>18</v>
      </c>
      <c r="I52" s="168" cm="1">
        <f t="array" ref="I52">VLOOKUP(A52,'Standard Deviations'!A1:C672,3,FALSE)</f>
        <v>9.2978897819713939</v>
      </c>
      <c r="J52" s="168" cm="1">
        <f t="array" ref="J52">I52-VLOOKUP(B$2,H1:J407,2,FALSE)</f>
        <v>3.8072464220483386</v>
      </c>
    </row>
    <row r="53" spans="1:10" ht="21.25" customHeight="1" x14ac:dyDescent="0.15">
      <c r="A53" s="10" t="s">
        <v>224</v>
      </c>
      <c r="B53" s="166" t="str" cm="1">
        <f t="array" ref="B53">VLOOKUP(A53,'The List'!B1:D671,3,FALSE)</f>
        <v>LW,RW</v>
      </c>
      <c r="C53" s="74" cm="1">
        <f t="array" ref="C53">IF(Settings!$E$15="POINTS",RANK(E53,E3:E407),H53)</f>
        <v>51</v>
      </c>
      <c r="D53" s="18" t="str" cm="1">
        <f t="array" ref="D53">VLOOKUP(A53,'The List'!B1:F671,5,FALSE)</f>
        <v>S.J</v>
      </c>
      <c r="E53" s="55" cm="1">
        <f t="array" ref="E53">VLOOKUP(A53,'The List'!B1:I671,8,FALSE)</f>
        <v>364.951912718291</v>
      </c>
      <c r="F53" s="55" cm="1">
        <f t="array" ref="F53">IF(Settings!$E$15="POINTS",E53-VLOOKUP(B$2,C1:E407,3,FALSE),J53)</f>
        <v>14.218895317828867</v>
      </c>
      <c r="G53" s="55"/>
      <c r="H53" s="167" cm="1">
        <f t="array" ref="H53">RANK(I53,I3:I407)</f>
        <v>91</v>
      </c>
      <c r="I53" s="168" cm="1">
        <f t="array" ref="I53">VLOOKUP(A53,'Standard Deviations'!A1:C672,3,FALSE)</f>
        <v>3.9971968499738351</v>
      </c>
      <c r="J53" s="168" cm="1">
        <f t="array" ref="J53">I53-VLOOKUP(B$2,H1:J407,2,FALSE)</f>
        <v>-1.4934465099492202</v>
      </c>
    </row>
    <row r="54" spans="1:10" ht="21.25" customHeight="1" x14ac:dyDescent="0.15">
      <c r="A54" s="10" t="s">
        <v>226</v>
      </c>
      <c r="B54" s="166" t="str" cm="1">
        <f t="array" ref="B54">VLOOKUP(A54,'The List'!B1:D671,3,FALSE)</f>
        <v>RW</v>
      </c>
      <c r="C54" s="74" cm="1">
        <f t="array" ref="C54">IF(Settings!$E$15="POINTS",RANK(E54,E3:E407),H54)</f>
        <v>52</v>
      </c>
      <c r="D54" s="18" t="str" cm="1">
        <f t="array" ref="D54">VLOOKUP(A54,'The List'!B1:F671,5,FALSE)</f>
        <v>PIT</v>
      </c>
      <c r="E54" s="55" cm="1">
        <f t="array" ref="E54">VLOOKUP(A54,'The List'!B1:I671,8,FALSE)</f>
        <v>362.65275348499102</v>
      </c>
      <c r="F54" s="55" cm="1">
        <f t="array" ref="F54">IF(Settings!$E$15="POINTS",E54-VLOOKUP(B$2,C1:E407,3,FALSE),J54)</f>
        <v>11.919736084528893</v>
      </c>
      <c r="G54" s="55"/>
      <c r="H54" s="167" cm="1">
        <f t="array" ref="H54">RANK(I54,I3:I407)</f>
        <v>68</v>
      </c>
      <c r="I54" s="168" cm="1">
        <f t="array" ref="I54">VLOOKUP(A54,'Standard Deviations'!A1:C672,3,FALSE)</f>
        <v>5.0657563976462283</v>
      </c>
      <c r="J54" s="168" cm="1">
        <f t="array" ref="J54">I54-VLOOKUP(B$2,H1:J407,2,FALSE)</f>
        <v>-0.42488696227682698</v>
      </c>
    </row>
    <row r="55" spans="1:10" ht="21.25" customHeight="1" x14ac:dyDescent="0.15">
      <c r="A55" s="10" t="s">
        <v>231</v>
      </c>
      <c r="B55" s="166" t="str" cm="1">
        <f t="array" ref="B55">VLOOKUP(A55,'The List'!B1:D671,3,FALSE)</f>
        <v>LW,RW</v>
      </c>
      <c r="C55" s="74" cm="1">
        <f t="array" ref="C55">IF(Settings!$E$15="POINTS",RANK(E55,E3:E407),H55)</f>
        <v>53</v>
      </c>
      <c r="D55" s="18" t="str" cm="1">
        <f t="array" ref="D55">VLOOKUP(A55,'The List'!B1:F671,5,FALSE)</f>
        <v>MTL</v>
      </c>
      <c r="E55" s="55" cm="1">
        <f t="array" ref="E55">VLOOKUP(A55,'The List'!B1:I671,8,FALSE)</f>
        <v>358.74625324759126</v>
      </c>
      <c r="F55" s="55" cm="1">
        <f t="array" ref="F55">IF(Settings!$E$15="POINTS",E55-VLOOKUP(B$2,C1:E407,3,FALSE),J55)</f>
        <v>8.0132358471291241</v>
      </c>
      <c r="G55" s="55"/>
      <c r="H55" s="167" cm="1">
        <f t="array" ref="H55">RANK(I55,I3:I407)</f>
        <v>30</v>
      </c>
      <c r="I55" s="168" cm="1">
        <f t="array" ref="I55">VLOOKUP(A55,'Standard Deviations'!A1:C672,3,FALSE)</f>
        <v>7.3390280628720319</v>
      </c>
      <c r="J55" s="168" cm="1">
        <f t="array" ref="J55">I55-VLOOKUP(B$2,H1:J407,2,FALSE)</f>
        <v>1.8483847029489766</v>
      </c>
    </row>
    <row r="56" spans="1:10" ht="21.25" customHeight="1" x14ac:dyDescent="0.15">
      <c r="A56" s="10" t="s">
        <v>222</v>
      </c>
      <c r="B56" s="166" t="str" cm="1">
        <f t="array" ref="B56">VLOOKUP(A56,'The List'!B1:D671,3,FALSE)</f>
        <v>C</v>
      </c>
      <c r="C56" s="74" cm="1">
        <f t="array" ref="C56">IF(Settings!$E$15="POINTS",RANK(E56,E3:E407),H56)</f>
        <v>54</v>
      </c>
      <c r="D56" s="18" t="str" cm="1">
        <f t="array" ref="D56">VLOOKUP(A56,'The List'!B1:F671,5,FALSE)</f>
        <v>STL</v>
      </c>
      <c r="E56" s="55" cm="1">
        <f t="array" ref="E56">VLOOKUP(A56,'The List'!B1:I671,8,FALSE)</f>
        <v>358.3733405489084</v>
      </c>
      <c r="F56" s="55" cm="1">
        <f t="array" ref="F56">IF(Settings!$E$15="POINTS",E56-VLOOKUP(B$2,C1:E407,3,FALSE),J56)</f>
        <v>7.6403231484462708</v>
      </c>
      <c r="G56" s="55"/>
      <c r="H56" s="167" cm="1">
        <f t="array" ref="H56">RANK(I56,I3:I407)</f>
        <v>76</v>
      </c>
      <c r="I56" s="168" cm="1">
        <f t="array" ref="I56">VLOOKUP(A56,'Standard Deviations'!A1:C672,3,FALSE)</f>
        <v>4.7930044360294035</v>
      </c>
      <c r="J56" s="168" cm="1">
        <f t="array" ref="J56">I56-VLOOKUP(B$2,H1:J407,2,FALSE)</f>
        <v>-0.69763892389365179</v>
      </c>
    </row>
    <row r="57" spans="1:10" ht="21.25" customHeight="1" x14ac:dyDescent="0.15">
      <c r="A57" s="10" t="s">
        <v>228</v>
      </c>
      <c r="B57" s="166" t="str" cm="1">
        <f t="array" ref="B57">VLOOKUP(A57,'The List'!B1:D671,3,FALSE)</f>
        <v>C</v>
      </c>
      <c r="C57" s="74" cm="1">
        <f t="array" ref="C57">IF(Settings!$E$15="POINTS",RANK(E57,E3:E407),H57)</f>
        <v>55</v>
      </c>
      <c r="D57" s="18" t="str" cm="1">
        <f t="array" ref="D57">VLOOKUP(A57,'The List'!B1:F671,5,FALSE)</f>
        <v>T.B</v>
      </c>
      <c r="E57" s="55" cm="1">
        <f t="array" ref="E57">VLOOKUP(A57,'The List'!B1:I671,8,FALSE)</f>
        <v>353.32789537965596</v>
      </c>
      <c r="F57" s="55" cm="1">
        <f t="array" ref="F57">IF(Settings!$E$15="POINTS",E57-VLOOKUP(B$2,C1:E407,3,FALSE),J57)</f>
        <v>2.594877979193825</v>
      </c>
      <c r="G57" s="55"/>
      <c r="H57" s="167" cm="1">
        <f t="array" ref="H57">RANK(I57,I3:I407)</f>
        <v>54</v>
      </c>
      <c r="I57" s="168" cm="1">
        <f t="array" ref="I57">VLOOKUP(A57,'Standard Deviations'!A1:C672,3,FALSE)</f>
        <v>5.6825370557394486</v>
      </c>
      <c r="J57" s="168" cm="1">
        <f t="array" ref="J57">I57-VLOOKUP(B$2,H1:J407,2,FALSE)</f>
        <v>0.19189369581639326</v>
      </c>
    </row>
    <row r="58" spans="1:10" ht="21.25" customHeight="1" x14ac:dyDescent="0.15">
      <c r="A58" s="10" t="s">
        <v>243</v>
      </c>
      <c r="B58" s="166" t="str" cm="1">
        <f t="array" ref="B58">VLOOKUP(A58,'The List'!B1:D671,3,FALSE)</f>
        <v>C,LW</v>
      </c>
      <c r="C58" s="74" cm="1">
        <f t="array" ref="C58">IF(Settings!$E$15="POINTS",RANK(E58,E3:E407),H58)</f>
        <v>56</v>
      </c>
      <c r="D58" s="18" t="str" cm="1">
        <f t="array" ref="D58">VLOOKUP(A58,'The List'!B1:F671,5,FALSE)</f>
        <v>STL</v>
      </c>
      <c r="E58" s="55" cm="1">
        <f t="array" ref="E58">VLOOKUP(A58,'The List'!B1:I671,8,FALSE)</f>
        <v>352.95616804074433</v>
      </c>
      <c r="F58" s="55" cm="1">
        <f t="array" ref="F58">IF(Settings!$E$15="POINTS",E58-VLOOKUP(B$2,C1:E407,3,FALSE),J58)</f>
        <v>2.2231506402821992</v>
      </c>
      <c r="G58" s="55"/>
      <c r="H58" s="167" cm="1">
        <f t="array" ref="H58">RANK(I58,I3:I407)</f>
        <v>81</v>
      </c>
      <c r="I58" s="168" cm="1">
        <f t="array" ref="I58">VLOOKUP(A58,'Standard Deviations'!A1:C672,3,FALSE)</f>
        <v>4.4102872660938832</v>
      </c>
      <c r="J58" s="168" cm="1">
        <f t="array" ref="J58">I58-VLOOKUP(B$2,H1:J407,2,FALSE)</f>
        <v>-1.0803560938291721</v>
      </c>
    </row>
    <row r="59" spans="1:10" ht="21.25" customHeight="1" x14ac:dyDescent="0.15">
      <c r="A59" s="10" t="s">
        <v>239</v>
      </c>
      <c r="B59" s="166" t="str" cm="1">
        <f t="array" ref="B59">VLOOKUP(A59,'The List'!B1:D671,3,FALSE)</f>
        <v>RW</v>
      </c>
      <c r="C59" s="74" cm="1">
        <f t="array" ref="C59">IF(Settings!$E$15="POINTS",RANK(E59,E3:E407),H59)</f>
        <v>57</v>
      </c>
      <c r="D59" s="18" t="str" cm="1">
        <f t="array" ref="D59">VLOOKUP(A59,'The List'!B1:F671,5,FALSE)</f>
        <v>ANA</v>
      </c>
      <c r="E59" s="55" cm="1">
        <f t="array" ref="E59">VLOOKUP(A59,'The List'!B1:I671,8,FALSE)</f>
        <v>350.84729448549547</v>
      </c>
      <c r="F59" s="55" cm="1">
        <f t="array" ref="F59">IF(Settings!$E$15="POINTS",E59-VLOOKUP(B$2,C1:E407,3,FALSE),J59)</f>
        <v>0.11427708503333633</v>
      </c>
      <c r="G59" s="55"/>
      <c r="H59" s="167" cm="1">
        <f t="array" ref="H59">RANK(I59,I3:I407)</f>
        <v>62</v>
      </c>
      <c r="I59" s="168" cm="1">
        <f t="array" ref="I59">VLOOKUP(A59,'Standard Deviations'!A1:C672,3,FALSE)</f>
        <v>5.2910975633495907</v>
      </c>
      <c r="J59" s="168" cm="1">
        <f t="array" ref="J59">I59-VLOOKUP(B$2,H1:J407,2,FALSE)</f>
        <v>-0.19954579657346461</v>
      </c>
    </row>
    <row r="60" spans="1:10" ht="21.25" customHeight="1" x14ac:dyDescent="0.15">
      <c r="A60" s="10" t="s">
        <v>240</v>
      </c>
      <c r="B60" s="166" t="str" cm="1">
        <f t="array" ref="B60">VLOOKUP(A60,'The List'!B1:D671,3,FALSE)</f>
        <v>LW,RW</v>
      </c>
      <c r="C60" s="74" cm="1">
        <f t="array" ref="C60">IF(Settings!$E$15="POINTS",RANK(E60,E3:E407),H60)</f>
        <v>58</v>
      </c>
      <c r="D60" s="18" t="str" cm="1">
        <f t="array" ref="D60">VLOOKUP(A60,'The List'!B1:F671,5,FALSE)</f>
        <v>NYR</v>
      </c>
      <c r="E60" s="55" cm="1">
        <f t="array" ref="E60">VLOOKUP(A60,'The List'!B1:I671,8,FALSE)</f>
        <v>350.73301740046213</v>
      </c>
      <c r="F60" s="55" cm="1">
        <f t="array" ref="F60">IF(Settings!$E$15="POINTS",E60-VLOOKUP(B$2,C1:E407,3,FALSE),J60)</f>
        <v>0</v>
      </c>
      <c r="G60" s="55"/>
      <c r="H60" s="167" cm="1">
        <f t="array" ref="H60">RANK(I60,I3:I407)</f>
        <v>58</v>
      </c>
      <c r="I60" s="168" cm="1">
        <f t="array" ref="I60">VLOOKUP(A60,'Standard Deviations'!A1:C672,3,FALSE)</f>
        <v>5.4906433599230553</v>
      </c>
      <c r="J60" s="168" cm="1">
        <f t="array" ref="J60">I60-VLOOKUP(B$2,H1:J407,2,FALSE)</f>
        <v>0</v>
      </c>
    </row>
    <row r="61" spans="1:10" ht="21.25" customHeight="1" x14ac:dyDescent="0.15">
      <c r="A61" s="10" t="s">
        <v>230</v>
      </c>
      <c r="B61" s="166" t="str" cm="1">
        <f t="array" ref="B61">VLOOKUP(A61,'The List'!B1:D671,3,FALSE)</f>
        <v>C</v>
      </c>
      <c r="C61" s="74" cm="1">
        <f t="array" ref="C61">IF(Settings!$E$15="POINTS",RANK(E61,E3:E407),H61)</f>
        <v>59</v>
      </c>
      <c r="D61" s="18" t="str" cm="1">
        <f t="array" ref="D61">VLOOKUP(A61,'The List'!B1:F671,5,FALSE)</f>
        <v>DAL</v>
      </c>
      <c r="E61" s="55" cm="1">
        <f t="array" ref="E61">VLOOKUP(A61,'The List'!B1:I671,8,FALSE)</f>
        <v>350.54373990101777</v>
      </c>
      <c r="F61" s="55" cm="1">
        <f t="array" ref="F61">IF(Settings!$E$15="POINTS",E61-VLOOKUP(B$2,C1:E407,3,FALSE),J61)</f>
        <v>-0.18927749944435845</v>
      </c>
      <c r="G61" s="55"/>
      <c r="H61" s="167" cm="1">
        <f t="array" ref="H61">RANK(I61,I3:I407)</f>
        <v>47</v>
      </c>
      <c r="I61" s="168" cm="1">
        <f t="array" ref="I61">VLOOKUP(A61,'Standard Deviations'!A1:C672,3,FALSE)</f>
        <v>6.3514763881480905</v>
      </c>
      <c r="J61" s="168" cm="1">
        <f t="array" ref="J61">I61-VLOOKUP(B$2,H1:J407,2,FALSE)</f>
        <v>0.86083302822503516</v>
      </c>
    </row>
    <row r="62" spans="1:10" ht="21.25" customHeight="1" x14ac:dyDescent="0.15">
      <c r="A62" s="10" t="s">
        <v>246</v>
      </c>
      <c r="B62" s="166" t="str" cm="1">
        <f t="array" ref="B62">VLOOKUP(A62,'The List'!B1:D671,3,FALSE)</f>
        <v>C,RW</v>
      </c>
      <c r="C62" s="74" cm="1">
        <f t="array" ref="C62">IF(Settings!$E$15="POINTS",RANK(E62,E3:E407),H62)</f>
        <v>60</v>
      </c>
      <c r="D62" s="18" t="str" cm="1">
        <f t="array" ref="D62">VLOOKUP(A62,'The List'!B1:F671,5,FALSE)</f>
        <v>UTA</v>
      </c>
      <c r="E62" s="55" cm="1">
        <f t="array" ref="E62">VLOOKUP(A62,'The List'!B1:I671,8,FALSE)</f>
        <v>346.28670948103127</v>
      </c>
      <c r="F62" s="55" cm="1">
        <f t="array" ref="F62">IF(Settings!$E$15="POINTS",E62-VLOOKUP(B$2,C1:E407,3,FALSE),J62)</f>
        <v>-4.4463079194308648</v>
      </c>
      <c r="G62" s="55"/>
      <c r="H62" s="167" cm="1">
        <f t="array" ref="H62">RANK(I62,I3:I407)</f>
        <v>83</v>
      </c>
      <c r="I62" s="168" cm="1">
        <f t="array" ref="I62">VLOOKUP(A62,'Standard Deviations'!A1:C672,3,FALSE)</f>
        <v>4.3282410355416046</v>
      </c>
      <c r="J62" s="168" cm="1">
        <f t="array" ref="J62">I62-VLOOKUP(B$2,H1:J407,2,FALSE)</f>
        <v>-1.1624023243814507</v>
      </c>
    </row>
    <row r="63" spans="1:10" ht="21.25" customHeight="1" x14ac:dyDescent="0.15">
      <c r="A63" s="10" t="s">
        <v>235</v>
      </c>
      <c r="B63" s="166" t="str" cm="1">
        <f t="array" ref="B63">VLOOKUP(A63,'The List'!B1:D671,3,FALSE)</f>
        <v>C</v>
      </c>
      <c r="C63" s="74" cm="1">
        <f t="array" ref="C63">IF(Settings!$E$15="POINTS",RANK(E63,E3:E407),H63)</f>
        <v>61</v>
      </c>
      <c r="D63" s="18" t="str" cm="1">
        <f t="array" ref="D63">VLOOKUP(A63,'The List'!B1:F671,5,FALSE)</f>
        <v>VAN</v>
      </c>
      <c r="E63" s="55" cm="1">
        <f t="array" ref="E63">VLOOKUP(A63,'The List'!B1:I671,8,FALSE)</f>
        <v>344.26707832414797</v>
      </c>
      <c r="F63" s="55" cm="1">
        <f t="array" ref="F63">IF(Settings!$E$15="POINTS",E63-VLOOKUP(B$2,C1:E407,3,FALSE),J63)</f>
        <v>-6.4659390763141573</v>
      </c>
      <c r="G63" s="55"/>
      <c r="H63" s="167" cm="1">
        <f t="array" ref="H63">RANK(I63,I3:I407)</f>
        <v>116</v>
      </c>
      <c r="I63" s="168" cm="1">
        <f t="array" ref="I63">VLOOKUP(A63,'Standard Deviations'!A1:C672,3,FALSE)</f>
        <v>2.3067304461602509</v>
      </c>
      <c r="J63" s="168" cm="1">
        <f t="array" ref="J63">I63-VLOOKUP(B$2,H1:J407,2,FALSE)</f>
        <v>-3.1839129137628044</v>
      </c>
    </row>
    <row r="64" spans="1:10" ht="21.25" customHeight="1" x14ac:dyDescent="0.15">
      <c r="A64" s="10" t="s">
        <v>249</v>
      </c>
      <c r="B64" s="166" t="str" cm="1">
        <f t="array" ref="B64">VLOOKUP(A64,'The List'!B1:D671,3,FALSE)</f>
        <v>LW,RW</v>
      </c>
      <c r="C64" s="74" cm="1">
        <f t="array" ref="C64">IF(Settings!$E$15="POINTS",RANK(E64,E3:E407),H64)</f>
        <v>62</v>
      </c>
      <c r="D64" s="18" t="str" cm="1">
        <f t="array" ref="D64">VLOOKUP(A64,'The List'!B1:F671,5,FALSE)</f>
        <v>NYR</v>
      </c>
      <c r="E64" s="55" cm="1">
        <f t="array" ref="E64">VLOOKUP(A64,'The List'!B1:I671,8,FALSE)</f>
        <v>343.14960212091603</v>
      </c>
      <c r="F64" s="55" cm="1">
        <f t="array" ref="F64">IF(Settings!$E$15="POINTS",E64-VLOOKUP(B$2,C1:E407,3,FALSE),J64)</f>
        <v>-7.5834152795461023</v>
      </c>
      <c r="G64" s="55"/>
      <c r="H64" s="167" cm="1">
        <f t="array" ref="H64">RANK(I64,I3:I407)</f>
        <v>80</v>
      </c>
      <c r="I64" s="168" cm="1">
        <f t="array" ref="I64">VLOOKUP(A64,'Standard Deviations'!A1:C672,3,FALSE)</f>
        <v>4.4326981710898519</v>
      </c>
      <c r="J64" s="168" cm="1">
        <f t="array" ref="J64">I64-VLOOKUP(B$2,H1:J407,2,FALSE)</f>
        <v>-1.0579451888332034</v>
      </c>
    </row>
    <row r="65" spans="1:10" ht="21.25" customHeight="1" x14ac:dyDescent="0.15">
      <c r="A65" s="10" t="s">
        <v>238</v>
      </c>
      <c r="B65" s="166" t="str" cm="1">
        <f t="array" ref="B65">VLOOKUP(A65,'The List'!B1:D671,3,FALSE)</f>
        <v>C</v>
      </c>
      <c r="C65" s="74" cm="1">
        <f t="array" ref="C65">IF(Settings!$E$15="POINTS",RANK(E65,E3:E407),H65)</f>
        <v>63</v>
      </c>
      <c r="D65" s="18" t="str" cm="1">
        <f t="array" ref="D65">VLOOKUP(A65,'The List'!B1:F671,5,FALSE)</f>
        <v>CHI</v>
      </c>
      <c r="E65" s="55" cm="1">
        <f t="array" ref="E65">VLOOKUP(A65,'The List'!B1:I671,8,FALSE)</f>
        <v>342.6769573631812</v>
      </c>
      <c r="F65" s="55" cm="1">
        <f t="array" ref="F65">IF(Settings!$E$15="POINTS",E65-VLOOKUP(B$2,C1:E407,3,FALSE),J65)</f>
        <v>-8.056060037280929</v>
      </c>
      <c r="G65" s="55"/>
      <c r="H65" s="167" cm="1">
        <f t="array" ref="H65">RANK(I65,I3:I407)</f>
        <v>105</v>
      </c>
      <c r="I65" s="168" cm="1">
        <f t="array" ref="I65">VLOOKUP(A65,'Standard Deviations'!A1:C672,3,FALSE)</f>
        <v>3.0293334016741937</v>
      </c>
      <c r="J65" s="168" cm="1">
        <f t="array" ref="J65">I65-VLOOKUP(B$2,H1:J407,2,FALSE)</f>
        <v>-2.4613099582488616</v>
      </c>
    </row>
    <row r="66" spans="1:10" ht="21.25" customHeight="1" x14ac:dyDescent="0.15">
      <c r="A66" s="10" t="s">
        <v>252</v>
      </c>
      <c r="B66" s="166" t="str" cm="1">
        <f t="array" ref="B66">VLOOKUP(A66,'The List'!B1:D671,3,FALSE)</f>
        <v>LW,RW</v>
      </c>
      <c r="C66" s="74" cm="1">
        <f t="array" ref="C66">IF(Settings!$E$15="POINTS",RANK(E66,E3:E407),H66)</f>
        <v>64</v>
      </c>
      <c r="D66" s="18" t="str" cm="1">
        <f t="array" ref="D66">VLOOKUP(A66,'The List'!B1:F671,5,FALSE)</f>
        <v>WSH</v>
      </c>
      <c r="E66" s="55" cm="1">
        <f t="array" ref="E66">VLOOKUP(A66,'The List'!B1:I671,8,FALSE)</f>
        <v>341.64947380082634</v>
      </c>
      <c r="F66" s="55" cm="1">
        <f t="array" ref="F66">IF(Settings!$E$15="POINTS",E66-VLOOKUP(B$2,C1:E407,3,FALSE),J66)</f>
        <v>-9.0835435996357887</v>
      </c>
      <c r="G66" s="55"/>
      <c r="H66" s="167" cm="1">
        <f t="array" ref="H66">RANK(I66,I3:I407)</f>
        <v>48</v>
      </c>
      <c r="I66" s="168" cm="1">
        <f t="array" ref="I66">VLOOKUP(A66,'Standard Deviations'!A1:C672,3,FALSE)</f>
        <v>6.1969769574687206</v>
      </c>
      <c r="J66" s="168" cm="1">
        <f t="array" ref="J66">I66-VLOOKUP(B$2,H1:J407,2,FALSE)</f>
        <v>0.70633359754566527</v>
      </c>
    </row>
    <row r="67" spans="1:10" ht="21.25" customHeight="1" x14ac:dyDescent="0.15">
      <c r="A67" s="10" t="s">
        <v>253</v>
      </c>
      <c r="B67" s="166" t="str" cm="1">
        <f t="array" ref="B67">VLOOKUP(A67,'The List'!B1:D671,3,FALSE)</f>
        <v>C,RW</v>
      </c>
      <c r="C67" s="74" cm="1">
        <f t="array" ref="C67">IF(Settings!$E$15="POINTS",RANK(E67,E3:E407),H67)</f>
        <v>65</v>
      </c>
      <c r="D67" s="18" t="str" cm="1">
        <f t="array" ref="D67">VLOOKUP(A67,'The List'!B1:F671,5,FALSE)</f>
        <v>NYI</v>
      </c>
      <c r="E67" s="55" cm="1">
        <f t="array" ref="E67">VLOOKUP(A67,'The List'!B1:I671,8,FALSE)</f>
        <v>341.1935946628455</v>
      </c>
      <c r="F67" s="55" cm="1">
        <f t="array" ref="F67">IF(Settings!$E$15="POINTS",E67-VLOOKUP(B$2,C1:E407,3,FALSE),J67)</f>
        <v>-9.5394227376166327</v>
      </c>
      <c r="G67" s="55"/>
      <c r="H67" s="167" cm="1">
        <f t="array" ref="H67">RANK(I67,I3:I407)</f>
        <v>90</v>
      </c>
      <c r="I67" s="168" cm="1">
        <f t="array" ref="I67">VLOOKUP(A67,'Standard Deviations'!A1:C672,3,FALSE)</f>
        <v>4.0124780190376645</v>
      </c>
      <c r="J67" s="168" cm="1">
        <f t="array" ref="J67">I67-VLOOKUP(B$2,H1:J407,2,FALSE)</f>
        <v>-1.4781653408853908</v>
      </c>
    </row>
    <row r="68" spans="1:10" ht="21.25" customHeight="1" x14ac:dyDescent="0.15">
      <c r="A68" s="10" t="s">
        <v>257</v>
      </c>
      <c r="B68" s="166" t="str" cm="1">
        <f t="array" ref="B68">VLOOKUP(A68,'The List'!B1:D671,3,FALSE)</f>
        <v>RW</v>
      </c>
      <c r="C68" s="74" cm="1">
        <f t="array" ref="C68">IF(Settings!$E$15="POINTS",RANK(E68,E3:E407),H68)</f>
        <v>66</v>
      </c>
      <c r="D68" s="18" t="str" cm="1">
        <f t="array" ref="D68">VLOOKUP(A68,'The List'!B1:F671,5,FALSE)</f>
        <v>MTL</v>
      </c>
      <c r="E68" s="55" cm="1">
        <f t="array" ref="E68">VLOOKUP(A68,'The List'!B1:I671,8,FALSE)</f>
        <v>340.41376305749532</v>
      </c>
      <c r="F68" s="55" cm="1">
        <f t="array" ref="F68">IF(Settings!$E$15="POINTS",E68-VLOOKUP(B$2,C1:E407,3,FALSE),J68)</f>
        <v>-10.319254342966815</v>
      </c>
      <c r="G68" s="55"/>
      <c r="H68" s="167" cm="1">
        <f t="array" ref="H68">RANK(I68,I3:I407)</f>
        <v>65</v>
      </c>
      <c r="I68" s="168" cm="1">
        <f t="array" ref="I68">VLOOKUP(A68,'Standard Deviations'!A1:C672,3,FALSE)</f>
        <v>5.1756899094622923</v>
      </c>
      <c r="J68" s="168" cm="1">
        <f t="array" ref="J68">I68-VLOOKUP(B$2,H1:J407,2,FALSE)</f>
        <v>-0.31495345046076295</v>
      </c>
    </row>
    <row r="69" spans="1:10" ht="21.25" customHeight="1" x14ac:dyDescent="0.15">
      <c r="A69" s="10" t="s">
        <v>258</v>
      </c>
      <c r="B69" s="166" t="str" cm="1">
        <f t="array" ref="B69">VLOOKUP(A69,'The List'!B1:D671,3,FALSE)</f>
        <v>C,LW,RW</v>
      </c>
      <c r="C69" s="74" cm="1">
        <f t="array" ref="C69">IF(Settings!$E$15="POINTS",RANK(E69,E3:E407),H69)</f>
        <v>67</v>
      </c>
      <c r="D69" s="18" t="str" cm="1">
        <f t="array" ref="D69">VLOOKUP(A69,'The List'!B1:F671,5,FALSE)</f>
        <v>NYR</v>
      </c>
      <c r="E69" s="55" cm="1">
        <f t="array" ref="E69">VLOOKUP(A69,'The List'!B1:I671,8,FALSE)</f>
        <v>340.14791021061484</v>
      </c>
      <c r="F69" s="55" cm="1">
        <f t="array" ref="F69">IF(Settings!$E$15="POINTS",E69-VLOOKUP(B$2,C1:E407,3,FALSE),J69)</f>
        <v>-10.585107189847292</v>
      </c>
      <c r="G69" s="55"/>
      <c r="H69" s="167" cm="1">
        <f t="array" ref="H69">RANK(I69,I3:I407)</f>
        <v>59</v>
      </c>
      <c r="I69" s="168" cm="1">
        <f t="array" ref="I69">VLOOKUP(A69,'Standard Deviations'!A1:C672,3,FALSE)</f>
        <v>5.4216675799283403</v>
      </c>
      <c r="J69" s="168" cm="1">
        <f t="array" ref="J69">I69-VLOOKUP(B$2,H1:J407,2,FALSE)</f>
        <v>-6.8975779994715047E-2</v>
      </c>
    </row>
    <row r="70" spans="1:10" ht="21.25" customHeight="1" x14ac:dyDescent="0.15">
      <c r="A70" s="10" t="s">
        <v>260</v>
      </c>
      <c r="B70" s="166" t="str" cm="1">
        <f t="array" ref="B70">VLOOKUP(A70,'The List'!B1:D671,3,FALSE)</f>
        <v>RW</v>
      </c>
      <c r="C70" s="74" cm="1">
        <f t="array" ref="C70">IF(Settings!$E$15="POINTS",RANK(E70,E3:E407),H70)</f>
        <v>68</v>
      </c>
      <c r="D70" s="18" t="str" cm="1">
        <f t="array" ref="D70">VLOOKUP(A70,'The List'!B1:F671,5,FALSE)</f>
        <v>VGK</v>
      </c>
      <c r="E70" s="55" cm="1">
        <f t="array" ref="E70">VLOOKUP(A70,'The List'!B1:I671,8,FALSE)</f>
        <v>339.53523389198114</v>
      </c>
      <c r="F70" s="55" cm="1">
        <f t="array" ref="F70">IF(Settings!$E$15="POINTS",E70-VLOOKUP(B$2,C1:E407,3,FALSE),J70)</f>
        <v>-11.197783508480995</v>
      </c>
      <c r="G70" s="55"/>
      <c r="H70" s="167" cm="1">
        <f t="array" ref="H70">RANK(I70,I3:I407)</f>
        <v>75</v>
      </c>
      <c r="I70" s="168" cm="1">
        <f t="array" ref="I70">VLOOKUP(A70,'Standard Deviations'!A1:C672,3,FALSE)</f>
        <v>4.8251481890951053</v>
      </c>
      <c r="J70" s="168" cm="1">
        <f t="array" ref="J70">I70-VLOOKUP(B$2,H1:J407,2,FALSE)</f>
        <v>-0.66549517082794996</v>
      </c>
    </row>
    <row r="71" spans="1:10" ht="21.25" customHeight="1" x14ac:dyDescent="0.15">
      <c r="A71" s="10" t="s">
        <v>261</v>
      </c>
      <c r="B71" s="166" t="str" cm="1">
        <f t="array" ref="B71">VLOOKUP(A71,'The List'!B1:D671,3,FALSE)</f>
        <v>LW,RW</v>
      </c>
      <c r="C71" s="74" cm="1">
        <f t="array" ref="C71">IF(Settings!$E$15="POINTS",RANK(E71,E3:E407),H71)</f>
        <v>69</v>
      </c>
      <c r="D71" s="18" t="str" cm="1">
        <f t="array" ref="D71">VLOOKUP(A71,'The List'!B1:F671,5,FALSE)</f>
        <v>CAR</v>
      </c>
      <c r="E71" s="55" cm="1">
        <f t="array" ref="E71">VLOOKUP(A71,'The List'!B1:I671,8,FALSE)</f>
        <v>339.0866770659722</v>
      </c>
      <c r="F71" s="55" cm="1">
        <f t="array" ref="F71">IF(Settings!$E$15="POINTS",E71-VLOOKUP(B$2,C1:E407,3,FALSE),J71)</f>
        <v>-11.646340334489935</v>
      </c>
      <c r="G71" s="55"/>
      <c r="H71" s="167" cm="1">
        <f t="array" ref="H71">RANK(I71,I3:I407)</f>
        <v>24</v>
      </c>
      <c r="I71" s="168" cm="1">
        <f t="array" ref="I71">VLOOKUP(A71,'Standard Deviations'!A1:C672,3,FALSE)</f>
        <v>7.8970854871801111</v>
      </c>
      <c r="J71" s="168" cm="1">
        <f t="array" ref="J71">I71-VLOOKUP(B$2,H1:J407,2,FALSE)</f>
        <v>2.4064421272570558</v>
      </c>
    </row>
    <row r="72" spans="1:10" ht="21.25" customHeight="1" x14ac:dyDescent="0.15">
      <c r="A72" s="10" t="s">
        <v>265</v>
      </c>
      <c r="B72" s="166" t="str" cm="1">
        <f t="array" ref="B72">VLOOKUP(A72,'The List'!B1:D671,3,FALSE)</f>
        <v>LW,RW</v>
      </c>
      <c r="C72" s="74" cm="1">
        <f t="array" ref="C72">IF(Settings!$E$15="POINTS",RANK(E72,E3:E407),H72)</f>
        <v>70</v>
      </c>
      <c r="D72" s="18" t="str" cm="1">
        <f t="array" ref="D72">VLOOKUP(A72,'The List'!B1:F671,5,FALSE)</f>
        <v>PHI</v>
      </c>
      <c r="E72" s="55" cm="1">
        <f t="array" ref="E72">VLOOKUP(A72,'The List'!B1:I671,8,FALSE)</f>
        <v>337.69603310818508</v>
      </c>
      <c r="F72" s="55" cm="1">
        <f t="array" ref="F72">IF(Settings!$E$15="POINTS",E72-VLOOKUP(B$2,C1:E407,3,FALSE),J72)</f>
        <v>-13.036984292277054</v>
      </c>
      <c r="G72" s="55"/>
      <c r="H72" s="167" cm="1">
        <f t="array" ref="H72">RANK(I72,I3:I407)</f>
        <v>72</v>
      </c>
      <c r="I72" s="168" cm="1">
        <f t="array" ref="I72">VLOOKUP(A72,'Standard Deviations'!A1:C672,3,FALSE)</f>
        <v>4.9504733272307719</v>
      </c>
      <c r="J72" s="168" cm="1">
        <f t="array" ref="J72">I72-VLOOKUP(B$2,H1:J407,2,FALSE)</f>
        <v>-0.54017003269228336</v>
      </c>
    </row>
    <row r="73" spans="1:10" ht="21.25" customHeight="1" x14ac:dyDescent="0.15">
      <c r="A73" s="10" t="s">
        <v>266</v>
      </c>
      <c r="B73" s="166" t="str" cm="1">
        <f t="array" ref="B73">VLOOKUP(A73,'The List'!B1:D671,3,FALSE)</f>
        <v>C,RW</v>
      </c>
      <c r="C73" s="74" cm="1">
        <f t="array" ref="C73">IF(Settings!$E$15="POINTS",RANK(E73,E3:E407),H73)</f>
        <v>71</v>
      </c>
      <c r="D73" s="18" t="str" cm="1">
        <f t="array" ref="D73">VLOOKUP(A73,'The List'!B1:F671,5,FALSE)</f>
        <v>NSH</v>
      </c>
      <c r="E73" s="55" cm="1">
        <f t="array" ref="E73">VLOOKUP(A73,'The List'!B1:I671,8,FALSE)</f>
        <v>337.56248988145887</v>
      </c>
      <c r="F73" s="55" cm="1">
        <f t="array" ref="F73">IF(Settings!$E$15="POINTS",E73-VLOOKUP(B$2,C1:E407,3,FALSE),J73)</f>
        <v>-13.170527519003258</v>
      </c>
      <c r="G73" s="55"/>
      <c r="H73" s="167" cm="1">
        <f t="array" ref="H73">RANK(I73,I3:I407)</f>
        <v>70</v>
      </c>
      <c r="I73" s="168" cm="1">
        <f t="array" ref="I73">VLOOKUP(A73,'Standard Deviations'!A1:C672,3,FALSE)</f>
        <v>4.9523133696184107</v>
      </c>
      <c r="J73" s="168" cm="1">
        <f t="array" ref="J73">I73-VLOOKUP(B$2,H1:J407,2,FALSE)</f>
        <v>-0.53832999030464457</v>
      </c>
    </row>
    <row r="74" spans="1:10" ht="21.25" customHeight="1" x14ac:dyDescent="0.15">
      <c r="A74" s="10" t="s">
        <v>267</v>
      </c>
      <c r="B74" s="166" t="str" cm="1">
        <f t="array" ref="B74">VLOOKUP(A74,'The List'!B1:D671,3,FALSE)</f>
        <v>C,LW,RW</v>
      </c>
      <c r="C74" s="74" cm="1">
        <f t="array" ref="C74">IF(Settings!$E$15="POINTS",RANK(E74,E3:E407),H74)</f>
        <v>72</v>
      </c>
      <c r="D74" s="18" t="str" cm="1">
        <f t="array" ref="D74">VLOOKUP(A74,'The List'!B1:F671,5,FALSE)</f>
        <v>PIT</v>
      </c>
      <c r="E74" s="55" cm="1">
        <f t="array" ref="E74">VLOOKUP(A74,'The List'!B1:I671,8,FALSE)</f>
        <v>336.99772010800154</v>
      </c>
      <c r="F74" s="55" cm="1">
        <f t="array" ref="F74">IF(Settings!$E$15="POINTS",E74-VLOOKUP(B$2,C1:E407,3,FALSE),J74)</f>
        <v>-13.735297292460587</v>
      </c>
      <c r="G74" s="55"/>
      <c r="H74" s="167" cm="1">
        <f t="array" ref="H74">RANK(I74,I3:I407)</f>
        <v>96</v>
      </c>
      <c r="I74" s="168" cm="1">
        <f t="array" ref="I74">VLOOKUP(A74,'Standard Deviations'!A1:C672,3,FALSE)</f>
        <v>3.5684802742122872</v>
      </c>
      <c r="J74" s="168" cm="1">
        <f t="array" ref="J74">I74-VLOOKUP(B$2,H1:J407,2,FALSE)</f>
        <v>-1.9221630857107681</v>
      </c>
    </row>
    <row r="75" spans="1:10" ht="21.25" customHeight="1" x14ac:dyDescent="0.15">
      <c r="A75" s="10" t="s">
        <v>248</v>
      </c>
      <c r="B75" s="166" t="str" cm="1">
        <f t="array" ref="B75">VLOOKUP(A75,'The List'!B1:D671,3,FALSE)</f>
        <v>C</v>
      </c>
      <c r="C75" s="74" cm="1">
        <f t="array" ref="C75">IF(Settings!$E$15="POINTS",RANK(E75,E3:E407),H75)</f>
        <v>73</v>
      </c>
      <c r="D75" s="18" t="str" cm="1">
        <f t="array" ref="D75">VLOOKUP(A75,'The List'!B1:F671,5,FALSE)</f>
        <v>MIN</v>
      </c>
      <c r="E75" s="55" cm="1">
        <f t="array" ref="E75">VLOOKUP(A75,'The List'!B1:I671,8,FALSE)</f>
        <v>336.18301821973074</v>
      </c>
      <c r="F75" s="55" cm="1">
        <f t="array" ref="F75">IF(Settings!$E$15="POINTS",E75-VLOOKUP(B$2,C1:E407,3,FALSE),J75)</f>
        <v>-14.54999918073139</v>
      </c>
      <c r="G75" s="55"/>
      <c r="H75" s="167" cm="1">
        <f t="array" ref="H75">RANK(I75,I3:I407)</f>
        <v>52</v>
      </c>
      <c r="I75" s="168" cm="1">
        <f t="array" ref="I75">VLOOKUP(A75,'Standard Deviations'!A1:C672,3,FALSE)</f>
        <v>5.8556804886328848</v>
      </c>
      <c r="J75" s="168" cm="1">
        <f t="array" ref="J75">I75-VLOOKUP(B$2,H1:J407,2,FALSE)</f>
        <v>0.36503712870982952</v>
      </c>
    </row>
    <row r="76" spans="1:10" ht="21.25" customHeight="1" x14ac:dyDescent="0.15">
      <c r="A76" s="10" t="s">
        <v>271</v>
      </c>
      <c r="B76" s="166" t="str" cm="1">
        <f t="array" ref="B76">VLOOKUP(A76,'The List'!B1:D671,3,FALSE)</f>
        <v>LW,RW</v>
      </c>
      <c r="C76" s="74" cm="1">
        <f t="array" ref="C76">IF(Settings!$E$15="POINTS",RANK(E76,E3:E407),H76)</f>
        <v>74</v>
      </c>
      <c r="D76" s="18" t="str" cm="1">
        <f t="array" ref="D76">VLOOKUP(A76,'The List'!B1:F671,5,FALSE)</f>
        <v>EDM</v>
      </c>
      <c r="E76" s="55" cm="1">
        <f t="array" ref="E76">VLOOKUP(A76,'The List'!B1:I671,8,FALSE)</f>
        <v>334.07665101179299</v>
      </c>
      <c r="F76" s="55" cm="1">
        <f t="array" ref="F76">IF(Settings!$E$15="POINTS",E76-VLOOKUP(B$2,C1:E407,3,FALSE),J76)</f>
        <v>-16.656366388669142</v>
      </c>
      <c r="G76" s="55"/>
      <c r="H76" s="167" cm="1">
        <f t="array" ref="H76">RANK(I76,I3:I407)</f>
        <v>37</v>
      </c>
      <c r="I76" s="168" cm="1">
        <f t="array" ref="I76">VLOOKUP(A76,'Standard Deviations'!A1:C672,3,FALSE)</f>
        <v>7.0008688448509817</v>
      </c>
      <c r="J76" s="168" cm="1">
        <f t="array" ref="J76">I76-VLOOKUP(B$2,H1:J407,2,FALSE)</f>
        <v>1.5102254849279264</v>
      </c>
    </row>
    <row r="77" spans="1:10" ht="21.25" customHeight="1" x14ac:dyDescent="0.15">
      <c r="A77" s="10" t="s">
        <v>251</v>
      </c>
      <c r="B77" s="166" t="str" cm="1">
        <f t="array" ref="B77">VLOOKUP(A77,'The List'!B1:D671,3,FALSE)</f>
        <v>C</v>
      </c>
      <c r="C77" s="74" cm="1">
        <f t="array" ref="C77">IF(Settings!$E$15="POINTS",RANK(E77,E3:E407),H77)</f>
        <v>75</v>
      </c>
      <c r="D77" s="18" t="str" cm="1">
        <f t="array" ref="D77">VLOOKUP(A77,'The List'!B1:F671,5,FALSE)</f>
        <v>WSH</v>
      </c>
      <c r="E77" s="55" cm="1">
        <f t="array" ref="E77">VLOOKUP(A77,'The List'!B1:I671,8,FALSE)</f>
        <v>333.28836671128545</v>
      </c>
      <c r="F77" s="55" cm="1">
        <f t="array" ref="F77">IF(Settings!$E$15="POINTS",E77-VLOOKUP(B$2,C1:E407,3,FALSE),J77)</f>
        <v>-17.444650689176683</v>
      </c>
      <c r="G77" s="55"/>
      <c r="H77" s="167" cm="1">
        <f t="array" ref="H77">RANK(I77,I3:I407)</f>
        <v>61</v>
      </c>
      <c r="I77" s="168" cm="1">
        <f t="array" ref="I77">VLOOKUP(A77,'Standard Deviations'!A1:C672,3,FALSE)</f>
        <v>5.3887062500828655</v>
      </c>
      <c r="J77" s="168" cm="1">
        <f t="array" ref="J77">I77-VLOOKUP(B$2,H1:J407,2,FALSE)</f>
        <v>-0.10193710984018978</v>
      </c>
    </row>
    <row r="78" spans="1:10" ht="21.25" customHeight="1" x14ac:dyDescent="0.15">
      <c r="A78" s="10" t="s">
        <v>254</v>
      </c>
      <c r="B78" s="166" t="str" cm="1">
        <f t="array" ref="B78">VLOOKUP(A78,'The List'!B1:D671,3,FALSE)</f>
        <v>C</v>
      </c>
      <c r="C78" s="74" cm="1">
        <f t="array" ref="C78">IF(Settings!$E$15="POINTS",RANK(E78,E3:E407),H78)</f>
        <v>76</v>
      </c>
      <c r="D78" s="18" t="str" cm="1">
        <f t="array" ref="D78">VLOOKUP(A78,'The List'!B1:F671,5,FALSE)</f>
        <v>NSH</v>
      </c>
      <c r="E78" s="55" cm="1">
        <f t="array" ref="E78">VLOOKUP(A78,'The List'!B1:I671,8,FALSE)</f>
        <v>332.7448311876642</v>
      </c>
      <c r="F78" s="55" cm="1">
        <f t="array" ref="F78">IF(Settings!$E$15="POINTS",E78-VLOOKUP(B$2,C1:E407,3,FALSE),J78)</f>
        <v>-17.988186212797928</v>
      </c>
      <c r="G78" s="55"/>
      <c r="H78" s="167" cm="1">
        <f t="array" ref="H78">RANK(I78,I3:I407)</f>
        <v>102</v>
      </c>
      <c r="I78" s="168" cm="1">
        <f t="array" ref="I78">VLOOKUP(A78,'Standard Deviations'!A1:C672,3,FALSE)</f>
        <v>3.3153282049790631</v>
      </c>
      <c r="J78" s="168" cm="1">
        <f t="array" ref="J78">I78-VLOOKUP(B$2,H1:J407,2,FALSE)</f>
        <v>-2.1753151549439922</v>
      </c>
    </row>
    <row r="79" spans="1:10" ht="21.25" customHeight="1" x14ac:dyDescent="0.15">
      <c r="A79" s="10" t="s">
        <v>262</v>
      </c>
      <c r="B79" s="166" t="str" cm="1">
        <f t="array" ref="B79">VLOOKUP(A79,'The List'!B1:D671,3,FALSE)</f>
        <v>C</v>
      </c>
      <c r="C79" s="74" cm="1">
        <f t="array" ref="C79">IF(Settings!$E$15="POINTS",RANK(E79,E3:E407),H79)</f>
        <v>77</v>
      </c>
      <c r="D79" s="18" t="str" cm="1">
        <f t="array" ref="D79">VLOOKUP(A79,'The List'!B1:F671,5,FALSE)</f>
        <v>L.A</v>
      </c>
      <c r="E79" s="55" cm="1">
        <f t="array" ref="E79">VLOOKUP(A79,'The List'!B1:I671,8,FALSE)</f>
        <v>330.22244089162348</v>
      </c>
      <c r="F79" s="55" cm="1">
        <f t="array" ref="F79">IF(Settings!$E$15="POINTS",E79-VLOOKUP(B$2,C1:E407,3,FALSE),J79)</f>
        <v>-20.510576508838653</v>
      </c>
      <c r="G79" s="55"/>
      <c r="H79" s="167" cm="1">
        <f t="array" ref="H79">RANK(I79,I3:I407)</f>
        <v>63</v>
      </c>
      <c r="I79" s="168" cm="1">
        <f t="array" ref="I79">VLOOKUP(A79,'Standard Deviations'!A1:C672,3,FALSE)</f>
        <v>5.200655825298532</v>
      </c>
      <c r="J79" s="168" cm="1">
        <f t="array" ref="J79">I79-VLOOKUP(B$2,H1:J407,2,FALSE)</f>
        <v>-0.28998753462452331</v>
      </c>
    </row>
    <row r="80" spans="1:10" ht="21.25" customHeight="1" x14ac:dyDescent="0.15">
      <c r="A80" s="10" t="s">
        <v>275</v>
      </c>
      <c r="B80" s="166" t="str" cm="1">
        <f t="array" ref="B80">VLOOKUP(A80,'The List'!B1:D671,3,FALSE)</f>
        <v>RW</v>
      </c>
      <c r="C80" s="74" cm="1">
        <f t="array" ref="C80">IF(Settings!$E$15="POINTS",RANK(E80,E3:E407),H80)</f>
        <v>78</v>
      </c>
      <c r="D80" s="18" t="str" cm="1">
        <f t="array" ref="D80">VLOOKUP(A80,'The List'!B1:F671,5,FALSE)</f>
        <v>STL</v>
      </c>
      <c r="E80" s="55" cm="1">
        <f t="array" ref="E80">VLOOKUP(A80,'The List'!B1:I671,8,FALSE)</f>
        <v>329.29480289356565</v>
      </c>
      <c r="F80" s="55" cm="1">
        <f t="array" ref="F80">IF(Settings!$E$15="POINTS",E80-VLOOKUP(B$2,C1:E407,3,FALSE),J80)</f>
        <v>-21.438214506896486</v>
      </c>
      <c r="G80" s="55"/>
      <c r="H80" s="167" cm="1">
        <f t="array" ref="H80">RANK(I80,I3:I407)</f>
        <v>106</v>
      </c>
      <c r="I80" s="168" cm="1">
        <f t="array" ref="I80">VLOOKUP(A80,'Standard Deviations'!A1:C672,3,FALSE)</f>
        <v>2.9790439575038681</v>
      </c>
      <c r="J80" s="168" cm="1">
        <f t="array" ref="J80">I80-VLOOKUP(B$2,H1:J407,2,FALSE)</f>
        <v>-2.5115994024191872</v>
      </c>
    </row>
    <row r="81" spans="1:10" ht="21.25" customHeight="1" x14ac:dyDescent="0.15">
      <c r="A81" s="10" t="s">
        <v>276</v>
      </c>
      <c r="B81" s="166" t="str" cm="1">
        <f t="array" ref="B81">VLOOKUP(A81,'The List'!B1:D671,3,FALSE)</f>
        <v>RW</v>
      </c>
      <c r="C81" s="74" cm="1">
        <f t="array" ref="C81">IF(Settings!$E$15="POINTS",RANK(E81,E3:E407),H81)</f>
        <v>79</v>
      </c>
      <c r="D81" s="18" t="str" cm="1">
        <f t="array" ref="D81">VLOOKUP(A81,'The List'!B1:F671,5,FALSE)</f>
        <v>WSH</v>
      </c>
      <c r="E81" s="55" cm="1">
        <f t="array" ref="E81">VLOOKUP(A81,'The List'!B1:I671,8,FALSE)</f>
        <v>328.50587060813558</v>
      </c>
      <c r="F81" s="55" cm="1">
        <f t="array" ref="F81">IF(Settings!$E$15="POINTS",E81-VLOOKUP(B$2,C1:E407,3,FALSE),J81)</f>
        <v>-22.22714679232655</v>
      </c>
      <c r="G81" s="55"/>
      <c r="H81" s="167" cm="1">
        <f t="array" ref="H81">RANK(I81,I3:I407)</f>
        <v>79</v>
      </c>
      <c r="I81" s="168" cm="1">
        <f t="array" ref="I81">VLOOKUP(A81,'Standard Deviations'!A1:C672,3,FALSE)</f>
        <v>4.5165597780964157</v>
      </c>
      <c r="J81" s="168" cm="1">
        <f t="array" ref="J81">I81-VLOOKUP(B$2,H1:J407,2,FALSE)</f>
        <v>-0.97408358182663957</v>
      </c>
    </row>
    <row r="82" spans="1:10" ht="21.25" customHeight="1" x14ac:dyDescent="0.15">
      <c r="A82" s="10" t="s">
        <v>277</v>
      </c>
      <c r="B82" s="166" t="str" cm="1">
        <f t="array" ref="B82">VLOOKUP(A82,'The List'!B1:D671,3,FALSE)</f>
        <v>LW,RW</v>
      </c>
      <c r="C82" s="74" cm="1">
        <f t="array" ref="C82">IF(Settings!$E$15="POINTS",RANK(E82,E3:E407),H82)</f>
        <v>80</v>
      </c>
      <c r="D82" s="18" t="str" cm="1">
        <f t="array" ref="D82">VLOOKUP(A82,'The List'!B1:F671,5,FALSE)</f>
        <v>N.J</v>
      </c>
      <c r="E82" s="55" cm="1">
        <f t="array" ref="E82">VLOOKUP(A82,'The List'!B1:I671,8,FALSE)</f>
        <v>328.25462042837142</v>
      </c>
      <c r="F82" s="55" cm="1">
        <f t="array" ref="F82">IF(Settings!$E$15="POINTS",E82-VLOOKUP(B$2,C1:E407,3,FALSE),J82)</f>
        <v>-22.478396972090707</v>
      </c>
      <c r="G82" s="55"/>
      <c r="H82" s="167" cm="1">
        <f t="array" ref="H82">RANK(I82,I3:I407)</f>
        <v>86</v>
      </c>
      <c r="I82" s="168" cm="1">
        <f t="array" ref="I82">VLOOKUP(A82,'Standard Deviations'!A1:C672,3,FALSE)</f>
        <v>4.1195107659796628</v>
      </c>
      <c r="J82" s="168" cm="1">
        <f t="array" ref="J82">I82-VLOOKUP(B$2,H1:J407,2,FALSE)</f>
        <v>-1.3711325939433925</v>
      </c>
    </row>
    <row r="83" spans="1:10" ht="21.25" customHeight="1" x14ac:dyDescent="0.15">
      <c r="A83" s="10" t="s">
        <v>278</v>
      </c>
      <c r="B83" s="166" t="str" cm="1">
        <f t="array" ref="B83">VLOOKUP(A83,'The List'!B1:D671,3,FALSE)</f>
        <v>C,LW,RW</v>
      </c>
      <c r="C83" s="74" cm="1">
        <f t="array" ref="C83">IF(Settings!$E$15="POINTS",RANK(E83,E3:E407),H83)</f>
        <v>81</v>
      </c>
      <c r="D83" s="18" t="str" cm="1">
        <f t="array" ref="D83">VLOOKUP(A83,'The List'!B1:F671,5,FALSE)</f>
        <v>BOS</v>
      </c>
      <c r="E83" s="55" cm="1">
        <f t="array" ref="E83">VLOOKUP(A83,'The List'!B1:I671,8,FALSE)</f>
        <v>327.74700676153907</v>
      </c>
      <c r="F83" s="55" cm="1">
        <f t="array" ref="F83">IF(Settings!$E$15="POINTS",E83-VLOOKUP(B$2,C1:E407,3,FALSE),J83)</f>
        <v>-22.986010638923062</v>
      </c>
      <c r="G83" s="55"/>
      <c r="H83" s="167" cm="1">
        <f t="array" ref="H83">RANK(I83,I3:I407)</f>
        <v>95</v>
      </c>
      <c r="I83" s="168" cm="1">
        <f t="array" ref="I83">VLOOKUP(A83,'Standard Deviations'!A1:C672,3,FALSE)</f>
        <v>3.5710589707507894</v>
      </c>
      <c r="J83" s="168" cm="1">
        <f t="array" ref="J83">I83-VLOOKUP(B$2,H1:J407,2,FALSE)</f>
        <v>-1.9195843891722659</v>
      </c>
    </row>
    <row r="84" spans="1:10" ht="21.25" customHeight="1" x14ac:dyDescent="0.15">
      <c r="A84" s="10" t="s">
        <v>283</v>
      </c>
      <c r="B84" s="166" t="str" cm="1">
        <f t="array" ref="B84">VLOOKUP(A84,'The List'!B1:D671,3,FALSE)</f>
        <v>C,LW</v>
      </c>
      <c r="C84" s="74" cm="1">
        <f t="array" ref="C84">IF(Settings!$E$15="POINTS",RANK(E84,E3:E407),H84)</f>
        <v>82</v>
      </c>
      <c r="D84" s="18" t="str" cm="1">
        <f t="array" ref="D84">VLOOKUP(A84,'The List'!B1:F671,5,FALSE)</f>
        <v>VGK</v>
      </c>
      <c r="E84" s="55" cm="1">
        <f t="array" ref="E84">VLOOKUP(A84,'The List'!B1:I671,8,FALSE)</f>
        <v>327.58703595649564</v>
      </c>
      <c r="F84" s="55" cm="1">
        <f t="array" ref="F84">IF(Settings!$E$15="POINTS",E84-VLOOKUP(B$2,C1:E407,3,FALSE),J84)</f>
        <v>-23.145981443966491</v>
      </c>
      <c r="G84" s="55"/>
      <c r="H84" s="167" cm="1">
        <f t="array" ref="H84">RANK(I84,I3:I407)</f>
        <v>77</v>
      </c>
      <c r="I84" s="168" cm="1">
        <f t="array" ref="I84">VLOOKUP(A84,'Standard Deviations'!A1:C672,3,FALSE)</f>
        <v>4.7118209443490455</v>
      </c>
      <c r="J84" s="168" cm="1">
        <f t="array" ref="J84">I84-VLOOKUP(B$2,H1:J407,2,FALSE)</f>
        <v>-0.77882241557400977</v>
      </c>
    </row>
    <row r="85" spans="1:10" ht="21.25" customHeight="1" x14ac:dyDescent="0.15">
      <c r="A85" s="10" t="s">
        <v>279</v>
      </c>
      <c r="B85" s="166" t="str" cm="1">
        <f t="array" ref="B85">VLOOKUP(A85,'The List'!B1:D671,3,FALSE)</f>
        <v>C,LW,RW</v>
      </c>
      <c r="C85" s="74" cm="1">
        <f t="array" ref="C85">IF(Settings!$E$15="POINTS",RANK(E85,E3:E407),H85)</f>
        <v>83</v>
      </c>
      <c r="D85" s="18" t="str" cm="1">
        <f t="array" ref="D85">VLOOKUP(A85,'The List'!B1:F671,5,FALSE)</f>
        <v>PIT</v>
      </c>
      <c r="E85" s="55" cm="1">
        <f t="array" ref="E85">VLOOKUP(A85,'The List'!B1:I671,8,FALSE)</f>
        <v>326.92211895558961</v>
      </c>
      <c r="F85" s="55" cm="1">
        <f t="array" ref="F85">IF(Settings!$E$15="POINTS",E85-VLOOKUP(B$2,C1:E407,3,FALSE),J85)</f>
        <v>-23.810898444872521</v>
      </c>
      <c r="G85" s="55"/>
      <c r="H85" s="167" cm="1">
        <f t="array" ref="H85">RANK(I85,I3:I407)</f>
        <v>56</v>
      </c>
      <c r="I85" s="168" cm="1">
        <f t="array" ref="I85">VLOOKUP(A85,'Standard Deviations'!A1:C672,3,FALSE)</f>
        <v>5.5975504414883082</v>
      </c>
      <c r="J85" s="168" cm="1">
        <f t="array" ref="J85">I85-VLOOKUP(B$2,H1:J407,2,FALSE)</f>
        <v>0.10690708156525286</v>
      </c>
    </row>
    <row r="86" spans="1:10" ht="21.25" customHeight="1" x14ac:dyDescent="0.15">
      <c r="A86" s="10" t="s">
        <v>269</v>
      </c>
      <c r="B86" s="166" t="str" cm="1">
        <f t="array" ref="B86">VLOOKUP(A86,'The List'!B1:D671,3,FALSE)</f>
        <v>C</v>
      </c>
      <c r="C86" s="74" cm="1">
        <f t="array" ref="C86">IF(Settings!$E$15="POINTS",RANK(E86,E3:E407),H86)</f>
        <v>84</v>
      </c>
      <c r="D86" s="18" t="str" cm="1">
        <f t="array" ref="D86">VLOOKUP(A86,'The List'!B1:F671,5,FALSE)</f>
        <v>TOR</v>
      </c>
      <c r="E86" s="55" cm="1">
        <f t="array" ref="E86">VLOOKUP(A86,'The List'!B1:I671,8,FALSE)</f>
        <v>326.04259365219184</v>
      </c>
      <c r="F86" s="55" cm="1">
        <f t="array" ref="F86">IF(Settings!$E$15="POINTS",E86-VLOOKUP(B$2,C1:E407,3,FALSE),J86)</f>
        <v>-24.690423748270291</v>
      </c>
      <c r="G86" s="55"/>
      <c r="H86" s="167" cm="1">
        <f t="array" ref="H86">RANK(I86,I3:I407)</f>
        <v>92</v>
      </c>
      <c r="I86" s="168" cm="1">
        <f t="array" ref="I86">VLOOKUP(A86,'Standard Deviations'!A1:C672,3,FALSE)</f>
        <v>3.9745011152956082</v>
      </c>
      <c r="J86" s="168" cm="1">
        <f t="array" ref="J86">I86-VLOOKUP(B$2,H1:J407,2,FALSE)</f>
        <v>-1.5161422446274471</v>
      </c>
    </row>
    <row r="87" spans="1:10" ht="21.25" customHeight="1" x14ac:dyDescent="0.15">
      <c r="A87" s="10" t="s">
        <v>280</v>
      </c>
      <c r="B87" s="166" t="str" cm="1">
        <f t="array" ref="B87">VLOOKUP(A87,'The List'!B1:D671,3,FALSE)</f>
        <v>LW,RW</v>
      </c>
      <c r="C87" s="74" cm="1">
        <f t="array" ref="C87">IF(Settings!$E$15="POINTS",RANK(E87,E3:E407),H87)</f>
        <v>85</v>
      </c>
      <c r="D87" s="18" t="str" cm="1">
        <f t="array" ref="D87">VLOOKUP(A87,'The List'!B1:F671,5,FALSE)</f>
        <v>TOR</v>
      </c>
      <c r="E87" s="55" cm="1">
        <f t="array" ref="E87">VLOOKUP(A87,'The List'!B1:I671,8,FALSE)</f>
        <v>325.83447150064848</v>
      </c>
      <c r="F87" s="55" cm="1">
        <f t="array" ref="F87">IF(Settings!$E$15="POINTS",E87-VLOOKUP(B$2,C1:E407,3,FALSE),J87)</f>
        <v>-24.898545899813655</v>
      </c>
      <c r="G87" s="55"/>
      <c r="H87" s="167" cm="1">
        <f t="array" ref="H87">RANK(I87,I3:I407)</f>
        <v>89</v>
      </c>
      <c r="I87" s="168" cm="1">
        <f t="array" ref="I87">VLOOKUP(A87,'Standard Deviations'!A1:C672,3,FALSE)</f>
        <v>4.0588527634139435</v>
      </c>
      <c r="J87" s="168" cm="1">
        <f t="array" ref="J87">I87-VLOOKUP(B$2,H1:J407,2,FALSE)</f>
        <v>-1.4317905965091118</v>
      </c>
    </row>
    <row r="88" spans="1:10" ht="21.25" customHeight="1" x14ac:dyDescent="0.15">
      <c r="A88" s="10" t="s">
        <v>284</v>
      </c>
      <c r="B88" s="166" t="str" cm="1">
        <f t="array" ref="B88">VLOOKUP(A88,'The List'!B1:D671,3,FALSE)</f>
        <v>LW</v>
      </c>
      <c r="C88" s="74" cm="1">
        <f t="array" ref="C88">IF(Settings!$E$15="POINTS",RANK(E88,E3:E407),H88)</f>
        <v>86</v>
      </c>
      <c r="D88" s="18" t="str" cm="1">
        <f t="array" ref="D88">VLOOKUP(A88,'The List'!B1:F671,5,FALSE)</f>
        <v>BUF</v>
      </c>
      <c r="E88" s="55" cm="1">
        <f t="array" ref="E88">VLOOKUP(A88,'The List'!B1:I671,8,FALSE)</f>
        <v>325.29623072030597</v>
      </c>
      <c r="F88" s="55" cm="1">
        <f t="array" ref="F88">IF(Settings!$E$15="POINTS",E88-VLOOKUP(B$2,C1:E407,3,FALSE),J88)</f>
        <v>-25.43678668015616</v>
      </c>
      <c r="G88" s="55"/>
      <c r="H88" s="167" cm="1">
        <f t="array" ref="H88">RANK(I88,I3:I407)</f>
        <v>57</v>
      </c>
      <c r="I88" s="168" cm="1">
        <f t="array" ref="I88">VLOOKUP(A88,'Standard Deviations'!A1:C672,3,FALSE)</f>
        <v>5.506895403632976</v>
      </c>
      <c r="J88" s="168" cm="1">
        <f t="array" ref="J88">I88-VLOOKUP(B$2,H1:J407,2,FALSE)</f>
        <v>1.6252043709920727E-2</v>
      </c>
    </row>
    <row r="89" spans="1:10" ht="21.25" customHeight="1" x14ac:dyDescent="0.15">
      <c r="A89" s="10" t="s">
        <v>282</v>
      </c>
      <c r="B89" s="166" t="str" cm="1">
        <f t="array" ref="B89">VLOOKUP(A89,'The List'!B1:D671,3,FALSE)</f>
        <v>LW,RW</v>
      </c>
      <c r="C89" s="74" cm="1">
        <f t="array" ref="C89">IF(Settings!$E$15="POINTS",RANK(E89,E3:E407),H89)</f>
        <v>87</v>
      </c>
      <c r="D89" s="18" t="str" cm="1">
        <f t="array" ref="D89">VLOOKUP(A89,'The List'!B1:F671,5,FALSE)</f>
        <v>OTT</v>
      </c>
      <c r="E89" s="55" cm="1">
        <f t="array" ref="E89">VLOOKUP(A89,'The List'!B1:I671,8,FALSE)</f>
        <v>323.29237461671488</v>
      </c>
      <c r="F89" s="55" cm="1">
        <f t="array" ref="F89">IF(Settings!$E$15="POINTS",E89-VLOOKUP(B$2,C1:E407,3,FALSE),J89)</f>
        <v>-27.440642783747251</v>
      </c>
      <c r="G89" s="55"/>
      <c r="H89" s="167" cm="1">
        <f t="array" ref="H89">RANK(I89,I3:I407)</f>
        <v>82</v>
      </c>
      <c r="I89" s="168" cm="1">
        <f t="array" ref="I89">VLOOKUP(A89,'Standard Deviations'!A1:C672,3,FALSE)</f>
        <v>4.3934263737130319</v>
      </c>
      <c r="J89" s="168" cm="1">
        <f t="array" ref="J89">I89-VLOOKUP(B$2,H1:J407,2,FALSE)</f>
        <v>-1.0972169862100234</v>
      </c>
    </row>
    <row r="90" spans="1:10" ht="21.25" customHeight="1" x14ac:dyDescent="0.15">
      <c r="A90" s="10" t="s">
        <v>294</v>
      </c>
      <c r="B90" s="166" t="str" cm="1">
        <f t="array" ref="B90">VLOOKUP(A90,'The List'!B1:D671,3,FALSE)</f>
        <v>RW</v>
      </c>
      <c r="C90" s="74" cm="1">
        <f t="array" ref="C90">IF(Settings!$E$15="POINTS",RANK(E90,E3:E407),H90)</f>
        <v>88</v>
      </c>
      <c r="D90" s="18" t="str" cm="1">
        <f t="array" ref="D90">VLOOKUP(A90,'The List'!B1:F671,5,FALSE)</f>
        <v>WSH</v>
      </c>
      <c r="E90" s="55" cm="1">
        <f t="array" ref="E90">VLOOKUP(A90,'The List'!B1:I671,8,FALSE)</f>
        <v>318.12187800701668</v>
      </c>
      <c r="F90" s="55" cm="1">
        <f t="array" ref="F90">IF(Settings!$E$15="POINTS",E90-VLOOKUP(B$2,C1:E407,3,FALSE),J90)</f>
        <v>-32.611139393445455</v>
      </c>
      <c r="G90" s="55"/>
      <c r="H90" s="167" cm="1">
        <f t="array" ref="H90">RANK(I90,I3:I407)</f>
        <v>21</v>
      </c>
      <c r="I90" s="168" cm="1">
        <f t="array" ref="I90">VLOOKUP(A90,'Standard Deviations'!A1:C672,3,FALSE)</f>
        <v>8.542478817544005</v>
      </c>
      <c r="J90" s="168" cm="1">
        <f t="array" ref="J90">I90-VLOOKUP(B$2,H1:J407,2,FALSE)</f>
        <v>3.0518354576209497</v>
      </c>
    </row>
    <row r="91" spans="1:10" ht="21.25" customHeight="1" x14ac:dyDescent="0.15">
      <c r="A91" s="10" t="s">
        <v>295</v>
      </c>
      <c r="B91" s="166" t="str" cm="1">
        <f t="array" ref="B91">VLOOKUP(A91,'The List'!B1:D671,3,FALSE)</f>
        <v>RW</v>
      </c>
      <c r="C91" s="74" cm="1">
        <f t="array" ref="C91">IF(Settings!$E$15="POINTS",RANK(E91,E3:E407),H91)</f>
        <v>89</v>
      </c>
      <c r="D91" s="18" t="str" cm="1">
        <f t="array" ref="D91">VLOOKUP(A91,'The List'!B1:F671,5,FALSE)</f>
        <v>PHI</v>
      </c>
      <c r="E91" s="55" cm="1">
        <f t="array" ref="E91">VLOOKUP(A91,'The List'!B1:I671,8,FALSE)</f>
        <v>317.90454739863992</v>
      </c>
      <c r="F91" s="55" cm="1">
        <f t="array" ref="F91">IF(Settings!$E$15="POINTS",E91-VLOOKUP(B$2,C1:E407,3,FALSE),J91)</f>
        <v>-32.828470001822211</v>
      </c>
      <c r="G91" s="55"/>
      <c r="H91" s="167" cm="1">
        <f t="array" ref="H91">RANK(I91,I3:I407)</f>
        <v>93</v>
      </c>
      <c r="I91" s="168" cm="1">
        <f t="array" ref="I91">VLOOKUP(A91,'Standard Deviations'!A1:C672,3,FALSE)</f>
        <v>3.970203845293546</v>
      </c>
      <c r="J91" s="168" cm="1">
        <f t="array" ref="J91">I91-VLOOKUP(B$2,H1:J407,2,FALSE)</f>
        <v>-1.5204395146295093</v>
      </c>
    </row>
    <row r="92" spans="1:10" ht="21.25" customHeight="1" x14ac:dyDescent="0.15">
      <c r="A92" s="10" t="s">
        <v>296</v>
      </c>
      <c r="B92" s="166" t="str" cm="1">
        <f t="array" ref="B92">VLOOKUP(A92,'The List'!B1:D671,3,FALSE)</f>
        <v>LW,RW</v>
      </c>
      <c r="C92" s="74" cm="1">
        <f t="array" ref="C92">IF(Settings!$E$15="POINTS",RANK(E92,E3:E407),H92)</f>
        <v>90</v>
      </c>
      <c r="D92" s="18" t="str" cm="1">
        <f t="array" ref="D92">VLOOKUP(A92,'The List'!B1:F671,5,FALSE)</f>
        <v>OTT</v>
      </c>
      <c r="E92" s="55" cm="1">
        <f t="array" ref="E92">VLOOKUP(A92,'The List'!B1:I671,8,FALSE)</f>
        <v>317.50763970741735</v>
      </c>
      <c r="F92" s="55" cm="1">
        <f t="array" ref="F92">IF(Settings!$E$15="POINTS",E92-VLOOKUP(B$2,C1:E407,3,FALSE),J92)</f>
        <v>-33.225377693044777</v>
      </c>
      <c r="G92" s="55"/>
      <c r="H92" s="167" cm="1">
        <f t="array" ref="H92">RANK(I92,I3:I407)</f>
        <v>97</v>
      </c>
      <c r="I92" s="168" cm="1">
        <f t="array" ref="I92">VLOOKUP(A92,'Standard Deviations'!A1:C672,3,FALSE)</f>
        <v>3.4324083778855359</v>
      </c>
      <c r="J92" s="168" cm="1">
        <f t="array" ref="J92">I92-VLOOKUP(B$2,H1:J407,2,FALSE)</f>
        <v>-2.0582349820375194</v>
      </c>
    </row>
    <row r="93" spans="1:10" ht="21.25" customHeight="1" x14ac:dyDescent="0.15">
      <c r="A93" s="10" t="s">
        <v>300</v>
      </c>
      <c r="B93" s="166" t="str" cm="1">
        <f t="array" ref="B93">VLOOKUP(A93,'The List'!B1:D671,3,FALSE)</f>
        <v>LW</v>
      </c>
      <c r="C93" s="74" cm="1">
        <f t="array" ref="C93">IF(Settings!$E$15="POINTS",RANK(E93,E3:E407),H93)</f>
        <v>91</v>
      </c>
      <c r="D93" s="18" t="str" cm="1">
        <f t="array" ref="D93">VLOOKUP(A93,'The List'!B1:F671,5,FALSE)</f>
        <v>TOR</v>
      </c>
      <c r="E93" s="55" cm="1">
        <f t="array" ref="E93">VLOOKUP(A93,'The List'!B1:I671,8,FALSE)</f>
        <v>317.42328549235407</v>
      </c>
      <c r="F93" s="55" cm="1">
        <f t="array" ref="F93">IF(Settings!$E$15="POINTS",E93-VLOOKUP(B$2,C1:E407,3,FALSE),J93)</f>
        <v>-33.309731908108063</v>
      </c>
      <c r="G93" s="55"/>
      <c r="H93" s="167" cm="1">
        <f t="array" ref="H93">RANK(I93,I3:I407)</f>
        <v>100</v>
      </c>
      <c r="I93" s="168" cm="1">
        <f t="array" ref="I93">VLOOKUP(A93,'Standard Deviations'!A1:C672,3,FALSE)</f>
        <v>3.3745146942002289</v>
      </c>
      <c r="J93" s="168" cm="1">
        <f t="array" ref="J93">I93-VLOOKUP(B$2,H1:J407,2,FALSE)</f>
        <v>-2.1161286657228264</v>
      </c>
    </row>
    <row r="94" spans="1:10" ht="21.25" customHeight="1" x14ac:dyDescent="0.15">
      <c r="A94" s="10" t="s">
        <v>301</v>
      </c>
      <c r="B94" s="166" t="str" cm="1">
        <f t="array" ref="B94">VLOOKUP(A94,'The List'!B1:D671,3,FALSE)</f>
        <v>C,LW</v>
      </c>
      <c r="C94" s="74" cm="1">
        <f t="array" ref="C94">IF(Settings!$E$15="POINTS",RANK(E94,E3:E407),H94)</f>
        <v>92</v>
      </c>
      <c r="D94" s="18" t="str" cm="1">
        <f t="array" ref="D94">VLOOKUP(A94,'The List'!B1:F671,5,FALSE)</f>
        <v>COL</v>
      </c>
      <c r="E94" s="55" cm="1">
        <f t="array" ref="E94">VLOOKUP(A94,'The List'!B1:I671,8,FALSE)</f>
        <v>316.74830561317731</v>
      </c>
      <c r="F94" s="55" cm="1">
        <f t="array" ref="F94">IF(Settings!$E$15="POINTS",E94-VLOOKUP(B$2,C1:E407,3,FALSE),J94)</f>
        <v>-33.984711787284823</v>
      </c>
      <c r="G94" s="55"/>
      <c r="H94" s="167" cm="1">
        <f t="array" ref="H94">RANK(I94,I3:I407)</f>
        <v>60</v>
      </c>
      <c r="I94" s="168" cm="1">
        <f t="array" ref="I94">VLOOKUP(A94,'Standard Deviations'!A1:C672,3,FALSE)</f>
        <v>5.3952496544659834</v>
      </c>
      <c r="J94" s="168" cm="1">
        <f t="array" ref="J94">I94-VLOOKUP(B$2,H1:J407,2,FALSE)</f>
        <v>-9.5393705457071931E-2</v>
      </c>
    </row>
    <row r="95" spans="1:10" ht="21.25" customHeight="1" x14ac:dyDescent="0.15">
      <c r="A95" s="10" t="s">
        <v>299</v>
      </c>
      <c r="B95" s="166" t="str" cm="1">
        <f t="array" ref="B95">VLOOKUP(A95,'The List'!B1:D671,3,FALSE)</f>
        <v>LW,RW</v>
      </c>
      <c r="C95" s="74" cm="1">
        <f t="array" ref="C95">IF(Settings!$E$15="POINTS",RANK(E95,E3:E407),H95)</f>
        <v>93</v>
      </c>
      <c r="D95" s="18" t="str" cm="1">
        <f t="array" ref="D95">VLOOKUP(A95,'The List'!B1:F671,5,FALSE)</f>
        <v>BOS</v>
      </c>
      <c r="E95" s="55" cm="1">
        <f t="array" ref="E95">VLOOKUP(A95,'The List'!B1:I671,8,FALSE)</f>
        <v>315.68046648720946</v>
      </c>
      <c r="F95" s="55" cm="1">
        <f t="array" ref="F95">IF(Settings!$E$15="POINTS",E95-VLOOKUP(B$2,C1:E407,3,FALSE),J95)</f>
        <v>-35.052550913252674</v>
      </c>
      <c r="G95" s="55"/>
      <c r="H95" s="167" cm="1">
        <f t="array" ref="H95">RANK(I95,I3:I407)</f>
        <v>113</v>
      </c>
      <c r="I95" s="168" cm="1">
        <f t="array" ref="I95">VLOOKUP(A95,'Standard Deviations'!A1:C672,3,FALSE)</f>
        <v>2.62369569686593</v>
      </c>
      <c r="J95" s="168" cm="1">
        <f t="array" ref="J95">I95-VLOOKUP(B$2,H1:J407,2,FALSE)</f>
        <v>-2.8669476630571253</v>
      </c>
    </row>
    <row r="96" spans="1:10" ht="21.25" customHeight="1" x14ac:dyDescent="0.15">
      <c r="A96" s="10" t="s">
        <v>286</v>
      </c>
      <c r="B96" s="166" t="str" cm="1">
        <f t="array" ref="B96">VLOOKUP(A96,'The List'!B1:D671,3,FALSE)</f>
        <v>C</v>
      </c>
      <c r="C96" s="74" cm="1">
        <f t="array" ref="C96">IF(Settings!$E$15="POINTS",RANK(E96,E3:E407),H96)</f>
        <v>94</v>
      </c>
      <c r="D96" s="18" t="str" cm="1">
        <f t="array" ref="D96">VLOOKUP(A96,'The List'!B1:F671,5,FALSE)</f>
        <v>COL</v>
      </c>
      <c r="E96" s="55" cm="1">
        <f t="array" ref="E96">VLOOKUP(A96,'The List'!B1:I671,8,FALSE)</f>
        <v>311.61386414970235</v>
      </c>
      <c r="F96" s="55" cm="1">
        <f t="array" ref="F96">IF(Settings!$E$15="POINTS",E96-VLOOKUP(B$2,C1:E407,3,FALSE),J96)</f>
        <v>-39.11915325075978</v>
      </c>
      <c r="G96" s="55"/>
      <c r="H96" s="167" cm="1">
        <f t="array" ref="H96">RANK(I96,I3:I407)</f>
        <v>64</v>
      </c>
      <c r="I96" s="168" cm="1">
        <f t="array" ref="I96">VLOOKUP(A96,'Standard Deviations'!A1:C672,3,FALSE)</f>
        <v>5.1793558837570979</v>
      </c>
      <c r="J96" s="168" cm="1">
        <f t="array" ref="J96">I96-VLOOKUP(B$2,H1:J407,2,FALSE)</f>
        <v>-0.31128747616595742</v>
      </c>
    </row>
    <row r="97" spans="1:10" ht="21.25" customHeight="1" x14ac:dyDescent="0.15">
      <c r="A97" s="10" t="s">
        <v>288</v>
      </c>
      <c r="B97" s="166" t="str" cm="1">
        <f t="array" ref="B97">VLOOKUP(A97,'The List'!B1:D671,3,FALSE)</f>
        <v>C</v>
      </c>
      <c r="C97" s="74" cm="1">
        <f t="array" ref="C97">IF(Settings!$E$15="POINTS",RANK(E97,E3:E407),H97)</f>
        <v>95</v>
      </c>
      <c r="D97" s="18" t="str" cm="1">
        <f t="array" ref="D97">VLOOKUP(A97,'The List'!B1:F671,5,FALSE)</f>
        <v>S.J</v>
      </c>
      <c r="E97" s="55" cm="1">
        <f t="array" ref="E97">VLOOKUP(A97,'The List'!B1:I671,8,FALSE)</f>
        <v>311.53167000840961</v>
      </c>
      <c r="F97" s="55" cm="1">
        <f t="array" ref="F97">IF(Settings!$E$15="POINTS",E97-VLOOKUP(B$2,C1:E407,3,FALSE),J97)</f>
        <v>-39.201347392052526</v>
      </c>
      <c r="G97" s="55"/>
      <c r="H97" s="167" cm="1">
        <f t="array" ref="H97">RANK(I97,I3:I407)</f>
        <v>108</v>
      </c>
      <c r="I97" s="168" cm="1">
        <f t="array" ref="I97">VLOOKUP(A97,'Standard Deviations'!A1:C672,3,FALSE)</f>
        <v>2.9055371284199514</v>
      </c>
      <c r="J97" s="168" cm="1">
        <f t="array" ref="J97">I97-VLOOKUP(B$2,H1:J407,2,FALSE)</f>
        <v>-2.5851062315031039</v>
      </c>
    </row>
    <row r="98" spans="1:10" ht="21.25" customHeight="1" x14ac:dyDescent="0.15">
      <c r="A98" s="10" t="s">
        <v>304</v>
      </c>
      <c r="B98" s="166" t="str" cm="1">
        <f t="array" ref="B98">VLOOKUP(A98,'The List'!B1:D671,3,FALSE)</f>
        <v>C,RW</v>
      </c>
      <c r="C98" s="74" cm="1">
        <f t="array" ref="C98">IF(Settings!$E$15="POINTS",RANK(E98,E3:E407),H98)</f>
        <v>96</v>
      </c>
      <c r="D98" s="18" t="str" cm="1">
        <f t="array" ref="D98">VLOOKUP(A98,'The List'!B1:F671,5,FALSE)</f>
        <v>WPG</v>
      </c>
      <c r="E98" s="55" cm="1">
        <f t="array" ref="E98">VLOOKUP(A98,'The List'!B1:I671,8,FALSE)</f>
        <v>310.75112999982042</v>
      </c>
      <c r="F98" s="55" cm="1">
        <f t="array" ref="F98">IF(Settings!$E$15="POINTS",E98-VLOOKUP(B$2,C1:E407,3,FALSE),J98)</f>
        <v>-39.98188740064171</v>
      </c>
      <c r="G98" s="55"/>
      <c r="H98" s="167" cm="1">
        <f t="array" ref="H98">RANK(I98,I3:I407)</f>
        <v>99</v>
      </c>
      <c r="I98" s="168" cm="1">
        <f t="array" ref="I98">VLOOKUP(A98,'Standard Deviations'!A1:C672,3,FALSE)</f>
        <v>3.4124150709769117</v>
      </c>
      <c r="J98" s="168" cm="1">
        <f t="array" ref="J98">I98-VLOOKUP(B$2,H1:J407,2,FALSE)</f>
        <v>-2.0782282889461436</v>
      </c>
    </row>
    <row r="99" spans="1:10" ht="21.25" customHeight="1" x14ac:dyDescent="0.15">
      <c r="A99" s="10" t="s">
        <v>293</v>
      </c>
      <c r="B99" s="166" t="str" cm="1">
        <f t="array" ref="B99">VLOOKUP(A99,'The List'!B1:D671,3,FALSE)</f>
        <v>C</v>
      </c>
      <c r="C99" s="74" cm="1">
        <f t="array" ref="C99">IF(Settings!$E$15="POINTS",RANK(E99,E3:E407),H99)</f>
        <v>97</v>
      </c>
      <c r="D99" s="18" t="str" cm="1">
        <f t="array" ref="D99">VLOOKUP(A99,'The List'!B1:F671,5,FALSE)</f>
        <v>OTT</v>
      </c>
      <c r="E99" s="55" cm="1">
        <f t="array" ref="E99">VLOOKUP(A99,'The List'!B1:I671,8,FALSE)</f>
        <v>310.19204103301007</v>
      </c>
      <c r="F99" s="55" cm="1">
        <f t="array" ref="F99">IF(Settings!$E$15="POINTS",E99-VLOOKUP(B$2,C1:E407,3,FALSE),J99)</f>
        <v>-40.54097636745206</v>
      </c>
      <c r="G99" s="55"/>
      <c r="H99" s="167" cm="1">
        <f t="array" ref="H99">RANK(I99,I3:I407)</f>
        <v>73</v>
      </c>
      <c r="I99" s="168" cm="1">
        <f t="array" ref="I99">VLOOKUP(A99,'Standard Deviations'!A1:C672,3,FALSE)</f>
        <v>4.9281615737601436</v>
      </c>
      <c r="J99" s="168" cm="1">
        <f t="array" ref="J99">I99-VLOOKUP(B$2,H1:J407,2,FALSE)</f>
        <v>-0.56248178616291167</v>
      </c>
    </row>
    <row r="100" spans="1:10" ht="21.25" customHeight="1" x14ac:dyDescent="0.15">
      <c r="A100" s="10" t="s">
        <v>315</v>
      </c>
      <c r="B100" s="166" t="str" cm="1">
        <f t="array" ref="B100">VLOOKUP(A100,'The List'!B1:D671,3,FALSE)</f>
        <v>LW</v>
      </c>
      <c r="C100" s="74" cm="1">
        <f t="array" ref="C100">IF(Settings!$E$15="POINTS",RANK(E100,E3:E407),H100)</f>
        <v>98</v>
      </c>
      <c r="D100" s="18" t="str" cm="1">
        <f t="array" ref="D100">VLOOKUP(A100,'The List'!B1:F671,5,FALSE)</f>
        <v>L.A</v>
      </c>
      <c r="E100" s="55" cm="1">
        <f t="array" ref="E100">VLOOKUP(A100,'The List'!B1:I671,8,FALSE)</f>
        <v>308.16643618859064</v>
      </c>
      <c r="F100" s="55" cm="1">
        <f t="array" ref="F100">IF(Settings!$E$15="POINTS",E100-VLOOKUP(B$2,C1:E407,3,FALSE),J100)</f>
        <v>-42.566581211871494</v>
      </c>
      <c r="G100" s="55"/>
      <c r="H100" s="167" cm="1">
        <f t="array" ref="H100">RANK(I100,I3:I407)</f>
        <v>87</v>
      </c>
      <c r="I100" s="168" cm="1">
        <f t="array" ref="I100">VLOOKUP(A100,'Standard Deviations'!A1:C672,3,FALSE)</f>
        <v>4.1025866036290655</v>
      </c>
      <c r="J100" s="168" cm="1">
        <f t="array" ref="J100">I100-VLOOKUP(B$2,H1:J407,2,FALSE)</f>
        <v>-1.3880567562939898</v>
      </c>
    </row>
    <row r="101" spans="1:10" ht="21.25" customHeight="1" x14ac:dyDescent="0.15">
      <c r="A101" s="10" t="s">
        <v>309</v>
      </c>
      <c r="B101" s="166" t="str" cm="1">
        <f t="array" ref="B101">VLOOKUP(A101,'The List'!B1:D671,3,FALSE)</f>
        <v>C,RW</v>
      </c>
      <c r="C101" s="74" cm="1">
        <f t="array" ref="C101">IF(Settings!$E$15="POINTS",RANK(E101,E3:E407),H101)</f>
        <v>99</v>
      </c>
      <c r="D101" s="18" t="str" cm="1">
        <f t="array" ref="D101">VLOOKUP(A101,'The List'!B1:F671,5,FALSE)</f>
        <v>MIN</v>
      </c>
      <c r="E101" s="55" cm="1">
        <f t="array" ref="E101">VLOOKUP(A101,'The List'!B1:I671,8,FALSE)</f>
        <v>307.88463396228008</v>
      </c>
      <c r="F101" s="55" cm="1">
        <f t="array" ref="F101">IF(Settings!$E$15="POINTS",E101-VLOOKUP(B$2,C1:E407,3,FALSE),J101)</f>
        <v>-42.848383438182054</v>
      </c>
      <c r="G101" s="55"/>
      <c r="H101" s="167" cm="1">
        <f t="array" ref="H101">RANK(I101,I3:I407)</f>
        <v>49</v>
      </c>
      <c r="I101" s="168" cm="1">
        <f t="array" ref="I101">VLOOKUP(A101,'Standard Deviations'!A1:C672,3,FALSE)</f>
        <v>6.0876328239385975</v>
      </c>
      <c r="J101" s="168" cm="1">
        <f t="array" ref="J101">I101-VLOOKUP(B$2,H1:J407,2,FALSE)</f>
        <v>0.5969894640155422</v>
      </c>
    </row>
    <row r="102" spans="1:10" ht="21.25" customHeight="1" x14ac:dyDescent="0.15">
      <c r="A102" s="10" t="s">
        <v>321</v>
      </c>
      <c r="B102" s="166" t="str" cm="1">
        <f t="array" ref="B102">VLOOKUP(A102,'The List'!B1:D671,3,FALSE)</f>
        <v>C,LW</v>
      </c>
      <c r="C102" s="74" cm="1">
        <f t="array" ref="C102">IF(Settings!$E$15="POINTS",RANK(E102,E3:E407),H102)</f>
        <v>100</v>
      </c>
      <c r="D102" s="18" t="str" cm="1">
        <f t="array" ref="D102">VLOOKUP(A102,'The List'!B1:F671,5,FALSE)</f>
        <v>SEA</v>
      </c>
      <c r="E102" s="55" cm="1">
        <f t="array" ref="E102">VLOOKUP(A102,'The List'!B1:I671,8,FALSE)</f>
        <v>304.58235299228926</v>
      </c>
      <c r="F102" s="55" cm="1">
        <f t="array" ref="F102">IF(Settings!$E$15="POINTS",E102-VLOOKUP(B$2,C1:E407,3,FALSE),J102)</f>
        <v>-46.150664408172872</v>
      </c>
      <c r="G102" s="55"/>
      <c r="H102" s="167" cm="1">
        <f t="array" ref="H102">RANK(I102,I3:I407)</f>
        <v>136</v>
      </c>
      <c r="I102" s="168" cm="1">
        <f t="array" ref="I102">VLOOKUP(A102,'Standard Deviations'!A1:C672,3,FALSE)</f>
        <v>1.2180920739004422</v>
      </c>
      <c r="J102" s="168" cm="1">
        <f t="array" ref="J102">I102-VLOOKUP(B$2,H1:J407,2,FALSE)</f>
        <v>-4.2725512860226136</v>
      </c>
    </row>
    <row r="103" spans="1:10" ht="21.25" customHeight="1" x14ac:dyDescent="0.15">
      <c r="A103" s="10" t="s">
        <v>316</v>
      </c>
      <c r="B103" s="166" t="str" cm="1">
        <f t="array" ref="B103">VLOOKUP(A103,'The List'!B1:D671,3,FALSE)</f>
        <v>LW,RW</v>
      </c>
      <c r="C103" s="74" cm="1">
        <f t="array" ref="C103">IF(Settings!$E$15="POINTS",RANK(E103,E3:E407),H103)</f>
        <v>101</v>
      </c>
      <c r="D103" s="18" t="str" cm="1">
        <f t="array" ref="D103">VLOOKUP(A103,'The List'!B1:F671,5,FALSE)</f>
        <v>VAN</v>
      </c>
      <c r="E103" s="55" cm="1">
        <f t="array" ref="E103">VLOOKUP(A103,'The List'!B1:I671,8,FALSE)</f>
        <v>302.83381827747519</v>
      </c>
      <c r="F103" s="55" cm="1">
        <f t="array" ref="F103">IF(Settings!$E$15="POINTS",E103-VLOOKUP(B$2,C1:E407,3,FALSE),J103)</f>
        <v>-47.899199122986943</v>
      </c>
      <c r="G103" s="55"/>
      <c r="H103" s="167" cm="1">
        <f t="array" ref="H103">RANK(I103,I3:I407)</f>
        <v>182</v>
      </c>
      <c r="I103" s="168" cm="1">
        <f t="array" ref="I103">VLOOKUP(A103,'Standard Deviations'!A1:C672,3,FALSE)</f>
        <v>-0.44516889686452066</v>
      </c>
      <c r="J103" s="168" cm="1">
        <f t="array" ref="J103">I103-VLOOKUP(B$2,H1:J407,2,FALSE)</f>
        <v>-5.9358122567875764</v>
      </c>
    </row>
    <row r="104" spans="1:10" ht="21.25" customHeight="1" x14ac:dyDescent="0.15">
      <c r="A104" s="10" t="s">
        <v>319</v>
      </c>
      <c r="B104" s="166" t="str" cm="1">
        <f t="array" ref="B104">VLOOKUP(A104,'The List'!B1:D671,3,FALSE)</f>
        <v>LW,RW</v>
      </c>
      <c r="C104" s="74" cm="1">
        <f t="array" ref="C104">IF(Settings!$E$15="POINTS",RANK(E104,E3:E407),H104)</f>
        <v>102</v>
      </c>
      <c r="D104" s="18" t="str" cm="1">
        <f t="array" ref="D104">VLOOKUP(A104,'The List'!B1:F671,5,FALSE)</f>
        <v>CAR</v>
      </c>
      <c r="E104" s="55" cm="1">
        <f t="array" ref="E104">VLOOKUP(A104,'The List'!B1:I671,8,FALSE)</f>
        <v>301.13824094420426</v>
      </c>
      <c r="F104" s="55" cm="1">
        <f t="array" ref="F104">IF(Settings!$E$15="POINTS",E104-VLOOKUP(B$2,C1:E407,3,FALSE),J104)</f>
        <v>-49.594776456257875</v>
      </c>
      <c r="G104" s="55"/>
      <c r="H104" s="167" cm="1">
        <f t="array" ref="H104">RANK(I104,I3:I407)</f>
        <v>110</v>
      </c>
      <c r="I104" s="168" cm="1">
        <f t="array" ref="I104">VLOOKUP(A104,'Standard Deviations'!A1:C672,3,FALSE)</f>
        <v>2.886345969944208</v>
      </c>
      <c r="J104" s="168" cm="1">
        <f t="array" ref="J104">I104-VLOOKUP(B$2,H1:J407,2,FALSE)</f>
        <v>-2.6042973899788473</v>
      </c>
    </row>
    <row r="105" spans="1:10" ht="21.25" customHeight="1" x14ac:dyDescent="0.15">
      <c r="A105" s="10" t="s">
        <v>322</v>
      </c>
      <c r="B105" s="166" t="str" cm="1">
        <f t="array" ref="B105">VLOOKUP(A105,'The List'!B1:D671,3,FALSE)</f>
        <v>LW,RW</v>
      </c>
      <c r="C105" s="74" cm="1">
        <f t="array" ref="C105">IF(Settings!$E$15="POINTS",RANK(E105,E3:E407),H105)</f>
        <v>103</v>
      </c>
      <c r="D105" s="18" t="str" cm="1">
        <f t="array" ref="D105">VLOOKUP(A105,'The List'!B1:F671,5,FALSE)</f>
        <v>VAN</v>
      </c>
      <c r="E105" s="55" cm="1">
        <f t="array" ref="E105">VLOOKUP(A105,'The List'!B1:I671,8,FALSE)</f>
        <v>300.20840133334292</v>
      </c>
      <c r="F105" s="55" cm="1">
        <f t="array" ref="F105">IF(Settings!$E$15="POINTS",E105-VLOOKUP(B$2,C1:E407,3,FALSE),J105)</f>
        <v>-50.524616067119211</v>
      </c>
      <c r="G105" s="55"/>
      <c r="H105" s="167" cm="1">
        <f t="array" ref="H105">RANK(I105,I3:I407)</f>
        <v>153</v>
      </c>
      <c r="I105" s="168" cm="1">
        <f t="array" ref="I105">VLOOKUP(A105,'Standard Deviations'!A1:C672,3,FALSE)</f>
        <v>0.41720326892765036</v>
      </c>
      <c r="J105" s="168" cm="1">
        <f t="array" ref="J105">I105-VLOOKUP(B$2,H1:J407,2,FALSE)</f>
        <v>-5.0734400909954047</v>
      </c>
    </row>
    <row r="106" spans="1:10" ht="21.25" customHeight="1" x14ac:dyDescent="0.15">
      <c r="A106" s="10" t="s">
        <v>328</v>
      </c>
      <c r="B106" s="166" t="str" cm="1">
        <f t="array" ref="B106">VLOOKUP(A106,'The List'!B1:D671,3,FALSE)</f>
        <v>LW,RW</v>
      </c>
      <c r="C106" s="74" cm="1">
        <f t="array" ref="C106">IF(Settings!$E$15="POINTS",RANK(E106,E3:E407),H106)</f>
        <v>104</v>
      </c>
      <c r="D106" s="18" t="str" cm="1">
        <f t="array" ref="D106">VLOOKUP(A106,'The List'!B1:F671,5,FALSE)</f>
        <v>NSH</v>
      </c>
      <c r="E106" s="55" cm="1">
        <f t="array" ref="E106">VLOOKUP(A106,'The List'!B1:I671,8,FALSE)</f>
        <v>296.86095603321098</v>
      </c>
      <c r="F106" s="55" cm="1">
        <f t="array" ref="F106">IF(Settings!$E$15="POINTS",E106-VLOOKUP(B$2,C1:E407,3,FALSE),J106)</f>
        <v>-53.872061367251149</v>
      </c>
      <c r="G106" s="55"/>
      <c r="H106" s="167" cm="1">
        <f t="array" ref="H106">RANK(I106,I3:I407)</f>
        <v>125</v>
      </c>
      <c r="I106" s="168" cm="1">
        <f t="array" ref="I106">VLOOKUP(A106,'Standard Deviations'!A1:C672,3,FALSE)</f>
        <v>1.7782577117230314</v>
      </c>
      <c r="J106" s="168" cm="1">
        <f t="array" ref="J106">I106-VLOOKUP(B$2,H1:J407,2,FALSE)</f>
        <v>-3.7123856482000237</v>
      </c>
    </row>
    <row r="107" spans="1:10" ht="21.25" customHeight="1" x14ac:dyDescent="0.15">
      <c r="A107" s="10" t="s">
        <v>313</v>
      </c>
      <c r="B107" s="166" t="str" cm="1">
        <f t="array" ref="B107">VLOOKUP(A107,'The List'!B1:D671,3,FALSE)</f>
        <v>C</v>
      </c>
      <c r="C107" s="74" cm="1">
        <f t="array" ref="C107">IF(Settings!$E$15="POINTS",RANK(E107,E3:E407),H107)</f>
        <v>105</v>
      </c>
      <c r="D107" s="18" t="str" cm="1">
        <f t="array" ref="D107">VLOOKUP(A107,'The List'!B1:F671,5,FALSE)</f>
        <v>VAN</v>
      </c>
      <c r="E107" s="55" cm="1">
        <f t="array" ref="E107">VLOOKUP(A107,'The List'!B1:I671,8,FALSE)</f>
        <v>296.51389000362656</v>
      </c>
      <c r="F107" s="55" cm="1">
        <f t="array" ref="F107">IF(Settings!$E$15="POINTS",E107-VLOOKUP(B$2,C1:E407,3,FALSE),J107)</f>
        <v>-54.219127396835574</v>
      </c>
      <c r="G107" s="55"/>
      <c r="H107" s="167" cm="1">
        <f t="array" ref="H107">RANK(I107,I3:I407)</f>
        <v>142</v>
      </c>
      <c r="I107" s="168" cm="1">
        <f t="array" ref="I107">VLOOKUP(A107,'Standard Deviations'!A1:C672,3,FALSE)</f>
        <v>0.7633596579150731</v>
      </c>
      <c r="J107" s="168" cm="1">
        <f t="array" ref="J107">I107-VLOOKUP(B$2,H1:J407,2,FALSE)</f>
        <v>-4.7272837020079823</v>
      </c>
    </row>
    <row r="108" spans="1:10" ht="21.25" customHeight="1" x14ac:dyDescent="0.15">
      <c r="A108" s="10" t="s">
        <v>330</v>
      </c>
      <c r="B108" s="166" t="str" cm="1">
        <f t="array" ref="B108">VLOOKUP(A108,'The List'!B1:D671,3,FALSE)</f>
        <v>C,LW,RW</v>
      </c>
      <c r="C108" s="74" cm="1">
        <f t="array" ref="C108">IF(Settings!$E$15="POINTS",RANK(E108,E3:E407),H108)</f>
        <v>106</v>
      </c>
      <c r="D108" s="18" t="str" cm="1">
        <f t="array" ref="D108">VLOOKUP(A108,'The List'!B1:F671,5,FALSE)</f>
        <v>PHI</v>
      </c>
      <c r="E108" s="55" cm="1">
        <f t="array" ref="E108">VLOOKUP(A108,'The List'!B1:I671,8,FALSE)</f>
        <v>296.03676603353699</v>
      </c>
      <c r="F108" s="55" cm="1">
        <f t="array" ref="F108">IF(Settings!$E$15="POINTS",E108-VLOOKUP(B$2,C1:E407,3,FALSE),J108)</f>
        <v>-54.696251366925139</v>
      </c>
      <c r="G108" s="55"/>
      <c r="H108" s="167" cm="1">
        <f t="array" ref="H108">RANK(I108,I3:I407)</f>
        <v>94</v>
      </c>
      <c r="I108" s="168" cm="1">
        <f t="array" ref="I108">VLOOKUP(A108,'Standard Deviations'!A1:C672,3,FALSE)</f>
        <v>3.7023649153629781</v>
      </c>
      <c r="J108" s="168" cm="1">
        <f t="array" ref="J108">I108-VLOOKUP(B$2,H1:J407,2,FALSE)</f>
        <v>-1.7882784445600772</v>
      </c>
    </row>
    <row r="109" spans="1:10" ht="21.25" customHeight="1" x14ac:dyDescent="0.15">
      <c r="A109" s="10" t="s">
        <v>332</v>
      </c>
      <c r="B109" s="166" t="str" cm="1">
        <f t="array" ref="B109">VLOOKUP(A109,'The List'!B1:D671,3,FALSE)</f>
        <v>RW</v>
      </c>
      <c r="C109" s="74" cm="1">
        <f t="array" ref="C109">IF(Settings!$E$15="POINTS",RANK(E109,E3:E407),H109)</f>
        <v>107</v>
      </c>
      <c r="D109" s="18" t="str" cm="1">
        <f t="array" ref="D109">VLOOKUP(A109,'The List'!B1:F671,5,FALSE)</f>
        <v>CAR</v>
      </c>
      <c r="E109" s="55" cm="1">
        <f t="array" ref="E109">VLOOKUP(A109,'The List'!B1:I671,8,FALSE)</f>
        <v>295.70254172098731</v>
      </c>
      <c r="F109" s="55" cm="1">
        <f t="array" ref="F109">IF(Settings!$E$15="POINTS",E109-VLOOKUP(B$2,C1:E407,3,FALSE),J109)</f>
        <v>-55.030475679474819</v>
      </c>
      <c r="G109" s="55"/>
      <c r="H109" s="167" cm="1">
        <f t="array" ref="H109">RANK(I109,I3:I407)</f>
        <v>74</v>
      </c>
      <c r="I109" s="168" cm="1">
        <f t="array" ref="I109">VLOOKUP(A109,'Standard Deviations'!A1:C672,3,FALSE)</f>
        <v>4.8568396025492149</v>
      </c>
      <c r="J109" s="168" cm="1">
        <f t="array" ref="J109">I109-VLOOKUP(B$2,H1:J407,2,FALSE)</f>
        <v>-0.63380375737384043</v>
      </c>
    </row>
    <row r="110" spans="1:10" ht="21.25" customHeight="1" x14ac:dyDescent="0.15">
      <c r="A110" s="10" t="s">
        <v>333</v>
      </c>
      <c r="B110" s="166" t="str" cm="1">
        <f t="array" ref="B110">VLOOKUP(A110,'The List'!B1:D671,3,FALSE)</f>
        <v>RW</v>
      </c>
      <c r="C110" s="74" cm="1">
        <f t="array" ref="C110">IF(Settings!$E$15="POINTS",RANK(E110,E3:E407),H110)</f>
        <v>108</v>
      </c>
      <c r="D110" s="18" t="str" cm="1">
        <f t="array" ref="D110">VLOOKUP(A110,'The List'!B1:F671,5,FALSE)</f>
        <v>CHI</v>
      </c>
      <c r="E110" s="55" cm="1">
        <f t="array" ref="E110">VLOOKUP(A110,'The List'!B1:I671,8,FALSE)</f>
        <v>295.69466214682234</v>
      </c>
      <c r="F110" s="55" cm="1">
        <f t="array" ref="F110">IF(Settings!$E$15="POINTS",E110-VLOOKUP(B$2,C1:E407,3,FALSE),J110)</f>
        <v>-55.038355253639793</v>
      </c>
      <c r="G110" s="55"/>
      <c r="H110" s="167" cm="1">
        <f t="array" ref="H110">RANK(I110,I3:I407)</f>
        <v>152</v>
      </c>
      <c r="I110" s="168" cm="1">
        <f t="array" ref="I110">VLOOKUP(A110,'Standard Deviations'!A1:C672,3,FALSE)</f>
        <v>0.43288559822602624</v>
      </c>
      <c r="J110" s="168" cm="1">
        <f t="array" ref="J110">I110-VLOOKUP(B$2,H1:J407,2,FALSE)</f>
        <v>-5.0577577616970295</v>
      </c>
    </row>
    <row r="111" spans="1:10" ht="21.25" customHeight="1" x14ac:dyDescent="0.15">
      <c r="A111" s="10" t="s">
        <v>341</v>
      </c>
      <c r="B111" s="166" t="str" cm="1">
        <f t="array" ref="B111">VLOOKUP(A111,'The List'!B1:D671,3,FALSE)</f>
        <v>C,LW</v>
      </c>
      <c r="C111" s="74" cm="1">
        <f t="array" ref="C111">IF(Settings!$E$15="POINTS",RANK(E111,E3:E407),H111)</f>
        <v>109</v>
      </c>
      <c r="D111" s="18" t="str" cm="1">
        <f t="array" ref="D111">VLOOKUP(A111,'The List'!B1:F671,5,FALSE)</f>
        <v>EDM</v>
      </c>
      <c r="E111" s="55" cm="1">
        <f t="array" ref="E111">VLOOKUP(A111,'The List'!B1:I671,8,FALSE)</f>
        <v>295.51112873580962</v>
      </c>
      <c r="F111" s="55" cm="1">
        <f t="array" ref="F111">IF(Settings!$E$15="POINTS",E111-VLOOKUP(B$2,C1:E407,3,FALSE),J111)</f>
        <v>-55.221888664652511</v>
      </c>
      <c r="G111" s="55"/>
      <c r="H111" s="167" cm="1">
        <f t="array" ref="H111">RANK(I111,I3:I407)</f>
        <v>85</v>
      </c>
      <c r="I111" s="168" cm="1">
        <f t="array" ref="I111">VLOOKUP(A111,'Standard Deviations'!A1:C672,3,FALSE)</f>
        <v>4.2167105286581039</v>
      </c>
      <c r="J111" s="168" cm="1">
        <f t="array" ref="J111">I111-VLOOKUP(B$2,H1:J407,2,FALSE)</f>
        <v>-1.2739328312649514</v>
      </c>
    </row>
    <row r="112" spans="1:10" ht="21.25" customHeight="1" x14ac:dyDescent="0.15">
      <c r="A112" s="10" t="s">
        <v>335</v>
      </c>
      <c r="B112" s="166" t="str" cm="1">
        <f t="array" ref="B112">VLOOKUP(A112,'The List'!B1:D671,3,FALSE)</f>
        <v>LW,RW</v>
      </c>
      <c r="C112" s="74" cm="1">
        <f t="array" ref="C112">IF(Settings!$E$15="POINTS",RANK(E112,E3:E407),H112)</f>
        <v>110</v>
      </c>
      <c r="D112" s="18" t="str" cm="1">
        <f t="array" ref="D112">VLOOKUP(A112,'The List'!B1:F671,5,FALSE)</f>
        <v>FLA</v>
      </c>
      <c r="E112" s="55" cm="1">
        <f t="array" ref="E112">VLOOKUP(A112,'The List'!B1:I671,8,FALSE)</f>
        <v>293.97395283647791</v>
      </c>
      <c r="F112" s="55" cm="1">
        <f t="array" ref="F112">IF(Settings!$E$15="POINTS",E112-VLOOKUP(B$2,C1:E407,3,FALSE),J112)</f>
        <v>-56.759064563984225</v>
      </c>
      <c r="G112" s="55"/>
      <c r="H112" s="167" cm="1">
        <f t="array" ref="H112">RANK(I112,I3:I407)</f>
        <v>78</v>
      </c>
      <c r="I112" s="168" cm="1">
        <f t="array" ref="I112">VLOOKUP(A112,'Standard Deviations'!A1:C672,3,FALSE)</f>
        <v>4.5313439280941585</v>
      </c>
      <c r="J112" s="168" cm="1">
        <f t="array" ref="J112">I112-VLOOKUP(B$2,H1:J407,2,FALSE)</f>
        <v>-0.95929943182889676</v>
      </c>
    </row>
    <row r="113" spans="1:10" ht="21.25" customHeight="1" x14ac:dyDescent="0.15">
      <c r="A113" s="10" t="s">
        <v>336</v>
      </c>
      <c r="B113" s="166" t="str" cm="1">
        <f t="array" ref="B113">VLOOKUP(A113,'The List'!B1:D671,3,FALSE)</f>
        <v>LW,RW</v>
      </c>
      <c r="C113" s="74" cm="1">
        <f t="array" ref="C113">IF(Settings!$E$15="POINTS",RANK(E113,E3:E407),H113)</f>
        <v>111</v>
      </c>
      <c r="D113" s="18" t="str" cm="1">
        <f t="array" ref="D113">VLOOKUP(A113,'The List'!B1:F671,5,FALSE)</f>
        <v>PHI</v>
      </c>
      <c r="E113" s="55" cm="1">
        <f t="array" ref="E113">VLOOKUP(A113,'The List'!B1:I671,8,FALSE)</f>
        <v>293.96378708679964</v>
      </c>
      <c r="F113" s="55" cm="1">
        <f t="array" ref="F113">IF(Settings!$E$15="POINTS",E113-VLOOKUP(B$2,C1:E407,3,FALSE),J113)</f>
        <v>-56.76923031366249</v>
      </c>
      <c r="G113" s="55"/>
      <c r="H113" s="167" cm="1">
        <f t="array" ref="H113">RANK(I113,I3:I407)</f>
        <v>84</v>
      </c>
      <c r="I113" s="168" cm="1">
        <f t="array" ref="I113">VLOOKUP(A113,'Standard Deviations'!A1:C672,3,FALSE)</f>
        <v>4.2580595127092185</v>
      </c>
      <c r="J113" s="168" cm="1">
        <f t="array" ref="J113">I113-VLOOKUP(B$2,H1:J407,2,FALSE)</f>
        <v>-1.2325838472138368</v>
      </c>
    </row>
    <row r="114" spans="1:10" ht="21.25" customHeight="1" x14ac:dyDescent="0.15">
      <c r="A114" s="10" t="s">
        <v>320</v>
      </c>
      <c r="B114" s="166" t="str" cm="1">
        <f t="array" ref="B114">VLOOKUP(A114,'The List'!B1:D671,3,FALSE)</f>
        <v>C</v>
      </c>
      <c r="C114" s="74" cm="1">
        <f t="array" ref="C114">IF(Settings!$E$15="POINTS",RANK(E114,E3:E407),H114)</f>
        <v>112</v>
      </c>
      <c r="D114" s="18" t="str" cm="1">
        <f t="array" ref="D114">VLOOKUP(A114,'The List'!B1:F671,5,FALSE)</f>
        <v>SEA</v>
      </c>
      <c r="E114" s="55" cm="1">
        <f t="array" ref="E114">VLOOKUP(A114,'The List'!B1:I671,8,FALSE)</f>
        <v>292.5794372024348</v>
      </c>
      <c r="F114" s="55" cm="1">
        <f t="array" ref="F114">IF(Settings!$E$15="POINTS",E114-VLOOKUP(B$2,C1:E407,3,FALSE),J114)</f>
        <v>-58.153580198027328</v>
      </c>
      <c r="G114" s="55"/>
      <c r="H114" s="167" cm="1">
        <f t="array" ref="H114">RANK(I114,I3:I407)</f>
        <v>146</v>
      </c>
      <c r="I114" s="168" cm="1">
        <f t="array" ref="I114">VLOOKUP(A114,'Standard Deviations'!A1:C672,3,FALSE)</f>
        <v>0.62072602905089069</v>
      </c>
      <c r="J114" s="168" cm="1">
        <f t="array" ref="J114">I114-VLOOKUP(B$2,H1:J407,2,FALSE)</f>
        <v>-4.8699173308721644</v>
      </c>
    </row>
    <row r="115" spans="1:10" ht="21.25" customHeight="1" x14ac:dyDescent="0.15">
      <c r="A115" s="10" t="s">
        <v>338</v>
      </c>
      <c r="B115" s="166" t="str" cm="1">
        <f t="array" ref="B115">VLOOKUP(A115,'The List'!B1:D671,3,FALSE)</f>
        <v>RW</v>
      </c>
      <c r="C115" s="74" cm="1">
        <f t="array" ref="C115">IF(Settings!$E$15="POINTS",RANK(E115,E3:E407),H115)</f>
        <v>113</v>
      </c>
      <c r="D115" s="18" t="str" cm="1">
        <f t="array" ref="D115">VLOOKUP(A115,'The List'!B1:F671,5,FALSE)</f>
        <v>CGY</v>
      </c>
      <c r="E115" s="55" cm="1">
        <f t="array" ref="E115">VLOOKUP(A115,'The List'!B1:I671,8,FALSE)</f>
        <v>291.64883452465949</v>
      </c>
      <c r="F115" s="55" cm="1">
        <f t="array" ref="F115">IF(Settings!$E$15="POINTS",E115-VLOOKUP(B$2,C1:E407,3,FALSE),J115)</f>
        <v>-59.08418287580264</v>
      </c>
      <c r="G115" s="55"/>
      <c r="H115" s="167" cm="1">
        <f t="array" ref="H115">RANK(I115,I3:I407)</f>
        <v>155</v>
      </c>
      <c r="I115" s="168" cm="1">
        <f t="array" ref="I115">VLOOKUP(A115,'Standard Deviations'!A1:C672,3,FALSE)</f>
        <v>0.36124960272281609</v>
      </c>
      <c r="J115" s="168" cm="1">
        <f t="array" ref="J115">I115-VLOOKUP(B$2,H1:J407,2,FALSE)</f>
        <v>-5.1293937572002388</v>
      </c>
    </row>
    <row r="116" spans="1:10" ht="21.25" customHeight="1" x14ac:dyDescent="0.15">
      <c r="A116" s="10" t="s">
        <v>347</v>
      </c>
      <c r="B116" s="166" t="str" cm="1">
        <f t="array" ref="B116">VLOOKUP(A116,'The List'!B1:D671,3,FALSE)</f>
        <v>LW,RW</v>
      </c>
      <c r="C116" s="74" cm="1">
        <f t="array" ref="C116">IF(Settings!$E$15="POINTS",RANK(E116,E3:E407),H116)</f>
        <v>114</v>
      </c>
      <c r="D116" s="18" t="str" cm="1">
        <f t="array" ref="D116">VLOOKUP(A116,'The List'!B1:F671,5,FALSE)</f>
        <v>PHI</v>
      </c>
      <c r="E116" s="55" cm="1">
        <f t="array" ref="E116">VLOOKUP(A116,'The List'!B1:I671,8,FALSE)</f>
        <v>288.78266507565496</v>
      </c>
      <c r="F116" s="55" cm="1">
        <f t="array" ref="F116">IF(Settings!$E$15="POINTS",E116-VLOOKUP(B$2,C1:E407,3,FALSE),J116)</f>
        <v>-61.95035232480717</v>
      </c>
      <c r="G116" s="55"/>
      <c r="H116" s="167" cm="1">
        <f t="array" ref="H116">RANK(I116,I3:I407)</f>
        <v>128</v>
      </c>
      <c r="I116" s="168" cm="1">
        <f t="array" ref="I116">VLOOKUP(A116,'Standard Deviations'!A1:C672,3,FALSE)</f>
        <v>1.5949076218100728</v>
      </c>
      <c r="J116" s="168" cm="1">
        <f t="array" ref="J116">I116-VLOOKUP(B$2,H1:J407,2,FALSE)</f>
        <v>-3.8957357381129825</v>
      </c>
    </row>
    <row r="117" spans="1:10" ht="21.25" customHeight="1" x14ac:dyDescent="0.15">
      <c r="A117" s="10" t="s">
        <v>334</v>
      </c>
      <c r="B117" s="166" t="str" cm="1">
        <f t="array" ref="B117">VLOOKUP(A117,'The List'!B1:D671,3,FALSE)</f>
        <v>C</v>
      </c>
      <c r="C117" s="74" cm="1">
        <f t="array" ref="C117">IF(Settings!$E$15="POINTS",RANK(E117,E3:E407),H117)</f>
        <v>115</v>
      </c>
      <c r="D117" s="18" t="str" cm="1">
        <f t="array" ref="D117">VLOOKUP(A117,'The List'!B1:F671,5,FALSE)</f>
        <v>STL</v>
      </c>
      <c r="E117" s="55" cm="1">
        <f t="array" ref="E117">VLOOKUP(A117,'The List'!B1:I671,8,FALSE)</f>
        <v>285.9174584433315</v>
      </c>
      <c r="F117" s="55" cm="1">
        <f t="array" ref="F117">IF(Settings!$E$15="POINTS",E117-VLOOKUP(B$2,C1:E407,3,FALSE),J117)</f>
        <v>-64.815558957130634</v>
      </c>
      <c r="G117" s="55"/>
      <c r="H117" s="167" cm="1">
        <f t="array" ref="H117">RANK(I117,I3:I407)</f>
        <v>104</v>
      </c>
      <c r="I117" s="168" cm="1">
        <f t="array" ref="I117">VLOOKUP(A117,'Standard Deviations'!A1:C672,3,FALSE)</f>
        <v>3.051040243189294</v>
      </c>
      <c r="J117" s="168" cm="1">
        <f t="array" ref="J117">I117-VLOOKUP(B$2,H1:J407,2,FALSE)</f>
        <v>-2.4396031167337613</v>
      </c>
    </row>
    <row r="118" spans="1:10" ht="21.25" customHeight="1" x14ac:dyDescent="0.15">
      <c r="A118" s="10" t="s">
        <v>350</v>
      </c>
      <c r="B118" s="166" t="str" cm="1">
        <f t="array" ref="B118">VLOOKUP(A118,'The List'!B1:D671,3,FALSE)</f>
        <v>LW,RW</v>
      </c>
      <c r="C118" s="74" cm="1">
        <f t="array" ref="C118">IF(Settings!$E$15="POINTS",RANK(E118,E3:E407),H118)</f>
        <v>116</v>
      </c>
      <c r="D118" s="18" t="str" cm="1">
        <f t="array" ref="D118">VLOOKUP(A118,'The List'!B1:F671,5,FALSE)</f>
        <v>CGY</v>
      </c>
      <c r="E118" s="55" cm="1">
        <f t="array" ref="E118">VLOOKUP(A118,'The List'!B1:I671,8,FALSE)</f>
        <v>285.05159732595723</v>
      </c>
      <c r="F118" s="55" cm="1">
        <f t="array" ref="F118">IF(Settings!$E$15="POINTS",E118-VLOOKUP(B$2,C1:E407,3,FALSE),J118)</f>
        <v>-65.681420074504899</v>
      </c>
      <c r="G118" s="55"/>
      <c r="H118" s="167" cm="1">
        <f t="array" ref="H118">RANK(I118,I3:I407)</f>
        <v>173</v>
      </c>
      <c r="I118" s="168" cm="1">
        <f t="array" ref="I118">VLOOKUP(A118,'Standard Deviations'!A1:C672,3,FALSE)</f>
        <v>-0.28219096264593158</v>
      </c>
      <c r="J118" s="168" cm="1">
        <f t="array" ref="J118">I118-VLOOKUP(B$2,H1:J407,2,FALSE)</f>
        <v>-5.7728343225689871</v>
      </c>
    </row>
    <row r="119" spans="1:10" ht="21.25" customHeight="1" x14ac:dyDescent="0.15">
      <c r="A119" s="10" t="s">
        <v>356</v>
      </c>
      <c r="B119" s="166" t="str" cm="1">
        <f t="array" ref="B119">VLOOKUP(A119,'The List'!B1:D671,3,FALSE)</f>
        <v>C,RW</v>
      </c>
      <c r="C119" s="74" cm="1">
        <f t="array" ref="C119">IF(Settings!$E$15="POINTS",RANK(E119,E3:E407),H119)</f>
        <v>117</v>
      </c>
      <c r="D119" s="18" t="str" cm="1">
        <f t="array" ref="D119">VLOOKUP(A119,'The List'!B1:F671,5,FALSE)</f>
        <v>CAR</v>
      </c>
      <c r="E119" s="55" cm="1">
        <f t="array" ref="E119">VLOOKUP(A119,'The List'!B1:I671,8,FALSE)</f>
        <v>282.64966564291768</v>
      </c>
      <c r="F119" s="55" cm="1">
        <f t="array" ref="F119">IF(Settings!$E$15="POINTS",E119-VLOOKUP(B$2,C1:E407,3,FALSE),J119)</f>
        <v>-68.083351757544449</v>
      </c>
      <c r="G119" s="55"/>
      <c r="H119" s="167" cm="1">
        <f t="array" ref="H119">RANK(I119,I3:I407)</f>
        <v>103</v>
      </c>
      <c r="I119" s="168" cm="1">
        <f t="array" ref="I119">VLOOKUP(A119,'Standard Deviations'!A1:C672,3,FALSE)</f>
        <v>3.1187005661195313</v>
      </c>
      <c r="J119" s="168" cm="1">
        <f t="array" ref="J119">I119-VLOOKUP(B$2,H1:J407,2,FALSE)</f>
        <v>-2.371942793803524</v>
      </c>
    </row>
    <row r="120" spans="1:10" ht="21.25" customHeight="1" x14ac:dyDescent="0.15">
      <c r="A120" s="10" t="s">
        <v>357</v>
      </c>
      <c r="B120" s="166" t="str" cm="1">
        <f t="array" ref="B120">VLOOKUP(A120,'The List'!B1:D671,3,FALSE)</f>
        <v>LW,RW</v>
      </c>
      <c r="C120" s="74" cm="1">
        <f t="array" ref="C120">IF(Settings!$E$15="POINTS",RANK(E120,E3:E407),H120)</f>
        <v>118</v>
      </c>
      <c r="D120" s="18" t="str" cm="1">
        <f t="array" ref="D120">VLOOKUP(A120,'The List'!B1:F671,5,FALSE)</f>
        <v>CHI</v>
      </c>
      <c r="E120" s="55" cm="1">
        <f t="array" ref="E120">VLOOKUP(A120,'The List'!B1:I671,8,FALSE)</f>
        <v>282.34359943185535</v>
      </c>
      <c r="F120" s="55" cm="1">
        <f t="array" ref="F120">IF(Settings!$E$15="POINTS",E120-VLOOKUP(B$2,C1:E407,3,FALSE),J120)</f>
        <v>-68.389417968606779</v>
      </c>
      <c r="G120" s="55"/>
      <c r="H120" s="167" cm="1">
        <f t="array" ref="H120">RANK(I120,I3:I407)</f>
        <v>139</v>
      </c>
      <c r="I120" s="168" cm="1">
        <f t="array" ref="I120">VLOOKUP(A120,'Standard Deviations'!A1:C672,3,FALSE)</f>
        <v>1.0796009778687785</v>
      </c>
      <c r="J120" s="168" cm="1">
        <f t="array" ref="J120">I120-VLOOKUP(B$2,H1:J407,2,FALSE)</f>
        <v>-4.4110423820542763</v>
      </c>
    </row>
    <row r="121" spans="1:10" ht="21.25" customHeight="1" x14ac:dyDescent="0.15">
      <c r="A121" s="10" t="s">
        <v>359</v>
      </c>
      <c r="B121" s="166" t="str" cm="1">
        <f t="array" ref="B121">VLOOKUP(A121,'The List'!B1:D671,3,FALSE)</f>
        <v>LW,RW</v>
      </c>
      <c r="C121" s="74" cm="1">
        <f t="array" ref="C121">IF(Settings!$E$15="POINTS",RANK(E121,E3:E407),H121)</f>
        <v>119</v>
      </c>
      <c r="D121" s="18" t="str" cm="1">
        <f t="array" ref="D121">VLOOKUP(A121,'The List'!B1:F671,5,FALSE)</f>
        <v>WSH</v>
      </c>
      <c r="E121" s="55" cm="1">
        <f t="array" ref="E121">VLOOKUP(A121,'The List'!B1:I671,8,FALSE)</f>
        <v>281.34024163364592</v>
      </c>
      <c r="F121" s="55" cm="1">
        <f t="array" ref="F121">IF(Settings!$E$15="POINTS",E121-VLOOKUP(B$2,C1:E407,3,FALSE),J121)</f>
        <v>-69.392775766816214</v>
      </c>
      <c r="G121" s="55"/>
      <c r="H121" s="167" cm="1">
        <f t="array" ref="H121">RANK(I121,I3:I407)</f>
        <v>117</v>
      </c>
      <c r="I121" s="168" cm="1">
        <f t="array" ref="I121">VLOOKUP(A121,'Standard Deviations'!A1:C672,3,FALSE)</f>
        <v>2.1913543316758974</v>
      </c>
      <c r="J121" s="168" cm="1">
        <f t="array" ref="J121">I121-VLOOKUP(B$2,H1:J407,2,FALSE)</f>
        <v>-3.2992890282471579</v>
      </c>
    </row>
    <row r="122" spans="1:10" ht="21.25" customHeight="1" x14ac:dyDescent="0.15">
      <c r="A122" s="10" t="s">
        <v>345</v>
      </c>
      <c r="B122" s="166" t="str" cm="1">
        <f t="array" ref="B122">VLOOKUP(A122,'The List'!B1:D671,3,FALSE)</f>
        <v>C</v>
      </c>
      <c r="C122" s="74" cm="1">
        <f t="array" ref="C122">IF(Settings!$E$15="POINTS",RANK(E122,E3:E407),H122)</f>
        <v>120</v>
      </c>
      <c r="D122" s="18" t="str" cm="1">
        <f t="array" ref="D122">VLOOKUP(A122,'The List'!B1:F671,5,FALSE)</f>
        <v>FLA</v>
      </c>
      <c r="E122" s="55" cm="1">
        <f t="array" ref="E122">VLOOKUP(A122,'The List'!B1:I671,8,FALSE)</f>
        <v>280.637352459152</v>
      </c>
      <c r="F122" s="55" cm="1">
        <f t="array" ref="F122">IF(Settings!$E$15="POINTS",E122-VLOOKUP(B$2,C1:E407,3,FALSE),J122)</f>
        <v>-70.095664941310133</v>
      </c>
      <c r="G122" s="55"/>
      <c r="H122" s="167" cm="1">
        <f t="array" ref="H122">RANK(I122,I3:I407)</f>
        <v>67</v>
      </c>
      <c r="I122" s="168" cm="1">
        <f t="array" ref="I122">VLOOKUP(A122,'Standard Deviations'!A1:C672,3,FALSE)</f>
        <v>5.0961811733187403</v>
      </c>
      <c r="J122" s="168" cm="1">
        <f t="array" ref="J122">I122-VLOOKUP(B$2,H1:J407,2,FALSE)</f>
        <v>-0.39446218660431498</v>
      </c>
    </row>
    <row r="123" spans="1:10" ht="21.25" customHeight="1" x14ac:dyDescent="0.15">
      <c r="A123" s="10" t="s">
        <v>369</v>
      </c>
      <c r="B123" s="166" t="str" cm="1">
        <f t="array" ref="B123">VLOOKUP(A123,'The List'!B1:D671,3,FALSE)</f>
        <v>C,LW</v>
      </c>
      <c r="C123" s="74" cm="1">
        <f t="array" ref="C123">IF(Settings!$E$15="POINTS",RANK(E123,E3:E407),H123)</f>
        <v>121</v>
      </c>
      <c r="D123" s="18" t="str" cm="1">
        <f t="array" ref="D123">VLOOKUP(A123,'The List'!B1:F671,5,FALSE)</f>
        <v>BOS</v>
      </c>
      <c r="E123" s="55" cm="1">
        <f t="array" ref="E123">VLOOKUP(A123,'The List'!B1:I671,8,FALSE)</f>
        <v>279.59440691993996</v>
      </c>
      <c r="F123" s="55" cm="1">
        <f t="array" ref="F123">IF(Settings!$E$15="POINTS",E123-VLOOKUP(B$2,C1:E407,3,FALSE),J123)</f>
        <v>-71.138610480522175</v>
      </c>
      <c r="G123" s="55"/>
      <c r="H123" s="167" cm="1">
        <f t="array" ref="H123">RANK(I123,I3:I407)</f>
        <v>135</v>
      </c>
      <c r="I123" s="168" cm="1">
        <f t="array" ref="I123">VLOOKUP(A123,'Standard Deviations'!A1:C672,3,FALSE)</f>
        <v>1.2517199204761964</v>
      </c>
      <c r="J123" s="168" cm="1">
        <f t="array" ref="J123">I123-VLOOKUP(B$2,H1:J407,2,FALSE)</f>
        <v>-4.2389234394468591</v>
      </c>
    </row>
    <row r="124" spans="1:10" ht="21.25" customHeight="1" x14ac:dyDescent="0.15">
      <c r="A124" s="10" t="s">
        <v>375</v>
      </c>
      <c r="B124" s="166" t="str" cm="1">
        <f t="array" ref="B124">VLOOKUP(A124,'The List'!B1:D671,3,FALSE)</f>
        <v>C,LW</v>
      </c>
      <c r="C124" s="74" cm="1">
        <f t="array" ref="C124">IF(Settings!$E$15="POINTS",RANK(E124,E3:E407),H124)</f>
        <v>122</v>
      </c>
      <c r="D124" s="18" t="str" cm="1">
        <f t="array" ref="D124">VLOOKUP(A124,'The List'!B1:F671,5,FALSE)</f>
        <v>ANA</v>
      </c>
      <c r="E124" s="55" cm="1">
        <f t="array" ref="E124">VLOOKUP(A124,'The List'!B1:I671,8,FALSE)</f>
        <v>277.53981970935575</v>
      </c>
      <c r="F124" s="55" cm="1">
        <f t="array" ref="F124">IF(Settings!$E$15="POINTS",E124-VLOOKUP(B$2,C1:E407,3,FALSE),J124)</f>
        <v>-73.193197691106377</v>
      </c>
      <c r="G124" s="55"/>
      <c r="H124" s="167" cm="1">
        <f t="array" ref="H124">RANK(I124,I3:I407)</f>
        <v>137</v>
      </c>
      <c r="I124" s="168" cm="1">
        <f t="array" ref="I124">VLOOKUP(A124,'Standard Deviations'!A1:C672,3,FALSE)</f>
        <v>1.169831699652097</v>
      </c>
      <c r="J124" s="168" cm="1">
        <f t="array" ref="J124">I124-VLOOKUP(B$2,H1:J407,2,FALSE)</f>
        <v>-4.3208116602709588</v>
      </c>
    </row>
    <row r="125" spans="1:10" ht="21.25" customHeight="1" x14ac:dyDescent="0.15">
      <c r="A125" s="10" t="s">
        <v>365</v>
      </c>
      <c r="B125" s="166" t="str" cm="1">
        <f t="array" ref="B125">VLOOKUP(A125,'The List'!B1:D671,3,FALSE)</f>
        <v>LW,RW</v>
      </c>
      <c r="C125" s="74" cm="1">
        <f t="array" ref="C125">IF(Settings!$E$15="POINTS",RANK(E125,E3:E407),H125)</f>
        <v>123</v>
      </c>
      <c r="D125" s="18" t="str" cm="1">
        <f t="array" ref="D125">VLOOKUP(A125,'The List'!B1:F671,5,FALSE)</f>
        <v>WPG</v>
      </c>
      <c r="E125" s="55" cm="1">
        <f t="array" ref="E125">VLOOKUP(A125,'The List'!B1:I671,8,FALSE)</f>
        <v>276.43789120893581</v>
      </c>
      <c r="F125" s="55" cm="1">
        <f t="array" ref="F125">IF(Settings!$E$15="POINTS",E125-VLOOKUP(B$2,C1:E407,3,FALSE),J125)</f>
        <v>-74.295126191526322</v>
      </c>
      <c r="G125" s="55"/>
      <c r="H125" s="167" cm="1">
        <f t="array" ref="H125">RANK(I125,I3:I407)</f>
        <v>123</v>
      </c>
      <c r="I125" s="168" cm="1">
        <f t="array" ref="I125">VLOOKUP(A125,'Standard Deviations'!A1:C672,3,FALSE)</f>
        <v>1.9257981710885894</v>
      </c>
      <c r="J125" s="168" cm="1">
        <f t="array" ref="J125">I125-VLOOKUP(B$2,H1:J407,2,FALSE)</f>
        <v>-3.5648451888344659</v>
      </c>
    </row>
    <row r="126" spans="1:10" ht="21.25" customHeight="1" x14ac:dyDescent="0.15">
      <c r="A126" s="10" t="s">
        <v>366</v>
      </c>
      <c r="B126" s="166" t="str" cm="1">
        <f t="array" ref="B126">VLOOKUP(A126,'The List'!B1:D671,3,FALSE)</f>
        <v>LW,RW</v>
      </c>
      <c r="C126" s="74" cm="1">
        <f t="array" ref="C126">IF(Settings!$E$15="POINTS",RANK(E126,E3:E407),H126)</f>
        <v>124</v>
      </c>
      <c r="D126" s="18" t="str" cm="1">
        <f t="array" ref="D126">VLOOKUP(A126,'The List'!B1:F671,5,FALSE)</f>
        <v>CBJ</v>
      </c>
      <c r="E126" s="55" cm="1">
        <f t="array" ref="E126">VLOOKUP(A126,'The List'!B1:I671,8,FALSE)</f>
        <v>276.40484776382175</v>
      </c>
      <c r="F126" s="55" cm="1">
        <f t="array" ref="F126">IF(Settings!$E$15="POINTS",E126-VLOOKUP(B$2,C1:E407,3,FALSE),J126)</f>
        <v>-74.328169636640382</v>
      </c>
      <c r="G126" s="55"/>
      <c r="H126" s="167" cm="1">
        <f t="array" ref="H126">RANK(I126,I3:I407)</f>
        <v>133</v>
      </c>
      <c r="I126" s="168" cm="1">
        <f t="array" ref="I126">VLOOKUP(A126,'Standard Deviations'!A1:C672,3,FALSE)</f>
        <v>1.4173909827626776</v>
      </c>
      <c r="J126" s="168" cm="1">
        <f t="array" ref="J126">I126-VLOOKUP(B$2,H1:J407,2,FALSE)</f>
        <v>-4.0732523771603777</v>
      </c>
    </row>
    <row r="127" spans="1:10" ht="21.25" customHeight="1" x14ac:dyDescent="0.15">
      <c r="A127" s="10" t="s">
        <v>372</v>
      </c>
      <c r="B127" s="166" t="str" cm="1">
        <f t="array" ref="B127">VLOOKUP(A127,'The List'!B1:D671,3,FALSE)</f>
        <v>LW,RW</v>
      </c>
      <c r="C127" s="74" cm="1">
        <f t="array" ref="C127">IF(Settings!$E$15="POINTS",RANK(E127,E3:E407),H127)</f>
        <v>125</v>
      </c>
      <c r="D127" s="18" t="str" cm="1">
        <f t="array" ref="D127">VLOOKUP(A127,'The List'!B1:F671,5,FALSE)</f>
        <v>WSH</v>
      </c>
      <c r="E127" s="55" cm="1">
        <f t="array" ref="E127">VLOOKUP(A127,'The List'!B1:I671,8,FALSE)</f>
        <v>273.83936588963974</v>
      </c>
      <c r="F127" s="55" cm="1">
        <f t="array" ref="F127">IF(Settings!$E$15="POINTS",E127-VLOOKUP(B$2,C1:E407,3,FALSE),J127)</f>
        <v>-76.893651510822394</v>
      </c>
      <c r="G127" s="55"/>
      <c r="H127" s="167" cm="1">
        <f t="array" ref="H127">RANK(I127,I3:I407)</f>
        <v>131</v>
      </c>
      <c r="I127" s="168" cm="1">
        <f t="array" ref="I127">VLOOKUP(A127,'Standard Deviations'!A1:C672,3,FALSE)</f>
        <v>1.4905801360702036</v>
      </c>
      <c r="J127" s="168" cm="1">
        <f t="array" ref="J127">I127-VLOOKUP(B$2,H1:J407,2,FALSE)</f>
        <v>-4.0000632238528517</v>
      </c>
    </row>
    <row r="128" spans="1:10" ht="21.25" customHeight="1" x14ac:dyDescent="0.15">
      <c r="A128" s="10" t="s">
        <v>373</v>
      </c>
      <c r="B128" s="166" t="str" cm="1">
        <f t="array" ref="B128">VLOOKUP(A128,'The List'!B1:D671,3,FALSE)</f>
        <v>RW</v>
      </c>
      <c r="C128" s="74" cm="1">
        <f t="array" ref="C128">IF(Settings!$E$15="POINTS",RANK(E128,E3:E407),H128)</f>
        <v>126</v>
      </c>
      <c r="D128" s="18" t="str" cm="1">
        <f t="array" ref="D128">VLOOKUP(A128,'The List'!B1:F671,5,FALSE)</f>
        <v>BUF</v>
      </c>
      <c r="E128" s="55" cm="1">
        <f t="array" ref="E128">VLOOKUP(A128,'The List'!B1:I671,8,FALSE)</f>
        <v>273.41677229532252</v>
      </c>
      <c r="F128" s="55" cm="1">
        <f t="array" ref="F128">IF(Settings!$E$15="POINTS",E128-VLOOKUP(B$2,C1:E407,3,FALSE),J128)</f>
        <v>-77.316245105139615</v>
      </c>
      <c r="G128" s="55"/>
      <c r="H128" s="167" cm="1">
        <f t="array" ref="H128">RANK(I128,I3:I407)</f>
        <v>122</v>
      </c>
      <c r="I128" s="168" cm="1">
        <f t="array" ref="I128">VLOOKUP(A128,'Standard Deviations'!A1:C672,3,FALSE)</f>
        <v>1.9502299990449172</v>
      </c>
      <c r="J128" s="168" cm="1">
        <f t="array" ref="J128">I128-VLOOKUP(B$2,H1:J407,2,FALSE)</f>
        <v>-3.5404133608781381</v>
      </c>
    </row>
    <row r="129" spans="1:10" ht="21.25" customHeight="1" x14ac:dyDescent="0.15">
      <c r="A129" s="10" t="s">
        <v>386</v>
      </c>
      <c r="B129" s="166" t="str" cm="1">
        <f t="array" ref="B129">VLOOKUP(A129,'The List'!B1:D671,3,FALSE)</f>
        <v>LW</v>
      </c>
      <c r="C129" s="74" cm="1">
        <f t="array" ref="C129">IF(Settings!$E$15="POINTS",RANK(E129,E3:E407),H129)</f>
        <v>127</v>
      </c>
      <c r="D129" s="18" t="str" cm="1">
        <f t="array" ref="D129">VLOOKUP(A129,'The List'!B1:F671,5,FALSE)</f>
        <v>FLA</v>
      </c>
      <c r="E129" s="55" cm="1">
        <f t="array" ref="E129">VLOOKUP(A129,'The List'!B1:I671,8,FALSE)</f>
        <v>270.64777867671921</v>
      </c>
      <c r="F129" s="55" cm="1">
        <f t="array" ref="F129">IF(Settings!$E$15="POINTS",E129-VLOOKUP(B$2,C1:E407,3,FALSE),J129)</f>
        <v>-80.085238723742918</v>
      </c>
      <c r="G129" s="55"/>
      <c r="H129" s="167" cm="1">
        <f t="array" ref="H129">RANK(I129,I3:I407)</f>
        <v>115</v>
      </c>
      <c r="I129" s="168" cm="1">
        <f t="array" ref="I129">VLOOKUP(A129,'Standard Deviations'!A1:C672,3,FALSE)</f>
        <v>2.3856652031574961</v>
      </c>
      <c r="J129" s="168" cm="1">
        <f t="array" ref="J129">I129-VLOOKUP(B$2,H1:J407,2,FALSE)</f>
        <v>-3.1049781567655592</v>
      </c>
    </row>
    <row r="130" spans="1:10" ht="21.25" customHeight="1" x14ac:dyDescent="0.15">
      <c r="A130" s="10" t="s">
        <v>380</v>
      </c>
      <c r="B130" s="166" t="str" cm="1">
        <f t="array" ref="B130">VLOOKUP(A130,'The List'!B1:D671,3,FALSE)</f>
        <v>LW,RW</v>
      </c>
      <c r="C130" s="74" cm="1">
        <f t="array" ref="C130">IF(Settings!$E$15="POINTS",RANK(E130,E3:E407),H130)</f>
        <v>128</v>
      </c>
      <c r="D130" s="18" t="str" cm="1">
        <f t="array" ref="D130">VLOOKUP(A130,'The List'!B1:F671,5,FALSE)</f>
        <v>DET</v>
      </c>
      <c r="E130" s="55" cm="1">
        <f t="array" ref="E130">VLOOKUP(A130,'The List'!B1:I671,8,FALSE)</f>
        <v>270.12813035582172</v>
      </c>
      <c r="F130" s="55" cm="1">
        <f t="array" ref="F130">IF(Settings!$E$15="POINTS",E130-VLOOKUP(B$2,C1:E407,3,FALSE),J130)</f>
        <v>-80.604887044640407</v>
      </c>
      <c r="G130" s="55"/>
      <c r="H130" s="167" cm="1">
        <f t="array" ref="H130">RANK(I130,I3:I407)</f>
        <v>130</v>
      </c>
      <c r="I130" s="168" cm="1">
        <f t="array" ref="I130">VLOOKUP(A130,'Standard Deviations'!A1:C672,3,FALSE)</f>
        <v>1.5109290804876938</v>
      </c>
      <c r="J130" s="168" cm="1">
        <f t="array" ref="J130">I130-VLOOKUP(B$2,H1:J407,2,FALSE)</f>
        <v>-3.9797142794353615</v>
      </c>
    </row>
    <row r="131" spans="1:10" ht="21.25" customHeight="1" x14ac:dyDescent="0.15">
      <c r="A131" s="10" t="s">
        <v>363</v>
      </c>
      <c r="B131" s="166" t="str" cm="1">
        <f t="array" ref="B131">VLOOKUP(A131,'The List'!B1:D671,3,FALSE)</f>
        <v>C</v>
      </c>
      <c r="C131" s="74" cm="1">
        <f t="array" ref="C131">IF(Settings!$E$15="POINTS",RANK(E131,E3:E407),H131)</f>
        <v>129</v>
      </c>
      <c r="D131" s="18" t="str" cm="1">
        <f t="array" ref="D131">VLOOKUP(A131,'The List'!B1:F671,5,FALSE)</f>
        <v>FLA</v>
      </c>
      <c r="E131" s="55" cm="1">
        <f t="array" ref="E131">VLOOKUP(A131,'The List'!B1:I671,8,FALSE)</f>
        <v>268.87117893728691</v>
      </c>
      <c r="F131" s="55" cm="1">
        <f t="array" ref="F131">IF(Settings!$E$15="POINTS",E131-VLOOKUP(B$2,C1:E407,3,FALSE),J131)</f>
        <v>-81.861838463175218</v>
      </c>
      <c r="G131" s="55"/>
      <c r="H131" s="167" cm="1">
        <f t="array" ref="H131">RANK(I131,I3:I407)</f>
        <v>114</v>
      </c>
      <c r="I131" s="168" cm="1">
        <f t="array" ref="I131">VLOOKUP(A131,'Standard Deviations'!A1:C672,3,FALSE)</f>
        <v>2.497578424087465</v>
      </c>
      <c r="J131" s="168" cm="1">
        <f t="array" ref="J131">I131-VLOOKUP(B$2,H1:J407,2,FALSE)</f>
        <v>-2.9930649358355903</v>
      </c>
    </row>
    <row r="132" spans="1:10" ht="21.25" customHeight="1" x14ac:dyDescent="0.15">
      <c r="A132" s="10" t="s">
        <v>367</v>
      </c>
      <c r="B132" s="166" t="str" cm="1">
        <f t="array" ref="B132">VLOOKUP(A132,'The List'!B1:D671,3,FALSE)</f>
        <v>C</v>
      </c>
      <c r="C132" s="74" cm="1">
        <f t="array" ref="C132">IF(Settings!$E$15="POINTS",RANK(E132,E3:E407),H132)</f>
        <v>130</v>
      </c>
      <c r="D132" s="18" t="str" cm="1">
        <f t="array" ref="D132">VLOOKUP(A132,'The List'!B1:F671,5,FALSE)</f>
        <v>T.B</v>
      </c>
      <c r="E132" s="55" cm="1">
        <f t="array" ref="E132">VLOOKUP(A132,'The List'!B1:I671,8,FALSE)</f>
        <v>267.21200585273021</v>
      </c>
      <c r="F132" s="55" cm="1">
        <f t="array" ref="F132">IF(Settings!$E$15="POINTS",E132-VLOOKUP(B$2,C1:E407,3,FALSE),J132)</f>
        <v>-83.521011547731916</v>
      </c>
      <c r="G132" s="55"/>
      <c r="H132" s="167" cm="1">
        <f t="array" ref="H132">RANK(I132,I3:I407)</f>
        <v>98</v>
      </c>
      <c r="I132" s="168" cm="1">
        <f t="array" ref="I132">VLOOKUP(A132,'Standard Deviations'!A1:C672,3,FALSE)</f>
        <v>3.4311733005226293</v>
      </c>
      <c r="J132" s="168" cm="1">
        <f t="array" ref="J132">I132-VLOOKUP(B$2,H1:J407,2,FALSE)</f>
        <v>-2.059470059400426</v>
      </c>
    </row>
    <row r="133" spans="1:10" ht="21.25" customHeight="1" x14ac:dyDescent="0.15">
      <c r="A133" s="10" t="s">
        <v>391</v>
      </c>
      <c r="B133" s="166" t="str" cm="1">
        <f t="array" ref="B133">VLOOKUP(A133,'The List'!B1:D671,3,FALSE)</f>
        <v>RW</v>
      </c>
      <c r="C133" s="74" cm="1">
        <f t="array" ref="C133">IF(Settings!$E$15="POINTS",RANK(E133,E3:E407),H133)</f>
        <v>131</v>
      </c>
      <c r="D133" s="18" t="str" cm="1">
        <f t="array" ref="D133">VLOOKUP(A133,'The List'!B1:F671,5,FALSE)</f>
        <v>WSH</v>
      </c>
      <c r="E133" s="55" cm="1">
        <f t="array" ref="E133">VLOOKUP(A133,'The List'!B1:I671,8,FALSE)</f>
        <v>265.20987909945922</v>
      </c>
      <c r="F133" s="55" cm="1">
        <f t="array" ref="F133">IF(Settings!$E$15="POINTS",E133-VLOOKUP(B$2,C1:E407,3,FALSE),J133)</f>
        <v>-85.523138301002916</v>
      </c>
      <c r="G133" s="55"/>
      <c r="H133" s="167" cm="1">
        <f t="array" ref="H133">RANK(I133,I3:I407)</f>
        <v>101</v>
      </c>
      <c r="I133" s="168" cm="1">
        <f t="array" ref="I133">VLOOKUP(A133,'Standard Deviations'!A1:C672,3,FALSE)</f>
        <v>3.3344173998945483</v>
      </c>
      <c r="J133" s="168" cm="1">
        <f t="array" ref="J133">I133-VLOOKUP(B$2,H1:J407,2,FALSE)</f>
        <v>-2.156225960028507</v>
      </c>
    </row>
    <row r="134" spans="1:10" ht="21.25" customHeight="1" x14ac:dyDescent="0.15">
      <c r="A134" s="10" t="s">
        <v>374</v>
      </c>
      <c r="B134" s="166" t="str" cm="1">
        <f t="array" ref="B134">VLOOKUP(A134,'The List'!B1:D671,3,FALSE)</f>
        <v>C</v>
      </c>
      <c r="C134" s="74" cm="1">
        <f t="array" ref="C134">IF(Settings!$E$15="POINTS",RANK(E134,E3:E407),H134)</f>
        <v>132</v>
      </c>
      <c r="D134" s="18" t="str" cm="1">
        <f t="array" ref="D134">VLOOKUP(A134,'The List'!B1:F671,5,FALSE)</f>
        <v>OTT</v>
      </c>
      <c r="E134" s="55" cm="1">
        <f t="array" ref="E134">VLOOKUP(A134,'The List'!B1:I671,8,FALSE)</f>
        <v>264.83905330530808</v>
      </c>
      <c r="F134" s="55" cm="1">
        <f t="array" ref="F134">IF(Settings!$E$15="POINTS",E134-VLOOKUP(B$2,C1:E407,3,FALSE),J134)</f>
        <v>-85.893964095154047</v>
      </c>
      <c r="G134" s="55"/>
      <c r="H134" s="167" cm="1">
        <f t="array" ref="H134">RANK(I134,I3:I407)</f>
        <v>119</v>
      </c>
      <c r="I134" s="168" cm="1">
        <f t="array" ref="I134">VLOOKUP(A134,'Standard Deviations'!A1:C672,3,FALSE)</f>
        <v>2.0788523658139031</v>
      </c>
      <c r="J134" s="168" cm="1">
        <f t="array" ref="J134">I134-VLOOKUP(B$2,H1:J407,2,FALSE)</f>
        <v>-3.4117909941091522</v>
      </c>
    </row>
    <row r="135" spans="1:10" ht="21.25" customHeight="1" x14ac:dyDescent="0.15">
      <c r="A135" s="10" t="s">
        <v>401</v>
      </c>
      <c r="B135" s="166" t="str" cm="1">
        <f t="array" ref="B135">VLOOKUP(A135,'The List'!B1:D671,3,FALSE)</f>
        <v>RW</v>
      </c>
      <c r="C135" s="74" cm="1">
        <f t="array" ref="C135">IF(Settings!$E$15="POINTS",RANK(E135,E3:E407),H135)</f>
        <v>133</v>
      </c>
      <c r="D135" s="18" t="str" cm="1">
        <f t="array" ref="D135">VLOOKUP(A135,'The List'!B1:F671,5,FALSE)</f>
        <v>SEA</v>
      </c>
      <c r="E135" s="55" cm="1">
        <f t="array" ref="E135">VLOOKUP(A135,'The List'!B1:I671,8,FALSE)</f>
        <v>259.23159012906535</v>
      </c>
      <c r="F135" s="55" cm="1">
        <f t="array" ref="F135">IF(Settings!$E$15="POINTS",E135-VLOOKUP(B$2,C1:E407,3,FALSE),J135)</f>
        <v>-91.501427271396778</v>
      </c>
      <c r="G135" s="55"/>
      <c r="H135" s="167" cm="1">
        <f t="array" ref="H135">RANK(I135,I3:I407)</f>
        <v>172</v>
      </c>
      <c r="I135" s="168" cm="1">
        <f t="array" ref="I135">VLOOKUP(A135,'Standard Deviations'!A1:C672,3,FALSE)</f>
        <v>-0.1944645468798219</v>
      </c>
      <c r="J135" s="168" cm="1">
        <f t="array" ref="J135">I135-VLOOKUP(B$2,H1:J407,2,FALSE)</f>
        <v>-5.6851079068028776</v>
      </c>
    </row>
    <row r="136" spans="1:10" ht="21.25" customHeight="1" x14ac:dyDescent="0.15">
      <c r="A136" s="10" t="s">
        <v>389</v>
      </c>
      <c r="B136" s="166" t="str" cm="1">
        <f t="array" ref="B136">VLOOKUP(A136,'The List'!B1:D671,3,FALSE)</f>
        <v>C</v>
      </c>
      <c r="C136" s="74" cm="1">
        <f t="array" ref="C136">IF(Settings!$E$15="POINTS",RANK(E136,E3:E407),H136)</f>
        <v>134</v>
      </c>
      <c r="D136" s="18" t="str" cm="1">
        <f t="array" ref="D136">VLOOKUP(A136,'The List'!B1:F671,5,FALSE)</f>
        <v>UTA</v>
      </c>
      <c r="E136" s="55" cm="1">
        <f t="array" ref="E136">VLOOKUP(A136,'The List'!B1:I671,8,FALSE)</f>
        <v>256.8486708595388</v>
      </c>
      <c r="F136" s="55" cm="1">
        <f t="array" ref="F136">IF(Settings!$E$15="POINTS",E136-VLOOKUP(B$2,C1:E407,3,FALSE),J136)</f>
        <v>-93.884346540923332</v>
      </c>
      <c r="G136" s="55"/>
      <c r="H136" s="167" cm="1">
        <f t="array" ref="H136">RANK(I136,I3:I407)</f>
        <v>121</v>
      </c>
      <c r="I136" s="168" cm="1">
        <f t="array" ref="I136">VLOOKUP(A136,'Standard Deviations'!A1:C672,3,FALSE)</f>
        <v>2.0130868882498483</v>
      </c>
      <c r="J136" s="168" cm="1">
        <f t="array" ref="J136">I136-VLOOKUP(B$2,H1:J407,2,FALSE)</f>
        <v>-3.477556471673207</v>
      </c>
    </row>
    <row r="137" spans="1:10" ht="21.25" customHeight="1" x14ac:dyDescent="0.15">
      <c r="A137" s="10" t="s">
        <v>404</v>
      </c>
      <c r="B137" s="166" t="str" cm="1">
        <f t="array" ref="B137">VLOOKUP(A137,'The List'!B1:D671,3,FALSE)</f>
        <v>RW</v>
      </c>
      <c r="C137" s="74" cm="1">
        <f t="array" ref="C137">IF(Settings!$E$15="POINTS",RANK(E137,E3:E407),H137)</f>
        <v>135</v>
      </c>
      <c r="D137" s="18" t="str" cm="1">
        <f t="array" ref="D137">VLOOKUP(A137,'The List'!B1:F671,5,FALSE)</f>
        <v>BUF</v>
      </c>
      <c r="E137" s="55" cm="1">
        <f t="array" ref="E137">VLOOKUP(A137,'The List'!B1:I671,8,FALSE)</f>
        <v>256.64882512746482</v>
      </c>
      <c r="F137" s="55" cm="1">
        <f t="array" ref="F137">IF(Settings!$E$15="POINTS",E137-VLOOKUP(B$2,C1:E407,3,FALSE),J137)</f>
        <v>-94.084192272997313</v>
      </c>
      <c r="G137" s="55"/>
      <c r="H137" s="167" cm="1">
        <f t="array" ref="H137">RANK(I137,I3:I407)</f>
        <v>150</v>
      </c>
      <c r="I137" s="168" cm="1">
        <f t="array" ref="I137">VLOOKUP(A137,'Standard Deviations'!A1:C672,3,FALSE)</f>
        <v>0.47826364702370405</v>
      </c>
      <c r="J137" s="168" cm="1">
        <f t="array" ref="J137">I137-VLOOKUP(B$2,H1:J407,2,FALSE)</f>
        <v>-5.0123797128993512</v>
      </c>
    </row>
    <row r="138" spans="1:10" ht="21.25" customHeight="1" x14ac:dyDescent="0.15">
      <c r="A138" s="10" t="s">
        <v>421</v>
      </c>
      <c r="B138" s="166" t="str" cm="1">
        <f t="array" ref="B138">VLOOKUP(A138,'The List'!B1:D671,3,FALSE)</f>
        <v>LW</v>
      </c>
      <c r="C138" s="74" cm="1">
        <f t="array" ref="C138">IF(Settings!$E$15="POINTS",RANK(E138,E3:E407),H138)</f>
        <v>136</v>
      </c>
      <c r="D138" s="18" t="str" cm="1">
        <f t="array" ref="D138">VLOOKUP(A138,'The List'!B1:F671,5,FALSE)</f>
        <v>S.J</v>
      </c>
      <c r="E138" s="55" cm="1">
        <f t="array" ref="E138">VLOOKUP(A138,'The List'!B1:I671,8,FALSE)</f>
        <v>256.29801726603927</v>
      </c>
      <c r="F138" s="55" cm="1">
        <f t="array" ref="F138">IF(Settings!$E$15="POINTS",E138-VLOOKUP(B$2,C1:E407,3,FALSE),J138)</f>
        <v>-94.435000134422864</v>
      </c>
      <c r="G138" s="55"/>
      <c r="H138" s="167" cm="1">
        <f t="array" ref="H138">RANK(I138,I3:I407)</f>
        <v>138</v>
      </c>
      <c r="I138" s="168" cm="1">
        <f t="array" ref="I138">VLOOKUP(A138,'Standard Deviations'!A1:C672,3,FALSE)</f>
        <v>1.1067323217990077</v>
      </c>
      <c r="J138" s="168" cm="1">
        <f t="array" ref="J138">I138-VLOOKUP(B$2,H1:J407,2,FALSE)</f>
        <v>-4.3839110381240474</v>
      </c>
    </row>
    <row r="139" spans="1:10" ht="21.25" customHeight="1" x14ac:dyDescent="0.15">
      <c r="A139" s="10" t="s">
        <v>406</v>
      </c>
      <c r="B139" s="166" t="str" cm="1">
        <f t="array" ref="B139">VLOOKUP(A139,'The List'!B1:D671,3,FALSE)</f>
        <v>LW,RW</v>
      </c>
      <c r="C139" s="74" cm="1">
        <f t="array" ref="C139">IF(Settings!$E$15="POINTS",RANK(E139,E3:E407),H139)</f>
        <v>137</v>
      </c>
      <c r="D139" s="18" t="str" cm="1">
        <f t="array" ref="D139">VLOOKUP(A139,'The List'!B1:F671,5,FALSE)</f>
        <v>NYR</v>
      </c>
      <c r="E139" s="55" cm="1">
        <f t="array" ref="E139">VLOOKUP(A139,'The List'!B1:I671,8,FALSE)</f>
        <v>256.20299605836851</v>
      </c>
      <c r="F139" s="55" cm="1">
        <f t="array" ref="F139">IF(Settings!$E$15="POINTS",E139-VLOOKUP(B$2,C1:E407,3,FALSE),J139)</f>
        <v>-94.530021342093619</v>
      </c>
      <c r="G139" s="55"/>
      <c r="H139" s="167" cm="1">
        <f t="array" ref="H139">RANK(I139,I3:I407)</f>
        <v>107</v>
      </c>
      <c r="I139" s="168" cm="1">
        <f t="array" ref="I139">VLOOKUP(A139,'Standard Deviations'!A1:C672,3,FALSE)</f>
        <v>2.9591452942435836</v>
      </c>
      <c r="J139" s="168" cm="1">
        <f t="array" ref="J139">I139-VLOOKUP(B$2,H1:J407,2,FALSE)</f>
        <v>-2.5314980656794717</v>
      </c>
    </row>
    <row r="140" spans="1:10" ht="21.25" customHeight="1" x14ac:dyDescent="0.15">
      <c r="A140" s="10" t="s">
        <v>408</v>
      </c>
      <c r="B140" s="166" t="str" cm="1">
        <f t="array" ref="B140">VLOOKUP(A140,'The List'!B1:D671,3,FALSE)</f>
        <v>C,LW,RW</v>
      </c>
      <c r="C140" s="74" cm="1">
        <f t="array" ref="C140">IF(Settings!$E$15="POINTS",RANK(E140,E3:E407),H140)</f>
        <v>138</v>
      </c>
      <c r="D140" s="18" t="str" cm="1">
        <f t="array" ref="D140">VLOOKUP(A140,'The List'!B1:F671,5,FALSE)</f>
        <v>STL</v>
      </c>
      <c r="E140" s="55" cm="1">
        <f t="array" ref="E140">VLOOKUP(A140,'The List'!B1:I671,8,FALSE)</f>
        <v>255.80639228294342</v>
      </c>
      <c r="F140" s="55" cm="1">
        <f t="array" ref="F140">IF(Settings!$E$15="POINTS",E140-VLOOKUP(B$2,C1:E407,3,FALSE),J140)</f>
        <v>-94.926625117518711</v>
      </c>
      <c r="G140" s="55"/>
      <c r="H140" s="167" cm="1">
        <f t="array" ref="H140">RANK(I140,I3:I407)</f>
        <v>147</v>
      </c>
      <c r="I140" s="168" cm="1">
        <f t="array" ref="I140">VLOOKUP(A140,'Standard Deviations'!A1:C672,3,FALSE)</f>
        <v>0.61588298517463802</v>
      </c>
      <c r="J140" s="168" cm="1">
        <f t="array" ref="J140">I140-VLOOKUP(B$2,H1:J407,2,FALSE)</f>
        <v>-4.8747603747484174</v>
      </c>
    </row>
    <row r="141" spans="1:10" ht="21.25" customHeight="1" x14ac:dyDescent="0.15">
      <c r="A141" s="10" t="s">
        <v>412</v>
      </c>
      <c r="B141" s="166" t="str" cm="1">
        <f t="array" ref="B141">VLOOKUP(A141,'The List'!B1:D671,3,FALSE)</f>
        <v>RW</v>
      </c>
      <c r="C141" s="74" cm="1">
        <f t="array" ref="C141">IF(Settings!$E$15="POINTS",RANK(E141,E3:E407),H141)</f>
        <v>139</v>
      </c>
      <c r="D141" s="18" t="str" cm="1">
        <f t="array" ref="D141">VLOOKUP(A141,'The List'!B1:F671,5,FALSE)</f>
        <v>NYI</v>
      </c>
      <c r="E141" s="55" cm="1">
        <f t="array" ref="E141">VLOOKUP(A141,'The List'!B1:I671,8,FALSE)</f>
        <v>253.76647840916939</v>
      </c>
      <c r="F141" s="55" cm="1">
        <f t="array" ref="F141">IF(Settings!$E$15="POINTS",E141-VLOOKUP(B$2,C1:E407,3,FALSE),J141)</f>
        <v>-96.966538991292737</v>
      </c>
      <c r="G141" s="55"/>
      <c r="H141" s="167" cm="1">
        <f t="array" ref="H141">RANK(I141,I3:I407)</f>
        <v>167</v>
      </c>
      <c r="I141" s="168" cm="1">
        <f t="array" ref="I141">VLOOKUP(A141,'Standard Deviations'!A1:C672,3,FALSE)</f>
        <v>-8.6242588346528537E-2</v>
      </c>
      <c r="J141" s="168" cm="1">
        <f t="array" ref="J141">I141-VLOOKUP(B$2,H1:J407,2,FALSE)</f>
        <v>-5.5768859482695836</v>
      </c>
    </row>
    <row r="142" spans="1:10" ht="21.25" customHeight="1" x14ac:dyDescent="0.15">
      <c r="A142" s="10" t="s">
        <v>395</v>
      </c>
      <c r="B142" s="166" t="str" cm="1">
        <f t="array" ref="B142">VLOOKUP(A142,'The List'!B1:D671,3,FALSE)</f>
        <v>C</v>
      </c>
      <c r="C142" s="74" cm="1">
        <f t="array" ref="C142">IF(Settings!$E$15="POINTS",RANK(E142,E3:E407),H142)</f>
        <v>140</v>
      </c>
      <c r="D142" s="18" t="str" cm="1">
        <f t="array" ref="D142">VLOOKUP(A142,'The List'!B1:F671,5,FALSE)</f>
        <v>CHI</v>
      </c>
      <c r="E142" s="55" cm="1">
        <f t="array" ref="E142">VLOOKUP(A142,'The List'!B1:I671,8,FALSE)</f>
        <v>253.68734531321095</v>
      </c>
      <c r="F142" s="55" cm="1">
        <f t="array" ref="F142">IF(Settings!$E$15="POINTS",E142-VLOOKUP(B$2,C1:E407,3,FALSE),J142)</f>
        <v>-97.045672087251177</v>
      </c>
      <c r="G142" s="55"/>
      <c r="H142" s="167" cm="1">
        <f t="array" ref="H142">RANK(I142,I3:I407)</f>
        <v>198</v>
      </c>
      <c r="I142" s="168" cm="1">
        <f t="array" ref="I142">VLOOKUP(A142,'Standard Deviations'!A1:C672,3,FALSE)</f>
        <v>-0.94610708361449802</v>
      </c>
      <c r="J142" s="168" cm="1">
        <f t="array" ref="J142">I142-VLOOKUP(B$2,H1:J407,2,FALSE)</f>
        <v>-6.4367504435375533</v>
      </c>
    </row>
    <row r="143" spans="1:10" ht="21.25" customHeight="1" x14ac:dyDescent="0.15">
      <c r="A143" s="10" t="s">
        <v>415</v>
      </c>
      <c r="B143" s="166" t="str" cm="1">
        <f t="array" ref="B143">VLOOKUP(A143,'The List'!B1:D671,3,FALSE)</f>
        <v>C,LW,RW</v>
      </c>
      <c r="C143" s="74" cm="1">
        <f t="array" ref="C143">IF(Settings!$E$15="POINTS",RANK(E143,E3:E407),H143)</f>
        <v>141</v>
      </c>
      <c r="D143" s="18" t="str" cm="1">
        <f t="array" ref="D143">VLOOKUP(A143,'The List'!B1:F671,5,FALSE)</f>
        <v>L.A</v>
      </c>
      <c r="E143" s="55" cm="1">
        <f t="array" ref="E143">VLOOKUP(A143,'The List'!B1:I671,8,FALSE)</f>
        <v>253.2762881512862</v>
      </c>
      <c r="F143" s="55" cm="1">
        <f t="array" ref="F143">IF(Settings!$E$15="POINTS",E143-VLOOKUP(B$2,C1:E407,3,FALSE),J143)</f>
        <v>-97.456729249175936</v>
      </c>
      <c r="G143" s="55"/>
      <c r="H143" s="167" cm="1">
        <f t="array" ref="H143">RANK(I143,I3:I407)</f>
        <v>143</v>
      </c>
      <c r="I143" s="168" cm="1">
        <f t="array" ref="I143">VLOOKUP(A143,'Standard Deviations'!A1:C672,3,FALSE)</f>
        <v>0.71110843045026217</v>
      </c>
      <c r="J143" s="168" cm="1">
        <f t="array" ref="J143">I143-VLOOKUP(B$2,H1:J407,2,FALSE)</f>
        <v>-4.7795349294727929</v>
      </c>
    </row>
    <row r="144" spans="1:10" ht="21.25" customHeight="1" x14ac:dyDescent="0.15">
      <c r="A144" s="10" t="s">
        <v>418</v>
      </c>
      <c r="B144" s="166" t="str" cm="1">
        <f t="array" ref="B144">VLOOKUP(A144,'The List'!B1:D671,3,FALSE)</f>
        <v>RW</v>
      </c>
      <c r="C144" s="74" cm="1">
        <f t="array" ref="C144">IF(Settings!$E$15="POINTS",RANK(E144,E3:E407),H144)</f>
        <v>142</v>
      </c>
      <c r="D144" s="18" t="str" cm="1">
        <f t="array" ref="D144">VLOOKUP(A144,'The List'!B1:F671,5,FALSE)</f>
        <v>L.A</v>
      </c>
      <c r="E144" s="55" cm="1">
        <f t="array" ref="E144">VLOOKUP(A144,'The List'!B1:I671,8,FALSE)</f>
        <v>252.48528575799153</v>
      </c>
      <c r="F144" s="55" cm="1">
        <f t="array" ref="F144">IF(Settings!$E$15="POINTS",E144-VLOOKUP(B$2,C1:E407,3,FALSE),J144)</f>
        <v>-98.247731642470598</v>
      </c>
      <c r="G144" s="55"/>
      <c r="H144" s="167" cm="1">
        <f t="array" ref="H144">RANK(I144,I3:I407)</f>
        <v>149</v>
      </c>
      <c r="I144" s="168" cm="1">
        <f t="array" ref="I144">VLOOKUP(A144,'Standard Deviations'!A1:C672,3,FALSE)</f>
        <v>0.5430651153624213</v>
      </c>
      <c r="J144" s="168" cm="1">
        <f t="array" ref="J144">I144-VLOOKUP(B$2,H1:J407,2,FALSE)</f>
        <v>-4.947578244560634</v>
      </c>
    </row>
    <row r="145" spans="1:10" ht="21.25" customHeight="1" x14ac:dyDescent="0.15">
      <c r="A145" s="10" t="s">
        <v>441</v>
      </c>
      <c r="B145" s="166" t="str" cm="1">
        <f t="array" ref="B145">VLOOKUP(A145,'The List'!B1:D671,3,FALSE)</f>
        <v>LW</v>
      </c>
      <c r="C145" s="74" cm="1">
        <f t="array" ref="C145">IF(Settings!$E$15="POINTS",RANK(E145,E3:E407),H145)</f>
        <v>143</v>
      </c>
      <c r="D145" s="18" t="str" cm="1">
        <f t="array" ref="D145">VLOOKUP(A145,'The List'!B1:F671,5,FALSE)</f>
        <v>ANA</v>
      </c>
      <c r="E145" s="55" cm="1">
        <f t="array" ref="E145">VLOOKUP(A145,'The List'!B1:I671,8,FALSE)</f>
        <v>250.38342753786964</v>
      </c>
      <c r="F145" s="55" cm="1">
        <f t="array" ref="F145">IF(Settings!$E$15="POINTS",E145-VLOOKUP(B$2,C1:E407,3,FALSE),J145)</f>
        <v>-100.3495898625925</v>
      </c>
      <c r="G145" s="55"/>
      <c r="H145" s="167" cm="1">
        <f t="array" ref="H145">RANK(I145,I3:I407)</f>
        <v>144</v>
      </c>
      <c r="I145" s="168" cm="1">
        <f t="array" ref="I145">VLOOKUP(A145,'Standard Deviations'!A1:C672,3,FALSE)</f>
        <v>0.65090912120033217</v>
      </c>
      <c r="J145" s="168" cm="1">
        <f t="array" ref="J145">I145-VLOOKUP(B$2,H1:J407,2,FALSE)</f>
        <v>-4.8397342387227233</v>
      </c>
    </row>
    <row r="146" spans="1:10" ht="21.25" customHeight="1" x14ac:dyDescent="0.15">
      <c r="A146" s="10" t="s">
        <v>444</v>
      </c>
      <c r="B146" s="166" t="str" cm="1">
        <f t="array" ref="B146">VLOOKUP(A146,'The List'!B1:D671,3,FALSE)</f>
        <v>C,LW</v>
      </c>
      <c r="C146" s="74" cm="1">
        <f t="array" ref="C146">IF(Settings!$E$15="POINTS",RANK(E146,E3:E407),H146)</f>
        <v>144</v>
      </c>
      <c r="D146" s="18" t="str" cm="1">
        <f t="array" ref="D146">VLOOKUP(A146,'The List'!B1:F671,5,FALSE)</f>
        <v>STL</v>
      </c>
      <c r="E146" s="55" cm="1">
        <f t="array" ref="E146">VLOOKUP(A146,'The List'!B1:I671,8,FALSE)</f>
        <v>249.80174671123874</v>
      </c>
      <c r="F146" s="55" cm="1">
        <f t="array" ref="F146">IF(Settings!$E$15="POINTS",E146-VLOOKUP(B$2,C1:E407,3,FALSE),J146)</f>
        <v>-100.9312706892234</v>
      </c>
      <c r="G146" s="55"/>
      <c r="H146" s="167" cm="1">
        <f t="array" ref="H146">RANK(I146,I3:I407)</f>
        <v>157</v>
      </c>
      <c r="I146" s="168" cm="1">
        <f t="array" ref="I146">VLOOKUP(A146,'Standard Deviations'!A1:C672,3,FALSE)</f>
        <v>0.30748761088008131</v>
      </c>
      <c r="J146" s="168" cm="1">
        <f t="array" ref="J146">I146-VLOOKUP(B$2,H1:J407,2,FALSE)</f>
        <v>-5.1831557490429736</v>
      </c>
    </row>
    <row r="147" spans="1:10" ht="21.25" customHeight="1" x14ac:dyDescent="0.15">
      <c r="A147" s="10" t="s">
        <v>433</v>
      </c>
      <c r="B147" s="166" t="str" cm="1">
        <f t="array" ref="B147">VLOOKUP(A147,'The List'!B1:D671,3,FALSE)</f>
        <v>LW,RW</v>
      </c>
      <c r="C147" s="74" cm="1">
        <f t="array" ref="C147">IF(Settings!$E$15="POINTS",RANK(E147,E3:E407),H147)</f>
        <v>145</v>
      </c>
      <c r="D147" s="18" t="str" cm="1">
        <f t="array" ref="D147">VLOOKUP(A147,'The List'!B1:F671,5,FALSE)</f>
        <v>CGY</v>
      </c>
      <c r="E147" s="55" cm="1">
        <f t="array" ref="E147">VLOOKUP(A147,'The List'!B1:I671,8,FALSE)</f>
        <v>247.8910043918896</v>
      </c>
      <c r="F147" s="55" cm="1">
        <f t="array" ref="F147">IF(Settings!$E$15="POINTS",E147-VLOOKUP(B$2,C1:E407,3,FALSE),J147)</f>
        <v>-102.84201300857254</v>
      </c>
      <c r="G147" s="55"/>
      <c r="H147" s="167" cm="1">
        <f t="array" ref="H147">RANK(I147,I3:I407)</f>
        <v>169</v>
      </c>
      <c r="I147" s="168" cm="1">
        <f t="array" ref="I147">VLOOKUP(A147,'Standard Deviations'!A1:C672,3,FALSE)</f>
        <v>-0.14843779444304334</v>
      </c>
      <c r="J147" s="168" cm="1">
        <f t="array" ref="J147">I147-VLOOKUP(B$2,H1:J407,2,FALSE)</f>
        <v>-5.6390811543660986</v>
      </c>
    </row>
    <row r="148" spans="1:10" ht="21.25" customHeight="1" x14ac:dyDescent="0.15">
      <c r="A148" s="10" t="s">
        <v>449</v>
      </c>
      <c r="B148" s="166" t="str" cm="1">
        <f t="array" ref="B148">VLOOKUP(A148,'The List'!B1:D671,3,FALSE)</f>
        <v>C,LW</v>
      </c>
      <c r="C148" s="74" cm="1">
        <f t="array" ref="C148">IF(Settings!$E$15="POINTS",RANK(E148,E3:E407),H148)</f>
        <v>146</v>
      </c>
      <c r="D148" s="18" t="str" cm="1">
        <f t="array" ref="D148">VLOOKUP(A148,'The List'!B1:F671,5,FALSE)</f>
        <v>MIN</v>
      </c>
      <c r="E148" s="55" cm="1">
        <f t="array" ref="E148">VLOOKUP(A148,'The List'!B1:I671,8,FALSE)</f>
        <v>247.62695514849818</v>
      </c>
      <c r="F148" s="55" cm="1">
        <f t="array" ref="F148">IF(Settings!$E$15="POINTS",E148-VLOOKUP(B$2,C1:E407,3,FALSE),J148)</f>
        <v>-103.10606225196395</v>
      </c>
      <c r="G148" s="55"/>
      <c r="H148" s="167" cm="1">
        <f t="array" ref="H148">RANK(I148,I3:I407)</f>
        <v>112</v>
      </c>
      <c r="I148" s="168" cm="1">
        <f t="array" ref="I148">VLOOKUP(A148,'Standard Deviations'!A1:C672,3,FALSE)</f>
        <v>2.6355760302936462</v>
      </c>
      <c r="J148" s="168" cm="1">
        <f t="array" ref="J148">I148-VLOOKUP(B$2,H1:J407,2,FALSE)</f>
        <v>-2.8550673296294091</v>
      </c>
    </row>
    <row r="149" spans="1:10" ht="21.25" customHeight="1" x14ac:dyDescent="0.15">
      <c r="A149" s="10" t="s">
        <v>438</v>
      </c>
      <c r="B149" s="166" t="str" cm="1">
        <f t="array" ref="B149">VLOOKUP(A149,'The List'!B1:D671,3,FALSE)</f>
        <v>LW,RW</v>
      </c>
      <c r="C149" s="74" cm="1">
        <f t="array" ref="C149">IF(Settings!$E$15="POINTS",RANK(E149,E3:E407),H149)</f>
        <v>147</v>
      </c>
      <c r="D149" s="18" t="str" cm="1">
        <f t="array" ref="D149">VLOOKUP(A149,'The List'!B1:F671,5,FALSE)</f>
        <v>SEA</v>
      </c>
      <c r="E149" s="55" cm="1">
        <f t="array" ref="E149">VLOOKUP(A149,'The List'!B1:I671,8,FALSE)</f>
        <v>246.68167413291556</v>
      </c>
      <c r="F149" s="55" cm="1">
        <f t="array" ref="F149">IF(Settings!$E$15="POINTS",E149-VLOOKUP(B$2,C1:E407,3,FALSE),J149)</f>
        <v>-104.05134326754657</v>
      </c>
      <c r="G149" s="55"/>
      <c r="H149" s="167" cm="1">
        <f t="array" ref="H149">RANK(I149,I3:I407)</f>
        <v>180</v>
      </c>
      <c r="I149" s="168" cm="1">
        <f t="array" ref="I149">VLOOKUP(A149,'Standard Deviations'!A1:C672,3,FALSE)</f>
        <v>-0.35454343235129859</v>
      </c>
      <c r="J149" s="168" cm="1">
        <f t="array" ref="J149">I149-VLOOKUP(B$2,H1:J407,2,FALSE)</f>
        <v>-5.8451867922743537</v>
      </c>
    </row>
    <row r="150" spans="1:10" ht="21.25" customHeight="1" x14ac:dyDescent="0.15">
      <c r="A150" s="10" t="s">
        <v>453</v>
      </c>
      <c r="B150" s="166" t="str" cm="1">
        <f t="array" ref="B150">VLOOKUP(A150,'The List'!B1:D671,3,FALSE)</f>
        <v>C,LW</v>
      </c>
      <c r="C150" s="74" cm="1">
        <f t="array" ref="C150">IF(Settings!$E$15="POINTS",RANK(E150,E3:E407),H150)</f>
        <v>148</v>
      </c>
      <c r="D150" s="18" t="str" cm="1">
        <f t="array" ref="D150">VLOOKUP(A150,'The List'!B1:F671,5,FALSE)</f>
        <v>WSH</v>
      </c>
      <c r="E150" s="55" cm="1">
        <f t="array" ref="E150">VLOOKUP(A150,'The List'!B1:I671,8,FALSE)</f>
        <v>246.56140976422114</v>
      </c>
      <c r="F150" s="55" cm="1">
        <f t="array" ref="F150">IF(Settings!$E$15="POINTS",E150-VLOOKUP(B$2,C1:E407,3,FALSE),J150)</f>
        <v>-104.17160763624099</v>
      </c>
      <c r="G150" s="55"/>
      <c r="H150" s="167" cm="1">
        <f t="array" ref="H150">RANK(I150,I3:I407)</f>
        <v>111</v>
      </c>
      <c r="I150" s="168" cm="1">
        <f t="array" ref="I150">VLOOKUP(A150,'Standard Deviations'!A1:C672,3,FALSE)</f>
        <v>2.729344552414636</v>
      </c>
      <c r="J150" s="168" cm="1">
        <f t="array" ref="J150">I150-VLOOKUP(B$2,H1:J407,2,FALSE)</f>
        <v>-2.7612988075084193</v>
      </c>
    </row>
    <row r="151" spans="1:10" ht="21.25" customHeight="1" x14ac:dyDescent="0.15">
      <c r="A151" s="10" t="s">
        <v>454</v>
      </c>
      <c r="B151" s="166" t="str" cm="1">
        <f t="array" ref="B151">VLOOKUP(A151,'The List'!B1:D671,3,FALSE)</f>
        <v>LW</v>
      </c>
      <c r="C151" s="74" cm="1">
        <f t="array" ref="C151">IF(Settings!$E$15="POINTS",RANK(E151,E3:E407),H151)</f>
        <v>149</v>
      </c>
      <c r="D151" s="18" t="str" cm="1">
        <f t="array" ref="D151">VLOOKUP(A151,'The List'!B1:F671,5,FALSE)</f>
        <v>S.J</v>
      </c>
      <c r="E151" s="55" cm="1">
        <f t="array" ref="E151">VLOOKUP(A151,'The List'!B1:I671,8,FALSE)</f>
        <v>246.21496204163947</v>
      </c>
      <c r="F151" s="55" cm="1">
        <f t="array" ref="F151">IF(Settings!$E$15="POINTS",E151-VLOOKUP(B$2,C1:E407,3,FALSE),J151)</f>
        <v>-104.51805535882266</v>
      </c>
      <c r="G151" s="55"/>
      <c r="H151" s="167" cm="1">
        <f t="array" ref="H151">RANK(I151,I3:I407)</f>
        <v>120</v>
      </c>
      <c r="I151" s="168" cm="1">
        <f t="array" ref="I151">VLOOKUP(A151,'Standard Deviations'!A1:C672,3,FALSE)</f>
        <v>2.0135471327664427</v>
      </c>
      <c r="J151" s="168" cm="1">
        <f t="array" ref="J151">I151-VLOOKUP(B$2,H1:J407,2,FALSE)</f>
        <v>-3.4770962271566126</v>
      </c>
    </row>
    <row r="152" spans="1:10" ht="21.25" customHeight="1" x14ac:dyDescent="0.15">
      <c r="A152" s="10" t="s">
        <v>413</v>
      </c>
      <c r="B152" s="166" t="str" cm="1">
        <f t="array" ref="B152">VLOOKUP(A152,'The List'!B1:D671,3,FALSE)</f>
        <v>C</v>
      </c>
      <c r="C152" s="74" cm="1">
        <f t="array" ref="C152">IF(Settings!$E$15="POINTS",RANK(E152,E3:E407),H152)</f>
        <v>150</v>
      </c>
      <c r="D152" s="18" t="str" cm="1">
        <f t="array" ref="D152">VLOOKUP(A152,'The List'!B1:F671,5,FALSE)</f>
        <v>SEA</v>
      </c>
      <c r="E152" s="55" cm="1">
        <f t="array" ref="E152">VLOOKUP(A152,'The List'!B1:I671,8,FALSE)</f>
        <v>245.25018137907443</v>
      </c>
      <c r="F152" s="55" cm="1">
        <f t="array" ref="F152">IF(Settings!$E$15="POINTS",E152-VLOOKUP(B$2,C1:E407,3,FALSE),J152)</f>
        <v>-105.4828360213877</v>
      </c>
      <c r="G152" s="55"/>
      <c r="H152" s="167" cm="1">
        <f t="array" ref="H152">RANK(I152,I3:I407)</f>
        <v>258</v>
      </c>
      <c r="I152" s="168" cm="1">
        <f t="array" ref="I152">VLOOKUP(A152,'Standard Deviations'!A1:C672,3,FALSE)</f>
        <v>-2.3845055844032248</v>
      </c>
      <c r="J152" s="168" cm="1">
        <f t="array" ref="J152">I152-VLOOKUP(B$2,H1:J407,2,FALSE)</f>
        <v>-7.8751489443262805</v>
      </c>
    </row>
    <row r="153" spans="1:10" ht="21.25" customHeight="1" x14ac:dyDescent="0.15">
      <c r="A153" s="10" t="s">
        <v>446</v>
      </c>
      <c r="B153" s="166" t="str" cm="1">
        <f t="array" ref="B153">VLOOKUP(A153,'The List'!B1:D671,3,FALSE)</f>
        <v>LW,RW</v>
      </c>
      <c r="C153" s="74" cm="1">
        <f t="array" ref="C153">IF(Settings!$E$15="POINTS",RANK(E153,E3:E407),H153)</f>
        <v>151</v>
      </c>
      <c r="D153" s="18" t="str" cm="1">
        <f t="array" ref="D153">VLOOKUP(A153,'The List'!B1:F671,5,FALSE)</f>
        <v>PHI</v>
      </c>
      <c r="E153" s="55" cm="1">
        <f t="array" ref="E153">VLOOKUP(A153,'The List'!B1:I671,8,FALSE)</f>
        <v>244.24824323143201</v>
      </c>
      <c r="F153" s="55" cm="1">
        <f t="array" ref="F153">IF(Settings!$E$15="POINTS",E153-VLOOKUP(B$2,C1:E407,3,FALSE),J153)</f>
        <v>-106.48477416903012</v>
      </c>
      <c r="G153" s="55"/>
      <c r="H153" s="167" cm="1">
        <f t="array" ref="H153">RANK(I153,I3:I407)</f>
        <v>132</v>
      </c>
      <c r="I153" s="168" cm="1">
        <f t="array" ref="I153">VLOOKUP(A153,'Standard Deviations'!A1:C672,3,FALSE)</f>
        <v>1.4528495260984955</v>
      </c>
      <c r="J153" s="168" cm="1">
        <f t="array" ref="J153">I153-VLOOKUP(B$2,H1:J407,2,FALSE)</f>
        <v>-4.0377938338245603</v>
      </c>
    </row>
    <row r="154" spans="1:10" ht="21.25" customHeight="1" x14ac:dyDescent="0.15">
      <c r="A154" s="10" t="s">
        <v>458</v>
      </c>
      <c r="B154" s="166" t="str" cm="1">
        <f t="array" ref="B154">VLOOKUP(A154,'The List'!B1:D671,3,FALSE)</f>
        <v>LW</v>
      </c>
      <c r="C154" s="74" cm="1">
        <f t="array" ref="C154">IF(Settings!$E$15="POINTS",RANK(E154,E3:E407),H154)</f>
        <v>152</v>
      </c>
      <c r="D154" s="18" t="str" cm="1">
        <f t="array" ref="D154">VLOOKUP(A154,'The List'!B1:F671,5,FALSE)</f>
        <v>VGK</v>
      </c>
      <c r="E154" s="55" cm="1">
        <f t="array" ref="E154">VLOOKUP(A154,'The List'!B1:I671,8,FALSE)</f>
        <v>244.14782927288812</v>
      </c>
      <c r="F154" s="55" cm="1">
        <f t="array" ref="F154">IF(Settings!$E$15="POINTS",E154-VLOOKUP(B$2,C1:E407,3,FALSE),J154)</f>
        <v>-106.58518812757401</v>
      </c>
      <c r="G154" s="55"/>
      <c r="H154" s="167" cm="1">
        <f t="array" ref="H154">RANK(I154,I3:I407)</f>
        <v>141</v>
      </c>
      <c r="I154" s="168" cm="1">
        <f t="array" ref="I154">VLOOKUP(A154,'Standard Deviations'!A1:C672,3,FALSE)</f>
        <v>0.90128850940133165</v>
      </c>
      <c r="J154" s="168" cm="1">
        <f t="array" ref="J154">I154-VLOOKUP(B$2,H1:J407,2,FALSE)</f>
        <v>-4.5893548505217234</v>
      </c>
    </row>
    <row r="155" spans="1:10" ht="21.25" customHeight="1" x14ac:dyDescent="0.15">
      <c r="A155" s="10" t="s">
        <v>419</v>
      </c>
      <c r="B155" s="166" t="str" cm="1">
        <f t="array" ref="B155">VLOOKUP(A155,'The List'!B1:D671,3,FALSE)</f>
        <v>C</v>
      </c>
      <c r="C155" s="74" cm="1">
        <f t="array" ref="C155">IF(Settings!$E$15="POINTS",RANK(E155,E3:E407),H155)</f>
        <v>153</v>
      </c>
      <c r="D155" s="18" t="str" cm="1">
        <f t="array" ref="D155">VLOOKUP(A155,'The List'!B1:F671,5,FALSE)</f>
        <v>CGY</v>
      </c>
      <c r="E155" s="55" cm="1">
        <f t="array" ref="E155">VLOOKUP(A155,'The List'!B1:I671,8,FALSE)</f>
        <v>243.81124990232436</v>
      </c>
      <c r="F155" s="55" cm="1">
        <f t="array" ref="F155">IF(Settings!$E$15="POINTS",E155-VLOOKUP(B$2,C1:E407,3,FALSE),J155)</f>
        <v>-106.92176749813777</v>
      </c>
      <c r="G155" s="55"/>
      <c r="H155" s="167" cm="1">
        <f t="array" ref="H155">RANK(I155,I3:I407)</f>
        <v>195</v>
      </c>
      <c r="I155" s="168" cm="1">
        <f t="array" ref="I155">VLOOKUP(A155,'Standard Deviations'!A1:C672,3,FALSE)</f>
        <v>-0.89300768323189683</v>
      </c>
      <c r="J155" s="168" cm="1">
        <f t="array" ref="J155">I155-VLOOKUP(B$2,H1:J407,2,FALSE)</f>
        <v>-6.383651043154952</v>
      </c>
    </row>
    <row r="156" spans="1:10" ht="21.25" customHeight="1" x14ac:dyDescent="0.15">
      <c r="A156" s="10" t="s">
        <v>422</v>
      </c>
      <c r="B156" s="166" t="str" cm="1">
        <f t="array" ref="B156">VLOOKUP(A156,'The List'!B1:D671,3,FALSE)</f>
        <v>C</v>
      </c>
      <c r="C156" s="74" cm="1">
        <f t="array" ref="C156">IF(Settings!$E$15="POINTS",RANK(E156,E3:E407),H156)</f>
        <v>154</v>
      </c>
      <c r="D156" s="18" t="str" cm="1">
        <f t="array" ref="D156">VLOOKUP(A156,'The List'!B1:F671,5,FALSE)</f>
        <v>S.J</v>
      </c>
      <c r="E156" s="55" cm="1">
        <f t="array" ref="E156">VLOOKUP(A156,'The List'!B1:I671,8,FALSE)</f>
        <v>243.22239443695764</v>
      </c>
      <c r="F156" s="55" cm="1">
        <f t="array" ref="F156">IF(Settings!$E$15="POINTS",E156-VLOOKUP(B$2,C1:E407,3,FALSE),J156)</f>
        <v>-107.51062296350449</v>
      </c>
      <c r="G156" s="55"/>
      <c r="H156" s="167" cm="1">
        <f t="array" ref="H156">RANK(I156,I3:I407)</f>
        <v>187</v>
      </c>
      <c r="I156" s="168" cm="1">
        <f t="array" ref="I156">VLOOKUP(A156,'Standard Deviations'!A1:C672,3,FALSE)</f>
        <v>-0.59775565002158004</v>
      </c>
      <c r="J156" s="168" cm="1">
        <f t="array" ref="J156">I156-VLOOKUP(B$2,H1:J407,2,FALSE)</f>
        <v>-6.0883990099446352</v>
      </c>
    </row>
    <row r="157" spans="1:10" ht="21.25" customHeight="1" x14ac:dyDescent="0.15">
      <c r="A157" s="10" t="s">
        <v>451</v>
      </c>
      <c r="B157" s="166" t="str" cm="1">
        <f t="array" ref="B157">VLOOKUP(A157,'The List'!B1:D671,3,FALSE)</f>
        <v>C,RW</v>
      </c>
      <c r="C157" s="74" cm="1">
        <f t="array" ref="C157">IF(Settings!$E$15="POINTS",RANK(E157,E3:E407),H157)</f>
        <v>155</v>
      </c>
      <c r="D157" s="18" t="str" cm="1">
        <f t="array" ref="D157">VLOOKUP(A157,'The List'!B1:F671,5,FALSE)</f>
        <v>DAL</v>
      </c>
      <c r="E157" s="55" cm="1">
        <f t="array" ref="E157">VLOOKUP(A157,'The List'!B1:I671,8,FALSE)</f>
        <v>242.34785746409622</v>
      </c>
      <c r="F157" s="55" cm="1">
        <f t="array" ref="F157">IF(Settings!$E$15="POINTS",E157-VLOOKUP(B$2,C1:E407,3,FALSE),J157)</f>
        <v>-108.38515993636591</v>
      </c>
      <c r="G157" s="55"/>
      <c r="H157" s="167" cm="1">
        <f t="array" ref="H157">RANK(I157,I3:I407)</f>
        <v>161</v>
      </c>
      <c r="I157" s="168" cm="1">
        <f t="array" ref="I157">VLOOKUP(A157,'Standard Deviations'!A1:C672,3,FALSE)</f>
        <v>0.25598175483585295</v>
      </c>
      <c r="J157" s="168" cm="1">
        <f t="array" ref="J157">I157-VLOOKUP(B$2,H1:J407,2,FALSE)</f>
        <v>-5.2346616050872026</v>
      </c>
    </row>
    <row r="158" spans="1:10" ht="21.25" customHeight="1" x14ac:dyDescent="0.15">
      <c r="A158" s="10" t="s">
        <v>423</v>
      </c>
      <c r="B158" s="166" t="str" cm="1">
        <f t="array" ref="B158">VLOOKUP(A158,'The List'!B1:D671,3,FALSE)</f>
        <v>C</v>
      </c>
      <c r="C158" s="74" cm="1">
        <f t="array" ref="C158">IF(Settings!$E$15="POINTS",RANK(E158,E3:E407),H158)</f>
        <v>156</v>
      </c>
      <c r="D158" s="18" t="str" cm="1">
        <f t="array" ref="D158">VLOOKUP(A158,'The List'!B1:F671,5,FALSE)</f>
        <v>PIT</v>
      </c>
      <c r="E158" s="55" cm="1">
        <f t="array" ref="E158">VLOOKUP(A158,'The List'!B1:I671,8,FALSE)</f>
        <v>242.1889287381953</v>
      </c>
      <c r="F158" s="55" cm="1">
        <f t="array" ref="F158">IF(Settings!$E$15="POINTS",E158-VLOOKUP(B$2,C1:E407,3,FALSE),J158)</f>
        <v>-108.54408866226683</v>
      </c>
      <c r="G158" s="55"/>
      <c r="H158" s="167" cm="1">
        <f t="array" ref="H158">RANK(I158,I3:I407)</f>
        <v>162</v>
      </c>
      <c r="I158" s="168" cm="1">
        <f t="array" ref="I158">VLOOKUP(A158,'Standard Deviations'!A1:C672,3,FALSE)</f>
        <v>0.25086034548364522</v>
      </c>
      <c r="J158" s="168" cm="1">
        <f t="array" ref="J158">I158-VLOOKUP(B$2,H1:J407,2,FALSE)</f>
        <v>-5.2397830144394097</v>
      </c>
    </row>
    <row r="159" spans="1:10" ht="21.25" customHeight="1" x14ac:dyDescent="0.15">
      <c r="A159" s="10" t="s">
        <v>455</v>
      </c>
      <c r="B159" s="166" t="str" cm="1">
        <f t="array" ref="B159">VLOOKUP(A159,'The List'!B1:D671,3,FALSE)</f>
        <v>C,RW</v>
      </c>
      <c r="C159" s="74" cm="1">
        <f t="array" ref="C159">IF(Settings!$E$15="POINTS",RANK(E159,E3:E407),H159)</f>
        <v>157</v>
      </c>
      <c r="D159" s="18" t="str" cm="1">
        <f t="array" ref="D159">VLOOKUP(A159,'The List'!B1:F671,5,FALSE)</f>
        <v>NYI</v>
      </c>
      <c r="E159" s="55" cm="1">
        <f t="array" ref="E159">VLOOKUP(A159,'The List'!B1:I671,8,FALSE)</f>
        <v>241.6266570721115</v>
      </c>
      <c r="F159" s="55" cm="1">
        <f t="array" ref="F159">IF(Settings!$E$15="POINTS",E159-VLOOKUP(B$2,C1:E407,3,FALSE),J159)</f>
        <v>-109.10636032835063</v>
      </c>
      <c r="G159" s="55"/>
      <c r="H159" s="167" cm="1">
        <f t="array" ref="H159">RANK(I159,I3:I407)</f>
        <v>168</v>
      </c>
      <c r="I159" s="168" cm="1">
        <f t="array" ref="I159">VLOOKUP(A159,'Standard Deviations'!A1:C672,3,FALSE)</f>
        <v>-0.13900229145386706</v>
      </c>
      <c r="J159" s="168" cm="1">
        <f t="array" ref="J159">I159-VLOOKUP(B$2,H1:J407,2,FALSE)</f>
        <v>-5.6296456513769222</v>
      </c>
    </row>
    <row r="160" spans="1:10" ht="21.25" customHeight="1" x14ac:dyDescent="0.15">
      <c r="A160" s="10" t="s">
        <v>428</v>
      </c>
      <c r="B160" s="166" t="str" cm="1">
        <f t="array" ref="B160">VLOOKUP(A160,'The List'!B1:D671,3,FALSE)</f>
        <v>C</v>
      </c>
      <c r="C160" s="74" cm="1">
        <f t="array" ref="C160">IF(Settings!$E$15="POINTS",RANK(E160,E3:E407),H160)</f>
        <v>158</v>
      </c>
      <c r="D160" s="18" t="str" cm="1">
        <f t="array" ref="D160">VLOOKUP(A160,'The List'!B1:F671,5,FALSE)</f>
        <v>BOS</v>
      </c>
      <c r="E160" s="55" cm="1">
        <f t="array" ref="E160">VLOOKUP(A160,'The List'!B1:I671,8,FALSE)</f>
        <v>240.61133703848964</v>
      </c>
      <c r="F160" s="55" cm="1">
        <f t="array" ref="F160">IF(Settings!$E$15="POINTS",E160-VLOOKUP(B$2,C1:E407,3,FALSE),J160)</f>
        <v>-110.12168036197249</v>
      </c>
      <c r="G160" s="55"/>
      <c r="H160" s="167" cm="1">
        <f t="array" ref="H160">RANK(I160,I3:I407)</f>
        <v>179</v>
      </c>
      <c r="I160" s="168" cm="1">
        <f t="array" ref="I160">VLOOKUP(A160,'Standard Deviations'!A1:C672,3,FALSE)</f>
        <v>-0.34598065854628046</v>
      </c>
      <c r="J160" s="168" cm="1">
        <f t="array" ref="J160">I160-VLOOKUP(B$2,H1:J407,2,FALSE)</f>
        <v>-5.8366240184693359</v>
      </c>
    </row>
    <row r="161" spans="1:10" ht="21.25" customHeight="1" x14ac:dyDescent="0.15">
      <c r="A161" s="10" t="s">
        <v>429</v>
      </c>
      <c r="B161" s="166" t="str" cm="1">
        <f t="array" ref="B161">VLOOKUP(A161,'The List'!B1:D671,3,FALSE)</f>
        <v>C</v>
      </c>
      <c r="C161" s="74" cm="1">
        <f t="array" ref="C161">IF(Settings!$E$15="POINTS",RANK(E161,E3:E407),H161)</f>
        <v>159</v>
      </c>
      <c r="D161" s="18" t="str" cm="1">
        <f t="array" ref="D161">VLOOKUP(A161,'The List'!B1:F671,5,FALSE)</f>
        <v>BOS</v>
      </c>
      <c r="E161" s="55" cm="1">
        <f t="array" ref="E161">VLOOKUP(A161,'The List'!B1:I671,8,FALSE)</f>
        <v>240.19310583893491</v>
      </c>
      <c r="F161" s="55" cm="1">
        <f t="array" ref="F161">IF(Settings!$E$15="POINTS",E161-VLOOKUP(B$2,C1:E407,3,FALSE),J161)</f>
        <v>-110.53991156152722</v>
      </c>
      <c r="G161" s="55"/>
      <c r="H161" s="167" cm="1">
        <f t="array" ref="H161">RANK(I161,I3:I407)</f>
        <v>151</v>
      </c>
      <c r="I161" s="168" cm="1">
        <f t="array" ref="I161">VLOOKUP(A161,'Standard Deviations'!A1:C672,3,FALSE)</f>
        <v>0.44461670619554916</v>
      </c>
      <c r="J161" s="168" cm="1">
        <f t="array" ref="J161">I161-VLOOKUP(B$2,H1:J407,2,FALSE)</f>
        <v>-5.0460266537275063</v>
      </c>
    </row>
    <row r="162" spans="1:10" ht="21.25" customHeight="1" x14ac:dyDescent="0.15">
      <c r="A162" s="10" t="s">
        <v>471</v>
      </c>
      <c r="B162" s="166" t="str" cm="1">
        <f t="array" ref="B162">VLOOKUP(A162,'The List'!B1:D671,3,FALSE)</f>
        <v>LW</v>
      </c>
      <c r="C162" s="74" cm="1">
        <f t="array" ref="C162">IF(Settings!$E$15="POINTS",RANK(E162,E3:E407),H162)</f>
        <v>160</v>
      </c>
      <c r="D162" s="18" t="str" cm="1">
        <f t="array" ref="D162">VLOOKUP(A162,'The List'!B1:F671,5,FALSE)</f>
        <v>CBJ</v>
      </c>
      <c r="E162" s="55" cm="1">
        <f t="array" ref="E162">VLOOKUP(A162,'The List'!B1:I671,8,FALSE)</f>
        <v>239.05364304708453</v>
      </c>
      <c r="F162" s="55" cm="1">
        <f t="array" ref="F162">IF(Settings!$E$15="POINTS",E162-VLOOKUP(B$2,C1:E407,3,FALSE),J162)</f>
        <v>-111.6793743533776</v>
      </c>
      <c r="G162" s="55"/>
      <c r="H162" s="167" cm="1">
        <f t="array" ref="H162">RANK(I162,I3:I407)</f>
        <v>109</v>
      </c>
      <c r="I162" s="168" cm="1">
        <f t="array" ref="I162">VLOOKUP(A162,'Standard Deviations'!A1:C672,3,FALSE)</f>
        <v>2.8966889720818676</v>
      </c>
      <c r="J162" s="168" cm="1">
        <f t="array" ref="J162">I162-VLOOKUP(B$2,H1:J407,2,FALSE)</f>
        <v>-2.5939543878411877</v>
      </c>
    </row>
    <row r="163" spans="1:10" ht="21.25" customHeight="1" x14ac:dyDescent="0.15">
      <c r="A163" s="10" t="s">
        <v>463</v>
      </c>
      <c r="B163" s="166" t="str" cm="1">
        <f t="array" ref="B163">VLOOKUP(A163,'The List'!B1:D671,3,FALSE)</f>
        <v>LW,RW</v>
      </c>
      <c r="C163" s="74" cm="1">
        <f t="array" ref="C163">IF(Settings!$E$15="POINTS",RANK(E163,E3:E407),H163)</f>
        <v>161</v>
      </c>
      <c r="D163" s="18" t="str" cm="1">
        <f t="array" ref="D163">VLOOKUP(A163,'The List'!B1:F671,5,FALSE)</f>
        <v>NYI</v>
      </c>
      <c r="E163" s="55" cm="1">
        <f t="array" ref="E163">VLOOKUP(A163,'The List'!B1:I671,8,FALSE)</f>
        <v>238.25643493939344</v>
      </c>
      <c r="F163" s="55" cm="1">
        <f t="array" ref="F163">IF(Settings!$E$15="POINTS",E163-VLOOKUP(B$2,C1:E407,3,FALSE),J163)</f>
        <v>-112.47658246106869</v>
      </c>
      <c r="G163" s="55"/>
      <c r="H163" s="167" cm="1">
        <f t="array" ref="H163">RANK(I163,I3:I407)</f>
        <v>220</v>
      </c>
      <c r="I163" s="168" cm="1">
        <f t="array" ref="I163">VLOOKUP(A163,'Standard Deviations'!A1:C672,3,FALSE)</f>
        <v>-1.4827693340308725</v>
      </c>
      <c r="J163" s="168" cm="1">
        <f t="array" ref="J163">I163-VLOOKUP(B$2,H1:J407,2,FALSE)</f>
        <v>-6.9734126939539278</v>
      </c>
    </row>
    <row r="164" spans="1:10" ht="21.25" customHeight="1" x14ac:dyDescent="0.15">
      <c r="A164" s="10" t="s">
        <v>465</v>
      </c>
      <c r="B164" s="166" t="str" cm="1">
        <f t="array" ref="B164">VLOOKUP(A164,'The List'!B1:D671,3,FALSE)</f>
        <v>LW,RW</v>
      </c>
      <c r="C164" s="74" cm="1">
        <f t="array" ref="C164">IF(Settings!$E$15="POINTS",RANK(E164,E3:E407),H164)</f>
        <v>162</v>
      </c>
      <c r="D164" s="18" t="str" cm="1">
        <f t="array" ref="D164">VLOOKUP(A164,'The List'!B1:F671,5,FALSE)</f>
        <v>COL</v>
      </c>
      <c r="E164" s="55" cm="1">
        <f t="array" ref="E164">VLOOKUP(A164,'The List'!B1:I671,8,FALSE)</f>
        <v>237.93001367595139</v>
      </c>
      <c r="F164" s="55" cm="1">
        <f t="array" ref="F164">IF(Settings!$E$15="POINTS",E164-VLOOKUP(B$2,C1:E407,3,FALSE),J164)</f>
        <v>-112.80300372451075</v>
      </c>
      <c r="G164" s="55"/>
      <c r="H164" s="167" cm="1">
        <f t="array" ref="H164">RANK(I164,I3:I407)</f>
        <v>124</v>
      </c>
      <c r="I164" s="168" cm="1">
        <f t="array" ref="I164">VLOOKUP(A164,'Standard Deviations'!A1:C672,3,FALSE)</f>
        <v>1.8472576901589584</v>
      </c>
      <c r="J164" s="168" cm="1">
        <f t="array" ref="J164">I164-VLOOKUP(B$2,H1:J407,2,FALSE)</f>
        <v>-3.6433856697640969</v>
      </c>
    </row>
    <row r="165" spans="1:10" ht="21.25" customHeight="1" x14ac:dyDescent="0.15">
      <c r="A165" s="10" t="s">
        <v>443</v>
      </c>
      <c r="B165" s="166" t="str" cm="1">
        <f t="array" ref="B165">VLOOKUP(A165,'The List'!B1:D671,3,FALSE)</f>
        <v>C</v>
      </c>
      <c r="C165" s="74" cm="1">
        <f t="array" ref="C165">IF(Settings!$E$15="POINTS",RANK(E165,E3:E407),H165)</f>
        <v>163</v>
      </c>
      <c r="D165" s="18" t="str" cm="1">
        <f t="array" ref="D165">VLOOKUP(A165,'The List'!B1:F671,5,FALSE)</f>
        <v>BUF</v>
      </c>
      <c r="E165" s="55" cm="1">
        <f t="array" ref="E165">VLOOKUP(A165,'The List'!B1:I671,8,FALSE)</f>
        <v>237.14397314141749</v>
      </c>
      <c r="F165" s="55" cm="1">
        <f t="array" ref="F165">IF(Settings!$E$15="POINTS",E165-VLOOKUP(B$2,C1:E407,3,FALSE),J165)</f>
        <v>-113.58904425904464</v>
      </c>
      <c r="G165" s="55"/>
      <c r="H165" s="167" cm="1">
        <f t="array" ref="H165">RANK(I165,I3:I407)</f>
        <v>192</v>
      </c>
      <c r="I165" s="168" cm="1">
        <f t="array" ref="I165">VLOOKUP(A165,'Standard Deviations'!A1:C672,3,FALSE)</f>
        <v>-0.73525919693228281</v>
      </c>
      <c r="J165" s="168" cm="1">
        <f t="array" ref="J165">I165-VLOOKUP(B$2,H1:J407,2,FALSE)</f>
        <v>-6.2259025568553383</v>
      </c>
    </row>
    <row r="166" spans="1:10" ht="21.25" customHeight="1" x14ac:dyDescent="0.15">
      <c r="A166" s="10" t="s">
        <v>445</v>
      </c>
      <c r="B166" s="166" t="str" cm="1">
        <f t="array" ref="B166">VLOOKUP(A166,'The List'!B1:D671,3,FALSE)</f>
        <v>C</v>
      </c>
      <c r="C166" s="74" cm="1">
        <f t="array" ref="C166">IF(Settings!$E$15="POINTS",RANK(E166,E3:E407),H166)</f>
        <v>164</v>
      </c>
      <c r="D166" s="18" t="str" cm="1">
        <f t="array" ref="D166">VLOOKUP(A166,'The List'!B1:F671,5,FALSE)</f>
        <v>CBJ</v>
      </c>
      <c r="E166" s="55" cm="1">
        <f t="array" ref="E166">VLOOKUP(A166,'The List'!B1:I671,8,FALSE)</f>
        <v>236.58394924025976</v>
      </c>
      <c r="F166" s="55" cm="1">
        <f t="array" ref="F166">IF(Settings!$E$15="POINTS",E166-VLOOKUP(B$2,C1:E407,3,FALSE),J166)</f>
        <v>-114.14906816020238</v>
      </c>
      <c r="G166" s="55"/>
      <c r="H166" s="167" cm="1">
        <f t="array" ref="H166">RANK(I166,I3:I407)</f>
        <v>158</v>
      </c>
      <c r="I166" s="168" cm="1">
        <f t="array" ref="I166">VLOOKUP(A166,'Standard Deviations'!A1:C672,3,FALSE)</f>
        <v>0.2847113788808574</v>
      </c>
      <c r="J166" s="168" cm="1">
        <f t="array" ref="J166">I166-VLOOKUP(B$2,H1:J407,2,FALSE)</f>
        <v>-5.2059319810421982</v>
      </c>
    </row>
    <row r="167" spans="1:10" ht="21.25" customHeight="1" x14ac:dyDescent="0.15">
      <c r="A167" s="10" t="s">
        <v>472</v>
      </c>
      <c r="B167" s="166" t="str" cm="1">
        <f t="array" ref="B167">VLOOKUP(A167,'The List'!B1:D671,3,FALSE)</f>
        <v>C,RW</v>
      </c>
      <c r="C167" s="74" cm="1">
        <f t="array" ref="C167">IF(Settings!$E$15="POINTS",RANK(E167,E3:E407),H167)</f>
        <v>165</v>
      </c>
      <c r="D167" s="18" t="str" cm="1">
        <f t="array" ref="D167">VLOOKUP(A167,'The List'!B1:F671,5,FALSE)</f>
        <v>N.J</v>
      </c>
      <c r="E167" s="55" cm="1">
        <f t="array" ref="E167">VLOOKUP(A167,'The List'!B1:I671,8,FALSE)</f>
        <v>234.35865127818147</v>
      </c>
      <c r="F167" s="55" cm="1">
        <f t="array" ref="F167">IF(Settings!$E$15="POINTS",E167-VLOOKUP(B$2,C1:E407,3,FALSE),J167)</f>
        <v>-116.37436612228066</v>
      </c>
      <c r="G167" s="55"/>
      <c r="H167" s="167" cm="1">
        <f t="array" ref="H167">RANK(I167,I3:I407)</f>
        <v>177</v>
      </c>
      <c r="I167" s="168" cm="1">
        <f t="array" ref="I167">VLOOKUP(A167,'Standard Deviations'!A1:C672,3,FALSE)</f>
        <v>-0.30645082286994868</v>
      </c>
      <c r="J167" s="168" cm="1">
        <f t="array" ref="J167">I167-VLOOKUP(B$2,H1:J407,2,FALSE)</f>
        <v>-5.7970941827930043</v>
      </c>
    </row>
    <row r="168" spans="1:10" ht="21.25" customHeight="1" x14ac:dyDescent="0.15">
      <c r="A168" s="10" t="s">
        <v>473</v>
      </c>
      <c r="B168" s="166" t="str" cm="1">
        <f t="array" ref="B168">VLOOKUP(A168,'The List'!B1:D671,3,FALSE)</f>
        <v>LW,RW</v>
      </c>
      <c r="C168" s="74" cm="1">
        <f t="array" ref="C168">IF(Settings!$E$15="POINTS",RANK(E168,E3:E407),H168)</f>
        <v>166</v>
      </c>
      <c r="D168" s="18" t="str" cm="1">
        <f t="array" ref="D168">VLOOKUP(A168,'The List'!B1:F671,5,FALSE)</f>
        <v>CGY</v>
      </c>
      <c r="E168" s="55" cm="1">
        <f t="array" ref="E168">VLOOKUP(A168,'The List'!B1:I671,8,FALSE)</f>
        <v>234.23682361122701</v>
      </c>
      <c r="F168" s="55" cm="1">
        <f t="array" ref="F168">IF(Settings!$E$15="POINTS",E168-VLOOKUP(B$2,C1:E407,3,FALSE),J168)</f>
        <v>-116.49619378923512</v>
      </c>
      <c r="G168" s="55"/>
      <c r="H168" s="167" cm="1">
        <f t="array" ref="H168">RANK(I168,I3:I407)</f>
        <v>221</v>
      </c>
      <c r="I168" s="168" cm="1">
        <f t="array" ref="I168">VLOOKUP(A168,'Standard Deviations'!A1:C672,3,FALSE)</f>
        <v>-1.4841110149228107</v>
      </c>
      <c r="J168" s="168" cm="1">
        <f t="array" ref="J168">I168-VLOOKUP(B$2,H1:J407,2,FALSE)</f>
        <v>-6.9747543748458662</v>
      </c>
    </row>
    <row r="169" spans="1:10" ht="21.25" customHeight="1" x14ac:dyDescent="0.15">
      <c r="A169" s="10" t="s">
        <v>475</v>
      </c>
      <c r="B169" s="166" t="str" cm="1">
        <f t="array" ref="B169">VLOOKUP(A169,'The List'!B1:D671,3,FALSE)</f>
        <v>LW,RW</v>
      </c>
      <c r="C169" s="74" cm="1">
        <f t="array" ref="C169">IF(Settings!$E$15="POINTS",RANK(E169,E3:E407),H169)</f>
        <v>167</v>
      </c>
      <c r="D169" s="18" t="str" cm="1">
        <f t="array" ref="D169">VLOOKUP(A169,'The List'!B1:F671,5,FALSE)</f>
        <v>S.J</v>
      </c>
      <c r="E169" s="55" cm="1">
        <f t="array" ref="E169">VLOOKUP(A169,'The List'!B1:I671,8,FALSE)</f>
        <v>233.42358565716344</v>
      </c>
      <c r="F169" s="55" cm="1">
        <f t="array" ref="F169">IF(Settings!$E$15="POINTS",E169-VLOOKUP(B$2,C1:E407,3,FALSE),J169)</f>
        <v>-117.30943174329869</v>
      </c>
      <c r="G169" s="55"/>
      <c r="H169" s="167" cm="1">
        <f t="array" ref="H169">RANK(I169,I3:I407)</f>
        <v>140</v>
      </c>
      <c r="I169" s="168" cm="1">
        <f t="array" ref="I169">VLOOKUP(A169,'Standard Deviations'!A1:C672,3,FALSE)</f>
        <v>0.93339761750421846</v>
      </c>
      <c r="J169" s="168" cm="1">
        <f t="array" ref="J169">I169-VLOOKUP(B$2,H1:J407,2,FALSE)</f>
        <v>-4.5572457424188366</v>
      </c>
    </row>
    <row r="170" spans="1:10" ht="21.25" customHeight="1" x14ac:dyDescent="0.15">
      <c r="A170" s="10" t="s">
        <v>488</v>
      </c>
      <c r="B170" s="166" t="str" cm="1">
        <f t="array" ref="B170">VLOOKUP(A170,'The List'!B1:D671,3,FALSE)</f>
        <v>LW</v>
      </c>
      <c r="C170" s="74" cm="1">
        <f t="array" ref="C170">IF(Settings!$E$15="POINTS",RANK(E170,E3:E407),H170)</f>
        <v>168</v>
      </c>
      <c r="D170" s="18" t="str" cm="1">
        <f t="array" ref="D170">VLOOKUP(A170,'The List'!B1:F671,5,FALSE)</f>
        <v>UTA</v>
      </c>
      <c r="E170" s="55" cm="1">
        <f t="array" ref="E170">VLOOKUP(A170,'The List'!B1:I671,8,FALSE)</f>
        <v>233.15342394454839</v>
      </c>
      <c r="F170" s="55" cm="1">
        <f t="array" ref="F170">IF(Settings!$E$15="POINTS",E170-VLOOKUP(B$2,C1:E407,3,FALSE),J170)</f>
        <v>-117.57959345591374</v>
      </c>
      <c r="G170" s="55"/>
      <c r="H170" s="167" cm="1">
        <f t="array" ref="H170">RANK(I170,I3:I407)</f>
        <v>127</v>
      </c>
      <c r="I170" s="168" cm="1">
        <f t="array" ref="I170">VLOOKUP(A170,'Standard Deviations'!A1:C672,3,FALSE)</f>
        <v>1.6432502148801309</v>
      </c>
      <c r="J170" s="168" cm="1">
        <f t="array" ref="J170">I170-VLOOKUP(B$2,H1:J407,2,FALSE)</f>
        <v>-3.8473931450429246</v>
      </c>
    </row>
    <row r="171" spans="1:10" ht="21.25" customHeight="1" x14ac:dyDescent="0.15">
      <c r="A171" s="10" t="s">
        <v>485</v>
      </c>
      <c r="B171" s="166" t="str" cm="1">
        <f t="array" ref="B171">VLOOKUP(A171,'The List'!B1:D671,3,FALSE)</f>
        <v>C,RW</v>
      </c>
      <c r="C171" s="74" cm="1">
        <f t="array" ref="C171">IF(Settings!$E$15="POINTS",RANK(E171,E3:E407),H171)</f>
        <v>169</v>
      </c>
      <c r="D171" s="18" t="str" cm="1">
        <f t="array" ref="D171">VLOOKUP(A171,'The List'!B1:F671,5,FALSE)</f>
        <v>NSH</v>
      </c>
      <c r="E171" s="55" cm="1">
        <f t="array" ref="E171">VLOOKUP(A171,'The List'!B1:I671,8,FALSE)</f>
        <v>230.21416272990115</v>
      </c>
      <c r="F171" s="55" cm="1">
        <f t="array" ref="F171">IF(Settings!$E$15="POINTS",E171-VLOOKUP(B$2,C1:E407,3,FALSE),J171)</f>
        <v>-120.51885467056098</v>
      </c>
      <c r="G171" s="55"/>
      <c r="H171" s="167" cm="1">
        <f t="array" ref="H171">RANK(I171,I3:I407)</f>
        <v>208</v>
      </c>
      <c r="I171" s="168" cm="1">
        <f t="array" ref="I171">VLOOKUP(A171,'Standard Deviations'!A1:C672,3,FALSE)</f>
        <v>-1.1643298052082887</v>
      </c>
      <c r="J171" s="168" cm="1">
        <f t="array" ref="J171">I171-VLOOKUP(B$2,H1:J407,2,FALSE)</f>
        <v>-6.6549731651313442</v>
      </c>
    </row>
    <row r="172" spans="1:10" ht="21.25" customHeight="1" x14ac:dyDescent="0.15">
      <c r="A172" s="10" t="s">
        <v>501</v>
      </c>
      <c r="B172" s="166" t="str" cm="1">
        <f t="array" ref="B172">VLOOKUP(A172,'The List'!B1:D671,3,FALSE)</f>
        <v>C,LW</v>
      </c>
      <c r="C172" s="74" cm="1">
        <f t="array" ref="C172">IF(Settings!$E$15="POINTS",RANK(E172,E3:E407),H172)</f>
        <v>170</v>
      </c>
      <c r="D172" s="18" t="str" cm="1">
        <f t="array" ref="D172">VLOOKUP(A172,'The List'!B1:F671,5,FALSE)</f>
        <v>DET</v>
      </c>
      <c r="E172" s="55" cm="1">
        <f t="array" ref="E172">VLOOKUP(A172,'The List'!B1:I671,8,FALSE)</f>
        <v>227.73875813709486</v>
      </c>
      <c r="F172" s="55" cm="1">
        <f t="array" ref="F172">IF(Settings!$E$15="POINTS",E172-VLOOKUP(B$2,C1:E407,3,FALSE),J172)</f>
        <v>-122.99425926336727</v>
      </c>
      <c r="G172" s="55"/>
      <c r="H172" s="167" cm="1">
        <f t="array" ref="H172">RANK(I172,I3:I407)</f>
        <v>183</v>
      </c>
      <c r="I172" s="168" cm="1">
        <f t="array" ref="I172">VLOOKUP(A172,'Standard Deviations'!A1:C672,3,FALSE)</f>
        <v>-0.51537758583287419</v>
      </c>
      <c r="J172" s="168" cm="1">
        <f t="array" ref="J172">I172-VLOOKUP(B$2,H1:J407,2,FALSE)</f>
        <v>-6.0060209457559299</v>
      </c>
    </row>
    <row r="173" spans="1:10" ht="21.25" customHeight="1" x14ac:dyDescent="0.15">
      <c r="A173" s="10" t="s">
        <v>492</v>
      </c>
      <c r="B173" s="166" t="str" cm="1">
        <f t="array" ref="B173">VLOOKUP(A173,'The List'!B1:D671,3,FALSE)</f>
        <v>C,RW</v>
      </c>
      <c r="C173" s="74" cm="1">
        <f t="array" ref="C173">IF(Settings!$E$15="POINTS",RANK(E173,E3:E407),H173)</f>
        <v>171</v>
      </c>
      <c r="D173" s="18" t="str" cm="1">
        <f t="array" ref="D173">VLOOKUP(A173,'The List'!B1:F671,5,FALSE)</f>
        <v>SEA</v>
      </c>
      <c r="E173" s="55" cm="1">
        <f t="array" ref="E173">VLOOKUP(A173,'The List'!B1:I671,8,FALSE)</f>
        <v>226.33554928553428</v>
      </c>
      <c r="F173" s="55" cm="1">
        <f t="array" ref="F173">IF(Settings!$E$15="POINTS",E173-VLOOKUP(B$2,C1:E407,3,FALSE),J173)</f>
        <v>-124.39746811492785</v>
      </c>
      <c r="G173" s="55"/>
      <c r="H173" s="167" cm="1">
        <f t="array" ref="H173">RANK(I173,I3:I407)</f>
        <v>227</v>
      </c>
      <c r="I173" s="168" cm="1">
        <f t="array" ref="I173">VLOOKUP(A173,'Standard Deviations'!A1:C672,3,FALSE)</f>
        <v>-1.7267018047371314</v>
      </c>
      <c r="J173" s="168" cm="1">
        <f t="array" ref="J173">I173-VLOOKUP(B$2,H1:J407,2,FALSE)</f>
        <v>-7.2173451646601867</v>
      </c>
    </row>
    <row r="174" spans="1:10" ht="21.25" customHeight="1" x14ac:dyDescent="0.15">
      <c r="A174" s="10" t="s">
        <v>493</v>
      </c>
      <c r="B174" s="166" t="str" cm="1">
        <f t="array" ref="B174">VLOOKUP(A174,'The List'!B1:D671,3,FALSE)</f>
        <v>C,RW</v>
      </c>
      <c r="C174" s="74" cm="1">
        <f t="array" ref="C174">IF(Settings!$E$15="POINTS",RANK(E174,E3:E407),H174)</f>
        <v>172</v>
      </c>
      <c r="D174" s="18" t="str" cm="1">
        <f t="array" ref="D174">VLOOKUP(A174,'The List'!B1:F671,5,FALSE)</f>
        <v>EDM</v>
      </c>
      <c r="E174" s="55" cm="1">
        <f t="array" ref="E174">VLOOKUP(A174,'The List'!B1:I671,8,FALSE)</f>
        <v>226.21666134188769</v>
      </c>
      <c r="F174" s="55" cm="1">
        <f t="array" ref="F174">IF(Settings!$E$15="POINTS",E174-VLOOKUP(B$2,C1:E407,3,FALSE),J174)</f>
        <v>-124.51635605857444</v>
      </c>
      <c r="G174" s="55"/>
      <c r="H174" s="167" cm="1">
        <f t="array" ref="H174">RANK(I174,I3:I407)</f>
        <v>164</v>
      </c>
      <c r="I174" s="168" cm="1">
        <f t="array" ref="I174">VLOOKUP(A174,'Standard Deviations'!A1:C672,3,FALSE)</f>
        <v>7.3202651235412364E-2</v>
      </c>
      <c r="J174" s="168" cm="1">
        <f t="array" ref="J174">I174-VLOOKUP(B$2,H1:J407,2,FALSE)</f>
        <v>-5.4174407086876428</v>
      </c>
    </row>
    <row r="175" spans="1:10" ht="21.25" customHeight="1" x14ac:dyDescent="0.15">
      <c r="A175" s="10" t="s">
        <v>497</v>
      </c>
      <c r="B175" s="166" t="str" cm="1">
        <f t="array" ref="B175">VLOOKUP(A175,'The List'!B1:D671,3,FALSE)</f>
        <v>LW,RW</v>
      </c>
      <c r="C175" s="74" cm="1">
        <f t="array" ref="C175">IF(Settings!$E$15="POINTS",RANK(E175,E3:E407),H175)</f>
        <v>173</v>
      </c>
      <c r="D175" s="18" t="str" cm="1">
        <f t="array" ref="D175">VLOOKUP(A175,'The List'!B1:F671,5,FALSE)</f>
        <v>NSH</v>
      </c>
      <c r="E175" s="55" cm="1">
        <f t="array" ref="E175">VLOOKUP(A175,'The List'!B1:I671,8,FALSE)</f>
        <v>225.10089917070135</v>
      </c>
      <c r="F175" s="55" cm="1">
        <f t="array" ref="F175">IF(Settings!$E$15="POINTS",E175-VLOOKUP(B$2,C1:E407,3,FALSE),J175)</f>
        <v>-125.63211822976078</v>
      </c>
      <c r="G175" s="55"/>
      <c r="H175" s="167" cm="1">
        <f t="array" ref="H175">RANK(I175,I3:I407)</f>
        <v>204</v>
      </c>
      <c r="I175" s="168" cm="1">
        <f t="array" ref="I175">VLOOKUP(A175,'Standard Deviations'!A1:C672,3,FALSE)</f>
        <v>-1.0889641903433511</v>
      </c>
      <c r="J175" s="168" cm="1">
        <f t="array" ref="J175">I175-VLOOKUP(B$2,H1:J407,2,FALSE)</f>
        <v>-6.579607550266406</v>
      </c>
    </row>
    <row r="176" spans="1:10" ht="21.25" customHeight="1" x14ac:dyDescent="0.15">
      <c r="A176" s="10" t="s">
        <v>514</v>
      </c>
      <c r="B176" s="166" t="str" cm="1">
        <f t="array" ref="B176">VLOOKUP(A176,'The List'!B1:D671,3,FALSE)</f>
        <v>LW</v>
      </c>
      <c r="C176" s="74" cm="1">
        <f t="array" ref="C176">IF(Settings!$E$15="POINTS",RANK(E176,E3:E407),H176)</f>
        <v>174</v>
      </c>
      <c r="D176" s="18" t="str" cm="1">
        <f t="array" ref="D176">VLOOKUP(A176,'The List'!B1:F671,5,FALSE)</f>
        <v>CAR</v>
      </c>
      <c r="E176" s="55" cm="1">
        <f t="array" ref="E176">VLOOKUP(A176,'The List'!B1:I671,8,FALSE)</f>
        <v>225.08835462832945</v>
      </c>
      <c r="F176" s="55" cm="1">
        <f t="array" ref="F176">IF(Settings!$E$15="POINTS",E176-VLOOKUP(B$2,C1:E407,3,FALSE),J176)</f>
        <v>-125.64466277213268</v>
      </c>
      <c r="G176" s="55"/>
      <c r="H176" s="167" cm="1">
        <f t="array" ref="H176">RANK(I176,I3:I407)</f>
        <v>134</v>
      </c>
      <c r="I176" s="168" cm="1">
        <f t="array" ref="I176">VLOOKUP(A176,'Standard Deviations'!A1:C672,3,FALSE)</f>
        <v>1.3669587734359581</v>
      </c>
      <c r="J176" s="168" cm="1">
        <f t="array" ref="J176">I176-VLOOKUP(B$2,H1:J407,2,FALSE)</f>
        <v>-4.123684586487097</v>
      </c>
    </row>
    <row r="177" spans="1:10" ht="21.25" customHeight="1" x14ac:dyDescent="0.15">
      <c r="A177" s="10" t="s">
        <v>498</v>
      </c>
      <c r="B177" s="166" t="str" cm="1">
        <f t="array" ref="B177">VLOOKUP(A177,'The List'!B1:D671,3,FALSE)</f>
        <v>RW</v>
      </c>
      <c r="C177" s="74" cm="1">
        <f t="array" ref="C177">IF(Settings!$E$15="POINTS",RANK(E177,E3:E407),H177)</f>
        <v>175</v>
      </c>
      <c r="D177" s="18" t="str" cm="1">
        <f t="array" ref="D177">VLOOKUP(A177,'The List'!B1:F671,5,FALSE)</f>
        <v>CBJ</v>
      </c>
      <c r="E177" s="55" cm="1">
        <f t="array" ref="E177">VLOOKUP(A177,'The List'!B1:I671,8,FALSE)</f>
        <v>225.06820385096373</v>
      </c>
      <c r="F177" s="55" cm="1">
        <f t="array" ref="F177">IF(Settings!$E$15="POINTS",E177-VLOOKUP(B$2,C1:E407,3,FALSE),J177)</f>
        <v>-125.6648135494984</v>
      </c>
      <c r="G177" s="55"/>
      <c r="H177" s="167" cm="1">
        <f t="array" ref="H177">RANK(I177,I3:I407)</f>
        <v>145</v>
      </c>
      <c r="I177" s="168" cm="1">
        <f t="array" ref="I177">VLOOKUP(A177,'Standard Deviations'!A1:C672,3,FALSE)</f>
        <v>0.64162730434364601</v>
      </c>
      <c r="J177" s="168" cm="1">
        <f t="array" ref="J177">I177-VLOOKUP(B$2,H1:J407,2,FALSE)</f>
        <v>-4.8490160555794093</v>
      </c>
    </row>
    <row r="178" spans="1:10" ht="21.25" customHeight="1" x14ac:dyDescent="0.15">
      <c r="A178" s="10" t="s">
        <v>499</v>
      </c>
      <c r="B178" s="166" t="str" cm="1">
        <f t="array" ref="B178">VLOOKUP(A178,'The List'!B1:D671,3,FALSE)</f>
        <v>LW,RW</v>
      </c>
      <c r="C178" s="74" cm="1">
        <f t="array" ref="C178">IF(Settings!$E$15="POINTS",RANK(E178,E3:E407),H178)</f>
        <v>176</v>
      </c>
      <c r="D178" s="18" t="str" cm="1">
        <f t="array" ref="D178">VLOOKUP(A178,'The List'!B1:F671,5,FALSE)</f>
        <v>S.J</v>
      </c>
      <c r="E178" s="55" cm="1">
        <f t="array" ref="E178">VLOOKUP(A178,'The List'!B1:I671,8,FALSE)</f>
        <v>224.99141928825057</v>
      </c>
      <c r="F178" s="55" cm="1">
        <f t="array" ref="F178">IF(Settings!$E$15="POINTS",E178-VLOOKUP(B$2,C1:E407,3,FALSE),J178)</f>
        <v>-125.74159811221156</v>
      </c>
      <c r="G178" s="55"/>
      <c r="H178" s="167" cm="1">
        <f t="array" ref="H178">RANK(I178,I3:I407)</f>
        <v>234</v>
      </c>
      <c r="I178" s="168" cm="1">
        <f t="array" ref="I178">VLOOKUP(A178,'Standard Deviations'!A1:C672,3,FALSE)</f>
        <v>-1.8541813487518164</v>
      </c>
      <c r="J178" s="168" cm="1">
        <f t="array" ref="J178">I178-VLOOKUP(B$2,H1:J407,2,FALSE)</f>
        <v>-7.3448247086748717</v>
      </c>
    </row>
    <row r="179" spans="1:10" ht="21.25" customHeight="1" x14ac:dyDescent="0.15">
      <c r="A179" s="10" t="s">
        <v>500</v>
      </c>
      <c r="B179" s="166" t="str" cm="1">
        <f t="array" ref="B179">VLOOKUP(A179,'The List'!B1:D671,3,FALSE)</f>
        <v>LW,RW</v>
      </c>
      <c r="C179" s="74" cm="1">
        <f t="array" ref="C179">IF(Settings!$E$15="POINTS",RANK(E179,E3:E407),H179)</f>
        <v>177</v>
      </c>
      <c r="D179" s="18" t="str" cm="1">
        <f t="array" ref="D179">VLOOKUP(A179,'The List'!B1:F671,5,FALSE)</f>
        <v>PIT</v>
      </c>
      <c r="E179" s="55" cm="1">
        <f t="array" ref="E179">VLOOKUP(A179,'The List'!B1:I671,8,FALSE)</f>
        <v>224.38293977864012</v>
      </c>
      <c r="F179" s="55" cm="1">
        <f t="array" ref="F179">IF(Settings!$E$15="POINTS",E179-VLOOKUP(B$2,C1:E407,3,FALSE),J179)</f>
        <v>-126.35007762182201</v>
      </c>
      <c r="G179" s="55"/>
      <c r="H179" s="167" cm="1">
        <f t="array" ref="H179">RANK(I179,I3:I407)</f>
        <v>215</v>
      </c>
      <c r="I179" s="168" cm="1">
        <f t="array" ref="I179">VLOOKUP(A179,'Standard Deviations'!A1:C672,3,FALSE)</f>
        <v>-1.4675488701250905</v>
      </c>
      <c r="J179" s="168" cm="1">
        <f t="array" ref="J179">I179-VLOOKUP(B$2,H1:J407,2,FALSE)</f>
        <v>-6.9581922300481462</v>
      </c>
    </row>
    <row r="180" spans="1:10" ht="21.25" customHeight="1" x14ac:dyDescent="0.15">
      <c r="A180" s="10" t="s">
        <v>476</v>
      </c>
      <c r="B180" s="166" t="str" cm="1">
        <f t="array" ref="B180">VLOOKUP(A180,'The List'!B1:D671,3,FALSE)</f>
        <v>C</v>
      </c>
      <c r="C180" s="74" cm="1">
        <f t="array" ref="C180">IF(Settings!$E$15="POINTS",RANK(E180,E3:E407),H180)</f>
        <v>178</v>
      </c>
      <c r="D180" s="18" t="str" cm="1">
        <f t="array" ref="D180">VLOOKUP(A180,'The List'!B1:F671,5,FALSE)</f>
        <v>PHI</v>
      </c>
      <c r="E180" s="55" cm="1">
        <f t="array" ref="E180">VLOOKUP(A180,'The List'!B1:I671,8,FALSE)</f>
        <v>224.20574935999457</v>
      </c>
      <c r="F180" s="55" cm="1">
        <f t="array" ref="F180">IF(Settings!$E$15="POINTS",E180-VLOOKUP(B$2,C1:E407,3,FALSE),J180)</f>
        <v>-126.52726804046756</v>
      </c>
      <c r="G180" s="55"/>
      <c r="H180" s="167" cm="1">
        <f t="array" ref="H180">RANK(I180,I3:I407)</f>
        <v>193</v>
      </c>
      <c r="I180" s="168" cm="1">
        <f t="array" ref="I180">VLOOKUP(A180,'Standard Deviations'!A1:C672,3,FALSE)</f>
        <v>-0.76594322418183824</v>
      </c>
      <c r="J180" s="168" cm="1">
        <f t="array" ref="J180">I180-VLOOKUP(B$2,H1:J407,2,FALSE)</f>
        <v>-6.2565865841048938</v>
      </c>
    </row>
    <row r="181" spans="1:10" ht="21.25" customHeight="1" x14ac:dyDescent="0.15">
      <c r="A181" s="10" t="s">
        <v>478</v>
      </c>
      <c r="B181" s="166" t="str" cm="1">
        <f t="array" ref="B181">VLOOKUP(A181,'The List'!B1:D671,3,FALSE)</f>
        <v>C</v>
      </c>
      <c r="C181" s="74" cm="1">
        <f t="array" ref="C181">IF(Settings!$E$15="POINTS",RANK(E181,E3:E407),H181)</f>
        <v>179</v>
      </c>
      <c r="D181" s="18" t="str" cm="1">
        <f t="array" ref="D181">VLOOKUP(A181,'The List'!B1:F671,5,FALSE)</f>
        <v>CGY</v>
      </c>
      <c r="E181" s="55" cm="1">
        <f t="array" ref="E181">VLOOKUP(A181,'The List'!B1:I671,8,FALSE)</f>
        <v>223.39440162916191</v>
      </c>
      <c r="F181" s="55" cm="1">
        <f t="array" ref="F181">IF(Settings!$E$15="POINTS",E181-VLOOKUP(B$2,C1:E407,3,FALSE),J181)</f>
        <v>-127.33861577130023</v>
      </c>
      <c r="G181" s="55"/>
      <c r="H181" s="167" cm="1">
        <f t="array" ref="H181">RANK(I181,I3:I407)</f>
        <v>270</v>
      </c>
      <c r="I181" s="168" cm="1">
        <f t="array" ref="I181">VLOOKUP(A181,'Standard Deviations'!A1:C672,3,FALSE)</f>
        <v>-2.5414568001263587</v>
      </c>
      <c r="J181" s="168" cm="1">
        <f t="array" ref="J181">I181-VLOOKUP(B$2,H1:J407,2,FALSE)</f>
        <v>-8.0321001600494135</v>
      </c>
    </row>
    <row r="182" spans="1:10" ht="21.25" customHeight="1" x14ac:dyDescent="0.15">
      <c r="A182" s="10" t="s">
        <v>502</v>
      </c>
      <c r="B182" s="166" t="str" cm="1">
        <f t="array" ref="B182">VLOOKUP(A182,'The List'!B1:D671,3,FALSE)</f>
        <v>LW,RW</v>
      </c>
      <c r="C182" s="74" cm="1">
        <f t="array" ref="C182">IF(Settings!$E$15="POINTS",RANK(E182,E3:E407),H182)</f>
        <v>180</v>
      </c>
      <c r="D182" s="18" t="str" cm="1">
        <f t="array" ref="D182">VLOOKUP(A182,'The List'!B1:F671,5,FALSE)</f>
        <v>S.J</v>
      </c>
      <c r="E182" s="55" cm="1">
        <f t="array" ref="E182">VLOOKUP(A182,'The List'!B1:I671,8,FALSE)</f>
        <v>223.08884803982193</v>
      </c>
      <c r="F182" s="55" cm="1">
        <f t="array" ref="F182">IF(Settings!$E$15="POINTS",E182-VLOOKUP(B$2,C1:E407,3,FALSE),J182)</f>
        <v>-127.64416936064021</v>
      </c>
      <c r="G182" s="55"/>
      <c r="H182" s="167" cm="1">
        <f t="array" ref="H182">RANK(I182,I3:I407)</f>
        <v>201</v>
      </c>
      <c r="I182" s="168" cm="1">
        <f t="array" ref="I182">VLOOKUP(A182,'Standard Deviations'!A1:C672,3,FALSE)</f>
        <v>-1.0169378886055078</v>
      </c>
      <c r="J182" s="168" cm="1">
        <f t="array" ref="J182">I182-VLOOKUP(B$2,H1:J407,2,FALSE)</f>
        <v>-6.5075812485285631</v>
      </c>
    </row>
    <row r="183" spans="1:10" ht="21.25" customHeight="1" x14ac:dyDescent="0.15">
      <c r="A183" s="10" t="s">
        <v>511</v>
      </c>
      <c r="B183" s="166" t="str" cm="1">
        <f t="array" ref="B183">VLOOKUP(A183,'The List'!B1:D671,3,FALSE)</f>
        <v>RW</v>
      </c>
      <c r="C183" s="74" cm="1">
        <f t="array" ref="C183">IF(Settings!$E$15="POINTS",RANK(E183,E3:E407),H183)</f>
        <v>181</v>
      </c>
      <c r="D183" s="18" t="str" cm="1">
        <f t="array" ref="D183">VLOOKUP(A183,'The List'!B1:F671,5,FALSE)</f>
        <v>NYR</v>
      </c>
      <c r="E183" s="55" cm="1">
        <f t="array" ref="E183">VLOOKUP(A183,'The List'!B1:I671,8,FALSE)</f>
        <v>221.00948542002763</v>
      </c>
      <c r="F183" s="55" cm="1">
        <f t="array" ref="F183">IF(Settings!$E$15="POINTS",E183-VLOOKUP(B$2,C1:E407,3,FALSE),J183)</f>
        <v>-129.7235319804345</v>
      </c>
      <c r="G183" s="55"/>
      <c r="H183" s="167" cm="1">
        <f t="array" ref="H183">RANK(I183,I3:I407)</f>
        <v>196</v>
      </c>
      <c r="I183" s="168" cm="1">
        <f t="array" ref="I183">VLOOKUP(A183,'Standard Deviations'!A1:C672,3,FALSE)</f>
        <v>-0.90153046324503172</v>
      </c>
      <c r="J183" s="168" cm="1">
        <f t="array" ref="J183">I183-VLOOKUP(B$2,H1:J407,2,FALSE)</f>
        <v>-6.3921738231680871</v>
      </c>
    </row>
    <row r="184" spans="1:10" ht="21.25" customHeight="1" x14ac:dyDescent="0.15">
      <c r="A184" s="10" t="s">
        <v>521</v>
      </c>
      <c r="B184" s="166" t="str" cm="1">
        <f t="array" ref="B184">VLOOKUP(A184,'The List'!B1:D671,3,FALSE)</f>
        <v>C,LW,RW</v>
      </c>
      <c r="C184" s="74" cm="1">
        <f t="array" ref="C184">IF(Settings!$E$15="POINTS",RANK(E184,E3:E407),H184)</f>
        <v>182</v>
      </c>
      <c r="D184" s="18" t="str" cm="1">
        <f t="array" ref="D184">VLOOKUP(A184,'The List'!B1:F671,5,FALSE)</f>
        <v>OTT</v>
      </c>
      <c r="E184" s="55" cm="1">
        <f t="array" ref="E184">VLOOKUP(A184,'The List'!B1:I671,8,FALSE)</f>
        <v>216.25971582303217</v>
      </c>
      <c r="F184" s="55" cm="1">
        <f t="array" ref="F184">IF(Settings!$E$15="POINTS",E184-VLOOKUP(B$2,C1:E407,3,FALSE),J184)</f>
        <v>-134.47330157742996</v>
      </c>
      <c r="G184" s="55"/>
      <c r="H184" s="167" cm="1">
        <f t="array" ref="H184">RANK(I184,I3:I407)</f>
        <v>171</v>
      </c>
      <c r="I184" s="168" cm="1">
        <f t="array" ref="I184">VLOOKUP(A184,'Standard Deviations'!A1:C672,3,FALSE)</f>
        <v>-0.17575097875840084</v>
      </c>
      <c r="J184" s="168" cm="1">
        <f t="array" ref="J184">I184-VLOOKUP(B$2,H1:J407,2,FALSE)</f>
        <v>-5.6663943386814566</v>
      </c>
    </row>
    <row r="185" spans="1:10" ht="21.25" customHeight="1" x14ac:dyDescent="0.15">
      <c r="A185" s="10" t="s">
        <v>522</v>
      </c>
      <c r="B185" s="166" t="str" cm="1">
        <f t="array" ref="B185">VLOOKUP(A185,'The List'!B1:D671,3,FALSE)</f>
        <v>LW,RW</v>
      </c>
      <c r="C185" s="74" cm="1">
        <f t="array" ref="C185">IF(Settings!$E$15="POINTS",RANK(E185,E3:E407),H185)</f>
        <v>183</v>
      </c>
      <c r="D185" s="18" t="str" cm="1">
        <f t="array" ref="D185">VLOOKUP(A185,'The List'!B1:F671,5,FALSE)</f>
        <v>N.J</v>
      </c>
      <c r="E185" s="55" cm="1">
        <f t="array" ref="E185">VLOOKUP(A185,'The List'!B1:I671,8,FALSE)</f>
        <v>214.9035490468022</v>
      </c>
      <c r="F185" s="55" cm="1">
        <f t="array" ref="F185">IF(Settings!$E$15="POINTS",E185-VLOOKUP(B$2,C1:E407,3,FALSE),J185)</f>
        <v>-135.82946835365993</v>
      </c>
      <c r="G185" s="55"/>
      <c r="H185" s="167" cm="1">
        <f t="array" ref="H185">RANK(I185,I3:I407)</f>
        <v>159</v>
      </c>
      <c r="I185" s="168" cm="1">
        <f t="array" ref="I185">VLOOKUP(A185,'Standard Deviations'!A1:C672,3,FALSE)</f>
        <v>0.27155510511567871</v>
      </c>
      <c r="J185" s="168" cm="1">
        <f t="array" ref="J185">I185-VLOOKUP(B$2,H1:J407,2,FALSE)</f>
        <v>-5.2190882548073763</v>
      </c>
    </row>
    <row r="186" spans="1:10" ht="21.25" customHeight="1" x14ac:dyDescent="0.15">
      <c r="A186" s="10" t="s">
        <v>524</v>
      </c>
      <c r="B186" s="166" t="str" cm="1">
        <f t="array" ref="B186">VLOOKUP(A186,'The List'!B1:D671,3,FALSE)</f>
        <v>C,LW,RW</v>
      </c>
      <c r="C186" s="74" cm="1">
        <f t="array" ref="C186">IF(Settings!$E$15="POINTS",RANK(E186,E3:E407),H186)</f>
        <v>184</v>
      </c>
      <c r="D186" s="18" t="str" cm="1">
        <f t="array" ref="D186">VLOOKUP(A186,'The List'!B1:F671,5,FALSE)</f>
        <v>CGY</v>
      </c>
      <c r="E186" s="55" cm="1">
        <f t="array" ref="E186">VLOOKUP(A186,'The List'!B1:I671,8,FALSE)</f>
        <v>214.72953506271566</v>
      </c>
      <c r="F186" s="55" cm="1">
        <f t="array" ref="F186">IF(Settings!$E$15="POINTS",E186-VLOOKUP(B$2,C1:E407,3,FALSE),J186)</f>
        <v>-136.00348233774648</v>
      </c>
      <c r="G186" s="55"/>
      <c r="H186" s="167" cm="1">
        <f t="array" ref="H186">RANK(I186,I3:I407)</f>
        <v>311</v>
      </c>
      <c r="I186" s="168" cm="1">
        <f t="array" ref="I186">VLOOKUP(A186,'Standard Deviations'!A1:C672,3,FALSE)</f>
        <v>-3.6681152532979335</v>
      </c>
      <c r="J186" s="168" cm="1">
        <f t="array" ref="J186">I186-VLOOKUP(B$2,H1:J407,2,FALSE)</f>
        <v>-9.1587586132209893</v>
      </c>
    </row>
    <row r="187" spans="1:10" ht="21.25" customHeight="1" x14ac:dyDescent="0.15">
      <c r="A187" s="10" t="s">
        <v>506</v>
      </c>
      <c r="B187" s="166" t="str" cm="1">
        <f t="array" ref="B187">VLOOKUP(A187,'The List'!B1:D671,3,FALSE)</f>
        <v>C</v>
      </c>
      <c r="C187" s="74" cm="1">
        <f t="array" ref="C187">IF(Settings!$E$15="POINTS",RANK(E187,E3:E407),H187)</f>
        <v>185</v>
      </c>
      <c r="D187" s="18" t="str" cm="1">
        <f t="array" ref="D187">VLOOKUP(A187,'The List'!B1:F671,5,FALSE)</f>
        <v>CBJ</v>
      </c>
      <c r="E187" s="55" cm="1">
        <f t="array" ref="E187">VLOOKUP(A187,'The List'!B1:I671,8,FALSE)</f>
        <v>213.55282578873681</v>
      </c>
      <c r="F187" s="55" cm="1">
        <f t="array" ref="F187">IF(Settings!$E$15="POINTS",E187-VLOOKUP(B$2,C1:E407,3,FALSE),J187)</f>
        <v>-137.18019161172532</v>
      </c>
      <c r="G187" s="55"/>
      <c r="H187" s="167" cm="1">
        <f t="array" ref="H187">RANK(I187,I3:I407)</f>
        <v>199</v>
      </c>
      <c r="I187" s="168" cm="1">
        <f t="array" ref="I187">VLOOKUP(A187,'Standard Deviations'!A1:C672,3,FALSE)</f>
        <v>-0.98259400013420284</v>
      </c>
      <c r="J187" s="168" cm="1">
        <f t="array" ref="J187">I187-VLOOKUP(B$2,H1:J407,2,FALSE)</f>
        <v>-6.4732373600572579</v>
      </c>
    </row>
    <row r="188" spans="1:10" ht="21.25" customHeight="1" x14ac:dyDescent="0.15">
      <c r="A188" s="10" t="s">
        <v>527</v>
      </c>
      <c r="B188" s="166" t="str" cm="1">
        <f t="array" ref="B188">VLOOKUP(A188,'The List'!B1:D671,3,FALSE)</f>
        <v>LW,RW</v>
      </c>
      <c r="C188" s="74" cm="1">
        <f t="array" ref="C188">IF(Settings!$E$15="POINTS",RANK(E188,E3:E407),H188)</f>
        <v>186</v>
      </c>
      <c r="D188" s="18" t="str" cm="1">
        <f t="array" ref="D188">VLOOKUP(A188,'The List'!B1:F671,5,FALSE)</f>
        <v>UTA</v>
      </c>
      <c r="E188" s="55" cm="1">
        <f t="array" ref="E188">VLOOKUP(A188,'The List'!B1:I671,8,FALSE)</f>
        <v>213.04929822773803</v>
      </c>
      <c r="F188" s="55" cm="1">
        <f t="array" ref="F188">IF(Settings!$E$15="POINTS",E188-VLOOKUP(B$2,C1:E407,3,FALSE),J188)</f>
        <v>-137.6837191727241</v>
      </c>
      <c r="G188" s="55"/>
      <c r="H188" s="167" cm="1">
        <f t="array" ref="H188">RANK(I188,I3:I407)</f>
        <v>156</v>
      </c>
      <c r="I188" s="168" cm="1">
        <f t="array" ref="I188">VLOOKUP(A188,'Standard Deviations'!A1:C672,3,FALSE)</f>
        <v>0.34886868507131419</v>
      </c>
      <c r="J188" s="168" cm="1">
        <f t="array" ref="J188">I188-VLOOKUP(B$2,H1:J407,2,FALSE)</f>
        <v>-5.1417746748517414</v>
      </c>
    </row>
    <row r="189" spans="1:10" ht="21.25" customHeight="1" x14ac:dyDescent="0.15">
      <c r="A189" s="10" t="s">
        <v>540</v>
      </c>
      <c r="B189" s="166" t="str" cm="1">
        <f t="array" ref="B189">VLOOKUP(A189,'The List'!B1:D671,3,FALSE)</f>
        <v>C,LW</v>
      </c>
      <c r="C189" s="74" cm="1">
        <f t="array" ref="C189">IF(Settings!$E$15="POINTS",RANK(E189,E3:E407),H189)</f>
        <v>187</v>
      </c>
      <c r="D189" s="18" t="str" cm="1">
        <f t="array" ref="D189">VLOOKUP(A189,'The List'!B1:F671,5,FALSE)</f>
        <v>NSH</v>
      </c>
      <c r="E189" s="55" cm="1">
        <f t="array" ref="E189">VLOOKUP(A189,'The List'!B1:I671,8,FALSE)</f>
        <v>212.69273059863824</v>
      </c>
      <c r="F189" s="55" cm="1">
        <f t="array" ref="F189">IF(Settings!$E$15="POINTS",E189-VLOOKUP(B$2,C1:E407,3,FALSE),J189)</f>
        <v>-138.0402868018239</v>
      </c>
      <c r="G189" s="55"/>
      <c r="H189" s="167" cm="1">
        <f t="array" ref="H189">RANK(I189,I3:I407)</f>
        <v>212</v>
      </c>
      <c r="I189" s="168" cm="1">
        <f t="array" ref="I189">VLOOKUP(A189,'Standard Deviations'!A1:C672,3,FALSE)</f>
        <v>-1.255920916266668</v>
      </c>
      <c r="J189" s="168" cm="1">
        <f t="array" ref="J189">I189-VLOOKUP(B$2,H1:J407,2,FALSE)</f>
        <v>-6.7465642761897229</v>
      </c>
    </row>
    <row r="190" spans="1:10" ht="21.25" customHeight="1" x14ac:dyDescent="0.15">
      <c r="A190" s="10" t="s">
        <v>530</v>
      </c>
      <c r="B190" s="166" t="str" cm="1">
        <f t="array" ref="B190">VLOOKUP(A190,'The List'!B1:D671,3,FALSE)</f>
        <v>RW</v>
      </c>
      <c r="C190" s="74" cm="1">
        <f t="array" ref="C190">IF(Settings!$E$15="POINTS",RANK(E190,E3:E407),H190)</f>
        <v>188</v>
      </c>
      <c r="D190" s="18" t="str" cm="1">
        <f t="array" ref="D190">VLOOKUP(A190,'The List'!B1:F671,5,FALSE)</f>
        <v>SEA</v>
      </c>
      <c r="E190" s="55" cm="1">
        <f t="array" ref="E190">VLOOKUP(A190,'The List'!B1:I671,8,FALSE)</f>
        <v>212.68541937357583</v>
      </c>
      <c r="F190" s="55" cm="1">
        <f t="array" ref="F190">IF(Settings!$E$15="POINTS",E190-VLOOKUP(B$2,C1:E407,3,FALSE),J190)</f>
        <v>-138.04759802688631</v>
      </c>
      <c r="G190" s="55"/>
      <c r="H190" s="167" cm="1">
        <f t="array" ref="H190">RANK(I190,I3:I407)</f>
        <v>256</v>
      </c>
      <c r="I190" s="168" cm="1">
        <f t="array" ref="I190">VLOOKUP(A190,'Standard Deviations'!A1:C672,3,FALSE)</f>
        <v>-2.2779713908702193</v>
      </c>
      <c r="J190" s="168" cm="1">
        <f t="array" ref="J190">I190-VLOOKUP(B$2,H1:J407,2,FALSE)</f>
        <v>-7.7686147507932741</v>
      </c>
    </row>
    <row r="191" spans="1:10" ht="21.25" customHeight="1" x14ac:dyDescent="0.15">
      <c r="A191" s="10" t="s">
        <v>531</v>
      </c>
      <c r="B191" s="166" t="str" cm="1">
        <f t="array" ref="B191">VLOOKUP(A191,'The List'!B1:D671,3,FALSE)</f>
        <v>LW,RW</v>
      </c>
      <c r="C191" s="74" cm="1">
        <f t="array" ref="C191">IF(Settings!$E$15="POINTS",RANK(E191,E3:E407),H191)</f>
        <v>189</v>
      </c>
      <c r="D191" s="18" t="str" cm="1">
        <f t="array" ref="D191">VLOOKUP(A191,'The List'!B1:F671,5,FALSE)</f>
        <v>STL</v>
      </c>
      <c r="E191" s="55" cm="1">
        <f t="array" ref="E191">VLOOKUP(A191,'The List'!B1:I671,8,FALSE)</f>
        <v>212.27847831803066</v>
      </c>
      <c r="F191" s="55" cm="1">
        <f t="array" ref="F191">IF(Settings!$E$15="POINTS",E191-VLOOKUP(B$2,C1:E407,3,FALSE),J191)</f>
        <v>-138.45453908243147</v>
      </c>
      <c r="G191" s="55"/>
      <c r="H191" s="167" cm="1">
        <f t="array" ref="H191">RANK(I191,I3:I407)</f>
        <v>166</v>
      </c>
      <c r="I191" s="168" cm="1">
        <f t="array" ref="I191">VLOOKUP(A191,'Standard Deviations'!A1:C672,3,FALSE)</f>
        <v>-1.1786185719809605E-2</v>
      </c>
      <c r="J191" s="168" cm="1">
        <f t="array" ref="J191">I191-VLOOKUP(B$2,H1:J407,2,FALSE)</f>
        <v>-5.5024295456428653</v>
      </c>
    </row>
    <row r="192" spans="1:10" ht="21.25" customHeight="1" x14ac:dyDescent="0.15">
      <c r="A192" s="10" t="s">
        <v>532</v>
      </c>
      <c r="B192" s="166" t="str" cm="1">
        <f t="array" ref="B192">VLOOKUP(A192,'The List'!B1:D671,3,FALSE)</f>
        <v>RW</v>
      </c>
      <c r="C192" s="74" cm="1">
        <f t="array" ref="C192">IF(Settings!$E$15="POINTS",RANK(E192,E3:E407),H192)</f>
        <v>190</v>
      </c>
      <c r="D192" s="18" t="str" cm="1">
        <f t="array" ref="D192">VLOOKUP(A192,'The List'!B1:F671,5,FALSE)</f>
        <v>SEA</v>
      </c>
      <c r="E192" s="55" cm="1">
        <f t="array" ref="E192">VLOOKUP(A192,'The List'!B1:I671,8,FALSE)</f>
        <v>212.10094545310787</v>
      </c>
      <c r="F192" s="55" cm="1">
        <f t="array" ref="F192">IF(Settings!$E$15="POINTS",E192-VLOOKUP(B$2,C1:E407,3,FALSE),J192)</f>
        <v>-138.63207194735426</v>
      </c>
      <c r="G192" s="55"/>
      <c r="H192" s="167" cm="1">
        <f t="array" ref="H192">RANK(I192,I3:I407)</f>
        <v>245</v>
      </c>
      <c r="I192" s="168" cm="1">
        <f t="array" ref="I192">VLOOKUP(A192,'Standard Deviations'!A1:C672,3,FALSE)</f>
        <v>-2.0515688226820203</v>
      </c>
      <c r="J192" s="168" cm="1">
        <f t="array" ref="J192">I192-VLOOKUP(B$2,H1:J407,2,FALSE)</f>
        <v>-7.5422121826050752</v>
      </c>
    </row>
    <row r="193" spans="1:10" ht="21.25" customHeight="1" x14ac:dyDescent="0.15">
      <c r="A193" s="10" t="s">
        <v>542</v>
      </c>
      <c r="B193" s="166" t="str" cm="1">
        <f t="array" ref="B193">VLOOKUP(A193,'The List'!B1:D671,3,FALSE)</f>
        <v>C,LW</v>
      </c>
      <c r="C193" s="74" cm="1">
        <f t="array" ref="C193">IF(Settings!$E$15="POINTS",RANK(E193,E3:E407),H193)</f>
        <v>191</v>
      </c>
      <c r="D193" s="18" t="str" cm="1">
        <f t="array" ref="D193">VLOOKUP(A193,'The List'!B1:F671,5,FALSE)</f>
        <v>DET</v>
      </c>
      <c r="E193" s="55" cm="1">
        <f t="array" ref="E193">VLOOKUP(A193,'The List'!B1:I671,8,FALSE)</f>
        <v>211.94328072778347</v>
      </c>
      <c r="F193" s="55" cm="1">
        <f t="array" ref="F193">IF(Settings!$E$15="POINTS",E193-VLOOKUP(B$2,C1:E407,3,FALSE),J193)</f>
        <v>-138.78973667267866</v>
      </c>
      <c r="G193" s="55"/>
      <c r="H193" s="167" cm="1">
        <f t="array" ref="H193">RANK(I193,I3:I407)</f>
        <v>206</v>
      </c>
      <c r="I193" s="168" cm="1">
        <f t="array" ref="I193">VLOOKUP(A193,'Standard Deviations'!A1:C672,3,FALSE)</f>
        <v>-1.108640558188124</v>
      </c>
      <c r="J193" s="168" cm="1">
        <f t="array" ref="J193">I193-VLOOKUP(B$2,H1:J407,2,FALSE)</f>
        <v>-6.5992839181111798</v>
      </c>
    </row>
    <row r="194" spans="1:10" ht="21.25" customHeight="1" x14ac:dyDescent="0.15">
      <c r="A194" s="10" t="s">
        <v>543</v>
      </c>
      <c r="B194" s="166" t="str" cm="1">
        <f t="array" ref="B194">VLOOKUP(A194,'The List'!B1:D671,3,FALSE)</f>
        <v>LW</v>
      </c>
      <c r="C194" s="74" cm="1">
        <f t="array" ref="C194">IF(Settings!$E$15="POINTS",RANK(E194,E3:E407),H194)</f>
        <v>192</v>
      </c>
      <c r="D194" s="18" t="str" cm="1">
        <f t="array" ref="D194">VLOOKUP(A194,'The List'!B1:F671,5,FALSE)</f>
        <v>TOR</v>
      </c>
      <c r="E194" s="55" cm="1">
        <f t="array" ref="E194">VLOOKUP(A194,'The List'!B1:I671,8,FALSE)</f>
        <v>211.87649723627962</v>
      </c>
      <c r="F194" s="55" cm="1">
        <f t="array" ref="F194">IF(Settings!$E$15="POINTS",E194-VLOOKUP(B$2,C1:E407,3,FALSE),J194)</f>
        <v>-138.85652016418251</v>
      </c>
      <c r="G194" s="55"/>
      <c r="H194" s="167" cm="1">
        <f t="array" ref="H194">RANK(I194,I3:I407)</f>
        <v>165</v>
      </c>
      <c r="I194" s="168" cm="1">
        <f t="array" ref="I194">VLOOKUP(A194,'Standard Deviations'!A1:C672,3,FALSE)</f>
        <v>6.2527104092609143E-2</v>
      </c>
      <c r="J194" s="168" cm="1">
        <f t="array" ref="J194">I194-VLOOKUP(B$2,H1:J407,2,FALSE)</f>
        <v>-5.4281162558304459</v>
      </c>
    </row>
    <row r="195" spans="1:10" ht="21.25" customHeight="1" x14ac:dyDescent="0.15">
      <c r="A195" s="10" t="s">
        <v>544</v>
      </c>
      <c r="B195" s="166" t="str" cm="1">
        <f t="array" ref="B195">VLOOKUP(A195,'The List'!B1:D671,3,FALSE)</f>
        <v>C,LW</v>
      </c>
      <c r="C195" s="74" cm="1">
        <f t="array" ref="C195">IF(Settings!$E$15="POINTS",RANK(E195,E3:E407),H195)</f>
        <v>193</v>
      </c>
      <c r="D195" s="18" t="str" cm="1">
        <f t="array" ref="D195">VLOOKUP(A195,'The List'!B1:F671,5,FALSE)</f>
        <v>PIT</v>
      </c>
      <c r="E195" s="55" cm="1">
        <f t="array" ref="E195">VLOOKUP(A195,'The List'!B1:I671,8,FALSE)</f>
        <v>211.84160919439239</v>
      </c>
      <c r="F195" s="55" cm="1">
        <f t="array" ref="F195">IF(Settings!$E$15="POINTS",E195-VLOOKUP(B$2,C1:E407,3,FALSE),J195)</f>
        <v>-138.89140820606974</v>
      </c>
      <c r="G195" s="55"/>
      <c r="H195" s="167" cm="1">
        <f t="array" ref="H195">RANK(I195,I3:I407)</f>
        <v>210</v>
      </c>
      <c r="I195" s="168" cm="1">
        <f t="array" ref="I195">VLOOKUP(A195,'Standard Deviations'!A1:C672,3,FALSE)</f>
        <v>-1.1763862821186213</v>
      </c>
      <c r="J195" s="168" cm="1">
        <f t="array" ref="J195">I195-VLOOKUP(B$2,H1:J407,2,FALSE)</f>
        <v>-6.6670296420416761</v>
      </c>
    </row>
    <row r="196" spans="1:10" ht="21.25" customHeight="1" x14ac:dyDescent="0.15">
      <c r="A196" s="10" t="s">
        <v>519</v>
      </c>
      <c r="B196" s="166" t="str" cm="1">
        <f t="array" ref="B196">VLOOKUP(A196,'The List'!B1:D671,3,FALSE)</f>
        <v>C</v>
      </c>
      <c r="C196" s="74" cm="1">
        <f t="array" ref="C196">IF(Settings!$E$15="POINTS",RANK(E196,E3:E407),H196)</f>
        <v>194</v>
      </c>
      <c r="D196" s="18" t="str" cm="1">
        <f t="array" ref="D196">VLOOKUP(A196,'The List'!B1:F671,5,FALSE)</f>
        <v>BUF</v>
      </c>
      <c r="E196" s="55" cm="1">
        <f t="array" ref="E196">VLOOKUP(A196,'The List'!B1:I671,8,FALSE)</f>
        <v>210.95914970766987</v>
      </c>
      <c r="F196" s="55" cm="1">
        <f t="array" ref="F196">IF(Settings!$E$15="POINTS",E196-VLOOKUP(B$2,C1:E407,3,FALSE),J196)</f>
        <v>-139.77386769279227</v>
      </c>
      <c r="G196" s="55"/>
      <c r="H196" s="167" cm="1">
        <f t="array" ref="H196">RANK(I196,I3:I407)</f>
        <v>170</v>
      </c>
      <c r="I196" s="168" cm="1">
        <f t="array" ref="I196">VLOOKUP(A196,'Standard Deviations'!A1:C672,3,FALSE)</f>
        <v>-0.1578137835039671</v>
      </c>
      <c r="J196" s="168" cm="1">
        <f t="array" ref="J196">I196-VLOOKUP(B$2,H1:J407,2,FALSE)</f>
        <v>-5.6484571434270228</v>
      </c>
    </row>
    <row r="197" spans="1:10" ht="21.25" customHeight="1" x14ac:dyDescent="0.15">
      <c r="A197" s="10" t="s">
        <v>534</v>
      </c>
      <c r="B197" s="166" t="str" cm="1">
        <f t="array" ref="B197">VLOOKUP(A197,'The List'!B1:D671,3,FALSE)</f>
        <v>RW</v>
      </c>
      <c r="C197" s="74" cm="1">
        <f t="array" ref="C197">IF(Settings!$E$15="POINTS",RANK(E197,E3:E407),H197)</f>
        <v>195</v>
      </c>
      <c r="D197" s="18" t="str" cm="1">
        <f t="array" ref="D197">VLOOKUP(A197,'The List'!B1:F671,5,FALSE)</f>
        <v>CHI</v>
      </c>
      <c r="E197" s="55" cm="1">
        <f t="array" ref="E197">VLOOKUP(A197,'The List'!B1:I671,8,FALSE)</f>
        <v>210.91147484400722</v>
      </c>
      <c r="F197" s="55" cm="1">
        <f t="array" ref="F197">IF(Settings!$E$15="POINTS",E197-VLOOKUP(B$2,C1:E407,3,FALSE),J197)</f>
        <v>-139.82154255645492</v>
      </c>
      <c r="G197" s="55"/>
      <c r="H197" s="167" cm="1">
        <f t="array" ref="H197">RANK(I197,I3:I407)</f>
        <v>181</v>
      </c>
      <c r="I197" s="168" cm="1">
        <f t="array" ref="I197">VLOOKUP(A197,'Standard Deviations'!A1:C672,3,FALSE)</f>
        <v>-0.43210406113387406</v>
      </c>
      <c r="J197" s="168" cm="1">
        <f t="array" ref="J197">I197-VLOOKUP(B$2,H1:J407,2,FALSE)</f>
        <v>-5.9227474210569291</v>
      </c>
    </row>
    <row r="198" spans="1:10" ht="21.25" customHeight="1" x14ac:dyDescent="0.15">
      <c r="A198" s="10" t="s">
        <v>536</v>
      </c>
      <c r="B198" s="166" t="str" cm="1">
        <f t="array" ref="B198">VLOOKUP(A198,'The List'!B1:D671,3,FALSE)</f>
        <v>RW</v>
      </c>
      <c r="C198" s="74" cm="1">
        <f t="array" ref="C198">IF(Settings!$E$15="POINTS",RANK(E198,E3:E407),H198)</f>
        <v>196</v>
      </c>
      <c r="D198" s="18" t="str" cm="1">
        <f t="array" ref="D198">VLOOKUP(A198,'The List'!B1:F671,5,FALSE)</f>
        <v>ANA</v>
      </c>
      <c r="E198" s="55" cm="1">
        <f t="array" ref="E198">VLOOKUP(A198,'The List'!B1:I671,8,FALSE)</f>
        <v>210.12591682795227</v>
      </c>
      <c r="F198" s="55" cm="1">
        <f t="array" ref="F198">IF(Settings!$E$15="POINTS",E198-VLOOKUP(B$2,C1:E407,3,FALSE),J198)</f>
        <v>-140.60710057250986</v>
      </c>
      <c r="G198" s="55"/>
      <c r="H198" s="167" cm="1">
        <f t="array" ref="H198">RANK(I198,I3:I407)</f>
        <v>257</v>
      </c>
      <c r="I198" s="168" cm="1">
        <f t="array" ref="I198">VLOOKUP(A198,'Standard Deviations'!A1:C672,3,FALSE)</f>
        <v>-2.3548064321197115</v>
      </c>
      <c r="J198" s="168" cm="1">
        <f t="array" ref="J198">I198-VLOOKUP(B$2,H1:J407,2,FALSE)</f>
        <v>-7.8454497920427668</v>
      </c>
    </row>
    <row r="199" spans="1:10" ht="21.25" customHeight="1" x14ac:dyDescent="0.15">
      <c r="A199" s="10" t="s">
        <v>545</v>
      </c>
      <c r="B199" s="166" t="str" cm="1">
        <f t="array" ref="B199">VLOOKUP(A199,'The List'!B1:D671,3,FALSE)</f>
        <v>LW,RW</v>
      </c>
      <c r="C199" s="74" cm="1">
        <f t="array" ref="C199">IF(Settings!$E$15="POINTS",RANK(E199,E3:E407),H199)</f>
        <v>197</v>
      </c>
      <c r="D199" s="18" t="str" cm="1">
        <f t="array" ref="D199">VLOOKUP(A199,'The List'!B1:F671,5,FALSE)</f>
        <v>L.A</v>
      </c>
      <c r="E199" s="55" cm="1">
        <f t="array" ref="E199">VLOOKUP(A199,'The List'!B1:I671,8,FALSE)</f>
        <v>206.47934071968695</v>
      </c>
      <c r="F199" s="55" cm="1">
        <f t="array" ref="F199">IF(Settings!$E$15="POINTS",E199-VLOOKUP(B$2,C1:E407,3,FALSE),J199)</f>
        <v>-144.25367668077519</v>
      </c>
      <c r="G199" s="55"/>
      <c r="H199" s="167" cm="1">
        <f t="array" ref="H199">RANK(I199,I3:I407)</f>
        <v>230</v>
      </c>
      <c r="I199" s="168" cm="1">
        <f t="array" ref="I199">VLOOKUP(A199,'Standard Deviations'!A1:C672,3,FALSE)</f>
        <v>-1.7934192429124691</v>
      </c>
      <c r="J199" s="168" cm="1">
        <f t="array" ref="J199">I199-VLOOKUP(B$2,H1:J407,2,FALSE)</f>
        <v>-7.2840626028355242</v>
      </c>
    </row>
    <row r="200" spans="1:10" ht="21.25" customHeight="1" x14ac:dyDescent="0.15">
      <c r="A200" s="10" t="s">
        <v>550</v>
      </c>
      <c r="B200" s="166" t="str" cm="1">
        <f t="array" ref="B200">VLOOKUP(A200,'The List'!B1:D671,3,FALSE)</f>
        <v>LW,RW</v>
      </c>
      <c r="C200" s="74" cm="1">
        <f t="array" ref="C200">IF(Settings!$E$15="POINTS",RANK(E200,E3:E407),H200)</f>
        <v>198</v>
      </c>
      <c r="D200" s="18" t="str" cm="1">
        <f t="array" ref="D200">VLOOKUP(A200,'The List'!B1:F671,5,FALSE)</f>
        <v>N.J</v>
      </c>
      <c r="E200" s="55" cm="1">
        <f t="array" ref="E200">VLOOKUP(A200,'The List'!B1:I671,8,FALSE)</f>
        <v>204.09445091209429</v>
      </c>
      <c r="F200" s="55" cm="1">
        <f t="array" ref="F200">IF(Settings!$E$15="POINTS",E200-VLOOKUP(B$2,C1:E407,3,FALSE),J200)</f>
        <v>-146.63856648836784</v>
      </c>
      <c r="G200" s="55"/>
      <c r="H200" s="167" cm="1">
        <f t="array" ref="H200">RANK(I200,I3:I407)</f>
        <v>207</v>
      </c>
      <c r="I200" s="168" cm="1">
        <f t="array" ref="I200">VLOOKUP(A200,'Standard Deviations'!A1:C672,3,FALSE)</f>
        <v>-1.1417052408657475</v>
      </c>
      <c r="J200" s="168" cm="1">
        <f t="array" ref="J200">I200-VLOOKUP(B$2,H1:J407,2,FALSE)</f>
        <v>-6.6323486007888031</v>
      </c>
    </row>
    <row r="201" spans="1:10" ht="21.25" customHeight="1" x14ac:dyDescent="0.15">
      <c r="A201" s="10" t="s">
        <v>554</v>
      </c>
      <c r="B201" s="166" t="str" cm="1">
        <f t="array" ref="B201">VLOOKUP(A201,'The List'!B1:D671,3,FALSE)</f>
        <v>C,RW</v>
      </c>
      <c r="C201" s="74" cm="1">
        <f t="array" ref="C201">IF(Settings!$E$15="POINTS",RANK(E201,E3:E407),H201)</f>
        <v>199</v>
      </c>
      <c r="D201" s="18" t="str" cm="1">
        <f t="array" ref="D201">VLOOKUP(A201,'The List'!B1:F671,5,FALSE)</f>
        <v>TOR</v>
      </c>
      <c r="E201" s="55" cm="1">
        <f t="array" ref="E201">VLOOKUP(A201,'The List'!B1:I671,8,FALSE)</f>
        <v>203.07425341275479</v>
      </c>
      <c r="F201" s="55" cm="1">
        <f t="array" ref="F201">IF(Settings!$E$15="POINTS",E201-VLOOKUP(B$2,C1:E407,3,FALSE),J201)</f>
        <v>-147.65876398770735</v>
      </c>
      <c r="G201" s="55"/>
      <c r="H201" s="167" cm="1">
        <f t="array" ref="H201">RANK(I201,I3:I407)</f>
        <v>239</v>
      </c>
      <c r="I201" s="168" cm="1">
        <f t="array" ref="I201">VLOOKUP(A201,'Standard Deviations'!A1:C672,3,FALSE)</f>
        <v>-1.921934741517288</v>
      </c>
      <c r="J201" s="168" cm="1">
        <f t="array" ref="J201">I201-VLOOKUP(B$2,H1:J407,2,FALSE)</f>
        <v>-7.4125781014403431</v>
      </c>
    </row>
    <row r="202" spans="1:10" ht="21.25" customHeight="1" x14ac:dyDescent="0.15">
      <c r="A202" s="10" t="s">
        <v>556</v>
      </c>
      <c r="B202" s="166" t="str" cm="1">
        <f t="array" ref="B202">VLOOKUP(A202,'The List'!B1:D671,3,FALSE)</f>
        <v>C,LW,RW</v>
      </c>
      <c r="C202" s="74" cm="1">
        <f t="array" ref="C202">IF(Settings!$E$15="POINTS",RANK(E202,E3:E407),H202)</f>
        <v>200</v>
      </c>
      <c r="D202" s="18" t="str" cm="1">
        <f t="array" ref="D202">VLOOKUP(A202,'The List'!B1:F671,5,FALSE)</f>
        <v>OTT</v>
      </c>
      <c r="E202" s="55" cm="1">
        <f t="array" ref="E202">VLOOKUP(A202,'The List'!B1:I671,8,FALSE)</f>
        <v>202.7751628492889</v>
      </c>
      <c r="F202" s="55" cm="1">
        <f t="array" ref="F202">IF(Settings!$E$15="POINTS",E202-VLOOKUP(B$2,C1:E407,3,FALSE),J202)</f>
        <v>-147.95785455117323</v>
      </c>
      <c r="G202" s="55"/>
      <c r="H202" s="167" cm="1">
        <f t="array" ref="H202">RANK(I202,I3:I407)</f>
        <v>129</v>
      </c>
      <c r="I202" s="168" cm="1">
        <f t="array" ref="I202">VLOOKUP(A202,'Standard Deviations'!A1:C672,3,FALSE)</f>
        <v>1.5298632041730804</v>
      </c>
      <c r="J202" s="168" cm="1">
        <f t="array" ref="J202">I202-VLOOKUP(B$2,H1:J407,2,FALSE)</f>
        <v>-3.9607801557499749</v>
      </c>
    </row>
    <row r="203" spans="1:10" ht="21.25" customHeight="1" x14ac:dyDescent="0.15">
      <c r="A203" s="10" t="s">
        <v>569</v>
      </c>
      <c r="B203" s="166" t="str" cm="1">
        <f t="array" ref="B203">VLOOKUP(A203,'The List'!B1:D671,3,FALSE)</f>
        <v>C,LW</v>
      </c>
      <c r="C203" s="74" cm="1">
        <f t="array" ref="C203">IF(Settings!$E$15="POINTS",RANK(E203,E3:E407),H203)</f>
        <v>201</v>
      </c>
      <c r="D203" s="18" t="str" cm="1">
        <f t="array" ref="D203">VLOOKUP(A203,'The List'!B1:F671,5,FALSE)</f>
        <v>NYI</v>
      </c>
      <c r="E203" s="55" cm="1">
        <f t="array" ref="E203">VLOOKUP(A203,'The List'!B1:I671,8,FALSE)</f>
        <v>201.91067096694192</v>
      </c>
      <c r="F203" s="55" cm="1">
        <f t="array" ref="F203">IF(Settings!$E$15="POINTS",E203-VLOOKUP(B$2,C1:E407,3,FALSE),J203)</f>
        <v>-148.82234643352021</v>
      </c>
      <c r="G203" s="55"/>
      <c r="H203" s="167" cm="1">
        <f t="array" ref="H203">RANK(I203,I3:I407)</f>
        <v>190</v>
      </c>
      <c r="I203" s="168" cm="1">
        <f t="array" ref="I203">VLOOKUP(A203,'Standard Deviations'!A1:C672,3,FALSE)</f>
        <v>-0.67984485297800235</v>
      </c>
      <c r="J203" s="168" cm="1">
        <f t="array" ref="J203">I203-VLOOKUP(B$2,H1:J407,2,FALSE)</f>
        <v>-6.1704882129010574</v>
      </c>
    </row>
    <row r="204" spans="1:10" ht="21.25" customHeight="1" x14ac:dyDescent="0.15">
      <c r="A204" s="10" t="s">
        <v>535</v>
      </c>
      <c r="B204" s="166" t="str" cm="1">
        <f t="array" ref="B204">VLOOKUP(A204,'The List'!B1:D671,3,FALSE)</f>
        <v>C</v>
      </c>
      <c r="C204" s="74" cm="1">
        <f t="array" ref="C204">IF(Settings!$E$15="POINTS",RANK(E204,E3:E407),H204)</f>
        <v>202</v>
      </c>
      <c r="D204" s="18" t="str" cm="1">
        <f t="array" ref="D204">VLOOKUP(A204,'The List'!B1:F671,5,FALSE)</f>
        <v>ANA</v>
      </c>
      <c r="E204" s="55" cm="1">
        <f t="array" ref="E204">VLOOKUP(A204,'The List'!B1:I671,8,FALSE)</f>
        <v>201.90029735253248</v>
      </c>
      <c r="F204" s="55" cm="1">
        <f t="array" ref="F204">IF(Settings!$E$15="POINTS",E204-VLOOKUP(B$2,C1:E407,3,FALSE),J204)</f>
        <v>-148.83272004792966</v>
      </c>
      <c r="G204" s="55"/>
      <c r="H204" s="167" cm="1">
        <f t="array" ref="H204">RANK(I204,I3:I407)</f>
        <v>281</v>
      </c>
      <c r="I204" s="168" cm="1">
        <f t="array" ref="I204">VLOOKUP(A204,'Standard Deviations'!A1:C672,3,FALSE)</f>
        <v>-2.8040369897370372</v>
      </c>
      <c r="J204" s="168" cm="1">
        <f t="array" ref="J204">I204-VLOOKUP(B$2,H1:J407,2,FALSE)</f>
        <v>-8.2946803496600925</v>
      </c>
    </row>
    <row r="205" spans="1:10" ht="21.25" customHeight="1" x14ac:dyDescent="0.15">
      <c r="A205" s="10" t="s">
        <v>573</v>
      </c>
      <c r="B205" s="166" t="str" cm="1">
        <f t="array" ref="B205">VLOOKUP(A205,'The List'!B1:D671,3,FALSE)</f>
        <v>C,LW</v>
      </c>
      <c r="C205" s="74" cm="1">
        <f t="array" ref="C205">IF(Settings!$E$15="POINTS",RANK(E205,E3:E407),H205)</f>
        <v>203</v>
      </c>
      <c r="D205" s="18" t="str" cm="1">
        <f t="array" ref="D205">VLOOKUP(A205,'The List'!B1:F671,5,FALSE)</f>
        <v>BOS</v>
      </c>
      <c r="E205" s="55" cm="1">
        <f t="array" ref="E205">VLOOKUP(A205,'The List'!B1:I671,8,FALSE)</f>
        <v>199.72991997509845</v>
      </c>
      <c r="F205" s="55" cm="1">
        <f t="array" ref="F205">IF(Settings!$E$15="POINTS",E205-VLOOKUP(B$2,C1:E407,3,FALSE),J205)</f>
        <v>-151.00309742536368</v>
      </c>
      <c r="G205" s="55"/>
      <c r="H205" s="167" cm="1">
        <f t="array" ref="H205">RANK(I205,I3:I407)</f>
        <v>250</v>
      </c>
      <c r="I205" s="168" cm="1">
        <f t="array" ref="I205">VLOOKUP(A205,'Standard Deviations'!A1:C672,3,FALSE)</f>
        <v>-2.162565311112139</v>
      </c>
      <c r="J205" s="168" cm="1">
        <f t="array" ref="J205">I205-VLOOKUP(B$2,H1:J407,2,FALSE)</f>
        <v>-7.6532086710351948</v>
      </c>
    </row>
    <row r="206" spans="1:10" ht="21.25" customHeight="1" x14ac:dyDescent="0.15">
      <c r="A206" s="10" t="s">
        <v>541</v>
      </c>
      <c r="B206" s="166" t="str" cm="1">
        <f t="array" ref="B206">VLOOKUP(A206,'The List'!B1:D671,3,FALSE)</f>
        <v>C</v>
      </c>
      <c r="C206" s="74" cm="1">
        <f t="array" ref="C206">IF(Settings!$E$15="POINTS",RANK(E206,E3:E407),H206)</f>
        <v>204</v>
      </c>
      <c r="D206" s="18" t="str" cm="1">
        <f t="array" ref="D206">VLOOKUP(A206,'The List'!B1:F671,5,FALSE)</f>
        <v>PHI</v>
      </c>
      <c r="E206" s="55" cm="1">
        <f t="array" ref="E206">VLOOKUP(A206,'The List'!B1:I671,8,FALSE)</f>
        <v>199.29418611456461</v>
      </c>
      <c r="F206" s="55" cm="1">
        <f t="array" ref="F206">IF(Settings!$E$15="POINTS",E206-VLOOKUP(B$2,C1:E407,3,FALSE),J206)</f>
        <v>-151.43883128589752</v>
      </c>
      <c r="G206" s="55"/>
      <c r="H206" s="167" cm="1">
        <f t="array" ref="H206">RANK(I206,I3:I407)</f>
        <v>214</v>
      </c>
      <c r="I206" s="168" cm="1">
        <f t="array" ref="I206">VLOOKUP(A206,'Standard Deviations'!A1:C672,3,FALSE)</f>
        <v>-1.427143264760856</v>
      </c>
      <c r="J206" s="168" cm="1">
        <f t="array" ref="J206">I206-VLOOKUP(B$2,H1:J407,2,FALSE)</f>
        <v>-6.9177866246839113</v>
      </c>
    </row>
    <row r="207" spans="1:10" ht="21.25" customHeight="1" x14ac:dyDescent="0.15">
      <c r="A207" s="10" t="s">
        <v>567</v>
      </c>
      <c r="B207" s="166" t="str" cm="1">
        <f t="array" ref="B207">VLOOKUP(A207,'The List'!B1:D671,3,FALSE)</f>
        <v>LW,RW</v>
      </c>
      <c r="C207" s="74" cm="1">
        <f t="array" ref="C207">IF(Settings!$E$15="POINTS",RANK(E207,E3:E407),H207)</f>
        <v>205</v>
      </c>
      <c r="D207" s="18" t="str" cm="1">
        <f t="array" ref="D207">VLOOKUP(A207,'The List'!B1:F671,5,FALSE)</f>
        <v>ANA</v>
      </c>
      <c r="E207" s="55" cm="1">
        <f t="array" ref="E207">VLOOKUP(A207,'The List'!B1:I671,8,FALSE)</f>
        <v>198.2328436009827</v>
      </c>
      <c r="F207" s="55" cm="1">
        <f t="array" ref="F207">IF(Settings!$E$15="POINTS",E207-VLOOKUP(B$2,C1:E407,3,FALSE),J207)</f>
        <v>-152.50017379947943</v>
      </c>
      <c r="G207" s="55"/>
      <c r="H207" s="167" cm="1">
        <f t="array" ref="H207">RANK(I207,I3:I407)</f>
        <v>184</v>
      </c>
      <c r="I207" s="168" cm="1">
        <f t="array" ref="I207">VLOOKUP(A207,'Standard Deviations'!A1:C672,3,FALSE)</f>
        <v>-0.52690729833914385</v>
      </c>
      <c r="J207" s="168" cm="1">
        <f t="array" ref="J207">I207-VLOOKUP(B$2,H1:J407,2,FALSE)</f>
        <v>-6.0175506582621994</v>
      </c>
    </row>
    <row r="208" spans="1:10" ht="21.25" customHeight="1" x14ac:dyDescent="0.15">
      <c r="A208" s="10" t="s">
        <v>579</v>
      </c>
      <c r="B208" s="166" t="str" cm="1">
        <f t="array" ref="B208">VLOOKUP(A208,'The List'!B1:D671,3,FALSE)</f>
        <v>LW</v>
      </c>
      <c r="C208" s="74" cm="1">
        <f t="array" ref="C208">IF(Settings!$E$15="POINTS",RANK(E208,E3:E407),H208)</f>
        <v>206</v>
      </c>
      <c r="D208" s="18" t="str" cm="1">
        <f t="array" ref="D208">VLOOKUP(A208,'The List'!B1:F671,5,FALSE)</f>
        <v>BUF</v>
      </c>
      <c r="E208" s="55" cm="1">
        <f t="array" ref="E208">VLOOKUP(A208,'The List'!B1:I671,8,FALSE)</f>
        <v>197.69316153622734</v>
      </c>
      <c r="F208" s="55" cm="1">
        <f t="array" ref="F208">IF(Settings!$E$15="POINTS",E208-VLOOKUP(B$2,C1:E407,3,FALSE),J208)</f>
        <v>-153.0398558642348</v>
      </c>
      <c r="G208" s="55"/>
      <c r="H208" s="167" cm="1">
        <f t="array" ref="H208">RANK(I208,I3:I407)</f>
        <v>185</v>
      </c>
      <c r="I208" s="168" cm="1">
        <f t="array" ref="I208">VLOOKUP(A208,'Standard Deviations'!A1:C672,3,FALSE)</f>
        <v>-0.57504589690850993</v>
      </c>
      <c r="J208" s="168" cm="1">
        <f t="array" ref="J208">I208-VLOOKUP(B$2,H1:J407,2,FALSE)</f>
        <v>-6.0656892568315648</v>
      </c>
    </row>
    <row r="209" spans="1:10" ht="21.25" customHeight="1" x14ac:dyDescent="0.15">
      <c r="A209" s="10" t="s">
        <v>548</v>
      </c>
      <c r="B209" s="166" t="str" cm="1">
        <f t="array" ref="B209">VLOOKUP(A209,'The List'!B1:D671,3,FALSE)</f>
        <v>C</v>
      </c>
      <c r="C209" s="74" cm="1">
        <f t="array" ref="C209">IF(Settings!$E$15="POINTS",RANK(E209,E3:E407),H209)</f>
        <v>207</v>
      </c>
      <c r="D209" s="18" t="str" cm="1">
        <f t="array" ref="D209">VLOOKUP(A209,'The List'!B1:F671,5,FALSE)</f>
        <v>BUF</v>
      </c>
      <c r="E209" s="55" cm="1">
        <f t="array" ref="E209">VLOOKUP(A209,'The List'!B1:I671,8,FALSE)</f>
        <v>197.58341814985567</v>
      </c>
      <c r="F209" s="55" cm="1">
        <f t="array" ref="F209">IF(Settings!$E$15="POINTS",E209-VLOOKUP(B$2,C1:E407,3,FALSE),J209)</f>
        <v>-153.14959925060646</v>
      </c>
      <c r="G209" s="55"/>
      <c r="H209" s="167" cm="1">
        <f t="array" ref="H209">RANK(I209,I3:I407)</f>
        <v>219</v>
      </c>
      <c r="I209" s="168" cm="1">
        <f t="array" ref="I209">VLOOKUP(A209,'Standard Deviations'!A1:C672,3,FALSE)</f>
        <v>-1.4802564960407332</v>
      </c>
      <c r="J209" s="168" cm="1">
        <f t="array" ref="J209">I209-VLOOKUP(B$2,H1:J407,2,FALSE)</f>
        <v>-6.970899855963788</v>
      </c>
    </row>
    <row r="210" spans="1:10" ht="21.25" customHeight="1" x14ac:dyDescent="0.15">
      <c r="A210" s="10" t="s">
        <v>570</v>
      </c>
      <c r="B210" s="166" t="str" cm="1">
        <f t="array" ref="B210">VLOOKUP(A210,'The List'!B1:D671,3,FALSE)</f>
        <v>LW,RW</v>
      </c>
      <c r="C210" s="74" cm="1">
        <f t="array" ref="C210">IF(Settings!$E$15="POINTS",RANK(E210,E3:E407),H210)</f>
        <v>208</v>
      </c>
      <c r="D210" s="18" t="str" cm="1">
        <f t="array" ref="D210">VLOOKUP(A210,'The List'!B1:F671,5,FALSE)</f>
        <v>NYI</v>
      </c>
      <c r="E210" s="55" cm="1">
        <f t="array" ref="E210">VLOOKUP(A210,'The List'!B1:I671,8,FALSE)</f>
        <v>197.42525731006737</v>
      </c>
      <c r="F210" s="55" cm="1">
        <f t="array" ref="F210">IF(Settings!$E$15="POINTS",E210-VLOOKUP(B$2,C1:E407,3,FALSE),J210)</f>
        <v>-153.30776009039477</v>
      </c>
      <c r="G210" s="55"/>
      <c r="H210" s="167" cm="1">
        <f t="array" ref="H210">RANK(I210,I3:I407)</f>
        <v>267</v>
      </c>
      <c r="I210" s="168" cm="1">
        <f t="array" ref="I210">VLOOKUP(A210,'Standard Deviations'!A1:C672,3,FALSE)</f>
        <v>-2.517361572612415</v>
      </c>
      <c r="J210" s="168" cm="1">
        <f t="array" ref="J210">I210-VLOOKUP(B$2,H1:J407,2,FALSE)</f>
        <v>-8.0080049325354707</v>
      </c>
    </row>
    <row r="211" spans="1:10" ht="21.25" customHeight="1" x14ac:dyDescent="0.15">
      <c r="A211" s="10" t="s">
        <v>571</v>
      </c>
      <c r="B211" s="166" t="str" cm="1">
        <f t="array" ref="B211">VLOOKUP(A211,'The List'!B1:D671,3,FALSE)</f>
        <v>RW</v>
      </c>
      <c r="C211" s="74" cm="1">
        <f t="array" ref="C211">IF(Settings!$E$15="POINTS",RANK(E211,E3:E407),H211)</f>
        <v>209</v>
      </c>
      <c r="D211" s="18" t="str" cm="1">
        <f t="array" ref="D211">VLOOKUP(A211,'The List'!B1:F671,5,FALSE)</f>
        <v>NYR</v>
      </c>
      <c r="E211" s="55" cm="1">
        <f t="array" ref="E211">VLOOKUP(A211,'The List'!B1:I671,8,FALSE)</f>
        <v>196.98677904201037</v>
      </c>
      <c r="F211" s="55" cm="1">
        <f t="array" ref="F211">IF(Settings!$E$15="POINTS",E211-VLOOKUP(B$2,C1:E407,3,FALSE),J211)</f>
        <v>-153.74623835845176</v>
      </c>
      <c r="G211" s="55"/>
      <c r="H211" s="167" cm="1">
        <f t="array" ref="H211">RANK(I211,I3:I407)</f>
        <v>252</v>
      </c>
      <c r="I211" s="168" cm="1">
        <f t="array" ref="I211">VLOOKUP(A211,'Standard Deviations'!A1:C672,3,FALSE)</f>
        <v>-2.2094491018833731</v>
      </c>
      <c r="J211" s="168" cm="1">
        <f t="array" ref="J211">I211-VLOOKUP(B$2,H1:J407,2,FALSE)</f>
        <v>-7.7000924618064284</v>
      </c>
    </row>
    <row r="212" spans="1:10" ht="21.25" customHeight="1" x14ac:dyDescent="0.15">
      <c r="A212" s="10" t="s">
        <v>572</v>
      </c>
      <c r="B212" s="166" t="str" cm="1">
        <f t="array" ref="B212">VLOOKUP(A212,'The List'!B1:D671,3,FALSE)</f>
        <v>LW,RW</v>
      </c>
      <c r="C212" s="74" cm="1">
        <f t="array" ref="C212">IF(Settings!$E$15="POINTS",RANK(E212,E3:E407),H212)</f>
        <v>210</v>
      </c>
      <c r="D212" s="18" t="str" cm="1">
        <f t="array" ref="D212">VLOOKUP(A212,'The List'!B1:F671,5,FALSE)</f>
        <v>WPG</v>
      </c>
      <c r="E212" s="55" cm="1">
        <f t="array" ref="E212">VLOOKUP(A212,'The List'!B1:I671,8,FALSE)</f>
        <v>196.10487700962074</v>
      </c>
      <c r="F212" s="55" cm="1">
        <f t="array" ref="F212">IF(Settings!$E$15="POINTS",E212-VLOOKUP(B$2,C1:E407,3,FALSE),J212)</f>
        <v>-154.62814039084139</v>
      </c>
      <c r="G212" s="55"/>
      <c r="H212" s="167" cm="1">
        <f t="array" ref="H212">RANK(I212,I3:I407)</f>
        <v>226</v>
      </c>
      <c r="I212" s="168" cm="1">
        <f t="array" ref="I212">VLOOKUP(A212,'Standard Deviations'!A1:C672,3,FALSE)</f>
        <v>-1.6278458556818045</v>
      </c>
      <c r="J212" s="168" cm="1">
        <f t="array" ref="J212">I212-VLOOKUP(B$2,H1:J407,2,FALSE)</f>
        <v>-7.1184892156048596</v>
      </c>
    </row>
    <row r="213" spans="1:10" ht="21.25" customHeight="1" x14ac:dyDescent="0.15">
      <c r="A213" s="10" t="s">
        <v>582</v>
      </c>
      <c r="B213" s="166" t="str" cm="1">
        <f t="array" ref="B213">VLOOKUP(A213,'The List'!B1:D671,3,FALSE)</f>
        <v>C,LW</v>
      </c>
      <c r="C213" s="74" cm="1">
        <f t="array" ref="C213">IF(Settings!$E$15="POINTS",RANK(E213,E3:E407),H213)</f>
        <v>211</v>
      </c>
      <c r="D213" s="18" t="str" cm="1">
        <f t="array" ref="D213">VLOOKUP(A213,'The List'!B1:F671,5,FALSE)</f>
        <v>DET</v>
      </c>
      <c r="E213" s="55" cm="1">
        <f t="array" ref="E213">VLOOKUP(A213,'The List'!B1:I671,8,FALSE)</f>
        <v>195.91100296308286</v>
      </c>
      <c r="F213" s="55" cm="1">
        <f t="array" ref="F213">IF(Settings!$E$15="POINTS",E213-VLOOKUP(B$2,C1:E407,3,FALSE),J213)</f>
        <v>-154.82201443737927</v>
      </c>
      <c r="G213" s="55"/>
      <c r="H213" s="167" cm="1">
        <f t="array" ref="H213">RANK(I213,I3:I407)</f>
        <v>269</v>
      </c>
      <c r="I213" s="168" cm="1">
        <f t="array" ref="I213">VLOOKUP(A213,'Standard Deviations'!A1:C672,3,FALSE)</f>
        <v>-2.5302031220111378</v>
      </c>
      <c r="J213" s="168" cm="1">
        <f t="array" ref="J213">I213-VLOOKUP(B$2,H1:J407,2,FALSE)</f>
        <v>-8.0208464819341927</v>
      </c>
    </row>
    <row r="214" spans="1:10" ht="21.25" customHeight="1" x14ac:dyDescent="0.15">
      <c r="A214" s="10" t="s">
        <v>574</v>
      </c>
      <c r="B214" s="166" t="str" cm="1">
        <f t="array" ref="B214">VLOOKUP(A214,'The List'!B1:D671,3,FALSE)</f>
        <v>LW,RW</v>
      </c>
      <c r="C214" s="74" cm="1">
        <f t="array" ref="C214">IF(Settings!$E$15="POINTS",RANK(E214,E3:E407),H214)</f>
        <v>212</v>
      </c>
      <c r="D214" s="18" t="str" cm="1">
        <f t="array" ref="D214">VLOOKUP(A214,'The List'!B1:F671,5,FALSE)</f>
        <v>MTL</v>
      </c>
      <c r="E214" s="55" cm="1">
        <f t="array" ref="E214">VLOOKUP(A214,'The List'!B1:I671,8,FALSE)</f>
        <v>194.56346667204519</v>
      </c>
      <c r="F214" s="55" cm="1">
        <f t="array" ref="F214">IF(Settings!$E$15="POINTS",E214-VLOOKUP(B$2,C1:E407,3,FALSE),J214)</f>
        <v>-156.16955072841694</v>
      </c>
      <c r="G214" s="55"/>
      <c r="H214" s="167" cm="1">
        <f t="array" ref="H214">RANK(I214,I3:I407)</f>
        <v>174</v>
      </c>
      <c r="I214" s="168" cm="1">
        <f t="array" ref="I214">VLOOKUP(A214,'Standard Deviations'!A1:C672,3,FALSE)</f>
        <v>-0.28805080446804021</v>
      </c>
      <c r="J214" s="168" cm="1">
        <f t="array" ref="J214">I214-VLOOKUP(B$2,H1:J407,2,FALSE)</f>
        <v>-5.7786941643910952</v>
      </c>
    </row>
    <row r="215" spans="1:10" ht="21.25" customHeight="1" x14ac:dyDescent="0.15">
      <c r="A215" s="10" t="s">
        <v>576</v>
      </c>
      <c r="B215" s="166" t="str" cm="1">
        <f t="array" ref="B215">VLOOKUP(A215,'The List'!B1:D671,3,FALSE)</f>
        <v>C,RW</v>
      </c>
      <c r="C215" s="74" cm="1">
        <f t="array" ref="C215">IF(Settings!$E$15="POINTS",RANK(E215,E3:E407),H215)</f>
        <v>213</v>
      </c>
      <c r="D215" s="18" t="str" cm="1">
        <f t="array" ref="D215">VLOOKUP(A215,'The List'!B1:F671,5,FALSE)</f>
        <v>CBJ</v>
      </c>
      <c r="E215" s="55" cm="1">
        <f t="array" ref="E215">VLOOKUP(A215,'The List'!B1:I671,8,FALSE)</f>
        <v>194.33242120587352</v>
      </c>
      <c r="F215" s="55" cm="1">
        <f t="array" ref="F215">IF(Settings!$E$15="POINTS",E215-VLOOKUP(B$2,C1:E407,3,FALSE),J215)</f>
        <v>-156.40059619458862</v>
      </c>
      <c r="G215" s="55"/>
      <c r="H215" s="167" cm="1">
        <f t="array" ref="H215">RANK(I215,I3:I407)</f>
        <v>218</v>
      </c>
      <c r="I215" s="168" cm="1">
        <f t="array" ref="I215">VLOOKUP(A215,'Standard Deviations'!A1:C672,3,FALSE)</f>
        <v>-1.4752565533148718</v>
      </c>
      <c r="J215" s="168" cm="1">
        <f t="array" ref="J215">I215-VLOOKUP(B$2,H1:J407,2,FALSE)</f>
        <v>-6.9658999132379273</v>
      </c>
    </row>
    <row r="216" spans="1:10" ht="21.25" customHeight="1" x14ac:dyDescent="0.15">
      <c r="A216" s="10" t="s">
        <v>578</v>
      </c>
      <c r="B216" s="166" t="str" cm="1">
        <f t="array" ref="B216">VLOOKUP(A216,'The List'!B1:D671,3,FALSE)</f>
        <v>RW</v>
      </c>
      <c r="C216" s="74" cm="1">
        <f t="array" ref="C216">IF(Settings!$E$15="POINTS",RANK(E216,E3:E407),H216)</f>
        <v>214</v>
      </c>
      <c r="D216" s="18" t="str" cm="1">
        <f t="array" ref="D216">VLOOKUP(A216,'The List'!B1:F671,5,FALSE)</f>
        <v>MIN</v>
      </c>
      <c r="E216" s="55" cm="1">
        <f t="array" ref="E216">VLOOKUP(A216,'The List'!B1:I671,8,FALSE)</f>
        <v>194.18060499660837</v>
      </c>
      <c r="F216" s="55" cm="1">
        <f t="array" ref="F216">IF(Settings!$E$15="POINTS",E216-VLOOKUP(B$2,C1:E407,3,FALSE),J216)</f>
        <v>-156.55241240385376</v>
      </c>
      <c r="G216" s="55"/>
      <c r="H216" s="167" cm="1">
        <f t="array" ref="H216">RANK(I216,I3:I407)</f>
        <v>213</v>
      </c>
      <c r="I216" s="168" cm="1">
        <f t="array" ref="I216">VLOOKUP(A216,'Standard Deviations'!A1:C672,3,FALSE)</f>
        <v>-1.3722206553414873</v>
      </c>
      <c r="J216" s="168" cm="1">
        <f t="array" ref="J216">I216-VLOOKUP(B$2,H1:J407,2,FALSE)</f>
        <v>-6.8628640152645426</v>
      </c>
    </row>
    <row r="217" spans="1:10" ht="21.25" customHeight="1" x14ac:dyDescent="0.15">
      <c r="A217" s="10" t="s">
        <v>558</v>
      </c>
      <c r="B217" s="166" t="str" cm="1">
        <f t="array" ref="B217">VLOOKUP(A217,'The List'!B1:D671,3,FALSE)</f>
        <v>C</v>
      </c>
      <c r="C217" s="74" cm="1">
        <f t="array" ref="C217">IF(Settings!$E$15="POINTS",RANK(E217,E3:E407),H217)</f>
        <v>215</v>
      </c>
      <c r="D217" s="18" t="str" cm="1">
        <f t="array" ref="D217">VLOOKUP(A217,'The List'!B1:F671,5,FALSE)</f>
        <v>BUF</v>
      </c>
      <c r="E217" s="55" cm="1">
        <f t="array" ref="E217">VLOOKUP(A217,'The List'!B1:I671,8,FALSE)</f>
        <v>192.33307743151184</v>
      </c>
      <c r="F217" s="55" cm="1">
        <f t="array" ref="F217">IF(Settings!$E$15="POINTS",E217-VLOOKUP(B$2,C1:E407,3,FALSE),J217)</f>
        <v>-158.39993996895029</v>
      </c>
      <c r="G217" s="55"/>
      <c r="H217" s="167" cm="1">
        <f t="array" ref="H217">RANK(I217,I3:I407)</f>
        <v>205</v>
      </c>
      <c r="I217" s="168" cm="1">
        <f t="array" ref="I217">VLOOKUP(A217,'Standard Deviations'!A1:C672,3,FALSE)</f>
        <v>-1.1078329165048899</v>
      </c>
      <c r="J217" s="168" cm="1">
        <f t="array" ref="J217">I217-VLOOKUP(B$2,H1:J407,2,FALSE)</f>
        <v>-6.5984762764279452</v>
      </c>
    </row>
    <row r="218" spans="1:10" ht="21.25" customHeight="1" x14ac:dyDescent="0.15">
      <c r="A218" s="10" t="s">
        <v>581</v>
      </c>
      <c r="B218" s="166" t="str" cm="1">
        <f t="array" ref="B218">VLOOKUP(A218,'The List'!B1:D671,3,FALSE)</f>
        <v>LW,RW</v>
      </c>
      <c r="C218" s="74" cm="1">
        <f t="array" ref="C218">IF(Settings!$E$15="POINTS",RANK(E218,E3:E407),H218)</f>
        <v>216</v>
      </c>
      <c r="D218" s="18" t="str" cm="1">
        <f t="array" ref="D218">VLOOKUP(A218,'The List'!B1:F671,5,FALSE)</f>
        <v>EDM</v>
      </c>
      <c r="E218" s="55" cm="1">
        <f t="array" ref="E218">VLOOKUP(A218,'The List'!B1:I671,8,FALSE)</f>
        <v>191.78456924818121</v>
      </c>
      <c r="F218" s="55" cm="1">
        <f t="array" ref="F218">IF(Settings!$E$15="POINTS",E218-VLOOKUP(B$2,C1:E407,3,FALSE),J218)</f>
        <v>-158.94844815228092</v>
      </c>
      <c r="G218" s="55"/>
      <c r="H218" s="167" cm="1">
        <f t="array" ref="H218">RANK(I218,I3:I407)</f>
        <v>148</v>
      </c>
      <c r="I218" s="168" cm="1">
        <f t="array" ref="I218">VLOOKUP(A218,'Standard Deviations'!A1:C672,3,FALSE)</f>
        <v>0.60500482839390601</v>
      </c>
      <c r="J218" s="168" cm="1">
        <f t="array" ref="J218">I218-VLOOKUP(B$2,H1:J407,2,FALSE)</f>
        <v>-4.8856385315291497</v>
      </c>
    </row>
    <row r="219" spans="1:10" ht="21.25" customHeight="1" x14ac:dyDescent="0.15">
      <c r="A219" s="10" t="s">
        <v>594</v>
      </c>
      <c r="B219" s="166" t="str" cm="1">
        <f t="array" ref="B219">VLOOKUP(A219,'The List'!B1:D671,3,FALSE)</f>
        <v>C,LW</v>
      </c>
      <c r="C219" s="74" cm="1">
        <f t="array" ref="C219">IF(Settings!$E$15="POINTS",RANK(E219,E3:E407),H219)</f>
        <v>217</v>
      </c>
      <c r="D219" s="18" t="str" cm="1">
        <f t="array" ref="D219">VLOOKUP(A219,'The List'!B1:F671,5,FALSE)</f>
        <v>L.A</v>
      </c>
      <c r="E219" s="55" cm="1">
        <f t="array" ref="E219">VLOOKUP(A219,'The List'!B1:I671,8,FALSE)</f>
        <v>191.38168758955078</v>
      </c>
      <c r="F219" s="55" cm="1">
        <f t="array" ref="F219">IF(Settings!$E$15="POINTS",E219-VLOOKUP(B$2,C1:E407,3,FALSE),J219)</f>
        <v>-159.35132981091135</v>
      </c>
      <c r="G219" s="55"/>
      <c r="H219" s="167" cm="1">
        <f t="array" ref="H219">RANK(I219,I3:I407)</f>
        <v>178</v>
      </c>
      <c r="I219" s="168" cm="1">
        <f t="array" ref="I219">VLOOKUP(A219,'Standard Deviations'!A1:C672,3,FALSE)</f>
        <v>-0.33643394959361128</v>
      </c>
      <c r="J219" s="168" cm="1">
        <f t="array" ref="J219">I219-VLOOKUP(B$2,H1:J407,2,FALSE)</f>
        <v>-5.8270773095166666</v>
      </c>
    </row>
    <row r="220" spans="1:10" ht="21.25" customHeight="1" x14ac:dyDescent="0.15">
      <c r="A220" s="10" t="s">
        <v>585</v>
      </c>
      <c r="B220" s="166" t="str" cm="1">
        <f t="array" ref="B220">VLOOKUP(A220,'The List'!B1:D671,3,FALSE)</f>
        <v>C,LW,RW</v>
      </c>
      <c r="C220" s="74" cm="1">
        <f t="array" ref="C220">IF(Settings!$E$15="POINTS",RANK(E220,E3:E407),H220)</f>
        <v>218</v>
      </c>
      <c r="D220" s="18" t="str" cm="1">
        <f t="array" ref="D220">VLOOKUP(A220,'The List'!B1:F671,5,FALSE)</f>
        <v>DAL</v>
      </c>
      <c r="E220" s="55" cm="1">
        <f t="array" ref="E220">VLOOKUP(A220,'The List'!B1:I671,8,FALSE)</f>
        <v>190.91418128325307</v>
      </c>
      <c r="F220" s="55" cm="1">
        <f t="array" ref="F220">IF(Settings!$E$15="POINTS",E220-VLOOKUP(B$2,C1:E407,3,FALSE),J220)</f>
        <v>-159.81883611720906</v>
      </c>
      <c r="G220" s="55"/>
      <c r="H220" s="167" cm="1">
        <f t="array" ref="H220">RANK(I220,I3:I407)</f>
        <v>126</v>
      </c>
      <c r="I220" s="168" cm="1">
        <f t="array" ref="I220">VLOOKUP(A220,'Standard Deviations'!A1:C672,3,FALSE)</f>
        <v>1.6877931309121759</v>
      </c>
      <c r="J220" s="168" cm="1">
        <f t="array" ref="J220">I220-VLOOKUP(B$2,H1:J407,2,FALSE)</f>
        <v>-3.8028502290108794</v>
      </c>
    </row>
    <row r="221" spans="1:10" ht="21.25" customHeight="1" x14ac:dyDescent="0.15">
      <c r="A221" s="10" t="s">
        <v>562</v>
      </c>
      <c r="B221" s="166" t="str" cm="1">
        <f t="array" ref="B221">VLOOKUP(A221,'The List'!B1:D671,3,FALSE)</f>
        <v>C</v>
      </c>
      <c r="C221" s="74" cm="1">
        <f t="array" ref="C221">IF(Settings!$E$15="POINTS",RANK(E221,E3:E407),H221)</f>
        <v>219</v>
      </c>
      <c r="D221" s="18" t="str" cm="1">
        <f t="array" ref="D221">VLOOKUP(A221,'The List'!B1:F671,5,FALSE)</f>
        <v>MTL</v>
      </c>
      <c r="E221" s="55" cm="1">
        <f t="array" ref="E221">VLOOKUP(A221,'The List'!B1:I671,8,FALSE)</f>
        <v>190.82985431192282</v>
      </c>
      <c r="F221" s="55" cm="1">
        <f t="array" ref="F221">IF(Settings!$E$15="POINTS",E221-VLOOKUP(B$2,C1:E407,3,FALSE),J221)</f>
        <v>-159.90316308853932</v>
      </c>
      <c r="G221" s="55"/>
      <c r="H221" s="167" cm="1">
        <f t="array" ref="H221">RANK(I221,I3:I407)</f>
        <v>229</v>
      </c>
      <c r="I221" s="168" cm="1">
        <f t="array" ref="I221">VLOOKUP(A221,'Standard Deviations'!A1:C672,3,FALSE)</f>
        <v>-1.7671144374086305</v>
      </c>
      <c r="J221" s="168" cm="1">
        <f t="array" ref="J221">I221-VLOOKUP(B$2,H1:J407,2,FALSE)</f>
        <v>-7.2577577973316858</v>
      </c>
    </row>
    <row r="222" spans="1:10" ht="21.25" customHeight="1" x14ac:dyDescent="0.15">
      <c r="A222" s="10" t="s">
        <v>587</v>
      </c>
      <c r="B222" s="166" t="str" cm="1">
        <f t="array" ref="B222">VLOOKUP(A222,'The List'!B1:D671,3,FALSE)</f>
        <v>RW</v>
      </c>
      <c r="C222" s="74" cm="1">
        <f t="array" ref="C222">IF(Settings!$E$15="POINTS",RANK(E222,E3:E407),H222)</f>
        <v>220</v>
      </c>
      <c r="D222" s="18" t="str" cm="1">
        <f t="array" ref="D222">VLOOKUP(A222,'The List'!B1:F671,5,FALSE)</f>
        <v>PIT</v>
      </c>
      <c r="E222" s="55" cm="1">
        <f t="array" ref="E222">VLOOKUP(A222,'The List'!B1:I671,8,FALSE)</f>
        <v>190.75624649295403</v>
      </c>
      <c r="F222" s="55" cm="1">
        <f t="array" ref="F222">IF(Settings!$E$15="POINTS",E222-VLOOKUP(B$2,C1:E407,3,FALSE),J222)</f>
        <v>-159.9767709075081</v>
      </c>
      <c r="G222" s="55"/>
      <c r="H222" s="167" cm="1">
        <f t="array" ref="H222">RANK(I222,I3:I407)</f>
        <v>275</v>
      </c>
      <c r="I222" s="168" cm="1">
        <f t="array" ref="I222">VLOOKUP(A222,'Standard Deviations'!A1:C672,3,FALSE)</f>
        <v>-2.6371079542828602</v>
      </c>
      <c r="J222" s="168" cm="1">
        <f t="array" ref="J222">I222-VLOOKUP(B$2,H1:J407,2,FALSE)</f>
        <v>-8.1277513142059163</v>
      </c>
    </row>
    <row r="223" spans="1:10" ht="21.25" customHeight="1" x14ac:dyDescent="0.15">
      <c r="A223" s="10" t="s">
        <v>588</v>
      </c>
      <c r="B223" s="166" t="str" cm="1">
        <f t="array" ref="B223">VLOOKUP(A223,'The List'!B1:D671,3,FALSE)</f>
        <v>LW,RW</v>
      </c>
      <c r="C223" s="74" cm="1">
        <f t="array" ref="C223">IF(Settings!$E$15="POINTS",RANK(E223,E3:E407),H223)</f>
        <v>221</v>
      </c>
      <c r="D223" s="18" t="str" cm="1">
        <f t="array" ref="D223">VLOOKUP(A223,'The List'!B1:F671,5,FALSE)</f>
        <v>CHI</v>
      </c>
      <c r="E223" s="55" cm="1">
        <f t="array" ref="E223">VLOOKUP(A223,'The List'!B1:I671,8,FALSE)</f>
        <v>190.5809825337605</v>
      </c>
      <c r="F223" s="55" cm="1">
        <f t="array" ref="F223">IF(Settings!$E$15="POINTS",E223-VLOOKUP(B$2,C1:E407,3,FALSE),J223)</f>
        <v>-160.15203486670163</v>
      </c>
      <c r="G223" s="55"/>
      <c r="H223" s="167" cm="1">
        <f t="array" ref="H223">RANK(I223,I3:I407)</f>
        <v>344</v>
      </c>
      <c r="I223" s="168" cm="1">
        <f t="array" ref="I223">VLOOKUP(A223,'Standard Deviations'!A1:C672,3,FALSE)</f>
        <v>-4.3670087924198429</v>
      </c>
      <c r="J223" s="168" cm="1">
        <f t="array" ref="J223">I223-VLOOKUP(B$2,H1:J407,2,FALSE)</f>
        <v>-9.8576521523428973</v>
      </c>
    </row>
    <row r="224" spans="1:10" ht="21.25" customHeight="1" x14ac:dyDescent="0.15">
      <c r="A224" s="10" t="s">
        <v>566</v>
      </c>
      <c r="B224" s="166" t="str" cm="1">
        <f t="array" ref="B224">VLOOKUP(A224,'The List'!B1:D671,3,FALSE)</f>
        <v>C</v>
      </c>
      <c r="C224" s="74" cm="1">
        <f t="array" ref="C224">IF(Settings!$E$15="POINTS",RANK(E224,E3:E407),H224)</f>
        <v>222</v>
      </c>
      <c r="D224" s="18" t="str" cm="1">
        <f t="array" ref="D224">VLOOKUP(A224,'The List'!B1:F671,5,FALSE)</f>
        <v>CAR</v>
      </c>
      <c r="E224" s="55" cm="1">
        <f t="array" ref="E224">VLOOKUP(A224,'The List'!B1:I671,8,FALSE)</f>
        <v>190.08220898690942</v>
      </c>
      <c r="F224" s="55" cm="1">
        <f t="array" ref="F224">IF(Settings!$E$15="POINTS",E224-VLOOKUP(B$2,C1:E407,3,FALSE),J224)</f>
        <v>-160.65080841355271</v>
      </c>
      <c r="G224" s="55"/>
      <c r="H224" s="167" cm="1">
        <f t="array" ref="H224">RANK(I224,I3:I407)</f>
        <v>186</v>
      </c>
      <c r="I224" s="168" cm="1">
        <f t="array" ref="I224">VLOOKUP(A224,'Standard Deviations'!A1:C672,3,FALSE)</f>
        <v>-0.59709182591293886</v>
      </c>
      <c r="J224" s="168" cm="1">
        <f t="array" ref="J224">I224-VLOOKUP(B$2,H1:J407,2,FALSE)</f>
        <v>-6.087735185835994</v>
      </c>
    </row>
    <row r="225" spans="1:10" ht="21.25" customHeight="1" x14ac:dyDescent="0.15">
      <c r="A225" s="10" t="s">
        <v>590</v>
      </c>
      <c r="B225" s="166" t="str" cm="1">
        <f t="array" ref="B225">VLOOKUP(A225,'The List'!B1:D671,3,FALSE)</f>
        <v>C,RW</v>
      </c>
      <c r="C225" s="74" cm="1">
        <f t="array" ref="C225">IF(Settings!$E$15="POINTS",RANK(E225,E3:E407),H225)</f>
        <v>223</v>
      </c>
      <c r="D225" s="18" t="str" cm="1">
        <f t="array" ref="D225">VLOOKUP(A225,'The List'!B1:F671,5,FALSE)</f>
        <v>NSH</v>
      </c>
      <c r="E225" s="55" cm="1">
        <f t="array" ref="E225">VLOOKUP(A225,'The List'!B1:I671,8,FALSE)</f>
        <v>188.90511627143758</v>
      </c>
      <c r="F225" s="55" cm="1">
        <f t="array" ref="F225">IF(Settings!$E$15="POINTS",E225-VLOOKUP(B$2,C1:E407,3,FALSE),J225)</f>
        <v>-161.82790112902455</v>
      </c>
      <c r="G225" s="55"/>
      <c r="H225" s="167" cm="1">
        <f t="array" ref="H225">RANK(I225,I3:I407)</f>
        <v>263</v>
      </c>
      <c r="I225" s="168" cm="1">
        <f t="array" ref="I225">VLOOKUP(A225,'Standard Deviations'!A1:C672,3,FALSE)</f>
        <v>-2.4896626233428329</v>
      </c>
      <c r="J225" s="168" cm="1">
        <f t="array" ref="J225">I225-VLOOKUP(B$2,H1:J407,2,FALSE)</f>
        <v>-7.9803059832658878</v>
      </c>
    </row>
    <row r="226" spans="1:10" ht="21.25" customHeight="1" x14ac:dyDescent="0.15">
      <c r="A226" s="10" t="s">
        <v>611</v>
      </c>
      <c r="B226" s="166" t="str" cm="1">
        <f t="array" ref="B226">VLOOKUP(A226,'The List'!B1:D671,3,FALSE)</f>
        <v>LW</v>
      </c>
      <c r="C226" s="74" cm="1">
        <f t="array" ref="C226">IF(Settings!$E$15="POINTS",RANK(E226,E3:E407),H226)</f>
        <v>224</v>
      </c>
      <c r="D226" s="18" t="str" cm="1">
        <f t="array" ref="D226">VLOOKUP(A226,'The List'!B1:F671,5,FALSE)</f>
        <v>WSH</v>
      </c>
      <c r="E226" s="55" cm="1">
        <f t="array" ref="E226">VLOOKUP(A226,'The List'!B1:I671,8,FALSE)</f>
        <v>188.66475611083101</v>
      </c>
      <c r="F226" s="55" cm="1">
        <f t="array" ref="F226">IF(Settings!$E$15="POINTS",E226-VLOOKUP(B$2,C1:E407,3,FALSE),J226)</f>
        <v>-162.06826128963112</v>
      </c>
      <c r="G226" s="55"/>
      <c r="H226" s="167" cm="1">
        <f t="array" ref="H226">RANK(I226,I3:I407)</f>
        <v>223</v>
      </c>
      <c r="I226" s="168" cm="1">
        <f t="array" ref="I226">VLOOKUP(A226,'Standard Deviations'!A1:C672,3,FALSE)</f>
        <v>-1.5071138589512336</v>
      </c>
      <c r="J226" s="168" cm="1">
        <f t="array" ref="J226">I226-VLOOKUP(B$2,H1:J407,2,FALSE)</f>
        <v>-6.9977572188742894</v>
      </c>
    </row>
    <row r="227" spans="1:10" ht="21.25" customHeight="1" x14ac:dyDescent="0.15">
      <c r="A227" s="10" t="s">
        <v>592</v>
      </c>
      <c r="B227" s="166" t="str" cm="1">
        <f t="array" ref="B227">VLOOKUP(A227,'The List'!B1:D671,3,FALSE)</f>
        <v>LW,RW</v>
      </c>
      <c r="C227" s="74" cm="1">
        <f t="array" ref="C227">IF(Settings!$E$15="POINTS",RANK(E227,E3:E407),H227)</f>
        <v>225</v>
      </c>
      <c r="D227" s="18" t="str" cm="1">
        <f t="array" ref="D227">VLOOKUP(A227,'The List'!B1:F671,5,FALSE)</f>
        <v>NYI</v>
      </c>
      <c r="E227" s="55" cm="1">
        <f t="array" ref="E227">VLOOKUP(A227,'The List'!B1:I671,8,FALSE)</f>
        <v>188.39018728944882</v>
      </c>
      <c r="F227" s="55" cm="1">
        <f t="array" ref="F227">IF(Settings!$E$15="POINTS",E227-VLOOKUP(B$2,C1:E407,3,FALSE),J227)</f>
        <v>-162.34283011101331</v>
      </c>
      <c r="G227" s="55"/>
      <c r="H227" s="167" cm="1">
        <f t="array" ref="H227">RANK(I227,I3:I407)</f>
        <v>298</v>
      </c>
      <c r="I227" s="168" cm="1">
        <f t="array" ref="I227">VLOOKUP(A227,'Standard Deviations'!A1:C672,3,FALSE)</f>
        <v>-3.3360091075310168</v>
      </c>
      <c r="J227" s="168" cm="1">
        <f t="array" ref="J227">I227-VLOOKUP(B$2,H1:J407,2,FALSE)</f>
        <v>-8.8266524674540712</v>
      </c>
    </row>
    <row r="228" spans="1:10" ht="21.25" customHeight="1" x14ac:dyDescent="0.15">
      <c r="A228" s="10" t="s">
        <v>596</v>
      </c>
      <c r="B228" s="166" t="str" cm="1">
        <f t="array" ref="B228">VLOOKUP(A228,'The List'!B1:D671,3,FALSE)</f>
        <v>C,RW</v>
      </c>
      <c r="C228" s="74" cm="1">
        <f t="array" ref="C228">IF(Settings!$E$15="POINTS",RANK(E228,E3:E407),H228)</f>
        <v>226</v>
      </c>
      <c r="D228" s="18" t="str" cm="1">
        <f t="array" ref="D228">VLOOKUP(A228,'The List'!B1:F671,5,FALSE)</f>
        <v>DAL</v>
      </c>
      <c r="E228" s="55" cm="1">
        <f t="array" ref="E228">VLOOKUP(A228,'The List'!B1:I671,8,FALSE)</f>
        <v>186.79988143305997</v>
      </c>
      <c r="F228" s="55" cm="1">
        <f t="array" ref="F228">IF(Settings!$E$15="POINTS",E228-VLOOKUP(B$2,C1:E407,3,FALSE),J228)</f>
        <v>-163.93313596740217</v>
      </c>
      <c r="G228" s="55"/>
      <c r="H228" s="167" cm="1">
        <f t="array" ref="H228">RANK(I228,I3:I407)</f>
        <v>225</v>
      </c>
      <c r="I228" s="168" cm="1">
        <f t="array" ref="I228">VLOOKUP(A228,'Standard Deviations'!A1:C672,3,FALSE)</f>
        <v>-1.588240919396203</v>
      </c>
      <c r="J228" s="168" cm="1">
        <f t="array" ref="J228">I228-VLOOKUP(B$2,H1:J407,2,FALSE)</f>
        <v>-7.0788842793192579</v>
      </c>
    </row>
    <row r="229" spans="1:10" ht="21.25" customHeight="1" x14ac:dyDescent="0.15">
      <c r="A229" s="10" t="s">
        <v>599</v>
      </c>
      <c r="B229" s="166" t="str" cm="1">
        <f t="array" ref="B229">VLOOKUP(A229,'The List'!B1:D671,3,FALSE)</f>
        <v>LW,RW</v>
      </c>
      <c r="C229" s="74" cm="1">
        <f t="array" ref="C229">IF(Settings!$E$15="POINTS",RANK(E229,E3:E407),H229)</f>
        <v>227</v>
      </c>
      <c r="D229" s="18" t="str" cm="1">
        <f t="array" ref="D229">VLOOKUP(A229,'The List'!B1:F671,5,FALSE)</f>
        <v>COL</v>
      </c>
      <c r="E229" s="55" cm="1">
        <f t="array" ref="E229">VLOOKUP(A229,'The List'!B1:I671,8,FALSE)</f>
        <v>186.46172734873039</v>
      </c>
      <c r="F229" s="55" cm="1">
        <f t="array" ref="F229">IF(Settings!$E$15="POINTS",E229-VLOOKUP(B$2,C1:E407,3,FALSE),J229)</f>
        <v>-164.27129005173174</v>
      </c>
      <c r="G229" s="55"/>
      <c r="H229" s="167" cm="1">
        <f t="array" ref="H229">RANK(I229,I3:I407)</f>
        <v>154</v>
      </c>
      <c r="I229" s="168" cm="1">
        <f t="array" ref="I229">VLOOKUP(A229,'Standard Deviations'!A1:C672,3,FALSE)</f>
        <v>0.39514985740232705</v>
      </c>
      <c r="J229" s="168" cm="1">
        <f t="array" ref="J229">I229-VLOOKUP(B$2,H1:J407,2,FALSE)</f>
        <v>-5.0954935025207284</v>
      </c>
    </row>
    <row r="230" spans="1:10" ht="21.25" customHeight="1" x14ac:dyDescent="0.15">
      <c r="A230" s="10" t="s">
        <v>615</v>
      </c>
      <c r="B230" s="166" t="str" cm="1">
        <f t="array" ref="B230">VLOOKUP(A230,'The List'!B1:D671,3,FALSE)</f>
        <v>C,LW</v>
      </c>
      <c r="C230" s="74" cm="1">
        <f t="array" ref="C230">IF(Settings!$E$15="POINTS",RANK(E230,E3:E407),H230)</f>
        <v>228</v>
      </c>
      <c r="D230" s="18" t="str" cm="1">
        <f t="array" ref="D230">VLOOKUP(A230,'The List'!B1:F671,5,FALSE)</f>
        <v>WSH</v>
      </c>
      <c r="E230" s="55" cm="1">
        <f t="array" ref="E230">VLOOKUP(A230,'The List'!B1:I671,8,FALSE)</f>
        <v>185.97927236713855</v>
      </c>
      <c r="F230" s="55" cm="1">
        <f t="array" ref="F230">IF(Settings!$E$15="POINTS",E230-VLOOKUP(B$2,C1:E407,3,FALSE),J230)</f>
        <v>-164.75374503332358</v>
      </c>
      <c r="G230" s="55"/>
      <c r="H230" s="167" cm="1">
        <f t="array" ref="H230">RANK(I230,I3:I407)</f>
        <v>194</v>
      </c>
      <c r="I230" s="168" cm="1">
        <f t="array" ref="I230">VLOOKUP(A230,'Standard Deviations'!A1:C672,3,FALSE)</f>
        <v>-0.82552399737256865</v>
      </c>
      <c r="J230" s="168" cm="1">
        <f t="array" ref="J230">I230-VLOOKUP(B$2,H1:J407,2,FALSE)</f>
        <v>-6.3161673572956243</v>
      </c>
    </row>
    <row r="231" spans="1:10" ht="21.25" customHeight="1" x14ac:dyDescent="0.15">
      <c r="A231" s="10" t="s">
        <v>600</v>
      </c>
      <c r="B231" s="166" t="str" cm="1">
        <f t="array" ref="B231">VLOOKUP(A231,'The List'!B1:D671,3,FALSE)</f>
        <v>RW</v>
      </c>
      <c r="C231" s="74" cm="1">
        <f t="array" ref="C231">IF(Settings!$E$15="POINTS",RANK(E231,E3:E407),H231)</f>
        <v>229</v>
      </c>
      <c r="D231" s="18" t="str" cm="1">
        <f t="array" ref="D231">VLOOKUP(A231,'The List'!B1:F671,5,FALSE)</f>
        <v>N.J</v>
      </c>
      <c r="E231" s="55" cm="1">
        <f t="array" ref="E231">VLOOKUP(A231,'The List'!B1:I671,8,FALSE)</f>
        <v>185.97313431321561</v>
      </c>
      <c r="F231" s="55" cm="1">
        <f t="array" ref="F231">IF(Settings!$E$15="POINTS",E231-VLOOKUP(B$2,C1:E407,3,FALSE),J231)</f>
        <v>-164.75988308724652</v>
      </c>
      <c r="G231" s="55"/>
      <c r="H231" s="167" cm="1">
        <f t="array" ref="H231">RANK(I231,I3:I407)</f>
        <v>283</v>
      </c>
      <c r="I231" s="168" cm="1">
        <f t="array" ref="I231">VLOOKUP(A231,'Standard Deviations'!A1:C672,3,FALSE)</f>
        <v>-2.8265678436644288</v>
      </c>
      <c r="J231" s="168" cm="1">
        <f t="array" ref="J231">I231-VLOOKUP(B$2,H1:J407,2,FALSE)</f>
        <v>-8.3172112035874832</v>
      </c>
    </row>
    <row r="232" spans="1:10" ht="21.25" customHeight="1" x14ac:dyDescent="0.15">
      <c r="A232" s="10" t="s">
        <v>577</v>
      </c>
      <c r="B232" s="166" t="str" cm="1">
        <f t="array" ref="B232">VLOOKUP(A232,'The List'!B1:D671,3,FALSE)</f>
        <v>C</v>
      </c>
      <c r="C232" s="74" cm="1">
        <f t="array" ref="C232">IF(Settings!$E$15="POINTS",RANK(E232,E3:E407),H232)</f>
        <v>230</v>
      </c>
      <c r="D232" s="18" t="str" cm="1">
        <f t="array" ref="D232">VLOOKUP(A232,'The List'!B1:F671,5,FALSE)</f>
        <v>VGK</v>
      </c>
      <c r="E232" s="55" cm="1">
        <f t="array" ref="E232">VLOOKUP(A232,'The List'!B1:I671,8,FALSE)</f>
        <v>185.85910923645176</v>
      </c>
      <c r="F232" s="55" cm="1">
        <f t="array" ref="F232">IF(Settings!$E$15="POINTS",E232-VLOOKUP(B$2,C1:E407,3,FALSE),J232)</f>
        <v>-164.87390816401037</v>
      </c>
      <c r="G232" s="55"/>
      <c r="H232" s="167" cm="1">
        <f t="array" ref="H232">RANK(I232,I3:I407)</f>
        <v>243</v>
      </c>
      <c r="I232" s="168" cm="1">
        <f t="array" ref="I232">VLOOKUP(A232,'Standard Deviations'!A1:C672,3,FALSE)</f>
        <v>-2.034338843324881</v>
      </c>
      <c r="J232" s="168" cm="1">
        <f t="array" ref="J232">I232-VLOOKUP(B$2,H1:J407,2,FALSE)</f>
        <v>-7.5249822032479363</v>
      </c>
    </row>
    <row r="233" spans="1:10" ht="21.25" customHeight="1" x14ac:dyDescent="0.15">
      <c r="A233" s="10" t="s">
        <v>601</v>
      </c>
      <c r="B233" s="166" t="str" cm="1">
        <f t="array" ref="B233">VLOOKUP(A233,'The List'!B1:D671,3,FALSE)</f>
        <v>LW,RW</v>
      </c>
      <c r="C233" s="74" cm="1">
        <f t="array" ref="C233">IF(Settings!$E$15="POINTS",RANK(E233,E3:E407),H233)</f>
        <v>231</v>
      </c>
      <c r="D233" s="18" t="str" cm="1">
        <f t="array" ref="D233">VLOOKUP(A233,'The List'!B1:F671,5,FALSE)</f>
        <v>VAN</v>
      </c>
      <c r="E233" s="55" cm="1">
        <f t="array" ref="E233">VLOOKUP(A233,'The List'!B1:I671,8,FALSE)</f>
        <v>185.79312926436293</v>
      </c>
      <c r="F233" s="55" cm="1">
        <f t="array" ref="F233">IF(Settings!$E$15="POINTS",E233-VLOOKUP(B$2,C1:E407,3,FALSE),J233)</f>
        <v>-164.9398881360992</v>
      </c>
      <c r="G233" s="55"/>
      <c r="H233" s="167" cm="1">
        <f t="array" ref="H233">RANK(I233,I3:I407)</f>
        <v>320</v>
      </c>
      <c r="I233" s="168" cm="1">
        <f t="array" ref="I233">VLOOKUP(A233,'Standard Deviations'!A1:C672,3,FALSE)</f>
        <v>-3.9108748407976717</v>
      </c>
      <c r="J233" s="168" cm="1">
        <f t="array" ref="J233">I233-VLOOKUP(B$2,H1:J407,2,FALSE)</f>
        <v>-9.4015182007207265</v>
      </c>
    </row>
    <row r="234" spans="1:10" ht="21.25" customHeight="1" x14ac:dyDescent="0.15">
      <c r="A234" s="10" t="s">
        <v>603</v>
      </c>
      <c r="B234" s="166" t="str" cm="1">
        <f t="array" ref="B234">VLOOKUP(A234,'The List'!B1:D671,3,FALSE)</f>
        <v>LW,RW</v>
      </c>
      <c r="C234" s="74" cm="1">
        <f t="array" ref="C234">IF(Settings!$E$15="POINTS",RANK(E234,E3:E407),H234)</f>
        <v>232</v>
      </c>
      <c r="D234" s="18" t="str" cm="1">
        <f t="array" ref="D234">VLOOKUP(A234,'The List'!B1:F671,5,FALSE)</f>
        <v>S.J</v>
      </c>
      <c r="E234" s="55" cm="1">
        <f t="array" ref="E234">VLOOKUP(A234,'The List'!B1:I671,8,FALSE)</f>
        <v>185.60912833551512</v>
      </c>
      <c r="F234" s="55" cm="1">
        <f t="array" ref="F234">IF(Settings!$E$15="POINTS",E234-VLOOKUP(B$2,C1:E407,3,FALSE),J234)</f>
        <v>-165.12388906494701</v>
      </c>
      <c r="G234" s="55"/>
      <c r="H234" s="167" cm="1">
        <f t="array" ref="H234">RANK(I234,I3:I407)</f>
        <v>303</v>
      </c>
      <c r="I234" s="168" cm="1">
        <f t="array" ref="I234">VLOOKUP(A234,'Standard Deviations'!A1:C672,3,FALSE)</f>
        <v>-3.4060699979489106</v>
      </c>
      <c r="J234" s="168" cm="1">
        <f t="array" ref="J234">I234-VLOOKUP(B$2,H1:J407,2,FALSE)</f>
        <v>-8.8967133578719668</v>
      </c>
    </row>
    <row r="235" spans="1:10" ht="21.25" customHeight="1" x14ac:dyDescent="0.15">
      <c r="A235" s="10" t="s">
        <v>604</v>
      </c>
      <c r="B235" s="166" t="str" cm="1">
        <f t="array" ref="B235">VLOOKUP(A235,'The List'!B1:D671,3,FALSE)</f>
        <v>LW,RW</v>
      </c>
      <c r="C235" s="74" cm="1">
        <f t="array" ref="C235">IF(Settings!$E$15="POINTS",RANK(E235,E3:E407),H235)</f>
        <v>233</v>
      </c>
      <c r="D235" s="18" t="str" cm="1">
        <f t="array" ref="D235">VLOOKUP(A235,'The List'!B1:F671,5,FALSE)</f>
        <v>ANA</v>
      </c>
      <c r="E235" s="55" cm="1">
        <f t="array" ref="E235">VLOOKUP(A235,'The List'!B1:I671,8,FALSE)</f>
        <v>185.51107176424807</v>
      </c>
      <c r="F235" s="55" cm="1">
        <f t="array" ref="F235">IF(Settings!$E$15="POINTS",E235-VLOOKUP(B$2,C1:E407,3,FALSE),J235)</f>
        <v>-165.22194563621406</v>
      </c>
      <c r="G235" s="55"/>
      <c r="H235" s="167" cm="1">
        <f t="array" ref="H235">RANK(I235,I3:I407)</f>
        <v>236</v>
      </c>
      <c r="I235" s="168" cm="1">
        <f t="array" ref="I235">VLOOKUP(A235,'Standard Deviations'!A1:C672,3,FALSE)</f>
        <v>-1.8921143594206931</v>
      </c>
      <c r="J235" s="168" cm="1">
        <f t="array" ref="J235">I235-VLOOKUP(B$2,H1:J407,2,FALSE)</f>
        <v>-7.3827577193437488</v>
      </c>
    </row>
    <row r="236" spans="1:10" ht="21.25" customHeight="1" x14ac:dyDescent="0.15">
      <c r="A236" s="10" t="s">
        <v>606</v>
      </c>
      <c r="B236" s="166" t="str" cm="1">
        <f t="array" ref="B236">VLOOKUP(A236,'The List'!B1:D671,3,FALSE)</f>
        <v>LW,RW</v>
      </c>
      <c r="C236" s="74" cm="1">
        <f t="array" ref="C236">IF(Settings!$E$15="POINTS",RANK(E236,E3:E407),H236)</f>
        <v>234</v>
      </c>
      <c r="D236" s="18" t="str" cm="1">
        <f t="array" ref="D236">VLOOKUP(A236,'The List'!B1:F671,5,FALSE)</f>
        <v>OTT</v>
      </c>
      <c r="E236" s="55" cm="1">
        <f t="array" ref="E236">VLOOKUP(A236,'The List'!B1:I671,8,FALSE)</f>
        <v>185.32708370831983</v>
      </c>
      <c r="F236" s="55" cm="1">
        <f t="array" ref="F236">IF(Settings!$E$15="POINTS",E236-VLOOKUP(B$2,C1:E407,3,FALSE),J236)</f>
        <v>-165.4059336921423</v>
      </c>
      <c r="G236" s="55"/>
      <c r="H236" s="167" cm="1">
        <f t="array" ref="H236">RANK(I236,I3:I407)</f>
        <v>228</v>
      </c>
      <c r="I236" s="168" cm="1">
        <f t="array" ref="I236">VLOOKUP(A236,'Standard Deviations'!A1:C672,3,FALSE)</f>
        <v>-1.7302523427694685</v>
      </c>
      <c r="J236" s="168" cm="1">
        <f t="array" ref="J236">I236-VLOOKUP(B$2,H1:J407,2,FALSE)</f>
        <v>-7.2208957026925233</v>
      </c>
    </row>
    <row r="237" spans="1:10" ht="21.25" customHeight="1" x14ac:dyDescent="0.15">
      <c r="A237" s="10" t="s">
        <v>609</v>
      </c>
      <c r="B237" s="166" t="str" cm="1">
        <f t="array" ref="B237">VLOOKUP(A237,'The List'!B1:D671,3,FALSE)</f>
        <v>C,LW,RW</v>
      </c>
      <c r="C237" s="74" cm="1">
        <f t="array" ref="C237">IF(Settings!$E$15="POINTS",RANK(E237,E3:E407),H237)</f>
        <v>235</v>
      </c>
      <c r="D237" s="18" t="str" cm="1">
        <f t="array" ref="D237">VLOOKUP(A237,'The List'!B1:F671,5,FALSE)</f>
        <v>CGY</v>
      </c>
      <c r="E237" s="55" cm="1">
        <f t="array" ref="E237">VLOOKUP(A237,'The List'!B1:I671,8,FALSE)</f>
        <v>184.44701944686253</v>
      </c>
      <c r="F237" s="55" cm="1">
        <f t="array" ref="F237">IF(Settings!$E$15="POINTS",E237-VLOOKUP(B$2,C1:E407,3,FALSE),J237)</f>
        <v>-166.2859979535996</v>
      </c>
      <c r="G237" s="55"/>
      <c r="H237" s="167" cm="1">
        <f t="array" ref="H237">RANK(I237,I3:I407)</f>
        <v>299</v>
      </c>
      <c r="I237" s="168" cm="1">
        <f t="array" ref="I237">VLOOKUP(A237,'Standard Deviations'!A1:C672,3,FALSE)</f>
        <v>-3.3377648479938009</v>
      </c>
      <c r="J237" s="168" cm="1">
        <f t="array" ref="J237">I237-VLOOKUP(B$2,H1:J407,2,FALSE)</f>
        <v>-8.8284082079168567</v>
      </c>
    </row>
    <row r="238" spans="1:10" ht="21.25" customHeight="1" x14ac:dyDescent="0.15">
      <c r="A238" s="10" t="s">
        <v>612</v>
      </c>
      <c r="B238" s="166" t="str" cm="1">
        <f t="array" ref="B238">VLOOKUP(A238,'The List'!B1:D671,3,FALSE)</f>
        <v>LW,RW</v>
      </c>
      <c r="C238" s="74" cm="1">
        <f t="array" ref="C238">IF(Settings!$E$15="POINTS",RANK(E238,E3:E407),H238)</f>
        <v>236</v>
      </c>
      <c r="D238" s="18" t="str" cm="1">
        <f t="array" ref="D238">VLOOKUP(A238,'The List'!B1:F671,5,FALSE)</f>
        <v>CBJ</v>
      </c>
      <c r="E238" s="55" cm="1">
        <f t="array" ref="E238">VLOOKUP(A238,'The List'!B1:I671,8,FALSE)</f>
        <v>182.99386740441213</v>
      </c>
      <c r="F238" s="55" cm="1">
        <f t="array" ref="F238">IF(Settings!$E$15="POINTS",E238-VLOOKUP(B$2,C1:E407,3,FALSE),J238)</f>
        <v>-167.73914999605</v>
      </c>
      <c r="G238" s="55"/>
      <c r="H238" s="167" cm="1">
        <f t="array" ref="H238">RANK(I238,I3:I407)</f>
        <v>254</v>
      </c>
      <c r="I238" s="168" cm="1">
        <f t="array" ref="I238">VLOOKUP(A238,'Standard Deviations'!A1:C672,3,FALSE)</f>
        <v>-2.2245718208770393</v>
      </c>
      <c r="J238" s="168" cm="1">
        <f t="array" ref="J238">I238-VLOOKUP(B$2,H1:J407,2,FALSE)</f>
        <v>-7.7152151808000946</v>
      </c>
    </row>
    <row r="239" spans="1:10" ht="21.25" customHeight="1" x14ac:dyDescent="0.15">
      <c r="A239" s="10" t="s">
        <v>583</v>
      </c>
      <c r="B239" s="166" t="str" cm="1">
        <f t="array" ref="B239">VLOOKUP(A239,'The List'!B1:D671,3,FALSE)</f>
        <v>C</v>
      </c>
      <c r="C239" s="74" cm="1">
        <f t="array" ref="C239">IF(Settings!$E$15="POINTS",RANK(E239,E3:E407),H239)</f>
        <v>237</v>
      </c>
      <c r="D239" s="18" t="str" cm="1">
        <f t="array" ref="D239">VLOOKUP(A239,'The List'!B1:F671,5,FALSE)</f>
        <v>UTA</v>
      </c>
      <c r="E239" s="55" cm="1">
        <f t="array" ref="E239">VLOOKUP(A239,'The List'!B1:I671,8,FALSE)</f>
        <v>182.76123739890497</v>
      </c>
      <c r="F239" s="55" cm="1">
        <f t="array" ref="F239">IF(Settings!$E$15="POINTS",E239-VLOOKUP(B$2,C1:E407,3,FALSE),J239)</f>
        <v>-167.97178000155716</v>
      </c>
      <c r="G239" s="55"/>
      <c r="H239" s="167" cm="1">
        <f t="array" ref="H239">RANK(I239,I3:I407)</f>
        <v>191</v>
      </c>
      <c r="I239" s="168" cm="1">
        <f t="array" ref="I239">VLOOKUP(A239,'Standard Deviations'!A1:C672,3,FALSE)</f>
        <v>-0.68666587300718906</v>
      </c>
      <c r="J239" s="168" cm="1">
        <f t="array" ref="J239">I239-VLOOKUP(B$2,H1:J407,2,FALSE)</f>
        <v>-6.1773092329302441</v>
      </c>
    </row>
    <row r="240" spans="1:10" ht="21.25" customHeight="1" x14ac:dyDescent="0.15">
      <c r="A240" s="10" t="s">
        <v>591</v>
      </c>
      <c r="B240" s="166" t="str" cm="1">
        <f t="array" ref="B240">VLOOKUP(A240,'The List'!B1:D671,3,FALSE)</f>
        <v>C</v>
      </c>
      <c r="C240" s="74" cm="1">
        <f t="array" ref="C240">IF(Settings!$E$15="POINTS",RANK(E240,E3:E407),H240)</f>
        <v>238</v>
      </c>
      <c r="D240" s="18" t="str" cm="1">
        <f t="array" ref="D240">VLOOKUP(A240,'The List'!B1:F671,5,FALSE)</f>
        <v>BUF</v>
      </c>
      <c r="E240" s="55" cm="1">
        <f t="array" ref="E240">VLOOKUP(A240,'The List'!B1:I671,8,FALSE)</f>
        <v>180.40159715307152</v>
      </c>
      <c r="F240" s="55" cm="1">
        <f t="array" ref="F240">IF(Settings!$E$15="POINTS",E240-VLOOKUP(B$2,C1:E407,3,FALSE),J240)</f>
        <v>-170.33142024739061</v>
      </c>
      <c r="G240" s="55"/>
      <c r="H240" s="167" cm="1">
        <f t="array" ref="H240">RANK(I240,I3:I407)</f>
        <v>266</v>
      </c>
      <c r="I240" s="168" cm="1">
        <f t="array" ref="I240">VLOOKUP(A240,'Standard Deviations'!A1:C672,3,FALSE)</f>
        <v>-2.5172020324649651</v>
      </c>
      <c r="J240" s="168" cm="1">
        <f t="array" ref="J240">I240-VLOOKUP(B$2,H1:J407,2,FALSE)</f>
        <v>-8.0078453923880204</v>
      </c>
    </row>
    <row r="241" spans="1:10" ht="21.25" customHeight="1" x14ac:dyDescent="0.15">
      <c r="A241" s="10" t="s">
        <v>619</v>
      </c>
      <c r="B241" s="166" t="str" cm="1">
        <f t="array" ref="B241">VLOOKUP(A241,'The List'!B1:D671,3,FALSE)</f>
        <v>C,LW,RW</v>
      </c>
      <c r="C241" s="74" cm="1">
        <f t="array" ref="C241">IF(Settings!$E$15="POINTS",RANK(E241,E3:E407),H241)</f>
        <v>239</v>
      </c>
      <c r="D241" s="18" t="str" cm="1">
        <f t="array" ref="D241">VLOOKUP(A241,'The List'!B1:F671,5,FALSE)</f>
        <v>N.J</v>
      </c>
      <c r="E241" s="55" cm="1">
        <f t="array" ref="E241">VLOOKUP(A241,'The List'!B1:I671,8,FALSE)</f>
        <v>179.8782635393583</v>
      </c>
      <c r="F241" s="55" cm="1">
        <f t="array" ref="F241">IF(Settings!$E$15="POINTS",E241-VLOOKUP(B$2,C1:E407,3,FALSE),J241)</f>
        <v>-170.85475386110383</v>
      </c>
      <c r="G241" s="55"/>
      <c r="H241" s="167" cm="1">
        <f t="array" ref="H241">RANK(I241,I3:I407)</f>
        <v>222</v>
      </c>
      <c r="I241" s="168" cm="1">
        <f t="array" ref="I241">VLOOKUP(A241,'Standard Deviations'!A1:C672,3,FALSE)</f>
        <v>-1.4905689833853419</v>
      </c>
      <c r="J241" s="168" cm="1">
        <f t="array" ref="J241">I241-VLOOKUP(B$2,H1:J407,2,FALSE)</f>
        <v>-6.981212343308397</v>
      </c>
    </row>
    <row r="242" spans="1:10" ht="21.25" customHeight="1" x14ac:dyDescent="0.15">
      <c r="A242" s="10" t="s">
        <v>620</v>
      </c>
      <c r="B242" s="166" t="str" cm="1">
        <f t="array" ref="B242">VLOOKUP(A242,'The List'!B1:D671,3,FALSE)</f>
        <v>C,RW</v>
      </c>
      <c r="C242" s="74" cm="1">
        <f t="array" ref="C242">IF(Settings!$E$15="POINTS",RANK(E242,E3:E407),H242)</f>
        <v>240</v>
      </c>
      <c r="D242" s="18" t="str" cm="1">
        <f t="array" ref="D242">VLOOKUP(A242,'The List'!B1:F671,5,FALSE)</f>
        <v>CHI</v>
      </c>
      <c r="E242" s="55" cm="1">
        <f t="array" ref="E242">VLOOKUP(A242,'The List'!B1:I671,8,FALSE)</f>
        <v>179.73629821544824</v>
      </c>
      <c r="F242" s="55" cm="1">
        <f t="array" ref="F242">IF(Settings!$E$15="POINTS",E242-VLOOKUP(B$2,C1:E407,3,FALSE),J242)</f>
        <v>-170.99671918501389</v>
      </c>
      <c r="G242" s="55"/>
      <c r="H242" s="167" cm="1">
        <f t="array" ref="H242">RANK(I242,I3:I407)</f>
        <v>349</v>
      </c>
      <c r="I242" s="168" cm="1">
        <f t="array" ref="I242">VLOOKUP(A242,'Standard Deviations'!A1:C672,3,FALSE)</f>
        <v>-4.6130221817348129</v>
      </c>
      <c r="J242" s="168" cm="1">
        <f t="array" ref="J242">I242-VLOOKUP(B$2,H1:J407,2,FALSE)</f>
        <v>-10.103665541657868</v>
      </c>
    </row>
    <row r="243" spans="1:10" ht="21.25" customHeight="1" x14ac:dyDescent="0.15">
      <c r="A243" s="10" t="s">
        <v>621</v>
      </c>
      <c r="B243" s="166" t="str" cm="1">
        <f t="array" ref="B243">VLOOKUP(A243,'The List'!B1:D671,3,FALSE)</f>
        <v>RW</v>
      </c>
      <c r="C243" s="74" cm="1">
        <f t="array" ref="C243">IF(Settings!$E$15="POINTS",RANK(E243,E3:E407),H243)</f>
        <v>241</v>
      </c>
      <c r="D243" s="18" t="str" cm="1">
        <f t="array" ref="D243">VLOOKUP(A243,'The List'!B1:F671,5,FALSE)</f>
        <v>VAN</v>
      </c>
      <c r="E243" s="55" cm="1">
        <f t="array" ref="E243">VLOOKUP(A243,'The List'!B1:I671,8,FALSE)</f>
        <v>179.47695892758586</v>
      </c>
      <c r="F243" s="55" cm="1">
        <f t="array" ref="F243">IF(Settings!$E$15="POINTS",E243-VLOOKUP(B$2,C1:E407,3,FALSE),J243)</f>
        <v>-171.25605847287628</v>
      </c>
      <c r="G243" s="55"/>
      <c r="H243" s="167" cm="1">
        <f t="array" ref="H243">RANK(I243,I3:I407)</f>
        <v>339</v>
      </c>
      <c r="I243" s="168" cm="1">
        <f t="array" ref="I243">VLOOKUP(A243,'Standard Deviations'!A1:C672,3,FALSE)</f>
        <v>-4.3156341639280553</v>
      </c>
      <c r="J243" s="168" cm="1">
        <f t="array" ref="J243">I243-VLOOKUP(B$2,H1:J407,2,FALSE)</f>
        <v>-9.8062775238511115</v>
      </c>
    </row>
    <row r="244" spans="1:10" ht="21.25" customHeight="1" x14ac:dyDescent="0.15">
      <c r="A244" s="10" t="s">
        <v>597</v>
      </c>
      <c r="B244" s="166" t="str" cm="1">
        <f t="array" ref="B244">VLOOKUP(A244,'The List'!B1:D671,3,FALSE)</f>
        <v>C</v>
      </c>
      <c r="C244" s="74" cm="1">
        <f t="array" ref="C244">IF(Settings!$E$15="POINTS",RANK(E244,E3:E407),H244)</f>
        <v>242</v>
      </c>
      <c r="D244" s="18" t="str" cm="1">
        <f t="array" ref="D244">VLOOKUP(A244,'The List'!B1:F671,5,FALSE)</f>
        <v>BOS</v>
      </c>
      <c r="E244" s="55" cm="1">
        <f t="array" ref="E244">VLOOKUP(A244,'The List'!B1:I671,8,FALSE)</f>
        <v>178.3904752976616</v>
      </c>
      <c r="F244" s="55" cm="1">
        <f t="array" ref="F244">IF(Settings!$E$15="POINTS",E244-VLOOKUP(B$2,C1:E407,3,FALSE),J244)</f>
        <v>-172.34254210280054</v>
      </c>
      <c r="G244" s="55"/>
      <c r="H244" s="167" cm="1">
        <f t="array" ref="H244">RANK(I244,I3:I407)</f>
        <v>265</v>
      </c>
      <c r="I244" s="168" cm="1">
        <f t="array" ref="I244">VLOOKUP(A244,'Standard Deviations'!A1:C672,3,FALSE)</f>
        <v>-2.5084864844344583</v>
      </c>
      <c r="J244" s="168" cm="1">
        <f t="array" ref="J244">I244-VLOOKUP(B$2,H1:J407,2,FALSE)</f>
        <v>-7.9991298443575136</v>
      </c>
    </row>
    <row r="245" spans="1:10" ht="21.25" customHeight="1" x14ac:dyDescent="0.15">
      <c r="A245" s="10" t="s">
        <v>598</v>
      </c>
      <c r="B245" s="166" t="str" cm="1">
        <f t="array" ref="B245">VLOOKUP(A245,'The List'!B1:D671,3,FALSE)</f>
        <v>C</v>
      </c>
      <c r="C245" s="74" cm="1">
        <f t="array" ref="C245">IF(Settings!$E$15="POINTS",RANK(E245,E3:E407),H245)</f>
        <v>243</v>
      </c>
      <c r="D245" s="18" t="str" cm="1">
        <f t="array" ref="D245">VLOOKUP(A245,'The List'!B1:F671,5,FALSE)</f>
        <v>NYI</v>
      </c>
      <c r="E245" s="55" cm="1">
        <f t="array" ref="E245">VLOOKUP(A245,'The List'!B1:I671,8,FALSE)</f>
        <v>178.25936011140374</v>
      </c>
      <c r="F245" s="55" cm="1">
        <f t="array" ref="F245">IF(Settings!$E$15="POINTS",E245-VLOOKUP(B$2,C1:E407,3,FALSE),J245)</f>
        <v>-172.47365728905839</v>
      </c>
      <c r="G245" s="55"/>
      <c r="H245" s="167" cm="1">
        <f t="array" ref="H245">RANK(I245,I3:I407)</f>
        <v>343</v>
      </c>
      <c r="I245" s="168" cm="1">
        <f t="array" ref="I245">VLOOKUP(A245,'Standard Deviations'!A1:C672,3,FALSE)</f>
        <v>-4.3534985591283375</v>
      </c>
      <c r="J245" s="168" cm="1">
        <f t="array" ref="J245">I245-VLOOKUP(B$2,H1:J407,2,FALSE)</f>
        <v>-9.8441419190513919</v>
      </c>
    </row>
    <row r="246" spans="1:10" ht="21.25" customHeight="1" x14ac:dyDescent="0.15">
      <c r="A246" s="10" t="s">
        <v>605</v>
      </c>
      <c r="B246" s="166" t="str" cm="1">
        <f t="array" ref="B246">VLOOKUP(A246,'The List'!B1:D671,3,FALSE)</f>
        <v>C</v>
      </c>
      <c r="C246" s="74" cm="1">
        <f t="array" ref="C246">IF(Settings!$E$15="POINTS",RANK(E246,E3:E407),H246)</f>
        <v>244</v>
      </c>
      <c r="D246" s="18" t="str" cm="1">
        <f t="array" ref="D246">VLOOKUP(A246,'The List'!B1:F671,5,FALSE)</f>
        <v>NSH</v>
      </c>
      <c r="E246" s="55" cm="1">
        <f t="array" ref="E246">VLOOKUP(A246,'The List'!B1:I671,8,FALSE)</f>
        <v>176.99883451490322</v>
      </c>
      <c r="F246" s="55" cm="1">
        <f t="array" ref="F246">IF(Settings!$E$15="POINTS",E246-VLOOKUP(B$2,C1:E407,3,FALSE),J246)</f>
        <v>-173.73418288555891</v>
      </c>
      <c r="G246" s="55"/>
      <c r="H246" s="167" cm="1">
        <f t="array" ref="H246">RANK(I246,I3:I407)</f>
        <v>246</v>
      </c>
      <c r="I246" s="168" cm="1">
        <f t="array" ref="I246">VLOOKUP(A246,'Standard Deviations'!A1:C672,3,FALSE)</f>
        <v>-2.069134639510938</v>
      </c>
      <c r="J246" s="168" cm="1">
        <f t="array" ref="J246">I246-VLOOKUP(B$2,H1:J407,2,FALSE)</f>
        <v>-7.5597779994339938</v>
      </c>
    </row>
    <row r="247" spans="1:10" ht="21.25" customHeight="1" x14ac:dyDescent="0.15">
      <c r="A247" s="10" t="s">
        <v>629</v>
      </c>
      <c r="B247" s="166" t="str" cm="1">
        <f t="array" ref="B247">VLOOKUP(A247,'The List'!B1:D671,3,FALSE)</f>
        <v>C,LW</v>
      </c>
      <c r="C247" s="74" cm="1">
        <f t="array" ref="C247">IF(Settings!$E$15="POINTS",RANK(E247,E3:E407),H247)</f>
        <v>245</v>
      </c>
      <c r="D247" s="18" t="str" cm="1">
        <f t="array" ref="D247">VLOOKUP(A247,'The List'!B1:F671,5,FALSE)</f>
        <v>VGK</v>
      </c>
      <c r="E247" s="55" cm="1">
        <f t="array" ref="E247">VLOOKUP(A247,'The List'!B1:I671,8,FALSE)</f>
        <v>175.80542348377887</v>
      </c>
      <c r="F247" s="55" cm="1">
        <f t="array" ref="F247">IF(Settings!$E$15="POINTS",E247-VLOOKUP(B$2,C1:E407,3,FALSE),J247)</f>
        <v>-174.92759391668326</v>
      </c>
      <c r="G247" s="55"/>
      <c r="H247" s="167" cm="1">
        <f t="array" ref="H247">RANK(I247,I3:I407)</f>
        <v>175</v>
      </c>
      <c r="I247" s="168" cm="1">
        <f t="array" ref="I247">VLOOKUP(A247,'Standard Deviations'!A1:C672,3,FALSE)</f>
        <v>-0.29557652909343679</v>
      </c>
      <c r="J247" s="168" cm="1">
        <f t="array" ref="J247">I247-VLOOKUP(B$2,H1:J407,2,FALSE)</f>
        <v>-5.7862198890164924</v>
      </c>
    </row>
    <row r="248" spans="1:10" ht="21.25" customHeight="1" x14ac:dyDescent="0.15">
      <c r="A248" s="10" t="s">
        <v>624</v>
      </c>
      <c r="B248" s="166" t="str" cm="1">
        <f t="array" ref="B248">VLOOKUP(A248,'The List'!B1:D671,3,FALSE)</f>
        <v>LW,RW</v>
      </c>
      <c r="C248" s="74" cm="1">
        <f t="array" ref="C248">IF(Settings!$E$15="POINTS",RANK(E248,E3:E407),H248)</f>
        <v>246</v>
      </c>
      <c r="D248" s="18" t="str" cm="1">
        <f t="array" ref="D248">VLOOKUP(A248,'The List'!B1:F671,5,FALSE)</f>
        <v>OTT</v>
      </c>
      <c r="E248" s="55" cm="1">
        <f t="array" ref="E248">VLOOKUP(A248,'The List'!B1:I671,8,FALSE)</f>
        <v>174.59725930998417</v>
      </c>
      <c r="F248" s="55" cm="1">
        <f t="array" ref="F248">IF(Settings!$E$15="POINTS",E248-VLOOKUP(B$2,C1:E407,3,FALSE),J248)</f>
        <v>-176.13575809047796</v>
      </c>
      <c r="G248" s="55"/>
      <c r="H248" s="167" cm="1">
        <f t="array" ref="H248">RANK(I248,I3:I407)</f>
        <v>255</v>
      </c>
      <c r="I248" s="168" cm="1">
        <f t="array" ref="I248">VLOOKUP(A248,'Standard Deviations'!A1:C672,3,FALSE)</f>
        <v>-2.2465424675620431</v>
      </c>
      <c r="J248" s="168" cm="1">
        <f t="array" ref="J248">I248-VLOOKUP(B$2,H1:J407,2,FALSE)</f>
        <v>-7.7371858274850984</v>
      </c>
    </row>
    <row r="249" spans="1:10" ht="21.25" customHeight="1" x14ac:dyDescent="0.15">
      <c r="A249" s="10" t="s">
        <v>625</v>
      </c>
      <c r="B249" s="166" t="str" cm="1">
        <f t="array" ref="B249">VLOOKUP(A249,'The List'!B1:D671,3,FALSE)</f>
        <v>C,LW,RW</v>
      </c>
      <c r="C249" s="74" cm="1">
        <f t="array" ref="C249">IF(Settings!$E$15="POINTS",RANK(E249,E3:E407),H249)</f>
        <v>247</v>
      </c>
      <c r="D249" s="18" t="str" cm="1">
        <f t="array" ref="D249">VLOOKUP(A249,'The List'!B1:F671,5,FALSE)</f>
        <v>CHI</v>
      </c>
      <c r="E249" s="55" cm="1">
        <f t="array" ref="E249">VLOOKUP(A249,'The List'!B1:I671,8,FALSE)</f>
        <v>173.74835550699348</v>
      </c>
      <c r="F249" s="55" cm="1">
        <f t="array" ref="F249">IF(Settings!$E$15="POINTS",E249-VLOOKUP(B$2,C1:E407,3,FALSE),J249)</f>
        <v>-176.98466189346865</v>
      </c>
      <c r="G249" s="55"/>
      <c r="H249" s="167" cm="1">
        <f t="array" ref="H249">RANK(I249,I3:I407)</f>
        <v>331</v>
      </c>
      <c r="I249" s="168" cm="1">
        <f t="array" ref="I249">VLOOKUP(A249,'Standard Deviations'!A1:C672,3,FALSE)</f>
        <v>-4.1365925369638195</v>
      </c>
      <c r="J249" s="168" cm="1">
        <f t="array" ref="J249">I249-VLOOKUP(B$2,H1:J407,2,FALSE)</f>
        <v>-9.6272358968868748</v>
      </c>
    </row>
    <row r="250" spans="1:10" ht="21.25" customHeight="1" x14ac:dyDescent="0.15">
      <c r="A250" s="10" t="s">
        <v>616</v>
      </c>
      <c r="B250" s="166" t="str" cm="1">
        <f t="array" ref="B250">VLOOKUP(A250,'The List'!B1:D671,3,FALSE)</f>
        <v>C</v>
      </c>
      <c r="C250" s="74" cm="1">
        <f t="array" ref="C250">IF(Settings!$E$15="POINTS",RANK(E250,E3:E407),H250)</f>
        <v>248</v>
      </c>
      <c r="D250" s="18" t="str" cm="1">
        <f t="array" ref="D250">VLOOKUP(A250,'The List'!B1:F671,5,FALSE)</f>
        <v>PHI</v>
      </c>
      <c r="E250" s="55" cm="1">
        <f t="array" ref="E250">VLOOKUP(A250,'The List'!B1:I671,8,FALSE)</f>
        <v>173.17667828764331</v>
      </c>
      <c r="F250" s="55" cm="1">
        <f t="array" ref="F250">IF(Settings!$E$15="POINTS",E250-VLOOKUP(B$2,C1:E407,3,FALSE),J250)</f>
        <v>-177.55633911281882</v>
      </c>
      <c r="G250" s="55"/>
      <c r="H250" s="167" cm="1">
        <f t="array" ref="H250">RANK(I250,I3:I407)</f>
        <v>247</v>
      </c>
      <c r="I250" s="168" cm="1">
        <f t="array" ref="I250">VLOOKUP(A250,'Standard Deviations'!A1:C672,3,FALSE)</f>
        <v>-2.085072442958622</v>
      </c>
      <c r="J250" s="168" cm="1">
        <f t="array" ref="J250">I250-VLOOKUP(B$2,H1:J407,2,FALSE)</f>
        <v>-7.5757158028816773</v>
      </c>
    </row>
    <row r="251" spans="1:10" ht="21.25" customHeight="1" x14ac:dyDescent="0.15">
      <c r="A251" s="10" t="s">
        <v>639</v>
      </c>
      <c r="B251" s="166" t="str" cm="1">
        <f t="array" ref="B251">VLOOKUP(A251,'The List'!B1:D671,3,FALSE)</f>
        <v>LW</v>
      </c>
      <c r="C251" s="74" cm="1">
        <f t="array" ref="C251">IF(Settings!$E$15="POINTS",RANK(E251,E3:E407),H251)</f>
        <v>249</v>
      </c>
      <c r="D251" s="18" t="str" cm="1">
        <f t="array" ref="D251">VLOOKUP(A251,'The List'!B1:F671,5,FALSE)</f>
        <v>FLA</v>
      </c>
      <c r="E251" s="55" cm="1">
        <f t="array" ref="E251">VLOOKUP(A251,'The List'!B1:I671,8,FALSE)</f>
        <v>172.11032312253755</v>
      </c>
      <c r="F251" s="55" cm="1">
        <f t="array" ref="F251">IF(Settings!$E$15="POINTS",E251-VLOOKUP(B$2,C1:E407,3,FALSE),J251)</f>
        <v>-178.62269427792458</v>
      </c>
      <c r="G251" s="55"/>
      <c r="H251" s="167" cm="1">
        <f t="array" ref="H251">RANK(I251,I3:I407)</f>
        <v>224</v>
      </c>
      <c r="I251" s="168" cm="1">
        <f t="array" ref="I251">VLOOKUP(A251,'Standard Deviations'!A1:C672,3,FALSE)</f>
        <v>-1.5560691439592338</v>
      </c>
      <c r="J251" s="168" cm="1">
        <f t="array" ref="J251">I251-VLOOKUP(B$2,H1:J407,2,FALSE)</f>
        <v>-7.0467125038822891</v>
      </c>
    </row>
    <row r="252" spans="1:10" ht="21.25" customHeight="1" x14ac:dyDescent="0.15">
      <c r="A252" s="10" t="s">
        <v>640</v>
      </c>
      <c r="B252" s="166" t="str" cm="1">
        <f t="array" ref="B252">VLOOKUP(A252,'The List'!B1:D671,3,FALSE)</f>
        <v>C,LW</v>
      </c>
      <c r="C252" s="74" cm="1">
        <f t="array" ref="C252">IF(Settings!$E$15="POINTS",RANK(E252,E3:E407),H252)</f>
        <v>250</v>
      </c>
      <c r="D252" s="18" t="str" cm="1">
        <f t="array" ref="D252">VLOOKUP(A252,'The List'!B1:F671,5,FALSE)</f>
        <v>STL</v>
      </c>
      <c r="E252" s="55" cm="1">
        <f t="array" ref="E252">VLOOKUP(A252,'The List'!B1:I671,8,FALSE)</f>
        <v>171.81950076685914</v>
      </c>
      <c r="F252" s="55" cm="1">
        <f t="array" ref="F252">IF(Settings!$E$15="POINTS",E252-VLOOKUP(B$2,C1:E407,3,FALSE),J252)</f>
        <v>-178.913516633603</v>
      </c>
      <c r="G252" s="55"/>
      <c r="H252" s="167" cm="1">
        <f t="array" ref="H252">RANK(I252,I3:I407)</f>
        <v>288</v>
      </c>
      <c r="I252" s="168" cm="1">
        <f t="array" ref="I252">VLOOKUP(A252,'Standard Deviations'!A1:C672,3,FALSE)</f>
        <v>-2.9949204154783944</v>
      </c>
      <c r="J252" s="168" cm="1">
        <f t="array" ref="J252">I252-VLOOKUP(B$2,H1:J407,2,FALSE)</f>
        <v>-8.4855637754014488</v>
      </c>
    </row>
    <row r="253" spans="1:10" ht="21.25" customHeight="1" x14ac:dyDescent="0.15">
      <c r="A253" s="10" t="s">
        <v>630</v>
      </c>
      <c r="B253" s="166" t="str" cm="1">
        <f t="array" ref="B253">VLOOKUP(A253,'The List'!B1:D671,3,FALSE)</f>
        <v>LW,RW</v>
      </c>
      <c r="C253" s="74" cm="1">
        <f t="array" ref="C253">IF(Settings!$E$15="POINTS",RANK(E253,E3:E407),H253)</f>
        <v>251</v>
      </c>
      <c r="D253" s="18" t="str" cm="1">
        <f t="array" ref="D253">VLOOKUP(A253,'The List'!B1:F671,5,FALSE)</f>
        <v>OTT</v>
      </c>
      <c r="E253" s="55" cm="1">
        <f t="array" ref="E253">VLOOKUP(A253,'The List'!B1:I671,8,FALSE)</f>
        <v>171.42921212127862</v>
      </c>
      <c r="F253" s="55" cm="1">
        <f t="array" ref="F253">IF(Settings!$E$15="POINTS",E253-VLOOKUP(B$2,C1:E407,3,FALSE),J253)</f>
        <v>-179.30380527918351</v>
      </c>
      <c r="G253" s="55"/>
      <c r="H253" s="167" cm="1">
        <f t="array" ref="H253">RANK(I253,I3:I407)</f>
        <v>244</v>
      </c>
      <c r="I253" s="168" cm="1">
        <f t="array" ref="I253">VLOOKUP(A253,'Standard Deviations'!A1:C672,3,FALSE)</f>
        <v>-2.0468560342383721</v>
      </c>
      <c r="J253" s="168" cm="1">
        <f t="array" ref="J253">I253-VLOOKUP(B$2,H1:J407,2,FALSE)</f>
        <v>-7.5374993941614274</v>
      </c>
    </row>
    <row r="254" spans="1:10" ht="21.25" customHeight="1" x14ac:dyDescent="0.15">
      <c r="A254" s="10" t="s">
        <v>643</v>
      </c>
      <c r="B254" s="166" t="str" cm="1">
        <f t="array" ref="B254">VLOOKUP(A254,'The List'!B1:D671,3,FALSE)</f>
        <v>C,LW</v>
      </c>
      <c r="C254" s="74" cm="1">
        <f t="array" ref="C254">IF(Settings!$E$15="POINTS",RANK(E254,E3:E407),H254)</f>
        <v>252</v>
      </c>
      <c r="D254" s="18" t="str" cm="1">
        <f t="array" ref="D254">VLOOKUP(A254,'The List'!B1:F671,5,FALSE)</f>
        <v>MTL</v>
      </c>
      <c r="E254" s="55" cm="1">
        <f t="array" ref="E254">VLOOKUP(A254,'The List'!B1:I671,8,FALSE)</f>
        <v>170.81907065353187</v>
      </c>
      <c r="F254" s="55" cm="1">
        <f t="array" ref="F254">IF(Settings!$E$15="POINTS",E254-VLOOKUP(B$2,C1:E407,3,FALSE),J254)</f>
        <v>-179.91394674693026</v>
      </c>
      <c r="G254" s="55"/>
      <c r="H254" s="167" cm="1">
        <f t="array" ref="H254">RANK(I254,I3:I407)</f>
        <v>259</v>
      </c>
      <c r="I254" s="168" cm="1">
        <f t="array" ref="I254">VLOOKUP(A254,'Standard Deviations'!A1:C672,3,FALSE)</f>
        <v>-2.3851330778857305</v>
      </c>
      <c r="J254" s="168" cm="1">
        <f t="array" ref="J254">I254-VLOOKUP(B$2,H1:J407,2,FALSE)</f>
        <v>-7.8757764378087858</v>
      </c>
    </row>
    <row r="255" spans="1:10" ht="21.25" customHeight="1" x14ac:dyDescent="0.15">
      <c r="A255" s="10" t="s">
        <v>644</v>
      </c>
      <c r="B255" s="166" t="str" cm="1">
        <f t="array" ref="B255">VLOOKUP(A255,'The List'!B1:D671,3,FALSE)</f>
        <v>C,LW</v>
      </c>
      <c r="C255" s="74" cm="1">
        <f t="array" ref="C255">IF(Settings!$E$15="POINTS",RANK(E255,E3:E407),H255)</f>
        <v>253</v>
      </c>
      <c r="D255" s="18" t="str" cm="1">
        <f t="array" ref="D255">VLOOKUP(A255,'The List'!B1:F671,5,FALSE)</f>
        <v>COL</v>
      </c>
      <c r="E255" s="55" cm="1">
        <f t="array" ref="E255">VLOOKUP(A255,'The List'!B1:I671,8,FALSE)</f>
        <v>170.07348128542856</v>
      </c>
      <c r="F255" s="55" cm="1">
        <f t="array" ref="F255">IF(Settings!$E$15="POINTS",E255-VLOOKUP(B$2,C1:E407,3,FALSE),J255)</f>
        <v>-180.65953611503357</v>
      </c>
      <c r="G255" s="55"/>
      <c r="H255" s="167" cm="1">
        <f t="array" ref="H255">RANK(I255,I3:I407)</f>
        <v>231</v>
      </c>
      <c r="I255" s="168" cm="1">
        <f t="array" ref="I255">VLOOKUP(A255,'Standard Deviations'!A1:C672,3,FALSE)</f>
        <v>-1.8173909338221472</v>
      </c>
      <c r="J255" s="168" cm="1">
        <f t="array" ref="J255">I255-VLOOKUP(B$2,H1:J407,2,FALSE)</f>
        <v>-7.3080342937452025</v>
      </c>
    </row>
    <row r="256" spans="1:10" ht="21.25" customHeight="1" x14ac:dyDescent="0.15">
      <c r="A256" s="10" t="s">
        <v>647</v>
      </c>
      <c r="B256" s="166" t="str" cm="1">
        <f t="array" ref="B256">VLOOKUP(A256,'The List'!B1:D671,3,FALSE)</f>
        <v>C,LW</v>
      </c>
      <c r="C256" s="74" cm="1">
        <f t="array" ref="C256">IF(Settings!$E$15="POINTS",RANK(E256,E3:E407),H256)</f>
        <v>254</v>
      </c>
      <c r="D256" s="18" t="str" cm="1">
        <f t="array" ref="D256">VLOOKUP(A256,'The List'!B1:F671,5,FALSE)</f>
        <v>TOR</v>
      </c>
      <c r="E256" s="55" cm="1">
        <f t="array" ref="E256">VLOOKUP(A256,'The List'!B1:I671,8,FALSE)</f>
        <v>168.9945023124931</v>
      </c>
      <c r="F256" s="55" cm="1">
        <f t="array" ref="F256">IF(Settings!$E$15="POINTS",E256-VLOOKUP(B$2,C1:E407,3,FALSE),J256)</f>
        <v>-181.73851508796903</v>
      </c>
      <c r="G256" s="55"/>
      <c r="H256" s="167" cm="1">
        <f t="array" ref="H256">RANK(I256,I3:I407)</f>
        <v>284</v>
      </c>
      <c r="I256" s="168" cm="1">
        <f t="array" ref="I256">VLOOKUP(A256,'Standard Deviations'!A1:C672,3,FALSE)</f>
        <v>-2.8568650466714383</v>
      </c>
      <c r="J256" s="168" cm="1">
        <f t="array" ref="J256">I256-VLOOKUP(B$2,H1:J407,2,FALSE)</f>
        <v>-8.3475084065944927</v>
      </c>
    </row>
    <row r="257" spans="1:10" ht="21.25" customHeight="1" x14ac:dyDescent="0.15">
      <c r="A257" s="10" t="s">
        <v>637</v>
      </c>
      <c r="B257" s="166" t="str" cm="1">
        <f t="array" ref="B257">VLOOKUP(A257,'The List'!B1:D671,3,FALSE)</f>
        <v>LW,RW</v>
      </c>
      <c r="C257" s="74" cm="1">
        <f t="array" ref="C257">IF(Settings!$E$15="POINTS",RANK(E257,E3:E407),H257)</f>
        <v>255</v>
      </c>
      <c r="D257" s="18" t="str" cm="1">
        <f t="array" ref="D257">VLOOKUP(A257,'The List'!B1:F671,5,FALSE)</f>
        <v>CAR</v>
      </c>
      <c r="E257" s="55" cm="1">
        <f t="array" ref="E257">VLOOKUP(A257,'The List'!B1:I671,8,FALSE)</f>
        <v>168.06508144202166</v>
      </c>
      <c r="F257" s="55" cm="1">
        <f t="array" ref="F257">IF(Settings!$E$15="POINTS",E257-VLOOKUP(B$2,C1:E407,3,FALSE),J257)</f>
        <v>-182.66793595844047</v>
      </c>
      <c r="G257" s="55"/>
      <c r="H257" s="167" cm="1">
        <f t="array" ref="H257">RANK(I257,I3:I407)</f>
        <v>200</v>
      </c>
      <c r="I257" s="168" cm="1">
        <f t="array" ref="I257">VLOOKUP(A257,'Standard Deviations'!A1:C672,3,FALSE)</f>
        <v>-0.98426101920080145</v>
      </c>
      <c r="J257" s="168" cm="1">
        <f t="array" ref="J257">I257-VLOOKUP(B$2,H1:J407,2,FALSE)</f>
        <v>-6.4749043791238563</v>
      </c>
    </row>
    <row r="258" spans="1:10" ht="21.25" customHeight="1" x14ac:dyDescent="0.15">
      <c r="A258" s="10" t="s">
        <v>645</v>
      </c>
      <c r="B258" s="166" t="str" cm="1">
        <f t="array" ref="B258">VLOOKUP(A258,'The List'!B1:D671,3,FALSE)</f>
        <v>C,RW</v>
      </c>
      <c r="C258" s="74" cm="1">
        <f t="array" ref="C258">IF(Settings!$E$15="POINTS",RANK(E258,E3:E407),H258)</f>
        <v>256</v>
      </c>
      <c r="D258" s="18" t="str" cm="1">
        <f t="array" ref="D258">VLOOKUP(A258,'The List'!B1:F671,5,FALSE)</f>
        <v>MIN</v>
      </c>
      <c r="E258" s="55" cm="1">
        <f t="array" ref="E258">VLOOKUP(A258,'The List'!B1:I671,8,FALSE)</f>
        <v>165.62787590108982</v>
      </c>
      <c r="F258" s="55" cm="1">
        <f t="array" ref="F258">IF(Settings!$E$15="POINTS",E258-VLOOKUP(B$2,C1:E407,3,FALSE),J258)</f>
        <v>-185.10514149937231</v>
      </c>
      <c r="G258" s="55"/>
      <c r="H258" s="167" cm="1">
        <f t="array" ref="H258">RANK(I258,I3:I407)</f>
        <v>241</v>
      </c>
      <c r="I258" s="168" cm="1">
        <f t="array" ref="I258">VLOOKUP(A258,'Standard Deviations'!A1:C672,3,FALSE)</f>
        <v>-2.0088661290370204</v>
      </c>
      <c r="J258" s="168" cm="1">
        <f t="array" ref="J258">I258-VLOOKUP(B$2,H1:J407,2,FALSE)</f>
        <v>-7.4995094889600757</v>
      </c>
    </row>
    <row r="259" spans="1:10" ht="21.25" customHeight="1" x14ac:dyDescent="0.15">
      <c r="A259" s="10" t="s">
        <v>646</v>
      </c>
      <c r="B259" s="166" t="str" cm="1">
        <f t="array" ref="B259">VLOOKUP(A259,'The List'!B1:D671,3,FALSE)</f>
        <v>RW</v>
      </c>
      <c r="C259" s="74" cm="1">
        <f t="array" ref="C259">IF(Settings!$E$15="POINTS",RANK(E259,E3:E407),H259)</f>
        <v>257</v>
      </c>
      <c r="D259" s="18" t="str" cm="1">
        <f t="array" ref="D259">VLOOKUP(A259,'The List'!B1:F671,5,FALSE)</f>
        <v>CBJ</v>
      </c>
      <c r="E259" s="55" cm="1">
        <f t="array" ref="E259">VLOOKUP(A259,'The List'!B1:I671,8,FALSE)</f>
        <v>165.17399612833819</v>
      </c>
      <c r="F259" s="55" cm="1">
        <f t="array" ref="F259">IF(Settings!$E$15="POINTS",E259-VLOOKUP(B$2,C1:E407,3,FALSE),J259)</f>
        <v>-185.55902127212394</v>
      </c>
      <c r="G259" s="55"/>
      <c r="H259" s="167" cm="1">
        <f t="array" ref="H259">RANK(I259,I3:I407)</f>
        <v>118</v>
      </c>
      <c r="I259" s="168" cm="1">
        <f t="array" ref="I259">VLOOKUP(A259,'Standard Deviations'!A1:C672,3,FALSE)</f>
        <v>2.1650649651964757</v>
      </c>
      <c r="J259" s="168" cm="1">
        <f t="array" ref="J259">I259-VLOOKUP(B$2,H1:J407,2,FALSE)</f>
        <v>-3.3255783947265796</v>
      </c>
    </row>
    <row r="260" spans="1:10" ht="21.25" customHeight="1" x14ac:dyDescent="0.15">
      <c r="A260" s="10" t="s">
        <v>649</v>
      </c>
      <c r="B260" s="166" t="str" cm="1">
        <f t="array" ref="B260">VLOOKUP(A260,'The List'!B1:D671,3,FALSE)</f>
        <v>C,LW</v>
      </c>
      <c r="C260" s="74" cm="1">
        <f t="array" ref="C260">IF(Settings!$E$15="POINTS",RANK(E260,E3:E407),H260)</f>
        <v>258</v>
      </c>
      <c r="D260" s="18" t="str" cm="1">
        <f t="array" ref="D260">VLOOKUP(A260,'The List'!B1:F671,5,FALSE)</f>
        <v>COL</v>
      </c>
      <c r="E260" s="55" cm="1">
        <f t="array" ref="E260">VLOOKUP(A260,'The List'!B1:I671,8,FALSE)</f>
        <v>164.06070320209082</v>
      </c>
      <c r="F260" s="55" cm="1">
        <f t="array" ref="F260">IF(Settings!$E$15="POINTS",E260-VLOOKUP(B$2,C1:E407,3,FALSE),J260)</f>
        <v>-186.67231419837131</v>
      </c>
      <c r="G260" s="55"/>
      <c r="H260" s="167" cm="1">
        <f t="array" ref="H260">RANK(I260,I3:I407)</f>
        <v>197</v>
      </c>
      <c r="I260" s="168" cm="1">
        <f t="array" ref="I260">VLOOKUP(A260,'Standard Deviations'!A1:C672,3,FALSE)</f>
        <v>-0.9062708225497641</v>
      </c>
      <c r="J260" s="168" cm="1">
        <f t="array" ref="J260">I260-VLOOKUP(B$2,H1:J407,2,FALSE)</f>
        <v>-6.3969141824728197</v>
      </c>
    </row>
    <row r="261" spans="1:10" ht="21.25" customHeight="1" x14ac:dyDescent="0.15">
      <c r="A261" s="10" t="s">
        <v>650</v>
      </c>
      <c r="B261" s="166" t="str" cm="1">
        <f t="array" ref="B261">VLOOKUP(A261,'The List'!B1:D671,3,FALSE)</f>
        <v>C,LW</v>
      </c>
      <c r="C261" s="74" cm="1">
        <f t="array" ref="C261">IF(Settings!$E$15="POINTS",RANK(E261,E3:E407),H261)</f>
        <v>259</v>
      </c>
      <c r="D261" s="18" t="str" cm="1">
        <f t="array" ref="D261">VLOOKUP(A261,'The List'!B1:F671,5,FALSE)</f>
        <v>SEA</v>
      </c>
      <c r="E261" s="55" cm="1">
        <f t="array" ref="E261">VLOOKUP(A261,'The List'!B1:I671,8,FALSE)</f>
        <v>163.80895934809433</v>
      </c>
      <c r="F261" s="55" cm="1">
        <f t="array" ref="F261">IF(Settings!$E$15="POINTS",E261-VLOOKUP(B$2,C1:E407,3,FALSE),J261)</f>
        <v>-186.9240580523678</v>
      </c>
      <c r="G261" s="55"/>
      <c r="H261" s="167" cm="1">
        <f t="array" ref="H261">RANK(I261,I3:I407)</f>
        <v>301</v>
      </c>
      <c r="I261" s="168" cm="1">
        <f t="array" ref="I261">VLOOKUP(A261,'Standard Deviations'!A1:C672,3,FALSE)</f>
        <v>-3.3653015348614677</v>
      </c>
      <c r="J261" s="168" cm="1">
        <f t="array" ref="J261">I261-VLOOKUP(B$2,H1:J407,2,FALSE)</f>
        <v>-8.855944894784523</v>
      </c>
    </row>
    <row r="262" spans="1:10" ht="21.25" customHeight="1" x14ac:dyDescent="0.15">
      <c r="A262" s="10" t="s">
        <v>627</v>
      </c>
      <c r="B262" s="166" t="str" cm="1">
        <f t="array" ref="B262">VLOOKUP(A262,'The List'!B1:D671,3,FALSE)</f>
        <v>C</v>
      </c>
      <c r="C262" s="74" cm="1">
        <f t="array" ref="C262">IF(Settings!$E$15="POINTS",RANK(E262,E3:E407),H262)</f>
        <v>260</v>
      </c>
      <c r="D262" s="18" t="str" cm="1">
        <f t="array" ref="D262">VLOOKUP(A262,'The List'!B1:F671,5,FALSE)</f>
        <v>STL</v>
      </c>
      <c r="E262" s="55" cm="1">
        <f t="array" ref="E262">VLOOKUP(A262,'The List'!B1:I671,8,FALSE)</f>
        <v>163.47861742047604</v>
      </c>
      <c r="F262" s="55" cm="1">
        <f t="array" ref="F262">IF(Settings!$E$15="POINTS",E262-VLOOKUP(B$2,C1:E407,3,FALSE),J262)</f>
        <v>-187.25439997998609</v>
      </c>
      <c r="G262" s="55"/>
      <c r="H262" s="167" cm="1">
        <f t="array" ref="H262">RANK(I262,I3:I407)</f>
        <v>285</v>
      </c>
      <c r="I262" s="168" cm="1">
        <f t="array" ref="I262">VLOOKUP(A262,'Standard Deviations'!A1:C672,3,FALSE)</f>
        <v>-2.8794209603531997</v>
      </c>
      <c r="J262" s="168" cm="1">
        <f t="array" ref="J262">I262-VLOOKUP(B$2,H1:J407,2,FALSE)</f>
        <v>-8.3700643202762546</v>
      </c>
    </row>
    <row r="263" spans="1:10" ht="21.25" customHeight="1" x14ac:dyDescent="0.15">
      <c r="A263" s="10" t="s">
        <v>628</v>
      </c>
      <c r="B263" s="166" t="str" cm="1">
        <f t="array" ref="B263">VLOOKUP(A263,'The List'!B1:D671,3,FALSE)</f>
        <v>C</v>
      </c>
      <c r="C263" s="74" cm="1">
        <f t="array" ref="C263">IF(Settings!$E$15="POINTS",RANK(E263,E3:E407),H263)</f>
        <v>261</v>
      </c>
      <c r="D263" s="18" t="str" cm="1">
        <f t="array" ref="D263">VLOOKUP(A263,'The List'!B1:F671,5,FALSE)</f>
        <v>VAN</v>
      </c>
      <c r="E263" s="55" cm="1">
        <f t="array" ref="E263">VLOOKUP(A263,'The List'!B1:I671,8,FALSE)</f>
        <v>163.37930353912526</v>
      </c>
      <c r="F263" s="55" cm="1">
        <f t="array" ref="F263">IF(Settings!$E$15="POINTS",E263-VLOOKUP(B$2,C1:E407,3,FALSE),J263)</f>
        <v>-187.35371386133687</v>
      </c>
      <c r="G263" s="55"/>
      <c r="H263" s="167" cm="1">
        <f t="array" ref="H263">RANK(I263,I3:I407)</f>
        <v>342</v>
      </c>
      <c r="I263" s="168" cm="1">
        <f t="array" ref="I263">VLOOKUP(A263,'Standard Deviations'!A1:C672,3,FALSE)</f>
        <v>-4.3295605758499596</v>
      </c>
      <c r="J263" s="168" cm="1">
        <f t="array" ref="J263">I263-VLOOKUP(B$2,H1:J407,2,FALSE)</f>
        <v>-9.8202039357730158</v>
      </c>
    </row>
    <row r="264" spans="1:10" ht="21.25" customHeight="1" x14ac:dyDescent="0.15">
      <c r="A264" s="10" t="s">
        <v>631</v>
      </c>
      <c r="B264" s="166" t="str" cm="1">
        <f t="array" ref="B264">VLOOKUP(A264,'The List'!B1:D671,3,FALSE)</f>
        <v>C</v>
      </c>
      <c r="C264" s="74" cm="1">
        <f t="array" ref="C264">IF(Settings!$E$15="POINTS",RANK(E264,E3:E407),H264)</f>
        <v>262</v>
      </c>
      <c r="D264" s="18" t="str" cm="1">
        <f t="array" ref="D264">VLOOKUP(A264,'The List'!B1:F671,5,FALSE)</f>
        <v>MTL</v>
      </c>
      <c r="E264" s="55" cm="1">
        <f t="array" ref="E264">VLOOKUP(A264,'The List'!B1:I671,8,FALSE)</f>
        <v>162.73664907869886</v>
      </c>
      <c r="F264" s="55" cm="1">
        <f t="array" ref="F264">IF(Settings!$E$15="POINTS",E264-VLOOKUP(B$2,C1:E407,3,FALSE),J264)</f>
        <v>-187.99636832176327</v>
      </c>
      <c r="G264" s="55"/>
      <c r="H264" s="167" cm="1">
        <f t="array" ref="H264">RANK(I264,I3:I407)</f>
        <v>290</v>
      </c>
      <c r="I264" s="168" cm="1">
        <f t="array" ref="I264">VLOOKUP(A264,'Standard Deviations'!A1:C672,3,FALSE)</f>
        <v>-3.0305118897070655</v>
      </c>
      <c r="J264" s="168" cm="1">
        <f t="array" ref="J264">I264-VLOOKUP(B$2,H1:J407,2,FALSE)</f>
        <v>-8.5211552496301213</v>
      </c>
    </row>
    <row r="265" spans="1:10" ht="21.25" customHeight="1" x14ac:dyDescent="0.15">
      <c r="A265" s="10" t="s">
        <v>648</v>
      </c>
      <c r="B265" s="166" t="str" cm="1">
        <f t="array" ref="B265">VLOOKUP(A265,'The List'!B1:D671,3,FALSE)</f>
        <v>LW,RW</v>
      </c>
      <c r="C265" s="74" cm="1">
        <f t="array" ref="C265">IF(Settings!$E$15="POINTS",RANK(E265,E3:E407),H265)</f>
        <v>263</v>
      </c>
      <c r="D265" s="18" t="str" cm="1">
        <f t="array" ref="D265">VLOOKUP(A265,'The List'!B1:F671,5,FALSE)</f>
        <v>VGK</v>
      </c>
      <c r="E265" s="55" cm="1">
        <f t="array" ref="E265">VLOOKUP(A265,'The List'!B1:I671,8,FALSE)</f>
        <v>161.58573696180008</v>
      </c>
      <c r="F265" s="55" cm="1">
        <f t="array" ref="F265">IF(Settings!$E$15="POINTS",E265-VLOOKUP(B$2,C1:E407,3,FALSE),J265)</f>
        <v>-189.14728043866205</v>
      </c>
      <c r="G265" s="55"/>
      <c r="H265" s="167" cm="1">
        <f t="array" ref="H265">RANK(I265,I3:I407)</f>
        <v>278</v>
      </c>
      <c r="I265" s="168" cm="1">
        <f t="array" ref="I265">VLOOKUP(A265,'Standard Deviations'!A1:C672,3,FALSE)</f>
        <v>-2.6650322048251658</v>
      </c>
      <c r="J265" s="168" cm="1">
        <f t="array" ref="J265">I265-VLOOKUP(B$2,H1:J407,2,FALSE)</f>
        <v>-8.155675564748222</v>
      </c>
    </row>
    <row r="266" spans="1:10" ht="21.25" customHeight="1" x14ac:dyDescent="0.15">
      <c r="A266" s="10" t="s">
        <v>634</v>
      </c>
      <c r="B266" s="166" t="str" cm="1">
        <f t="array" ref="B266">VLOOKUP(A266,'The List'!B1:D671,3,FALSE)</f>
        <v>C</v>
      </c>
      <c r="C266" s="74" cm="1">
        <f t="array" ref="C266">IF(Settings!$E$15="POINTS",RANK(E266,E3:E407),H266)</f>
        <v>264</v>
      </c>
      <c r="D266" s="18" t="str" cm="1">
        <f t="array" ref="D266">VLOOKUP(A266,'The List'!B1:F671,5,FALSE)</f>
        <v>NYR</v>
      </c>
      <c r="E266" s="55" cm="1">
        <f t="array" ref="E266">VLOOKUP(A266,'The List'!B1:I671,8,FALSE)</f>
        <v>161.337632082765</v>
      </c>
      <c r="F266" s="55" cm="1">
        <f t="array" ref="F266">IF(Settings!$E$15="POINTS",E266-VLOOKUP(B$2,C1:E407,3,FALSE),J266)</f>
        <v>-189.39538531769713</v>
      </c>
      <c r="G266" s="55"/>
      <c r="H266" s="167" cm="1">
        <f t="array" ref="H266">RANK(I266,I3:I407)</f>
        <v>251</v>
      </c>
      <c r="I266" s="168" cm="1">
        <f t="array" ref="I266">VLOOKUP(A266,'Standard Deviations'!A1:C672,3,FALSE)</f>
        <v>-2.2082247514453677</v>
      </c>
      <c r="J266" s="168" cm="1">
        <f t="array" ref="J266">I266-VLOOKUP(B$2,H1:J407,2,FALSE)</f>
        <v>-7.698868111368423</v>
      </c>
    </row>
    <row r="267" spans="1:10" ht="21.25" customHeight="1" x14ac:dyDescent="0.15">
      <c r="A267" s="10" t="s">
        <v>636</v>
      </c>
      <c r="B267" s="166" t="str" cm="1">
        <f t="array" ref="B267">VLOOKUP(A267,'The List'!B1:D671,3,FALSE)</f>
        <v>C</v>
      </c>
      <c r="C267" s="74" cm="1">
        <f t="array" ref="C267">IF(Settings!$E$15="POINTS",RANK(E267,E3:E407),H267)</f>
        <v>265</v>
      </c>
      <c r="D267" s="18" t="str" cm="1">
        <f t="array" ref="D267">VLOOKUP(A267,'The List'!B1:F671,5,FALSE)</f>
        <v>T.B</v>
      </c>
      <c r="E267" s="55" cm="1">
        <f t="array" ref="E267">VLOOKUP(A267,'The List'!B1:I671,8,FALSE)</f>
        <v>160.38045837053971</v>
      </c>
      <c r="F267" s="55" cm="1">
        <f t="array" ref="F267">IF(Settings!$E$15="POINTS",E267-VLOOKUP(B$2,C1:E407,3,FALSE),J267)</f>
        <v>-190.35255902992242</v>
      </c>
      <c r="G267" s="55"/>
      <c r="H267" s="167" cm="1">
        <f t="array" ref="H267">RANK(I267,I3:I407)</f>
        <v>176</v>
      </c>
      <c r="I267" s="168" cm="1">
        <f t="array" ref="I267">VLOOKUP(A267,'Standard Deviations'!A1:C672,3,FALSE)</f>
        <v>-0.30429311272009074</v>
      </c>
      <c r="J267" s="168" cm="1">
        <f t="array" ref="J267">I267-VLOOKUP(B$2,H1:J407,2,FALSE)</f>
        <v>-5.7949364726431458</v>
      </c>
    </row>
    <row r="268" spans="1:10" ht="21.25" customHeight="1" x14ac:dyDescent="0.15">
      <c r="A268" s="10" t="s">
        <v>660</v>
      </c>
      <c r="B268" s="166" t="str" cm="1">
        <f t="array" ref="B268">VLOOKUP(A268,'The List'!B1:D671,3,FALSE)</f>
        <v>C,LW</v>
      </c>
      <c r="C268" s="74" cm="1">
        <f t="array" ref="C268">IF(Settings!$E$15="POINTS",RANK(E268,E3:E407),H268)</f>
        <v>266</v>
      </c>
      <c r="D268" s="18" t="str" cm="1">
        <f t="array" ref="D268">VLOOKUP(A268,'The List'!B1:F671,5,FALSE)</f>
        <v>L.A</v>
      </c>
      <c r="E268" s="55" cm="1">
        <f t="array" ref="E268">VLOOKUP(A268,'The List'!B1:I671,8,FALSE)</f>
        <v>160.11576418090513</v>
      </c>
      <c r="F268" s="55" cm="1">
        <f t="array" ref="F268">IF(Settings!$E$15="POINTS",E268-VLOOKUP(B$2,C1:E407,3,FALSE),J268)</f>
        <v>-190.617253219557</v>
      </c>
      <c r="G268" s="55"/>
      <c r="H268" s="167" cm="1">
        <f t="array" ref="H268">RANK(I268,I3:I407)</f>
        <v>264</v>
      </c>
      <c r="I268" s="168" cm="1">
        <f t="array" ref="I268">VLOOKUP(A268,'Standard Deviations'!A1:C672,3,FALSE)</f>
        <v>-2.4975367879286186</v>
      </c>
      <c r="J268" s="168" cm="1">
        <f t="array" ref="J268">I268-VLOOKUP(B$2,H1:J407,2,FALSE)</f>
        <v>-7.9881801478516739</v>
      </c>
    </row>
    <row r="269" spans="1:10" ht="21.25" customHeight="1" x14ac:dyDescent="0.15">
      <c r="A269" s="10" t="s">
        <v>641</v>
      </c>
      <c r="B269" s="166" t="str" cm="1">
        <f t="array" ref="B269">VLOOKUP(A269,'The List'!B1:D671,3,FALSE)</f>
        <v>C</v>
      </c>
      <c r="C269" s="74" cm="1">
        <f t="array" ref="C269">IF(Settings!$E$15="POINTS",RANK(E269,E3:E407),H269)</f>
        <v>267</v>
      </c>
      <c r="D269" s="18" t="str" cm="1">
        <f t="array" ref="D269">VLOOKUP(A269,'The List'!B1:F671,5,FALSE)</f>
        <v>WPG</v>
      </c>
      <c r="E269" s="55" cm="1">
        <f t="array" ref="E269">VLOOKUP(A269,'The List'!B1:I671,8,FALSE)</f>
        <v>158.65927600151582</v>
      </c>
      <c r="F269" s="55" cm="1">
        <f t="array" ref="F269">IF(Settings!$E$15="POINTS",E269-VLOOKUP(B$2,C1:E407,3,FALSE),J269)</f>
        <v>-192.07374139894631</v>
      </c>
      <c r="G269" s="55"/>
      <c r="H269" s="167" cm="1">
        <f t="array" ref="H269">RANK(I269,I3:I407)</f>
        <v>235</v>
      </c>
      <c r="I269" s="168" cm="1">
        <f t="array" ref="I269">VLOOKUP(A269,'Standard Deviations'!A1:C672,3,FALSE)</f>
        <v>-1.8889924476446918</v>
      </c>
      <c r="J269" s="168" cm="1">
        <f t="array" ref="J269">I269-VLOOKUP(B$2,H1:J407,2,FALSE)</f>
        <v>-7.3796358075677473</v>
      </c>
    </row>
    <row r="270" spans="1:10" ht="21.25" customHeight="1" x14ac:dyDescent="0.15">
      <c r="A270" s="10" t="s">
        <v>652</v>
      </c>
      <c r="B270" s="166" t="str" cm="1">
        <f t="array" ref="B270">VLOOKUP(A270,'The List'!B1:D671,3,FALSE)</f>
        <v>LW,RW</v>
      </c>
      <c r="C270" s="74" cm="1">
        <f t="array" ref="C270">IF(Settings!$E$15="POINTS",RANK(E270,E3:E407),H270)</f>
        <v>268</v>
      </c>
      <c r="D270" s="18" t="str" cm="1">
        <f t="array" ref="D270">VLOOKUP(A270,'The List'!B1:F671,5,FALSE)</f>
        <v>T.B</v>
      </c>
      <c r="E270" s="55" cm="1">
        <f t="array" ref="E270">VLOOKUP(A270,'The List'!B1:I671,8,FALSE)</f>
        <v>158.52835148460397</v>
      </c>
      <c r="F270" s="55" cm="1">
        <f t="array" ref="F270">IF(Settings!$E$15="POINTS",E270-VLOOKUP(B$2,C1:E407,3,FALSE),J270)</f>
        <v>-192.20466591585816</v>
      </c>
      <c r="G270" s="55"/>
      <c r="H270" s="167" cm="1">
        <f t="array" ref="H270">RANK(I270,I3:I407)</f>
        <v>273</v>
      </c>
      <c r="I270" s="168" cm="1">
        <f t="array" ref="I270">VLOOKUP(A270,'Standard Deviations'!A1:C672,3,FALSE)</f>
        <v>-2.5933096611094397</v>
      </c>
      <c r="J270" s="168" cm="1">
        <f t="array" ref="J270">I270-VLOOKUP(B$2,H1:J407,2,FALSE)</f>
        <v>-8.0839530210324959</v>
      </c>
    </row>
    <row r="271" spans="1:10" ht="21.25" customHeight="1" x14ac:dyDescent="0.15">
      <c r="A271" s="10" t="s">
        <v>642</v>
      </c>
      <c r="B271" s="166" t="str" cm="1">
        <f t="array" ref="B271">VLOOKUP(A271,'The List'!B1:D671,3,FALSE)</f>
        <v>C</v>
      </c>
      <c r="C271" s="74" cm="1">
        <f t="array" ref="C271">IF(Settings!$E$15="POINTS",RANK(E271,E3:E407),H271)</f>
        <v>269</v>
      </c>
      <c r="D271" s="18" t="str" cm="1">
        <f t="array" ref="D271">VLOOKUP(A271,'The List'!B1:F671,5,FALSE)</f>
        <v>DET</v>
      </c>
      <c r="E271" s="55" cm="1">
        <f t="array" ref="E271">VLOOKUP(A271,'The List'!B1:I671,8,FALSE)</f>
        <v>158.51598718718785</v>
      </c>
      <c r="F271" s="55" cm="1">
        <f t="array" ref="F271">IF(Settings!$E$15="POINTS",E271-VLOOKUP(B$2,C1:E407,3,FALSE),J271)</f>
        <v>-192.21703021327428</v>
      </c>
      <c r="G271" s="55"/>
      <c r="H271" s="167" cm="1">
        <f t="array" ref="H271">RANK(I271,I3:I407)</f>
        <v>317</v>
      </c>
      <c r="I271" s="168" cm="1">
        <f t="array" ref="I271">VLOOKUP(A271,'Standard Deviations'!A1:C672,3,FALSE)</f>
        <v>-3.7592228194923769</v>
      </c>
      <c r="J271" s="168" cm="1">
        <f t="array" ref="J271">I271-VLOOKUP(B$2,H1:J407,2,FALSE)</f>
        <v>-9.2498661794154327</v>
      </c>
    </row>
    <row r="272" spans="1:10" ht="21.25" customHeight="1" x14ac:dyDescent="0.15">
      <c r="A272" s="10" t="s">
        <v>657</v>
      </c>
      <c r="B272" s="166" t="str" cm="1">
        <f t="array" ref="B272">VLOOKUP(A272,'The List'!B1:D671,3,FALSE)</f>
        <v>RW</v>
      </c>
      <c r="C272" s="74" cm="1">
        <f t="array" ref="C272">IF(Settings!$E$15="POINTS",RANK(E272,E3:E407),H272)</f>
        <v>270</v>
      </c>
      <c r="D272" s="18" t="str" cm="1">
        <f t="array" ref="D272">VLOOKUP(A272,'The List'!B1:F671,5,FALSE)</f>
        <v>PIT</v>
      </c>
      <c r="E272" s="55" cm="1">
        <f t="array" ref="E272">VLOOKUP(A272,'The List'!B1:I671,8,FALSE)</f>
        <v>156.32491163151195</v>
      </c>
      <c r="F272" s="55" cm="1">
        <f t="array" ref="F272">IF(Settings!$E$15="POINTS",E272-VLOOKUP(B$2,C1:E407,3,FALSE),J272)</f>
        <v>-194.40810576895018</v>
      </c>
      <c r="G272" s="55"/>
      <c r="H272" s="167" cm="1">
        <f t="array" ref="H272">RANK(I272,I3:I407)</f>
        <v>308</v>
      </c>
      <c r="I272" s="168" cm="1">
        <f t="array" ref="I272">VLOOKUP(A272,'Standard Deviations'!A1:C672,3,FALSE)</f>
        <v>-3.5602767014653418</v>
      </c>
      <c r="J272" s="168" cm="1">
        <f t="array" ref="J272">I272-VLOOKUP(B$2,H1:J407,2,FALSE)</f>
        <v>-9.0509200613883962</v>
      </c>
    </row>
    <row r="273" spans="1:10" ht="21.25" customHeight="1" x14ac:dyDescent="0.15">
      <c r="A273" s="10" t="s">
        <v>666</v>
      </c>
      <c r="B273" s="166" t="str" cm="1">
        <f t="array" ref="B273">VLOOKUP(A273,'The List'!B1:D671,3,FALSE)</f>
        <v>C,LW</v>
      </c>
      <c r="C273" s="74" cm="1">
        <f t="array" ref="C273">IF(Settings!$E$15="POINTS",RANK(E273,E3:E407),H273)</f>
        <v>271</v>
      </c>
      <c r="D273" s="18" t="str" cm="1">
        <f t="array" ref="D273">VLOOKUP(A273,'The List'!B1:F671,5,FALSE)</f>
        <v>DAL</v>
      </c>
      <c r="E273" s="55" cm="1">
        <f t="array" ref="E273">VLOOKUP(A273,'The List'!B1:I671,8,FALSE)</f>
        <v>156.13141068931625</v>
      </c>
      <c r="F273" s="55" cm="1">
        <f t="array" ref="F273">IF(Settings!$E$15="POINTS",E273-VLOOKUP(B$2,C1:E407,3,FALSE),J273)</f>
        <v>-194.60160671114588</v>
      </c>
      <c r="G273" s="55"/>
      <c r="H273" s="167" cm="1">
        <f t="array" ref="H273">RANK(I273,I3:I407)</f>
        <v>202</v>
      </c>
      <c r="I273" s="168" cm="1">
        <f t="array" ref="I273">VLOOKUP(A273,'Standard Deviations'!A1:C672,3,FALSE)</f>
        <v>-1.0466563569080498</v>
      </c>
      <c r="J273" s="168" cm="1">
        <f t="array" ref="J273">I273-VLOOKUP(B$2,H1:J407,2,FALSE)</f>
        <v>-6.5372997168311056</v>
      </c>
    </row>
    <row r="274" spans="1:10" ht="21.25" customHeight="1" x14ac:dyDescent="0.15">
      <c r="A274" s="10" t="s">
        <v>668</v>
      </c>
      <c r="B274" s="166" t="str" cm="1">
        <f t="array" ref="B274">VLOOKUP(A274,'The List'!B1:D671,3,FALSE)</f>
        <v>C,LW</v>
      </c>
      <c r="C274" s="74" cm="1">
        <f t="array" ref="C274">IF(Settings!$E$15="POINTS",RANK(E274,E3:E407),H274)</f>
        <v>272</v>
      </c>
      <c r="D274" s="18" t="str" cm="1">
        <f t="array" ref="D274">VLOOKUP(A274,'The List'!B1:F671,5,FALSE)</f>
        <v>T.B</v>
      </c>
      <c r="E274" s="55" cm="1">
        <f t="array" ref="E274">VLOOKUP(A274,'The List'!B1:I671,8,FALSE)</f>
        <v>154.14218459151215</v>
      </c>
      <c r="F274" s="55" cm="1">
        <f t="array" ref="F274">IF(Settings!$E$15="POINTS",E274-VLOOKUP(B$2,C1:E407,3,FALSE),J274)</f>
        <v>-196.59083280894998</v>
      </c>
      <c r="G274" s="55"/>
      <c r="H274" s="167" cm="1">
        <f t="array" ref="H274">RANK(I274,I3:I407)</f>
        <v>211</v>
      </c>
      <c r="I274" s="168" cm="1">
        <f t="array" ref="I274">VLOOKUP(A274,'Standard Deviations'!A1:C672,3,FALSE)</f>
        <v>-1.1809209112842955</v>
      </c>
      <c r="J274" s="168" cm="1">
        <f t="array" ref="J274">I274-VLOOKUP(B$2,H1:J407,2,FALSE)</f>
        <v>-6.6715642712073508</v>
      </c>
    </row>
    <row r="275" spans="1:10" ht="21.25" customHeight="1" x14ac:dyDescent="0.15">
      <c r="A275" s="10" t="s">
        <v>671</v>
      </c>
      <c r="B275" s="166" t="str" cm="1">
        <f t="array" ref="B275">VLOOKUP(A275,'The List'!B1:D671,3,FALSE)</f>
        <v>LW</v>
      </c>
      <c r="C275" s="74" cm="1">
        <f t="array" ref="C275">IF(Settings!$E$15="POINTS",RANK(E275,E3:E407),H275)</f>
        <v>273</v>
      </c>
      <c r="D275" s="18" t="str" cm="1">
        <f t="array" ref="D275">VLOOKUP(A275,'The List'!B1:F671,5,FALSE)</f>
        <v>BOS</v>
      </c>
      <c r="E275" s="55" cm="1">
        <f t="array" ref="E275">VLOOKUP(A275,'The List'!B1:I671,8,FALSE)</f>
        <v>153.0046557202665</v>
      </c>
      <c r="F275" s="55" cm="1">
        <f t="array" ref="F275">IF(Settings!$E$15="POINTS",E275-VLOOKUP(B$2,C1:E407,3,FALSE),J275)</f>
        <v>-197.72836168019563</v>
      </c>
      <c r="G275" s="55"/>
      <c r="H275" s="167" cm="1">
        <f t="array" ref="H275">RANK(I275,I3:I407)</f>
        <v>217</v>
      </c>
      <c r="I275" s="168" cm="1">
        <f t="array" ref="I275">VLOOKUP(A275,'Standard Deviations'!A1:C672,3,FALSE)</f>
        <v>-1.4709474636170294</v>
      </c>
      <c r="J275" s="168" cm="1">
        <f t="array" ref="J275">I275-VLOOKUP(B$2,H1:J407,2,FALSE)</f>
        <v>-6.9615908235400852</v>
      </c>
    </row>
    <row r="276" spans="1:10" ht="21.25" customHeight="1" x14ac:dyDescent="0.15">
      <c r="A276" s="10" t="s">
        <v>672</v>
      </c>
      <c r="B276" s="166" t="str" cm="1">
        <f t="array" ref="B276">VLOOKUP(A276,'The List'!B1:D671,3,FALSE)</f>
        <v>C,LW</v>
      </c>
      <c r="C276" s="74" cm="1">
        <f t="array" ref="C276">IF(Settings!$E$15="POINTS",RANK(E276,E3:E407),H276)</f>
        <v>274</v>
      </c>
      <c r="D276" s="18" t="str" cm="1">
        <f t="array" ref="D276">VLOOKUP(A276,'The List'!B1:F671,5,FALSE)</f>
        <v>WPG</v>
      </c>
      <c r="E276" s="55" cm="1">
        <f t="array" ref="E276">VLOOKUP(A276,'The List'!B1:I671,8,FALSE)</f>
        <v>152.2931111061238</v>
      </c>
      <c r="F276" s="55" cm="1">
        <f t="array" ref="F276">IF(Settings!$E$15="POINTS",E276-VLOOKUP(B$2,C1:E407,3,FALSE),J276)</f>
        <v>-198.43990629433833</v>
      </c>
      <c r="G276" s="55"/>
      <c r="H276" s="167" cm="1">
        <f t="array" ref="H276">RANK(I276,I3:I407)</f>
        <v>274</v>
      </c>
      <c r="I276" s="168" cm="1">
        <f t="array" ref="I276">VLOOKUP(A276,'Standard Deviations'!A1:C672,3,FALSE)</f>
        <v>-2.6181987270517548</v>
      </c>
      <c r="J276" s="168" cm="1">
        <f t="array" ref="J276">I276-VLOOKUP(B$2,H1:J407,2,FALSE)</f>
        <v>-8.1088420869748106</v>
      </c>
    </row>
    <row r="277" spans="1:10" ht="21.25" customHeight="1" x14ac:dyDescent="0.15">
      <c r="A277" s="10" t="s">
        <v>673</v>
      </c>
      <c r="B277" s="166" t="str" cm="1">
        <f t="array" ref="B277">VLOOKUP(A277,'The List'!B1:D671,3,FALSE)</f>
        <v>C,LW</v>
      </c>
      <c r="C277" s="74" cm="1">
        <f t="array" ref="C277">IF(Settings!$E$15="POINTS",RANK(E277,E3:E407),H277)</f>
        <v>275</v>
      </c>
      <c r="D277" s="18" t="str" cm="1">
        <f t="array" ref="D277">VLOOKUP(A277,'The List'!B1:F671,5,FALSE)</f>
        <v>TOR</v>
      </c>
      <c r="E277" s="55" cm="1">
        <f t="array" ref="E277">VLOOKUP(A277,'The List'!B1:I671,8,FALSE)</f>
        <v>152.10078647623914</v>
      </c>
      <c r="F277" s="55" cm="1">
        <f t="array" ref="F277">IF(Settings!$E$15="POINTS",E277-VLOOKUP(B$2,C1:E407,3,FALSE),J277)</f>
        <v>-198.63223092422299</v>
      </c>
      <c r="G277" s="55"/>
      <c r="H277" s="167" cm="1">
        <f t="array" ref="H277">RANK(I277,I3:I407)</f>
        <v>216</v>
      </c>
      <c r="I277" s="168" cm="1">
        <f t="array" ref="I277">VLOOKUP(A277,'Standard Deviations'!A1:C672,3,FALSE)</f>
        <v>-1.4687639745274956</v>
      </c>
      <c r="J277" s="168" cm="1">
        <f t="array" ref="J277">I277-VLOOKUP(B$2,H1:J407,2,FALSE)</f>
        <v>-6.9594073344505514</v>
      </c>
    </row>
    <row r="278" spans="1:10" ht="21.25" customHeight="1" x14ac:dyDescent="0.15">
      <c r="A278" s="10" t="s">
        <v>667</v>
      </c>
      <c r="B278" s="166" t="str" cm="1">
        <f t="array" ref="B278">VLOOKUP(A278,'The List'!B1:D671,3,FALSE)</f>
        <v>C,RW</v>
      </c>
      <c r="C278" s="74" cm="1">
        <f t="array" ref="C278">IF(Settings!$E$15="POINTS",RANK(E278,E3:E407),H278)</f>
        <v>276</v>
      </c>
      <c r="D278" s="18" t="str" cm="1">
        <f t="array" ref="D278">VLOOKUP(A278,'The List'!B1:F671,5,FALSE)</f>
        <v>COL</v>
      </c>
      <c r="E278" s="55" cm="1">
        <f t="array" ref="E278">VLOOKUP(A278,'The List'!B1:I671,8,FALSE)</f>
        <v>151.52782171336438</v>
      </c>
      <c r="F278" s="55" cm="1">
        <f t="array" ref="F278">IF(Settings!$E$15="POINTS",E278-VLOOKUP(B$2,C1:E407,3,FALSE),J278)</f>
        <v>-199.20519568709776</v>
      </c>
      <c r="G278" s="55"/>
      <c r="H278" s="167" cm="1">
        <f t="array" ref="H278">RANK(I278,I3:I407)</f>
        <v>232</v>
      </c>
      <c r="I278" s="168" cm="1">
        <f t="array" ref="I278">VLOOKUP(A278,'Standard Deviations'!A1:C672,3,FALSE)</f>
        <v>-1.8429988272330453</v>
      </c>
      <c r="J278" s="168" cm="1">
        <f t="array" ref="J278">I278-VLOOKUP(B$2,H1:J407,2,FALSE)</f>
        <v>-7.3336421871561006</v>
      </c>
    </row>
    <row r="279" spans="1:10" ht="21.25" customHeight="1" x14ac:dyDescent="0.15">
      <c r="A279" s="10" t="s">
        <v>669</v>
      </c>
      <c r="B279" s="166" t="str" cm="1">
        <f t="array" ref="B279">VLOOKUP(A279,'The List'!B1:D671,3,FALSE)</f>
        <v>C,RW</v>
      </c>
      <c r="C279" s="74" cm="1">
        <f t="array" ref="C279">IF(Settings!$E$15="POINTS",RANK(E279,E3:E407),H279)</f>
        <v>277</v>
      </c>
      <c r="D279" s="18" t="str" cm="1">
        <f t="array" ref="D279">VLOOKUP(A279,'The List'!B1:F671,5,FALSE)</f>
        <v>N.J</v>
      </c>
      <c r="E279" s="55" cm="1">
        <f t="array" ref="E279">VLOOKUP(A279,'The List'!B1:I671,8,FALSE)</f>
        <v>149.51594419857432</v>
      </c>
      <c r="F279" s="55" cm="1">
        <f t="array" ref="F279">IF(Settings!$E$15="POINTS",E279-VLOOKUP(B$2,C1:E407,3,FALSE),J279)</f>
        <v>-201.21707320188781</v>
      </c>
      <c r="G279" s="55"/>
      <c r="H279" s="167" cm="1">
        <f t="array" ref="H279">RANK(I279,I3:I407)</f>
        <v>292</v>
      </c>
      <c r="I279" s="168" cm="1">
        <f t="array" ref="I279">VLOOKUP(A279,'Standard Deviations'!A1:C672,3,FALSE)</f>
        <v>-3.1258471731550865</v>
      </c>
      <c r="J279" s="168" cm="1">
        <f t="array" ref="J279">I279-VLOOKUP(B$2,H1:J407,2,FALSE)</f>
        <v>-8.6164905330781423</v>
      </c>
    </row>
    <row r="280" spans="1:10" ht="21.25" customHeight="1" x14ac:dyDescent="0.15">
      <c r="A280" s="10" t="s">
        <v>679</v>
      </c>
      <c r="B280" s="166" t="str" cm="1">
        <f t="array" ref="B280">VLOOKUP(A280,'The List'!B1:D671,3,FALSE)</f>
        <v>C,LW</v>
      </c>
      <c r="C280" s="74" cm="1">
        <f t="array" ref="C280">IF(Settings!$E$15="POINTS",RANK(E280,E3:E407),H280)</f>
        <v>278</v>
      </c>
      <c r="D280" s="18" t="str" cm="1">
        <f t="array" ref="D280">VLOOKUP(A280,'The List'!B1:F671,5,FALSE)</f>
        <v>BOS</v>
      </c>
      <c r="E280" s="55" cm="1">
        <f t="array" ref="E280">VLOOKUP(A280,'The List'!B1:I671,8,FALSE)</f>
        <v>149.15578870461394</v>
      </c>
      <c r="F280" s="55" cm="1">
        <f t="array" ref="F280">IF(Settings!$E$15="POINTS",E280-VLOOKUP(B$2,C1:E407,3,FALSE),J280)</f>
        <v>-201.57722869584819</v>
      </c>
      <c r="G280" s="55"/>
      <c r="H280" s="167" cm="1">
        <f t="array" ref="H280">RANK(I280,I3:I407)</f>
        <v>328</v>
      </c>
      <c r="I280" s="168" cm="1">
        <f t="array" ref="I280">VLOOKUP(A280,'Standard Deviations'!A1:C672,3,FALSE)</f>
        <v>-4.0432539563229764</v>
      </c>
      <c r="J280" s="168" cm="1">
        <f t="array" ref="J280">I280-VLOOKUP(B$2,H1:J407,2,FALSE)</f>
        <v>-9.5338973162460317</v>
      </c>
    </row>
    <row r="281" spans="1:10" ht="21.25" customHeight="1" x14ac:dyDescent="0.15">
      <c r="A281" s="10" t="s">
        <v>680</v>
      </c>
      <c r="B281" s="166" t="str" cm="1">
        <f t="array" ref="B281">VLOOKUP(A281,'The List'!B1:D671,3,FALSE)</f>
        <v>C,LW</v>
      </c>
      <c r="C281" s="74" cm="1">
        <f t="array" ref="C281">IF(Settings!$E$15="POINTS",RANK(E281,E3:E407),H281)</f>
        <v>279</v>
      </c>
      <c r="D281" s="18" t="str" cm="1">
        <f t="array" ref="D281">VLOOKUP(A281,'The List'!B1:F671,5,FALSE)</f>
        <v>PIT</v>
      </c>
      <c r="E281" s="55" cm="1">
        <f t="array" ref="E281">VLOOKUP(A281,'The List'!B1:I671,8,FALSE)</f>
        <v>148.92316495648106</v>
      </c>
      <c r="F281" s="55" cm="1">
        <f t="array" ref="F281">IF(Settings!$E$15="POINTS",E281-VLOOKUP(B$2,C1:E407,3,FALSE),J281)</f>
        <v>-201.80985244398107</v>
      </c>
      <c r="G281" s="55"/>
      <c r="H281" s="167" cm="1">
        <f t="array" ref="H281">RANK(I281,I3:I407)</f>
        <v>304</v>
      </c>
      <c r="I281" s="168" cm="1">
        <f t="array" ref="I281">VLOOKUP(A281,'Standard Deviations'!A1:C672,3,FALSE)</f>
        <v>-3.4618159793086178</v>
      </c>
      <c r="J281" s="168" cm="1">
        <f t="array" ref="J281">I281-VLOOKUP(B$2,H1:J407,2,FALSE)</f>
        <v>-8.9524593392316731</v>
      </c>
    </row>
    <row r="282" spans="1:10" ht="21.25" customHeight="1" x14ac:dyDescent="0.15">
      <c r="A282" s="10" t="s">
        <v>656</v>
      </c>
      <c r="B282" s="166" t="str" cm="1">
        <f t="array" ref="B282">VLOOKUP(A282,'The List'!B1:D671,3,FALSE)</f>
        <v>C</v>
      </c>
      <c r="C282" s="74" cm="1">
        <f t="array" ref="C282">IF(Settings!$E$15="POINTS",RANK(E282,E3:E407),H282)</f>
        <v>280</v>
      </c>
      <c r="D282" s="18" t="str" cm="1">
        <f t="array" ref="D282">VLOOKUP(A282,'The List'!B1:F671,5,FALSE)</f>
        <v>TOR</v>
      </c>
      <c r="E282" s="55" cm="1">
        <f t="array" ref="E282">VLOOKUP(A282,'The List'!B1:I671,8,FALSE)</f>
        <v>148.42194902572274</v>
      </c>
      <c r="F282" s="55" cm="1">
        <f t="array" ref="F282">IF(Settings!$E$15="POINTS",E282-VLOOKUP(B$2,C1:E407,3,FALSE),J282)</f>
        <v>-202.31106837473939</v>
      </c>
      <c r="G282" s="55"/>
      <c r="H282" s="167" cm="1">
        <f t="array" ref="H282">RANK(I282,I3:I407)</f>
        <v>276</v>
      </c>
      <c r="I282" s="168" cm="1">
        <f t="array" ref="I282">VLOOKUP(A282,'Standard Deviations'!A1:C672,3,FALSE)</f>
        <v>-2.6395032719234406</v>
      </c>
      <c r="J282" s="168" cm="1">
        <f t="array" ref="J282">I282-VLOOKUP(B$2,H1:J407,2,FALSE)</f>
        <v>-8.1301466318464968</v>
      </c>
    </row>
    <row r="283" spans="1:10" ht="21.25" customHeight="1" x14ac:dyDescent="0.15">
      <c r="A283" s="10" t="s">
        <v>659</v>
      </c>
      <c r="B283" s="166" t="str" cm="1">
        <f t="array" ref="B283">VLOOKUP(A283,'The List'!B1:D671,3,FALSE)</f>
        <v>C</v>
      </c>
      <c r="C283" s="74" cm="1">
        <f t="array" ref="C283">IF(Settings!$E$15="POINTS",RANK(E283,E3:E407),H283)</f>
        <v>281</v>
      </c>
      <c r="D283" s="18" t="str" cm="1">
        <f t="array" ref="D283">VLOOKUP(A283,'The List'!B1:F671,5,FALSE)</f>
        <v>DET</v>
      </c>
      <c r="E283" s="55" cm="1">
        <f t="array" ref="E283">VLOOKUP(A283,'The List'!B1:I671,8,FALSE)</f>
        <v>147.63915242422775</v>
      </c>
      <c r="F283" s="55" cm="1">
        <f t="array" ref="F283">IF(Settings!$E$15="POINTS",E283-VLOOKUP(B$2,C1:E407,3,FALSE),J283)</f>
        <v>-203.09386497623439</v>
      </c>
      <c r="G283" s="55"/>
      <c r="H283" s="167" cm="1">
        <f t="array" ref="H283">RANK(I283,I3:I407)</f>
        <v>319</v>
      </c>
      <c r="I283" s="168" cm="1">
        <f t="array" ref="I283">VLOOKUP(A283,'Standard Deviations'!A1:C672,3,FALSE)</f>
        <v>-3.8155008341569836</v>
      </c>
      <c r="J283" s="168" cm="1">
        <f t="array" ref="J283">I283-VLOOKUP(B$2,H1:J407,2,FALSE)</f>
        <v>-9.3061441940800389</v>
      </c>
    </row>
    <row r="284" spans="1:10" ht="21.25" customHeight="1" x14ac:dyDescent="0.15">
      <c r="A284" s="10" t="s">
        <v>684</v>
      </c>
      <c r="B284" s="166" t="str" cm="1">
        <f t="array" ref="B284">VLOOKUP(A284,'The List'!B1:D671,3,FALSE)</f>
        <v>C,LW</v>
      </c>
      <c r="C284" s="74" cm="1">
        <f t="array" ref="C284">IF(Settings!$E$15="POINTS",RANK(E284,E3:E407),H284)</f>
        <v>282</v>
      </c>
      <c r="D284" s="18" t="str" cm="1">
        <f t="array" ref="D284">VLOOKUP(A284,'The List'!B1:F671,5,FALSE)</f>
        <v>UTA</v>
      </c>
      <c r="E284" s="55" cm="1">
        <f t="array" ref="E284">VLOOKUP(A284,'The List'!B1:I671,8,FALSE)</f>
        <v>147.34149050842899</v>
      </c>
      <c r="F284" s="55" cm="1">
        <f t="array" ref="F284">IF(Settings!$E$15="POINTS",E284-VLOOKUP(B$2,C1:E407,3,FALSE),J284)</f>
        <v>-203.39152689203314</v>
      </c>
      <c r="G284" s="55"/>
      <c r="H284" s="167" cm="1">
        <f t="array" ref="H284">RANK(I284,I3:I407)</f>
        <v>189</v>
      </c>
      <c r="I284" s="168" cm="1">
        <f t="array" ref="I284">VLOOKUP(A284,'Standard Deviations'!A1:C672,3,FALSE)</f>
        <v>-0.63313244656736023</v>
      </c>
      <c r="J284" s="168" cm="1">
        <f t="array" ref="J284">I284-VLOOKUP(B$2,H1:J407,2,FALSE)</f>
        <v>-6.123775806490416</v>
      </c>
    </row>
    <row r="285" spans="1:10" ht="21.25" customHeight="1" x14ac:dyDescent="0.15">
      <c r="A285" s="10" t="s">
        <v>661</v>
      </c>
      <c r="B285" s="166" t="str" cm="1">
        <f t="array" ref="B285">VLOOKUP(A285,'The List'!B1:D671,3,FALSE)</f>
        <v>C</v>
      </c>
      <c r="C285" s="74" cm="1">
        <f t="array" ref="C285">IF(Settings!$E$15="POINTS",RANK(E285,E3:E407),H285)</f>
        <v>283</v>
      </c>
      <c r="D285" s="18" t="str" cm="1">
        <f t="array" ref="D285">VLOOKUP(A285,'The List'!B1:F671,5,FALSE)</f>
        <v>CGY</v>
      </c>
      <c r="E285" s="55" cm="1">
        <f t="array" ref="E285">VLOOKUP(A285,'The List'!B1:I671,8,FALSE)</f>
        <v>147.31566899271124</v>
      </c>
      <c r="F285" s="55" cm="1">
        <f t="array" ref="F285">IF(Settings!$E$15="POINTS",E285-VLOOKUP(B$2,C1:E407,3,FALSE),J285)</f>
        <v>-203.41734840775089</v>
      </c>
      <c r="G285" s="55"/>
      <c r="H285" s="167" cm="1">
        <f t="array" ref="H285">RANK(I285,I3:I407)</f>
        <v>309</v>
      </c>
      <c r="I285" s="168" cm="1">
        <f t="array" ref="I285">VLOOKUP(A285,'Standard Deviations'!A1:C672,3,FALSE)</f>
        <v>-3.6038429875680138</v>
      </c>
      <c r="J285" s="168" cm="1">
        <f t="array" ref="J285">I285-VLOOKUP(B$2,H1:J407,2,FALSE)</f>
        <v>-9.0944863474910687</v>
      </c>
    </row>
    <row r="286" spans="1:10" ht="21.25" customHeight="1" x14ac:dyDescent="0.15">
      <c r="A286" s="10" t="s">
        <v>674</v>
      </c>
      <c r="B286" s="166" t="str" cm="1">
        <f t="array" ref="B286">VLOOKUP(A286,'The List'!B1:D671,3,FALSE)</f>
        <v>LW,RW</v>
      </c>
      <c r="C286" s="74" cm="1">
        <f t="array" ref="C286">IF(Settings!$E$15="POINTS",RANK(E286,E3:E407),H286)</f>
        <v>284</v>
      </c>
      <c r="D286" s="18" t="str" cm="1">
        <f t="array" ref="D286">VLOOKUP(A286,'The List'!B1:F671,5,FALSE)</f>
        <v>MTL</v>
      </c>
      <c r="E286" s="55" cm="1">
        <f t="array" ref="E286">VLOOKUP(A286,'The List'!B1:I671,8,FALSE)</f>
        <v>147.13223319186213</v>
      </c>
      <c r="F286" s="55" cm="1">
        <f t="array" ref="F286">IF(Settings!$E$15="POINTS",E286-VLOOKUP(B$2,C1:E407,3,FALSE),J286)</f>
        <v>-203.6007842086</v>
      </c>
      <c r="G286" s="55"/>
      <c r="H286" s="167" cm="1">
        <f t="array" ref="H286">RANK(I286,I3:I407)</f>
        <v>287</v>
      </c>
      <c r="I286" s="168" cm="1">
        <f t="array" ref="I286">VLOOKUP(A286,'Standard Deviations'!A1:C672,3,FALSE)</f>
        <v>-2.989838966641857</v>
      </c>
      <c r="J286" s="168" cm="1">
        <f t="array" ref="J286">I286-VLOOKUP(B$2,H1:J407,2,FALSE)</f>
        <v>-8.4804823265649123</v>
      </c>
    </row>
    <row r="287" spans="1:10" ht="21.25" customHeight="1" x14ac:dyDescent="0.15">
      <c r="A287" s="10" t="s">
        <v>675</v>
      </c>
      <c r="B287" s="166" t="str" cm="1">
        <f t="array" ref="B287">VLOOKUP(A287,'The List'!B1:D671,3,FALSE)</f>
        <v>C,RW</v>
      </c>
      <c r="C287" s="74" cm="1">
        <f t="array" ref="C287">IF(Settings!$E$15="POINTS",RANK(E287,E3:E407),H287)</f>
        <v>285</v>
      </c>
      <c r="D287" s="18" t="str" cm="1">
        <f t="array" ref="D287">VLOOKUP(A287,'The List'!B1:F671,5,FALSE)</f>
        <v>MTL</v>
      </c>
      <c r="E287" s="55" cm="1">
        <f t="array" ref="E287">VLOOKUP(A287,'The List'!B1:I671,8,FALSE)</f>
        <v>146.52044804829563</v>
      </c>
      <c r="F287" s="55" cm="1">
        <f t="array" ref="F287">IF(Settings!$E$15="POINTS",E287-VLOOKUP(B$2,C1:E407,3,FALSE),J287)</f>
        <v>-204.2125693521665</v>
      </c>
      <c r="G287" s="55"/>
      <c r="H287" s="167" cm="1">
        <f t="array" ref="H287">RANK(I287,I3:I407)</f>
        <v>238</v>
      </c>
      <c r="I287" s="168" cm="1">
        <f t="array" ref="I287">VLOOKUP(A287,'Standard Deviations'!A1:C672,3,FALSE)</f>
        <v>-1.9026919476884228</v>
      </c>
      <c r="J287" s="168" cm="1">
        <f t="array" ref="J287">I287-VLOOKUP(B$2,H1:J407,2,FALSE)</f>
        <v>-7.3933353076114781</v>
      </c>
    </row>
    <row r="288" spans="1:10" ht="21.25" customHeight="1" x14ac:dyDescent="0.15">
      <c r="A288" s="10" t="s">
        <v>677</v>
      </c>
      <c r="B288" s="166" t="str" cm="1">
        <f t="array" ref="B288">VLOOKUP(A288,'The List'!B1:D671,3,FALSE)</f>
        <v>C,RW</v>
      </c>
      <c r="C288" s="74" cm="1">
        <f t="array" ref="C288">IF(Settings!$E$15="POINTS",RANK(E288,E3:E407),H288)</f>
        <v>286</v>
      </c>
      <c r="D288" s="18" t="str" cm="1">
        <f t="array" ref="D288">VLOOKUP(A288,'The List'!B1:F671,5,FALSE)</f>
        <v>WSH</v>
      </c>
      <c r="E288" s="55" cm="1">
        <f t="array" ref="E288">VLOOKUP(A288,'The List'!B1:I671,8,FALSE)</f>
        <v>146.03634311885486</v>
      </c>
      <c r="F288" s="55" cm="1">
        <f t="array" ref="F288">IF(Settings!$E$15="POINTS",E288-VLOOKUP(B$2,C1:E407,3,FALSE),J288)</f>
        <v>-204.69667428160727</v>
      </c>
      <c r="G288" s="55"/>
      <c r="H288" s="167" cm="1">
        <f t="array" ref="H288">RANK(I288,I3:I407)</f>
        <v>253</v>
      </c>
      <c r="I288" s="168" cm="1">
        <f t="array" ref="I288">VLOOKUP(A288,'Standard Deviations'!A1:C672,3,FALSE)</f>
        <v>-2.2233758562068937</v>
      </c>
      <c r="J288" s="168" cm="1">
        <f t="array" ref="J288">I288-VLOOKUP(B$2,H1:J407,2,FALSE)</f>
        <v>-7.714019216129949</v>
      </c>
    </row>
    <row r="289" spans="1:10" ht="21.25" customHeight="1" x14ac:dyDescent="0.15">
      <c r="A289" s="10" t="s">
        <v>685</v>
      </c>
      <c r="B289" s="166" t="str" cm="1">
        <f t="array" ref="B289">VLOOKUP(A289,'The List'!B1:D671,3,FALSE)</f>
        <v>C,LW</v>
      </c>
      <c r="C289" s="74" cm="1">
        <f t="array" ref="C289">IF(Settings!$E$15="POINTS",RANK(E289,E3:E407),H289)</f>
        <v>287</v>
      </c>
      <c r="D289" s="18" t="str" cm="1">
        <f t="array" ref="D289">VLOOKUP(A289,'The List'!B1:F671,5,FALSE)</f>
        <v>BUF</v>
      </c>
      <c r="E289" s="55" cm="1">
        <f t="array" ref="E289">VLOOKUP(A289,'The List'!B1:I671,8,FALSE)</f>
        <v>146.01881101514866</v>
      </c>
      <c r="F289" s="55" cm="1">
        <f t="array" ref="F289">IF(Settings!$E$15="POINTS",E289-VLOOKUP(B$2,C1:E407,3,FALSE),J289)</f>
        <v>-204.71420638531347</v>
      </c>
      <c r="G289" s="55"/>
      <c r="H289" s="167" cm="1">
        <f t="array" ref="H289">RANK(I289,I3:I407)</f>
        <v>242</v>
      </c>
      <c r="I289" s="168" cm="1">
        <f t="array" ref="I289">VLOOKUP(A289,'Standard Deviations'!A1:C672,3,FALSE)</f>
        <v>-2.0164064771055523</v>
      </c>
      <c r="J289" s="168" cm="1">
        <f t="array" ref="J289">I289-VLOOKUP(B$2,H1:J407,2,FALSE)</f>
        <v>-7.5070498370286076</v>
      </c>
    </row>
    <row r="290" spans="1:10" ht="21.25" customHeight="1" x14ac:dyDescent="0.15">
      <c r="A290" s="10" t="s">
        <v>686</v>
      </c>
      <c r="B290" s="166" t="str" cm="1">
        <f t="array" ref="B290">VLOOKUP(A290,'The List'!B1:D671,3,FALSE)</f>
        <v>C,LW</v>
      </c>
      <c r="C290" s="74" cm="1">
        <f t="array" ref="C290">IF(Settings!$E$15="POINTS",RANK(E290,E3:E407),H290)</f>
        <v>288</v>
      </c>
      <c r="D290" s="18" t="str" cm="1">
        <f t="array" ref="D290">VLOOKUP(A290,'The List'!B1:F671,5,FALSE)</f>
        <v>DAL</v>
      </c>
      <c r="E290" s="55" cm="1">
        <f t="array" ref="E290">VLOOKUP(A290,'The List'!B1:I671,8,FALSE)</f>
        <v>145.96338984928676</v>
      </c>
      <c r="F290" s="55" cm="1">
        <f t="array" ref="F290">IF(Settings!$E$15="POINTS",E290-VLOOKUP(B$2,C1:E407,3,FALSE),J290)</f>
        <v>-204.76962755117538</v>
      </c>
      <c r="G290" s="55"/>
      <c r="H290" s="167" cm="1">
        <f t="array" ref="H290">RANK(I290,I3:I407)</f>
        <v>268</v>
      </c>
      <c r="I290" s="168" cm="1">
        <f t="array" ref="I290">VLOOKUP(A290,'Standard Deviations'!A1:C672,3,FALSE)</f>
        <v>-2.5261636105711389</v>
      </c>
      <c r="J290" s="168" cm="1">
        <f t="array" ref="J290">I290-VLOOKUP(B$2,H1:J407,2,FALSE)</f>
        <v>-8.0168069704941942</v>
      </c>
    </row>
    <row r="291" spans="1:10" ht="21.25" customHeight="1" x14ac:dyDescent="0.15">
      <c r="A291" s="10" t="s">
        <v>678</v>
      </c>
      <c r="B291" s="166" t="str" cm="1">
        <f t="array" ref="B291">VLOOKUP(A291,'The List'!B1:D671,3,FALSE)</f>
        <v>LW,RW</v>
      </c>
      <c r="C291" s="74" cm="1">
        <f t="array" ref="C291">IF(Settings!$E$15="POINTS",RANK(E291,E3:E407),H291)</f>
        <v>289</v>
      </c>
      <c r="D291" s="18" t="str" cm="1">
        <f t="array" ref="D291">VLOOKUP(A291,'The List'!B1:F671,5,FALSE)</f>
        <v>VGK</v>
      </c>
      <c r="E291" s="55" cm="1">
        <f t="array" ref="E291">VLOOKUP(A291,'The List'!B1:I671,8,FALSE)</f>
        <v>145.43204260548367</v>
      </c>
      <c r="F291" s="55" cm="1">
        <f t="array" ref="F291">IF(Settings!$E$15="POINTS",E291-VLOOKUP(B$2,C1:E407,3,FALSE),J291)</f>
        <v>-205.30097479497846</v>
      </c>
      <c r="G291" s="55"/>
      <c r="H291" s="167" cm="1">
        <f t="array" ref="H291">RANK(I291,I3:I407)</f>
        <v>310</v>
      </c>
      <c r="I291" s="168" cm="1">
        <f t="array" ref="I291">VLOOKUP(A291,'Standard Deviations'!A1:C672,3,FALSE)</f>
        <v>-3.6127436372610044</v>
      </c>
      <c r="J291" s="168" cm="1">
        <f t="array" ref="J291">I291-VLOOKUP(B$2,H1:J407,2,FALSE)</f>
        <v>-9.1033869971840602</v>
      </c>
    </row>
    <row r="292" spans="1:10" ht="21.25" customHeight="1" x14ac:dyDescent="0.15">
      <c r="A292" s="10" t="s">
        <v>664</v>
      </c>
      <c r="B292" s="166" t="str" cm="1">
        <f t="array" ref="B292">VLOOKUP(A292,'The List'!B1:D671,3,FALSE)</f>
        <v>C</v>
      </c>
      <c r="C292" s="74" cm="1">
        <f t="array" ref="C292">IF(Settings!$E$15="POINTS",RANK(E292,E3:E407),H292)</f>
        <v>290</v>
      </c>
      <c r="D292" s="18" t="str" cm="1">
        <f t="array" ref="D292">VLOOKUP(A292,'The List'!B1:F671,5,FALSE)</f>
        <v>MTL</v>
      </c>
      <c r="E292" s="55" cm="1">
        <f t="array" ref="E292">VLOOKUP(A292,'The List'!B1:I671,8,FALSE)</f>
        <v>144.8317027273041</v>
      </c>
      <c r="F292" s="55" cm="1">
        <f t="array" ref="F292">IF(Settings!$E$15="POINTS",E292-VLOOKUP(B$2,C1:E407,3,FALSE),J292)</f>
        <v>-205.90131467315803</v>
      </c>
      <c r="G292" s="55"/>
      <c r="H292" s="167" cm="1">
        <f t="array" ref="H292">RANK(I292,I3:I407)</f>
        <v>293</v>
      </c>
      <c r="I292" s="168" cm="1">
        <f t="array" ref="I292">VLOOKUP(A292,'Standard Deviations'!A1:C672,3,FALSE)</f>
        <v>-3.185250688738519</v>
      </c>
      <c r="J292" s="168" cm="1">
        <f t="array" ref="J292">I292-VLOOKUP(B$2,H1:J407,2,FALSE)</f>
        <v>-8.6758940486615739</v>
      </c>
    </row>
    <row r="293" spans="1:10" ht="21.25" customHeight="1" x14ac:dyDescent="0.15">
      <c r="A293" s="10" t="s">
        <v>681</v>
      </c>
      <c r="B293" s="166" t="str" cm="1">
        <f t="array" ref="B293">VLOOKUP(A293,'The List'!B1:D671,3,FALSE)</f>
        <v>C,RW</v>
      </c>
      <c r="C293" s="74" cm="1">
        <f t="array" ref="C293">IF(Settings!$E$15="POINTS",RANK(E293,E3:E407),H293)</f>
        <v>291</v>
      </c>
      <c r="D293" s="18" t="str" cm="1">
        <f t="array" ref="D293">VLOOKUP(A293,'The List'!B1:F671,5,FALSE)</f>
        <v>SEA</v>
      </c>
      <c r="E293" s="55" cm="1">
        <f t="array" ref="E293">VLOOKUP(A293,'The List'!B1:I671,8,FALSE)</f>
        <v>144.41385497594416</v>
      </c>
      <c r="F293" s="55" cm="1">
        <f t="array" ref="F293">IF(Settings!$E$15="POINTS",E293-VLOOKUP(B$2,C1:E407,3,FALSE),J293)</f>
        <v>-206.31916242451797</v>
      </c>
      <c r="G293" s="55"/>
      <c r="H293" s="167" cm="1">
        <f t="array" ref="H293">RANK(I293,I3:I407)</f>
        <v>387</v>
      </c>
      <c r="I293" s="168" cm="1">
        <f t="array" ref="I293">VLOOKUP(A293,'Standard Deviations'!A1:C672,3,FALSE)</f>
        <v>-6.0587488273492358</v>
      </c>
      <c r="J293" s="168" cm="1">
        <f t="array" ref="J293">I293-VLOOKUP(B$2,H1:J407,2,FALSE)</f>
        <v>-11.549392187272291</v>
      </c>
    </row>
    <row r="294" spans="1:10" ht="21.25" customHeight="1" x14ac:dyDescent="0.15">
      <c r="A294" s="10" t="s">
        <v>682</v>
      </c>
      <c r="B294" s="166" t="str" cm="1">
        <f t="array" ref="B294">VLOOKUP(A294,'The List'!B1:D671,3,FALSE)</f>
        <v>LW,RW</v>
      </c>
      <c r="C294" s="74" cm="1">
        <f t="array" ref="C294">IF(Settings!$E$15="POINTS",RANK(E294,E3:E407),H294)</f>
        <v>292</v>
      </c>
      <c r="D294" s="18" t="str" cm="1">
        <f t="array" ref="D294">VLOOKUP(A294,'The List'!B1:F671,5,FALSE)</f>
        <v>STL</v>
      </c>
      <c r="E294" s="55" cm="1">
        <f t="array" ref="E294">VLOOKUP(A294,'The List'!B1:I671,8,FALSE)</f>
        <v>143.94228151447854</v>
      </c>
      <c r="F294" s="55" cm="1">
        <f t="array" ref="F294">IF(Settings!$E$15="POINTS",E294-VLOOKUP(B$2,C1:E407,3,FALSE),J294)</f>
        <v>-206.79073588598359</v>
      </c>
      <c r="G294" s="55"/>
      <c r="H294" s="167" cm="1">
        <f t="array" ref="H294">RANK(I294,I3:I407)</f>
        <v>350</v>
      </c>
      <c r="I294" s="168" cm="1">
        <f t="array" ref="I294">VLOOKUP(A294,'Standard Deviations'!A1:C672,3,FALSE)</f>
        <v>-4.6387613370971712</v>
      </c>
      <c r="J294" s="168" cm="1">
        <f t="array" ref="J294">I294-VLOOKUP(B$2,H1:J407,2,FALSE)</f>
        <v>-10.129404697020227</v>
      </c>
    </row>
    <row r="295" spans="1:10" ht="21.25" customHeight="1" x14ac:dyDescent="0.15">
      <c r="A295" s="10" t="s">
        <v>683</v>
      </c>
      <c r="B295" s="166" t="str" cm="1">
        <f t="array" ref="B295">VLOOKUP(A295,'The List'!B1:D671,3,FALSE)</f>
        <v>LW,RW</v>
      </c>
      <c r="C295" s="74" cm="1">
        <f t="array" ref="C295">IF(Settings!$E$15="POINTS",RANK(E295,E3:E407),H295)</f>
        <v>293</v>
      </c>
      <c r="D295" s="18" t="str" cm="1">
        <f t="array" ref="D295">VLOOKUP(A295,'The List'!B1:F671,5,FALSE)</f>
        <v>WPG</v>
      </c>
      <c r="E295" s="55" cm="1">
        <f t="array" ref="E295">VLOOKUP(A295,'The List'!B1:I671,8,FALSE)</f>
        <v>143.92132183640524</v>
      </c>
      <c r="F295" s="55" cm="1">
        <f t="array" ref="F295">IF(Settings!$E$15="POINTS",E295-VLOOKUP(B$2,C1:E407,3,FALSE),J295)</f>
        <v>-206.81169556405689</v>
      </c>
      <c r="G295" s="55"/>
      <c r="H295" s="167" cm="1">
        <f t="array" ref="H295">RANK(I295,I3:I407)</f>
        <v>291</v>
      </c>
      <c r="I295" s="168" cm="1">
        <f t="array" ref="I295">VLOOKUP(A295,'Standard Deviations'!A1:C672,3,FALSE)</f>
        <v>-3.1064323276929557</v>
      </c>
      <c r="J295" s="168" cm="1">
        <f t="array" ref="J295">I295-VLOOKUP(B$2,H1:J407,2,FALSE)</f>
        <v>-8.5970756876160106</v>
      </c>
    </row>
    <row r="296" spans="1:10" ht="21.25" customHeight="1" x14ac:dyDescent="0.15">
      <c r="A296" s="10" t="s">
        <v>688</v>
      </c>
      <c r="B296" s="166" t="str" cm="1">
        <f t="array" ref="B296">VLOOKUP(A296,'The List'!B1:D671,3,FALSE)</f>
        <v>LW</v>
      </c>
      <c r="C296" s="74" cm="1">
        <f t="array" ref="C296">IF(Settings!$E$15="POINTS",RANK(E296,E3:E407),H296)</f>
        <v>294</v>
      </c>
      <c r="D296" s="18" t="str" cm="1">
        <f t="array" ref="D296">VLOOKUP(A296,'The List'!B1:F671,5,FALSE)</f>
        <v>VAN</v>
      </c>
      <c r="E296" s="55" cm="1">
        <f t="array" ref="E296">VLOOKUP(A296,'The List'!B1:I671,8,FALSE)</f>
        <v>142.7279887416434</v>
      </c>
      <c r="F296" s="55" cm="1">
        <f t="array" ref="F296">IF(Settings!$E$15="POINTS",E296-VLOOKUP(B$2,C1:E407,3,FALSE),J296)</f>
        <v>-208.00502865881873</v>
      </c>
      <c r="G296" s="55"/>
      <c r="H296" s="167" cm="1">
        <f t="array" ref="H296">RANK(I296,I3:I407)</f>
        <v>398</v>
      </c>
      <c r="I296" s="168" cm="1">
        <f t="array" ref="I296">VLOOKUP(A296,'Standard Deviations'!A1:C672,3,FALSE)</f>
        <v>-6.7876636494062668</v>
      </c>
      <c r="J296" s="168" cm="1">
        <f t="array" ref="J296">I296-VLOOKUP(B$2,H1:J407,2,FALSE)</f>
        <v>-12.278307009329321</v>
      </c>
    </row>
    <row r="297" spans="1:10" ht="21.25" customHeight="1" x14ac:dyDescent="0.15">
      <c r="A297" s="10" t="s">
        <v>692</v>
      </c>
      <c r="B297" s="166" t="str" cm="1">
        <f t="array" ref="B297">VLOOKUP(A297,'The List'!B1:D671,3,FALSE)</f>
        <v>LW</v>
      </c>
      <c r="C297" s="74" cm="1">
        <f t="array" ref="C297">IF(Settings!$E$15="POINTS",RANK(E297,E3:E407),H297)</f>
        <v>295</v>
      </c>
      <c r="D297" s="18" t="str" cm="1">
        <f t="array" ref="D297">VLOOKUP(A297,'The List'!B1:F671,5,FALSE)</f>
        <v>UTA</v>
      </c>
      <c r="E297" s="55" cm="1">
        <f t="array" ref="E297">VLOOKUP(A297,'The List'!B1:I671,8,FALSE)</f>
        <v>140.99538810386863</v>
      </c>
      <c r="F297" s="55" cm="1">
        <f t="array" ref="F297">IF(Settings!$E$15="POINTS",E297-VLOOKUP(B$2,C1:E407,3,FALSE),J297)</f>
        <v>-209.7376292965935</v>
      </c>
      <c r="G297" s="55"/>
      <c r="H297" s="167" cm="1">
        <f t="array" ref="H297">RANK(I297,I3:I407)</f>
        <v>305</v>
      </c>
      <c r="I297" s="168" cm="1">
        <f t="array" ref="I297">VLOOKUP(A297,'Standard Deviations'!A1:C672,3,FALSE)</f>
        <v>-3.4733159096628223</v>
      </c>
      <c r="J297" s="168" cm="1">
        <f t="array" ref="J297">I297-VLOOKUP(B$2,H1:J407,2,FALSE)</f>
        <v>-8.9639592695858781</v>
      </c>
    </row>
    <row r="298" spans="1:10" ht="21.25" customHeight="1" x14ac:dyDescent="0.15">
      <c r="A298" s="10" t="s">
        <v>694</v>
      </c>
      <c r="B298" s="166" t="str" cm="1">
        <f t="array" ref="B298">VLOOKUP(A298,'The List'!B1:D671,3,FALSE)</f>
        <v>LW</v>
      </c>
      <c r="C298" s="74" cm="1">
        <f t="array" ref="C298">IF(Settings!$E$15="POINTS",RANK(E298,E3:E407),H298)</f>
        <v>296</v>
      </c>
      <c r="D298" s="18" t="str" cm="1">
        <f t="array" ref="D298">VLOOKUP(A298,'The List'!B1:F671,5,FALSE)</f>
        <v>PHI</v>
      </c>
      <c r="E298" s="55" cm="1">
        <f t="array" ref="E298">VLOOKUP(A298,'The List'!B1:I671,8,FALSE)</f>
        <v>140.8189790372231</v>
      </c>
      <c r="F298" s="55" cm="1">
        <f t="array" ref="F298">IF(Settings!$E$15="POINTS",E298-VLOOKUP(B$2,C1:E407,3,FALSE),J298)</f>
        <v>-209.91403836323903</v>
      </c>
      <c r="G298" s="55"/>
      <c r="H298" s="167" cm="1">
        <f t="array" ref="H298">RANK(I298,I3:I407)</f>
        <v>330</v>
      </c>
      <c r="I298" s="168" cm="1">
        <f t="array" ref="I298">VLOOKUP(A298,'Standard Deviations'!A1:C672,3,FALSE)</f>
        <v>-4.1082318425825104</v>
      </c>
      <c r="J298" s="168" cm="1">
        <f t="array" ref="J298">I298-VLOOKUP(B$2,H1:J407,2,FALSE)</f>
        <v>-9.5988752025055657</v>
      </c>
    </row>
    <row r="299" spans="1:10" ht="21.25" customHeight="1" x14ac:dyDescent="0.15">
      <c r="A299" s="10" t="s">
        <v>687</v>
      </c>
      <c r="B299" s="166" t="str" cm="1">
        <f t="array" ref="B299">VLOOKUP(A299,'The List'!B1:D671,3,FALSE)</f>
        <v>RW</v>
      </c>
      <c r="C299" s="74" cm="1">
        <f t="array" ref="C299">IF(Settings!$E$15="POINTS",RANK(E299,E3:E407),H299)</f>
        <v>297</v>
      </c>
      <c r="D299" s="18" t="str" cm="1">
        <f t="array" ref="D299">VLOOKUP(A299,'The List'!B1:F671,5,FALSE)</f>
        <v>WSH</v>
      </c>
      <c r="E299" s="55" cm="1">
        <f t="array" ref="E299">VLOOKUP(A299,'The List'!B1:I671,8,FALSE)</f>
        <v>139.564342246161</v>
      </c>
      <c r="F299" s="55" cm="1">
        <f t="array" ref="F299">IF(Settings!$E$15="POINTS",E299-VLOOKUP(B$2,C1:E407,3,FALSE),J299)</f>
        <v>-211.16867515430113</v>
      </c>
      <c r="G299" s="55"/>
      <c r="H299" s="167" cm="1">
        <f t="array" ref="H299">RANK(I299,I3:I407)</f>
        <v>286</v>
      </c>
      <c r="I299" s="168" cm="1">
        <f t="array" ref="I299">VLOOKUP(A299,'Standard Deviations'!A1:C672,3,FALSE)</f>
        <v>-2.9094660577820304</v>
      </c>
      <c r="J299" s="168" cm="1">
        <f t="array" ref="J299">I299-VLOOKUP(B$2,H1:J407,2,FALSE)</f>
        <v>-8.4001094177050852</v>
      </c>
    </row>
    <row r="300" spans="1:10" ht="21.25" customHeight="1" x14ac:dyDescent="0.15">
      <c r="A300" s="10" t="s">
        <v>698</v>
      </c>
      <c r="B300" s="166" t="str" cm="1">
        <f t="array" ref="B300">VLOOKUP(A300,'The List'!B1:D671,3,FALSE)</f>
        <v>C,LW</v>
      </c>
      <c r="C300" s="74" cm="1">
        <f t="array" ref="C300">IF(Settings!$E$15="POINTS",RANK(E300,E3:E407),H300)</f>
        <v>298</v>
      </c>
      <c r="D300" s="18" t="str" cm="1">
        <f t="array" ref="D300">VLOOKUP(A300,'The List'!B1:F671,5,FALSE)</f>
        <v>WPG</v>
      </c>
      <c r="E300" s="55" cm="1">
        <f t="array" ref="E300">VLOOKUP(A300,'The List'!B1:I671,8,FALSE)</f>
        <v>139.37956686193914</v>
      </c>
      <c r="F300" s="55" cm="1">
        <f t="array" ref="F300">IF(Settings!$E$15="POINTS",E300-VLOOKUP(B$2,C1:E407,3,FALSE),J300)</f>
        <v>-211.35345053852299</v>
      </c>
      <c r="G300" s="55"/>
      <c r="H300" s="167" cm="1">
        <f t="array" ref="H300">RANK(I300,I3:I407)</f>
        <v>295</v>
      </c>
      <c r="I300" s="168" cm="1">
        <f t="array" ref="I300">VLOOKUP(A300,'Standard Deviations'!A1:C672,3,FALSE)</f>
        <v>-3.2948038565384588</v>
      </c>
      <c r="J300" s="168" cm="1">
        <f t="array" ref="J300">I300-VLOOKUP(B$2,H1:J407,2,FALSE)</f>
        <v>-8.7854472164615132</v>
      </c>
    </row>
    <row r="301" spans="1:10" ht="21.25" customHeight="1" x14ac:dyDescent="0.15">
      <c r="A301" s="10" t="s">
        <v>689</v>
      </c>
      <c r="B301" s="166" t="str" cm="1">
        <f t="array" ref="B301">VLOOKUP(A301,'The List'!B1:D671,3,FALSE)</f>
        <v>RW</v>
      </c>
      <c r="C301" s="74" cm="1">
        <f t="array" ref="C301">IF(Settings!$E$15="POINTS",RANK(E301,E3:E407),H301)</f>
        <v>299</v>
      </c>
      <c r="D301" s="18" t="str" cm="1">
        <f t="array" ref="D301">VLOOKUP(A301,'The List'!B1:F671,5,FALSE)</f>
        <v>MTL</v>
      </c>
      <c r="E301" s="55" cm="1">
        <f t="array" ref="E301">VLOOKUP(A301,'The List'!B1:I671,8,FALSE)</f>
        <v>138.28564580507515</v>
      </c>
      <c r="F301" s="55" cm="1">
        <f t="array" ref="F301">IF(Settings!$E$15="POINTS",E301-VLOOKUP(B$2,C1:E407,3,FALSE),J301)</f>
        <v>-212.44737159538698</v>
      </c>
      <c r="G301" s="55"/>
      <c r="H301" s="167" cm="1">
        <f t="array" ref="H301">RANK(I301,I3:I407)</f>
        <v>188</v>
      </c>
      <c r="I301" s="168" cm="1">
        <f t="array" ref="I301">VLOOKUP(A301,'Standard Deviations'!A1:C672,3,FALSE)</f>
        <v>-0.61832640106400616</v>
      </c>
      <c r="J301" s="168" cm="1">
        <f t="array" ref="J301">I301-VLOOKUP(B$2,H1:J407,2,FALSE)</f>
        <v>-6.1089697609870619</v>
      </c>
    </row>
    <row r="302" spans="1:10" ht="21.25" customHeight="1" x14ac:dyDescent="0.15">
      <c r="A302" s="10" t="s">
        <v>690</v>
      </c>
      <c r="B302" s="166" t="str" cm="1">
        <f t="array" ref="B302">VLOOKUP(A302,'The List'!B1:D671,3,FALSE)</f>
        <v>C,RW</v>
      </c>
      <c r="C302" s="74" cm="1">
        <f t="array" ref="C302">IF(Settings!$E$15="POINTS",RANK(E302,E3:E407),H302)</f>
        <v>300</v>
      </c>
      <c r="D302" s="18" t="str" cm="1">
        <f t="array" ref="D302">VLOOKUP(A302,'The List'!B1:F671,5,FALSE)</f>
        <v>PHI</v>
      </c>
      <c r="E302" s="55" cm="1">
        <f t="array" ref="E302">VLOOKUP(A302,'The List'!B1:I671,8,FALSE)</f>
        <v>138.14554770153657</v>
      </c>
      <c r="F302" s="55" cm="1">
        <f t="array" ref="F302">IF(Settings!$E$15="POINTS",E302-VLOOKUP(B$2,C1:E407,3,FALSE),J302)</f>
        <v>-212.58746969892556</v>
      </c>
      <c r="G302" s="55"/>
      <c r="H302" s="167" cm="1">
        <f t="array" ref="H302">RANK(I302,I3:I407)</f>
        <v>315</v>
      </c>
      <c r="I302" s="168" cm="1">
        <f t="array" ref="I302">VLOOKUP(A302,'Standard Deviations'!A1:C672,3,FALSE)</f>
        <v>-3.7481985322381219</v>
      </c>
      <c r="J302" s="168" cm="1">
        <f t="array" ref="J302">I302-VLOOKUP(B$2,H1:J407,2,FALSE)</f>
        <v>-9.2388418921611777</v>
      </c>
    </row>
    <row r="303" spans="1:10" ht="21.25" customHeight="1" x14ac:dyDescent="0.15">
      <c r="A303" s="10" t="s">
        <v>700</v>
      </c>
      <c r="B303" s="166" t="str" cm="1">
        <f t="array" ref="B303">VLOOKUP(A303,'The List'!B1:D671,3,FALSE)</f>
        <v>C,LW</v>
      </c>
      <c r="C303" s="74" cm="1">
        <f t="array" ref="C303">IF(Settings!$E$15="POINTS",RANK(E303,E3:E407),H303)</f>
        <v>301</v>
      </c>
      <c r="D303" s="18" t="str" cm="1">
        <f t="array" ref="D303">VLOOKUP(A303,'The List'!B1:F671,5,FALSE)</f>
        <v>DET</v>
      </c>
      <c r="E303" s="55" cm="1">
        <f t="array" ref="E303">VLOOKUP(A303,'The List'!B1:I671,8,FALSE)</f>
        <v>137.96278553022793</v>
      </c>
      <c r="F303" s="55" cm="1">
        <f t="array" ref="F303">IF(Settings!$E$15="POINTS",E303-VLOOKUP(B$2,C1:E407,3,FALSE),J303)</f>
        <v>-212.7702318702342</v>
      </c>
      <c r="G303" s="55"/>
      <c r="H303" s="167" cm="1">
        <f t="array" ref="H303">RANK(I303,I3:I407)</f>
        <v>324</v>
      </c>
      <c r="I303" s="168" cm="1">
        <f t="array" ref="I303">VLOOKUP(A303,'Standard Deviations'!A1:C672,3,FALSE)</f>
        <v>-3.9532696549331638</v>
      </c>
      <c r="J303" s="168" cm="1">
        <f t="array" ref="J303">I303-VLOOKUP(B$2,H1:J407,2,FALSE)</f>
        <v>-9.4439130148562196</v>
      </c>
    </row>
    <row r="304" spans="1:10" ht="21.25" customHeight="1" x14ac:dyDescent="0.15">
      <c r="A304" s="10" t="s">
        <v>676</v>
      </c>
      <c r="B304" s="166" t="str" cm="1">
        <f t="array" ref="B304">VLOOKUP(A304,'The List'!B1:D671,3,FALSE)</f>
        <v>C</v>
      </c>
      <c r="C304" s="74" cm="1">
        <f t="array" ref="C304">IF(Settings!$E$15="POINTS",RANK(E304,E3:E407),H304)</f>
        <v>302</v>
      </c>
      <c r="D304" s="18" t="str" cm="1">
        <f t="array" ref="D304">VLOOKUP(A304,'The List'!B1:F671,5,FALSE)</f>
        <v>MIN</v>
      </c>
      <c r="E304" s="55" cm="1">
        <f t="array" ref="E304">VLOOKUP(A304,'The List'!B1:I671,8,FALSE)</f>
        <v>137.78286335914413</v>
      </c>
      <c r="F304" s="55" cm="1">
        <f t="array" ref="F304">IF(Settings!$E$15="POINTS",E304-VLOOKUP(B$2,C1:E407,3,FALSE),J304)</f>
        <v>-212.950154041318</v>
      </c>
      <c r="G304" s="55"/>
      <c r="H304" s="167" cm="1">
        <f t="array" ref="H304">RANK(I304,I3:I407)</f>
        <v>163</v>
      </c>
      <c r="I304" s="168" cm="1">
        <f t="array" ref="I304">VLOOKUP(A304,'Standard Deviations'!A1:C672,3,FALSE)</f>
        <v>0.10639323798943279</v>
      </c>
      <c r="J304" s="168" cm="1">
        <f t="array" ref="J304">I304-VLOOKUP(B$2,H1:J407,2,FALSE)</f>
        <v>-5.3842501219336221</v>
      </c>
    </row>
    <row r="305" spans="1:10" ht="21.25" customHeight="1" x14ac:dyDescent="0.15">
      <c r="A305" s="10" t="s">
        <v>701</v>
      </c>
      <c r="B305" s="166" t="str" cm="1">
        <f t="array" ref="B305">VLOOKUP(A305,'The List'!B1:D671,3,FALSE)</f>
        <v>LW</v>
      </c>
      <c r="C305" s="74" cm="1">
        <f t="array" ref="C305">IF(Settings!$E$15="POINTS",RANK(E305,E3:E407),H305)</f>
        <v>303</v>
      </c>
      <c r="D305" s="18" t="str" cm="1">
        <f t="array" ref="D305">VLOOKUP(A305,'The List'!B1:F671,5,FALSE)</f>
        <v>CHI</v>
      </c>
      <c r="E305" s="55" cm="1">
        <f t="array" ref="E305">VLOOKUP(A305,'The List'!B1:I671,8,FALSE)</f>
        <v>137.17876110305801</v>
      </c>
      <c r="F305" s="55" cm="1">
        <f t="array" ref="F305">IF(Settings!$E$15="POINTS",E305-VLOOKUP(B$2,C1:E407,3,FALSE),J305)</f>
        <v>-213.55425629740412</v>
      </c>
      <c r="G305" s="55"/>
      <c r="H305" s="167" cm="1">
        <f t="array" ref="H305">RANK(I305,I3:I407)</f>
        <v>379</v>
      </c>
      <c r="I305" s="168" cm="1">
        <f t="array" ref="I305">VLOOKUP(A305,'Standard Deviations'!A1:C672,3,FALSE)</f>
        <v>-5.731569194907137</v>
      </c>
      <c r="J305" s="168" cm="1">
        <f t="array" ref="J305">I305-VLOOKUP(B$2,H1:J407,2,FALSE)</f>
        <v>-11.222212554830193</v>
      </c>
    </row>
    <row r="306" spans="1:10" ht="21.25" customHeight="1" x14ac:dyDescent="0.15">
      <c r="A306" s="10" t="s">
        <v>703</v>
      </c>
      <c r="B306" s="166" t="str" cm="1">
        <f t="array" ref="B306">VLOOKUP(A306,'The List'!B1:D671,3,FALSE)</f>
        <v>LW</v>
      </c>
      <c r="C306" s="74" cm="1">
        <f t="array" ref="C306">IF(Settings!$E$15="POINTS",RANK(E306,E3:E407),H306)</f>
        <v>304</v>
      </c>
      <c r="D306" s="18" t="str" cm="1">
        <f t="array" ref="D306">VLOOKUP(A306,'The List'!B1:F671,5,FALSE)</f>
        <v>WSH</v>
      </c>
      <c r="E306" s="55" cm="1">
        <f t="array" ref="E306">VLOOKUP(A306,'The List'!B1:I671,8,FALSE)</f>
        <v>136.73209980636167</v>
      </c>
      <c r="F306" s="55" cm="1">
        <f t="array" ref="F306">IF(Settings!$E$15="POINTS",E306-VLOOKUP(B$2,C1:E407,3,FALSE),J306)</f>
        <v>-214.00091759410046</v>
      </c>
      <c r="G306" s="55"/>
      <c r="H306" s="167" cm="1">
        <f t="array" ref="H306">RANK(I306,I3:I407)</f>
        <v>302</v>
      </c>
      <c r="I306" s="168" cm="1">
        <f t="array" ref="I306">VLOOKUP(A306,'Standard Deviations'!A1:C672,3,FALSE)</f>
        <v>-3.3693293839398408</v>
      </c>
      <c r="J306" s="168" cm="1">
        <f t="array" ref="J306">I306-VLOOKUP(B$2,H1:J407,2,FALSE)</f>
        <v>-8.8599727438628957</v>
      </c>
    </row>
    <row r="307" spans="1:10" ht="21.25" customHeight="1" x14ac:dyDescent="0.15">
      <c r="A307" s="10" t="s">
        <v>693</v>
      </c>
      <c r="B307" s="166" t="str" cm="1">
        <f t="array" ref="B307">VLOOKUP(A307,'The List'!B1:D671,3,FALSE)</f>
        <v>C,RW</v>
      </c>
      <c r="C307" s="74" cm="1">
        <f t="array" ref="C307">IF(Settings!$E$15="POINTS",RANK(E307,E3:E407),H307)</f>
        <v>305</v>
      </c>
      <c r="D307" s="18" t="str" cm="1">
        <f t="array" ref="D307">VLOOKUP(A307,'The List'!B1:F671,5,FALSE)</f>
        <v>BOS</v>
      </c>
      <c r="E307" s="55" cm="1">
        <f t="array" ref="E307">VLOOKUP(A307,'The List'!B1:I671,8,FALSE)</f>
        <v>136.62365834937853</v>
      </c>
      <c r="F307" s="55" cm="1">
        <f t="array" ref="F307">IF(Settings!$E$15="POINTS",E307-VLOOKUP(B$2,C1:E407,3,FALSE),J307)</f>
        <v>-214.1093590510836</v>
      </c>
      <c r="G307" s="55"/>
      <c r="H307" s="167" cm="1">
        <f t="array" ref="H307">RANK(I307,I3:I407)</f>
        <v>160</v>
      </c>
      <c r="I307" s="168" cm="1">
        <f t="array" ref="I307">VLOOKUP(A307,'Standard Deviations'!A1:C672,3,FALSE)</f>
        <v>0.25767262728070772</v>
      </c>
      <c r="J307" s="168" cm="1">
        <f t="array" ref="J307">I307-VLOOKUP(B$2,H1:J407,2,FALSE)</f>
        <v>-5.2329707326423476</v>
      </c>
    </row>
    <row r="308" spans="1:10" ht="21.25" customHeight="1" x14ac:dyDescent="0.15">
      <c r="A308" s="10" t="s">
        <v>695</v>
      </c>
      <c r="B308" s="166" t="str" cm="1">
        <f t="array" ref="B308">VLOOKUP(A308,'The List'!B1:D671,3,FALSE)</f>
        <v>RW</v>
      </c>
      <c r="C308" s="74" cm="1">
        <f t="array" ref="C308">IF(Settings!$E$15="POINTS",RANK(E308,E3:E407),H308)</f>
        <v>306</v>
      </c>
      <c r="D308" s="18" t="str" cm="1">
        <f t="array" ref="D308">VLOOKUP(A308,'The List'!B1:F671,5,FALSE)</f>
        <v>MIN</v>
      </c>
      <c r="E308" s="55" cm="1">
        <f t="array" ref="E308">VLOOKUP(A308,'The List'!B1:I671,8,FALSE)</f>
        <v>136.1576421950532</v>
      </c>
      <c r="F308" s="55" cm="1">
        <f t="array" ref="F308">IF(Settings!$E$15="POINTS",E308-VLOOKUP(B$2,C1:E407,3,FALSE),J308)</f>
        <v>-214.57537520540893</v>
      </c>
      <c r="G308" s="55"/>
      <c r="H308" s="167" cm="1">
        <f t="array" ref="H308">RANK(I308,I3:I407)</f>
        <v>335</v>
      </c>
      <c r="I308" s="168" cm="1">
        <f t="array" ref="I308">VLOOKUP(A308,'Standard Deviations'!A1:C672,3,FALSE)</f>
        <v>-4.2261327981915322</v>
      </c>
      <c r="J308" s="168" cm="1">
        <f t="array" ref="J308">I308-VLOOKUP(B$2,H1:J407,2,FALSE)</f>
        <v>-9.7167761581145875</v>
      </c>
    </row>
    <row r="309" spans="1:10" ht="21.25" customHeight="1" x14ac:dyDescent="0.15">
      <c r="A309" s="10" t="s">
        <v>705</v>
      </c>
      <c r="B309" s="166" t="str" cm="1">
        <f t="array" ref="B309">VLOOKUP(A309,'The List'!B1:D671,3,FALSE)</f>
        <v>LW</v>
      </c>
      <c r="C309" s="74" cm="1">
        <f t="array" ref="C309">IF(Settings!$E$15="POINTS",RANK(E309,E3:E407),H309)</f>
        <v>307</v>
      </c>
      <c r="D309" s="18" t="str" cm="1">
        <f t="array" ref="D309">VLOOKUP(A309,'The List'!B1:F671,5,FALSE)</f>
        <v>PHI</v>
      </c>
      <c r="E309" s="55" cm="1">
        <f t="array" ref="E309">VLOOKUP(A309,'The List'!B1:I671,8,FALSE)</f>
        <v>135.91203839227461</v>
      </c>
      <c r="F309" s="55" cm="1">
        <f t="array" ref="F309">IF(Settings!$E$15="POINTS",E309-VLOOKUP(B$2,C1:E407,3,FALSE),J309)</f>
        <v>-214.82097900818752</v>
      </c>
      <c r="G309" s="55"/>
      <c r="H309" s="167" cm="1">
        <f t="array" ref="H309">RANK(I309,I3:I407)</f>
        <v>314</v>
      </c>
      <c r="I309" s="168" cm="1">
        <f t="array" ref="I309">VLOOKUP(A309,'Standard Deviations'!A1:C672,3,FALSE)</f>
        <v>-3.7276797325709965</v>
      </c>
      <c r="J309" s="168" cm="1">
        <f t="array" ref="J309">I309-VLOOKUP(B$2,H1:J407,2,FALSE)</f>
        <v>-9.2183230924940514</v>
      </c>
    </row>
    <row r="310" spans="1:10" ht="21.25" customHeight="1" x14ac:dyDescent="0.15">
      <c r="A310" s="10" t="s">
        <v>696</v>
      </c>
      <c r="B310" s="166" t="str" cm="1">
        <f t="array" ref="B310">VLOOKUP(A310,'The List'!B1:D671,3,FALSE)</f>
        <v>C,LW,RW</v>
      </c>
      <c r="C310" s="74" cm="1">
        <f t="array" ref="C310">IF(Settings!$E$15="POINTS",RANK(E310,E3:E407),H310)</f>
        <v>308</v>
      </c>
      <c r="D310" s="18" t="str" cm="1">
        <f t="array" ref="D310">VLOOKUP(A310,'The List'!B1:F671,5,FALSE)</f>
        <v>NSH</v>
      </c>
      <c r="E310" s="55" cm="1">
        <f t="array" ref="E310">VLOOKUP(A310,'The List'!B1:I671,8,FALSE)</f>
        <v>135.71447661757338</v>
      </c>
      <c r="F310" s="55" cm="1">
        <f t="array" ref="F310">IF(Settings!$E$15="POINTS",E310-VLOOKUP(B$2,C1:E407,3,FALSE),J310)</f>
        <v>-215.01854078288875</v>
      </c>
      <c r="G310" s="55"/>
      <c r="H310" s="167" cm="1">
        <f t="array" ref="H310">RANK(I310,I3:I407)</f>
        <v>346</v>
      </c>
      <c r="I310" s="168" cm="1">
        <f t="array" ref="I310">VLOOKUP(A310,'Standard Deviations'!A1:C672,3,FALSE)</f>
        <v>-4.4724303638569092</v>
      </c>
      <c r="J310" s="168" cm="1">
        <f t="array" ref="J310">I310-VLOOKUP(B$2,H1:J407,2,FALSE)</f>
        <v>-9.9630737237799636</v>
      </c>
    </row>
    <row r="311" spans="1:10" ht="21.25" customHeight="1" x14ac:dyDescent="0.15">
      <c r="A311" s="10" t="s">
        <v>699</v>
      </c>
      <c r="B311" s="166" t="str" cm="1">
        <f t="array" ref="B311">VLOOKUP(A311,'The List'!B1:D671,3,FALSE)</f>
        <v>RW</v>
      </c>
      <c r="C311" s="74" cm="1">
        <f t="array" ref="C311">IF(Settings!$E$15="POINTS",RANK(E311,E3:E407),H311)</f>
        <v>309</v>
      </c>
      <c r="D311" s="18" t="str" cm="1">
        <f t="array" ref="D311">VLOOKUP(A311,'The List'!B1:F671,5,FALSE)</f>
        <v>T.B</v>
      </c>
      <c r="E311" s="55" cm="1">
        <f t="array" ref="E311">VLOOKUP(A311,'The List'!B1:I671,8,FALSE)</f>
        <v>133.61650700505794</v>
      </c>
      <c r="F311" s="55" cm="1">
        <f t="array" ref="F311">IF(Settings!$E$15="POINTS",E311-VLOOKUP(B$2,C1:E407,3,FALSE),J311)</f>
        <v>-217.11651039540419</v>
      </c>
      <c r="G311" s="55"/>
      <c r="H311" s="167" cm="1">
        <f t="array" ref="H311">RANK(I311,I3:I407)</f>
        <v>249</v>
      </c>
      <c r="I311" s="168" cm="1">
        <f t="array" ref="I311">VLOOKUP(A311,'Standard Deviations'!A1:C672,3,FALSE)</f>
        <v>-2.0929284242386066</v>
      </c>
      <c r="J311" s="168" cm="1">
        <f t="array" ref="J311">I311-VLOOKUP(B$2,H1:J407,2,FALSE)</f>
        <v>-7.5835717841616619</v>
      </c>
    </row>
    <row r="312" spans="1:10" ht="21.25" customHeight="1" x14ac:dyDescent="0.15">
      <c r="A312" s="10" t="s">
        <v>709</v>
      </c>
      <c r="B312" s="166" t="str" cm="1">
        <f t="array" ref="B312">VLOOKUP(A312,'The List'!B1:D671,3,FALSE)</f>
        <v>LW</v>
      </c>
      <c r="C312" s="74" cm="1">
        <f t="array" ref="C312">IF(Settings!$E$15="POINTS",RANK(E312,E3:E407),H312)</f>
        <v>310</v>
      </c>
      <c r="D312" s="18" t="str" cm="1">
        <f t="array" ref="D312">VLOOKUP(A312,'The List'!B1:F671,5,FALSE)</f>
        <v>NSH</v>
      </c>
      <c r="E312" s="55" cm="1">
        <f t="array" ref="E312">VLOOKUP(A312,'The List'!B1:I671,8,FALSE)</f>
        <v>133.07158174580604</v>
      </c>
      <c r="F312" s="55" cm="1">
        <f t="array" ref="F312">IF(Settings!$E$15="POINTS",E312-VLOOKUP(B$2,C1:E407,3,FALSE),J312)</f>
        <v>-217.66143565465609</v>
      </c>
      <c r="G312" s="55"/>
      <c r="H312" s="167" cm="1">
        <f t="array" ref="H312">RANK(I312,I3:I407)</f>
        <v>325</v>
      </c>
      <c r="I312" s="168" cm="1">
        <f t="array" ref="I312">VLOOKUP(A312,'Standard Deviations'!A1:C672,3,FALSE)</f>
        <v>-3.9584083475917593</v>
      </c>
      <c r="J312" s="168" cm="1">
        <f t="array" ref="J312">I312-VLOOKUP(B$2,H1:J407,2,FALSE)</f>
        <v>-9.4490517075148155</v>
      </c>
    </row>
    <row r="313" spans="1:10" ht="21.25" customHeight="1" x14ac:dyDescent="0.15">
      <c r="A313" s="10" t="s">
        <v>706</v>
      </c>
      <c r="B313" s="166" t="str" cm="1">
        <f t="array" ref="B313">VLOOKUP(A313,'The List'!B1:D671,3,FALSE)</f>
        <v>C,RW</v>
      </c>
      <c r="C313" s="74" cm="1">
        <f t="array" ref="C313">IF(Settings!$E$15="POINTS",RANK(E313,E3:E407),H313)</f>
        <v>311</v>
      </c>
      <c r="D313" s="18" t="str" cm="1">
        <f t="array" ref="D313">VLOOKUP(A313,'The List'!B1:F671,5,FALSE)</f>
        <v>CHI</v>
      </c>
      <c r="E313" s="55" cm="1">
        <f t="array" ref="E313">VLOOKUP(A313,'The List'!B1:I671,8,FALSE)</f>
        <v>129.91200386225688</v>
      </c>
      <c r="F313" s="55" cm="1">
        <f t="array" ref="F313">IF(Settings!$E$15="POINTS",E313-VLOOKUP(B$2,C1:E407,3,FALSE),J313)</f>
        <v>-220.82101353820525</v>
      </c>
      <c r="G313" s="55"/>
      <c r="H313" s="167" cm="1">
        <f t="array" ref="H313">RANK(I313,I3:I407)</f>
        <v>374</v>
      </c>
      <c r="I313" s="168" cm="1">
        <f t="array" ref="I313">VLOOKUP(A313,'Standard Deviations'!A1:C672,3,FALSE)</f>
        <v>-5.5018196713217451</v>
      </c>
      <c r="J313" s="168" cm="1">
        <f t="array" ref="J313">I313-VLOOKUP(B$2,H1:J407,2,FALSE)</f>
        <v>-10.9924630312448</v>
      </c>
    </row>
    <row r="314" spans="1:10" ht="21.25" customHeight="1" x14ac:dyDescent="0.15">
      <c r="A314" s="10" t="s">
        <v>691</v>
      </c>
      <c r="B314" s="166" t="str" cm="1">
        <f t="array" ref="B314">VLOOKUP(A314,'The List'!B1:D671,3,FALSE)</f>
        <v>C</v>
      </c>
      <c r="C314" s="74" cm="1">
        <f t="array" ref="C314">IF(Settings!$E$15="POINTS",RANK(E314,E3:E407),H314)</f>
        <v>312</v>
      </c>
      <c r="D314" s="18" t="str" cm="1">
        <f t="array" ref="D314">VLOOKUP(A314,'The List'!B1:F671,5,FALSE)</f>
        <v>EDM</v>
      </c>
      <c r="E314" s="55" cm="1">
        <f t="array" ref="E314">VLOOKUP(A314,'The List'!B1:I671,8,FALSE)</f>
        <v>128.52772509296017</v>
      </c>
      <c r="F314" s="55" cm="1">
        <f t="array" ref="F314">IF(Settings!$E$15="POINTS",E314-VLOOKUP(B$2,C1:E407,3,FALSE),J314)</f>
        <v>-222.20529230750196</v>
      </c>
      <c r="G314" s="55"/>
      <c r="H314" s="167" cm="1">
        <f t="array" ref="H314">RANK(I314,I3:I407)</f>
        <v>282</v>
      </c>
      <c r="I314" s="168" cm="1">
        <f t="array" ref="I314">VLOOKUP(A314,'Standard Deviations'!A1:C672,3,FALSE)</f>
        <v>-2.8265198205379307</v>
      </c>
      <c r="J314" s="168" cm="1">
        <f t="array" ref="J314">I314-VLOOKUP(B$2,H1:J407,2,FALSE)</f>
        <v>-8.3171631804609856</v>
      </c>
    </row>
    <row r="315" spans="1:10" ht="21.25" customHeight="1" x14ac:dyDescent="0.15">
      <c r="A315" s="10" t="s">
        <v>717</v>
      </c>
      <c r="B315" s="166" t="str" cm="1">
        <f t="array" ref="B315">VLOOKUP(A315,'The List'!B1:D671,3,FALSE)</f>
        <v>LW</v>
      </c>
      <c r="C315" s="74" cm="1">
        <f t="array" ref="C315">IF(Settings!$E$15="POINTS",RANK(E315,E3:E407),H315)</f>
        <v>313</v>
      </c>
      <c r="D315" s="18" t="str" cm="1">
        <f t="array" ref="D315">VLOOKUP(A315,'The List'!B1:F671,5,FALSE)</f>
        <v>NYR</v>
      </c>
      <c r="E315" s="55" cm="1">
        <f t="array" ref="E315">VLOOKUP(A315,'The List'!B1:I671,8,FALSE)</f>
        <v>128.40305394467018</v>
      </c>
      <c r="F315" s="55" cm="1">
        <f t="array" ref="F315">IF(Settings!$E$15="POINTS",E315-VLOOKUP(B$2,C1:E407,3,FALSE),J315)</f>
        <v>-222.32996345579195</v>
      </c>
      <c r="G315" s="55"/>
      <c r="H315" s="167" cm="1">
        <f t="array" ref="H315">RANK(I315,I3:I407)</f>
        <v>316</v>
      </c>
      <c r="I315" s="168" cm="1">
        <f t="array" ref="I315">VLOOKUP(A315,'Standard Deviations'!A1:C672,3,FALSE)</f>
        <v>-3.7546075297588364</v>
      </c>
      <c r="J315" s="168" cm="1">
        <f t="array" ref="J315">I315-VLOOKUP(B$2,H1:J407,2,FALSE)</f>
        <v>-9.2452508896818912</v>
      </c>
    </row>
    <row r="316" spans="1:10" ht="21.25" customHeight="1" x14ac:dyDescent="0.15">
      <c r="A316" s="10" t="s">
        <v>710</v>
      </c>
      <c r="B316" s="166" t="str" cm="1">
        <f t="array" ref="B316">VLOOKUP(A316,'The List'!B1:D671,3,FALSE)</f>
        <v>RW</v>
      </c>
      <c r="C316" s="74" cm="1">
        <f t="array" ref="C316">IF(Settings!$E$15="POINTS",RANK(E316,E3:E407),H316)</f>
        <v>314</v>
      </c>
      <c r="D316" s="18" t="str" cm="1">
        <f t="array" ref="D316">VLOOKUP(A316,'The List'!B1:F671,5,FALSE)</f>
        <v>L.A</v>
      </c>
      <c r="E316" s="55" cm="1">
        <f t="array" ref="E316">VLOOKUP(A316,'The List'!B1:I671,8,FALSE)</f>
        <v>128.14429639506983</v>
      </c>
      <c r="F316" s="55" cm="1">
        <f t="array" ref="F316">IF(Settings!$E$15="POINTS",E316-VLOOKUP(B$2,C1:E407,3,FALSE),J316)</f>
        <v>-222.5887210053923</v>
      </c>
      <c r="G316" s="55"/>
      <c r="H316" s="167" cm="1">
        <f t="array" ref="H316">RANK(I316,I3:I407)</f>
        <v>262</v>
      </c>
      <c r="I316" s="168" cm="1">
        <f t="array" ref="I316">VLOOKUP(A316,'Standard Deviations'!A1:C672,3,FALSE)</f>
        <v>-2.4375964216287547</v>
      </c>
      <c r="J316" s="168" cm="1">
        <f t="array" ref="J316">I316-VLOOKUP(B$2,H1:J407,2,FALSE)</f>
        <v>-7.9282397815518095</v>
      </c>
    </row>
    <row r="317" spans="1:10" ht="21.25" customHeight="1" x14ac:dyDescent="0.15">
      <c r="A317" s="10" t="s">
        <v>711</v>
      </c>
      <c r="B317" s="166" t="str" cm="1">
        <f t="array" ref="B317">VLOOKUP(A317,'The List'!B1:D671,3,FALSE)</f>
        <v>C,RW</v>
      </c>
      <c r="C317" s="74" cm="1">
        <f t="array" ref="C317">IF(Settings!$E$15="POINTS",RANK(E317,E3:E407),H317)</f>
        <v>315</v>
      </c>
      <c r="D317" s="18" t="str" cm="1">
        <f t="array" ref="D317">VLOOKUP(A317,'The List'!B1:F671,5,FALSE)</f>
        <v>DAL</v>
      </c>
      <c r="E317" s="55" cm="1">
        <f t="array" ref="E317">VLOOKUP(A317,'The List'!B1:I671,8,FALSE)</f>
        <v>127.53005914238597</v>
      </c>
      <c r="F317" s="55" cm="1">
        <f t="array" ref="F317">IF(Settings!$E$15="POINTS",E317-VLOOKUP(B$2,C1:E407,3,FALSE),J317)</f>
        <v>-223.20295825807617</v>
      </c>
      <c r="G317" s="55"/>
      <c r="H317" s="167" cm="1">
        <f t="array" ref="H317">RANK(I317,I3:I407)</f>
        <v>323</v>
      </c>
      <c r="I317" s="168" cm="1">
        <f t="array" ref="I317">VLOOKUP(A317,'Standard Deviations'!A1:C672,3,FALSE)</f>
        <v>-3.9244146042314254</v>
      </c>
      <c r="J317" s="168" cm="1">
        <f t="array" ref="J317">I317-VLOOKUP(B$2,H1:J407,2,FALSE)</f>
        <v>-9.4150579641544816</v>
      </c>
    </row>
    <row r="318" spans="1:10" ht="21.25" customHeight="1" x14ac:dyDescent="0.15">
      <c r="A318" s="10" t="s">
        <v>697</v>
      </c>
      <c r="B318" s="166" t="str" cm="1">
        <f t="array" ref="B318">VLOOKUP(A318,'The List'!B1:D671,3,FALSE)</f>
        <v>C</v>
      </c>
      <c r="C318" s="74" cm="1">
        <f t="array" ref="C318">IF(Settings!$E$15="POINTS",RANK(E318,E3:E407),H318)</f>
        <v>316</v>
      </c>
      <c r="D318" s="18" t="str" cm="1">
        <f t="array" ref="D318">VLOOKUP(A318,'The List'!B1:F671,5,FALSE)</f>
        <v>PIT</v>
      </c>
      <c r="E318" s="55" cm="1">
        <f t="array" ref="E318">VLOOKUP(A318,'The List'!B1:I671,8,FALSE)</f>
        <v>127.08004679398897</v>
      </c>
      <c r="F318" s="55" cm="1">
        <f t="array" ref="F318">IF(Settings!$E$15="POINTS",E318-VLOOKUP(B$2,C1:E407,3,FALSE),J318)</f>
        <v>-223.65297060647316</v>
      </c>
      <c r="G318" s="55"/>
      <c r="H318" s="167" cm="1">
        <f t="array" ref="H318">RANK(I318,I3:I407)</f>
        <v>318</v>
      </c>
      <c r="I318" s="168" cm="1">
        <f t="array" ref="I318">VLOOKUP(A318,'Standard Deviations'!A1:C672,3,FALSE)</f>
        <v>-3.808147571715975</v>
      </c>
      <c r="J318" s="168" cm="1">
        <f t="array" ref="J318">I318-VLOOKUP(B$2,H1:J407,2,FALSE)</f>
        <v>-9.2987909316390294</v>
      </c>
    </row>
    <row r="319" spans="1:10" ht="21.25" customHeight="1" x14ac:dyDescent="0.15">
      <c r="A319" s="10" t="s">
        <v>712</v>
      </c>
      <c r="B319" s="166" t="str" cm="1">
        <f t="array" ref="B319">VLOOKUP(A319,'The List'!B1:D671,3,FALSE)</f>
        <v>C,LW,RW</v>
      </c>
      <c r="C319" s="74" cm="1">
        <f t="array" ref="C319">IF(Settings!$E$15="POINTS",RANK(E319,E3:E407),H319)</f>
        <v>317</v>
      </c>
      <c r="D319" s="18" t="str" cm="1">
        <f t="array" ref="D319">VLOOKUP(A319,'The List'!B1:F671,5,FALSE)</f>
        <v>MIN</v>
      </c>
      <c r="E319" s="55" cm="1">
        <f t="array" ref="E319">VLOOKUP(A319,'The List'!B1:I671,8,FALSE)</f>
        <v>126.8320607710076</v>
      </c>
      <c r="F319" s="55" cm="1">
        <f t="array" ref="F319">IF(Settings!$E$15="POINTS",E319-VLOOKUP(B$2,C1:E407,3,FALSE),J319)</f>
        <v>-223.90095662945453</v>
      </c>
      <c r="G319" s="55"/>
      <c r="H319" s="167" cm="1">
        <f t="array" ref="H319">RANK(I319,I3:I407)</f>
        <v>279</v>
      </c>
      <c r="I319" s="168" cm="1">
        <f t="array" ref="I319">VLOOKUP(A319,'Standard Deviations'!A1:C672,3,FALSE)</f>
        <v>-2.7036632467316317</v>
      </c>
      <c r="J319" s="168" cm="1">
        <f t="array" ref="J319">I319-VLOOKUP(B$2,H1:J407,2,FALSE)</f>
        <v>-8.1943066066546866</v>
      </c>
    </row>
    <row r="320" spans="1:10" ht="21.25" customHeight="1" x14ac:dyDescent="0.15">
      <c r="A320" s="10" t="s">
        <v>713</v>
      </c>
      <c r="B320" s="166" t="str" cm="1">
        <f t="array" ref="B320">VLOOKUP(A320,'The List'!B1:D671,3,FALSE)</f>
        <v>C,RW</v>
      </c>
      <c r="C320" s="74" cm="1">
        <f t="array" ref="C320">IF(Settings!$E$15="POINTS",RANK(E320,E3:E407),H320)</f>
        <v>318</v>
      </c>
      <c r="D320" s="18" t="str" cm="1">
        <f t="array" ref="D320">VLOOKUP(A320,'The List'!B1:F671,5,FALSE)</f>
        <v>BOS</v>
      </c>
      <c r="E320" s="55" cm="1">
        <f t="array" ref="E320">VLOOKUP(A320,'The List'!B1:I671,8,FALSE)</f>
        <v>126.26256305905103</v>
      </c>
      <c r="F320" s="55" cm="1">
        <f t="array" ref="F320">IF(Settings!$E$15="POINTS",E320-VLOOKUP(B$2,C1:E407,3,FALSE),J320)</f>
        <v>-224.47045434141108</v>
      </c>
      <c r="G320" s="55"/>
      <c r="H320" s="167" cm="1">
        <f t="array" ref="H320">RANK(I320,I3:I407)</f>
        <v>326</v>
      </c>
      <c r="I320" s="168" cm="1">
        <f t="array" ref="I320">VLOOKUP(A320,'Standard Deviations'!A1:C672,3,FALSE)</f>
        <v>-3.9593178680919143</v>
      </c>
      <c r="J320" s="168" cm="1">
        <f t="array" ref="J320">I320-VLOOKUP(B$2,H1:J407,2,FALSE)</f>
        <v>-9.4499612280149705</v>
      </c>
    </row>
    <row r="321" spans="1:10" ht="21.25" customHeight="1" x14ac:dyDescent="0.15">
      <c r="A321" s="10" t="s">
        <v>714</v>
      </c>
      <c r="B321" s="166" t="str" cm="1">
        <f t="array" ref="B321">VLOOKUP(A321,'The List'!B1:D671,3,FALSE)</f>
        <v>RW</v>
      </c>
      <c r="C321" s="74" cm="1">
        <f t="array" ref="C321">IF(Settings!$E$15="POINTS",RANK(E321,E3:E407),H321)</f>
        <v>319</v>
      </c>
      <c r="D321" s="18" t="str" cm="1">
        <f t="array" ref="D321">VLOOKUP(A321,'The List'!B1:F671,5,FALSE)</f>
        <v>L.A</v>
      </c>
      <c r="E321" s="55" cm="1">
        <f t="array" ref="E321">VLOOKUP(A321,'The List'!B1:I671,8,FALSE)</f>
        <v>125.548379842252</v>
      </c>
      <c r="F321" s="55" cm="1">
        <f t="array" ref="F321">IF(Settings!$E$15="POINTS",E321-VLOOKUP(B$2,C1:E407,3,FALSE),J321)</f>
        <v>-225.18463755821011</v>
      </c>
      <c r="G321" s="55"/>
      <c r="H321" s="167" cm="1">
        <f t="array" ref="H321">RANK(I321,I3:I407)</f>
        <v>348</v>
      </c>
      <c r="I321" s="168" cm="1">
        <f t="array" ref="I321">VLOOKUP(A321,'Standard Deviations'!A1:C672,3,FALSE)</f>
        <v>-4.6019503837009399</v>
      </c>
      <c r="J321" s="168" cm="1">
        <f t="array" ref="J321">I321-VLOOKUP(B$2,H1:J407,2,FALSE)</f>
        <v>-10.092593743623995</v>
      </c>
    </row>
    <row r="322" spans="1:10" ht="21.25" customHeight="1" x14ac:dyDescent="0.15">
      <c r="A322" s="10" t="s">
        <v>715</v>
      </c>
      <c r="B322" s="166" t="str" cm="1">
        <f t="array" ref="B322">VLOOKUP(A322,'The List'!B1:D671,3,FALSE)</f>
        <v>LW,RW</v>
      </c>
      <c r="C322" s="74" cm="1">
        <f t="array" ref="C322">IF(Settings!$E$15="POINTS",RANK(E322,E3:E407),H322)</f>
        <v>320</v>
      </c>
      <c r="D322" s="18" t="str" cm="1">
        <f t="array" ref="D322">VLOOKUP(A322,'The List'!B1:F671,5,FALSE)</f>
        <v>STL</v>
      </c>
      <c r="E322" s="55" cm="1">
        <f t="array" ref="E322">VLOOKUP(A322,'The List'!B1:I671,8,FALSE)</f>
        <v>125.29115204157866</v>
      </c>
      <c r="F322" s="55" cm="1">
        <f t="array" ref="F322">IF(Settings!$E$15="POINTS",E322-VLOOKUP(B$2,C1:E407,3,FALSE),J322)</f>
        <v>-225.44186535888349</v>
      </c>
      <c r="G322" s="55"/>
      <c r="H322" s="167" cm="1">
        <f t="array" ref="H322">RANK(I322,I3:I407)</f>
        <v>355</v>
      </c>
      <c r="I322" s="168" cm="1">
        <f t="array" ref="I322">VLOOKUP(A322,'Standard Deviations'!A1:C672,3,FALSE)</f>
        <v>-4.7708676708608806</v>
      </c>
      <c r="J322" s="168" cm="1">
        <f t="array" ref="J322">I322-VLOOKUP(B$2,H1:J407,2,FALSE)</f>
        <v>-10.261511030783936</v>
      </c>
    </row>
    <row r="323" spans="1:10" ht="21.25" customHeight="1" x14ac:dyDescent="0.15">
      <c r="A323" s="10" t="s">
        <v>716</v>
      </c>
      <c r="B323" s="166" t="str" cm="1">
        <f t="array" ref="B323">VLOOKUP(A323,'The List'!B1:D671,3,FALSE)</f>
        <v>RW</v>
      </c>
      <c r="C323" s="74" cm="1">
        <f t="array" ref="C323">IF(Settings!$E$15="POINTS",RANK(E323,E3:E407),H323)</f>
        <v>321</v>
      </c>
      <c r="D323" s="18" t="str" cm="1">
        <f t="array" ref="D323">VLOOKUP(A323,'The List'!B1:F671,5,FALSE)</f>
        <v>CGY</v>
      </c>
      <c r="E323" s="55" cm="1">
        <f t="array" ref="E323">VLOOKUP(A323,'The List'!B1:I671,8,FALSE)</f>
        <v>125.07327435720499</v>
      </c>
      <c r="F323" s="55" cm="1">
        <f t="array" ref="F323">IF(Settings!$E$15="POINTS",E323-VLOOKUP(B$2,C1:E407,3,FALSE),J323)</f>
        <v>-225.65974304325715</v>
      </c>
      <c r="G323" s="55"/>
      <c r="H323" s="167" cm="1">
        <f t="array" ref="H323">RANK(I323,I3:I407)</f>
        <v>297</v>
      </c>
      <c r="I323" s="168" cm="1">
        <f t="array" ref="I323">VLOOKUP(A323,'Standard Deviations'!A1:C672,3,FALSE)</f>
        <v>-3.3333013587965263</v>
      </c>
      <c r="J323" s="168" cm="1">
        <f t="array" ref="J323">I323-VLOOKUP(B$2,H1:J407,2,FALSE)</f>
        <v>-8.8239447187195807</v>
      </c>
    </row>
    <row r="324" spans="1:10" ht="21.25" customHeight="1" x14ac:dyDescent="0.15">
      <c r="A324" s="10" t="s">
        <v>702</v>
      </c>
      <c r="B324" s="166" t="str" cm="1">
        <f t="array" ref="B324">VLOOKUP(A324,'The List'!B1:D671,3,FALSE)</f>
        <v>C</v>
      </c>
      <c r="C324" s="74" cm="1">
        <f t="array" ref="C324">IF(Settings!$E$15="POINTS",RANK(E324,E3:E407),H324)</f>
        <v>322</v>
      </c>
      <c r="D324" s="18" t="str" cm="1">
        <f t="array" ref="D324">VLOOKUP(A324,'The List'!B1:F671,5,FALSE)</f>
        <v>T.B</v>
      </c>
      <c r="E324" s="55" cm="1">
        <f t="array" ref="E324">VLOOKUP(A324,'The List'!B1:I671,8,FALSE)</f>
        <v>124.26496142388649</v>
      </c>
      <c r="F324" s="55" cm="1">
        <f t="array" ref="F324">IF(Settings!$E$15="POINTS",E324-VLOOKUP(B$2,C1:E407,3,FALSE),J324)</f>
        <v>-226.46805597657564</v>
      </c>
      <c r="G324" s="55"/>
      <c r="H324" s="167" cm="1">
        <f t="array" ref="H324">RANK(I324,I3:I407)</f>
        <v>307</v>
      </c>
      <c r="I324" s="168" cm="1">
        <f t="array" ref="I324">VLOOKUP(A324,'Standard Deviations'!A1:C672,3,FALSE)</f>
        <v>-3.5499159779618354</v>
      </c>
      <c r="J324" s="168" cm="1">
        <f t="array" ref="J324">I324-VLOOKUP(B$2,H1:J407,2,FALSE)</f>
        <v>-9.0405593378848899</v>
      </c>
    </row>
    <row r="325" spans="1:10" ht="21.25" customHeight="1" x14ac:dyDescent="0.15">
      <c r="A325" s="10" t="s">
        <v>718</v>
      </c>
      <c r="B325" s="166" t="str" cm="1">
        <f t="array" ref="B325">VLOOKUP(A325,'The List'!B1:D671,3,FALSE)</f>
        <v>RW</v>
      </c>
      <c r="C325" s="74" cm="1">
        <f t="array" ref="C325">IF(Settings!$E$15="POINTS",RANK(E325,E3:E407),H325)</f>
        <v>323</v>
      </c>
      <c r="D325" s="18" t="str" cm="1">
        <f t="array" ref="D325">VLOOKUP(A325,'The List'!B1:F671,5,FALSE)</f>
        <v>WPG</v>
      </c>
      <c r="E325" s="55" cm="1">
        <f t="array" ref="E325">VLOOKUP(A325,'The List'!B1:I671,8,FALSE)</f>
        <v>123.69952644257792</v>
      </c>
      <c r="F325" s="55" cm="1">
        <f t="array" ref="F325">IF(Settings!$E$15="POINTS",E325-VLOOKUP(B$2,C1:E407,3,FALSE),J325)</f>
        <v>-227.03349095788423</v>
      </c>
      <c r="G325" s="55"/>
      <c r="H325" s="167" cm="1">
        <f t="array" ref="H325">RANK(I325,I3:I407)</f>
        <v>357</v>
      </c>
      <c r="I325" s="168" cm="1">
        <f t="array" ref="I325">VLOOKUP(A325,'Standard Deviations'!A1:C672,3,FALSE)</f>
        <v>-4.8565839778138322</v>
      </c>
      <c r="J325" s="168" cm="1">
        <f t="array" ref="J325">I325-VLOOKUP(B$2,H1:J407,2,FALSE)</f>
        <v>-10.347227337736888</v>
      </c>
    </row>
    <row r="326" spans="1:10" ht="21.25" customHeight="1" x14ac:dyDescent="0.15">
      <c r="A326" s="10" t="s">
        <v>719</v>
      </c>
      <c r="B326" s="166" t="str" cm="1">
        <f t="array" ref="B326">VLOOKUP(A326,'The List'!B1:D671,3,FALSE)</f>
        <v>C,RW</v>
      </c>
      <c r="C326" s="74" cm="1">
        <f t="array" ref="C326">IF(Settings!$E$15="POINTS",RANK(E326,E3:E407),H326)</f>
        <v>324</v>
      </c>
      <c r="D326" s="18" t="str" cm="1">
        <f t="array" ref="D326">VLOOKUP(A326,'The List'!B1:F671,5,FALSE)</f>
        <v>TOR</v>
      </c>
      <c r="E326" s="55" cm="1">
        <f t="array" ref="E326">VLOOKUP(A326,'The List'!B1:I671,8,FALSE)</f>
        <v>123.01295045181961</v>
      </c>
      <c r="F326" s="55" cm="1">
        <f t="array" ref="F326">IF(Settings!$E$15="POINTS",E326-VLOOKUP(B$2,C1:E407,3,FALSE),J326)</f>
        <v>-227.72006694864251</v>
      </c>
      <c r="G326" s="55"/>
      <c r="H326" s="167" cm="1">
        <f t="array" ref="H326">RANK(I326,I3:I407)</f>
        <v>313</v>
      </c>
      <c r="I326" s="168" cm="1">
        <f t="array" ref="I326">VLOOKUP(A326,'Standard Deviations'!A1:C672,3,FALSE)</f>
        <v>-3.7047737830328664</v>
      </c>
      <c r="J326" s="168" cm="1">
        <f t="array" ref="J326">I326-VLOOKUP(B$2,H1:J407,2,FALSE)</f>
        <v>-9.1954171429559217</v>
      </c>
    </row>
    <row r="327" spans="1:10" ht="21.25" customHeight="1" x14ac:dyDescent="0.15">
      <c r="A327" s="10" t="s">
        <v>720</v>
      </c>
      <c r="B327" s="166" t="str" cm="1">
        <f t="array" ref="B327">VLOOKUP(A327,'The List'!B1:D671,3,FALSE)</f>
        <v>RW</v>
      </c>
      <c r="C327" s="74" cm="1">
        <f t="array" ref="C327">IF(Settings!$E$15="POINTS",RANK(E327,E3:E407),H327)</f>
        <v>325</v>
      </c>
      <c r="D327" s="18" t="str" cm="1">
        <f t="array" ref="D327">VLOOKUP(A327,'The List'!B1:F671,5,FALSE)</f>
        <v>DET</v>
      </c>
      <c r="E327" s="55" cm="1">
        <f t="array" ref="E327">VLOOKUP(A327,'The List'!B1:I671,8,FALSE)</f>
        <v>121.67407296624309</v>
      </c>
      <c r="F327" s="55" cm="1">
        <f t="array" ref="F327">IF(Settings!$E$15="POINTS",E327-VLOOKUP(B$2,C1:E407,3,FALSE),J327)</f>
        <v>-229.05894443421903</v>
      </c>
      <c r="G327" s="55"/>
      <c r="H327" s="167" cm="1">
        <f t="array" ref="H327">RANK(I327,I3:I407)</f>
        <v>312</v>
      </c>
      <c r="I327" s="168" cm="1">
        <f t="array" ref="I327">VLOOKUP(A327,'Standard Deviations'!A1:C672,3,FALSE)</f>
        <v>-3.6901113275943898</v>
      </c>
      <c r="J327" s="168" cm="1">
        <f t="array" ref="J327">I327-VLOOKUP(B$2,H1:J407,2,FALSE)</f>
        <v>-9.1807546875174459</v>
      </c>
    </row>
    <row r="328" spans="1:10" ht="21.25" customHeight="1" x14ac:dyDescent="0.15">
      <c r="A328" s="10" t="s">
        <v>721</v>
      </c>
      <c r="B328" s="166" t="str" cm="1">
        <f t="array" ref="B328">VLOOKUP(A328,'The List'!B1:D671,3,FALSE)</f>
        <v>LW,RW</v>
      </c>
      <c r="C328" s="74" cm="1">
        <f t="array" ref="C328">IF(Settings!$E$15="POINTS",RANK(E328,E3:E407),H328)</f>
        <v>326</v>
      </c>
      <c r="D328" s="18" t="str" cm="1">
        <f t="array" ref="D328">VLOOKUP(A328,'The List'!B1:F671,5,FALSE)</f>
        <v>OTT</v>
      </c>
      <c r="E328" s="55" cm="1">
        <f t="array" ref="E328">VLOOKUP(A328,'The List'!B1:I671,8,FALSE)</f>
        <v>121.53642236478285</v>
      </c>
      <c r="F328" s="55" cm="1">
        <f t="array" ref="F328">IF(Settings!$E$15="POINTS",E328-VLOOKUP(B$2,C1:E407,3,FALSE),J328)</f>
        <v>-229.19659503567928</v>
      </c>
      <c r="G328" s="55"/>
      <c r="H328" s="167" cm="1">
        <f t="array" ref="H328">RANK(I328,I3:I407)</f>
        <v>358</v>
      </c>
      <c r="I328" s="168" cm="1">
        <f t="array" ref="I328">VLOOKUP(A328,'Standard Deviations'!A1:C672,3,FALSE)</f>
        <v>-4.9107477202721466</v>
      </c>
      <c r="J328" s="168" cm="1">
        <f t="array" ref="J328">I328-VLOOKUP(B$2,H1:J407,2,FALSE)</f>
        <v>-10.401391080195202</v>
      </c>
    </row>
    <row r="329" spans="1:10" ht="21.25" customHeight="1" x14ac:dyDescent="0.15">
      <c r="A329" s="10" t="s">
        <v>731</v>
      </c>
      <c r="B329" s="166" t="str" cm="1">
        <f t="array" ref="B329">VLOOKUP(A329,'The List'!B1:D671,3,FALSE)</f>
        <v>LW</v>
      </c>
      <c r="C329" s="74" cm="1">
        <f t="array" ref="C329">IF(Settings!$E$15="POINTS",RANK(E329,E3:E407),H329)</f>
        <v>327</v>
      </c>
      <c r="D329" s="18" t="str" cm="1">
        <f t="array" ref="D329">VLOOKUP(A329,'The List'!B1:F671,5,FALSE)</f>
        <v>MIN</v>
      </c>
      <c r="E329" s="55" cm="1">
        <f t="array" ref="E329">VLOOKUP(A329,'The List'!B1:I671,8,FALSE)</f>
        <v>121.51629715840524</v>
      </c>
      <c r="F329" s="55" cm="1">
        <f t="array" ref="F329">IF(Settings!$E$15="POINTS",E329-VLOOKUP(B$2,C1:E407,3,FALSE),J329)</f>
        <v>-229.21672024205691</v>
      </c>
      <c r="G329" s="55"/>
      <c r="H329" s="167" cm="1">
        <f t="array" ref="H329">RANK(I329,I3:I407)</f>
        <v>209</v>
      </c>
      <c r="I329" s="168" cm="1">
        <f t="array" ref="I329">VLOOKUP(A329,'Standard Deviations'!A1:C672,3,FALSE)</f>
        <v>-1.1673729368055854</v>
      </c>
      <c r="J329" s="168" cm="1">
        <f t="array" ref="J329">I329-VLOOKUP(B$2,H1:J407,2,FALSE)</f>
        <v>-6.6580162967286407</v>
      </c>
    </row>
    <row r="330" spans="1:10" ht="21.25" customHeight="1" x14ac:dyDescent="0.15">
      <c r="A330" s="10" t="s">
        <v>707</v>
      </c>
      <c r="B330" s="166" t="str" cm="1">
        <f t="array" ref="B330">VLOOKUP(A330,'The List'!B1:D671,3,FALSE)</f>
        <v>C</v>
      </c>
      <c r="C330" s="74" cm="1">
        <f t="array" ref="C330">IF(Settings!$E$15="POINTS",RANK(E330,E3:E407),H330)</f>
        <v>328</v>
      </c>
      <c r="D330" s="18" t="str" cm="1">
        <f t="array" ref="D330">VLOOKUP(A330,'The List'!B1:F671,5,FALSE)</f>
        <v>WPG</v>
      </c>
      <c r="E330" s="55" cm="1">
        <f t="array" ref="E330">VLOOKUP(A330,'The List'!B1:I671,8,FALSE)</f>
        <v>121.27710689922661</v>
      </c>
      <c r="F330" s="55" cm="1">
        <f t="array" ref="F330">IF(Settings!$E$15="POINTS",E330-VLOOKUP(B$2,C1:E407,3,FALSE),J330)</f>
        <v>-229.45591050123551</v>
      </c>
      <c r="G330" s="55"/>
      <c r="H330" s="167" cm="1">
        <f t="array" ref="H330">RANK(I330,I3:I407)</f>
        <v>351</v>
      </c>
      <c r="I330" s="168" cm="1">
        <f t="array" ref="I330">VLOOKUP(A330,'Standard Deviations'!A1:C672,3,FALSE)</f>
        <v>-4.6435949662362255</v>
      </c>
      <c r="J330" s="168" cm="1">
        <f t="array" ref="J330">I330-VLOOKUP(B$2,H1:J407,2,FALSE)</f>
        <v>-10.134238326159281</v>
      </c>
    </row>
    <row r="331" spans="1:10" ht="21.25" customHeight="1" x14ac:dyDescent="0.15">
      <c r="A331" s="10" t="s">
        <v>722</v>
      </c>
      <c r="B331" s="166" t="str" cm="1">
        <f t="array" ref="B331">VLOOKUP(A331,'The List'!B1:D671,3,FALSE)</f>
        <v>C,RW</v>
      </c>
      <c r="C331" s="74" cm="1">
        <f t="array" ref="C331">IF(Settings!$E$15="POINTS",RANK(E331,E3:E407),H331)</f>
        <v>329</v>
      </c>
      <c r="D331" s="18" t="str" cm="1">
        <f t="array" ref="D331">VLOOKUP(A331,'The List'!B1:F671,5,FALSE)</f>
        <v>S.J</v>
      </c>
      <c r="E331" s="55" cm="1">
        <f t="array" ref="E331">VLOOKUP(A331,'The List'!B1:I671,8,FALSE)</f>
        <v>120.93478281309424</v>
      </c>
      <c r="F331" s="55" cm="1">
        <f t="array" ref="F331">IF(Settings!$E$15="POINTS",E331-VLOOKUP(B$2,C1:E407,3,FALSE),J331)</f>
        <v>-229.79823458736789</v>
      </c>
      <c r="G331" s="55"/>
      <c r="H331" s="167" cm="1">
        <f t="array" ref="H331">RANK(I331,I3:I407)</f>
        <v>362</v>
      </c>
      <c r="I331" s="168" cm="1">
        <f t="array" ref="I331">VLOOKUP(A331,'Standard Deviations'!A1:C672,3,FALSE)</f>
        <v>-4.9675128032231193</v>
      </c>
      <c r="J331" s="168" cm="1">
        <f t="array" ref="J331">I331-VLOOKUP(B$2,H1:J407,2,FALSE)</f>
        <v>-10.458156163146175</v>
      </c>
    </row>
    <row r="332" spans="1:10" ht="21.25" customHeight="1" x14ac:dyDescent="0.15">
      <c r="A332" s="10" t="s">
        <v>725</v>
      </c>
      <c r="B332" s="166" t="str" cm="1">
        <f t="array" ref="B332">VLOOKUP(A332,'The List'!B1:D671,3,FALSE)</f>
        <v>LW,RW</v>
      </c>
      <c r="C332" s="74" cm="1">
        <f t="array" ref="C332">IF(Settings!$E$15="POINTS",RANK(E332,E3:E407),H332)</f>
        <v>330</v>
      </c>
      <c r="D332" s="18" t="str" cm="1">
        <f t="array" ref="D332">VLOOKUP(A332,'The List'!B1:F671,5,FALSE)</f>
        <v>BOS</v>
      </c>
      <c r="E332" s="55" cm="1">
        <f t="array" ref="E332">VLOOKUP(A332,'The List'!B1:I671,8,FALSE)</f>
        <v>119.50729062559837</v>
      </c>
      <c r="F332" s="55" cm="1">
        <f t="array" ref="F332">IF(Settings!$E$15="POINTS",E332-VLOOKUP(B$2,C1:E407,3,FALSE),J332)</f>
        <v>-231.22572677486374</v>
      </c>
      <c r="G332" s="55"/>
      <c r="H332" s="167" cm="1">
        <f t="array" ref="H332">RANK(I332,I3:I407)</f>
        <v>237</v>
      </c>
      <c r="I332" s="168" cm="1">
        <f t="array" ref="I332">VLOOKUP(A332,'Standard Deviations'!A1:C672,3,FALSE)</f>
        <v>-1.9019807645745574</v>
      </c>
      <c r="J332" s="168" cm="1">
        <f t="array" ref="J332">I332-VLOOKUP(B$2,H1:J407,2,FALSE)</f>
        <v>-7.3926241244976127</v>
      </c>
    </row>
    <row r="333" spans="1:10" ht="21.25" customHeight="1" x14ac:dyDescent="0.15">
      <c r="A333" s="10" t="s">
        <v>737</v>
      </c>
      <c r="B333" s="166" t="str" cm="1">
        <f t="array" ref="B333">VLOOKUP(A333,'The List'!B1:D671,3,FALSE)</f>
        <v>LW</v>
      </c>
      <c r="C333" s="74" cm="1">
        <f t="array" ref="C333">IF(Settings!$E$15="POINTS",RANK(E333,E3:E407),H333)</f>
        <v>331</v>
      </c>
      <c r="D333" s="18" t="str" cm="1">
        <f t="array" ref="D333">VLOOKUP(A333,'The List'!B1:F671,5,FALSE)</f>
        <v>T.B</v>
      </c>
      <c r="E333" s="55" cm="1">
        <f t="array" ref="E333">VLOOKUP(A333,'The List'!B1:I671,8,FALSE)</f>
        <v>119.42508174564182</v>
      </c>
      <c r="F333" s="55" cm="1">
        <f t="array" ref="F333">IF(Settings!$E$15="POINTS",E333-VLOOKUP(B$2,C1:E407,3,FALSE),J333)</f>
        <v>-231.30793565482031</v>
      </c>
      <c r="G333" s="55"/>
      <c r="H333" s="167" cm="1">
        <f t="array" ref="H333">RANK(I333,I3:I407)</f>
        <v>272</v>
      </c>
      <c r="I333" s="168" cm="1">
        <f t="array" ref="I333">VLOOKUP(A333,'Standard Deviations'!A1:C672,3,FALSE)</f>
        <v>-2.5482290490772481</v>
      </c>
      <c r="J333" s="168" cm="1">
        <f t="array" ref="J333">I333-VLOOKUP(B$2,H1:J407,2,FALSE)</f>
        <v>-8.0388724090003034</v>
      </c>
    </row>
    <row r="334" spans="1:10" ht="21.25" customHeight="1" x14ac:dyDescent="0.15">
      <c r="A334" s="10" t="s">
        <v>726</v>
      </c>
      <c r="B334" s="166" t="str" cm="1">
        <f t="array" ref="B334">VLOOKUP(A334,'The List'!B1:D671,3,FALSE)</f>
        <v>LW,RW</v>
      </c>
      <c r="C334" s="74" cm="1">
        <f t="array" ref="C334">IF(Settings!$E$15="POINTS",RANK(E334,E3:E407),H334)</f>
        <v>332</v>
      </c>
      <c r="D334" s="18" t="str" cm="1">
        <f t="array" ref="D334">VLOOKUP(A334,'The List'!B1:F671,5,FALSE)</f>
        <v>TOR</v>
      </c>
      <c r="E334" s="55" cm="1">
        <f t="array" ref="E334">VLOOKUP(A334,'The List'!B1:I671,8,FALSE)</f>
        <v>119.29140753677862</v>
      </c>
      <c r="F334" s="55" cm="1">
        <f t="array" ref="F334">IF(Settings!$E$15="POINTS",E334-VLOOKUP(B$2,C1:E407,3,FALSE),J334)</f>
        <v>-231.44160986368351</v>
      </c>
      <c r="G334" s="55"/>
      <c r="H334" s="167" cm="1">
        <f t="array" ref="H334">RANK(I334,I3:I407)</f>
        <v>361</v>
      </c>
      <c r="I334" s="168" cm="1">
        <f t="array" ref="I334">VLOOKUP(A334,'Standard Deviations'!A1:C672,3,FALSE)</f>
        <v>-4.9342018716550449</v>
      </c>
      <c r="J334" s="168" cm="1">
        <f t="array" ref="J334">I334-VLOOKUP(B$2,H1:J407,2,FALSE)</f>
        <v>-10.4248452315781</v>
      </c>
    </row>
    <row r="335" spans="1:10" ht="21.25" customHeight="1" x14ac:dyDescent="0.15">
      <c r="A335" s="10" t="s">
        <v>738</v>
      </c>
      <c r="B335" s="166" t="str" cm="1">
        <f t="array" ref="B335">VLOOKUP(A335,'The List'!B1:D671,3,FALSE)</f>
        <v>LW</v>
      </c>
      <c r="C335" s="74" cm="1">
        <f t="array" ref="C335">IF(Settings!$E$15="POINTS",RANK(E335,E3:E407),H335)</f>
        <v>333</v>
      </c>
      <c r="D335" s="18" t="str" cm="1">
        <f t="array" ref="D335">VLOOKUP(A335,'The List'!B1:F671,5,FALSE)</f>
        <v>NYI</v>
      </c>
      <c r="E335" s="55" cm="1">
        <f t="array" ref="E335">VLOOKUP(A335,'The List'!B1:I671,8,FALSE)</f>
        <v>119.18461765445055</v>
      </c>
      <c r="F335" s="55" cm="1">
        <f t="array" ref="F335">IF(Settings!$E$15="POINTS",E335-VLOOKUP(B$2,C1:E407,3,FALSE),J335)</f>
        <v>-231.54839974601157</v>
      </c>
      <c r="G335" s="55"/>
      <c r="H335" s="167" cm="1">
        <f t="array" ref="H335">RANK(I335,I3:I407)</f>
        <v>376</v>
      </c>
      <c r="I335" s="168" cm="1">
        <f t="array" ref="I335">VLOOKUP(A335,'Standard Deviations'!A1:C672,3,FALSE)</f>
        <v>-5.6127437613203917</v>
      </c>
      <c r="J335" s="168" cm="1">
        <f t="array" ref="J335">I335-VLOOKUP(B$2,H1:J407,2,FALSE)</f>
        <v>-11.103387121243447</v>
      </c>
    </row>
    <row r="336" spans="1:10" ht="21.25" customHeight="1" x14ac:dyDescent="0.15">
      <c r="A336" s="10" t="s">
        <v>729</v>
      </c>
      <c r="B336" s="166" t="str" cm="1">
        <f t="array" ref="B336">VLOOKUP(A336,'The List'!B1:D671,3,FALSE)</f>
        <v>LW,RW</v>
      </c>
      <c r="C336" s="74" cm="1">
        <f t="array" ref="C336">IF(Settings!$E$15="POINTS",RANK(E336,E3:E407),H336)</f>
        <v>334</v>
      </c>
      <c r="D336" s="18" t="str" cm="1">
        <f t="array" ref="D336">VLOOKUP(A336,'The List'!B1:F671,5,FALSE)</f>
        <v>CHI</v>
      </c>
      <c r="E336" s="55" cm="1">
        <f t="array" ref="E336">VLOOKUP(A336,'The List'!B1:I671,8,FALSE)</f>
        <v>118.1046793419105</v>
      </c>
      <c r="F336" s="55" cm="1">
        <f t="array" ref="F336">IF(Settings!$E$15="POINTS",E336-VLOOKUP(B$2,C1:E407,3,FALSE),J336)</f>
        <v>-232.62833805855163</v>
      </c>
      <c r="G336" s="55"/>
      <c r="H336" s="167" cm="1">
        <f t="array" ref="H336">RANK(I336,I3:I407)</f>
        <v>385</v>
      </c>
      <c r="I336" s="168" cm="1">
        <f t="array" ref="I336">VLOOKUP(A336,'Standard Deviations'!A1:C672,3,FALSE)</f>
        <v>-6.028730439311019</v>
      </c>
      <c r="J336" s="168" cm="1">
        <f t="array" ref="J336">I336-VLOOKUP(B$2,H1:J407,2,FALSE)</f>
        <v>-11.519373799234074</v>
      </c>
    </row>
    <row r="337" spans="1:10" ht="21.25" customHeight="1" x14ac:dyDescent="0.15">
      <c r="A337" s="10" t="s">
        <v>730</v>
      </c>
      <c r="B337" s="166" t="str" cm="1">
        <f t="array" ref="B337">VLOOKUP(A337,'The List'!B1:D671,3,FALSE)</f>
        <v>RW</v>
      </c>
      <c r="C337" s="74" cm="1">
        <f t="array" ref="C337">IF(Settings!$E$15="POINTS",RANK(E337,E3:E407),H337)</f>
        <v>335</v>
      </c>
      <c r="D337" s="18" t="str" cm="1">
        <f t="array" ref="D337">VLOOKUP(A337,'The List'!B1:F671,5,FALSE)</f>
        <v>EDM</v>
      </c>
      <c r="E337" s="55" cm="1">
        <f t="array" ref="E337">VLOOKUP(A337,'The List'!B1:I671,8,FALSE)</f>
        <v>117.38007622424205</v>
      </c>
      <c r="F337" s="55" cm="1">
        <f t="array" ref="F337">IF(Settings!$E$15="POINTS",E337-VLOOKUP(B$2,C1:E407,3,FALSE),J337)</f>
        <v>-233.3529411762201</v>
      </c>
      <c r="G337" s="55"/>
      <c r="H337" s="167" cm="1">
        <f t="array" ref="H337">RANK(I337,I3:I407)</f>
        <v>336</v>
      </c>
      <c r="I337" s="168" cm="1">
        <f t="array" ref="I337">VLOOKUP(A337,'Standard Deviations'!A1:C672,3,FALSE)</f>
        <v>-4.2609000135624964</v>
      </c>
      <c r="J337" s="168" cm="1">
        <f t="array" ref="J337">I337-VLOOKUP(B$2,H1:J407,2,FALSE)</f>
        <v>-9.7515433734855517</v>
      </c>
    </row>
    <row r="338" spans="1:10" ht="21.25" customHeight="1" x14ac:dyDescent="0.15">
      <c r="A338" s="10" t="s">
        <v>732</v>
      </c>
      <c r="B338" s="166" t="str" cm="1">
        <f t="array" ref="B338">VLOOKUP(A338,'The List'!B1:D671,3,FALSE)</f>
        <v>RW</v>
      </c>
      <c r="C338" s="74" cm="1">
        <f t="array" ref="C338">IF(Settings!$E$15="POINTS",RANK(E338,E3:E407),H338)</f>
        <v>336</v>
      </c>
      <c r="D338" s="18" t="str" cm="1">
        <f t="array" ref="D338">VLOOKUP(A338,'The List'!B1:F671,5,FALSE)</f>
        <v>NYR</v>
      </c>
      <c r="E338" s="55" cm="1">
        <f t="array" ref="E338">VLOOKUP(A338,'The List'!B1:I671,8,FALSE)</f>
        <v>116.88770948095132</v>
      </c>
      <c r="F338" s="55" cm="1">
        <f t="array" ref="F338">IF(Settings!$E$15="POINTS",E338-VLOOKUP(B$2,C1:E407,3,FALSE),J338)</f>
        <v>-233.84530791951082</v>
      </c>
      <c r="G338" s="55"/>
      <c r="H338" s="167" cm="1">
        <f t="array" ref="H338">RANK(I338,I3:I407)</f>
        <v>366</v>
      </c>
      <c r="I338" s="168" cm="1">
        <f t="array" ref="I338">VLOOKUP(A338,'Standard Deviations'!A1:C672,3,FALSE)</f>
        <v>-5.0824872624234443</v>
      </c>
      <c r="J338" s="168" cm="1">
        <f t="array" ref="J338">I338-VLOOKUP(B$2,H1:J407,2,FALSE)</f>
        <v>-10.5731306223465</v>
      </c>
    </row>
    <row r="339" spans="1:10" ht="21.25" customHeight="1" x14ac:dyDescent="0.15">
      <c r="A339" s="10" t="s">
        <v>741</v>
      </c>
      <c r="B339" s="166" t="str" cm="1">
        <f t="array" ref="B339">VLOOKUP(A339,'The List'!B1:D671,3,FALSE)</f>
        <v>C,LW</v>
      </c>
      <c r="C339" s="74" cm="1">
        <f t="array" ref="C339">IF(Settings!$E$15="POINTS",RANK(E339,E3:E407),H339)</f>
        <v>337</v>
      </c>
      <c r="D339" s="18" t="str" cm="1">
        <f t="array" ref="D339">VLOOKUP(A339,'The List'!B1:F671,5,FALSE)</f>
        <v>VAN</v>
      </c>
      <c r="E339" s="55" cm="1">
        <f t="array" ref="E339">VLOOKUP(A339,'The List'!B1:I671,8,FALSE)</f>
        <v>116.6523170720025</v>
      </c>
      <c r="F339" s="55" cm="1">
        <f t="array" ref="F339">IF(Settings!$E$15="POINTS",E339-VLOOKUP(B$2,C1:E407,3,FALSE),J339)</f>
        <v>-234.08070032845961</v>
      </c>
      <c r="G339" s="55"/>
      <c r="H339" s="167" cm="1">
        <f t="array" ref="H339">RANK(I339,I3:I407)</f>
        <v>394</v>
      </c>
      <c r="I339" s="168" cm="1">
        <f t="array" ref="I339">VLOOKUP(A339,'Standard Deviations'!A1:C672,3,FALSE)</f>
        <v>-6.4372016320808738</v>
      </c>
      <c r="J339" s="168" cm="1">
        <f t="array" ref="J339">I339-VLOOKUP(B$2,H1:J407,2,FALSE)</f>
        <v>-11.92784499200393</v>
      </c>
    </row>
    <row r="340" spans="1:10" ht="21.25" customHeight="1" x14ac:dyDescent="0.15">
      <c r="A340" s="10" t="s">
        <v>733</v>
      </c>
      <c r="B340" s="166" t="str" cm="1">
        <f t="array" ref="B340">VLOOKUP(A340,'The List'!B1:D671,3,FALSE)</f>
        <v>LW,RW</v>
      </c>
      <c r="C340" s="74" cm="1">
        <f t="array" ref="C340">IF(Settings!$E$15="POINTS",RANK(E340,E3:E407),H340)</f>
        <v>338</v>
      </c>
      <c r="D340" s="18" t="str" cm="1">
        <f t="array" ref="D340">VLOOKUP(A340,'The List'!B1:F671,5,FALSE)</f>
        <v>UTA</v>
      </c>
      <c r="E340" s="55" cm="1">
        <f t="array" ref="E340">VLOOKUP(A340,'The List'!B1:I671,8,FALSE)</f>
        <v>116.60927490018494</v>
      </c>
      <c r="F340" s="55" cm="1">
        <f t="array" ref="F340">IF(Settings!$E$15="POINTS",E340-VLOOKUP(B$2,C1:E407,3,FALSE),J340)</f>
        <v>-234.12374250027719</v>
      </c>
      <c r="G340" s="55"/>
      <c r="H340" s="167" cm="1">
        <f t="array" ref="H340">RANK(I340,I3:I407)</f>
        <v>332</v>
      </c>
      <c r="I340" s="168" cm="1">
        <f t="array" ref="I340">VLOOKUP(A340,'Standard Deviations'!A1:C672,3,FALSE)</f>
        <v>-4.1856389345107781</v>
      </c>
      <c r="J340" s="168" cm="1">
        <f t="array" ref="J340">I340-VLOOKUP(B$2,H1:J407,2,FALSE)</f>
        <v>-9.6762822944338325</v>
      </c>
    </row>
    <row r="341" spans="1:10" ht="21.25" customHeight="1" x14ac:dyDescent="0.15">
      <c r="A341" s="10" t="s">
        <v>734</v>
      </c>
      <c r="B341" s="166" t="str" cm="1">
        <f t="array" ref="B341">VLOOKUP(A341,'The List'!B1:D671,3,FALSE)</f>
        <v>LW,RW</v>
      </c>
      <c r="C341" s="74" cm="1">
        <f t="array" ref="C341">IF(Settings!$E$15="POINTS",RANK(E341,E3:E407),H341)</f>
        <v>339</v>
      </c>
      <c r="D341" s="18" t="str" cm="1">
        <f t="array" ref="D341">VLOOKUP(A341,'The List'!B1:F671,5,FALSE)</f>
        <v>CAR</v>
      </c>
      <c r="E341" s="55" cm="1">
        <f t="array" ref="E341">VLOOKUP(A341,'The List'!B1:I671,8,FALSE)</f>
        <v>116.59276381996756</v>
      </c>
      <c r="F341" s="55" cm="1">
        <f t="array" ref="F341">IF(Settings!$E$15="POINTS",E341-VLOOKUP(B$2,C1:E407,3,FALSE),J341)</f>
        <v>-234.14025358049457</v>
      </c>
      <c r="G341" s="55"/>
      <c r="H341" s="167" cm="1">
        <f t="array" ref="H341">RANK(I341,I3:I407)</f>
        <v>327</v>
      </c>
      <c r="I341" s="168" cm="1">
        <f t="array" ref="I341">VLOOKUP(A341,'Standard Deviations'!A1:C672,3,FALSE)</f>
        <v>-3.9996917108585679</v>
      </c>
      <c r="J341" s="168" cm="1">
        <f t="array" ref="J341">I341-VLOOKUP(B$2,H1:J407,2,FALSE)</f>
        <v>-9.4903350707816223</v>
      </c>
    </row>
    <row r="342" spans="1:10" ht="21.25" customHeight="1" x14ac:dyDescent="0.15">
      <c r="A342" s="10" t="s">
        <v>743</v>
      </c>
      <c r="B342" s="166" t="str" cm="1">
        <f t="array" ref="B342">VLOOKUP(A342,'The List'!B1:D671,3,FALSE)</f>
        <v>LW</v>
      </c>
      <c r="C342" s="74" cm="1">
        <f t="array" ref="C342">IF(Settings!$E$15="POINTS",RANK(E342,E3:E407),H342)</f>
        <v>340</v>
      </c>
      <c r="D342" s="18" t="str" cm="1">
        <f t="array" ref="D342">VLOOKUP(A342,'The List'!B1:F671,5,FALSE)</f>
        <v>COL</v>
      </c>
      <c r="E342" s="55" cm="1">
        <f t="array" ref="E342">VLOOKUP(A342,'The List'!B1:I671,8,FALSE)</f>
        <v>116.34167210551391</v>
      </c>
      <c r="F342" s="55" cm="1">
        <f t="array" ref="F342">IF(Settings!$E$15="POINTS",E342-VLOOKUP(B$2,C1:E407,3,FALSE),J342)</f>
        <v>-234.39134529494822</v>
      </c>
      <c r="G342" s="55"/>
      <c r="H342" s="167" cm="1">
        <f t="array" ref="H342">RANK(I342,I3:I407)</f>
        <v>248</v>
      </c>
      <c r="I342" s="168" cm="1">
        <f t="array" ref="I342">VLOOKUP(A342,'Standard Deviations'!A1:C672,3,FALSE)</f>
        <v>-2.0911910991275029</v>
      </c>
      <c r="J342" s="168" cm="1">
        <f t="array" ref="J342">I342-VLOOKUP(B$2,H1:J407,2,FALSE)</f>
        <v>-7.5818344590505582</v>
      </c>
    </row>
    <row r="343" spans="1:10" ht="21.25" customHeight="1" x14ac:dyDescent="0.15">
      <c r="A343" s="10" t="s">
        <v>744</v>
      </c>
      <c r="B343" s="166" t="str" cm="1">
        <f t="array" ref="B343">VLOOKUP(A343,'The List'!B1:D671,3,FALSE)</f>
        <v>LW</v>
      </c>
      <c r="C343" s="74" cm="1">
        <f t="array" ref="C343">IF(Settings!$E$15="POINTS",RANK(E343,E3:E407),H343)</f>
        <v>341</v>
      </c>
      <c r="D343" s="18" t="str" cm="1">
        <f t="array" ref="D343">VLOOKUP(A343,'The List'!B1:F671,5,FALSE)</f>
        <v>NYI</v>
      </c>
      <c r="E343" s="55" cm="1">
        <f t="array" ref="E343">VLOOKUP(A343,'The List'!B1:I671,8,FALSE)</f>
        <v>116.22132235796012</v>
      </c>
      <c r="F343" s="55" cm="1">
        <f t="array" ref="F343">IF(Settings!$E$15="POINTS",E343-VLOOKUP(B$2,C1:E407,3,FALSE),J343)</f>
        <v>-234.51169504250203</v>
      </c>
      <c r="G343" s="55"/>
      <c r="H343" s="167" cm="1">
        <f t="array" ref="H343">RANK(I343,I3:I407)</f>
        <v>380</v>
      </c>
      <c r="I343" s="168" cm="1">
        <f t="array" ref="I343">VLOOKUP(A343,'Standard Deviations'!A1:C672,3,FALSE)</f>
        <v>-5.7662821296815263</v>
      </c>
      <c r="J343" s="168" cm="1">
        <f t="array" ref="J343">I343-VLOOKUP(B$2,H1:J407,2,FALSE)</f>
        <v>-11.256925489604582</v>
      </c>
    </row>
    <row r="344" spans="1:10" ht="21.25" customHeight="1" x14ac:dyDescent="0.15">
      <c r="A344" s="10" t="s">
        <v>746</v>
      </c>
      <c r="B344" s="166" t="str" cm="1">
        <f t="array" ref="B344">VLOOKUP(A344,'The List'!B1:D671,3,FALSE)</f>
        <v>LW</v>
      </c>
      <c r="C344" s="74" cm="1">
        <f t="array" ref="C344">IF(Settings!$E$15="POINTS",RANK(E344,E3:E407),H344)</f>
        <v>342</v>
      </c>
      <c r="D344" s="18" t="str" cm="1">
        <f t="array" ref="D344">VLOOKUP(A344,'The List'!B1:F671,5,FALSE)</f>
        <v>WPG</v>
      </c>
      <c r="E344" s="55" cm="1">
        <f t="array" ref="E344">VLOOKUP(A344,'The List'!B1:I671,8,FALSE)</f>
        <v>115.98037704017878</v>
      </c>
      <c r="F344" s="55" cm="1">
        <f t="array" ref="F344">IF(Settings!$E$15="POINTS",E344-VLOOKUP(B$2,C1:E407,3,FALSE),J344)</f>
        <v>-234.75264036028335</v>
      </c>
      <c r="G344" s="55"/>
      <c r="H344" s="167" cm="1">
        <f t="array" ref="H344">RANK(I344,I3:I407)</f>
        <v>365</v>
      </c>
      <c r="I344" s="168" cm="1">
        <f t="array" ref="I344">VLOOKUP(A344,'Standard Deviations'!A1:C672,3,FALSE)</f>
        <v>-5.0720713794304668</v>
      </c>
      <c r="J344" s="168" cm="1">
        <f t="array" ref="J344">I344-VLOOKUP(B$2,H1:J407,2,FALSE)</f>
        <v>-10.562714739353522</v>
      </c>
    </row>
    <row r="345" spans="1:10" ht="21.25" customHeight="1" x14ac:dyDescent="0.15">
      <c r="A345" s="10" t="s">
        <v>747</v>
      </c>
      <c r="B345" s="166" t="str" cm="1">
        <f t="array" ref="B345">VLOOKUP(A345,'The List'!B1:D671,3,FALSE)</f>
        <v>C,LW</v>
      </c>
      <c r="C345" s="74" cm="1">
        <f t="array" ref="C345">IF(Settings!$E$15="POINTS",RANK(E345,E3:E407),H345)</f>
        <v>343</v>
      </c>
      <c r="D345" s="18" t="str" cm="1">
        <f t="array" ref="D345">VLOOKUP(A345,'The List'!B1:F671,5,FALSE)</f>
        <v>L.A</v>
      </c>
      <c r="E345" s="55" cm="1">
        <f t="array" ref="E345">VLOOKUP(A345,'The List'!B1:I671,8,FALSE)</f>
        <v>115.76814560486808</v>
      </c>
      <c r="F345" s="55" cm="1">
        <f t="array" ref="F345">IF(Settings!$E$15="POINTS",E345-VLOOKUP(B$2,C1:E407,3,FALSE),J345)</f>
        <v>-234.96487179559404</v>
      </c>
      <c r="G345" s="55"/>
      <c r="H345" s="167" cm="1">
        <f t="array" ref="H345">RANK(I345,I3:I407)</f>
        <v>354</v>
      </c>
      <c r="I345" s="168" cm="1">
        <f t="array" ref="I345">VLOOKUP(A345,'Standard Deviations'!A1:C672,3,FALSE)</f>
        <v>-4.7150831152317316</v>
      </c>
      <c r="J345" s="168" cm="1">
        <f t="array" ref="J345">I345-VLOOKUP(B$2,H1:J407,2,FALSE)</f>
        <v>-10.205726475154787</v>
      </c>
    </row>
    <row r="346" spans="1:10" ht="21.25" customHeight="1" x14ac:dyDescent="0.15">
      <c r="A346" s="10" t="s">
        <v>736</v>
      </c>
      <c r="B346" s="166" t="str" cm="1">
        <f t="array" ref="B346">VLOOKUP(A346,'The List'!B1:D671,3,FALSE)</f>
        <v>RW</v>
      </c>
      <c r="C346" s="74" cm="1">
        <f t="array" ref="C346">IF(Settings!$E$15="POINTS",RANK(E346,E3:E407),H346)</f>
        <v>344</v>
      </c>
      <c r="D346" s="18" t="str" cm="1">
        <f t="array" ref="D346">VLOOKUP(A346,'The List'!B1:F671,5,FALSE)</f>
        <v>DET</v>
      </c>
      <c r="E346" s="55" cm="1">
        <f t="array" ref="E346">VLOOKUP(A346,'The List'!B1:I671,8,FALSE)</f>
        <v>115.43635360438415</v>
      </c>
      <c r="F346" s="55" cm="1">
        <f t="array" ref="F346">IF(Settings!$E$15="POINTS",E346-VLOOKUP(B$2,C1:E407,3,FALSE),J346)</f>
        <v>-235.29666379607798</v>
      </c>
      <c r="G346" s="55"/>
      <c r="H346" s="167" cm="1">
        <f t="array" ref="H346">RANK(I346,I3:I407)</f>
        <v>368</v>
      </c>
      <c r="I346" s="168" cm="1">
        <f t="array" ref="I346">VLOOKUP(A346,'Standard Deviations'!A1:C672,3,FALSE)</f>
        <v>-5.0997960193076119</v>
      </c>
      <c r="J346" s="168" cm="1">
        <f t="array" ref="J346">I346-VLOOKUP(B$2,H1:J407,2,FALSE)</f>
        <v>-10.590439379230666</v>
      </c>
    </row>
    <row r="347" spans="1:10" ht="21.25" customHeight="1" x14ac:dyDescent="0.15">
      <c r="A347" s="10" t="s">
        <v>751</v>
      </c>
      <c r="B347" s="166" t="str" cm="1">
        <f t="array" ref="B347">VLOOKUP(A347,'The List'!B1:D671,3,FALSE)</f>
        <v>LW</v>
      </c>
      <c r="C347" s="74" cm="1">
        <f t="array" ref="C347">IF(Settings!$E$15="POINTS",RANK(E347,E3:E407),H347)</f>
        <v>345</v>
      </c>
      <c r="D347" s="18" t="str" cm="1">
        <f t="array" ref="D347">VLOOKUP(A347,'The List'!B1:F671,5,FALSE)</f>
        <v>CBJ</v>
      </c>
      <c r="E347" s="55" cm="1">
        <f t="array" ref="E347">VLOOKUP(A347,'The List'!B1:I671,8,FALSE)</f>
        <v>114.95617787229452</v>
      </c>
      <c r="F347" s="55" cm="1">
        <f t="array" ref="F347">IF(Settings!$E$15="POINTS",E347-VLOOKUP(B$2,C1:E407,3,FALSE),J347)</f>
        <v>-235.77683952816761</v>
      </c>
      <c r="G347" s="55"/>
      <c r="H347" s="167" cm="1">
        <f t="array" ref="H347">RANK(I347,I3:I407)</f>
        <v>306</v>
      </c>
      <c r="I347" s="168" cm="1">
        <f t="array" ref="I347">VLOOKUP(A347,'Standard Deviations'!A1:C672,3,FALSE)</f>
        <v>-3.5452516762644608</v>
      </c>
      <c r="J347" s="168" cm="1">
        <f t="array" ref="J347">I347-VLOOKUP(B$2,H1:J407,2,FALSE)</f>
        <v>-9.0358950361875152</v>
      </c>
    </row>
    <row r="348" spans="1:10" ht="21.25" customHeight="1" x14ac:dyDescent="0.15">
      <c r="A348" s="10" t="s">
        <v>752</v>
      </c>
      <c r="B348" s="166" t="str" cm="1">
        <f t="array" ref="B348">VLOOKUP(A348,'The List'!B1:D671,3,FALSE)</f>
        <v>C,LW</v>
      </c>
      <c r="C348" s="74" cm="1">
        <f t="array" ref="C348">IF(Settings!$E$15="POINTS",RANK(E348,E3:E407),H348)</f>
        <v>346</v>
      </c>
      <c r="D348" s="18" t="str" cm="1">
        <f t="array" ref="D348">VLOOKUP(A348,'The List'!B1:F671,5,FALSE)</f>
        <v>TOR</v>
      </c>
      <c r="E348" s="55" cm="1">
        <f t="array" ref="E348">VLOOKUP(A348,'The List'!B1:I671,8,FALSE)</f>
        <v>114.8947307588229</v>
      </c>
      <c r="F348" s="55" cm="1">
        <f t="array" ref="F348">IF(Settings!$E$15="POINTS",E348-VLOOKUP(B$2,C1:E407,3,FALSE),J348)</f>
        <v>-235.83828664163923</v>
      </c>
      <c r="G348" s="55"/>
      <c r="H348" s="167" cm="1">
        <f t="array" ref="H348">RANK(I348,I3:I407)</f>
        <v>296</v>
      </c>
      <c r="I348" s="168" cm="1">
        <f t="array" ref="I348">VLOOKUP(A348,'Standard Deviations'!A1:C672,3,FALSE)</f>
        <v>-3.3088232891530733</v>
      </c>
      <c r="J348" s="168" cm="1">
        <f t="array" ref="J348">I348-VLOOKUP(B$2,H1:J407,2,FALSE)</f>
        <v>-8.7994666490761286</v>
      </c>
    </row>
    <row r="349" spans="1:10" ht="21.25" customHeight="1" x14ac:dyDescent="0.15">
      <c r="A349" s="10" t="s">
        <v>739</v>
      </c>
      <c r="B349" s="166" t="str" cm="1">
        <f t="array" ref="B349">VLOOKUP(A349,'The List'!B1:D671,3,FALSE)</f>
        <v>C,RW</v>
      </c>
      <c r="C349" s="74" cm="1">
        <f t="array" ref="C349">IF(Settings!$E$15="POINTS",RANK(E349,E3:E407),H349)</f>
        <v>347</v>
      </c>
      <c r="D349" s="18" t="str" cm="1">
        <f t="array" ref="D349">VLOOKUP(A349,'The List'!B1:F671,5,FALSE)</f>
        <v>CGY</v>
      </c>
      <c r="E349" s="55" cm="1">
        <f t="array" ref="E349">VLOOKUP(A349,'The List'!B1:I671,8,FALSE)</f>
        <v>114.32798669813094</v>
      </c>
      <c r="F349" s="55" cm="1">
        <f t="array" ref="F349">IF(Settings!$E$15="POINTS",E349-VLOOKUP(B$2,C1:E407,3,FALSE),J349)</f>
        <v>-236.4050307023312</v>
      </c>
      <c r="G349" s="55"/>
      <c r="H349" s="167" cm="1">
        <f t="array" ref="H349">RANK(I349,I3:I407)</f>
        <v>338</v>
      </c>
      <c r="I349" s="168" cm="1">
        <f t="array" ref="I349">VLOOKUP(A349,'Standard Deviations'!A1:C672,3,FALSE)</f>
        <v>-4.2724494710469898</v>
      </c>
      <c r="J349" s="168" cm="1">
        <f t="array" ref="J349">I349-VLOOKUP(B$2,H1:J407,2,FALSE)</f>
        <v>-9.7630928309700451</v>
      </c>
    </row>
    <row r="350" spans="1:10" ht="21.25" customHeight="1" x14ac:dyDescent="0.15">
      <c r="A350" s="10" t="s">
        <v>753</v>
      </c>
      <c r="B350" s="166" t="str" cm="1">
        <f t="array" ref="B350">VLOOKUP(A350,'The List'!B1:D671,3,FALSE)</f>
        <v>C,LW</v>
      </c>
      <c r="C350" s="74" cm="1">
        <f t="array" ref="C350">IF(Settings!$E$15="POINTS",RANK(E350,E3:E407),H350)</f>
        <v>348</v>
      </c>
      <c r="D350" s="18" t="str" cm="1">
        <f t="array" ref="D350">VLOOKUP(A350,'The List'!B1:F671,5,FALSE)</f>
        <v>EDM</v>
      </c>
      <c r="E350" s="55" cm="1">
        <f t="array" ref="E350">VLOOKUP(A350,'The List'!B1:I671,8,FALSE)</f>
        <v>114.2364001810729</v>
      </c>
      <c r="F350" s="55" cm="1">
        <f t="array" ref="F350">IF(Settings!$E$15="POINTS",E350-VLOOKUP(B$2,C1:E407,3,FALSE),J350)</f>
        <v>-236.49661721938924</v>
      </c>
      <c r="G350" s="55"/>
      <c r="H350" s="167" cm="1">
        <f t="array" ref="H350">RANK(I350,I3:I407)</f>
        <v>277</v>
      </c>
      <c r="I350" s="168" cm="1">
        <f t="array" ref="I350">VLOOKUP(A350,'Standard Deviations'!A1:C672,3,FALSE)</f>
        <v>-2.6572056070193151</v>
      </c>
      <c r="J350" s="168" cm="1">
        <f t="array" ref="J350">I350-VLOOKUP(B$2,H1:J407,2,FALSE)</f>
        <v>-8.1478489669423695</v>
      </c>
    </row>
    <row r="351" spans="1:10" ht="21.25" customHeight="1" x14ac:dyDescent="0.15">
      <c r="A351" s="10" t="s">
        <v>754</v>
      </c>
      <c r="B351" s="166" t="str" cm="1">
        <f t="array" ref="B351">VLOOKUP(A351,'The List'!B1:D671,3,FALSE)</f>
        <v>LW</v>
      </c>
      <c r="C351" s="74" cm="1">
        <f t="array" ref="C351">IF(Settings!$E$15="POINTS",RANK(E351,E3:E407),H351)</f>
        <v>349</v>
      </c>
      <c r="D351" s="18" t="str" cm="1">
        <f t="array" ref="D351">VLOOKUP(A351,'The List'!B1:F671,5,FALSE)</f>
        <v>OTT</v>
      </c>
      <c r="E351" s="55" cm="1">
        <f t="array" ref="E351">VLOOKUP(A351,'The List'!B1:I671,8,FALSE)</f>
        <v>114.18629543789687</v>
      </c>
      <c r="F351" s="55" cm="1">
        <f t="array" ref="F351">IF(Settings!$E$15="POINTS",E351-VLOOKUP(B$2,C1:E407,3,FALSE),J351)</f>
        <v>-236.54672196256524</v>
      </c>
      <c r="G351" s="55"/>
      <c r="H351" s="167" cm="1">
        <f t="array" ref="H351">RANK(I351,I3:I407)</f>
        <v>260</v>
      </c>
      <c r="I351" s="168" cm="1">
        <f t="array" ref="I351">VLOOKUP(A351,'Standard Deviations'!A1:C672,3,FALSE)</f>
        <v>-2.4326064463309924</v>
      </c>
      <c r="J351" s="168" cm="1">
        <f t="array" ref="J351">I351-VLOOKUP(B$2,H1:J407,2,FALSE)</f>
        <v>-7.9232498062540477</v>
      </c>
    </row>
    <row r="352" spans="1:10" ht="21.25" customHeight="1" x14ac:dyDescent="0.15">
      <c r="A352" s="10" t="s">
        <v>758</v>
      </c>
      <c r="B352" s="166" t="str" cm="1">
        <f t="array" ref="B352">VLOOKUP(A352,'The List'!B1:D671,3,FALSE)</f>
        <v>C,LW</v>
      </c>
      <c r="C352" s="74" cm="1">
        <f t="array" ref="C352">IF(Settings!$E$15="POINTS",RANK(E352,E3:E407),H352)</f>
        <v>350</v>
      </c>
      <c r="D352" s="18" t="str" cm="1">
        <f t="array" ref="D352">VLOOKUP(A352,'The List'!B1:F671,5,FALSE)</f>
        <v>NYI</v>
      </c>
      <c r="E352" s="55" cm="1">
        <f t="array" ref="E352">VLOOKUP(A352,'The List'!B1:I671,8,FALSE)</f>
        <v>113.78633567236672</v>
      </c>
      <c r="F352" s="55" cm="1">
        <f t="array" ref="F352">IF(Settings!$E$15="POINTS",E352-VLOOKUP(B$2,C1:E407,3,FALSE),J352)</f>
        <v>-236.94668172809543</v>
      </c>
      <c r="G352" s="55"/>
      <c r="H352" s="167" cm="1">
        <f t="array" ref="H352">RANK(I352,I3:I407)</f>
        <v>369</v>
      </c>
      <c r="I352" s="168" cm="1">
        <f t="array" ref="I352">VLOOKUP(A352,'Standard Deviations'!A1:C672,3,FALSE)</f>
        <v>-5.1157446038829084</v>
      </c>
      <c r="J352" s="168" cm="1">
        <f t="array" ref="J352">I352-VLOOKUP(B$2,H1:J407,2,FALSE)</f>
        <v>-10.606387963805965</v>
      </c>
    </row>
    <row r="353" spans="1:10" ht="21.25" customHeight="1" x14ac:dyDescent="0.15">
      <c r="A353" s="10" t="s">
        <v>723</v>
      </c>
      <c r="B353" s="166" t="str" cm="1">
        <f t="array" ref="B353">VLOOKUP(A353,'The List'!B1:D671,3,FALSE)</f>
        <v>C</v>
      </c>
      <c r="C353" s="74" cm="1">
        <f t="array" ref="C353">IF(Settings!$E$15="POINTS",RANK(E353,E3:E407),H353)</f>
        <v>351</v>
      </c>
      <c r="D353" s="18" t="str" cm="1">
        <f t="array" ref="D353">VLOOKUP(A353,'The List'!B1:F671,5,FALSE)</f>
        <v>VGK</v>
      </c>
      <c r="E353" s="55" cm="1">
        <f t="array" ref="E353">VLOOKUP(A353,'The List'!B1:I671,8,FALSE)</f>
        <v>112.44579991207853</v>
      </c>
      <c r="F353" s="55" cm="1">
        <f t="array" ref="F353">IF(Settings!$E$15="POINTS",E353-VLOOKUP(B$2,C1:E407,3,FALSE),J353)</f>
        <v>-238.28721748838359</v>
      </c>
      <c r="G353" s="55"/>
      <c r="H353" s="167" cm="1">
        <f t="array" ref="H353">RANK(I353,I3:I407)</f>
        <v>280</v>
      </c>
      <c r="I353" s="168" cm="1">
        <f t="array" ref="I353">VLOOKUP(A353,'Standard Deviations'!A1:C672,3,FALSE)</f>
        <v>-2.7310611740888584</v>
      </c>
      <c r="J353" s="168" cm="1">
        <f t="array" ref="J353">I353-VLOOKUP(B$2,H1:J407,2,FALSE)</f>
        <v>-8.2217045340119128</v>
      </c>
    </row>
    <row r="354" spans="1:10" ht="21.25" customHeight="1" x14ac:dyDescent="0.15">
      <c r="A354" s="10" t="s">
        <v>724</v>
      </c>
      <c r="B354" s="166" t="str" cm="1">
        <f t="array" ref="B354">VLOOKUP(A354,'The List'!B1:D671,3,FALSE)</f>
        <v>C</v>
      </c>
      <c r="C354" s="74" cm="1">
        <f t="array" ref="C354">IF(Settings!$E$15="POINTS",RANK(E354,E3:E407),H354)</f>
        <v>352</v>
      </c>
      <c r="D354" s="18" t="str" cm="1">
        <f t="array" ref="D354">VLOOKUP(A354,'The List'!B1:F671,5,FALSE)</f>
        <v>N.J</v>
      </c>
      <c r="E354" s="55" cm="1">
        <f t="array" ref="E354">VLOOKUP(A354,'The List'!B1:I671,8,FALSE)</f>
        <v>112.39535773809229</v>
      </c>
      <c r="F354" s="55" cm="1">
        <f t="array" ref="F354">IF(Settings!$E$15="POINTS",E354-VLOOKUP(B$2,C1:E407,3,FALSE),J354)</f>
        <v>-238.33765966236984</v>
      </c>
      <c r="G354" s="55"/>
      <c r="H354" s="167" cm="1">
        <f t="array" ref="H354">RANK(I354,I3:I407)</f>
        <v>341</v>
      </c>
      <c r="I354" s="168" cm="1">
        <f t="array" ref="I354">VLOOKUP(A354,'Standard Deviations'!A1:C672,3,FALSE)</f>
        <v>-4.3263106078516511</v>
      </c>
      <c r="J354" s="168" cm="1">
        <f t="array" ref="J354">I354-VLOOKUP(B$2,H1:J407,2,FALSE)</f>
        <v>-9.8169539677747064</v>
      </c>
    </row>
    <row r="355" spans="1:10" ht="21.25" customHeight="1" x14ac:dyDescent="0.15">
      <c r="A355" s="10" t="s">
        <v>761</v>
      </c>
      <c r="B355" s="166" t="str" cm="1">
        <f t="array" ref="B355">VLOOKUP(A355,'The List'!B1:D671,3,FALSE)</f>
        <v>C,LW</v>
      </c>
      <c r="C355" s="74" cm="1">
        <f t="array" ref="C355">IF(Settings!$E$15="POINTS",RANK(E355,E3:E407),H355)</f>
        <v>353</v>
      </c>
      <c r="D355" s="18" t="str" cm="1">
        <f t="array" ref="D355">VLOOKUP(A355,'The List'!B1:F671,5,FALSE)</f>
        <v>MIN</v>
      </c>
      <c r="E355" s="55" cm="1">
        <f t="array" ref="E355">VLOOKUP(A355,'The List'!B1:I671,8,FALSE)</f>
        <v>111.82424172119796</v>
      </c>
      <c r="F355" s="55" cm="1">
        <f t="array" ref="F355">IF(Settings!$E$15="POINTS",E355-VLOOKUP(B$2,C1:E407,3,FALSE),J355)</f>
        <v>-238.90877567926418</v>
      </c>
      <c r="G355" s="55"/>
      <c r="H355" s="167" cm="1">
        <f t="array" ref="H355">RANK(I355,I3:I407)</f>
        <v>294</v>
      </c>
      <c r="I355" s="168" cm="1">
        <f t="array" ref="I355">VLOOKUP(A355,'Standard Deviations'!A1:C672,3,FALSE)</f>
        <v>-3.2187080948407853</v>
      </c>
      <c r="J355" s="168" cm="1">
        <f t="array" ref="J355">I355-VLOOKUP(B$2,H1:J407,2,FALSE)</f>
        <v>-8.7093514547638406</v>
      </c>
    </row>
    <row r="356" spans="1:10" ht="21.25" customHeight="1" x14ac:dyDescent="0.15">
      <c r="A356" s="10" t="s">
        <v>748</v>
      </c>
      <c r="B356" s="166" t="str" cm="1">
        <f t="array" ref="B356">VLOOKUP(A356,'The List'!B1:D671,3,FALSE)</f>
        <v>RW</v>
      </c>
      <c r="C356" s="74" cm="1">
        <f t="array" ref="C356">IF(Settings!$E$15="POINTS",RANK(E356,E3:E407),H356)</f>
        <v>354</v>
      </c>
      <c r="D356" s="18" t="str" cm="1">
        <f t="array" ref="D356">VLOOKUP(A356,'The List'!B1:F671,5,FALSE)</f>
        <v>N.J</v>
      </c>
      <c r="E356" s="55" cm="1">
        <f t="array" ref="E356">VLOOKUP(A356,'The List'!B1:I671,8,FALSE)</f>
        <v>111.18442735976301</v>
      </c>
      <c r="F356" s="55" cm="1">
        <f t="array" ref="F356">IF(Settings!$E$15="POINTS",E356-VLOOKUP(B$2,C1:E407,3,FALSE),J356)</f>
        <v>-239.54859004069914</v>
      </c>
      <c r="G356" s="55"/>
      <c r="H356" s="167" cm="1">
        <f t="array" ref="H356">RANK(I356,I3:I407)</f>
        <v>329</v>
      </c>
      <c r="I356" s="168" cm="1">
        <f t="array" ref="I356">VLOOKUP(A356,'Standard Deviations'!A1:C672,3,FALSE)</f>
        <v>-4.0451090685673234</v>
      </c>
      <c r="J356" s="168" cm="1">
        <f t="array" ref="J356">I356-VLOOKUP(B$2,H1:J407,2,FALSE)</f>
        <v>-9.5357524284903796</v>
      </c>
    </row>
    <row r="357" spans="1:10" ht="21.25" customHeight="1" x14ac:dyDescent="0.15">
      <c r="A357" s="10" t="s">
        <v>749</v>
      </c>
      <c r="B357" s="166" t="str" cm="1">
        <f t="array" ref="B357">VLOOKUP(A357,'The List'!B1:D671,3,FALSE)</f>
        <v>RW</v>
      </c>
      <c r="C357" s="74" cm="1">
        <f t="array" ref="C357">IF(Settings!$E$15="POINTS",RANK(E357,E3:E407),H357)</f>
        <v>355</v>
      </c>
      <c r="D357" s="18" t="str" cm="1">
        <f t="array" ref="D357">VLOOKUP(A357,'The List'!B1:F671,5,FALSE)</f>
        <v>VAN</v>
      </c>
      <c r="E357" s="55" cm="1">
        <f t="array" ref="E357">VLOOKUP(A357,'The List'!B1:I671,8,FALSE)</f>
        <v>110.99075743511548</v>
      </c>
      <c r="F357" s="55" cm="1">
        <f t="array" ref="F357">IF(Settings!$E$15="POINTS",E357-VLOOKUP(B$2,C1:E407,3,FALSE),J357)</f>
        <v>-239.74225996534665</v>
      </c>
      <c r="G357" s="55"/>
      <c r="H357" s="167" cm="1">
        <f t="array" ref="H357">RANK(I357,I3:I407)</f>
        <v>396</v>
      </c>
      <c r="I357" s="168" cm="1">
        <f t="array" ref="I357">VLOOKUP(A357,'Standard Deviations'!A1:C672,3,FALSE)</f>
        <v>-6.7010017569354821</v>
      </c>
      <c r="J357" s="168" cm="1">
        <f t="array" ref="J357">I357-VLOOKUP(B$2,H1:J407,2,FALSE)</f>
        <v>-12.191645116858538</v>
      </c>
    </row>
    <row r="358" spans="1:10" ht="21.25" customHeight="1" x14ac:dyDescent="0.15">
      <c r="A358" s="10" t="s">
        <v>727</v>
      </c>
      <c r="B358" s="166" t="str" cm="1">
        <f t="array" ref="B358">VLOOKUP(A358,'The List'!B1:D671,3,FALSE)</f>
        <v>C</v>
      </c>
      <c r="C358" s="74" cm="1">
        <f t="array" ref="C358">IF(Settings!$E$15="POINTS",RANK(E358,E3:E407),H358)</f>
        <v>356</v>
      </c>
      <c r="D358" s="18" t="str" cm="1">
        <f t="array" ref="D358">VLOOKUP(A358,'The List'!B1:F671,5,FALSE)</f>
        <v>CAR</v>
      </c>
      <c r="E358" s="55" cm="1">
        <f t="array" ref="E358">VLOOKUP(A358,'The List'!B1:I671,8,FALSE)</f>
        <v>109.90835744141182</v>
      </c>
      <c r="F358" s="55" cm="1">
        <f t="array" ref="F358">IF(Settings!$E$15="POINTS",E358-VLOOKUP(B$2,C1:E407,3,FALSE),J358)</f>
        <v>-240.82465995905031</v>
      </c>
      <c r="G358" s="55"/>
      <c r="H358" s="167" cm="1">
        <f t="array" ref="H358">RANK(I358,I3:I407)</f>
        <v>300</v>
      </c>
      <c r="I358" s="168" cm="1">
        <f t="array" ref="I358">VLOOKUP(A358,'Standard Deviations'!A1:C672,3,FALSE)</f>
        <v>-3.3630020078380296</v>
      </c>
      <c r="J358" s="168" cm="1">
        <f t="array" ref="J358">I358-VLOOKUP(B$2,H1:J407,2,FALSE)</f>
        <v>-8.8536453677610858</v>
      </c>
    </row>
    <row r="359" spans="1:10" ht="21.25" customHeight="1" x14ac:dyDescent="0.15">
      <c r="A359" s="10" t="s">
        <v>755</v>
      </c>
      <c r="B359" s="166" t="str" cm="1">
        <f t="array" ref="B359">VLOOKUP(A359,'The List'!B1:D671,3,FALSE)</f>
        <v>C,LW,RW</v>
      </c>
      <c r="C359" s="74" cm="1">
        <f t="array" ref="C359">IF(Settings!$E$15="POINTS",RANK(E359,E3:E407),H359)</f>
        <v>357</v>
      </c>
      <c r="D359" s="18" t="str" cm="1">
        <f t="array" ref="D359">VLOOKUP(A359,'The List'!B1:F671,5,FALSE)</f>
        <v>EDM</v>
      </c>
      <c r="E359" s="55" cm="1">
        <f t="array" ref="E359">VLOOKUP(A359,'The List'!B1:I671,8,FALSE)</f>
        <v>109.76021036564762</v>
      </c>
      <c r="F359" s="55" cm="1">
        <f t="array" ref="F359">IF(Settings!$E$15="POINTS",E359-VLOOKUP(B$2,C1:E407,3,FALSE),J359)</f>
        <v>-240.97280703481451</v>
      </c>
      <c r="G359" s="55"/>
      <c r="H359" s="167" cm="1">
        <f t="array" ref="H359">RANK(I359,I3:I407)</f>
        <v>261</v>
      </c>
      <c r="I359" s="168" cm="1">
        <f t="array" ref="I359">VLOOKUP(A359,'Standard Deviations'!A1:C672,3,FALSE)</f>
        <v>-2.4363596204547999</v>
      </c>
      <c r="J359" s="168" cm="1">
        <f t="array" ref="J359">I359-VLOOKUP(B$2,H1:J407,2,FALSE)</f>
        <v>-7.9270029803778552</v>
      </c>
    </row>
    <row r="360" spans="1:10" ht="21.25" customHeight="1" x14ac:dyDescent="0.15">
      <c r="A360" s="10" t="s">
        <v>728</v>
      </c>
      <c r="B360" s="166" t="str" cm="1">
        <f t="array" ref="B360">VLOOKUP(A360,'The List'!B1:D671,3,FALSE)</f>
        <v>C</v>
      </c>
      <c r="C360" s="74" cm="1">
        <f t="array" ref="C360">IF(Settings!$E$15="POINTS",RANK(E360,E3:E407),H360)</f>
        <v>358</v>
      </c>
      <c r="D360" s="18" t="str" cm="1">
        <f t="array" ref="D360">VLOOKUP(A360,'The List'!B1:F671,5,FALSE)</f>
        <v>BUF</v>
      </c>
      <c r="E360" s="55" cm="1">
        <f t="array" ref="E360">VLOOKUP(A360,'The List'!B1:I671,8,FALSE)</f>
        <v>109.73565645698585</v>
      </c>
      <c r="F360" s="55" cm="1">
        <f t="array" ref="F360">IF(Settings!$E$15="POINTS",E360-VLOOKUP(B$2,C1:E407,3,FALSE),J360)</f>
        <v>-240.99736094347628</v>
      </c>
      <c r="G360" s="55"/>
      <c r="H360" s="167" cm="1">
        <f t="array" ref="H360">RANK(I360,I3:I407)</f>
        <v>240</v>
      </c>
      <c r="I360" s="168" cm="1">
        <f t="array" ref="I360">VLOOKUP(A360,'Standard Deviations'!A1:C672,3,FALSE)</f>
        <v>-1.9889597170785533</v>
      </c>
      <c r="J360" s="168" cm="1">
        <f t="array" ref="J360">I360-VLOOKUP(B$2,H1:J407,2,FALSE)</f>
        <v>-7.4796030770016086</v>
      </c>
    </row>
    <row r="361" spans="1:10" ht="21.25" customHeight="1" x14ac:dyDescent="0.15">
      <c r="A361" s="10" t="s">
        <v>756</v>
      </c>
      <c r="B361" s="166" t="str" cm="1">
        <f t="array" ref="B361">VLOOKUP(A361,'The List'!B1:D671,3,FALSE)</f>
        <v>RW</v>
      </c>
      <c r="C361" s="74" cm="1">
        <f t="array" ref="C361">IF(Settings!$E$15="POINTS",RANK(E361,E3:E407),H361)</f>
        <v>359</v>
      </c>
      <c r="D361" s="18" t="str" cm="1">
        <f t="array" ref="D361">VLOOKUP(A361,'The List'!B1:F671,5,FALSE)</f>
        <v>STL</v>
      </c>
      <c r="E361" s="55" cm="1">
        <f t="array" ref="E361">VLOOKUP(A361,'The List'!B1:I671,8,FALSE)</f>
        <v>109.68725300149046</v>
      </c>
      <c r="F361" s="55" cm="1">
        <f t="array" ref="F361">IF(Settings!$E$15="POINTS",E361-VLOOKUP(B$2,C1:E407,3,FALSE),J361)</f>
        <v>-241.04576439897167</v>
      </c>
      <c r="G361" s="55"/>
      <c r="H361" s="167" cm="1">
        <f t="array" ref="H361">RANK(I361,I3:I407)</f>
        <v>383</v>
      </c>
      <c r="I361" s="168" cm="1">
        <f t="array" ref="I361">VLOOKUP(A361,'Standard Deviations'!A1:C672,3,FALSE)</f>
        <v>-5.9639057171416407</v>
      </c>
      <c r="J361" s="168" cm="1">
        <f t="array" ref="J361">I361-VLOOKUP(B$2,H1:J407,2,FALSE)</f>
        <v>-11.454549077064696</v>
      </c>
    </row>
    <row r="362" spans="1:10" ht="21.25" customHeight="1" x14ac:dyDescent="0.15">
      <c r="A362" s="10" t="s">
        <v>759</v>
      </c>
      <c r="B362" s="166" t="str" cm="1">
        <f t="array" ref="B362">VLOOKUP(A362,'The List'!B1:D671,3,FALSE)</f>
        <v>RW</v>
      </c>
      <c r="C362" s="74" cm="1">
        <f t="array" ref="C362">IF(Settings!$E$15="POINTS",RANK(E362,E3:E407),H362)</f>
        <v>360</v>
      </c>
      <c r="D362" s="18" t="str" cm="1">
        <f t="array" ref="D362">VLOOKUP(A362,'The List'!B1:F671,5,FALSE)</f>
        <v>N.J</v>
      </c>
      <c r="E362" s="55" cm="1">
        <f t="array" ref="E362">VLOOKUP(A362,'The List'!B1:I671,8,FALSE)</f>
        <v>108.83383264040141</v>
      </c>
      <c r="F362" s="55" cm="1">
        <f t="array" ref="F362">IF(Settings!$E$15="POINTS",E362-VLOOKUP(B$2,C1:E407,3,FALSE),J362)</f>
        <v>-241.89918476006073</v>
      </c>
      <c r="G362" s="55"/>
      <c r="H362" s="167" cm="1">
        <f t="array" ref="H362">RANK(I362,I3:I407)</f>
        <v>367</v>
      </c>
      <c r="I362" s="168" cm="1">
        <f t="array" ref="I362">VLOOKUP(A362,'Standard Deviations'!A1:C672,3,FALSE)</f>
        <v>-5.0973641452195189</v>
      </c>
      <c r="J362" s="168" cm="1">
        <f t="array" ref="J362">I362-VLOOKUP(B$2,H1:J407,2,FALSE)</f>
        <v>-10.588007505142574</v>
      </c>
    </row>
    <row r="363" spans="1:10" ht="21.25" customHeight="1" x14ac:dyDescent="0.15">
      <c r="A363" s="10" t="s">
        <v>735</v>
      </c>
      <c r="B363" s="166" t="str" cm="1">
        <f t="array" ref="B363">VLOOKUP(A363,'The List'!B1:D671,3,FALSE)</f>
        <v>C</v>
      </c>
      <c r="C363" s="74" cm="1">
        <f t="array" ref="C363">IF(Settings!$E$15="POINTS",RANK(E363,E3:E407),H363)</f>
        <v>361</v>
      </c>
      <c r="D363" s="18" t="str" cm="1">
        <f t="array" ref="D363">VLOOKUP(A363,'The List'!B1:F671,5,FALSE)</f>
        <v>DAL</v>
      </c>
      <c r="E363" s="55" cm="1">
        <f t="array" ref="E363">VLOOKUP(A363,'The List'!B1:I671,8,FALSE)</f>
        <v>107.04869008619052</v>
      </c>
      <c r="F363" s="55" cm="1">
        <f t="array" ref="F363">IF(Settings!$E$15="POINTS",E363-VLOOKUP(B$2,C1:E407,3,FALSE),J363)</f>
        <v>-243.68432731427163</v>
      </c>
      <c r="G363" s="55"/>
      <c r="H363" s="167" cm="1">
        <f t="array" ref="H363">RANK(I363,I3:I407)</f>
        <v>321</v>
      </c>
      <c r="I363" s="168" cm="1">
        <f t="array" ref="I363">VLOOKUP(A363,'Standard Deviations'!A1:C672,3,FALSE)</f>
        <v>-3.9161209583728982</v>
      </c>
      <c r="J363" s="168" cm="1">
        <f t="array" ref="J363">I363-VLOOKUP(B$2,H1:J407,2,FALSE)</f>
        <v>-9.4067643182959539</v>
      </c>
    </row>
    <row r="364" spans="1:10" ht="21.25" customHeight="1" x14ac:dyDescent="0.15">
      <c r="A364" s="10" t="s">
        <v>762</v>
      </c>
      <c r="B364" s="166" t="str" cm="1">
        <f t="array" ref="B364">VLOOKUP(A364,'The List'!B1:D671,3,FALSE)</f>
        <v>LW,RW</v>
      </c>
      <c r="C364" s="74" cm="1">
        <f t="array" ref="C364">IF(Settings!$E$15="POINTS",RANK(E364,E3:E407),H364)</f>
        <v>362</v>
      </c>
      <c r="D364" s="18" t="str" cm="1">
        <f t="array" ref="D364">VLOOKUP(A364,'The List'!B1:F671,5,FALSE)</f>
        <v>PIT</v>
      </c>
      <c r="E364" s="55" cm="1">
        <f t="array" ref="E364">VLOOKUP(A364,'The List'!B1:I671,8,FALSE)</f>
        <v>107.00244650214873</v>
      </c>
      <c r="F364" s="55" cm="1">
        <f t="array" ref="F364">IF(Settings!$E$15="POINTS",E364-VLOOKUP(B$2,C1:E407,3,FALSE),J364)</f>
        <v>-243.7305708983134</v>
      </c>
      <c r="G364" s="55"/>
      <c r="H364" s="167" cm="1">
        <f t="array" ref="H364">RANK(I364,I3:I407)</f>
        <v>363</v>
      </c>
      <c r="I364" s="168" cm="1">
        <f t="array" ref="I364">VLOOKUP(A364,'Standard Deviations'!A1:C672,3,FALSE)</f>
        <v>-5.0496152625293593</v>
      </c>
      <c r="J364" s="168" cm="1">
        <f t="array" ref="J364">I364-VLOOKUP(B$2,H1:J407,2,FALSE)</f>
        <v>-10.540258622452415</v>
      </c>
    </row>
    <row r="365" spans="1:10" ht="21.25" customHeight="1" x14ac:dyDescent="0.15">
      <c r="A365" s="10" t="s">
        <v>764</v>
      </c>
      <c r="B365" s="166" t="str" cm="1">
        <f t="array" ref="B365">VLOOKUP(A365,'The List'!B1:D671,3,FALSE)</f>
        <v>RW</v>
      </c>
      <c r="C365" s="74" cm="1">
        <f t="array" ref="C365">IF(Settings!$E$15="POINTS",RANK(E365,E3:E407),H365)</f>
        <v>363</v>
      </c>
      <c r="D365" s="18" t="str" cm="1">
        <f t="array" ref="D365">VLOOKUP(A365,'The List'!B1:F671,5,FALSE)</f>
        <v>VGK</v>
      </c>
      <c r="E365" s="55" cm="1">
        <f t="array" ref="E365">VLOOKUP(A365,'The List'!B1:I671,8,FALSE)</f>
        <v>106.3754364317663</v>
      </c>
      <c r="F365" s="55" cm="1">
        <f t="array" ref="F365">IF(Settings!$E$15="POINTS",E365-VLOOKUP(B$2,C1:E407,3,FALSE),J365)</f>
        <v>-244.35758096869583</v>
      </c>
      <c r="G365" s="55"/>
      <c r="H365" s="167" cm="1">
        <f t="array" ref="H365">RANK(I365,I3:I407)</f>
        <v>360</v>
      </c>
      <c r="I365" s="168" cm="1">
        <f t="array" ref="I365">VLOOKUP(A365,'Standard Deviations'!A1:C672,3,FALSE)</f>
        <v>-4.9259587891896555</v>
      </c>
      <c r="J365" s="168" cm="1">
        <f t="array" ref="J365">I365-VLOOKUP(B$2,H1:J407,2,FALSE)</f>
        <v>-10.416602149112711</v>
      </c>
    </row>
    <row r="366" spans="1:10" ht="21.25" customHeight="1" x14ac:dyDescent="0.15">
      <c r="A366" s="10" t="s">
        <v>768</v>
      </c>
      <c r="B366" s="166" t="str" cm="1">
        <f t="array" ref="B366">VLOOKUP(A366,'The List'!B1:D671,3,FALSE)</f>
        <v>LW</v>
      </c>
      <c r="C366" s="74" cm="1">
        <f t="array" ref="C366">IF(Settings!$E$15="POINTS",RANK(E366,E3:E407),H366)</f>
        <v>364</v>
      </c>
      <c r="D366" s="18" t="str" cm="1">
        <f t="array" ref="D366">VLOOKUP(A366,'The List'!B1:F671,5,FALSE)</f>
        <v>PIT</v>
      </c>
      <c r="E366" s="55" cm="1">
        <f t="array" ref="E366">VLOOKUP(A366,'The List'!B1:I671,8,FALSE)</f>
        <v>105.8489525261687</v>
      </c>
      <c r="F366" s="55" cm="1">
        <f t="array" ref="F366">IF(Settings!$E$15="POINTS",E366-VLOOKUP(B$2,C1:E407,3,FALSE),J366)</f>
        <v>-244.88406487429341</v>
      </c>
      <c r="G366" s="55"/>
      <c r="H366" s="167" cm="1">
        <f t="array" ref="H366">RANK(I366,I3:I407)</f>
        <v>377</v>
      </c>
      <c r="I366" s="168" cm="1">
        <f t="array" ref="I366">VLOOKUP(A366,'Standard Deviations'!A1:C672,3,FALSE)</f>
        <v>-5.6177223332165056</v>
      </c>
      <c r="J366" s="168" cm="1">
        <f t="array" ref="J366">I366-VLOOKUP(B$2,H1:J407,2,FALSE)</f>
        <v>-11.108365693139561</v>
      </c>
    </row>
    <row r="367" spans="1:10" ht="21.25" customHeight="1" x14ac:dyDescent="0.15">
      <c r="A367" s="10" t="s">
        <v>765</v>
      </c>
      <c r="B367" s="166" t="str" cm="1">
        <f t="array" ref="B367">VLOOKUP(A367,'The List'!B1:D671,3,FALSE)</f>
        <v>LW,RW</v>
      </c>
      <c r="C367" s="74" cm="1">
        <f t="array" ref="C367">IF(Settings!$E$15="POINTS",RANK(E367,E3:E407),H367)</f>
        <v>365</v>
      </c>
      <c r="D367" s="18" t="str" cm="1">
        <f t="array" ref="D367">VLOOKUP(A367,'The List'!B1:F671,5,FALSE)</f>
        <v>TOR</v>
      </c>
      <c r="E367" s="55" cm="1">
        <f t="array" ref="E367">VLOOKUP(A367,'The List'!B1:I671,8,FALSE)</f>
        <v>105.64097629165865</v>
      </c>
      <c r="F367" s="55" cm="1">
        <f t="array" ref="F367">IF(Settings!$E$15="POINTS",E367-VLOOKUP(B$2,C1:E407,3,FALSE),J367)</f>
        <v>-245.09204110880347</v>
      </c>
      <c r="G367" s="55"/>
      <c r="H367" s="167" cm="1">
        <f t="array" ref="H367">RANK(I367,I3:I407)</f>
        <v>233</v>
      </c>
      <c r="I367" s="168" cm="1">
        <f t="array" ref="I367">VLOOKUP(A367,'Standard Deviations'!A1:C672,3,FALSE)</f>
        <v>-1.8474287212977574</v>
      </c>
      <c r="J367" s="168" cm="1">
        <f t="array" ref="J367">I367-VLOOKUP(B$2,H1:J407,2,FALSE)</f>
        <v>-7.3380720812208127</v>
      </c>
    </row>
    <row r="368" spans="1:10" ht="21.25" customHeight="1" x14ac:dyDescent="0.15">
      <c r="A368" s="10" t="s">
        <v>769</v>
      </c>
      <c r="B368" s="166" t="str" cm="1">
        <f t="array" ref="B368">VLOOKUP(A368,'The List'!B1:D671,3,FALSE)</f>
        <v>C,LW</v>
      </c>
      <c r="C368" s="74" cm="1">
        <f t="array" ref="C368">IF(Settings!$E$15="POINTS",RANK(E368,E3:E407),H368)</f>
        <v>366</v>
      </c>
      <c r="D368" s="18" t="str" cm="1">
        <f t="array" ref="D368">VLOOKUP(A368,'The List'!B1:F671,5,FALSE)</f>
        <v>BOS</v>
      </c>
      <c r="E368" s="55" cm="1">
        <f t="array" ref="E368">VLOOKUP(A368,'The List'!B1:I671,8,FALSE)</f>
        <v>105.10956956053404</v>
      </c>
      <c r="F368" s="55" cm="1">
        <f t="array" ref="F368">IF(Settings!$E$15="POINTS",E368-VLOOKUP(B$2,C1:E407,3,FALSE),J368)</f>
        <v>-245.62344783992808</v>
      </c>
      <c r="G368" s="55"/>
      <c r="H368" s="167" cm="1">
        <f t="array" ref="H368">RANK(I368,I3:I407)</f>
        <v>364</v>
      </c>
      <c r="I368" s="168" cm="1">
        <f t="array" ref="I368">VLOOKUP(A368,'Standard Deviations'!A1:C672,3,FALSE)</f>
        <v>-5.0718922107599216</v>
      </c>
      <c r="J368" s="168" cm="1">
        <f t="array" ref="J368">I368-VLOOKUP(B$2,H1:J407,2,FALSE)</f>
        <v>-10.562535570682977</v>
      </c>
    </row>
    <row r="369" spans="1:10" ht="21.25" customHeight="1" x14ac:dyDescent="0.15">
      <c r="A369" s="10" t="s">
        <v>740</v>
      </c>
      <c r="B369" s="166" t="str" cm="1">
        <f t="array" ref="B369">VLOOKUP(A369,'The List'!B1:D671,3,FALSE)</f>
        <v>C</v>
      </c>
      <c r="C369" s="74" cm="1">
        <f t="array" ref="C369">IF(Settings!$E$15="POINTS",RANK(E369,E3:E407),H369)</f>
        <v>367</v>
      </c>
      <c r="D369" s="18" t="str" cm="1">
        <f t="array" ref="D369">VLOOKUP(A369,'The List'!B1:F671,5,FALSE)</f>
        <v>COL</v>
      </c>
      <c r="E369" s="55" cm="1">
        <f t="array" ref="E369">VLOOKUP(A369,'The List'!B1:I671,8,FALSE)</f>
        <v>104.74563796346695</v>
      </c>
      <c r="F369" s="55" cm="1">
        <f t="array" ref="F369">IF(Settings!$E$15="POINTS",E369-VLOOKUP(B$2,C1:E407,3,FALSE),J369)</f>
        <v>-245.98737943699518</v>
      </c>
      <c r="G369" s="55"/>
      <c r="H369" s="167" cm="1">
        <f t="array" ref="H369">RANK(I369,I3:I407)</f>
        <v>333</v>
      </c>
      <c r="I369" s="168" cm="1">
        <f t="array" ref="I369">VLOOKUP(A369,'Standard Deviations'!A1:C672,3,FALSE)</f>
        <v>-4.1932149532060867</v>
      </c>
      <c r="J369" s="168" cm="1">
        <f t="array" ref="J369">I369-VLOOKUP(B$2,H1:J407,2,FALSE)</f>
        <v>-9.6838583131291429</v>
      </c>
    </row>
    <row r="370" spans="1:10" ht="21.25" customHeight="1" x14ac:dyDescent="0.15">
      <c r="A370" s="10" t="s">
        <v>770</v>
      </c>
      <c r="B370" s="166" t="str" cm="1">
        <f t="array" ref="B370">VLOOKUP(A370,'The List'!B1:D671,3,FALSE)</f>
        <v>LW</v>
      </c>
      <c r="C370" s="74" cm="1">
        <f t="array" ref="C370">IF(Settings!$E$15="POINTS",RANK(E370,E3:E407),H370)</f>
        <v>368</v>
      </c>
      <c r="D370" s="18" t="str" cm="1">
        <f t="array" ref="D370">VLOOKUP(A370,'The List'!B1:F671,5,FALSE)</f>
        <v>CAR</v>
      </c>
      <c r="E370" s="55" cm="1">
        <f t="array" ref="E370">VLOOKUP(A370,'The List'!B1:I671,8,FALSE)</f>
        <v>104.20239753154091</v>
      </c>
      <c r="F370" s="55" cm="1">
        <f t="array" ref="F370">IF(Settings!$E$15="POINTS",E370-VLOOKUP(B$2,C1:E407,3,FALSE),J370)</f>
        <v>-246.53061986892124</v>
      </c>
      <c r="G370" s="55"/>
      <c r="H370" s="167" cm="1">
        <f t="array" ref="H370">RANK(I370,I3:I407)</f>
        <v>322</v>
      </c>
      <c r="I370" s="168" cm="1">
        <f t="array" ref="I370">VLOOKUP(A370,'Standard Deviations'!A1:C672,3,FALSE)</f>
        <v>-3.9232622769721752</v>
      </c>
      <c r="J370" s="168" cm="1">
        <f t="array" ref="J370">I370-VLOOKUP(B$2,H1:J407,2,FALSE)</f>
        <v>-9.4139056368952296</v>
      </c>
    </row>
    <row r="371" spans="1:10" ht="21.25" customHeight="1" x14ac:dyDescent="0.15">
      <c r="A371" s="10" t="s">
        <v>766</v>
      </c>
      <c r="B371" s="166" t="str" cm="1">
        <f t="array" ref="B371">VLOOKUP(A371,'The List'!B1:D671,3,FALSE)</f>
        <v>LW,RW</v>
      </c>
      <c r="C371" s="74" cm="1">
        <f t="array" ref="C371">IF(Settings!$E$15="POINTS",RANK(E371,E3:E407),H371)</f>
        <v>369</v>
      </c>
      <c r="D371" s="18" t="str" cm="1">
        <f t="array" ref="D371">VLOOKUP(A371,'The List'!B1:F671,5,FALSE)</f>
        <v>CGY</v>
      </c>
      <c r="E371" s="55" cm="1">
        <f t="array" ref="E371">VLOOKUP(A371,'The List'!B1:I671,8,FALSE)</f>
        <v>104.1107377112792</v>
      </c>
      <c r="F371" s="55" cm="1">
        <f t="array" ref="F371">IF(Settings!$E$15="POINTS",E371-VLOOKUP(B$2,C1:E407,3,FALSE),J371)</f>
        <v>-246.62227968918293</v>
      </c>
      <c r="G371" s="55"/>
      <c r="H371" s="167" cm="1">
        <f t="array" ref="H371">RANK(I371,I3:I407)</f>
        <v>399</v>
      </c>
      <c r="I371" s="168" cm="1">
        <f t="array" ref="I371">VLOOKUP(A371,'Standard Deviations'!A1:C672,3,FALSE)</f>
        <v>-6.7907108660043427</v>
      </c>
      <c r="J371" s="168" cm="1">
        <f t="array" ref="J371">I371-VLOOKUP(B$2,H1:J407,2,FALSE)</f>
        <v>-12.281354225927398</v>
      </c>
    </row>
    <row r="372" spans="1:10" ht="21.25" customHeight="1" x14ac:dyDescent="0.15">
      <c r="A372" s="10" t="s">
        <v>742</v>
      </c>
      <c r="B372" s="166" t="str" cm="1">
        <f t="array" ref="B372">VLOOKUP(A372,'The List'!B1:D671,3,FALSE)</f>
        <v>C</v>
      </c>
      <c r="C372" s="74" cm="1">
        <f t="array" ref="C372">IF(Settings!$E$15="POINTS",RANK(E372,E3:E407),H372)</f>
        <v>370</v>
      </c>
      <c r="D372" s="18" t="str" cm="1">
        <f t="array" ref="D372">VLOOKUP(A372,'The List'!B1:F671,5,FALSE)</f>
        <v>PIT</v>
      </c>
      <c r="E372" s="55" cm="1">
        <f t="array" ref="E372">VLOOKUP(A372,'The List'!B1:I671,8,FALSE)</f>
        <v>103.86057017994337</v>
      </c>
      <c r="F372" s="55" cm="1">
        <f t="array" ref="F372">IF(Settings!$E$15="POINTS",E372-VLOOKUP(B$2,C1:E407,3,FALSE),J372)</f>
        <v>-246.87244722051878</v>
      </c>
      <c r="G372" s="55"/>
      <c r="H372" s="167" cm="1">
        <f t="array" ref="H372">RANK(I372,I3:I407)</f>
        <v>378</v>
      </c>
      <c r="I372" s="168" cm="1">
        <f t="array" ref="I372">VLOOKUP(A372,'Standard Deviations'!A1:C672,3,FALSE)</f>
        <v>-5.6387488524273319</v>
      </c>
      <c r="J372" s="168" cm="1">
        <f t="array" ref="J372">I372-VLOOKUP(B$2,H1:J407,2,FALSE)</f>
        <v>-11.129392212350387</v>
      </c>
    </row>
    <row r="373" spans="1:10" ht="21.25" customHeight="1" x14ac:dyDescent="0.15">
      <c r="A373" s="10" t="s">
        <v>771</v>
      </c>
      <c r="B373" s="166" t="str" cm="1">
        <f t="array" ref="B373">VLOOKUP(A373,'The List'!B1:D671,3,FALSE)</f>
        <v>LW</v>
      </c>
      <c r="C373" s="74" cm="1">
        <f t="array" ref="C373">IF(Settings!$E$15="POINTS",RANK(E373,E3:E407),H373)</f>
        <v>371</v>
      </c>
      <c r="D373" s="18" t="str" cm="1">
        <f t="array" ref="D373">VLOOKUP(A373,'The List'!B1:F671,5,FALSE)</f>
        <v>EDM</v>
      </c>
      <c r="E373" s="55" cm="1">
        <f t="array" ref="E373">VLOOKUP(A373,'The List'!B1:I671,8,FALSE)</f>
        <v>103.81038714423016</v>
      </c>
      <c r="F373" s="55" cm="1">
        <f t="array" ref="F373">IF(Settings!$E$15="POINTS",E373-VLOOKUP(B$2,C1:E407,3,FALSE),J373)</f>
        <v>-246.92263025623197</v>
      </c>
      <c r="G373" s="55"/>
      <c r="H373" s="167" cm="1">
        <f t="array" ref="H373">RANK(I373,I3:I407)</f>
        <v>347</v>
      </c>
      <c r="I373" s="168" cm="1">
        <f t="array" ref="I373">VLOOKUP(A373,'Standard Deviations'!A1:C672,3,FALSE)</f>
        <v>-4.4807367168439072</v>
      </c>
      <c r="J373" s="168" cm="1">
        <f t="array" ref="J373">I373-VLOOKUP(B$2,H1:J407,2,FALSE)</f>
        <v>-9.9713800767669625</v>
      </c>
    </row>
    <row r="374" spans="1:10" ht="21.25" customHeight="1" x14ac:dyDescent="0.15">
      <c r="A374" s="10" t="s">
        <v>745</v>
      </c>
      <c r="B374" s="166" t="str" cm="1">
        <f t="array" ref="B374">VLOOKUP(A374,'The List'!B1:D671,3,FALSE)</f>
        <v>C</v>
      </c>
      <c r="C374" s="74" cm="1">
        <f t="array" ref="C374">IF(Settings!$E$15="POINTS",RANK(E374,E3:E407),H374)</f>
        <v>372</v>
      </c>
      <c r="D374" s="18" t="str" cm="1">
        <f t="array" ref="D374">VLOOKUP(A374,'The List'!B1:F671,5,FALSE)</f>
        <v>STL</v>
      </c>
      <c r="E374" s="55" cm="1">
        <f t="array" ref="E374">VLOOKUP(A374,'The List'!B1:I671,8,FALSE)</f>
        <v>103.3148133214992</v>
      </c>
      <c r="F374" s="55" cm="1">
        <f t="array" ref="F374">IF(Settings!$E$15="POINTS",E374-VLOOKUP(B$2,C1:E407,3,FALSE),J374)</f>
        <v>-247.41820407896293</v>
      </c>
      <c r="G374" s="55"/>
      <c r="H374" s="167" cm="1">
        <f t="array" ref="H374">RANK(I374,I3:I407)</f>
        <v>386</v>
      </c>
      <c r="I374" s="168" cm="1">
        <f t="array" ref="I374">VLOOKUP(A374,'Standard Deviations'!A1:C672,3,FALSE)</f>
        <v>-6.0437067154812976</v>
      </c>
      <c r="J374" s="168" cm="1">
        <f t="array" ref="J374">I374-VLOOKUP(B$2,H1:J407,2,FALSE)</f>
        <v>-11.534350075404353</v>
      </c>
    </row>
    <row r="375" spans="1:10" ht="21.25" customHeight="1" x14ac:dyDescent="0.15">
      <c r="A375" s="10" t="s">
        <v>773</v>
      </c>
      <c r="B375" s="166" t="str" cm="1">
        <f t="array" ref="B375">VLOOKUP(A375,'The List'!B1:D671,3,FALSE)</f>
        <v>LW</v>
      </c>
      <c r="C375" s="74" cm="1">
        <f t="array" ref="C375">IF(Settings!$E$15="POINTS",RANK(E375,E3:E407),H375)</f>
        <v>373</v>
      </c>
      <c r="D375" s="18" t="str" cm="1">
        <f t="array" ref="D375">VLOOKUP(A375,'The List'!B1:F671,5,FALSE)</f>
        <v>VAN</v>
      </c>
      <c r="E375" s="55" cm="1">
        <f t="array" ref="E375">VLOOKUP(A375,'The List'!B1:I671,8,FALSE)</f>
        <v>102.84477384556551</v>
      </c>
      <c r="F375" s="55" cm="1">
        <f t="array" ref="F375">IF(Settings!$E$15="POINTS",E375-VLOOKUP(B$2,C1:E407,3,FALSE),J375)</f>
        <v>-247.88824355489663</v>
      </c>
      <c r="G375" s="55"/>
      <c r="H375" s="167" cm="1">
        <f t="array" ref="H375">RANK(I375,I3:I407)</f>
        <v>403</v>
      </c>
      <c r="I375" s="168" cm="1">
        <f t="array" ref="I375">VLOOKUP(A375,'Standard Deviations'!A1:C672,3,FALSE)</f>
        <v>-7.0917391409812431</v>
      </c>
      <c r="J375" s="168" cm="1">
        <f t="array" ref="J375">I375-VLOOKUP(B$2,H1:J407,2,FALSE)</f>
        <v>-12.582382500904298</v>
      </c>
    </row>
    <row r="376" spans="1:10" ht="21.25" customHeight="1" x14ac:dyDescent="0.15">
      <c r="A376" s="10" t="s">
        <v>750</v>
      </c>
      <c r="B376" s="166" t="str" cm="1">
        <f t="array" ref="B376">VLOOKUP(A376,'The List'!B1:D671,3,FALSE)</f>
        <v>C</v>
      </c>
      <c r="C376" s="74" cm="1">
        <f t="array" ref="C376">IF(Settings!$E$15="POINTS",RANK(E376,E3:E407),H376)</f>
        <v>374</v>
      </c>
      <c r="D376" s="18" t="str" cm="1">
        <f t="array" ref="D376">VLOOKUP(A376,'The List'!B1:F671,5,FALSE)</f>
        <v>VAN</v>
      </c>
      <c r="E376" s="55" cm="1">
        <f t="array" ref="E376">VLOOKUP(A376,'The List'!B1:I671,8,FALSE)</f>
        <v>102.36463119294751</v>
      </c>
      <c r="F376" s="55" cm="1">
        <f t="array" ref="F376">IF(Settings!$E$15="POINTS",E376-VLOOKUP(B$2,C1:E407,3,FALSE),J376)</f>
        <v>-248.36838620751462</v>
      </c>
      <c r="G376" s="55"/>
      <c r="H376" s="167" cm="1">
        <f t="array" ref="H376">RANK(I376,I3:I407)</f>
        <v>400</v>
      </c>
      <c r="I376" s="168" cm="1">
        <f t="array" ref="I376">VLOOKUP(A376,'Standard Deviations'!A1:C672,3,FALSE)</f>
        <v>-6.8442772556933305</v>
      </c>
      <c r="J376" s="168" cm="1">
        <f t="array" ref="J376">I376-VLOOKUP(B$2,H1:J407,2,FALSE)</f>
        <v>-12.334920615616387</v>
      </c>
    </row>
    <row r="377" spans="1:10" ht="21.25" customHeight="1" x14ac:dyDescent="0.15">
      <c r="A377" s="10" t="s">
        <v>757</v>
      </c>
      <c r="B377" s="166" t="str" cm="1">
        <f t="array" ref="B377">VLOOKUP(A377,'The List'!B1:D671,3,FALSE)</f>
        <v>C</v>
      </c>
      <c r="C377" s="74" cm="1">
        <f t="array" ref="C377">IF(Settings!$E$15="POINTS",RANK(E377,E3:E407),H377)</f>
        <v>375</v>
      </c>
      <c r="D377" s="18" t="str" cm="1">
        <f t="array" ref="D377">VLOOKUP(A377,'The List'!B1:F671,5,FALSE)</f>
        <v>T.B</v>
      </c>
      <c r="E377" s="55" cm="1">
        <f t="array" ref="E377">VLOOKUP(A377,'The List'!B1:I671,8,FALSE)</f>
        <v>101.14871676596439</v>
      </c>
      <c r="F377" s="55" cm="1">
        <f t="array" ref="F377">IF(Settings!$E$15="POINTS",E377-VLOOKUP(B$2,C1:E407,3,FALSE),J377)</f>
        <v>-249.58430063449774</v>
      </c>
      <c r="G377" s="55"/>
      <c r="H377" s="167" cm="1">
        <f t="array" ref="H377">RANK(I377,I3:I407)</f>
        <v>337</v>
      </c>
      <c r="I377" s="168" cm="1">
        <f t="array" ref="I377">VLOOKUP(A377,'Standard Deviations'!A1:C672,3,FALSE)</f>
        <v>-4.2666800511111056</v>
      </c>
      <c r="J377" s="168" cm="1">
        <f t="array" ref="J377">I377-VLOOKUP(B$2,H1:J407,2,FALSE)</f>
        <v>-9.7573234110341609</v>
      </c>
    </row>
    <row r="378" spans="1:10" ht="21.25" customHeight="1" x14ac:dyDescent="0.15">
      <c r="A378" s="10" t="s">
        <v>760</v>
      </c>
      <c r="B378" s="166" t="str" cm="1">
        <f t="array" ref="B378">VLOOKUP(A378,'The List'!B1:D671,3,FALSE)</f>
        <v>C</v>
      </c>
      <c r="C378" s="74" cm="1">
        <f t="array" ref="C378">IF(Settings!$E$15="POINTS",RANK(E378,E3:E407),H378)</f>
        <v>376</v>
      </c>
      <c r="D378" s="18" t="str" cm="1">
        <f t="array" ref="D378">VLOOKUP(A378,'The List'!B1:F671,5,FALSE)</f>
        <v>CBJ</v>
      </c>
      <c r="E378" s="55" cm="1">
        <f t="array" ref="E378">VLOOKUP(A378,'The List'!B1:I671,8,FALSE)</f>
        <v>99.305912980814497</v>
      </c>
      <c r="F378" s="55" cm="1">
        <f t="array" ref="F378">IF(Settings!$E$15="POINTS",E378-VLOOKUP(B$2,C1:E407,3,FALSE),J378)</f>
        <v>-251.42710441964763</v>
      </c>
      <c r="G378" s="55"/>
      <c r="H378" s="167" cm="1">
        <f t="array" ref="H378">RANK(I378,I3:I407)</f>
        <v>382</v>
      </c>
      <c r="I378" s="168" cm="1">
        <f t="array" ref="I378">VLOOKUP(A378,'Standard Deviations'!A1:C672,3,FALSE)</f>
        <v>-5.9554876915793296</v>
      </c>
      <c r="J378" s="168" cm="1">
        <f t="array" ref="J378">I378-VLOOKUP(B$2,H1:J407,2,FALSE)</f>
        <v>-11.446131051502384</v>
      </c>
    </row>
    <row r="379" spans="1:10" ht="21.25" customHeight="1" x14ac:dyDescent="0.15">
      <c r="A379" s="10" t="s">
        <v>772</v>
      </c>
      <c r="B379" s="166" t="str" cm="1">
        <f t="array" ref="B379">VLOOKUP(A379,'The List'!B1:D671,3,FALSE)</f>
        <v>C,RW</v>
      </c>
      <c r="C379" s="74" cm="1">
        <f t="array" ref="C379">IF(Settings!$E$15="POINTS",RANK(E379,E3:E407),H379)</f>
        <v>377</v>
      </c>
      <c r="D379" s="18" t="str" cm="1">
        <f t="array" ref="D379">VLOOKUP(A379,'The List'!B1:F671,5,FALSE)</f>
        <v>DAL</v>
      </c>
      <c r="E379" s="55" cm="1">
        <f t="array" ref="E379">VLOOKUP(A379,'The List'!B1:I671,8,FALSE)</f>
        <v>98.867701509882167</v>
      </c>
      <c r="F379" s="55" cm="1">
        <f t="array" ref="F379">IF(Settings!$E$15="POINTS",E379-VLOOKUP(B$2,C1:E407,3,FALSE),J379)</f>
        <v>-251.86531589057995</v>
      </c>
      <c r="G379" s="55"/>
      <c r="H379" s="167" cm="1">
        <f t="array" ref="H379">RANK(I379,I3:I407)</f>
        <v>340</v>
      </c>
      <c r="I379" s="168" cm="1">
        <f t="array" ref="I379">VLOOKUP(A379,'Standard Deviations'!A1:C672,3,FALSE)</f>
        <v>-4.3187752223507294</v>
      </c>
      <c r="J379" s="168" cm="1">
        <f t="array" ref="J379">I379-VLOOKUP(B$2,H1:J407,2,FALSE)</f>
        <v>-9.8094185822737856</v>
      </c>
    </row>
    <row r="380" spans="1:10" ht="21.25" customHeight="1" x14ac:dyDescent="0.15">
      <c r="A380" s="10" t="s">
        <v>763</v>
      </c>
      <c r="B380" s="166" t="str" cm="1">
        <f t="array" ref="B380">VLOOKUP(A380,'The List'!B1:D671,3,FALSE)</f>
        <v>C</v>
      </c>
      <c r="C380" s="74" cm="1">
        <f t="array" ref="C380">IF(Settings!$E$15="POINTS",RANK(E380,E3:E407),H380)</f>
        <v>378</v>
      </c>
      <c r="D380" s="18" t="str" cm="1">
        <f t="array" ref="D380">VLOOKUP(A380,'The List'!B1:F671,5,FALSE)</f>
        <v>FLA</v>
      </c>
      <c r="E380" s="55" cm="1">
        <f t="array" ref="E380">VLOOKUP(A380,'The List'!B1:I671,8,FALSE)</f>
        <v>98.493412254179262</v>
      </c>
      <c r="F380" s="55" cm="1">
        <f t="array" ref="F380">IF(Settings!$E$15="POINTS",E380-VLOOKUP(B$2,C1:E407,3,FALSE),J380)</f>
        <v>-252.23960514628288</v>
      </c>
      <c r="G380" s="55"/>
      <c r="H380" s="167" cm="1">
        <f t="array" ref="H380">RANK(I380,I3:I407)</f>
        <v>356</v>
      </c>
      <c r="I380" s="168" cm="1">
        <f t="array" ref="I380">VLOOKUP(A380,'Standard Deviations'!A1:C672,3,FALSE)</f>
        <v>-4.7992130983897558</v>
      </c>
      <c r="J380" s="168" cm="1">
        <f t="array" ref="J380">I380-VLOOKUP(B$2,H1:J407,2,FALSE)</f>
        <v>-10.289856458312812</v>
      </c>
    </row>
    <row r="381" spans="1:10" ht="21.25" customHeight="1" x14ac:dyDescent="0.15">
      <c r="A381" s="10" t="s">
        <v>777</v>
      </c>
      <c r="B381" s="166" t="str" cm="1">
        <f t="array" ref="B381">VLOOKUP(A381,'The List'!B1:D671,3,FALSE)</f>
        <v>C,LW</v>
      </c>
      <c r="C381" s="74" cm="1">
        <f t="array" ref="C381">IF(Settings!$E$15="POINTS",RANK(E381,E3:E407),H381)</f>
        <v>379</v>
      </c>
      <c r="D381" s="18" t="str" cm="1">
        <f t="array" ref="D381">VLOOKUP(A381,'The List'!B1:F671,5,FALSE)</f>
        <v>NSH</v>
      </c>
      <c r="E381" s="55" cm="1">
        <f t="array" ref="E381">VLOOKUP(A381,'The List'!B1:I671,8,FALSE)</f>
        <v>97.53110407897789</v>
      </c>
      <c r="F381" s="55" cm="1">
        <f t="array" ref="F381">IF(Settings!$E$15="POINTS",E381-VLOOKUP(B$2,C1:E407,3,FALSE),J381)</f>
        <v>-253.20191332148426</v>
      </c>
      <c r="G381" s="55"/>
      <c r="H381" s="167" cm="1">
        <f t="array" ref="H381">RANK(I381,I3:I407)</f>
        <v>384</v>
      </c>
      <c r="I381" s="168" cm="1">
        <f t="array" ref="I381">VLOOKUP(A381,'Standard Deviations'!A1:C672,3,FALSE)</f>
        <v>-5.9779954909588655</v>
      </c>
      <c r="J381" s="168" cm="1">
        <f t="array" ref="J381">I381-VLOOKUP(B$2,H1:J407,2,FALSE)</f>
        <v>-11.46863885088192</v>
      </c>
    </row>
    <row r="382" spans="1:10" ht="21.25" customHeight="1" x14ac:dyDescent="0.15">
      <c r="A382" s="10" t="s">
        <v>775</v>
      </c>
      <c r="B382" s="166" t="str" cm="1">
        <f t="array" ref="B382">VLOOKUP(A382,'The List'!B1:D671,3,FALSE)</f>
        <v>RW</v>
      </c>
      <c r="C382" s="74" cm="1">
        <f t="array" ref="C382">IF(Settings!$E$15="POINTS",RANK(E382,E3:E407),H382)</f>
        <v>380</v>
      </c>
      <c r="D382" s="18" t="str" cm="1">
        <f t="array" ref="D382">VLOOKUP(A382,'The List'!B1:F671,5,FALSE)</f>
        <v>COL</v>
      </c>
      <c r="E382" s="55" cm="1">
        <f t="array" ref="E382">VLOOKUP(A382,'The List'!B1:I671,8,FALSE)</f>
        <v>97.360152472533443</v>
      </c>
      <c r="F382" s="55" cm="1">
        <f t="array" ref="F382">IF(Settings!$E$15="POINTS",E382-VLOOKUP(B$2,C1:E407,3,FALSE),J382)</f>
        <v>-253.37286492792867</v>
      </c>
      <c r="G382" s="55"/>
      <c r="H382" s="167" cm="1">
        <f t="array" ref="H382">RANK(I382,I3:I407)</f>
        <v>334</v>
      </c>
      <c r="I382" s="168" cm="1">
        <f t="array" ref="I382">VLOOKUP(A382,'Standard Deviations'!A1:C672,3,FALSE)</f>
        <v>-4.1937719217042444</v>
      </c>
      <c r="J382" s="168" cm="1">
        <f t="array" ref="J382">I382-VLOOKUP(B$2,H1:J407,2,FALSE)</f>
        <v>-9.6844152816272988</v>
      </c>
    </row>
    <row r="383" spans="1:10" ht="21.25" customHeight="1" x14ac:dyDescent="0.15">
      <c r="A383" s="10" t="s">
        <v>779</v>
      </c>
      <c r="B383" s="166" t="str" cm="1">
        <f t="array" ref="B383">VLOOKUP(A383,'The List'!B1:D671,3,FALSE)</f>
        <v>C,LW</v>
      </c>
      <c r="C383" s="74" cm="1">
        <f t="array" ref="C383">IF(Settings!$E$15="POINTS",RANK(E383,E3:E407),H383)</f>
        <v>381</v>
      </c>
      <c r="D383" s="18" t="str" cm="1">
        <f t="array" ref="D383">VLOOKUP(A383,'The List'!B1:F671,5,FALSE)</f>
        <v>DAL</v>
      </c>
      <c r="E383" s="55" cm="1">
        <f t="array" ref="E383">VLOOKUP(A383,'The List'!B1:I671,8,FALSE)</f>
        <v>95.691686681289426</v>
      </c>
      <c r="F383" s="55" cm="1">
        <f t="array" ref="F383">IF(Settings!$E$15="POINTS",E383-VLOOKUP(B$2,C1:E407,3,FALSE),J383)</f>
        <v>-255.04133071917272</v>
      </c>
      <c r="G383" s="55"/>
      <c r="H383" s="167" cm="1">
        <f t="array" ref="H383">RANK(I383,I3:I407)</f>
        <v>352</v>
      </c>
      <c r="I383" s="168" cm="1">
        <f t="array" ref="I383">VLOOKUP(A383,'Standard Deviations'!A1:C672,3,FALSE)</f>
        <v>-4.7065723625536968</v>
      </c>
      <c r="J383" s="168" cm="1">
        <f t="array" ref="J383">I383-VLOOKUP(B$2,H1:J407,2,FALSE)</f>
        <v>-10.197215722476752</v>
      </c>
    </row>
    <row r="384" spans="1:10" ht="21.25" customHeight="1" x14ac:dyDescent="0.15">
      <c r="A384" s="10" t="s">
        <v>767</v>
      </c>
      <c r="B384" s="166" t="str" cm="1">
        <f t="array" ref="B384">VLOOKUP(A384,'The List'!B1:D671,3,FALSE)</f>
        <v>C</v>
      </c>
      <c r="C384" s="74" cm="1">
        <f t="array" ref="C384">IF(Settings!$E$15="POINTS",RANK(E384,E3:E407),H384)</f>
        <v>382</v>
      </c>
      <c r="D384" s="18" t="str" cm="1">
        <f t="array" ref="D384">VLOOKUP(A384,'The List'!B1:F671,5,FALSE)</f>
        <v>EDM</v>
      </c>
      <c r="E384" s="55" cm="1">
        <f t="array" ref="E384">VLOOKUP(A384,'The List'!B1:I671,8,FALSE)</f>
        <v>93.428579301062015</v>
      </c>
      <c r="F384" s="55" cm="1">
        <f t="array" ref="F384">IF(Settings!$E$15="POINTS",E384-VLOOKUP(B$2,C1:E407,3,FALSE),J384)</f>
        <v>-257.3044380994001</v>
      </c>
      <c r="G384" s="55"/>
      <c r="H384" s="167" cm="1">
        <f t="array" ref="H384">RANK(I384,I3:I407)</f>
        <v>353</v>
      </c>
      <c r="I384" s="168" cm="1">
        <f t="array" ref="I384">VLOOKUP(A384,'Standard Deviations'!A1:C672,3,FALSE)</f>
        <v>-4.7135227675051485</v>
      </c>
      <c r="J384" s="168" cm="1">
        <f t="array" ref="J384">I384-VLOOKUP(B$2,H1:J407,2,FALSE)</f>
        <v>-10.204166127428204</v>
      </c>
    </row>
    <row r="385" spans="1:10" ht="21.25" customHeight="1" x14ac:dyDescent="0.15">
      <c r="A385" s="10" t="s">
        <v>782</v>
      </c>
      <c r="B385" s="166" t="str" cm="1">
        <f t="array" ref="B385">VLOOKUP(A385,'The List'!B1:D671,3,FALSE)</f>
        <v>C,LW</v>
      </c>
      <c r="C385" s="74" cm="1">
        <f t="array" ref="C385">IF(Settings!$E$15="POINTS",RANK(E385,E3:E407),H385)</f>
        <v>383</v>
      </c>
      <c r="D385" s="18" t="str" cm="1">
        <f t="array" ref="D385">VLOOKUP(A385,'The List'!B1:F671,5,FALSE)</f>
        <v>SEA</v>
      </c>
      <c r="E385" s="55" cm="1">
        <f t="array" ref="E385">VLOOKUP(A385,'The List'!B1:I671,8,FALSE)</f>
        <v>91.812084416922843</v>
      </c>
      <c r="F385" s="55" cm="1">
        <f t="array" ref="F385">IF(Settings!$E$15="POINTS",E385-VLOOKUP(B$2,C1:E407,3,FALSE),J385)</f>
        <v>-258.92093298353927</v>
      </c>
      <c r="G385" s="55"/>
      <c r="H385" s="167" cm="1">
        <f t="array" ref="H385">RANK(I385,I3:I407)</f>
        <v>401</v>
      </c>
      <c r="I385" s="168" cm="1">
        <f t="array" ref="I385">VLOOKUP(A385,'Standard Deviations'!A1:C672,3,FALSE)</f>
        <v>-6.9089615386896623</v>
      </c>
      <c r="J385" s="168" cm="1">
        <f t="array" ref="J385">I385-VLOOKUP(B$2,H1:J407,2,FALSE)</f>
        <v>-12.399604898612719</v>
      </c>
    </row>
    <row r="386" spans="1:10" ht="21.25" customHeight="1" x14ac:dyDescent="0.15">
      <c r="A386" s="10" t="s">
        <v>784</v>
      </c>
      <c r="B386" s="166" t="str" cm="1">
        <f t="array" ref="B386">VLOOKUP(A386,'The List'!B1:D671,3,FALSE)</f>
        <v>LW</v>
      </c>
      <c r="C386" s="74" cm="1">
        <f t="array" ref="C386">IF(Settings!$E$15="POINTS",RANK(E386,E3:E407),H386)</f>
        <v>384</v>
      </c>
      <c r="D386" s="18" t="str" cm="1">
        <f t="array" ref="D386">VLOOKUP(A386,'The List'!B1:F671,5,FALSE)</f>
        <v>NSH</v>
      </c>
      <c r="E386" s="55" cm="1">
        <f t="array" ref="E386">VLOOKUP(A386,'The List'!B1:I671,8,FALSE)</f>
        <v>91.389814791024293</v>
      </c>
      <c r="F386" s="55" cm="1">
        <f t="array" ref="F386">IF(Settings!$E$15="POINTS",E386-VLOOKUP(B$2,C1:E407,3,FALSE),J386)</f>
        <v>-259.34320260943787</v>
      </c>
      <c r="G386" s="55"/>
      <c r="H386" s="167" cm="1">
        <f t="array" ref="H386">RANK(I386,I3:I407)</f>
        <v>390</v>
      </c>
      <c r="I386" s="168" cm="1">
        <f t="array" ref="I386">VLOOKUP(A386,'Standard Deviations'!A1:C672,3,FALSE)</f>
        <v>-6.2514589451438694</v>
      </c>
      <c r="J386" s="168" cm="1">
        <f t="array" ref="J386">I386-VLOOKUP(B$2,H1:J407,2,FALSE)</f>
        <v>-11.742102305066926</v>
      </c>
    </row>
    <row r="387" spans="1:10" ht="21.25" customHeight="1" x14ac:dyDescent="0.15">
      <c r="A387" s="10" t="s">
        <v>780</v>
      </c>
      <c r="B387" s="166" t="str" cm="1">
        <f t="array" ref="B387">VLOOKUP(A387,'The List'!B1:D671,3,FALSE)</f>
        <v>LW,RW</v>
      </c>
      <c r="C387" s="74" cm="1">
        <f t="array" ref="C387">IF(Settings!$E$15="POINTS",RANK(E387,E3:E407),H387)</f>
        <v>385</v>
      </c>
      <c r="D387" s="18" t="str" cm="1">
        <f t="array" ref="D387">VLOOKUP(A387,'The List'!B1:F671,5,FALSE)</f>
        <v>PHI</v>
      </c>
      <c r="E387" s="55" cm="1">
        <f t="array" ref="E387">VLOOKUP(A387,'The List'!B1:I671,8,FALSE)</f>
        <v>89.848339896251844</v>
      </c>
      <c r="F387" s="55" cm="1">
        <f t="array" ref="F387">IF(Settings!$E$15="POINTS",E387-VLOOKUP(B$2,C1:E407,3,FALSE),J387)</f>
        <v>-260.88467750421029</v>
      </c>
      <c r="G387" s="55"/>
      <c r="H387" s="167" cm="1">
        <f t="array" ref="H387">RANK(I387,I3:I407)</f>
        <v>375</v>
      </c>
      <c r="I387" s="168" cm="1">
        <f t="array" ref="I387">VLOOKUP(A387,'Standard Deviations'!A1:C672,3,FALSE)</f>
        <v>-5.5228479031111783</v>
      </c>
      <c r="J387" s="168" cm="1">
        <f t="array" ref="J387">I387-VLOOKUP(B$2,H1:J407,2,FALSE)</f>
        <v>-11.013491263034233</v>
      </c>
    </row>
    <row r="388" spans="1:10" ht="21.25" customHeight="1" x14ac:dyDescent="0.15">
      <c r="A388" s="10" t="s">
        <v>774</v>
      </c>
      <c r="B388" s="166" t="str" cm="1">
        <f t="array" ref="B388">VLOOKUP(A388,'The List'!B1:D671,3,FALSE)</f>
        <v>C</v>
      </c>
      <c r="C388" s="74" cm="1">
        <f t="array" ref="C388">IF(Settings!$E$15="POINTS",RANK(E388,E3:E407),H388)</f>
        <v>386</v>
      </c>
      <c r="D388" s="18" t="str" cm="1">
        <f t="array" ref="D388">VLOOKUP(A388,'The List'!B1:F671,5,FALSE)</f>
        <v>MIN</v>
      </c>
      <c r="E388" s="55" cm="1">
        <f t="array" ref="E388">VLOOKUP(A388,'The List'!B1:I671,8,FALSE)</f>
        <v>89.608784921117632</v>
      </c>
      <c r="F388" s="55" cm="1">
        <f t="array" ref="F388">IF(Settings!$E$15="POINTS",E388-VLOOKUP(B$2,C1:E407,3,FALSE),J388)</f>
        <v>-261.12423247934453</v>
      </c>
      <c r="G388" s="55"/>
      <c r="H388" s="167" cm="1">
        <f t="array" ref="H388">RANK(I388,I3:I407)</f>
        <v>373</v>
      </c>
      <c r="I388" s="168" cm="1">
        <f t="array" ref="I388">VLOOKUP(A388,'Standard Deviations'!A1:C672,3,FALSE)</f>
        <v>-5.3058163507918392</v>
      </c>
      <c r="J388" s="168" cm="1">
        <f t="array" ref="J388">I388-VLOOKUP(B$2,H1:J407,2,FALSE)</f>
        <v>-10.796459710714895</v>
      </c>
    </row>
    <row r="389" spans="1:10" ht="21.25" customHeight="1" x14ac:dyDescent="0.15">
      <c r="A389" s="10" t="s">
        <v>786</v>
      </c>
      <c r="B389" s="166" t="str" cm="1">
        <f t="array" ref="B389">VLOOKUP(A389,'The List'!B1:D671,3,FALSE)</f>
        <v>LW</v>
      </c>
      <c r="C389" s="74" cm="1">
        <f t="array" ref="C389">IF(Settings!$E$15="POINTS",RANK(E389,E3:E407),H389)</f>
        <v>387</v>
      </c>
      <c r="D389" s="18" t="str" cm="1">
        <f t="array" ref="D389">VLOOKUP(A389,'The List'!B1:F671,5,FALSE)</f>
        <v>T.B</v>
      </c>
      <c r="E389" s="55" cm="1">
        <f t="array" ref="E389">VLOOKUP(A389,'The List'!B1:I671,8,FALSE)</f>
        <v>89.154129654598535</v>
      </c>
      <c r="F389" s="55" cm="1">
        <f t="array" ref="F389">IF(Settings!$E$15="POINTS",E389-VLOOKUP(B$2,C1:E407,3,FALSE),J389)</f>
        <v>-261.5788877458636</v>
      </c>
      <c r="G389" s="55"/>
      <c r="H389" s="167" cm="1">
        <f t="array" ref="H389">RANK(I389,I3:I407)</f>
        <v>271</v>
      </c>
      <c r="I389" s="168" cm="1">
        <f t="array" ref="I389">VLOOKUP(A389,'Standard Deviations'!A1:C672,3,FALSE)</f>
        <v>-2.5458832911514242</v>
      </c>
      <c r="J389" s="168" cm="1">
        <f t="array" ref="J389">I389-VLOOKUP(B$2,H1:J407,2,FALSE)</f>
        <v>-8.0365266510744799</v>
      </c>
    </row>
    <row r="390" spans="1:10" ht="21.25" customHeight="1" x14ac:dyDescent="0.15">
      <c r="A390" s="10" t="s">
        <v>776</v>
      </c>
      <c r="B390" s="166" t="str" cm="1">
        <f t="array" ref="B390">VLOOKUP(A390,'The List'!B1:D671,3,FALSE)</f>
        <v>C</v>
      </c>
      <c r="C390" s="74" cm="1">
        <f t="array" ref="C390">IF(Settings!$E$15="POINTS",RANK(E390,E3:E407),H390)</f>
        <v>388</v>
      </c>
      <c r="D390" s="18" t="str" cm="1">
        <f t="array" ref="D390">VLOOKUP(A390,'The List'!B1:F671,5,FALSE)</f>
        <v>NYR</v>
      </c>
      <c r="E390" s="55" cm="1">
        <f t="array" ref="E390">VLOOKUP(A390,'The List'!B1:I671,8,FALSE)</f>
        <v>87.566052256597004</v>
      </c>
      <c r="F390" s="55" cm="1">
        <f t="array" ref="F390">IF(Settings!$E$15="POINTS",E390-VLOOKUP(B$2,C1:E407,3,FALSE),J390)</f>
        <v>-263.16696514386513</v>
      </c>
      <c r="G390" s="55"/>
      <c r="H390" s="167" cm="1">
        <f t="array" ref="H390">RANK(I390,I3:I407)</f>
        <v>388</v>
      </c>
      <c r="I390" s="168" cm="1">
        <f t="array" ref="I390">VLOOKUP(A390,'Standard Deviations'!A1:C672,3,FALSE)</f>
        <v>-6.0882308194091586</v>
      </c>
      <c r="J390" s="168" cm="1">
        <f t="array" ref="J390">I390-VLOOKUP(B$2,H1:J407,2,FALSE)</f>
        <v>-11.578874179332214</v>
      </c>
    </row>
    <row r="391" spans="1:10" ht="21.25" customHeight="1" x14ac:dyDescent="0.15">
      <c r="A391" s="10" t="s">
        <v>783</v>
      </c>
      <c r="B391" s="166" t="str" cm="1">
        <f t="array" ref="B391">VLOOKUP(A391,'The List'!B1:D671,3,FALSE)</f>
        <v>RW</v>
      </c>
      <c r="C391" s="74" cm="1">
        <f t="array" ref="C391">IF(Settings!$E$15="POINTS",RANK(E391,E3:E407),H391)</f>
        <v>389</v>
      </c>
      <c r="D391" s="18" t="str" cm="1">
        <f t="array" ref="D391">VLOOKUP(A391,'The List'!B1:F671,5,FALSE)</f>
        <v>SEA</v>
      </c>
      <c r="E391" s="55" cm="1">
        <f t="array" ref="E391">VLOOKUP(A391,'The List'!B1:I671,8,FALSE)</f>
        <v>87.253923362824779</v>
      </c>
      <c r="F391" s="55" cm="1">
        <f t="array" ref="F391">IF(Settings!$E$15="POINTS",E391-VLOOKUP(B$2,C1:E407,3,FALSE),J391)</f>
        <v>-263.47909403763737</v>
      </c>
      <c r="G391" s="55"/>
      <c r="H391" s="167" cm="1">
        <f t="array" ref="H391">RANK(I391,I3:I407)</f>
        <v>405</v>
      </c>
      <c r="I391" s="168" cm="1">
        <f t="array" ref="I391">VLOOKUP(A391,'Standard Deviations'!A1:C672,3,FALSE)</f>
        <v>-7.4134244957604958</v>
      </c>
      <c r="J391" s="168" cm="1">
        <f t="array" ref="J391">I391-VLOOKUP(B$2,H1:J407,2,FALSE)</f>
        <v>-12.90406785568355</v>
      </c>
    </row>
    <row r="392" spans="1:10" ht="21.25" customHeight="1" x14ac:dyDescent="0.15">
      <c r="A392" s="10" t="s">
        <v>788</v>
      </c>
      <c r="B392" s="166" t="str" cm="1">
        <f t="array" ref="B392">VLOOKUP(A392,'The List'!B1:D671,3,FALSE)</f>
        <v>C,LW</v>
      </c>
      <c r="C392" s="74" cm="1">
        <f t="array" ref="C392">IF(Settings!$E$15="POINTS",RANK(E392,E3:E407),H392)</f>
        <v>390</v>
      </c>
      <c r="D392" s="18" t="str" cm="1">
        <f t="array" ref="D392">VLOOKUP(A392,'The List'!B1:F671,5,FALSE)</f>
        <v>N.J</v>
      </c>
      <c r="E392" s="55" cm="1">
        <f t="array" ref="E392">VLOOKUP(A392,'The List'!B1:I671,8,FALSE)</f>
        <v>86.708405164340178</v>
      </c>
      <c r="F392" s="55" cm="1">
        <f t="array" ref="F392">IF(Settings!$E$15="POINTS",E392-VLOOKUP(B$2,C1:E407,3,FALSE),J392)</f>
        <v>-264.02461223612192</v>
      </c>
      <c r="G392" s="55"/>
      <c r="H392" s="167" cm="1">
        <f t="array" ref="H392">RANK(I392,I3:I407)</f>
        <v>393</v>
      </c>
      <c r="I392" s="168" cm="1">
        <f t="array" ref="I392">VLOOKUP(A392,'Standard Deviations'!A1:C672,3,FALSE)</f>
        <v>-6.3621342832682313</v>
      </c>
      <c r="J392" s="168" cm="1">
        <f t="array" ref="J392">I392-VLOOKUP(B$2,H1:J407,2,FALSE)</f>
        <v>-11.852777643191287</v>
      </c>
    </row>
    <row r="393" spans="1:10" ht="21.25" customHeight="1" x14ac:dyDescent="0.15">
      <c r="A393" s="10" t="s">
        <v>785</v>
      </c>
      <c r="B393" s="166" t="str" cm="1">
        <f t="array" ref="B393">VLOOKUP(A393,'The List'!B1:D671,3,FALSE)</f>
        <v>LW,RW</v>
      </c>
      <c r="C393" s="74" cm="1">
        <f t="array" ref="C393">IF(Settings!$E$15="POINTS",RANK(E393,E3:E407),H393)</f>
        <v>391</v>
      </c>
      <c r="D393" s="18" t="str" cm="1">
        <f t="array" ref="D393">VLOOKUP(A393,'The List'!B1:F671,5,FALSE)</f>
        <v>UTA</v>
      </c>
      <c r="E393" s="55" cm="1">
        <f t="array" ref="E393">VLOOKUP(A393,'The List'!B1:I671,8,FALSE)</f>
        <v>85.185829378744657</v>
      </c>
      <c r="F393" s="55" cm="1">
        <f t="array" ref="F393">IF(Settings!$E$15="POINTS",E393-VLOOKUP(B$2,C1:E407,3,FALSE),J393)</f>
        <v>-265.54718802171749</v>
      </c>
      <c r="G393" s="55"/>
      <c r="H393" s="167" cm="1">
        <f t="array" ref="H393">RANK(I393,I3:I407)</f>
        <v>370</v>
      </c>
      <c r="I393" s="168" cm="1">
        <f t="array" ref="I393">VLOOKUP(A393,'Standard Deviations'!A1:C672,3,FALSE)</f>
        <v>-5.1728953654310335</v>
      </c>
      <c r="J393" s="168" cm="1">
        <f t="array" ref="J393">I393-VLOOKUP(B$2,H1:J407,2,FALSE)</f>
        <v>-10.663538725354089</v>
      </c>
    </row>
    <row r="394" spans="1:10" ht="21.25" customHeight="1" x14ac:dyDescent="0.15">
      <c r="A394" s="10" t="s">
        <v>787</v>
      </c>
      <c r="B394" s="166" t="str" cm="1">
        <f t="array" ref="B394">VLOOKUP(A394,'The List'!B1:D671,3,FALSE)</f>
        <v>RW</v>
      </c>
      <c r="C394" s="74" cm="1">
        <f t="array" ref="C394">IF(Settings!$E$15="POINTS",RANK(E394,E3:E407),H394)</f>
        <v>392</v>
      </c>
      <c r="D394" s="18" t="str" cm="1">
        <f t="array" ref="D394">VLOOKUP(A394,'The List'!B1:F671,5,FALSE)</f>
        <v>FLA</v>
      </c>
      <c r="E394" s="55" cm="1">
        <f t="array" ref="E394">VLOOKUP(A394,'The List'!B1:I671,8,FALSE)</f>
        <v>83.974675370085421</v>
      </c>
      <c r="F394" s="55" cm="1">
        <f t="array" ref="F394">IF(Settings!$E$15="POINTS",E394-VLOOKUP(B$2,C1:E407,3,FALSE),J394)</f>
        <v>-266.7583420303767</v>
      </c>
      <c r="G394" s="55"/>
      <c r="H394" s="167" cm="1">
        <f t="array" ref="H394">RANK(I394,I3:I407)</f>
        <v>289</v>
      </c>
      <c r="I394" s="168" cm="1">
        <f t="array" ref="I394">VLOOKUP(A394,'Standard Deviations'!A1:C672,3,FALSE)</f>
        <v>-3.0106263022803041</v>
      </c>
      <c r="J394" s="168" cm="1">
        <f t="array" ref="J394">I394-VLOOKUP(B$2,H1:J407,2,FALSE)</f>
        <v>-8.5012696622033594</v>
      </c>
    </row>
    <row r="395" spans="1:10" ht="21.25" customHeight="1" x14ac:dyDescent="0.15">
      <c r="A395" s="10" t="s">
        <v>778</v>
      </c>
      <c r="B395" s="166" t="str" cm="1">
        <f t="array" ref="B395">VLOOKUP(A395,'The List'!B1:D671,3,FALSE)</f>
        <v>C</v>
      </c>
      <c r="C395" s="74" cm="1">
        <f t="array" ref="C395">IF(Settings!$E$15="POINTS",RANK(E395,E3:E407),H395)</f>
        <v>393</v>
      </c>
      <c r="D395" s="18" t="str" cm="1">
        <f t="array" ref="D395">VLOOKUP(A395,'The List'!B1:F671,5,FALSE)</f>
        <v>L.A</v>
      </c>
      <c r="E395" s="55" cm="1">
        <f t="array" ref="E395">VLOOKUP(A395,'The List'!B1:I671,8,FALSE)</f>
        <v>83.744436832415374</v>
      </c>
      <c r="F395" s="55" cm="1">
        <f t="array" ref="F395">IF(Settings!$E$15="POINTS",E395-VLOOKUP(B$2,C1:E407,3,FALSE),J395)</f>
        <v>-266.98858056804676</v>
      </c>
      <c r="G395" s="55"/>
      <c r="H395" s="167" cm="1">
        <f t="array" ref="H395">RANK(I395,I3:I407)</f>
        <v>359</v>
      </c>
      <c r="I395" s="168" cm="1">
        <f t="array" ref="I395">VLOOKUP(A395,'Standard Deviations'!A1:C672,3,FALSE)</f>
        <v>-4.914100034797662</v>
      </c>
      <c r="J395" s="168" cm="1">
        <f t="array" ref="J395">I395-VLOOKUP(B$2,H1:J407,2,FALSE)</f>
        <v>-10.404743394720718</v>
      </c>
    </row>
    <row r="396" spans="1:10" ht="21.25" customHeight="1" x14ac:dyDescent="0.15">
      <c r="A396" s="10" t="s">
        <v>789</v>
      </c>
      <c r="B396" s="166" t="str" cm="1">
        <f t="array" ref="B396">VLOOKUP(A396,'The List'!B1:D671,3,FALSE)</f>
        <v>RW</v>
      </c>
      <c r="C396" s="74" cm="1">
        <f t="array" ref="C396">IF(Settings!$E$15="POINTS",RANK(E396,E3:E407),H396)</f>
        <v>394</v>
      </c>
      <c r="D396" s="18" t="str" cm="1">
        <f t="array" ref="D396">VLOOKUP(A396,'The List'!B1:F671,5,FALSE)</f>
        <v>NSH</v>
      </c>
      <c r="E396" s="55" cm="1">
        <f t="array" ref="E396">VLOOKUP(A396,'The List'!B1:I671,8,FALSE)</f>
        <v>82.338452064934572</v>
      </c>
      <c r="F396" s="55" cm="1">
        <f t="array" ref="F396">IF(Settings!$E$15="POINTS",E396-VLOOKUP(B$2,C1:E407,3,FALSE),J396)</f>
        <v>-268.39456533552755</v>
      </c>
      <c r="G396" s="55"/>
      <c r="H396" s="167" cm="1">
        <f t="array" ref="H396">RANK(I396,I3:I407)</f>
        <v>372</v>
      </c>
      <c r="I396" s="168" cm="1">
        <f t="array" ref="I396">VLOOKUP(A396,'Standard Deviations'!A1:C672,3,FALSE)</f>
        <v>-5.3011238474943108</v>
      </c>
      <c r="J396" s="168" cm="1">
        <f t="array" ref="J396">I396-VLOOKUP(B$2,H1:J407,2,FALSE)</f>
        <v>-10.791767207417365</v>
      </c>
    </row>
    <row r="397" spans="1:10" ht="21.25" customHeight="1" x14ac:dyDescent="0.15">
      <c r="A397" s="10" t="s">
        <v>790</v>
      </c>
      <c r="B397" s="166" t="str" cm="1">
        <f t="array" ref="B397">VLOOKUP(A397,'The List'!B1:D671,3,FALSE)</f>
        <v>LW,RW</v>
      </c>
      <c r="C397" s="74" cm="1">
        <f t="array" ref="C397">IF(Settings!$E$15="POINTS",RANK(E397,E3:E407),H397)</f>
        <v>395</v>
      </c>
      <c r="D397" s="18" t="str" cm="1">
        <f t="array" ref="D397">VLOOKUP(A397,'The List'!B1:F671,5,FALSE)</f>
        <v>CHI</v>
      </c>
      <c r="E397" s="55" cm="1">
        <f t="array" ref="E397">VLOOKUP(A397,'The List'!B1:I671,8,FALSE)</f>
        <v>80.670423351284825</v>
      </c>
      <c r="F397" s="55" cm="1">
        <f t="array" ref="F397">IF(Settings!$E$15="POINTS",E397-VLOOKUP(B$2,C1:E407,3,FALSE),J397)</f>
        <v>-270.06259404917728</v>
      </c>
      <c r="G397" s="55"/>
      <c r="H397" s="167" cm="1">
        <f t="array" ref="H397">RANK(I397,I3:I407)</f>
        <v>404</v>
      </c>
      <c r="I397" s="168" cm="1">
        <f t="array" ref="I397">VLOOKUP(A397,'Standard Deviations'!A1:C672,3,FALSE)</f>
        <v>-7.346393281881471</v>
      </c>
      <c r="J397" s="168" cm="1">
        <f t="array" ref="J397">I397-VLOOKUP(B$2,H1:J407,2,FALSE)</f>
        <v>-12.837036641804527</v>
      </c>
    </row>
    <row r="398" spans="1:10" ht="21.25" customHeight="1" x14ac:dyDescent="0.15">
      <c r="A398" s="10" t="s">
        <v>781</v>
      </c>
      <c r="B398" s="166" t="str" cm="1">
        <f t="array" ref="B398">VLOOKUP(A398,'The List'!B1:D671,3,FALSE)</f>
        <v>C</v>
      </c>
      <c r="C398" s="74" cm="1">
        <f t="array" ref="C398">IF(Settings!$E$15="POINTS",RANK(E398,E3:E407),H398)</f>
        <v>396</v>
      </c>
      <c r="D398" s="18" t="str" cm="1">
        <f t="array" ref="D398">VLOOKUP(A398,'The List'!B1:F671,5,FALSE)</f>
        <v>ANA</v>
      </c>
      <c r="E398" s="55" cm="1">
        <f t="array" ref="E398">VLOOKUP(A398,'The List'!B1:I671,8,FALSE)</f>
        <v>79.80592219586751</v>
      </c>
      <c r="F398" s="55" cm="1">
        <f t="array" ref="F398">IF(Settings!$E$15="POINTS",E398-VLOOKUP(B$2,C1:E407,3,FALSE),J398)</f>
        <v>-270.92709520459459</v>
      </c>
      <c r="G398" s="55"/>
      <c r="H398" s="167" cm="1">
        <f t="array" ref="H398">RANK(I398,I3:I407)</f>
        <v>395</v>
      </c>
      <c r="I398" s="168" cm="1">
        <f t="array" ref="I398">VLOOKUP(A398,'Standard Deviations'!A1:C672,3,FALSE)</f>
        <v>-6.4865530031904211</v>
      </c>
      <c r="J398" s="168" cm="1">
        <f t="array" ref="J398">I398-VLOOKUP(B$2,H1:J407,2,FALSE)</f>
        <v>-11.977196363113476</v>
      </c>
    </row>
    <row r="399" spans="1:10" ht="21.25" customHeight="1" x14ac:dyDescent="0.15">
      <c r="A399" s="10" t="s">
        <v>792</v>
      </c>
      <c r="B399" s="166" t="str" cm="1">
        <f t="array" ref="B399">VLOOKUP(A399,'The List'!B1:D671,3,FALSE)</f>
        <v>RW</v>
      </c>
      <c r="C399" s="74" cm="1">
        <f t="array" ref="C399">IF(Settings!$E$15="POINTS",RANK(E399,E3:E407),H399)</f>
        <v>397</v>
      </c>
      <c r="D399" s="18" t="str" cm="1">
        <f t="array" ref="D399">VLOOKUP(A399,'The List'!B1:F671,5,FALSE)</f>
        <v>NYR</v>
      </c>
      <c r="E399" s="55" cm="1">
        <f t="array" ref="E399">VLOOKUP(A399,'The List'!B1:I671,8,FALSE)</f>
        <v>76.063616497896092</v>
      </c>
      <c r="F399" s="55" cm="1">
        <f t="array" ref="F399">IF(Settings!$E$15="POINTS",E399-VLOOKUP(B$2,C1:E407,3,FALSE),J399)</f>
        <v>-274.66940090256605</v>
      </c>
      <c r="G399" s="55"/>
      <c r="H399" s="167" cm="1">
        <f t="array" ref="H399">RANK(I399,I3:I407)</f>
        <v>389</v>
      </c>
      <c r="I399" s="168" cm="1">
        <f t="array" ref="I399">VLOOKUP(A399,'Standard Deviations'!A1:C672,3,FALSE)</f>
        <v>-6.2455391651740584</v>
      </c>
      <c r="J399" s="168" cm="1">
        <f t="array" ref="J399">I399-VLOOKUP(B$2,H1:J407,2,FALSE)</f>
        <v>-11.736182525097114</v>
      </c>
    </row>
    <row r="400" spans="1:10" ht="21.25" customHeight="1" x14ac:dyDescent="0.15">
      <c r="A400" s="10" t="s">
        <v>793</v>
      </c>
      <c r="B400" s="166" t="str" cm="1">
        <f t="array" ref="B400">VLOOKUP(A400,'The List'!B1:D671,3,FALSE)</f>
        <v>RW</v>
      </c>
      <c r="C400" s="74" cm="1">
        <f t="array" ref="C400">IF(Settings!$E$15="POINTS",RANK(E400,E3:E407),H400)</f>
        <v>398</v>
      </c>
      <c r="D400" s="18" t="str" cm="1">
        <f t="array" ref="D400">VLOOKUP(A400,'The List'!B1:F671,5,FALSE)</f>
        <v>VGK</v>
      </c>
      <c r="E400" s="55" cm="1">
        <f t="array" ref="E400">VLOOKUP(A400,'The List'!B1:I671,8,FALSE)</f>
        <v>74.7099564277909</v>
      </c>
      <c r="F400" s="55" cm="1">
        <f t="array" ref="F400">IF(Settings!$E$15="POINTS",E400-VLOOKUP(B$2,C1:E407,3,FALSE),J400)</f>
        <v>-276.02306097267126</v>
      </c>
      <c r="G400" s="55"/>
      <c r="H400" s="167" cm="1">
        <f t="array" ref="H400">RANK(I400,I3:I407)</f>
        <v>392</v>
      </c>
      <c r="I400" s="168" cm="1">
        <f t="array" ref="I400">VLOOKUP(A400,'Standard Deviations'!A1:C672,3,FALSE)</f>
        <v>-6.3350738463253347</v>
      </c>
      <c r="J400" s="168" cm="1">
        <f t="array" ref="J400">I400-VLOOKUP(B$2,H1:J407,2,FALSE)</f>
        <v>-11.82571720624839</v>
      </c>
    </row>
    <row r="401" spans="1:10" ht="21.25" customHeight="1" x14ac:dyDescent="0.15">
      <c r="A401" s="10" t="s">
        <v>791</v>
      </c>
      <c r="B401" s="166" t="str" cm="1">
        <f t="array" ref="B401">VLOOKUP(A401,'The List'!B1:D671,3,FALSE)</f>
        <v>C</v>
      </c>
      <c r="C401" s="74" cm="1">
        <f t="array" ref="C401">IF(Settings!$E$15="POINTS",RANK(E401,E3:E407),H401)</f>
        <v>399</v>
      </c>
      <c r="D401" s="18" t="str" cm="1">
        <f t="array" ref="D401">VLOOKUP(A401,'The List'!B1:F671,5,FALSE)</f>
        <v>S.J</v>
      </c>
      <c r="E401" s="55" cm="1">
        <f t="array" ref="E401">VLOOKUP(A401,'The List'!B1:I671,8,FALSE)</f>
        <v>70.754125302176561</v>
      </c>
      <c r="F401" s="55" cm="1">
        <f t="array" ref="F401">IF(Settings!$E$15="POINTS",E401-VLOOKUP(B$2,C1:E407,3,FALSE),J401)</f>
        <v>-279.97889209828554</v>
      </c>
      <c r="G401" s="55"/>
      <c r="H401" s="167" cm="1">
        <f t="array" ref="H401">RANK(I401,I3:I407)</f>
        <v>381</v>
      </c>
      <c r="I401" s="168" cm="1">
        <f t="array" ref="I401">VLOOKUP(A401,'Standard Deviations'!A1:C672,3,FALSE)</f>
        <v>-5.786886166395286</v>
      </c>
      <c r="J401" s="168" cm="1">
        <f t="array" ref="J401">I401-VLOOKUP(B$2,H1:J407,2,FALSE)</f>
        <v>-11.277529526318341</v>
      </c>
    </row>
    <row r="402" spans="1:10" ht="21.25" customHeight="1" x14ac:dyDescent="0.15">
      <c r="A402" s="10" t="s">
        <v>795</v>
      </c>
      <c r="B402" s="166" t="str" cm="1">
        <f t="array" ref="B402">VLOOKUP(A402,'The List'!B1:D671,3,FALSE)</f>
        <v>LW</v>
      </c>
      <c r="C402" s="74" cm="1">
        <f t="array" ref="C402">IF(Settings!$E$15="POINTS",RANK(E402,E3:E407),H402)</f>
        <v>400</v>
      </c>
      <c r="D402" s="18" t="str" cm="1">
        <f t="array" ref="D402">VLOOKUP(A402,'The List'!B1:F671,5,FALSE)</f>
        <v>ANA</v>
      </c>
      <c r="E402" s="55" cm="1">
        <f t="array" ref="E402">VLOOKUP(A402,'The List'!B1:I671,8,FALSE)</f>
        <v>70.349288994353799</v>
      </c>
      <c r="F402" s="55" cm="1">
        <f t="array" ref="F402">IF(Settings!$E$15="POINTS",E402-VLOOKUP(B$2,C1:E407,3,FALSE),J402)</f>
        <v>-280.38372840610833</v>
      </c>
      <c r="G402" s="55"/>
      <c r="H402" s="167" cm="1">
        <f t="array" ref="H402">RANK(I402,I3:I407)</f>
        <v>391</v>
      </c>
      <c r="I402" s="168" cm="1">
        <f t="array" ref="I402">VLOOKUP(A402,'Standard Deviations'!A1:C672,3,FALSE)</f>
        <v>-6.3083776623074099</v>
      </c>
      <c r="J402" s="168" cm="1">
        <f t="array" ref="J402">I402-VLOOKUP(B$2,H1:J407,2,FALSE)</f>
        <v>-11.799021022230466</v>
      </c>
    </row>
    <row r="403" spans="1:10" ht="21.25" customHeight="1" x14ac:dyDescent="0.15">
      <c r="A403" s="10" t="s">
        <v>794</v>
      </c>
      <c r="B403" s="166" t="str" cm="1">
        <f t="array" ref="B403">VLOOKUP(A403,'The List'!B1:D671,3,FALSE)</f>
        <v>C</v>
      </c>
      <c r="C403" s="74" cm="1">
        <f t="array" ref="C403">IF(Settings!$E$15="POINTS",RANK(E403,E3:E407),H403)</f>
        <v>401</v>
      </c>
      <c r="D403" s="18" t="str" cm="1">
        <f t="array" ref="D403">VLOOKUP(A403,'The List'!B1:F671,5,FALSE)</f>
        <v>TOR</v>
      </c>
      <c r="E403" s="55" cm="1">
        <f t="array" ref="E403">VLOOKUP(A403,'The List'!B1:I671,8,FALSE)</f>
        <v>65.68080267404325</v>
      </c>
      <c r="F403" s="55" cm="1">
        <f t="array" ref="F403">IF(Settings!$E$15="POINTS",E403-VLOOKUP(B$2,C1:E407,3,FALSE),J403)</f>
        <v>-285.05221472641887</v>
      </c>
      <c r="G403" s="55"/>
      <c r="H403" s="167" cm="1">
        <f t="array" ref="H403">RANK(I403,I3:I407)</f>
        <v>402</v>
      </c>
      <c r="I403" s="168" cm="1">
        <f t="array" ref="I403">VLOOKUP(A403,'Standard Deviations'!A1:C672,3,FALSE)</f>
        <v>-6.9253664683841105</v>
      </c>
      <c r="J403" s="168" cm="1">
        <f t="array" ref="J403">I403-VLOOKUP(B$2,H1:J407,2,FALSE)</f>
        <v>-12.416009828307166</v>
      </c>
    </row>
    <row r="404" spans="1:10" ht="21.25" customHeight="1" x14ac:dyDescent="0.15">
      <c r="A404" s="10" t="s">
        <v>797</v>
      </c>
      <c r="B404" s="166" t="str" cm="1">
        <f t="array" ref="B404">VLOOKUP(A404,'The List'!B1:D671,3,FALSE)</f>
        <v>LW,RW</v>
      </c>
      <c r="C404" s="74" cm="1">
        <f t="array" ref="C404">IF(Settings!$E$15="POINTS",RANK(E404,E3:E407),H404)</f>
        <v>402</v>
      </c>
      <c r="D404" s="18" t="str" cm="1">
        <f t="array" ref="D404">VLOOKUP(A404,'The List'!B1:F671,5,FALSE)</f>
        <v>UTA</v>
      </c>
      <c r="E404" s="55" cm="1">
        <f t="array" ref="E404">VLOOKUP(A404,'The List'!B1:I671,8,FALSE)</f>
        <v>64.967174164465661</v>
      </c>
      <c r="F404" s="55" cm="1">
        <f t="array" ref="F404">IF(Settings!$E$15="POINTS",E404-VLOOKUP(B$2,C1:E407,3,FALSE),J404)</f>
        <v>-285.7658432359965</v>
      </c>
      <c r="G404" s="55"/>
      <c r="H404" s="167" cm="1">
        <f t="array" ref="H404">RANK(I404,I3:I407)</f>
        <v>345</v>
      </c>
      <c r="I404" s="168" cm="1">
        <f t="array" ref="I404">VLOOKUP(A404,'Standard Deviations'!A1:C672,3,FALSE)</f>
        <v>-4.4093214236581346</v>
      </c>
      <c r="J404" s="168" cm="1">
        <f t="array" ref="J404">I404-VLOOKUP(B$2,H1:J407,2,FALSE)</f>
        <v>-9.8999647835811899</v>
      </c>
    </row>
    <row r="405" spans="1:10" ht="21.25" customHeight="1" x14ac:dyDescent="0.15">
      <c r="A405" s="10" t="s">
        <v>799</v>
      </c>
      <c r="B405" s="166" t="str" cm="1">
        <f t="array" ref="B405">VLOOKUP(A405,'The List'!B1:D671,3,FALSE)</f>
        <v>LW</v>
      </c>
      <c r="C405" s="74" cm="1">
        <f t="array" ref="C405">IF(Settings!$E$15="POINTS",RANK(E405,E3:E407),H405)</f>
        <v>403</v>
      </c>
      <c r="D405" s="18" t="str" cm="1">
        <f t="array" ref="D405">VLOOKUP(A405,'The List'!B1:F671,5,FALSE)</f>
        <v>FLA</v>
      </c>
      <c r="E405" s="55" cm="1">
        <f t="array" ref="E405">VLOOKUP(A405,'The List'!B1:I671,8,FALSE)</f>
        <v>59.817020213380985</v>
      </c>
      <c r="F405" s="55" cm="1">
        <f t="array" ref="F405">IF(Settings!$E$15="POINTS",E405-VLOOKUP(B$2,C1:E407,3,FALSE),J405)</f>
        <v>-290.91599718708113</v>
      </c>
      <c r="G405" s="55"/>
      <c r="H405" s="167" cm="1">
        <f t="array" ref="H405">RANK(I405,I3:I407)</f>
        <v>203</v>
      </c>
      <c r="I405" s="168" cm="1">
        <f t="array" ref="I405">VLOOKUP(A405,'Standard Deviations'!A1:C672,3,FALSE)</f>
        <v>-1.0879507713346586</v>
      </c>
      <c r="J405" s="168" cm="1">
        <f t="array" ref="J405">I405-VLOOKUP(B$2,H1:J407,2,FALSE)</f>
        <v>-6.5785941312577139</v>
      </c>
    </row>
    <row r="406" spans="1:10" ht="21.25" customHeight="1" x14ac:dyDescent="0.15">
      <c r="A406" s="10" t="s">
        <v>798</v>
      </c>
      <c r="B406" s="166" t="str" cm="1">
        <f t="array" ref="B406">VLOOKUP(A406,'The List'!B1:D671,3,FALSE)</f>
        <v>RW</v>
      </c>
      <c r="C406" s="74" cm="1">
        <f t="array" ref="C406">IF(Settings!$E$15="POINTS",RANK(E406,E3:E407),H406)</f>
        <v>404</v>
      </c>
      <c r="D406" s="18" t="str" cm="1">
        <f t="array" ref="D406">VLOOKUP(A406,'The List'!B1:F671,5,FALSE)</f>
        <v>NYR</v>
      </c>
      <c r="E406" s="55" cm="1">
        <f t="array" ref="E406">VLOOKUP(A406,'The List'!B1:I671,8,FALSE)</f>
        <v>58.45782072385839</v>
      </c>
      <c r="F406" s="55" cm="1">
        <f t="array" ref="F406">IF(Settings!$E$15="POINTS",E406-VLOOKUP(B$2,C1:E407,3,FALSE),J406)</f>
        <v>-292.27519667660374</v>
      </c>
      <c r="G406" s="55"/>
      <c r="H406" s="167" cm="1">
        <f t="array" ref="H406">RANK(I406,I3:I407)</f>
        <v>371</v>
      </c>
      <c r="I406" s="168" cm="1">
        <f t="array" ref="I406">VLOOKUP(A406,'Standard Deviations'!A1:C672,3,FALSE)</f>
        <v>-5.2225553884329639</v>
      </c>
      <c r="J406" s="168" cm="1">
        <f t="array" ref="J406">I406-VLOOKUP(B$2,H1:J407,2,FALSE)</f>
        <v>-10.713198748356019</v>
      </c>
    </row>
    <row r="407" spans="1:10" ht="21.25" customHeight="1" x14ac:dyDescent="0.15">
      <c r="A407" s="10" t="s">
        <v>796</v>
      </c>
      <c r="B407" s="166" t="str" cm="1">
        <f t="array" ref="B407">VLOOKUP(A407,'The List'!B1:D671,3,FALSE)</f>
        <v>C</v>
      </c>
      <c r="C407" s="74" cm="1">
        <f t="array" ref="C407">IF(Settings!$E$15="POINTS",RANK(E407,E3:E407),H407)</f>
        <v>405</v>
      </c>
      <c r="D407" s="18" t="str" cm="1">
        <f t="array" ref="D407">VLOOKUP(A407,'The List'!B1:F671,5,FALSE)</f>
        <v>MIN</v>
      </c>
      <c r="E407" s="55" cm="1">
        <f t="array" ref="E407">VLOOKUP(A407,'The List'!B1:I671,8,FALSE)</f>
        <v>57.221304778195545</v>
      </c>
      <c r="F407" s="55" cm="1">
        <f t="array" ref="F407">IF(Settings!$E$15="POINTS",E407-VLOOKUP(B$2,C1:E407,3,FALSE),J407)</f>
        <v>-293.5117126222666</v>
      </c>
      <c r="G407" s="55"/>
      <c r="H407" s="167" cm="1">
        <f t="array" ref="H407">RANK(I407,I3:I407)</f>
        <v>397</v>
      </c>
      <c r="I407" s="168" cm="1">
        <f t="array" ref="I407">VLOOKUP(A407,'Standard Deviations'!A1:C672,3,FALSE)</f>
        <v>-6.7714902947898024</v>
      </c>
      <c r="J407" s="168" cm="1">
        <f t="array" ref="J407">I407-VLOOKUP(B$2,H1:J407,2,FALSE)</f>
        <v>-12.262133654712859</v>
      </c>
    </row>
  </sheetData>
  <conditionalFormatting sqref="C3:C407 H3:H407">
    <cfRule type="containsText" dxfId="35" priority="1" stopIfTrue="1" operator="containsText" text="/">
      <formula>NOT(ISERROR(FIND(UPPER("/"),UPPER(C3))))</formula>
      <formula>"/"</formula>
    </cfRule>
    <cfRule type="containsText" dxfId="34" priority="2" stopIfTrue="1" operator="containsText" text="C">
      <formula>NOT(ISERROR(FIND(UPPER("C"),UPPER(C3))))</formula>
      <formula>"C"</formula>
    </cfRule>
    <cfRule type="containsText" dxfId="33" priority="3" stopIfTrue="1" operator="containsText" text="D">
      <formula>NOT(ISERROR(FIND(UPPER("D"),UPPER(C3))))</formula>
      <formula>"D"</formula>
    </cfRule>
    <cfRule type="containsText" dxfId="32" priority="4" stopIfTrue="1" operator="containsText" text="LW">
      <formula>NOT(ISERROR(FIND(UPPER("LW"),UPPER(C3))))</formula>
      <formula>"LW"</formula>
    </cfRule>
    <cfRule type="containsText" dxfId="31" priority="5" stopIfTrue="1" operator="containsText" text="RW">
      <formula>NOT(ISERROR(FIND(UPPER("RW"),UPPER(C3))))</formula>
      <formula>"RW"</formula>
    </cfRule>
    <cfRule type="containsText" dxfId="30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10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824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Settings!F2</f>
        <v>21</v>
      </c>
      <c r="C2" s="161"/>
      <c r="D2" s="162"/>
      <c r="E2" s="163"/>
      <c r="F2" s="163"/>
      <c r="G2" s="163"/>
      <c r="H2" s="169"/>
      <c r="I2" s="165"/>
      <c r="J2" s="170"/>
    </row>
    <row r="3" spans="1:10" ht="21.25" customHeight="1" x14ac:dyDescent="0.15">
      <c r="A3" s="10" t="s">
        <v>127</v>
      </c>
      <c r="B3" s="88" t="str" cm="1">
        <f t="array" ref="B3">VLOOKUP(A3,'The List'!B1:D671,3,FALSE)</f>
        <v>C</v>
      </c>
      <c r="C3" s="89" cm="1">
        <f t="array" ref="C3">IF(Settings!$E$15="POINTS",RANK(E3,E3:E210),H3)</f>
        <v>1</v>
      </c>
      <c r="D3" s="18" t="str" cm="1">
        <f t="array" ref="D3">VLOOKUP(A3,'The List'!B1:F671,5,FALSE)</f>
        <v>COL</v>
      </c>
      <c r="E3" s="55" cm="1">
        <f t="array" ref="E3">VLOOKUP(A3,'The List'!B1:I671,8,FALSE)</f>
        <v>603.01791929249828</v>
      </c>
      <c r="F3" s="55" cm="1">
        <f t="array" ref="F3">IF(Settings!$E$15="POINTS",E3-VLOOKUP(B$2,C1:E210,3,FALSE),J3)</f>
        <v>216.48271289941528</v>
      </c>
      <c r="G3" s="55"/>
      <c r="H3" s="171" cm="1">
        <f t="array" ref="H3">RANK(I3,I3:I210)</f>
        <v>1</v>
      </c>
      <c r="I3" s="168" cm="1">
        <f t="array" ref="I3">VLOOKUP(A3,'Standard Deviations'!A1:C672,3,FALSE)</f>
        <v>16.110259440066848</v>
      </c>
      <c r="J3" s="172" cm="1">
        <f t="array" ref="J3">I3-VLOOKUP(B$2,H1:J210,2,FALSE)</f>
        <v>9.7287850371139051</v>
      </c>
    </row>
    <row r="4" spans="1:10" ht="21.25" customHeight="1" x14ac:dyDescent="0.15">
      <c r="A4" s="10" t="s">
        <v>129</v>
      </c>
      <c r="B4" s="88" t="str" cm="1">
        <f t="array" ref="B4">VLOOKUP(A4,'The List'!B1:D671,3,FALSE)</f>
        <v>C</v>
      </c>
      <c r="C4" s="89" cm="1">
        <f t="array" ref="C4">IF(Settings!$E$15="POINTS",RANK(E4,E3:E210),H4)</f>
        <v>2</v>
      </c>
      <c r="D4" s="18" t="str" cm="1">
        <f t="array" ref="D4">VLOOKUP(A4,'The List'!B1:F671,5,FALSE)</f>
        <v>EDM</v>
      </c>
      <c r="E4" s="55" cm="1">
        <f t="array" ref="E4">VLOOKUP(A4,'The List'!B1:I671,8,FALSE)</f>
        <v>599.21773180247033</v>
      </c>
      <c r="F4" s="55" cm="1">
        <f t="array" ref="F4">IF(Settings!$E$15="POINTS",E4-VLOOKUP(B$2,C1:E210,3,FALSE),J4)</f>
        <v>212.68252540938732</v>
      </c>
      <c r="G4" s="55"/>
      <c r="H4" s="167" cm="1">
        <f t="array" ref="H4">RANK(I4,I3:I210)</f>
        <v>2</v>
      </c>
      <c r="I4" s="168" cm="1">
        <f t="array" ref="I4">VLOOKUP(A4,'Standard Deviations'!A1:C672,3,FALSE)</f>
        <v>16.015530676966371</v>
      </c>
      <c r="J4" s="168" cm="1">
        <f t="array" ref="J4">I4-VLOOKUP(B$2,H1:J210,2,FALSE)</f>
        <v>9.6340562740134281</v>
      </c>
    </row>
    <row r="5" spans="1:10" ht="21.25" customHeight="1" x14ac:dyDescent="0.15">
      <c r="A5" s="10" t="s">
        <v>134</v>
      </c>
      <c r="B5" s="88" t="str" cm="1">
        <f t="array" ref="B5">VLOOKUP(A5,'The List'!B1:D671,3,FALSE)</f>
        <v>C</v>
      </c>
      <c r="C5" s="89" cm="1">
        <f t="array" ref="C5">IF(Settings!$E$15="POINTS",RANK(E5,E3:E210),H5)</f>
        <v>3</v>
      </c>
      <c r="D5" s="18" t="str" cm="1">
        <f t="array" ref="D5">VLOOKUP(A5,'The List'!B1:F671,5,FALSE)</f>
        <v>S.J</v>
      </c>
      <c r="E5" s="55" cm="1">
        <f t="array" ref="E5">VLOOKUP(A5,'The List'!B1:I671,8,FALSE)</f>
        <v>545.68359017702312</v>
      </c>
      <c r="F5" s="55" cm="1">
        <f t="array" ref="F5">IF(Settings!$E$15="POINTS",E5-VLOOKUP(B$2,C1:E210,3,FALSE),J5)</f>
        <v>159.14838378394012</v>
      </c>
      <c r="G5" s="55"/>
      <c r="H5" s="167" cm="1">
        <f t="array" ref="H5">RANK(I5,I3:I210)</f>
        <v>4</v>
      </c>
      <c r="I5" s="168" cm="1">
        <f t="array" ref="I5">VLOOKUP(A5,'Standard Deviations'!A1:C672,3,FALSE)</f>
        <v>11.799275814543098</v>
      </c>
      <c r="J5" s="168" cm="1">
        <f t="array" ref="J5">I5-VLOOKUP(B$2,H1:J210,2,FALSE)</f>
        <v>5.4178014115901538</v>
      </c>
    </row>
    <row r="6" spans="1:10" ht="21.25" customHeight="1" x14ac:dyDescent="0.15">
      <c r="A6" s="10" t="s">
        <v>138</v>
      </c>
      <c r="B6" s="88" t="str" cm="1">
        <f t="array" ref="B6">VLOOKUP(A6,'The List'!B1:D671,3,FALSE)</f>
        <v>C,LW</v>
      </c>
      <c r="C6" s="89" cm="1">
        <f t="array" ref="C6">IF(Settings!$E$15="POINTS",RANK(E6,E3:E210),H6)</f>
        <v>4</v>
      </c>
      <c r="D6" s="18" t="str" cm="1">
        <f t="array" ref="D6">VLOOKUP(A6,'The List'!B1:F671,5,FALSE)</f>
        <v>EDM</v>
      </c>
      <c r="E6" s="55" cm="1">
        <f t="array" ref="E6">VLOOKUP(A6,'The List'!B1:I671,8,FALSE)</f>
        <v>509.65722947201846</v>
      </c>
      <c r="F6" s="55" cm="1">
        <f t="array" ref="F6">IF(Settings!$E$15="POINTS",E6-VLOOKUP(B$2,C1:E210,3,FALSE),J6)</f>
        <v>123.12202307893546</v>
      </c>
      <c r="G6" s="55"/>
      <c r="H6" s="167" cm="1">
        <f t="array" ref="H6">RANK(I6,I3:I210)</f>
        <v>3</v>
      </c>
      <c r="I6" s="168" cm="1">
        <f t="array" ref="I6">VLOOKUP(A6,'Standard Deviations'!A1:C672,3,FALSE)</f>
        <v>13.230736262853329</v>
      </c>
      <c r="J6" s="168" cm="1">
        <f t="array" ref="J6">I6-VLOOKUP(B$2,H1:J210,2,FALSE)</f>
        <v>6.8492618599003849</v>
      </c>
    </row>
    <row r="7" spans="1:10" ht="21.25" customHeight="1" x14ac:dyDescent="0.15">
      <c r="A7" s="10" t="s">
        <v>142</v>
      </c>
      <c r="B7" s="88" t="str" cm="1">
        <f t="array" ref="B7">VLOOKUP(A7,'The List'!B1:D671,3,FALSE)</f>
        <v>C,LW</v>
      </c>
      <c r="C7" s="89" cm="1">
        <f t="array" ref="C7">IF(Settings!$E$15="POINTS",RANK(E7,E3:E210),H7)</f>
        <v>5</v>
      </c>
      <c r="D7" s="18" t="str" cm="1">
        <f t="array" ref="D7">VLOOKUP(A7,'The List'!B1:F671,5,FALSE)</f>
        <v>N.J</v>
      </c>
      <c r="E7" s="55" cm="1">
        <f t="array" ref="E7">VLOOKUP(A7,'The List'!B1:I671,8,FALSE)</f>
        <v>499.85379527947913</v>
      </c>
      <c r="F7" s="55" cm="1">
        <f t="array" ref="F7">IF(Settings!$E$15="POINTS",E7-VLOOKUP(B$2,C1:E210,3,FALSE),J7)</f>
        <v>113.31858888639613</v>
      </c>
      <c r="G7" s="55"/>
      <c r="H7" s="167" cm="1">
        <f t="array" ref="H7">RANK(I7,I3:I210)</f>
        <v>8</v>
      </c>
      <c r="I7" s="168" cm="1">
        <f t="array" ref="I7">VLOOKUP(A7,'Standard Deviations'!A1:C672,3,FALSE)</f>
        <v>9.5002375978834799</v>
      </c>
      <c r="J7" s="168" cm="1">
        <f t="array" ref="J7">I7-VLOOKUP(B$2,H1:J210,2,FALSE)</f>
        <v>3.1187631949305361</v>
      </c>
    </row>
    <row r="8" spans="1:10" ht="21.25" customHeight="1" x14ac:dyDescent="0.15">
      <c r="A8" s="10" t="s">
        <v>139</v>
      </c>
      <c r="B8" s="88" t="str" cm="1">
        <f t="array" ref="B8">VLOOKUP(A8,'The List'!B1:D671,3,FALSE)</f>
        <v>C</v>
      </c>
      <c r="C8" s="89" cm="1">
        <f t="array" ref="C8">IF(Settings!$E$15="POINTS",RANK(E8,E3:E210),H8)</f>
        <v>6</v>
      </c>
      <c r="D8" s="18" t="str" cm="1">
        <f t="array" ref="D8">VLOOKUP(A8,'The List'!B1:F671,5,FALSE)</f>
        <v>VGK</v>
      </c>
      <c r="E8" s="55" cm="1">
        <f t="array" ref="E8">VLOOKUP(A8,'The List'!B1:I671,8,FALSE)</f>
        <v>496.57307154782234</v>
      </c>
      <c r="F8" s="55" cm="1">
        <f t="array" ref="F8">IF(Settings!$E$15="POINTS",E8-VLOOKUP(B$2,C1:E210,3,FALSE),J8)</f>
        <v>110.03786515473934</v>
      </c>
      <c r="G8" s="55"/>
      <c r="H8" s="167" cm="1">
        <f t="array" ref="H8">RANK(I8,I3:I210)</f>
        <v>5</v>
      </c>
      <c r="I8" s="168" cm="1">
        <f t="array" ref="I8">VLOOKUP(A8,'Standard Deviations'!A1:C672,3,FALSE)</f>
        <v>10.660204513073603</v>
      </c>
      <c r="J8" s="168" cm="1">
        <f t="array" ref="J8">I8-VLOOKUP(B$2,H1:J210,2,FALSE)</f>
        <v>4.2787301101206596</v>
      </c>
    </row>
    <row r="9" spans="1:10" ht="21.25" customHeight="1" x14ac:dyDescent="0.15">
      <c r="A9" s="10" t="s">
        <v>140</v>
      </c>
      <c r="B9" s="88" t="str" cm="1">
        <f t="array" ref="B9">VLOOKUP(A9,'The List'!B1:D671,3,FALSE)</f>
        <v>C</v>
      </c>
      <c r="C9" s="89" cm="1">
        <f t="array" ref="C9">IF(Settings!$E$15="POINTS",RANK(E9,E3:E210),H9)</f>
        <v>7</v>
      </c>
      <c r="D9" s="18" t="str" cm="1">
        <f t="array" ref="D9">VLOOKUP(A9,'The List'!B1:F671,5,FALSE)</f>
        <v>TOR</v>
      </c>
      <c r="E9" s="55" cm="1">
        <f t="array" ref="E9">VLOOKUP(A9,'The List'!B1:I671,8,FALSE)</f>
        <v>495.64227558991104</v>
      </c>
      <c r="F9" s="55" cm="1">
        <f t="array" ref="F9">IF(Settings!$E$15="POINTS",E9-VLOOKUP(B$2,C1:E210,3,FALSE),J9)</f>
        <v>109.10706919682804</v>
      </c>
      <c r="G9" s="55"/>
      <c r="H9" s="167" cm="1">
        <f t="array" ref="H9">RANK(I9,I3:I210)</f>
        <v>6</v>
      </c>
      <c r="I9" s="168" cm="1">
        <f t="array" ref="I9">VLOOKUP(A9,'Standard Deviations'!A1:C672,3,FALSE)</f>
        <v>10.262851916762823</v>
      </c>
      <c r="J9" s="168" cm="1">
        <f t="array" ref="J9">I9-VLOOKUP(B$2,H1:J210,2,FALSE)</f>
        <v>3.8813775138098796</v>
      </c>
    </row>
    <row r="10" spans="1:10" ht="21.25" customHeight="1" x14ac:dyDescent="0.15">
      <c r="A10" s="10" t="s">
        <v>149</v>
      </c>
      <c r="B10" s="88" t="str" cm="1">
        <f t="array" ref="B10">VLOOKUP(A10,'The List'!B1:D671,3,FALSE)</f>
        <v>C</v>
      </c>
      <c r="C10" s="89" cm="1">
        <f t="array" ref="C10">IF(Settings!$E$15="POINTS",RANK(E10,E3:E210),H10)</f>
        <v>8</v>
      </c>
      <c r="D10" s="18" t="str" cm="1">
        <f t="array" ref="D10">VLOOKUP(A10,'The List'!B1:F671,5,FALSE)</f>
        <v>MTL</v>
      </c>
      <c r="E10" s="55" cm="1">
        <f t="array" ref="E10">VLOOKUP(A10,'The List'!B1:I671,8,FALSE)</f>
        <v>448.75186605027466</v>
      </c>
      <c r="F10" s="55" cm="1">
        <f t="array" ref="F10">IF(Settings!$E$15="POINTS",E10-VLOOKUP(B$2,C1:E210,3,FALSE),J10)</f>
        <v>62.216659657191656</v>
      </c>
      <c r="G10" s="55"/>
      <c r="H10" s="167" cm="1">
        <f t="array" ref="H10">RANK(I10,I3:I210)</f>
        <v>10</v>
      </c>
      <c r="I10" s="168" cm="1">
        <f t="array" ref="I10">VLOOKUP(A10,'Standard Deviations'!A1:C672,3,FALSE)</f>
        <v>9.2557016278736306</v>
      </c>
      <c r="J10" s="168" cm="1">
        <f t="array" ref="J10">I10-VLOOKUP(B$2,H1:J210,2,FALSE)</f>
        <v>2.8742272249206868</v>
      </c>
    </row>
    <row r="11" spans="1:10" ht="21.25" customHeight="1" x14ac:dyDescent="0.15">
      <c r="A11" s="10" t="s">
        <v>156</v>
      </c>
      <c r="B11" s="88" t="str" cm="1">
        <f t="array" ref="B11">VLOOKUP(A11,'The List'!B1:D671,3,FALSE)</f>
        <v>C,RW</v>
      </c>
      <c r="C11" s="89" cm="1">
        <f t="array" ref="C11">IF(Settings!$E$15="POINTS",RANK(E11,E3:E210),H11)</f>
        <v>9</v>
      </c>
      <c r="D11" s="18" t="str" cm="1">
        <f t="array" ref="D11">VLOOKUP(A11,'The List'!B1:F671,5,FALSE)</f>
        <v>DAL</v>
      </c>
      <c r="E11" s="55" cm="1">
        <f t="array" ref="E11">VLOOKUP(A11,'The List'!B1:I671,8,FALSE)</f>
        <v>442.61340358960956</v>
      </c>
      <c r="F11" s="55" cm="1">
        <f t="array" ref="F11">IF(Settings!$E$15="POINTS",E11-VLOOKUP(B$2,C1:E210,3,FALSE),J11)</f>
        <v>56.07819719652656</v>
      </c>
      <c r="G11" s="55"/>
      <c r="H11" s="167" cm="1">
        <f t="array" ref="H11">RANK(I11,I3:I210)</f>
        <v>7</v>
      </c>
      <c r="I11" s="168" cm="1">
        <f t="array" ref="I11">VLOOKUP(A11,'Standard Deviations'!A1:C672,3,FALSE)</f>
        <v>9.784511660278433</v>
      </c>
      <c r="J11" s="168" cm="1">
        <f t="array" ref="J11">I11-VLOOKUP(B$2,H1:J210,2,FALSE)</f>
        <v>3.4030372573254892</v>
      </c>
    </row>
    <row r="12" spans="1:10" ht="21.25" customHeight="1" x14ac:dyDescent="0.15">
      <c r="A12" s="10" t="s">
        <v>159</v>
      </c>
      <c r="B12" s="88" t="str" cm="1">
        <f t="array" ref="B12">VLOOKUP(A12,'The List'!B1:D671,3,FALSE)</f>
        <v>C,RW</v>
      </c>
      <c r="C12" s="89" cm="1">
        <f t="array" ref="C12">IF(Settings!$E$15="POINTS",RANK(E12,E3:E210),H12)</f>
        <v>10</v>
      </c>
      <c r="D12" s="18" t="str" cm="1">
        <f t="array" ref="D12">VLOOKUP(A12,'The List'!B1:F671,5,FALSE)</f>
        <v>TOR</v>
      </c>
      <c r="E12" s="55" cm="1">
        <f t="array" ref="E12">VLOOKUP(A12,'The List'!B1:I671,8,FALSE)</f>
        <v>440.10286191423052</v>
      </c>
      <c r="F12" s="55" cm="1">
        <f t="array" ref="F12">IF(Settings!$E$15="POINTS",E12-VLOOKUP(B$2,C1:E210,3,FALSE),J12)</f>
        <v>53.567655521147515</v>
      </c>
      <c r="G12" s="55"/>
      <c r="H12" s="167" cm="1">
        <f t="array" ref="H12">RANK(I12,I3:I210)</f>
        <v>14</v>
      </c>
      <c r="I12" s="168" cm="1">
        <f t="array" ref="I12">VLOOKUP(A12,'Standard Deviations'!A1:C672,3,FALSE)</f>
        <v>7.6196700567487516</v>
      </c>
      <c r="J12" s="168" cm="1">
        <f t="array" ref="J12">I12-VLOOKUP(B$2,H1:J210,2,FALSE)</f>
        <v>1.2381956537958079</v>
      </c>
    </row>
    <row r="13" spans="1:10" ht="21.25" customHeight="1" x14ac:dyDescent="0.15">
      <c r="A13" s="10" t="s">
        <v>162</v>
      </c>
      <c r="B13" s="88" t="str" cm="1">
        <f t="array" ref="B13">VLOOKUP(A13,'The List'!B1:D671,3,FALSE)</f>
        <v>C,LW,RW</v>
      </c>
      <c r="C13" s="89" cm="1">
        <f t="array" ref="C13">IF(Settings!$E$15="POINTS",RANK(E13,E3:E210),H13)</f>
        <v>11</v>
      </c>
      <c r="D13" s="18" t="str" cm="1">
        <f t="array" ref="D13">VLOOKUP(A13,'The List'!B1:F671,5,FALSE)</f>
        <v>ANA</v>
      </c>
      <c r="E13" s="55" cm="1">
        <f t="array" ref="E13">VLOOKUP(A13,'The List'!B1:I671,8,FALSE)</f>
        <v>431.07519953197504</v>
      </c>
      <c r="F13" s="55" cm="1">
        <f t="array" ref="F13">IF(Settings!$E$15="POINTS",E13-VLOOKUP(B$2,C1:E210,3,FALSE),J13)</f>
        <v>44.539993138892044</v>
      </c>
      <c r="G13" s="55"/>
      <c r="H13" s="167" cm="1">
        <f t="array" ref="H13">RANK(I13,I3:I210)</f>
        <v>16</v>
      </c>
      <c r="I13" s="168" cm="1">
        <f t="array" ref="I13">VLOOKUP(A13,'Standard Deviations'!A1:C672,3,FALSE)</f>
        <v>7.1712434118436592</v>
      </c>
      <c r="J13" s="168" cm="1">
        <f t="array" ref="J13">I13-VLOOKUP(B$2,H1:J210,2,FALSE)</f>
        <v>0.78976900889071544</v>
      </c>
    </row>
    <row r="14" spans="1:10" ht="21.25" customHeight="1" x14ac:dyDescent="0.15">
      <c r="A14" s="10" t="s">
        <v>165</v>
      </c>
      <c r="B14" s="88" t="str" cm="1">
        <f t="array" ref="B14">VLOOKUP(A14,'The List'!B1:D671,3,FALSE)</f>
        <v>C</v>
      </c>
      <c r="C14" s="89" cm="1">
        <f t="array" ref="C14">IF(Settings!$E$15="POINTS",RANK(E14,E3:E210),H14)</f>
        <v>12</v>
      </c>
      <c r="D14" s="18" t="str" cm="1">
        <f t="array" ref="D14">VLOOKUP(A14,'The List'!B1:F671,5,FALSE)</f>
        <v>ANA</v>
      </c>
      <c r="E14" s="55" cm="1">
        <f t="array" ref="E14">VLOOKUP(A14,'The List'!B1:I671,8,FALSE)</f>
        <v>419.95061535469569</v>
      </c>
      <c r="F14" s="55" cm="1">
        <f t="array" ref="F14">IF(Settings!$E$15="POINTS",E14-VLOOKUP(B$2,C1:E210,3,FALSE),J14)</f>
        <v>33.415408961612684</v>
      </c>
      <c r="G14" s="55"/>
      <c r="H14" s="167" cm="1">
        <f t="array" ref="H14">RANK(I14,I3:I210)</f>
        <v>25</v>
      </c>
      <c r="I14" s="168" cm="1">
        <f t="array" ref="I14">VLOOKUP(A14,'Standard Deviations'!A1:C672,3,FALSE)</f>
        <v>5.8861300810524071</v>
      </c>
      <c r="J14" s="168" cm="1">
        <f t="array" ref="J14">I14-VLOOKUP(B$2,H1:J210,2,FALSE)</f>
        <v>-0.49534432190053668</v>
      </c>
    </row>
    <row r="15" spans="1:10" ht="21.25" customHeight="1" x14ac:dyDescent="0.15">
      <c r="A15" s="10" t="s">
        <v>171</v>
      </c>
      <c r="B15" s="88" t="str" cm="1">
        <f t="array" ref="B15">VLOOKUP(A15,'The List'!B1:D671,3,FALSE)</f>
        <v>C,RW</v>
      </c>
      <c r="C15" s="89" cm="1">
        <f t="array" ref="C15">IF(Settings!$E$15="POINTS",RANK(E15,E3:E210),H15)</f>
        <v>13</v>
      </c>
      <c r="D15" s="18" t="str" cm="1">
        <f t="array" ref="D15">VLOOKUP(A15,'The List'!B1:F671,5,FALSE)</f>
        <v>BUF</v>
      </c>
      <c r="E15" s="55" cm="1">
        <f t="array" ref="E15">VLOOKUP(A15,'The List'!B1:I671,8,FALSE)</f>
        <v>417.52590445678203</v>
      </c>
      <c r="F15" s="55" cm="1">
        <f t="array" ref="F15">IF(Settings!$E$15="POINTS",E15-VLOOKUP(B$2,C1:E210,3,FALSE),J15)</f>
        <v>30.990698063699028</v>
      </c>
      <c r="G15" s="55"/>
      <c r="H15" s="167" cm="1">
        <f t="array" ref="H15">RANK(I15,I3:I210)</f>
        <v>13</v>
      </c>
      <c r="I15" s="168" cm="1">
        <f t="array" ref="I15">VLOOKUP(A15,'Standard Deviations'!A1:C672,3,FALSE)</f>
        <v>7.7487190265722159</v>
      </c>
      <c r="J15" s="168" cm="1">
        <f t="array" ref="J15">I15-VLOOKUP(B$2,H1:J210,2,FALSE)</f>
        <v>1.3672446236192721</v>
      </c>
    </row>
    <row r="16" spans="1:10" ht="21.25" customHeight="1" x14ac:dyDescent="0.15">
      <c r="A16" s="10" t="s">
        <v>173</v>
      </c>
      <c r="B16" s="88" t="str" cm="1">
        <f t="array" ref="B16">VLOOKUP(A16,'The List'!B1:D671,3,FALSE)</f>
        <v>C</v>
      </c>
      <c r="C16" s="89" cm="1">
        <f t="array" ref="C16">IF(Settings!$E$15="POINTS",RANK(E16,E3:E210),H16)</f>
        <v>14</v>
      </c>
      <c r="D16" s="18" t="str" cm="1">
        <f t="array" ref="D16">VLOOKUP(A16,'The List'!B1:F671,5,FALSE)</f>
        <v>FLA</v>
      </c>
      <c r="E16" s="55" cm="1">
        <f t="array" ref="E16">VLOOKUP(A16,'The List'!B1:I671,8,FALSE)</f>
        <v>408.20016425027711</v>
      </c>
      <c r="F16" s="55" cm="1">
        <f t="array" ref="F16">IF(Settings!$E$15="POINTS",E16-VLOOKUP(B$2,C1:E210,3,FALSE),J16)</f>
        <v>21.664957857194111</v>
      </c>
      <c r="G16" s="55"/>
      <c r="H16" s="167" cm="1">
        <f t="array" ref="H16">RANK(I16,I3:I210)</f>
        <v>12</v>
      </c>
      <c r="I16" s="168" cm="1">
        <f t="array" ref="I16">VLOOKUP(A16,'Standard Deviations'!A1:C672,3,FALSE)</f>
        <v>7.7641873069054217</v>
      </c>
      <c r="J16" s="168" cm="1">
        <f t="array" ref="J16">I16-VLOOKUP(B$2,H1:J210,2,FALSE)</f>
        <v>1.3827129039524779</v>
      </c>
    </row>
    <row r="17" spans="1:10" ht="21.25" customHeight="1" x14ac:dyDescent="0.15">
      <c r="A17" s="10" t="s">
        <v>188</v>
      </c>
      <c r="B17" s="88" t="str" cm="1">
        <f t="array" ref="B17">VLOOKUP(A17,'The List'!B1:D671,3,FALSE)</f>
        <v>C,LW,RW</v>
      </c>
      <c r="C17" s="89" cm="1">
        <f t="array" ref="C17">IF(Settings!$E$15="POINTS",RANK(E17,E3:E210),H17)</f>
        <v>15</v>
      </c>
      <c r="D17" s="18" t="str" cm="1">
        <f t="array" ref="D17">VLOOKUP(A17,'The List'!B1:F671,5,FALSE)</f>
        <v>VGK</v>
      </c>
      <c r="E17" s="55" cm="1">
        <f t="array" ref="E17">VLOOKUP(A17,'The List'!B1:I671,8,FALSE)</f>
        <v>407.01221704076733</v>
      </c>
      <c r="F17" s="55" cm="1">
        <f t="array" ref="F17">IF(Settings!$E$15="POINTS",E17-VLOOKUP(B$2,C1:E210,3,FALSE),J17)</f>
        <v>20.477010647684324</v>
      </c>
      <c r="G17" s="55"/>
      <c r="H17" s="167" cm="1">
        <f t="array" ref="H17">RANK(I17,I3:I210)</f>
        <v>15</v>
      </c>
      <c r="I17" s="168" cm="1">
        <f t="array" ref="I17">VLOOKUP(A17,'Standard Deviations'!A1:C672,3,FALSE)</f>
        <v>7.3167480216897305</v>
      </c>
      <c r="J17" s="168" cm="1">
        <f t="array" ref="J17">I17-VLOOKUP(B$2,H1:J210,2,FALSE)</f>
        <v>0.93527361873678672</v>
      </c>
    </row>
    <row r="18" spans="1:10" ht="21.25" customHeight="1" x14ac:dyDescent="0.15">
      <c r="A18" s="10" t="s">
        <v>175</v>
      </c>
      <c r="B18" s="88" t="str" cm="1">
        <f t="array" ref="B18">VLOOKUP(A18,'The List'!B1:D671,3,FALSE)</f>
        <v>C</v>
      </c>
      <c r="C18" s="89" cm="1">
        <f t="array" ref="C18">IF(Settings!$E$15="POINTS",RANK(E18,E3:E210),H18)</f>
        <v>16</v>
      </c>
      <c r="D18" s="18" t="str" cm="1">
        <f t="array" ref="D18">VLOOKUP(A18,'The List'!B1:F671,5,FALSE)</f>
        <v>PIT</v>
      </c>
      <c r="E18" s="55" cm="1">
        <f t="array" ref="E18">VLOOKUP(A18,'The List'!B1:I671,8,FALSE)</f>
        <v>406.17400647248132</v>
      </c>
      <c r="F18" s="55" cm="1">
        <f t="array" ref="F18">IF(Settings!$E$15="POINTS",E18-VLOOKUP(B$2,C1:E210,3,FALSE),J18)</f>
        <v>19.638800079398322</v>
      </c>
      <c r="G18" s="55"/>
      <c r="H18" s="167" cm="1">
        <f t="array" ref="H18">RANK(I18,I3:I210)</f>
        <v>18</v>
      </c>
      <c r="I18" s="168" cm="1">
        <f t="array" ref="I18">VLOOKUP(A18,'Standard Deviations'!A1:C672,3,FALSE)</f>
        <v>7.0827325791123839</v>
      </c>
      <c r="J18" s="168" cm="1">
        <f t="array" ref="J18">I18-VLOOKUP(B$2,H1:J210,2,FALSE)</f>
        <v>0.70125817615944008</v>
      </c>
    </row>
    <row r="19" spans="1:10" ht="21.25" customHeight="1" x14ac:dyDescent="0.15">
      <c r="A19" s="10" t="s">
        <v>181</v>
      </c>
      <c r="B19" s="88" t="str" cm="1">
        <f t="array" ref="B19">VLOOKUP(A19,'The List'!B1:D671,3,FALSE)</f>
        <v>C</v>
      </c>
      <c r="C19" s="89" cm="1">
        <f t="array" ref="C19">IF(Settings!$E$15="POINTS",RANK(E19,E3:E210),H19)</f>
        <v>17</v>
      </c>
      <c r="D19" s="18" t="str" cm="1">
        <f t="array" ref="D19">VLOOKUP(A19,'The List'!B1:F671,5,FALSE)</f>
        <v>WPG</v>
      </c>
      <c r="E19" s="55" cm="1">
        <f t="array" ref="E19">VLOOKUP(A19,'The List'!B1:I671,8,FALSE)</f>
        <v>401.75318611888156</v>
      </c>
      <c r="F19" s="55" cm="1">
        <f t="array" ref="F19">IF(Settings!$E$15="POINTS",E19-VLOOKUP(B$2,C1:E210,3,FALSE),J19)</f>
        <v>15.217979725798557</v>
      </c>
      <c r="G19" s="55"/>
      <c r="H19" s="167" cm="1">
        <f t="array" ref="H19">RANK(I19,I3:I210)</f>
        <v>17</v>
      </c>
      <c r="I19" s="168" cm="1">
        <f t="array" ref="I19">VLOOKUP(A19,'Standard Deviations'!A1:C672,3,FALSE)</f>
        <v>7.1083929049250152</v>
      </c>
      <c r="J19" s="168" cm="1">
        <f t="array" ref="J19">I19-VLOOKUP(B$2,H1:J210,2,FALSE)</f>
        <v>0.72691850197207142</v>
      </c>
    </row>
    <row r="20" spans="1:10" ht="21.25" customHeight="1" x14ac:dyDescent="0.15">
      <c r="A20" s="10" t="s">
        <v>198</v>
      </c>
      <c r="B20" s="88" t="str" cm="1">
        <f t="array" ref="B20">VLOOKUP(A20,'The List'!B1:D671,3,FALSE)</f>
        <v>C,RW</v>
      </c>
      <c r="C20" s="89" cm="1">
        <f t="array" ref="C20">IF(Settings!$E$15="POINTS",RANK(E20,E3:E210),H20)</f>
        <v>18</v>
      </c>
      <c r="D20" s="18" t="str" cm="1">
        <f t="array" ref="D20">VLOOKUP(A20,'The List'!B1:F671,5,FALSE)</f>
        <v>NYR</v>
      </c>
      <c r="E20" s="55" cm="1">
        <f t="array" ref="E20">VLOOKUP(A20,'The List'!B1:I671,8,FALSE)</f>
        <v>394.94346469355747</v>
      </c>
      <c r="F20" s="55" cm="1">
        <f t="array" ref="F20">IF(Settings!$E$15="POINTS",E20-VLOOKUP(B$2,C1:E210,3,FALSE),J20)</f>
        <v>8.408258300474472</v>
      </c>
      <c r="G20" s="55"/>
      <c r="H20" s="167" cm="1">
        <f t="array" ref="H20">RANK(I20,I3:I210)</f>
        <v>27</v>
      </c>
      <c r="I20" s="168" cm="1">
        <f t="array" ref="I20">VLOOKUP(A20,'Standard Deviations'!A1:C672,3,FALSE)</f>
        <v>5.7305508910243264</v>
      </c>
      <c r="J20" s="168" cm="1">
        <f t="array" ref="J20">I20-VLOOKUP(B$2,H1:J210,2,FALSE)</f>
        <v>-0.65092351192861742</v>
      </c>
    </row>
    <row r="21" spans="1:10" ht="21.25" customHeight="1" x14ac:dyDescent="0.15">
      <c r="A21" s="10" t="s">
        <v>196</v>
      </c>
      <c r="B21" s="88" t="str" cm="1">
        <f t="array" ref="B21">VLOOKUP(A21,'The List'!B1:D671,3,FALSE)</f>
        <v>C</v>
      </c>
      <c r="C21" s="89" cm="1">
        <f t="array" ref="C21">IF(Settings!$E$15="POINTS",RANK(E21,E3:E210),H21)</f>
        <v>19</v>
      </c>
      <c r="D21" s="18" t="str" cm="1">
        <f t="array" ref="D21">VLOOKUP(A21,'The List'!B1:F671,5,FALSE)</f>
        <v>N.J</v>
      </c>
      <c r="E21" s="55" cm="1">
        <f t="array" ref="E21">VLOOKUP(A21,'The List'!B1:I671,8,FALSE)</f>
        <v>388.32024654568772</v>
      </c>
      <c r="F21" s="55" cm="1">
        <f t="array" ref="F21">IF(Settings!$E$15="POINTS",E21-VLOOKUP(B$2,C1:E210,3,FALSE),J21)</f>
        <v>1.7850401526047222</v>
      </c>
      <c r="G21" s="55"/>
      <c r="H21" s="167" cm="1">
        <f t="array" ref="H21">RANK(I21,I3:I210)</f>
        <v>21</v>
      </c>
      <c r="I21" s="168" cm="1">
        <f t="array" ref="I21">VLOOKUP(A21,'Standard Deviations'!A1:C672,3,FALSE)</f>
        <v>6.3814744029529438</v>
      </c>
      <c r="J21" s="168" cm="1">
        <f t="array" ref="J21">I21-VLOOKUP(B$2,H1:J210,2,FALSE)</f>
        <v>0</v>
      </c>
    </row>
    <row r="22" spans="1:10" ht="21.25" customHeight="1" x14ac:dyDescent="0.15">
      <c r="A22" s="10" t="s">
        <v>197</v>
      </c>
      <c r="B22" s="88" t="str" cm="1">
        <f t="array" ref="B22">VLOOKUP(A22,'The List'!B1:D671,3,FALSE)</f>
        <v>C</v>
      </c>
      <c r="C22" s="89" cm="1">
        <f t="array" ref="C22">IF(Settings!$E$15="POINTS",RANK(E22,E3:E210),H22)</f>
        <v>20</v>
      </c>
      <c r="D22" s="18" t="str" cm="1">
        <f t="array" ref="D22">VLOOKUP(A22,'The List'!B1:F671,5,FALSE)</f>
        <v>CAR</v>
      </c>
      <c r="E22" s="55" cm="1">
        <f t="array" ref="E22">VLOOKUP(A22,'The List'!B1:I671,8,FALSE)</f>
        <v>387.90150989274497</v>
      </c>
      <c r="F22" s="55" cm="1">
        <f t="array" ref="F22">IF(Settings!$E$15="POINTS",E22-VLOOKUP(B$2,C1:E210,3,FALSE),J22)</f>
        <v>1.3663034996619672</v>
      </c>
      <c r="G22" s="55"/>
      <c r="H22" s="167" cm="1">
        <f t="array" ref="H22">RANK(I22,I3:I210)</f>
        <v>11</v>
      </c>
      <c r="I22" s="168" cm="1">
        <f t="array" ref="I22">VLOOKUP(A22,'Standard Deviations'!A1:C672,3,FALSE)</f>
        <v>7.8535427653283243</v>
      </c>
      <c r="J22" s="168" cm="1">
        <f t="array" ref="J22">I22-VLOOKUP(B$2,H1:J210,2,FALSE)</f>
        <v>1.4720683623753805</v>
      </c>
    </row>
    <row r="23" spans="1:10" ht="21.25" customHeight="1" x14ac:dyDescent="0.15">
      <c r="A23" s="10" t="s">
        <v>211</v>
      </c>
      <c r="B23" s="88" t="str" cm="1">
        <f t="array" ref="B23">VLOOKUP(A23,'The List'!B1:D671,3,FALSE)</f>
        <v>C,LW</v>
      </c>
      <c r="C23" s="89" cm="1">
        <f t="array" ref="C23">IF(Settings!$E$15="POINTS",RANK(E23,E3:E210),H23)</f>
        <v>21</v>
      </c>
      <c r="D23" s="18" t="str" cm="1">
        <f t="array" ref="D23">VLOOKUP(A23,'The List'!B1:F671,5,FALSE)</f>
        <v>OTT</v>
      </c>
      <c r="E23" s="55" cm="1">
        <f t="array" ref="E23">VLOOKUP(A23,'The List'!B1:I671,8,FALSE)</f>
        <v>386.535206393083</v>
      </c>
      <c r="F23" s="55" cm="1">
        <f t="array" ref="F23">IF(Settings!$E$15="POINTS",E23-VLOOKUP(B$2,C1:E210,3,FALSE),J23)</f>
        <v>0</v>
      </c>
      <c r="G23" s="55"/>
      <c r="H23" s="167" cm="1">
        <f t="array" ref="H23">RANK(I23,I3:I210)</f>
        <v>19</v>
      </c>
      <c r="I23" s="168" cm="1">
        <f t="array" ref="I23">VLOOKUP(A23,'Standard Deviations'!A1:C672,3,FALSE)</f>
        <v>6.9310667029514708</v>
      </c>
      <c r="J23" s="168" cm="1">
        <f t="array" ref="J23">I23-VLOOKUP(B$2,H1:J210,2,FALSE)</f>
        <v>0.54959229999852699</v>
      </c>
    </row>
    <row r="24" spans="1:10" ht="21.25" customHeight="1" x14ac:dyDescent="0.15">
      <c r="A24" s="10" t="s">
        <v>203</v>
      </c>
      <c r="B24" s="88" t="str" cm="1">
        <f t="array" ref="B24">VLOOKUP(A24,'The List'!B1:D671,3,FALSE)</f>
        <v>C</v>
      </c>
      <c r="C24" s="89" cm="1">
        <f t="array" ref="C24">IF(Settings!$E$15="POINTS",RANK(E24,E3:E210),H24)</f>
        <v>22</v>
      </c>
      <c r="D24" s="18" t="str" cm="1">
        <f t="array" ref="D24">VLOOKUP(A24,'The List'!B1:F671,5,FALSE)</f>
        <v>DET</v>
      </c>
      <c r="E24" s="55" cm="1">
        <f t="array" ref="E24">VLOOKUP(A24,'The List'!B1:I671,8,FALSE)</f>
        <v>380.51614842404416</v>
      </c>
      <c r="F24" s="55" cm="1">
        <f t="array" ref="F24">IF(Settings!$E$15="POINTS",E24-VLOOKUP(B$2,C1:E210,3,FALSE),J24)</f>
        <v>-6.0190579690388404</v>
      </c>
      <c r="G24" s="55"/>
      <c r="H24" s="167" cm="1">
        <f t="array" ref="H24">RANK(I24,I3:I210)</f>
        <v>24</v>
      </c>
      <c r="I24" s="168" cm="1">
        <f t="array" ref="I24">VLOOKUP(A24,'Standard Deviations'!A1:C672,3,FALSE)</f>
        <v>6.0857155576502313</v>
      </c>
      <c r="J24" s="168" cm="1">
        <f t="array" ref="J24">I24-VLOOKUP(B$2,H1:J210,2,FALSE)</f>
        <v>-0.29575884530271246</v>
      </c>
    </row>
    <row r="25" spans="1:10" ht="21.25" customHeight="1" x14ac:dyDescent="0.15">
      <c r="A25" s="10" t="s">
        <v>204</v>
      </c>
      <c r="B25" s="88" t="str" cm="1">
        <f t="array" ref="B25">VLOOKUP(A25,'The List'!B1:D671,3,FALSE)</f>
        <v>C</v>
      </c>
      <c r="C25" s="89" cm="1">
        <f t="array" ref="C25">IF(Settings!$E$15="POINTS",RANK(E25,E3:E210),H25)</f>
        <v>23</v>
      </c>
      <c r="D25" s="18" t="str" cm="1">
        <f t="array" ref="D25">VLOOKUP(A25,'The List'!B1:F671,5,FALSE)</f>
        <v>NYI</v>
      </c>
      <c r="E25" s="55" cm="1">
        <f t="array" ref="E25">VLOOKUP(A25,'The List'!B1:I671,8,FALSE)</f>
        <v>378.93996407838853</v>
      </c>
      <c r="F25" s="55" cm="1">
        <f t="array" ref="F25">IF(Settings!$E$15="POINTS",E25-VLOOKUP(B$2,C1:E210,3,FALSE),J25)</f>
        <v>-7.5952423146944739</v>
      </c>
      <c r="G25" s="55"/>
      <c r="H25" s="167" cm="1">
        <f t="array" ref="H25">RANK(I25,I3:I210)</f>
        <v>37</v>
      </c>
      <c r="I25" s="168" cm="1">
        <f t="array" ref="I25">VLOOKUP(A25,'Standard Deviations'!A1:C672,3,FALSE)</f>
        <v>4.9588812512340636</v>
      </c>
      <c r="J25" s="168" cm="1">
        <f t="array" ref="J25">I25-VLOOKUP(B$2,H1:J210,2,FALSE)</f>
        <v>-1.4225931517188801</v>
      </c>
    </row>
    <row r="26" spans="1:10" ht="21.25" customHeight="1" x14ac:dyDescent="0.15">
      <c r="A26" s="10" t="s">
        <v>215</v>
      </c>
      <c r="B26" s="88" t="str" cm="1">
        <f t="array" ref="B26">VLOOKUP(A26,'The List'!B1:D671,3,FALSE)</f>
        <v>C,RW</v>
      </c>
      <c r="C26" s="89" cm="1">
        <f t="array" ref="C26">IF(Settings!$E$15="POINTS",RANK(E26,E3:E210),H26)</f>
        <v>24</v>
      </c>
      <c r="D26" s="18" t="str" cm="1">
        <f t="array" ref="D26">VLOOKUP(A26,'The List'!B1:F671,5,FALSE)</f>
        <v>CHI</v>
      </c>
      <c r="E26" s="55" cm="1">
        <f t="array" ref="E26">VLOOKUP(A26,'The List'!B1:I671,8,FALSE)</f>
        <v>378.62916688119009</v>
      </c>
      <c r="F26" s="55" cm="1">
        <f t="array" ref="F26">IF(Settings!$E$15="POINTS",E26-VLOOKUP(B$2,C1:E210,3,FALSE),J26)</f>
        <v>-7.9060395118929137</v>
      </c>
      <c r="G26" s="55"/>
      <c r="H26" s="167" cm="1">
        <f t="array" ref="H26">RANK(I26,I3:I210)</f>
        <v>45</v>
      </c>
      <c r="I26" s="168" cm="1">
        <f t="array" ref="I26">VLOOKUP(A26,'Standard Deviations'!A1:C672,3,FALSE)</f>
        <v>4.0841165212633355</v>
      </c>
      <c r="J26" s="168" cm="1">
        <f t="array" ref="J26">I26-VLOOKUP(B$2,H1:J210,2,FALSE)</f>
        <v>-2.2973578816896083</v>
      </c>
    </row>
    <row r="27" spans="1:10" ht="21.25" customHeight="1" x14ac:dyDescent="0.15">
      <c r="A27" s="10" t="s">
        <v>212</v>
      </c>
      <c r="B27" s="88" t="str" cm="1">
        <f t="array" ref="B27">VLOOKUP(A27,'The List'!B1:D671,3,FALSE)</f>
        <v>C</v>
      </c>
      <c r="C27" s="89" cm="1">
        <f t="array" ref="C27">IF(Settings!$E$15="POINTS",RANK(E27,E3:E210),H27)</f>
        <v>25</v>
      </c>
      <c r="D27" s="18" t="str" cm="1">
        <f t="array" ref="D27">VLOOKUP(A27,'The List'!B1:F671,5,FALSE)</f>
        <v>UTA</v>
      </c>
      <c r="E27" s="55" cm="1">
        <f t="array" ref="E27">VLOOKUP(A27,'The List'!B1:I671,8,FALSE)</f>
        <v>372.79951970062672</v>
      </c>
      <c r="F27" s="55" cm="1">
        <f t="array" ref="F27">IF(Settings!$E$15="POINTS",E27-VLOOKUP(B$2,C1:E210,3,FALSE),J27)</f>
        <v>-13.735686692456284</v>
      </c>
      <c r="G27" s="55"/>
      <c r="H27" s="167" cm="1">
        <f t="array" ref="H27">RANK(I27,I3:I210)</f>
        <v>20</v>
      </c>
      <c r="I27" s="168" cm="1">
        <f t="array" ref="I27">VLOOKUP(A27,'Standard Deviations'!A1:C672,3,FALSE)</f>
        <v>6.5845199159300254</v>
      </c>
      <c r="J27" s="168" cm="1">
        <f t="array" ref="J27">I27-VLOOKUP(B$2,H1:J210,2,FALSE)</f>
        <v>0.20304551297708162</v>
      </c>
    </row>
    <row r="28" spans="1:10" ht="21.25" customHeight="1" x14ac:dyDescent="0.15">
      <c r="A28" s="10" t="s">
        <v>216</v>
      </c>
      <c r="B28" s="88" t="str" cm="1">
        <f t="array" ref="B28">VLOOKUP(A28,'The List'!B1:D671,3,FALSE)</f>
        <v>C</v>
      </c>
      <c r="C28" s="89" cm="1">
        <f t="array" ref="C28">IF(Settings!$E$15="POINTS",RANK(E28,E3:E210),H28)</f>
        <v>26</v>
      </c>
      <c r="D28" s="18" t="str" cm="1">
        <f t="array" ref="D28">VLOOKUP(A28,'The List'!B1:F671,5,FALSE)</f>
        <v>CBJ</v>
      </c>
      <c r="E28" s="55" cm="1">
        <f t="array" ref="E28">VLOOKUP(A28,'The List'!B1:I671,8,FALSE)</f>
        <v>368.60383750203829</v>
      </c>
      <c r="F28" s="55" cm="1">
        <f t="array" ref="F28">IF(Settings!$E$15="POINTS",E28-VLOOKUP(B$2,C1:E210,3,FALSE),J28)</f>
        <v>-17.931368891044713</v>
      </c>
      <c r="G28" s="55"/>
      <c r="H28" s="167" cm="1">
        <f t="array" ref="H28">RANK(I28,I3:I210)</f>
        <v>35</v>
      </c>
      <c r="I28" s="168" cm="1">
        <f t="array" ref="I28">VLOOKUP(A28,'Standard Deviations'!A1:C672,3,FALSE)</f>
        <v>5.1547403532399461</v>
      </c>
      <c r="J28" s="168" cm="1">
        <f t="array" ref="J28">I28-VLOOKUP(B$2,H1:J210,2,FALSE)</f>
        <v>-1.2267340497129977</v>
      </c>
    </row>
    <row r="29" spans="1:10" ht="21.25" customHeight="1" x14ac:dyDescent="0.15">
      <c r="A29" s="10" t="s">
        <v>229</v>
      </c>
      <c r="B29" s="88" t="str" cm="1">
        <f t="array" ref="B29">VLOOKUP(A29,'The List'!B1:D671,3,FALSE)</f>
        <v>C,LW</v>
      </c>
      <c r="C29" s="89" cm="1">
        <f t="array" ref="C29">IF(Settings!$E$15="POINTS",RANK(E29,E3:E210),H29)</f>
        <v>27</v>
      </c>
      <c r="D29" s="18" t="str" cm="1">
        <f t="array" ref="D29">VLOOKUP(A29,'The List'!B1:F671,5,FALSE)</f>
        <v>FLA</v>
      </c>
      <c r="E29" s="55" cm="1">
        <f t="array" ref="E29">VLOOKUP(A29,'The List'!B1:I671,8,FALSE)</f>
        <v>366.09111973250168</v>
      </c>
      <c r="F29" s="55" cm="1">
        <f t="array" ref="F29">IF(Settings!$E$15="POINTS",E29-VLOOKUP(B$2,C1:E210,3,FALSE),J29)</f>
        <v>-20.44408666058132</v>
      </c>
      <c r="G29" s="55"/>
      <c r="H29" s="167" cm="1">
        <f t="array" ref="H29">RANK(I29,I3:I210)</f>
        <v>9</v>
      </c>
      <c r="I29" s="168" cm="1">
        <f t="array" ref="I29">VLOOKUP(A29,'Standard Deviations'!A1:C672,3,FALSE)</f>
        <v>9.2978897819713939</v>
      </c>
      <c r="J29" s="168" cm="1">
        <f t="array" ref="J29">I29-VLOOKUP(B$2,H1:J210,2,FALSE)</f>
        <v>2.9164153790184502</v>
      </c>
    </row>
    <row r="30" spans="1:10" ht="21.25" customHeight="1" x14ac:dyDescent="0.15">
      <c r="A30" s="10" t="s">
        <v>222</v>
      </c>
      <c r="B30" s="88" t="str" cm="1">
        <f t="array" ref="B30">VLOOKUP(A30,'The List'!B1:D671,3,FALSE)</f>
        <v>C</v>
      </c>
      <c r="C30" s="89" cm="1">
        <f t="array" ref="C30">IF(Settings!$E$15="POINTS",RANK(E30,E3:E210),H30)</f>
        <v>28</v>
      </c>
      <c r="D30" s="18" t="str" cm="1">
        <f t="array" ref="D30">VLOOKUP(A30,'The List'!B1:F671,5,FALSE)</f>
        <v>STL</v>
      </c>
      <c r="E30" s="55" cm="1">
        <f t="array" ref="E30">VLOOKUP(A30,'The List'!B1:I671,8,FALSE)</f>
        <v>358.3733405489084</v>
      </c>
      <c r="F30" s="55" cm="1">
        <f t="array" ref="F30">IF(Settings!$E$15="POINTS",E30-VLOOKUP(B$2,C1:E210,3,FALSE),J30)</f>
        <v>-28.161865844174599</v>
      </c>
      <c r="G30" s="55"/>
      <c r="H30" s="167" cm="1">
        <f t="array" ref="H30">RANK(I30,I3:I210)</f>
        <v>40</v>
      </c>
      <c r="I30" s="168" cm="1">
        <f t="array" ref="I30">VLOOKUP(A30,'Standard Deviations'!A1:C672,3,FALSE)</f>
        <v>4.7930044360294035</v>
      </c>
      <c r="J30" s="168" cm="1">
        <f t="array" ref="J30">I30-VLOOKUP(B$2,H1:J210,2,FALSE)</f>
        <v>-1.5884699669235403</v>
      </c>
    </row>
    <row r="31" spans="1:10" ht="21.25" customHeight="1" x14ac:dyDescent="0.15">
      <c r="A31" s="10" t="s">
        <v>228</v>
      </c>
      <c r="B31" s="88" t="str" cm="1">
        <f t="array" ref="B31">VLOOKUP(A31,'The List'!B1:D671,3,FALSE)</f>
        <v>C</v>
      </c>
      <c r="C31" s="89" cm="1">
        <f t="array" ref="C31">IF(Settings!$E$15="POINTS",RANK(E31,E3:E210),H31)</f>
        <v>29</v>
      </c>
      <c r="D31" s="18" t="str" cm="1">
        <f t="array" ref="D31">VLOOKUP(A31,'The List'!B1:F671,5,FALSE)</f>
        <v>T.B</v>
      </c>
      <c r="E31" s="55" cm="1">
        <f t="array" ref="E31">VLOOKUP(A31,'The List'!B1:I671,8,FALSE)</f>
        <v>353.32789537965596</v>
      </c>
      <c r="F31" s="55" cm="1">
        <f t="array" ref="F31">IF(Settings!$E$15="POINTS",E31-VLOOKUP(B$2,C1:E210,3,FALSE),J31)</f>
        <v>-33.207311013427045</v>
      </c>
      <c r="G31" s="55"/>
      <c r="H31" s="167" cm="1">
        <f t="array" ref="H31">RANK(I31,I3:I210)</f>
        <v>28</v>
      </c>
      <c r="I31" s="168" cm="1">
        <f t="array" ref="I31">VLOOKUP(A31,'Standard Deviations'!A1:C672,3,FALSE)</f>
        <v>5.6825370557394486</v>
      </c>
      <c r="J31" s="168" cm="1">
        <f t="array" ref="J31">I31-VLOOKUP(B$2,H1:J210,2,FALSE)</f>
        <v>-0.69893734721349521</v>
      </c>
    </row>
    <row r="32" spans="1:10" ht="21.25" customHeight="1" x14ac:dyDescent="0.15">
      <c r="A32" s="10" t="s">
        <v>243</v>
      </c>
      <c r="B32" s="88" t="str" cm="1">
        <f t="array" ref="B32">VLOOKUP(A32,'The List'!B1:D671,3,FALSE)</f>
        <v>C,LW</v>
      </c>
      <c r="C32" s="89" cm="1">
        <f t="array" ref="C32">IF(Settings!$E$15="POINTS",RANK(E32,E3:E210),H32)</f>
        <v>30</v>
      </c>
      <c r="D32" s="18" t="str" cm="1">
        <f t="array" ref="D32">VLOOKUP(A32,'The List'!B1:F671,5,FALSE)</f>
        <v>STL</v>
      </c>
      <c r="E32" s="55" cm="1">
        <f t="array" ref="E32">VLOOKUP(A32,'The List'!B1:I671,8,FALSE)</f>
        <v>352.95616804074433</v>
      </c>
      <c r="F32" s="55" cm="1">
        <f t="array" ref="F32">IF(Settings!$E$15="POINTS",E32-VLOOKUP(B$2,C1:E210,3,FALSE),J32)</f>
        <v>-33.579038352338671</v>
      </c>
      <c r="G32" s="55"/>
      <c r="H32" s="167" cm="1">
        <f t="array" ref="H32">RANK(I32,I3:I210)</f>
        <v>42</v>
      </c>
      <c r="I32" s="168" cm="1">
        <f t="array" ref="I32">VLOOKUP(A32,'Standard Deviations'!A1:C672,3,FALSE)</f>
        <v>4.4102872660938832</v>
      </c>
      <c r="J32" s="168" cm="1">
        <f t="array" ref="J32">I32-VLOOKUP(B$2,H1:J210,2,FALSE)</f>
        <v>-1.9711871368590606</v>
      </c>
    </row>
    <row r="33" spans="1:10" ht="21.25" customHeight="1" x14ac:dyDescent="0.15">
      <c r="A33" s="10" t="s">
        <v>230</v>
      </c>
      <c r="B33" s="88" t="str" cm="1">
        <f t="array" ref="B33">VLOOKUP(A33,'The List'!B1:D671,3,FALSE)</f>
        <v>C</v>
      </c>
      <c r="C33" s="89" cm="1">
        <f t="array" ref="C33">IF(Settings!$E$15="POINTS",RANK(E33,E3:E210),H33)</f>
        <v>31</v>
      </c>
      <c r="D33" s="18" t="str" cm="1">
        <f t="array" ref="D33">VLOOKUP(A33,'The List'!B1:F671,5,FALSE)</f>
        <v>DAL</v>
      </c>
      <c r="E33" s="55" cm="1">
        <f t="array" ref="E33">VLOOKUP(A33,'The List'!B1:I671,8,FALSE)</f>
        <v>350.54373990101777</v>
      </c>
      <c r="F33" s="55" cm="1">
        <f t="array" ref="F33">IF(Settings!$E$15="POINTS",E33-VLOOKUP(B$2,C1:E210,3,FALSE),J33)</f>
        <v>-35.991466492065229</v>
      </c>
      <c r="G33" s="55"/>
      <c r="H33" s="167" cm="1">
        <f t="array" ref="H33">RANK(I33,I3:I210)</f>
        <v>22</v>
      </c>
      <c r="I33" s="168" cm="1">
        <f t="array" ref="I33">VLOOKUP(A33,'Standard Deviations'!A1:C672,3,FALSE)</f>
        <v>6.3514763881480905</v>
      </c>
      <c r="J33" s="168" cm="1">
        <f t="array" ref="J33">I33-VLOOKUP(B$2,H1:J210,2,FALSE)</f>
        <v>-2.9998014804853312E-2</v>
      </c>
    </row>
    <row r="34" spans="1:10" ht="21.25" customHeight="1" x14ac:dyDescent="0.15">
      <c r="A34" s="10" t="s">
        <v>246</v>
      </c>
      <c r="B34" s="88" t="str" cm="1">
        <f t="array" ref="B34">VLOOKUP(A34,'The List'!B1:D671,3,FALSE)</f>
        <v>C,RW</v>
      </c>
      <c r="C34" s="89" cm="1">
        <f t="array" ref="C34">IF(Settings!$E$15="POINTS",RANK(E34,E3:E210),H34)</f>
        <v>32</v>
      </c>
      <c r="D34" s="18" t="str" cm="1">
        <f t="array" ref="D34">VLOOKUP(A34,'The List'!B1:F671,5,FALSE)</f>
        <v>UTA</v>
      </c>
      <c r="E34" s="55" cm="1">
        <f t="array" ref="E34">VLOOKUP(A34,'The List'!B1:I671,8,FALSE)</f>
        <v>346.28670948103127</v>
      </c>
      <c r="F34" s="55" cm="1">
        <f t="array" ref="F34">IF(Settings!$E$15="POINTS",E34-VLOOKUP(B$2,C1:E210,3,FALSE),J34)</f>
        <v>-40.248496912051735</v>
      </c>
      <c r="G34" s="55"/>
      <c r="H34" s="167" cm="1">
        <f t="array" ref="H34">RANK(I34,I3:I210)</f>
        <v>43</v>
      </c>
      <c r="I34" s="168" cm="1">
        <f t="array" ref="I34">VLOOKUP(A34,'Standard Deviations'!A1:C672,3,FALSE)</f>
        <v>4.3282410355416046</v>
      </c>
      <c r="J34" s="168" cm="1">
        <f t="array" ref="J34">I34-VLOOKUP(B$2,H1:J210,2,FALSE)</f>
        <v>-2.0532333674113392</v>
      </c>
    </row>
    <row r="35" spans="1:10" ht="21.25" customHeight="1" x14ac:dyDescent="0.15">
      <c r="A35" s="10" t="s">
        <v>235</v>
      </c>
      <c r="B35" s="88" t="str" cm="1">
        <f t="array" ref="B35">VLOOKUP(A35,'The List'!B1:D671,3,FALSE)</f>
        <v>C</v>
      </c>
      <c r="C35" s="89" cm="1">
        <f t="array" ref="C35">IF(Settings!$E$15="POINTS",RANK(E35,E3:E210),H35)</f>
        <v>33</v>
      </c>
      <c r="D35" s="18" t="str" cm="1">
        <f t="array" ref="D35">VLOOKUP(A35,'The List'!B1:F671,5,FALSE)</f>
        <v>VAN</v>
      </c>
      <c r="E35" s="55" cm="1">
        <f t="array" ref="E35">VLOOKUP(A35,'The List'!B1:I671,8,FALSE)</f>
        <v>344.26707832414797</v>
      </c>
      <c r="F35" s="55" cm="1">
        <f t="array" ref="F35">IF(Settings!$E$15="POINTS",E35-VLOOKUP(B$2,C1:E210,3,FALSE),J35)</f>
        <v>-42.268128068935027</v>
      </c>
      <c r="G35" s="55"/>
      <c r="H35" s="167" cm="1">
        <f t="array" ref="H35">RANK(I35,I3:I210)</f>
        <v>61</v>
      </c>
      <c r="I35" s="168" cm="1">
        <f t="array" ref="I35">VLOOKUP(A35,'Standard Deviations'!A1:C672,3,FALSE)</f>
        <v>2.3067304461602509</v>
      </c>
      <c r="J35" s="168" cm="1">
        <f t="array" ref="J35">I35-VLOOKUP(B$2,H1:J210,2,FALSE)</f>
        <v>-4.0747439567926929</v>
      </c>
    </row>
    <row r="36" spans="1:10" ht="21.25" customHeight="1" x14ac:dyDescent="0.15">
      <c r="A36" s="10" t="s">
        <v>238</v>
      </c>
      <c r="B36" s="88" t="str" cm="1">
        <f t="array" ref="B36">VLOOKUP(A36,'The List'!B1:D671,3,FALSE)</f>
        <v>C</v>
      </c>
      <c r="C36" s="89" cm="1">
        <f t="array" ref="C36">IF(Settings!$E$15="POINTS",RANK(E36,E3:E210),H36)</f>
        <v>34</v>
      </c>
      <c r="D36" s="18" t="str" cm="1">
        <f t="array" ref="D36">VLOOKUP(A36,'The List'!B1:F671,5,FALSE)</f>
        <v>CHI</v>
      </c>
      <c r="E36" s="55" cm="1">
        <f t="array" ref="E36">VLOOKUP(A36,'The List'!B1:I671,8,FALSE)</f>
        <v>342.6769573631812</v>
      </c>
      <c r="F36" s="55" cm="1">
        <f t="array" ref="F36">IF(Settings!$E$15="POINTS",E36-VLOOKUP(B$2,C1:E210,3,FALSE),J36)</f>
        <v>-43.858249029901799</v>
      </c>
      <c r="G36" s="55"/>
      <c r="H36" s="167" cm="1">
        <f t="array" ref="H36">RANK(I36,I3:I210)</f>
        <v>56</v>
      </c>
      <c r="I36" s="168" cm="1">
        <f t="array" ref="I36">VLOOKUP(A36,'Standard Deviations'!A1:C672,3,FALSE)</f>
        <v>3.0293334016741937</v>
      </c>
      <c r="J36" s="168" cm="1">
        <f t="array" ref="J36">I36-VLOOKUP(B$2,H1:J210,2,FALSE)</f>
        <v>-3.35214100127875</v>
      </c>
    </row>
    <row r="37" spans="1:10" ht="21.25" customHeight="1" x14ac:dyDescent="0.15">
      <c r="A37" s="10" t="s">
        <v>253</v>
      </c>
      <c r="B37" s="88" t="str" cm="1">
        <f t="array" ref="B37">VLOOKUP(A37,'The List'!B1:D671,3,FALSE)</f>
        <v>C,RW</v>
      </c>
      <c r="C37" s="89" cm="1">
        <f t="array" ref="C37">IF(Settings!$E$15="POINTS",RANK(E37,E3:E210),H37)</f>
        <v>35</v>
      </c>
      <c r="D37" s="18" t="str" cm="1">
        <f t="array" ref="D37">VLOOKUP(A37,'The List'!B1:F671,5,FALSE)</f>
        <v>NYI</v>
      </c>
      <c r="E37" s="55" cm="1">
        <f t="array" ref="E37">VLOOKUP(A37,'The List'!B1:I671,8,FALSE)</f>
        <v>341.1935946628455</v>
      </c>
      <c r="F37" s="55" cm="1">
        <f t="array" ref="F37">IF(Settings!$E$15="POINTS",E37-VLOOKUP(B$2,C1:E210,3,FALSE),J37)</f>
        <v>-45.341611730237503</v>
      </c>
      <c r="G37" s="55"/>
      <c r="H37" s="167" cm="1">
        <f t="array" ref="H37">RANK(I37,I3:I210)</f>
        <v>46</v>
      </c>
      <c r="I37" s="168" cm="1">
        <f t="array" ref="I37">VLOOKUP(A37,'Standard Deviations'!A1:C672,3,FALSE)</f>
        <v>4.0124780190376645</v>
      </c>
      <c r="J37" s="168" cm="1">
        <f t="array" ref="J37">I37-VLOOKUP(B$2,H1:J210,2,FALSE)</f>
        <v>-2.3689963839152792</v>
      </c>
    </row>
    <row r="38" spans="1:10" ht="21.25" customHeight="1" x14ac:dyDescent="0.15">
      <c r="A38" s="10" t="s">
        <v>258</v>
      </c>
      <c r="B38" s="88" t="str" cm="1">
        <f t="array" ref="B38">VLOOKUP(A38,'The List'!B1:D671,3,FALSE)</f>
        <v>C,LW,RW</v>
      </c>
      <c r="C38" s="89" cm="1">
        <f t="array" ref="C38">IF(Settings!$E$15="POINTS",RANK(E38,E3:E210),H38)</f>
        <v>36</v>
      </c>
      <c r="D38" s="18" t="str" cm="1">
        <f t="array" ref="D38">VLOOKUP(A38,'The List'!B1:F671,5,FALSE)</f>
        <v>NYR</v>
      </c>
      <c r="E38" s="55" cm="1">
        <f t="array" ref="E38">VLOOKUP(A38,'The List'!B1:I671,8,FALSE)</f>
        <v>340.14791021061484</v>
      </c>
      <c r="F38" s="55" cm="1">
        <f t="array" ref="F38">IF(Settings!$E$15="POINTS",E38-VLOOKUP(B$2,C1:E210,3,FALSE),J38)</f>
        <v>-46.387296182468162</v>
      </c>
      <c r="G38" s="55"/>
      <c r="H38" s="167" cm="1">
        <f t="array" ref="H38">RANK(I38,I3:I210)</f>
        <v>30</v>
      </c>
      <c r="I38" s="168" cm="1">
        <f t="array" ref="I38">VLOOKUP(A38,'Standard Deviations'!A1:C672,3,FALSE)</f>
        <v>5.4216675799283403</v>
      </c>
      <c r="J38" s="168" cm="1">
        <f t="array" ref="J38">I38-VLOOKUP(B$2,H1:J210,2,FALSE)</f>
        <v>-0.95980682302460352</v>
      </c>
    </row>
    <row r="39" spans="1:10" ht="21.25" customHeight="1" x14ac:dyDescent="0.15">
      <c r="A39" s="10" t="s">
        <v>266</v>
      </c>
      <c r="B39" s="88" t="str" cm="1">
        <f t="array" ref="B39">VLOOKUP(A39,'The List'!B1:D671,3,FALSE)</f>
        <v>C,RW</v>
      </c>
      <c r="C39" s="89" cm="1">
        <f t="array" ref="C39">IF(Settings!$E$15="POINTS",RANK(E39,E3:E210),H39)</f>
        <v>37</v>
      </c>
      <c r="D39" s="18" t="str" cm="1">
        <f t="array" ref="D39">VLOOKUP(A39,'The List'!B1:F671,5,FALSE)</f>
        <v>NSH</v>
      </c>
      <c r="E39" s="55" cm="1">
        <f t="array" ref="E39">VLOOKUP(A39,'The List'!B1:I671,8,FALSE)</f>
        <v>337.56248988145887</v>
      </c>
      <c r="F39" s="55" cm="1">
        <f t="array" ref="F39">IF(Settings!$E$15="POINTS",E39-VLOOKUP(B$2,C1:E210,3,FALSE),J39)</f>
        <v>-48.972716511624128</v>
      </c>
      <c r="G39" s="55"/>
      <c r="H39" s="167" cm="1">
        <f t="array" ref="H39">RANK(I39,I3:I210)</f>
        <v>38</v>
      </c>
      <c r="I39" s="168" cm="1">
        <f t="array" ref="I39">VLOOKUP(A39,'Standard Deviations'!A1:C672,3,FALSE)</f>
        <v>4.9523133696184107</v>
      </c>
      <c r="J39" s="168" cm="1">
        <f t="array" ref="J39">I39-VLOOKUP(B$2,H1:J210,2,FALSE)</f>
        <v>-1.429161033334533</v>
      </c>
    </row>
    <row r="40" spans="1:10" ht="21.25" customHeight="1" x14ac:dyDescent="0.15">
      <c r="A40" s="10" t="s">
        <v>267</v>
      </c>
      <c r="B40" s="88" t="str" cm="1">
        <f t="array" ref="B40">VLOOKUP(A40,'The List'!B1:D671,3,FALSE)</f>
        <v>C,LW,RW</v>
      </c>
      <c r="C40" s="89" cm="1">
        <f t="array" ref="C40">IF(Settings!$E$15="POINTS",RANK(E40,E3:E210),H40)</f>
        <v>38</v>
      </c>
      <c r="D40" s="18" t="str" cm="1">
        <f t="array" ref="D40">VLOOKUP(A40,'The List'!B1:F671,5,FALSE)</f>
        <v>PIT</v>
      </c>
      <c r="E40" s="55" cm="1">
        <f t="array" ref="E40">VLOOKUP(A40,'The List'!B1:I671,8,FALSE)</f>
        <v>336.99772010800154</v>
      </c>
      <c r="F40" s="55" cm="1">
        <f t="array" ref="F40">IF(Settings!$E$15="POINTS",E40-VLOOKUP(B$2,C1:E210,3,FALSE),J40)</f>
        <v>-49.537486285081457</v>
      </c>
      <c r="G40" s="55"/>
      <c r="H40" s="167" cm="1">
        <f t="array" ref="H40">RANK(I40,I3:I210)</f>
        <v>50</v>
      </c>
      <c r="I40" s="168" cm="1">
        <f t="array" ref="I40">VLOOKUP(A40,'Standard Deviations'!A1:C672,3,FALSE)</f>
        <v>3.5684802742122872</v>
      </c>
      <c r="J40" s="168" cm="1">
        <f t="array" ref="J40">I40-VLOOKUP(B$2,H1:J210,2,FALSE)</f>
        <v>-2.8129941287406566</v>
      </c>
    </row>
    <row r="41" spans="1:10" ht="21.25" customHeight="1" x14ac:dyDescent="0.15">
      <c r="A41" s="10" t="s">
        <v>248</v>
      </c>
      <c r="B41" s="88" t="str" cm="1">
        <f t="array" ref="B41">VLOOKUP(A41,'The List'!B1:D671,3,FALSE)</f>
        <v>C</v>
      </c>
      <c r="C41" s="89" cm="1">
        <f t="array" ref="C41">IF(Settings!$E$15="POINTS",RANK(E41,E3:E210),H41)</f>
        <v>39</v>
      </c>
      <c r="D41" s="18" t="str" cm="1">
        <f t="array" ref="D41">VLOOKUP(A41,'The List'!B1:F671,5,FALSE)</f>
        <v>MIN</v>
      </c>
      <c r="E41" s="55" cm="1">
        <f t="array" ref="E41">VLOOKUP(A41,'The List'!B1:I671,8,FALSE)</f>
        <v>336.18301821973074</v>
      </c>
      <c r="F41" s="55" cm="1">
        <f t="array" ref="F41">IF(Settings!$E$15="POINTS",E41-VLOOKUP(B$2,C1:E210,3,FALSE),J41)</f>
        <v>-50.35218817335226</v>
      </c>
      <c r="G41" s="55"/>
      <c r="H41" s="167" cm="1">
        <f t="array" ref="H41">RANK(I41,I3:I210)</f>
        <v>26</v>
      </c>
      <c r="I41" s="168" cm="1">
        <f t="array" ref="I41">VLOOKUP(A41,'Standard Deviations'!A1:C672,3,FALSE)</f>
        <v>5.8556804886328848</v>
      </c>
      <c r="J41" s="168" cm="1">
        <f t="array" ref="J41">I41-VLOOKUP(B$2,H1:J210,2,FALSE)</f>
        <v>-0.52579391432005895</v>
      </c>
    </row>
    <row r="42" spans="1:10" ht="21.25" customHeight="1" x14ac:dyDescent="0.15">
      <c r="A42" s="10" t="s">
        <v>251</v>
      </c>
      <c r="B42" s="88" t="str" cm="1">
        <f t="array" ref="B42">VLOOKUP(A42,'The List'!B1:D671,3,FALSE)</f>
        <v>C</v>
      </c>
      <c r="C42" s="89" cm="1">
        <f t="array" ref="C42">IF(Settings!$E$15="POINTS",RANK(E42,E3:E210),H42)</f>
        <v>40</v>
      </c>
      <c r="D42" s="18" t="str" cm="1">
        <f t="array" ref="D42">VLOOKUP(A42,'The List'!B1:F671,5,FALSE)</f>
        <v>WSH</v>
      </c>
      <c r="E42" s="55" cm="1">
        <f t="array" ref="E42">VLOOKUP(A42,'The List'!B1:I671,8,FALSE)</f>
        <v>333.28836671128545</v>
      </c>
      <c r="F42" s="55" cm="1">
        <f t="array" ref="F42">IF(Settings!$E$15="POINTS",E42-VLOOKUP(B$2,C1:E210,3,FALSE),J42)</f>
        <v>-53.246839681797553</v>
      </c>
      <c r="G42" s="55"/>
      <c r="H42" s="167" cm="1">
        <f t="array" ref="H42">RANK(I42,I3:I210)</f>
        <v>32</v>
      </c>
      <c r="I42" s="168" cm="1">
        <f t="array" ref="I42">VLOOKUP(A42,'Standard Deviations'!A1:C672,3,FALSE)</f>
        <v>5.3887062500828655</v>
      </c>
      <c r="J42" s="168" cm="1">
        <f t="array" ref="J42">I42-VLOOKUP(B$2,H1:J210,2,FALSE)</f>
        <v>-0.99276815287007825</v>
      </c>
    </row>
    <row r="43" spans="1:10" ht="21.25" customHeight="1" x14ac:dyDescent="0.15">
      <c r="A43" s="10" t="s">
        <v>254</v>
      </c>
      <c r="B43" s="88" t="str" cm="1">
        <f t="array" ref="B43">VLOOKUP(A43,'The List'!B1:D671,3,FALSE)</f>
        <v>C</v>
      </c>
      <c r="C43" s="89" cm="1">
        <f t="array" ref="C43">IF(Settings!$E$15="POINTS",RANK(E43,E3:E210),H43)</f>
        <v>41</v>
      </c>
      <c r="D43" s="18" t="str" cm="1">
        <f t="array" ref="D43">VLOOKUP(A43,'The List'!B1:F671,5,FALSE)</f>
        <v>NSH</v>
      </c>
      <c r="E43" s="55" cm="1">
        <f t="array" ref="E43">VLOOKUP(A43,'The List'!B1:I671,8,FALSE)</f>
        <v>332.7448311876642</v>
      </c>
      <c r="F43" s="55" cm="1">
        <f t="array" ref="F43">IF(Settings!$E$15="POINTS",E43-VLOOKUP(B$2,C1:E210,3,FALSE),J43)</f>
        <v>-53.790375205418798</v>
      </c>
      <c r="G43" s="55"/>
      <c r="H43" s="167" cm="1">
        <f t="array" ref="H43">RANK(I43,I3:I210)</f>
        <v>53</v>
      </c>
      <c r="I43" s="168" cm="1">
        <f t="array" ref="I43">VLOOKUP(A43,'Standard Deviations'!A1:C672,3,FALSE)</f>
        <v>3.3153282049790631</v>
      </c>
      <c r="J43" s="168" cm="1">
        <f t="array" ref="J43">I43-VLOOKUP(B$2,H1:J210,2,FALSE)</f>
        <v>-3.0661461979738807</v>
      </c>
    </row>
    <row r="44" spans="1:10" ht="21.25" customHeight="1" x14ac:dyDescent="0.15">
      <c r="A44" s="10" t="s">
        <v>262</v>
      </c>
      <c r="B44" s="88" t="str" cm="1">
        <f t="array" ref="B44">VLOOKUP(A44,'The List'!B1:D671,3,FALSE)</f>
        <v>C</v>
      </c>
      <c r="C44" s="89" cm="1">
        <f t="array" ref="C44">IF(Settings!$E$15="POINTS",RANK(E44,E3:E210),H44)</f>
        <v>42</v>
      </c>
      <c r="D44" s="18" t="str" cm="1">
        <f t="array" ref="D44">VLOOKUP(A44,'The List'!B1:F671,5,FALSE)</f>
        <v>L.A</v>
      </c>
      <c r="E44" s="55" cm="1">
        <f t="array" ref="E44">VLOOKUP(A44,'The List'!B1:I671,8,FALSE)</f>
        <v>330.22244089162348</v>
      </c>
      <c r="F44" s="55" cm="1">
        <f t="array" ref="F44">IF(Settings!$E$15="POINTS",E44-VLOOKUP(B$2,C1:E210,3,FALSE),J44)</f>
        <v>-56.312765501459523</v>
      </c>
      <c r="G44" s="55"/>
      <c r="H44" s="167" cm="1">
        <f t="array" ref="H44">RANK(I44,I3:I210)</f>
        <v>33</v>
      </c>
      <c r="I44" s="168" cm="1">
        <f t="array" ref="I44">VLOOKUP(A44,'Standard Deviations'!A1:C672,3,FALSE)</f>
        <v>5.200655825298532</v>
      </c>
      <c r="J44" s="168" cm="1">
        <f t="array" ref="J44">I44-VLOOKUP(B$2,H1:J210,2,FALSE)</f>
        <v>-1.1808185776544118</v>
      </c>
    </row>
    <row r="45" spans="1:10" ht="21.25" customHeight="1" x14ac:dyDescent="0.15">
      <c r="A45" s="10" t="s">
        <v>278</v>
      </c>
      <c r="B45" s="88" t="str" cm="1">
        <f t="array" ref="B45">VLOOKUP(A45,'The List'!B1:D671,3,FALSE)</f>
        <v>C,LW,RW</v>
      </c>
      <c r="C45" s="89" cm="1">
        <f t="array" ref="C45">IF(Settings!$E$15="POINTS",RANK(E45,E3:E210),H45)</f>
        <v>43</v>
      </c>
      <c r="D45" s="18" t="str" cm="1">
        <f t="array" ref="D45">VLOOKUP(A45,'The List'!B1:F671,5,FALSE)</f>
        <v>BOS</v>
      </c>
      <c r="E45" s="55" cm="1">
        <f t="array" ref="E45">VLOOKUP(A45,'The List'!B1:I671,8,FALSE)</f>
        <v>327.74700676153907</v>
      </c>
      <c r="F45" s="55" cm="1">
        <f t="array" ref="F45">IF(Settings!$E$15="POINTS",E45-VLOOKUP(B$2,C1:E210,3,FALSE),J45)</f>
        <v>-58.788199631543932</v>
      </c>
      <c r="G45" s="55"/>
      <c r="H45" s="167" cm="1">
        <f t="array" ref="H45">RANK(I45,I3:I210)</f>
        <v>49</v>
      </c>
      <c r="I45" s="168" cm="1">
        <f t="array" ref="I45">VLOOKUP(A45,'Standard Deviations'!A1:C672,3,FALSE)</f>
        <v>3.5710589707507894</v>
      </c>
      <c r="J45" s="168" cm="1">
        <f t="array" ref="J45">I45-VLOOKUP(B$2,H1:J210,2,FALSE)</f>
        <v>-2.8104154322021544</v>
      </c>
    </row>
    <row r="46" spans="1:10" ht="21.25" customHeight="1" x14ac:dyDescent="0.15">
      <c r="A46" s="10" t="s">
        <v>283</v>
      </c>
      <c r="B46" s="88" t="str" cm="1">
        <f t="array" ref="B46">VLOOKUP(A46,'The List'!B1:D671,3,FALSE)</f>
        <v>C,LW</v>
      </c>
      <c r="C46" s="89" cm="1">
        <f t="array" ref="C46">IF(Settings!$E$15="POINTS",RANK(E46,E3:E210),H46)</f>
        <v>44</v>
      </c>
      <c r="D46" s="18" t="str" cm="1">
        <f t="array" ref="D46">VLOOKUP(A46,'The List'!B1:F671,5,FALSE)</f>
        <v>VGK</v>
      </c>
      <c r="E46" s="55" cm="1">
        <f t="array" ref="E46">VLOOKUP(A46,'The List'!B1:I671,8,FALSE)</f>
        <v>327.58703595649564</v>
      </c>
      <c r="F46" s="55" cm="1">
        <f t="array" ref="F46">IF(Settings!$E$15="POINTS",E46-VLOOKUP(B$2,C1:E210,3,FALSE),J46)</f>
        <v>-58.948170436587361</v>
      </c>
      <c r="G46" s="55"/>
      <c r="H46" s="167" cm="1">
        <f t="array" ref="H46">RANK(I46,I3:I210)</f>
        <v>41</v>
      </c>
      <c r="I46" s="168" cm="1">
        <f t="array" ref="I46">VLOOKUP(A46,'Standard Deviations'!A1:C672,3,FALSE)</f>
        <v>4.7118209443490455</v>
      </c>
      <c r="J46" s="168" cm="1">
        <f t="array" ref="J46">I46-VLOOKUP(B$2,H1:J210,2,FALSE)</f>
        <v>-1.6696534586038982</v>
      </c>
    </row>
    <row r="47" spans="1:10" ht="21.25" customHeight="1" x14ac:dyDescent="0.15">
      <c r="A47" s="10" t="s">
        <v>279</v>
      </c>
      <c r="B47" s="88" t="str" cm="1">
        <f t="array" ref="B47">VLOOKUP(A47,'The List'!B1:D671,3,FALSE)</f>
        <v>C,LW,RW</v>
      </c>
      <c r="C47" s="89" cm="1">
        <f t="array" ref="C47">IF(Settings!$E$15="POINTS",RANK(E47,E3:E210),H47)</f>
        <v>45</v>
      </c>
      <c r="D47" s="18" t="str" cm="1">
        <f t="array" ref="D47">VLOOKUP(A47,'The List'!B1:F671,5,FALSE)</f>
        <v>PIT</v>
      </c>
      <c r="E47" s="55" cm="1">
        <f t="array" ref="E47">VLOOKUP(A47,'The List'!B1:I671,8,FALSE)</f>
        <v>326.92211895558961</v>
      </c>
      <c r="F47" s="55" cm="1">
        <f t="array" ref="F47">IF(Settings!$E$15="POINTS",E47-VLOOKUP(B$2,C1:E210,3,FALSE),J47)</f>
        <v>-59.613087437493391</v>
      </c>
      <c r="G47" s="55"/>
      <c r="H47" s="167" cm="1">
        <f t="array" ref="H47">RANK(I47,I3:I210)</f>
        <v>29</v>
      </c>
      <c r="I47" s="168" cm="1">
        <f t="array" ref="I47">VLOOKUP(A47,'Standard Deviations'!A1:C672,3,FALSE)</f>
        <v>5.5975504414883082</v>
      </c>
      <c r="J47" s="168" cm="1">
        <f t="array" ref="J47">I47-VLOOKUP(B$2,H1:J210,2,FALSE)</f>
        <v>-0.78392396146463561</v>
      </c>
    </row>
    <row r="48" spans="1:10" ht="21.25" customHeight="1" x14ac:dyDescent="0.15">
      <c r="A48" s="10" t="s">
        <v>269</v>
      </c>
      <c r="B48" s="88" t="str" cm="1">
        <f t="array" ref="B48">VLOOKUP(A48,'The List'!B1:D671,3,FALSE)</f>
        <v>C</v>
      </c>
      <c r="C48" s="89" cm="1">
        <f t="array" ref="C48">IF(Settings!$E$15="POINTS",RANK(E48,E3:E210),H48)</f>
        <v>46</v>
      </c>
      <c r="D48" s="18" t="str" cm="1">
        <f t="array" ref="D48">VLOOKUP(A48,'The List'!B1:F671,5,FALSE)</f>
        <v>TOR</v>
      </c>
      <c r="E48" s="55" cm="1">
        <f t="array" ref="E48">VLOOKUP(A48,'The List'!B1:I671,8,FALSE)</f>
        <v>326.04259365219184</v>
      </c>
      <c r="F48" s="55" cm="1">
        <f t="array" ref="F48">IF(Settings!$E$15="POINTS",E48-VLOOKUP(B$2,C1:E210,3,FALSE),J48)</f>
        <v>-60.492612740891161</v>
      </c>
      <c r="G48" s="55"/>
      <c r="H48" s="167" cm="1">
        <f t="array" ref="H48">RANK(I48,I3:I210)</f>
        <v>47</v>
      </c>
      <c r="I48" s="168" cm="1">
        <f t="array" ref="I48">VLOOKUP(A48,'Standard Deviations'!A1:C672,3,FALSE)</f>
        <v>3.9745011152956082</v>
      </c>
      <c r="J48" s="168" cm="1">
        <f t="array" ref="J48">I48-VLOOKUP(B$2,H1:J210,2,FALSE)</f>
        <v>-2.4069732876573355</v>
      </c>
    </row>
    <row r="49" spans="1:10" ht="21.25" customHeight="1" x14ac:dyDescent="0.15">
      <c r="A49" s="10" t="s">
        <v>301</v>
      </c>
      <c r="B49" s="88" t="str" cm="1">
        <f t="array" ref="B49">VLOOKUP(A49,'The List'!B1:D671,3,FALSE)</f>
        <v>C,LW</v>
      </c>
      <c r="C49" s="89" cm="1">
        <f t="array" ref="C49">IF(Settings!$E$15="POINTS",RANK(E49,E3:E210),H49)</f>
        <v>47</v>
      </c>
      <c r="D49" s="18" t="str" cm="1">
        <f t="array" ref="D49">VLOOKUP(A49,'The List'!B1:F671,5,FALSE)</f>
        <v>COL</v>
      </c>
      <c r="E49" s="55" cm="1">
        <f t="array" ref="E49">VLOOKUP(A49,'The List'!B1:I671,8,FALSE)</f>
        <v>316.74830561317731</v>
      </c>
      <c r="F49" s="55" cm="1">
        <f t="array" ref="F49">IF(Settings!$E$15="POINTS",E49-VLOOKUP(B$2,C1:E210,3,FALSE),J49)</f>
        <v>-69.786900779905693</v>
      </c>
      <c r="G49" s="55"/>
      <c r="H49" s="167" cm="1">
        <f t="array" ref="H49">RANK(I49,I3:I210)</f>
        <v>31</v>
      </c>
      <c r="I49" s="168" cm="1">
        <f t="array" ref="I49">VLOOKUP(A49,'Standard Deviations'!A1:C672,3,FALSE)</f>
        <v>5.3952496544659834</v>
      </c>
      <c r="J49" s="168" cm="1">
        <f t="array" ref="J49">I49-VLOOKUP(B$2,H1:J210,2,FALSE)</f>
        <v>-0.9862247484869604</v>
      </c>
    </row>
    <row r="50" spans="1:10" ht="21.25" customHeight="1" x14ac:dyDescent="0.15">
      <c r="A50" s="10" t="s">
        <v>286</v>
      </c>
      <c r="B50" s="88" t="str" cm="1">
        <f t="array" ref="B50">VLOOKUP(A50,'The List'!B1:D671,3,FALSE)</f>
        <v>C</v>
      </c>
      <c r="C50" s="89" cm="1">
        <f t="array" ref="C50">IF(Settings!$E$15="POINTS",RANK(E50,E3:E210),H50)</f>
        <v>48</v>
      </c>
      <c r="D50" s="18" t="str" cm="1">
        <f t="array" ref="D50">VLOOKUP(A50,'The List'!B1:F671,5,FALSE)</f>
        <v>COL</v>
      </c>
      <c r="E50" s="55" cm="1">
        <f t="array" ref="E50">VLOOKUP(A50,'The List'!B1:I671,8,FALSE)</f>
        <v>311.61386414970235</v>
      </c>
      <c r="F50" s="55" cm="1">
        <f t="array" ref="F50">IF(Settings!$E$15="POINTS",E50-VLOOKUP(B$2,C1:E210,3,FALSE),J50)</f>
        <v>-74.92134224338065</v>
      </c>
      <c r="G50" s="55"/>
      <c r="H50" s="167" cm="1">
        <f t="array" ref="H50">RANK(I50,I3:I210)</f>
        <v>34</v>
      </c>
      <c r="I50" s="168" cm="1">
        <f t="array" ref="I50">VLOOKUP(A50,'Standard Deviations'!A1:C672,3,FALSE)</f>
        <v>5.1793558837570979</v>
      </c>
      <c r="J50" s="168" cm="1">
        <f t="array" ref="J50">I50-VLOOKUP(B$2,H1:J210,2,FALSE)</f>
        <v>-1.2021185191958459</v>
      </c>
    </row>
    <row r="51" spans="1:10" ht="21.25" customHeight="1" x14ac:dyDescent="0.15">
      <c r="A51" s="10" t="s">
        <v>288</v>
      </c>
      <c r="B51" s="88" t="str" cm="1">
        <f t="array" ref="B51">VLOOKUP(A51,'The List'!B1:D671,3,FALSE)</f>
        <v>C</v>
      </c>
      <c r="C51" s="89" cm="1">
        <f t="array" ref="C51">IF(Settings!$E$15="POINTS",RANK(E51,E3:E210),H51)</f>
        <v>49</v>
      </c>
      <c r="D51" s="18" t="str" cm="1">
        <f t="array" ref="D51">VLOOKUP(A51,'The List'!B1:F671,5,FALSE)</f>
        <v>S.J</v>
      </c>
      <c r="E51" s="55" cm="1">
        <f t="array" ref="E51">VLOOKUP(A51,'The List'!B1:I671,8,FALSE)</f>
        <v>311.53167000840961</v>
      </c>
      <c r="F51" s="55" cm="1">
        <f t="array" ref="F51">IF(Settings!$E$15="POINTS",E51-VLOOKUP(B$2,C1:E210,3,FALSE),J51)</f>
        <v>-75.003536384673396</v>
      </c>
      <c r="G51" s="55"/>
      <c r="H51" s="167" cm="1">
        <f t="array" ref="H51">RANK(I51,I3:I210)</f>
        <v>57</v>
      </c>
      <c r="I51" s="168" cm="1">
        <f t="array" ref="I51">VLOOKUP(A51,'Standard Deviations'!A1:C672,3,FALSE)</f>
        <v>2.9055371284199514</v>
      </c>
      <c r="J51" s="168" cm="1">
        <f t="array" ref="J51">I51-VLOOKUP(B$2,H1:J210,2,FALSE)</f>
        <v>-3.4759372745329924</v>
      </c>
    </row>
    <row r="52" spans="1:10" ht="21.25" customHeight="1" x14ac:dyDescent="0.15">
      <c r="A52" s="10" t="s">
        <v>304</v>
      </c>
      <c r="B52" s="88" t="str" cm="1">
        <f t="array" ref="B52">VLOOKUP(A52,'The List'!B1:D671,3,FALSE)</f>
        <v>C,RW</v>
      </c>
      <c r="C52" s="89" cm="1">
        <f t="array" ref="C52">IF(Settings!$E$15="POINTS",RANK(E52,E3:E210),H52)</f>
        <v>50</v>
      </c>
      <c r="D52" s="18" t="str" cm="1">
        <f t="array" ref="D52">VLOOKUP(A52,'The List'!B1:F671,5,FALSE)</f>
        <v>WPG</v>
      </c>
      <c r="E52" s="55" cm="1">
        <f t="array" ref="E52">VLOOKUP(A52,'The List'!B1:I671,8,FALSE)</f>
        <v>310.75112999982042</v>
      </c>
      <c r="F52" s="55" cm="1">
        <f t="array" ref="F52">IF(Settings!$E$15="POINTS",E52-VLOOKUP(B$2,C1:E210,3,FALSE),J52)</f>
        <v>-75.78407639326258</v>
      </c>
      <c r="G52" s="55"/>
      <c r="H52" s="167" cm="1">
        <f t="array" ref="H52">RANK(I52,I3:I210)</f>
        <v>52</v>
      </c>
      <c r="I52" s="168" cm="1">
        <f t="array" ref="I52">VLOOKUP(A52,'Standard Deviations'!A1:C672,3,FALSE)</f>
        <v>3.4124150709769117</v>
      </c>
      <c r="J52" s="168" cm="1">
        <f t="array" ref="J52">I52-VLOOKUP(B$2,H1:J210,2,FALSE)</f>
        <v>-2.9690593319760321</v>
      </c>
    </row>
    <row r="53" spans="1:10" ht="21.25" customHeight="1" x14ac:dyDescent="0.15">
      <c r="A53" s="10" t="s">
        <v>293</v>
      </c>
      <c r="B53" s="88" t="str" cm="1">
        <f t="array" ref="B53">VLOOKUP(A53,'The List'!B1:D671,3,FALSE)</f>
        <v>C</v>
      </c>
      <c r="C53" s="89" cm="1">
        <f t="array" ref="C53">IF(Settings!$E$15="POINTS",RANK(E53,E3:E210),H53)</f>
        <v>51</v>
      </c>
      <c r="D53" s="18" t="str" cm="1">
        <f t="array" ref="D53">VLOOKUP(A53,'The List'!B1:F671,5,FALSE)</f>
        <v>OTT</v>
      </c>
      <c r="E53" s="55" cm="1">
        <f t="array" ref="E53">VLOOKUP(A53,'The List'!B1:I671,8,FALSE)</f>
        <v>310.19204103301007</v>
      </c>
      <c r="F53" s="55" cm="1">
        <f t="array" ref="F53">IF(Settings!$E$15="POINTS",E53-VLOOKUP(B$2,C1:E210,3,FALSE),J53)</f>
        <v>-76.343165360072931</v>
      </c>
      <c r="G53" s="55"/>
      <c r="H53" s="167" cm="1">
        <f t="array" ref="H53">RANK(I53,I3:I210)</f>
        <v>39</v>
      </c>
      <c r="I53" s="168" cm="1">
        <f t="array" ref="I53">VLOOKUP(A53,'Standard Deviations'!A1:C672,3,FALSE)</f>
        <v>4.9281615737601436</v>
      </c>
      <c r="J53" s="168" cm="1">
        <f t="array" ref="J53">I53-VLOOKUP(B$2,H1:J210,2,FALSE)</f>
        <v>-1.4533128291928001</v>
      </c>
    </row>
    <row r="54" spans="1:10" ht="21.25" customHeight="1" x14ac:dyDescent="0.15">
      <c r="A54" s="10" t="s">
        <v>309</v>
      </c>
      <c r="B54" s="88" t="str" cm="1">
        <f t="array" ref="B54">VLOOKUP(A54,'The List'!B1:D671,3,FALSE)</f>
        <v>C,RW</v>
      </c>
      <c r="C54" s="89" cm="1">
        <f t="array" ref="C54">IF(Settings!$E$15="POINTS",RANK(E54,E3:E210),H54)</f>
        <v>52</v>
      </c>
      <c r="D54" s="18" t="str" cm="1">
        <f t="array" ref="D54">VLOOKUP(A54,'The List'!B1:F671,5,FALSE)</f>
        <v>MIN</v>
      </c>
      <c r="E54" s="55" cm="1">
        <f t="array" ref="E54">VLOOKUP(A54,'The List'!B1:I671,8,FALSE)</f>
        <v>307.88463396228008</v>
      </c>
      <c r="F54" s="55" cm="1">
        <f t="array" ref="F54">IF(Settings!$E$15="POINTS",E54-VLOOKUP(B$2,C1:E210,3,FALSE),J54)</f>
        <v>-78.650572430802924</v>
      </c>
      <c r="G54" s="55"/>
      <c r="H54" s="167" cm="1">
        <f t="array" ref="H54">RANK(I54,I3:I210)</f>
        <v>23</v>
      </c>
      <c r="I54" s="168" cm="1">
        <f t="array" ref="I54">VLOOKUP(A54,'Standard Deviations'!A1:C672,3,FALSE)</f>
        <v>6.0876328239385975</v>
      </c>
      <c r="J54" s="168" cm="1">
        <f t="array" ref="J54">I54-VLOOKUP(B$2,H1:J210,2,FALSE)</f>
        <v>-0.29384157901434627</v>
      </c>
    </row>
    <row r="55" spans="1:10" ht="21.25" customHeight="1" x14ac:dyDescent="0.15">
      <c r="A55" s="10" t="s">
        <v>321</v>
      </c>
      <c r="B55" s="88" t="str" cm="1">
        <f t="array" ref="B55">VLOOKUP(A55,'The List'!B1:D671,3,FALSE)</f>
        <v>C,LW</v>
      </c>
      <c r="C55" s="89" cm="1">
        <f t="array" ref="C55">IF(Settings!$E$15="POINTS",RANK(E55,E3:E210),H55)</f>
        <v>53</v>
      </c>
      <c r="D55" s="18" t="str" cm="1">
        <f t="array" ref="D55">VLOOKUP(A55,'The List'!B1:F671,5,FALSE)</f>
        <v>SEA</v>
      </c>
      <c r="E55" s="55" cm="1">
        <f t="array" ref="E55">VLOOKUP(A55,'The List'!B1:I671,8,FALSE)</f>
        <v>304.58235299228926</v>
      </c>
      <c r="F55" s="55" cm="1">
        <f t="array" ref="F55">IF(Settings!$E$15="POINTS",E55-VLOOKUP(B$2,C1:E210,3,FALSE),J55)</f>
        <v>-81.952853400793742</v>
      </c>
      <c r="G55" s="55"/>
      <c r="H55" s="167" cm="1">
        <f t="array" ref="H55">RANK(I55,I3:I210)</f>
        <v>67</v>
      </c>
      <c r="I55" s="168" cm="1">
        <f t="array" ref="I55">VLOOKUP(A55,'Standard Deviations'!A1:C672,3,FALSE)</f>
        <v>1.2180920739004422</v>
      </c>
      <c r="J55" s="168" cm="1">
        <f t="array" ref="J55">I55-VLOOKUP(B$2,H1:J210,2,FALSE)</f>
        <v>-5.1633823290525012</v>
      </c>
    </row>
    <row r="56" spans="1:10" ht="21.25" customHeight="1" x14ac:dyDescent="0.15">
      <c r="A56" s="10" t="s">
        <v>313</v>
      </c>
      <c r="B56" s="88" t="str" cm="1">
        <f t="array" ref="B56">VLOOKUP(A56,'The List'!B1:D671,3,FALSE)</f>
        <v>C</v>
      </c>
      <c r="C56" s="89" cm="1">
        <f t="array" ref="C56">IF(Settings!$E$15="POINTS",RANK(E56,E3:E210),H56)</f>
        <v>54</v>
      </c>
      <c r="D56" s="18" t="str" cm="1">
        <f t="array" ref="D56">VLOOKUP(A56,'The List'!B1:F671,5,FALSE)</f>
        <v>VAN</v>
      </c>
      <c r="E56" s="55" cm="1">
        <f t="array" ref="E56">VLOOKUP(A56,'The List'!B1:I671,8,FALSE)</f>
        <v>296.51389000362656</v>
      </c>
      <c r="F56" s="55" cm="1">
        <f t="array" ref="F56">IF(Settings!$E$15="POINTS",E56-VLOOKUP(B$2,C1:E210,3,FALSE),J56)</f>
        <v>-90.021316389456445</v>
      </c>
      <c r="G56" s="55"/>
      <c r="H56" s="167" cm="1">
        <f t="array" ref="H56">RANK(I56,I3:I210)</f>
        <v>69</v>
      </c>
      <c r="I56" s="168" cm="1">
        <f t="array" ref="I56">VLOOKUP(A56,'Standard Deviations'!A1:C672,3,FALSE)</f>
        <v>0.7633596579150731</v>
      </c>
      <c r="J56" s="168" cm="1">
        <f t="array" ref="J56">I56-VLOOKUP(B$2,H1:J210,2,FALSE)</f>
        <v>-5.6181147450378708</v>
      </c>
    </row>
    <row r="57" spans="1:10" ht="21.25" customHeight="1" x14ac:dyDescent="0.15">
      <c r="A57" s="10" t="s">
        <v>330</v>
      </c>
      <c r="B57" s="88" t="str" cm="1">
        <f t="array" ref="B57">VLOOKUP(A57,'The List'!B1:D671,3,FALSE)</f>
        <v>C,LW,RW</v>
      </c>
      <c r="C57" s="89" cm="1">
        <f t="array" ref="C57">IF(Settings!$E$15="POINTS",RANK(E57,E3:E210),H57)</f>
        <v>55</v>
      </c>
      <c r="D57" s="18" t="str" cm="1">
        <f t="array" ref="D57">VLOOKUP(A57,'The List'!B1:F671,5,FALSE)</f>
        <v>PHI</v>
      </c>
      <c r="E57" s="55" cm="1">
        <f t="array" ref="E57">VLOOKUP(A57,'The List'!B1:I671,8,FALSE)</f>
        <v>296.03676603353699</v>
      </c>
      <c r="F57" s="55" cm="1">
        <f t="array" ref="F57">IF(Settings!$E$15="POINTS",E57-VLOOKUP(B$2,C1:E210,3,FALSE),J57)</f>
        <v>-90.498440359546009</v>
      </c>
      <c r="G57" s="55"/>
      <c r="H57" s="167" cm="1">
        <f t="array" ref="H57">RANK(I57,I3:I210)</f>
        <v>48</v>
      </c>
      <c r="I57" s="168" cm="1">
        <f t="array" ref="I57">VLOOKUP(A57,'Standard Deviations'!A1:C672,3,FALSE)</f>
        <v>3.7023649153629781</v>
      </c>
      <c r="J57" s="168" cm="1">
        <f t="array" ref="J57">I57-VLOOKUP(B$2,H1:J210,2,FALSE)</f>
        <v>-2.6791094875899657</v>
      </c>
    </row>
    <row r="58" spans="1:10" ht="21.25" customHeight="1" x14ac:dyDescent="0.15">
      <c r="A58" s="10" t="s">
        <v>341</v>
      </c>
      <c r="B58" s="88" t="str" cm="1">
        <f t="array" ref="B58">VLOOKUP(A58,'The List'!B1:D671,3,FALSE)</f>
        <v>C,LW</v>
      </c>
      <c r="C58" s="89" cm="1">
        <f t="array" ref="C58">IF(Settings!$E$15="POINTS",RANK(E58,E3:E210),H58)</f>
        <v>56</v>
      </c>
      <c r="D58" s="18" t="str" cm="1">
        <f t="array" ref="D58">VLOOKUP(A58,'The List'!B1:F671,5,FALSE)</f>
        <v>EDM</v>
      </c>
      <c r="E58" s="55" cm="1">
        <f t="array" ref="E58">VLOOKUP(A58,'The List'!B1:I671,8,FALSE)</f>
        <v>295.51112873580962</v>
      </c>
      <c r="F58" s="55" cm="1">
        <f t="array" ref="F58">IF(Settings!$E$15="POINTS",E58-VLOOKUP(B$2,C1:E210,3,FALSE),J58)</f>
        <v>-91.024077657273381</v>
      </c>
      <c r="G58" s="55"/>
      <c r="H58" s="167" cm="1">
        <f t="array" ref="H58">RANK(I58,I3:I210)</f>
        <v>44</v>
      </c>
      <c r="I58" s="168" cm="1">
        <f t="array" ref="I58">VLOOKUP(A58,'Standard Deviations'!A1:C672,3,FALSE)</f>
        <v>4.2167105286581039</v>
      </c>
      <c r="J58" s="168" cm="1">
        <f t="array" ref="J58">I58-VLOOKUP(B$2,H1:J210,2,FALSE)</f>
        <v>-2.1647638742948399</v>
      </c>
    </row>
    <row r="59" spans="1:10" ht="21.25" customHeight="1" x14ac:dyDescent="0.15">
      <c r="A59" s="10" t="s">
        <v>320</v>
      </c>
      <c r="B59" s="88" t="str" cm="1">
        <f t="array" ref="B59">VLOOKUP(A59,'The List'!B1:D671,3,FALSE)</f>
        <v>C</v>
      </c>
      <c r="C59" s="89" cm="1">
        <f t="array" ref="C59">IF(Settings!$E$15="POINTS",RANK(E59,E3:E210),H59)</f>
        <v>57</v>
      </c>
      <c r="D59" s="18" t="str" cm="1">
        <f t="array" ref="D59">VLOOKUP(A59,'The List'!B1:F671,5,FALSE)</f>
        <v>SEA</v>
      </c>
      <c r="E59" s="55" cm="1">
        <f t="array" ref="E59">VLOOKUP(A59,'The List'!B1:I671,8,FALSE)</f>
        <v>292.5794372024348</v>
      </c>
      <c r="F59" s="55" cm="1">
        <f t="array" ref="F59">IF(Settings!$E$15="POINTS",E59-VLOOKUP(B$2,C1:E210,3,FALSE),J59)</f>
        <v>-93.955769190648198</v>
      </c>
      <c r="G59" s="55"/>
      <c r="H59" s="167" cm="1">
        <f t="array" ref="H59">RANK(I59,I3:I210)</f>
        <v>71</v>
      </c>
      <c r="I59" s="168" cm="1">
        <f t="array" ref="I59">VLOOKUP(A59,'Standard Deviations'!A1:C672,3,FALSE)</f>
        <v>0.62072602905089069</v>
      </c>
      <c r="J59" s="168" cm="1">
        <f t="array" ref="J59">I59-VLOOKUP(B$2,H1:J210,2,FALSE)</f>
        <v>-5.7607483739020529</v>
      </c>
    </row>
    <row r="60" spans="1:10" ht="21.25" customHeight="1" x14ac:dyDescent="0.15">
      <c r="A60" s="10" t="s">
        <v>334</v>
      </c>
      <c r="B60" s="88" t="str" cm="1">
        <f t="array" ref="B60">VLOOKUP(A60,'The List'!B1:D671,3,FALSE)</f>
        <v>C</v>
      </c>
      <c r="C60" s="89" cm="1">
        <f t="array" ref="C60">IF(Settings!$E$15="POINTS",RANK(E60,E3:E210),H60)</f>
        <v>58</v>
      </c>
      <c r="D60" s="18" t="str" cm="1">
        <f t="array" ref="D60">VLOOKUP(A60,'The List'!B1:F671,5,FALSE)</f>
        <v>STL</v>
      </c>
      <c r="E60" s="55" cm="1">
        <f t="array" ref="E60">VLOOKUP(A60,'The List'!B1:I671,8,FALSE)</f>
        <v>285.9174584433315</v>
      </c>
      <c r="F60" s="55" cm="1">
        <f t="array" ref="F60">IF(Settings!$E$15="POINTS",E60-VLOOKUP(B$2,C1:E210,3,FALSE),J60)</f>
        <v>-100.6177479497515</v>
      </c>
      <c r="G60" s="55"/>
      <c r="H60" s="167" cm="1">
        <f t="array" ref="H60">RANK(I60,I3:I210)</f>
        <v>55</v>
      </c>
      <c r="I60" s="168" cm="1">
        <f t="array" ref="I60">VLOOKUP(A60,'Standard Deviations'!A1:C672,3,FALSE)</f>
        <v>3.051040243189294</v>
      </c>
      <c r="J60" s="168" cm="1">
        <f t="array" ref="J60">I60-VLOOKUP(B$2,H1:J210,2,FALSE)</f>
        <v>-3.3304341597636498</v>
      </c>
    </row>
    <row r="61" spans="1:10" ht="21.25" customHeight="1" x14ac:dyDescent="0.15">
      <c r="A61" s="10" t="s">
        <v>356</v>
      </c>
      <c r="B61" s="88" t="str" cm="1">
        <f t="array" ref="B61">VLOOKUP(A61,'The List'!B1:D671,3,FALSE)</f>
        <v>C,RW</v>
      </c>
      <c r="C61" s="89" cm="1">
        <f t="array" ref="C61">IF(Settings!$E$15="POINTS",RANK(E61,E3:E210),H61)</f>
        <v>59</v>
      </c>
      <c r="D61" s="18" t="str" cm="1">
        <f t="array" ref="D61">VLOOKUP(A61,'The List'!B1:F671,5,FALSE)</f>
        <v>CAR</v>
      </c>
      <c r="E61" s="55" cm="1">
        <f t="array" ref="E61">VLOOKUP(A61,'The List'!B1:I671,8,FALSE)</f>
        <v>282.64966564291768</v>
      </c>
      <c r="F61" s="55" cm="1">
        <f t="array" ref="F61">IF(Settings!$E$15="POINTS",E61-VLOOKUP(B$2,C1:E210,3,FALSE),J61)</f>
        <v>-103.88554075016532</v>
      </c>
      <c r="G61" s="55"/>
      <c r="H61" s="167" cm="1">
        <f t="array" ref="H61">RANK(I61,I3:I210)</f>
        <v>54</v>
      </c>
      <c r="I61" s="168" cm="1">
        <f t="array" ref="I61">VLOOKUP(A61,'Standard Deviations'!A1:C672,3,FALSE)</f>
        <v>3.1187005661195313</v>
      </c>
      <c r="J61" s="168" cm="1">
        <f t="array" ref="J61">I61-VLOOKUP(B$2,H1:J210,2,FALSE)</f>
        <v>-3.2627738368334125</v>
      </c>
    </row>
    <row r="62" spans="1:10" ht="21.25" customHeight="1" x14ac:dyDescent="0.15">
      <c r="A62" s="10" t="s">
        <v>345</v>
      </c>
      <c r="B62" s="88" t="str" cm="1">
        <f t="array" ref="B62">VLOOKUP(A62,'The List'!B1:D671,3,FALSE)</f>
        <v>C</v>
      </c>
      <c r="C62" s="89" cm="1">
        <f t="array" ref="C62">IF(Settings!$E$15="POINTS",RANK(E62,E3:E210),H62)</f>
        <v>60</v>
      </c>
      <c r="D62" s="18" t="str" cm="1">
        <f t="array" ref="D62">VLOOKUP(A62,'The List'!B1:F671,5,FALSE)</f>
        <v>FLA</v>
      </c>
      <c r="E62" s="55" cm="1">
        <f t="array" ref="E62">VLOOKUP(A62,'The List'!B1:I671,8,FALSE)</f>
        <v>280.637352459152</v>
      </c>
      <c r="F62" s="55" cm="1">
        <f t="array" ref="F62">IF(Settings!$E$15="POINTS",E62-VLOOKUP(B$2,C1:E210,3,FALSE),J62)</f>
        <v>-105.897853933931</v>
      </c>
      <c r="G62" s="55"/>
      <c r="H62" s="167" cm="1">
        <f t="array" ref="H62">RANK(I62,I3:I210)</f>
        <v>36</v>
      </c>
      <c r="I62" s="168" cm="1">
        <f t="array" ref="I62">VLOOKUP(A62,'Standard Deviations'!A1:C672,3,FALSE)</f>
        <v>5.0961811733187403</v>
      </c>
      <c r="J62" s="168" cm="1">
        <f t="array" ref="J62">I62-VLOOKUP(B$2,H1:J210,2,FALSE)</f>
        <v>-1.2852932296342034</v>
      </c>
    </row>
    <row r="63" spans="1:10" ht="21.25" customHeight="1" x14ac:dyDescent="0.15">
      <c r="A63" s="10" t="s">
        <v>369</v>
      </c>
      <c r="B63" s="88" t="str" cm="1">
        <f t="array" ref="B63">VLOOKUP(A63,'The List'!B1:D671,3,FALSE)</f>
        <v>C,LW</v>
      </c>
      <c r="C63" s="89" cm="1">
        <f t="array" ref="C63">IF(Settings!$E$15="POINTS",RANK(E63,E3:E210),H63)</f>
        <v>61</v>
      </c>
      <c r="D63" s="18" t="str" cm="1">
        <f t="array" ref="D63">VLOOKUP(A63,'The List'!B1:F671,5,FALSE)</f>
        <v>BOS</v>
      </c>
      <c r="E63" s="55" cm="1">
        <f t="array" ref="E63">VLOOKUP(A63,'The List'!B1:I671,8,FALSE)</f>
        <v>279.59440691993996</v>
      </c>
      <c r="F63" s="55" cm="1">
        <f t="array" ref="F63">IF(Settings!$E$15="POINTS",E63-VLOOKUP(B$2,C1:E210,3,FALSE),J63)</f>
        <v>-106.94079947314304</v>
      </c>
      <c r="G63" s="55"/>
      <c r="H63" s="167" cm="1">
        <f t="array" ref="H63">RANK(I63,I3:I210)</f>
        <v>66</v>
      </c>
      <c r="I63" s="168" cm="1">
        <f t="array" ref="I63">VLOOKUP(A63,'Standard Deviations'!A1:C672,3,FALSE)</f>
        <v>1.2517199204761964</v>
      </c>
      <c r="J63" s="168" cm="1">
        <f t="array" ref="J63">I63-VLOOKUP(B$2,H1:J210,2,FALSE)</f>
        <v>-5.1297544824767476</v>
      </c>
    </row>
    <row r="64" spans="1:10" ht="21.25" customHeight="1" x14ac:dyDescent="0.15">
      <c r="A64" s="10" t="s">
        <v>375</v>
      </c>
      <c r="B64" s="88" t="str" cm="1">
        <f t="array" ref="B64">VLOOKUP(A64,'The List'!B1:D671,3,FALSE)</f>
        <v>C,LW</v>
      </c>
      <c r="C64" s="89" cm="1">
        <f t="array" ref="C64">IF(Settings!$E$15="POINTS",RANK(E64,E3:E210),H64)</f>
        <v>62</v>
      </c>
      <c r="D64" s="18" t="str" cm="1">
        <f t="array" ref="D64">VLOOKUP(A64,'The List'!B1:F671,5,FALSE)</f>
        <v>ANA</v>
      </c>
      <c r="E64" s="55" cm="1">
        <f t="array" ref="E64">VLOOKUP(A64,'The List'!B1:I671,8,FALSE)</f>
        <v>277.53981970935575</v>
      </c>
      <c r="F64" s="55" cm="1">
        <f t="array" ref="F64">IF(Settings!$E$15="POINTS",E64-VLOOKUP(B$2,C1:E210,3,FALSE),J64)</f>
        <v>-108.99538668372725</v>
      </c>
      <c r="G64" s="55"/>
      <c r="H64" s="167" cm="1">
        <f t="array" ref="H64">RANK(I64,I3:I210)</f>
        <v>68</v>
      </c>
      <c r="I64" s="168" cm="1">
        <f t="array" ref="I64">VLOOKUP(A64,'Standard Deviations'!A1:C672,3,FALSE)</f>
        <v>1.169831699652097</v>
      </c>
      <c r="J64" s="168" cm="1">
        <f t="array" ref="J64">I64-VLOOKUP(B$2,H1:J210,2,FALSE)</f>
        <v>-5.2116427033008463</v>
      </c>
    </row>
    <row r="65" spans="1:10" ht="21.25" customHeight="1" x14ac:dyDescent="0.15">
      <c r="A65" s="10" t="s">
        <v>363</v>
      </c>
      <c r="B65" s="88" t="str" cm="1">
        <f t="array" ref="B65">VLOOKUP(A65,'The List'!B1:D671,3,FALSE)</f>
        <v>C</v>
      </c>
      <c r="C65" s="89" cm="1">
        <f t="array" ref="C65">IF(Settings!$E$15="POINTS",RANK(E65,E3:E210),H65)</f>
        <v>63</v>
      </c>
      <c r="D65" s="18" t="str" cm="1">
        <f t="array" ref="D65">VLOOKUP(A65,'The List'!B1:F671,5,FALSE)</f>
        <v>FLA</v>
      </c>
      <c r="E65" s="55" cm="1">
        <f t="array" ref="E65">VLOOKUP(A65,'The List'!B1:I671,8,FALSE)</f>
        <v>268.87117893728691</v>
      </c>
      <c r="F65" s="55" cm="1">
        <f t="array" ref="F65">IF(Settings!$E$15="POINTS",E65-VLOOKUP(B$2,C1:E210,3,FALSE),J65)</f>
        <v>-117.66402745579609</v>
      </c>
      <c r="G65" s="55"/>
      <c r="H65" s="167" cm="1">
        <f t="array" ref="H65">RANK(I65,I3:I210)</f>
        <v>60</v>
      </c>
      <c r="I65" s="168" cm="1">
        <f t="array" ref="I65">VLOOKUP(A65,'Standard Deviations'!A1:C672,3,FALSE)</f>
        <v>2.497578424087465</v>
      </c>
      <c r="J65" s="168" cm="1">
        <f t="array" ref="J65">I65-VLOOKUP(B$2,H1:J210,2,FALSE)</f>
        <v>-3.8838959788654788</v>
      </c>
    </row>
    <row r="66" spans="1:10" ht="21.25" customHeight="1" x14ac:dyDescent="0.15">
      <c r="A66" s="10" t="s">
        <v>367</v>
      </c>
      <c r="B66" s="88" t="str" cm="1">
        <f t="array" ref="B66">VLOOKUP(A66,'The List'!B1:D671,3,FALSE)</f>
        <v>C</v>
      </c>
      <c r="C66" s="89" cm="1">
        <f t="array" ref="C66">IF(Settings!$E$15="POINTS",RANK(E66,E3:E210),H66)</f>
        <v>64</v>
      </c>
      <c r="D66" s="18" t="str" cm="1">
        <f t="array" ref="D66">VLOOKUP(A66,'The List'!B1:F671,5,FALSE)</f>
        <v>T.B</v>
      </c>
      <c r="E66" s="55" cm="1">
        <f t="array" ref="E66">VLOOKUP(A66,'The List'!B1:I671,8,FALSE)</f>
        <v>267.21200585273021</v>
      </c>
      <c r="F66" s="55" cm="1">
        <f t="array" ref="F66">IF(Settings!$E$15="POINTS",E66-VLOOKUP(B$2,C1:E210,3,FALSE),J66)</f>
        <v>-119.32320054035279</v>
      </c>
      <c r="G66" s="55"/>
      <c r="H66" s="167" cm="1">
        <f t="array" ref="H66">RANK(I66,I3:I210)</f>
        <v>51</v>
      </c>
      <c r="I66" s="168" cm="1">
        <f t="array" ref="I66">VLOOKUP(A66,'Standard Deviations'!A1:C672,3,FALSE)</f>
        <v>3.4311733005226293</v>
      </c>
      <c r="J66" s="168" cm="1">
        <f t="array" ref="J66">I66-VLOOKUP(B$2,H1:J210,2,FALSE)</f>
        <v>-2.9503011024303145</v>
      </c>
    </row>
    <row r="67" spans="1:10" ht="21.25" customHeight="1" x14ac:dyDescent="0.15">
      <c r="A67" s="10" t="s">
        <v>374</v>
      </c>
      <c r="B67" s="88" t="str" cm="1">
        <f t="array" ref="B67">VLOOKUP(A67,'The List'!B1:D671,3,FALSE)</f>
        <v>C</v>
      </c>
      <c r="C67" s="89" cm="1">
        <f t="array" ref="C67">IF(Settings!$E$15="POINTS",RANK(E67,E3:E210),H67)</f>
        <v>65</v>
      </c>
      <c r="D67" s="18" t="str" cm="1">
        <f t="array" ref="D67">VLOOKUP(A67,'The List'!B1:F671,5,FALSE)</f>
        <v>OTT</v>
      </c>
      <c r="E67" s="55" cm="1">
        <f t="array" ref="E67">VLOOKUP(A67,'The List'!B1:I671,8,FALSE)</f>
        <v>264.83905330530808</v>
      </c>
      <c r="F67" s="55" cm="1">
        <f t="array" ref="F67">IF(Settings!$E$15="POINTS",E67-VLOOKUP(B$2,C1:E210,3,FALSE),J67)</f>
        <v>-121.69615308777492</v>
      </c>
      <c r="G67" s="55"/>
      <c r="H67" s="167" cm="1">
        <f t="array" ref="H67">RANK(I67,I3:I210)</f>
        <v>62</v>
      </c>
      <c r="I67" s="168" cm="1">
        <f t="array" ref="I67">VLOOKUP(A67,'Standard Deviations'!A1:C672,3,FALSE)</f>
        <v>2.0788523658139031</v>
      </c>
      <c r="J67" s="168" cm="1">
        <f t="array" ref="J67">I67-VLOOKUP(B$2,H1:J210,2,FALSE)</f>
        <v>-4.3026220371390407</v>
      </c>
    </row>
    <row r="68" spans="1:10" ht="21.25" customHeight="1" x14ac:dyDescent="0.15">
      <c r="A68" s="10" t="s">
        <v>389</v>
      </c>
      <c r="B68" s="88" t="str" cm="1">
        <f t="array" ref="B68">VLOOKUP(A68,'The List'!B1:D671,3,FALSE)</f>
        <v>C</v>
      </c>
      <c r="C68" s="89" cm="1">
        <f t="array" ref="C68">IF(Settings!$E$15="POINTS",RANK(E68,E3:E210),H68)</f>
        <v>66</v>
      </c>
      <c r="D68" s="18" t="str" cm="1">
        <f t="array" ref="D68">VLOOKUP(A68,'The List'!B1:F671,5,FALSE)</f>
        <v>UTA</v>
      </c>
      <c r="E68" s="55" cm="1">
        <f t="array" ref="E68">VLOOKUP(A68,'The List'!B1:I671,8,FALSE)</f>
        <v>256.8486708595388</v>
      </c>
      <c r="F68" s="55" cm="1">
        <f t="array" ref="F68">IF(Settings!$E$15="POINTS",E68-VLOOKUP(B$2,C1:E210,3,FALSE),J68)</f>
        <v>-129.6865355335442</v>
      </c>
      <c r="G68" s="55"/>
      <c r="H68" s="167" cm="1">
        <f t="array" ref="H68">RANK(I68,I3:I210)</f>
        <v>63</v>
      </c>
      <c r="I68" s="168" cm="1">
        <f t="array" ref="I68">VLOOKUP(A68,'Standard Deviations'!A1:C672,3,FALSE)</f>
        <v>2.0130868882498483</v>
      </c>
      <c r="J68" s="168" cm="1">
        <f t="array" ref="J68">I68-VLOOKUP(B$2,H1:J210,2,FALSE)</f>
        <v>-4.3683875147030955</v>
      </c>
    </row>
    <row r="69" spans="1:10" ht="21.25" customHeight="1" x14ac:dyDescent="0.15">
      <c r="A69" s="10" t="s">
        <v>408</v>
      </c>
      <c r="B69" s="88" t="str" cm="1">
        <f t="array" ref="B69">VLOOKUP(A69,'The List'!B1:D671,3,FALSE)</f>
        <v>C,LW,RW</v>
      </c>
      <c r="C69" s="89" cm="1">
        <f t="array" ref="C69">IF(Settings!$E$15="POINTS",RANK(E69,E3:E210),H69)</f>
        <v>67</v>
      </c>
      <c r="D69" s="18" t="str" cm="1">
        <f t="array" ref="D69">VLOOKUP(A69,'The List'!B1:F671,5,FALSE)</f>
        <v>STL</v>
      </c>
      <c r="E69" s="55" cm="1">
        <f t="array" ref="E69">VLOOKUP(A69,'The List'!B1:I671,8,FALSE)</f>
        <v>255.80639228294342</v>
      </c>
      <c r="F69" s="55" cm="1">
        <f t="array" ref="F69">IF(Settings!$E$15="POINTS",E69-VLOOKUP(B$2,C1:E210,3,FALSE),J69)</f>
        <v>-130.72881411013958</v>
      </c>
      <c r="G69" s="55"/>
      <c r="H69" s="167" cm="1">
        <f t="array" ref="H69">RANK(I69,I3:I210)</f>
        <v>72</v>
      </c>
      <c r="I69" s="168" cm="1">
        <f t="array" ref="I69">VLOOKUP(A69,'Standard Deviations'!A1:C672,3,FALSE)</f>
        <v>0.61588298517463802</v>
      </c>
      <c r="J69" s="168" cm="1">
        <f t="array" ref="J69">I69-VLOOKUP(B$2,H1:J210,2,FALSE)</f>
        <v>-5.7655914177783059</v>
      </c>
    </row>
    <row r="70" spans="1:10" ht="21.25" customHeight="1" x14ac:dyDescent="0.15">
      <c r="A70" s="10" t="s">
        <v>395</v>
      </c>
      <c r="B70" s="88" t="str" cm="1">
        <f t="array" ref="B70">VLOOKUP(A70,'The List'!B1:D671,3,FALSE)</f>
        <v>C</v>
      </c>
      <c r="C70" s="89" cm="1">
        <f t="array" ref="C70">IF(Settings!$E$15="POINTS",RANK(E70,E3:E210),H70)</f>
        <v>68</v>
      </c>
      <c r="D70" s="18" t="str" cm="1">
        <f t="array" ref="D70">VLOOKUP(A70,'The List'!B1:F671,5,FALSE)</f>
        <v>CHI</v>
      </c>
      <c r="E70" s="55" cm="1">
        <f t="array" ref="E70">VLOOKUP(A70,'The List'!B1:I671,8,FALSE)</f>
        <v>253.68734531321095</v>
      </c>
      <c r="F70" s="55" cm="1">
        <f t="array" ref="F70">IF(Settings!$E$15="POINTS",E70-VLOOKUP(B$2,C1:E210,3,FALSE),J70)</f>
        <v>-132.84786107987205</v>
      </c>
      <c r="G70" s="55"/>
      <c r="H70" s="167" cm="1">
        <f t="array" ref="H70">RANK(I70,I3:I210)</f>
        <v>100</v>
      </c>
      <c r="I70" s="168" cm="1">
        <f t="array" ref="I70">VLOOKUP(A70,'Standard Deviations'!A1:C672,3,FALSE)</f>
        <v>-0.94610708361449802</v>
      </c>
      <c r="J70" s="168" cm="1">
        <f t="array" ref="J70">I70-VLOOKUP(B$2,H1:J210,2,FALSE)</f>
        <v>-7.3275814865674418</v>
      </c>
    </row>
    <row r="71" spans="1:10" ht="21.25" customHeight="1" x14ac:dyDescent="0.15">
      <c r="A71" s="10" t="s">
        <v>415</v>
      </c>
      <c r="B71" s="88" t="str" cm="1">
        <f t="array" ref="B71">VLOOKUP(A71,'The List'!B1:D671,3,FALSE)</f>
        <v>C,LW,RW</v>
      </c>
      <c r="C71" s="89" cm="1">
        <f t="array" ref="C71">IF(Settings!$E$15="POINTS",RANK(E71,E3:E210),H71)</f>
        <v>69</v>
      </c>
      <c r="D71" s="18" t="str" cm="1">
        <f t="array" ref="D71">VLOOKUP(A71,'The List'!B1:F671,5,FALSE)</f>
        <v>L.A</v>
      </c>
      <c r="E71" s="55" cm="1">
        <f t="array" ref="E71">VLOOKUP(A71,'The List'!B1:I671,8,FALSE)</f>
        <v>253.2762881512862</v>
      </c>
      <c r="F71" s="55" cm="1">
        <f t="array" ref="F71">IF(Settings!$E$15="POINTS",E71-VLOOKUP(B$2,C1:E210,3,FALSE),J71)</f>
        <v>-133.25891824179681</v>
      </c>
      <c r="G71" s="55"/>
      <c r="H71" s="167" cm="1">
        <f t="array" ref="H71">RANK(I71,I3:I210)</f>
        <v>70</v>
      </c>
      <c r="I71" s="168" cm="1">
        <f t="array" ref="I71">VLOOKUP(A71,'Standard Deviations'!A1:C672,3,FALSE)</f>
        <v>0.71110843045026217</v>
      </c>
      <c r="J71" s="168" cm="1">
        <f t="array" ref="J71">I71-VLOOKUP(B$2,H1:J210,2,FALSE)</f>
        <v>-5.6703659725026814</v>
      </c>
    </row>
    <row r="72" spans="1:10" ht="21.25" customHeight="1" x14ac:dyDescent="0.15">
      <c r="A72" s="10" t="s">
        <v>444</v>
      </c>
      <c r="B72" s="88" t="str" cm="1">
        <f t="array" ref="B72">VLOOKUP(A72,'The List'!B1:D671,3,FALSE)</f>
        <v>C,LW</v>
      </c>
      <c r="C72" s="89" cm="1">
        <f t="array" ref="C72">IF(Settings!$E$15="POINTS",RANK(E72,E3:E210),H72)</f>
        <v>70</v>
      </c>
      <c r="D72" s="18" t="str" cm="1">
        <f t="array" ref="D72">VLOOKUP(A72,'The List'!B1:F671,5,FALSE)</f>
        <v>STL</v>
      </c>
      <c r="E72" s="55" cm="1">
        <f t="array" ref="E72">VLOOKUP(A72,'The List'!B1:I671,8,FALSE)</f>
        <v>249.80174671123874</v>
      </c>
      <c r="F72" s="55" cm="1">
        <f t="array" ref="F72">IF(Settings!$E$15="POINTS",E72-VLOOKUP(B$2,C1:E210,3,FALSE),J72)</f>
        <v>-136.73345968184427</v>
      </c>
      <c r="G72" s="55"/>
      <c r="H72" s="167" cm="1">
        <f t="array" ref="H72">RANK(I72,I3:I210)</f>
        <v>74</v>
      </c>
      <c r="I72" s="168" cm="1">
        <f t="array" ref="I72">VLOOKUP(A72,'Standard Deviations'!A1:C672,3,FALSE)</f>
        <v>0.30748761088008131</v>
      </c>
      <c r="J72" s="168" cm="1">
        <f t="array" ref="J72">I72-VLOOKUP(B$2,H1:J210,2,FALSE)</f>
        <v>-6.0739867920728621</v>
      </c>
    </row>
    <row r="73" spans="1:10" ht="21.25" customHeight="1" x14ac:dyDescent="0.15">
      <c r="A73" s="10" t="s">
        <v>449</v>
      </c>
      <c r="B73" s="88" t="str" cm="1">
        <f t="array" ref="B73">VLOOKUP(A73,'The List'!B1:D671,3,FALSE)</f>
        <v>C,LW</v>
      </c>
      <c r="C73" s="89" cm="1">
        <f t="array" ref="C73">IF(Settings!$E$15="POINTS",RANK(E73,E3:E210),H73)</f>
        <v>71</v>
      </c>
      <c r="D73" s="18" t="str" cm="1">
        <f t="array" ref="D73">VLOOKUP(A73,'The List'!B1:F671,5,FALSE)</f>
        <v>MIN</v>
      </c>
      <c r="E73" s="55" cm="1">
        <f t="array" ref="E73">VLOOKUP(A73,'The List'!B1:I671,8,FALSE)</f>
        <v>247.62695514849818</v>
      </c>
      <c r="F73" s="55" cm="1">
        <f t="array" ref="F73">IF(Settings!$E$15="POINTS",E73-VLOOKUP(B$2,C1:E210,3,FALSE),J73)</f>
        <v>-138.90825124458482</v>
      </c>
      <c r="G73" s="55"/>
      <c r="H73" s="167" cm="1">
        <f t="array" ref="H73">RANK(I73,I3:I210)</f>
        <v>59</v>
      </c>
      <c r="I73" s="168" cm="1">
        <f t="array" ref="I73">VLOOKUP(A73,'Standard Deviations'!A1:C672,3,FALSE)</f>
        <v>2.6355760302936462</v>
      </c>
      <c r="J73" s="168" cm="1">
        <f t="array" ref="J73">I73-VLOOKUP(B$2,H1:J210,2,FALSE)</f>
        <v>-3.7458983726592976</v>
      </c>
    </row>
    <row r="74" spans="1:10" ht="21.25" customHeight="1" x14ac:dyDescent="0.15">
      <c r="A74" s="10" t="s">
        <v>453</v>
      </c>
      <c r="B74" s="88" t="str" cm="1">
        <f t="array" ref="B74">VLOOKUP(A74,'The List'!B1:D671,3,FALSE)</f>
        <v>C,LW</v>
      </c>
      <c r="C74" s="89" cm="1">
        <f t="array" ref="C74">IF(Settings!$E$15="POINTS",RANK(E74,E3:E210),H74)</f>
        <v>72</v>
      </c>
      <c r="D74" s="18" t="str" cm="1">
        <f t="array" ref="D74">VLOOKUP(A74,'The List'!B1:F671,5,FALSE)</f>
        <v>WSH</v>
      </c>
      <c r="E74" s="55" cm="1">
        <f t="array" ref="E74">VLOOKUP(A74,'The List'!B1:I671,8,FALSE)</f>
        <v>246.56140976422114</v>
      </c>
      <c r="F74" s="55" cm="1">
        <f t="array" ref="F74">IF(Settings!$E$15="POINTS",E74-VLOOKUP(B$2,C1:E210,3,FALSE),J74)</f>
        <v>-139.97379662886186</v>
      </c>
      <c r="G74" s="55"/>
      <c r="H74" s="167" cm="1">
        <f t="array" ref="H74">RANK(I74,I3:I210)</f>
        <v>58</v>
      </c>
      <c r="I74" s="168" cm="1">
        <f t="array" ref="I74">VLOOKUP(A74,'Standard Deviations'!A1:C672,3,FALSE)</f>
        <v>2.729344552414636</v>
      </c>
      <c r="J74" s="168" cm="1">
        <f t="array" ref="J74">I74-VLOOKUP(B$2,H1:J210,2,FALSE)</f>
        <v>-3.6521298505383077</v>
      </c>
    </row>
    <row r="75" spans="1:10" ht="21.25" customHeight="1" x14ac:dyDescent="0.15">
      <c r="A75" s="10" t="s">
        <v>413</v>
      </c>
      <c r="B75" s="88" t="str" cm="1">
        <f t="array" ref="B75">VLOOKUP(A75,'The List'!B1:D671,3,FALSE)</f>
        <v>C</v>
      </c>
      <c r="C75" s="89" cm="1">
        <f t="array" ref="C75">IF(Settings!$E$15="POINTS",RANK(E75,E3:E210),H75)</f>
        <v>73</v>
      </c>
      <c r="D75" s="18" t="str" cm="1">
        <f t="array" ref="D75">VLOOKUP(A75,'The List'!B1:F671,5,FALSE)</f>
        <v>SEA</v>
      </c>
      <c r="E75" s="55" cm="1">
        <f t="array" ref="E75">VLOOKUP(A75,'The List'!B1:I671,8,FALSE)</f>
        <v>245.25018137907443</v>
      </c>
      <c r="F75" s="55" cm="1">
        <f t="array" ref="F75">IF(Settings!$E$15="POINTS",E75-VLOOKUP(B$2,C1:E210,3,FALSE),J75)</f>
        <v>-141.28502501400857</v>
      </c>
      <c r="G75" s="55"/>
      <c r="H75" s="167" cm="1">
        <f t="array" ref="H75">RANK(I75,I3:I210)</f>
        <v>131</v>
      </c>
      <c r="I75" s="168" cm="1">
        <f t="array" ref="I75">VLOOKUP(A75,'Standard Deviations'!A1:C672,3,FALSE)</f>
        <v>-2.3845055844032248</v>
      </c>
      <c r="J75" s="168" cm="1">
        <f t="array" ref="J75">I75-VLOOKUP(B$2,H1:J210,2,FALSE)</f>
        <v>-8.7659799873561681</v>
      </c>
    </row>
    <row r="76" spans="1:10" ht="21.25" customHeight="1" x14ac:dyDescent="0.15">
      <c r="A76" s="10" t="s">
        <v>419</v>
      </c>
      <c r="B76" s="88" t="str" cm="1">
        <f t="array" ref="B76">VLOOKUP(A76,'The List'!B1:D671,3,FALSE)</f>
        <v>C</v>
      </c>
      <c r="C76" s="89" cm="1">
        <f t="array" ref="C76">IF(Settings!$E$15="POINTS",RANK(E76,E3:E210),H76)</f>
        <v>74</v>
      </c>
      <c r="D76" s="18" t="str" cm="1">
        <f t="array" ref="D76">VLOOKUP(A76,'The List'!B1:F671,5,FALSE)</f>
        <v>CGY</v>
      </c>
      <c r="E76" s="55" cm="1">
        <f t="array" ref="E76">VLOOKUP(A76,'The List'!B1:I671,8,FALSE)</f>
        <v>243.81124990232436</v>
      </c>
      <c r="F76" s="55" cm="1">
        <f t="array" ref="F76">IF(Settings!$E$15="POINTS",E76-VLOOKUP(B$2,C1:E210,3,FALSE),J76)</f>
        <v>-142.72395649075864</v>
      </c>
      <c r="G76" s="55"/>
      <c r="H76" s="167" cm="1">
        <f t="array" ref="H76">RANK(I76,I3:I210)</f>
        <v>98</v>
      </c>
      <c r="I76" s="168" cm="1">
        <f t="array" ref="I76">VLOOKUP(A76,'Standard Deviations'!A1:C672,3,FALSE)</f>
        <v>-0.89300768323189683</v>
      </c>
      <c r="J76" s="168" cm="1">
        <f t="array" ref="J76">I76-VLOOKUP(B$2,H1:J210,2,FALSE)</f>
        <v>-7.2744820861848405</v>
      </c>
    </row>
    <row r="77" spans="1:10" ht="21.25" customHeight="1" x14ac:dyDescent="0.15">
      <c r="A77" s="10" t="s">
        <v>422</v>
      </c>
      <c r="B77" s="88" t="str" cm="1">
        <f t="array" ref="B77">VLOOKUP(A77,'The List'!B1:D671,3,FALSE)</f>
        <v>C</v>
      </c>
      <c r="C77" s="89" cm="1">
        <f t="array" ref="C77">IF(Settings!$E$15="POINTS",RANK(E77,E3:E210),H77)</f>
        <v>75</v>
      </c>
      <c r="D77" s="18" t="str" cm="1">
        <f t="array" ref="D77">VLOOKUP(A77,'The List'!B1:F671,5,FALSE)</f>
        <v>S.J</v>
      </c>
      <c r="E77" s="55" cm="1">
        <f t="array" ref="E77">VLOOKUP(A77,'The List'!B1:I671,8,FALSE)</f>
        <v>243.22239443695764</v>
      </c>
      <c r="F77" s="55" cm="1">
        <f t="array" ref="F77">IF(Settings!$E$15="POINTS",E77-VLOOKUP(B$2,C1:E210,3,FALSE),J77)</f>
        <v>-143.31281195612536</v>
      </c>
      <c r="G77" s="55"/>
      <c r="H77" s="167" cm="1">
        <f t="array" ref="H77">RANK(I77,I3:I210)</f>
        <v>91</v>
      </c>
      <c r="I77" s="168" cm="1">
        <f t="array" ref="I77">VLOOKUP(A77,'Standard Deviations'!A1:C672,3,FALSE)</f>
        <v>-0.59775565002158004</v>
      </c>
      <c r="J77" s="168" cm="1">
        <f t="array" ref="J77">I77-VLOOKUP(B$2,H1:J210,2,FALSE)</f>
        <v>-6.9792300529745237</v>
      </c>
    </row>
    <row r="78" spans="1:10" ht="21.25" customHeight="1" x14ac:dyDescent="0.15">
      <c r="A78" s="10" t="s">
        <v>451</v>
      </c>
      <c r="B78" s="88" t="str" cm="1">
        <f t="array" ref="B78">VLOOKUP(A78,'The List'!B1:D671,3,FALSE)</f>
        <v>C,RW</v>
      </c>
      <c r="C78" s="89" cm="1">
        <f t="array" ref="C78">IF(Settings!$E$15="POINTS",RANK(E78,E3:E210),H78)</f>
        <v>76</v>
      </c>
      <c r="D78" s="18" t="str" cm="1">
        <f t="array" ref="D78">VLOOKUP(A78,'The List'!B1:F671,5,FALSE)</f>
        <v>DAL</v>
      </c>
      <c r="E78" s="55" cm="1">
        <f t="array" ref="E78">VLOOKUP(A78,'The List'!B1:I671,8,FALSE)</f>
        <v>242.34785746409622</v>
      </c>
      <c r="F78" s="55" cm="1">
        <f t="array" ref="F78">IF(Settings!$E$15="POINTS",E78-VLOOKUP(B$2,C1:E210,3,FALSE),J78)</f>
        <v>-144.18734892898678</v>
      </c>
      <c r="G78" s="55"/>
      <c r="H78" s="167" cm="1">
        <f t="array" ref="H78">RANK(I78,I3:I210)</f>
        <v>77</v>
      </c>
      <c r="I78" s="168" cm="1">
        <f t="array" ref="I78">VLOOKUP(A78,'Standard Deviations'!A1:C672,3,FALSE)</f>
        <v>0.25598175483585295</v>
      </c>
      <c r="J78" s="168" cm="1">
        <f t="array" ref="J78">I78-VLOOKUP(B$2,H1:J210,2,FALSE)</f>
        <v>-6.125492648117091</v>
      </c>
    </row>
    <row r="79" spans="1:10" ht="21.25" customHeight="1" x14ac:dyDescent="0.15">
      <c r="A79" s="10" t="s">
        <v>423</v>
      </c>
      <c r="B79" s="88" t="str" cm="1">
        <f t="array" ref="B79">VLOOKUP(A79,'The List'!B1:D671,3,FALSE)</f>
        <v>C</v>
      </c>
      <c r="C79" s="89" cm="1">
        <f t="array" ref="C79">IF(Settings!$E$15="POINTS",RANK(E79,E3:E210),H79)</f>
        <v>77</v>
      </c>
      <c r="D79" s="18" t="str" cm="1">
        <f t="array" ref="D79">VLOOKUP(A79,'The List'!B1:F671,5,FALSE)</f>
        <v>PIT</v>
      </c>
      <c r="E79" s="55" cm="1">
        <f t="array" ref="E79">VLOOKUP(A79,'The List'!B1:I671,8,FALSE)</f>
        <v>242.1889287381953</v>
      </c>
      <c r="F79" s="55" cm="1">
        <f t="array" ref="F79">IF(Settings!$E$15="POINTS",E79-VLOOKUP(B$2,C1:E210,3,FALSE),J79)</f>
        <v>-144.3462776548877</v>
      </c>
      <c r="G79" s="55"/>
      <c r="H79" s="167" cm="1">
        <f t="array" ref="H79">RANK(I79,I3:I210)</f>
        <v>78</v>
      </c>
      <c r="I79" s="168" cm="1">
        <f t="array" ref="I79">VLOOKUP(A79,'Standard Deviations'!A1:C672,3,FALSE)</f>
        <v>0.25086034548364522</v>
      </c>
      <c r="J79" s="168" cm="1">
        <f t="array" ref="J79">I79-VLOOKUP(B$2,H1:J210,2,FALSE)</f>
        <v>-6.1306140574692982</v>
      </c>
    </row>
    <row r="80" spans="1:10" ht="21.25" customHeight="1" x14ac:dyDescent="0.15">
      <c r="A80" s="10" t="s">
        <v>455</v>
      </c>
      <c r="B80" s="88" t="str" cm="1">
        <f t="array" ref="B80">VLOOKUP(A80,'The List'!B1:D671,3,FALSE)</f>
        <v>C,RW</v>
      </c>
      <c r="C80" s="89" cm="1">
        <f t="array" ref="C80">IF(Settings!$E$15="POINTS",RANK(E80,E3:E210),H80)</f>
        <v>78</v>
      </c>
      <c r="D80" s="18" t="str" cm="1">
        <f t="array" ref="D80">VLOOKUP(A80,'The List'!B1:F671,5,FALSE)</f>
        <v>NYI</v>
      </c>
      <c r="E80" s="55" cm="1">
        <f t="array" ref="E80">VLOOKUP(A80,'The List'!B1:I671,8,FALSE)</f>
        <v>241.6266570721115</v>
      </c>
      <c r="F80" s="55" cm="1">
        <f t="array" ref="F80">IF(Settings!$E$15="POINTS",E80-VLOOKUP(B$2,C1:E210,3,FALSE),J80)</f>
        <v>-144.9085493209715</v>
      </c>
      <c r="G80" s="55"/>
      <c r="H80" s="167" cm="1">
        <f t="array" ref="H80">RANK(I80,I3:I210)</f>
        <v>81</v>
      </c>
      <c r="I80" s="168" cm="1">
        <f t="array" ref="I80">VLOOKUP(A80,'Standard Deviations'!A1:C672,3,FALSE)</f>
        <v>-0.13900229145386706</v>
      </c>
      <c r="J80" s="168" cm="1">
        <f t="array" ref="J80">I80-VLOOKUP(B$2,H1:J210,2,FALSE)</f>
        <v>-6.5204766944068107</v>
      </c>
    </row>
    <row r="81" spans="1:10" ht="21.25" customHeight="1" x14ac:dyDescent="0.15">
      <c r="A81" s="10" t="s">
        <v>428</v>
      </c>
      <c r="B81" s="88" t="str" cm="1">
        <f t="array" ref="B81">VLOOKUP(A81,'The List'!B1:D671,3,FALSE)</f>
        <v>C</v>
      </c>
      <c r="C81" s="89" cm="1">
        <f t="array" ref="C81">IF(Settings!$E$15="POINTS",RANK(E81,E3:E210),H81)</f>
        <v>79</v>
      </c>
      <c r="D81" s="18" t="str" cm="1">
        <f t="array" ref="D81">VLOOKUP(A81,'The List'!B1:F671,5,FALSE)</f>
        <v>BOS</v>
      </c>
      <c r="E81" s="55" cm="1">
        <f t="array" ref="E81">VLOOKUP(A81,'The List'!B1:I671,8,FALSE)</f>
        <v>240.61133703848964</v>
      </c>
      <c r="F81" s="55" cm="1">
        <f t="array" ref="F81">IF(Settings!$E$15="POINTS",E81-VLOOKUP(B$2,C1:E210,3,FALSE),J81)</f>
        <v>-145.92386935459336</v>
      </c>
      <c r="G81" s="55"/>
      <c r="H81" s="167" cm="1">
        <f t="array" ref="H81">RANK(I81,I3:I210)</f>
        <v>88</v>
      </c>
      <c r="I81" s="168" cm="1">
        <f t="array" ref="I81">VLOOKUP(A81,'Standard Deviations'!A1:C672,3,FALSE)</f>
        <v>-0.34598065854628046</v>
      </c>
      <c r="J81" s="168" cm="1">
        <f t="array" ref="J81">I81-VLOOKUP(B$2,H1:J210,2,FALSE)</f>
        <v>-6.7274550614992243</v>
      </c>
    </row>
    <row r="82" spans="1:10" ht="21.25" customHeight="1" x14ac:dyDescent="0.15">
      <c r="A82" s="10" t="s">
        <v>429</v>
      </c>
      <c r="B82" s="88" t="str" cm="1">
        <f t="array" ref="B82">VLOOKUP(A82,'The List'!B1:D671,3,FALSE)</f>
        <v>C</v>
      </c>
      <c r="C82" s="89" cm="1">
        <f t="array" ref="C82">IF(Settings!$E$15="POINTS",RANK(E82,E3:E210),H82)</f>
        <v>80</v>
      </c>
      <c r="D82" s="18" t="str" cm="1">
        <f t="array" ref="D82">VLOOKUP(A82,'The List'!B1:F671,5,FALSE)</f>
        <v>BOS</v>
      </c>
      <c r="E82" s="55" cm="1">
        <f t="array" ref="E82">VLOOKUP(A82,'The List'!B1:I671,8,FALSE)</f>
        <v>240.19310583893491</v>
      </c>
      <c r="F82" s="55" cm="1">
        <f t="array" ref="F82">IF(Settings!$E$15="POINTS",E82-VLOOKUP(B$2,C1:E210,3,FALSE),J82)</f>
        <v>-146.34210055414809</v>
      </c>
      <c r="G82" s="55"/>
      <c r="H82" s="167" cm="1">
        <f t="array" ref="H82">RANK(I82,I3:I210)</f>
        <v>73</v>
      </c>
      <c r="I82" s="168" cm="1">
        <f t="array" ref="I82">VLOOKUP(A82,'Standard Deviations'!A1:C672,3,FALSE)</f>
        <v>0.44461670619554916</v>
      </c>
      <c r="J82" s="168" cm="1">
        <f t="array" ref="J82">I82-VLOOKUP(B$2,H1:J210,2,FALSE)</f>
        <v>-5.9368576967573947</v>
      </c>
    </row>
    <row r="83" spans="1:10" ht="21.25" customHeight="1" x14ac:dyDescent="0.15">
      <c r="A83" s="10" t="s">
        <v>443</v>
      </c>
      <c r="B83" s="88" t="str" cm="1">
        <f t="array" ref="B83">VLOOKUP(A83,'The List'!B1:D671,3,FALSE)</f>
        <v>C</v>
      </c>
      <c r="C83" s="89" cm="1">
        <f t="array" ref="C83">IF(Settings!$E$15="POINTS",RANK(E83,E3:E210),H83)</f>
        <v>81</v>
      </c>
      <c r="D83" s="18" t="str" cm="1">
        <f t="array" ref="D83">VLOOKUP(A83,'The List'!B1:F671,5,FALSE)</f>
        <v>BUF</v>
      </c>
      <c r="E83" s="55" cm="1">
        <f t="array" ref="E83">VLOOKUP(A83,'The List'!B1:I671,8,FALSE)</f>
        <v>237.14397314141749</v>
      </c>
      <c r="F83" s="55" cm="1">
        <f t="array" ref="F83">IF(Settings!$E$15="POINTS",E83-VLOOKUP(B$2,C1:E210,3,FALSE),J83)</f>
        <v>-149.39123325166551</v>
      </c>
      <c r="G83" s="55"/>
      <c r="H83" s="167" cm="1">
        <f t="array" ref="H83">RANK(I83,I3:I210)</f>
        <v>95</v>
      </c>
      <c r="I83" s="168" cm="1">
        <f t="array" ref="I83">VLOOKUP(A83,'Standard Deviations'!A1:C672,3,FALSE)</f>
        <v>-0.73525919693228281</v>
      </c>
      <c r="J83" s="168" cm="1">
        <f t="array" ref="J83">I83-VLOOKUP(B$2,H1:J210,2,FALSE)</f>
        <v>-7.1167335998852268</v>
      </c>
    </row>
    <row r="84" spans="1:10" ht="21.25" customHeight="1" x14ac:dyDescent="0.15">
      <c r="A84" s="10" t="s">
        <v>445</v>
      </c>
      <c r="B84" s="88" t="str" cm="1">
        <f t="array" ref="B84">VLOOKUP(A84,'The List'!B1:D671,3,FALSE)</f>
        <v>C</v>
      </c>
      <c r="C84" s="89" cm="1">
        <f t="array" ref="C84">IF(Settings!$E$15="POINTS",RANK(E84,E3:E210),H84)</f>
        <v>82</v>
      </c>
      <c r="D84" s="18" t="str" cm="1">
        <f t="array" ref="D84">VLOOKUP(A84,'The List'!B1:F671,5,FALSE)</f>
        <v>CBJ</v>
      </c>
      <c r="E84" s="55" cm="1">
        <f t="array" ref="E84">VLOOKUP(A84,'The List'!B1:I671,8,FALSE)</f>
        <v>236.58394924025976</v>
      </c>
      <c r="F84" s="55" cm="1">
        <f t="array" ref="F84">IF(Settings!$E$15="POINTS",E84-VLOOKUP(B$2,C1:E210,3,FALSE),J84)</f>
        <v>-149.95125715282325</v>
      </c>
      <c r="G84" s="55"/>
      <c r="H84" s="167" cm="1">
        <f t="array" ref="H84">RANK(I84,I3:I210)</f>
        <v>75</v>
      </c>
      <c r="I84" s="168" cm="1">
        <f t="array" ref="I84">VLOOKUP(A84,'Standard Deviations'!A1:C672,3,FALSE)</f>
        <v>0.2847113788808574</v>
      </c>
      <c r="J84" s="168" cm="1">
        <f t="array" ref="J84">I84-VLOOKUP(B$2,H1:J210,2,FALSE)</f>
        <v>-6.0967630240720867</v>
      </c>
    </row>
    <row r="85" spans="1:10" ht="21.25" customHeight="1" x14ac:dyDescent="0.15">
      <c r="A85" s="10" t="s">
        <v>472</v>
      </c>
      <c r="B85" s="88" t="str" cm="1">
        <f t="array" ref="B85">VLOOKUP(A85,'The List'!B1:D671,3,FALSE)</f>
        <v>C,RW</v>
      </c>
      <c r="C85" s="89" cm="1">
        <f t="array" ref="C85">IF(Settings!$E$15="POINTS",RANK(E85,E3:E210),H85)</f>
        <v>83</v>
      </c>
      <c r="D85" s="18" t="str" cm="1">
        <f t="array" ref="D85">VLOOKUP(A85,'The List'!B1:F671,5,FALSE)</f>
        <v>N.J</v>
      </c>
      <c r="E85" s="55" cm="1">
        <f t="array" ref="E85">VLOOKUP(A85,'The List'!B1:I671,8,FALSE)</f>
        <v>234.35865127818147</v>
      </c>
      <c r="F85" s="55" cm="1">
        <f t="array" ref="F85">IF(Settings!$E$15="POINTS",E85-VLOOKUP(B$2,C1:E210,3,FALSE),J85)</f>
        <v>-152.17655511490153</v>
      </c>
      <c r="G85" s="55"/>
      <c r="H85" s="167" cm="1">
        <f t="array" ref="H85">RANK(I85,I3:I210)</f>
        <v>86</v>
      </c>
      <c r="I85" s="168" cm="1">
        <f t="array" ref="I85">VLOOKUP(A85,'Standard Deviations'!A1:C672,3,FALSE)</f>
        <v>-0.30645082286994868</v>
      </c>
      <c r="J85" s="168" cm="1">
        <f t="array" ref="J85">I85-VLOOKUP(B$2,H1:J210,2,FALSE)</f>
        <v>-6.6879252258228927</v>
      </c>
    </row>
    <row r="86" spans="1:10" ht="21.25" customHeight="1" x14ac:dyDescent="0.15">
      <c r="A86" s="10" t="s">
        <v>485</v>
      </c>
      <c r="B86" s="88" t="str" cm="1">
        <f t="array" ref="B86">VLOOKUP(A86,'The List'!B1:D671,3,FALSE)</f>
        <v>C,RW</v>
      </c>
      <c r="C86" s="89" cm="1">
        <f t="array" ref="C86">IF(Settings!$E$15="POINTS",RANK(E86,E3:E210),H86)</f>
        <v>84</v>
      </c>
      <c r="D86" s="18" t="str" cm="1">
        <f t="array" ref="D86">VLOOKUP(A86,'The List'!B1:F671,5,FALSE)</f>
        <v>NSH</v>
      </c>
      <c r="E86" s="55" cm="1">
        <f t="array" ref="E86">VLOOKUP(A86,'The List'!B1:I671,8,FALSE)</f>
        <v>230.21416272990115</v>
      </c>
      <c r="F86" s="55" cm="1">
        <f t="array" ref="F86">IF(Settings!$E$15="POINTS",E86-VLOOKUP(B$2,C1:E210,3,FALSE),J86)</f>
        <v>-156.32104366318185</v>
      </c>
      <c r="G86" s="55"/>
      <c r="H86" s="167" cm="1">
        <f t="array" ref="H86">RANK(I86,I3:I210)</f>
        <v>105</v>
      </c>
      <c r="I86" s="168" cm="1">
        <f t="array" ref="I86">VLOOKUP(A86,'Standard Deviations'!A1:C672,3,FALSE)</f>
        <v>-1.1643298052082887</v>
      </c>
      <c r="J86" s="168" cm="1">
        <f t="array" ref="J86">I86-VLOOKUP(B$2,H1:J210,2,FALSE)</f>
        <v>-7.5458042081612327</v>
      </c>
    </row>
    <row r="87" spans="1:10" ht="21.25" customHeight="1" x14ac:dyDescent="0.15">
      <c r="A87" s="10" t="s">
        <v>501</v>
      </c>
      <c r="B87" s="88" t="str" cm="1">
        <f t="array" ref="B87">VLOOKUP(A87,'The List'!B1:D671,3,FALSE)</f>
        <v>C,LW</v>
      </c>
      <c r="C87" s="89" cm="1">
        <f t="array" ref="C87">IF(Settings!$E$15="POINTS",RANK(E87,E3:E210),H87)</f>
        <v>85</v>
      </c>
      <c r="D87" s="18" t="str" cm="1">
        <f t="array" ref="D87">VLOOKUP(A87,'The List'!B1:F671,5,FALSE)</f>
        <v>DET</v>
      </c>
      <c r="E87" s="55" cm="1">
        <f t="array" ref="E87">VLOOKUP(A87,'The List'!B1:I671,8,FALSE)</f>
        <v>227.73875813709486</v>
      </c>
      <c r="F87" s="55" cm="1">
        <f t="array" ref="F87">IF(Settings!$E$15="POINTS",E87-VLOOKUP(B$2,C1:E210,3,FALSE),J87)</f>
        <v>-158.79644825598814</v>
      </c>
      <c r="G87" s="55"/>
      <c r="H87" s="167" cm="1">
        <f t="array" ref="H87">RANK(I87,I3:I210)</f>
        <v>89</v>
      </c>
      <c r="I87" s="168" cm="1">
        <f t="array" ref="I87">VLOOKUP(A87,'Standard Deviations'!A1:C672,3,FALSE)</f>
        <v>-0.51537758583287419</v>
      </c>
      <c r="J87" s="168" cm="1">
        <f t="array" ref="J87">I87-VLOOKUP(B$2,H1:J210,2,FALSE)</f>
        <v>-6.8968519887858175</v>
      </c>
    </row>
    <row r="88" spans="1:10" ht="21.25" customHeight="1" x14ac:dyDescent="0.15">
      <c r="A88" s="10" t="s">
        <v>492</v>
      </c>
      <c r="B88" s="88" t="str" cm="1">
        <f t="array" ref="B88">VLOOKUP(A88,'The List'!B1:D671,3,FALSE)</f>
        <v>C,RW</v>
      </c>
      <c r="C88" s="89" cm="1">
        <f t="array" ref="C88">IF(Settings!$E$15="POINTS",RANK(E88,E3:E210),H88)</f>
        <v>86</v>
      </c>
      <c r="D88" s="18" t="str" cm="1">
        <f t="array" ref="D88">VLOOKUP(A88,'The List'!B1:F671,5,FALSE)</f>
        <v>SEA</v>
      </c>
      <c r="E88" s="55" cm="1">
        <f t="array" ref="E88">VLOOKUP(A88,'The List'!B1:I671,8,FALSE)</f>
        <v>226.33554928553428</v>
      </c>
      <c r="F88" s="55" cm="1">
        <f t="array" ref="F88">IF(Settings!$E$15="POINTS",E88-VLOOKUP(B$2,C1:E210,3,FALSE),J88)</f>
        <v>-160.19965710754872</v>
      </c>
      <c r="G88" s="55"/>
      <c r="H88" s="167" cm="1">
        <f t="array" ref="H88">RANK(I88,I3:I210)</f>
        <v>115</v>
      </c>
      <c r="I88" s="168" cm="1">
        <f t="array" ref="I88">VLOOKUP(A88,'Standard Deviations'!A1:C672,3,FALSE)</f>
        <v>-1.7267018047371314</v>
      </c>
      <c r="J88" s="168" cm="1">
        <f t="array" ref="J88">I88-VLOOKUP(B$2,H1:J210,2,FALSE)</f>
        <v>-8.1081762076900752</v>
      </c>
    </row>
    <row r="89" spans="1:10" ht="21.25" customHeight="1" x14ac:dyDescent="0.15">
      <c r="A89" s="10" t="s">
        <v>493</v>
      </c>
      <c r="B89" s="88" t="str" cm="1">
        <f t="array" ref="B89">VLOOKUP(A89,'The List'!B1:D671,3,FALSE)</f>
        <v>C,RW</v>
      </c>
      <c r="C89" s="89" cm="1">
        <f t="array" ref="C89">IF(Settings!$E$15="POINTS",RANK(E89,E3:E210),H89)</f>
        <v>87</v>
      </c>
      <c r="D89" s="18" t="str" cm="1">
        <f t="array" ref="D89">VLOOKUP(A89,'The List'!B1:F671,5,FALSE)</f>
        <v>EDM</v>
      </c>
      <c r="E89" s="55" cm="1">
        <f t="array" ref="E89">VLOOKUP(A89,'The List'!B1:I671,8,FALSE)</f>
        <v>226.21666134188769</v>
      </c>
      <c r="F89" s="55" cm="1">
        <f t="array" ref="F89">IF(Settings!$E$15="POINTS",E89-VLOOKUP(B$2,C1:E210,3,FALSE),J89)</f>
        <v>-160.31854505119531</v>
      </c>
      <c r="G89" s="55"/>
      <c r="H89" s="167" cm="1">
        <f t="array" ref="H89">RANK(I89,I3:I210)</f>
        <v>80</v>
      </c>
      <c r="I89" s="168" cm="1">
        <f t="array" ref="I89">VLOOKUP(A89,'Standard Deviations'!A1:C672,3,FALSE)</f>
        <v>7.3202651235412364E-2</v>
      </c>
      <c r="J89" s="168" cm="1">
        <f t="array" ref="J89">I89-VLOOKUP(B$2,H1:J210,2,FALSE)</f>
        <v>-6.3082717517175313</v>
      </c>
    </row>
    <row r="90" spans="1:10" ht="21.25" customHeight="1" x14ac:dyDescent="0.15">
      <c r="A90" s="10" t="s">
        <v>476</v>
      </c>
      <c r="B90" s="88" t="str" cm="1">
        <f t="array" ref="B90">VLOOKUP(A90,'The List'!B1:D671,3,FALSE)</f>
        <v>C</v>
      </c>
      <c r="C90" s="89" cm="1">
        <f t="array" ref="C90">IF(Settings!$E$15="POINTS",RANK(E90,E3:E210),H90)</f>
        <v>88</v>
      </c>
      <c r="D90" s="18" t="str" cm="1">
        <f t="array" ref="D90">VLOOKUP(A90,'The List'!B1:F671,5,FALSE)</f>
        <v>PHI</v>
      </c>
      <c r="E90" s="55" cm="1">
        <f t="array" ref="E90">VLOOKUP(A90,'The List'!B1:I671,8,FALSE)</f>
        <v>224.20574935999457</v>
      </c>
      <c r="F90" s="55" cm="1">
        <f t="array" ref="F90">IF(Settings!$E$15="POINTS",E90-VLOOKUP(B$2,C1:E210,3,FALSE),J90)</f>
        <v>-162.32945703308843</v>
      </c>
      <c r="G90" s="55"/>
      <c r="H90" s="167" cm="1">
        <f t="array" ref="H90">RANK(I90,I3:I210)</f>
        <v>96</v>
      </c>
      <c r="I90" s="168" cm="1">
        <f t="array" ref="I90">VLOOKUP(A90,'Standard Deviations'!A1:C672,3,FALSE)</f>
        <v>-0.76594322418183824</v>
      </c>
      <c r="J90" s="168" cm="1">
        <f t="array" ref="J90">I90-VLOOKUP(B$2,H1:J210,2,FALSE)</f>
        <v>-7.1474176271347822</v>
      </c>
    </row>
    <row r="91" spans="1:10" ht="21.25" customHeight="1" x14ac:dyDescent="0.15">
      <c r="A91" s="10" t="s">
        <v>478</v>
      </c>
      <c r="B91" s="88" t="str" cm="1">
        <f t="array" ref="B91">VLOOKUP(A91,'The List'!B1:D671,3,FALSE)</f>
        <v>C</v>
      </c>
      <c r="C91" s="89" cm="1">
        <f t="array" ref="C91">IF(Settings!$E$15="POINTS",RANK(E91,E3:E210),H91)</f>
        <v>89</v>
      </c>
      <c r="D91" s="18" t="str" cm="1">
        <f t="array" ref="D91">VLOOKUP(A91,'The List'!B1:F671,5,FALSE)</f>
        <v>CGY</v>
      </c>
      <c r="E91" s="55" cm="1">
        <f t="array" ref="E91">VLOOKUP(A91,'The List'!B1:I671,8,FALSE)</f>
        <v>223.39440162916191</v>
      </c>
      <c r="F91" s="55" cm="1">
        <f t="array" ref="F91">IF(Settings!$E$15="POINTS",E91-VLOOKUP(B$2,C1:E210,3,FALSE),J91)</f>
        <v>-163.1408047639211</v>
      </c>
      <c r="G91" s="55"/>
      <c r="H91" s="167" cm="1">
        <f t="array" ref="H91">RANK(I91,I3:I210)</f>
        <v>140</v>
      </c>
      <c r="I91" s="168" cm="1">
        <f t="array" ref="I91">VLOOKUP(A91,'Standard Deviations'!A1:C672,3,FALSE)</f>
        <v>-2.5414568001263587</v>
      </c>
      <c r="J91" s="168" cm="1">
        <f t="array" ref="J91">I91-VLOOKUP(B$2,H1:J210,2,FALSE)</f>
        <v>-8.9229312030793029</v>
      </c>
    </row>
    <row r="92" spans="1:10" ht="21.25" customHeight="1" x14ac:dyDescent="0.15">
      <c r="A92" s="10" t="s">
        <v>521</v>
      </c>
      <c r="B92" s="88" t="str" cm="1">
        <f t="array" ref="B92">VLOOKUP(A92,'The List'!B1:D671,3,FALSE)</f>
        <v>C,LW,RW</v>
      </c>
      <c r="C92" s="89" cm="1">
        <f t="array" ref="C92">IF(Settings!$E$15="POINTS",RANK(E92,E3:E210),H92)</f>
        <v>90</v>
      </c>
      <c r="D92" s="18" t="str" cm="1">
        <f t="array" ref="D92">VLOOKUP(A92,'The List'!B1:F671,5,FALSE)</f>
        <v>OTT</v>
      </c>
      <c r="E92" s="55" cm="1">
        <f t="array" ref="E92">VLOOKUP(A92,'The List'!B1:I671,8,FALSE)</f>
        <v>216.25971582303217</v>
      </c>
      <c r="F92" s="55" cm="1">
        <f t="array" ref="F92">IF(Settings!$E$15="POINTS",E92-VLOOKUP(B$2,C1:E210,3,FALSE),J92)</f>
        <v>-170.27549057005083</v>
      </c>
      <c r="G92" s="55"/>
      <c r="H92" s="167" cm="1">
        <f t="array" ref="H92">RANK(I92,I3:I210)</f>
        <v>83</v>
      </c>
      <c r="I92" s="168" cm="1">
        <f t="array" ref="I92">VLOOKUP(A92,'Standard Deviations'!A1:C672,3,FALSE)</f>
        <v>-0.17575097875840084</v>
      </c>
      <c r="J92" s="168" cm="1">
        <f t="array" ref="J92">I92-VLOOKUP(B$2,H1:J210,2,FALSE)</f>
        <v>-6.5572253817113442</v>
      </c>
    </row>
    <row r="93" spans="1:10" ht="21.25" customHeight="1" x14ac:dyDescent="0.15">
      <c r="A93" s="10" t="s">
        <v>524</v>
      </c>
      <c r="B93" s="88" t="str" cm="1">
        <f t="array" ref="B93">VLOOKUP(A93,'The List'!B1:D671,3,FALSE)</f>
        <v>C,LW,RW</v>
      </c>
      <c r="C93" s="89" cm="1">
        <f t="array" ref="C93">IF(Settings!$E$15="POINTS",RANK(E93,E3:E210),H93)</f>
        <v>91</v>
      </c>
      <c r="D93" s="18" t="str" cm="1">
        <f t="array" ref="D93">VLOOKUP(A93,'The List'!B1:F671,5,FALSE)</f>
        <v>CGY</v>
      </c>
      <c r="E93" s="55" cm="1">
        <f t="array" ref="E93">VLOOKUP(A93,'The List'!B1:I671,8,FALSE)</f>
        <v>214.72953506271566</v>
      </c>
      <c r="F93" s="55" cm="1">
        <f t="array" ref="F93">IF(Settings!$E$15="POINTS",E93-VLOOKUP(B$2,C1:E210,3,FALSE),J93)</f>
        <v>-171.80567133036735</v>
      </c>
      <c r="G93" s="55"/>
      <c r="H93" s="167" cm="1">
        <f t="array" ref="H93">RANK(I93,I3:I210)</f>
        <v>163</v>
      </c>
      <c r="I93" s="168" cm="1">
        <f t="array" ref="I93">VLOOKUP(A93,'Standard Deviations'!A1:C672,3,FALSE)</f>
        <v>-3.6681152532979335</v>
      </c>
      <c r="J93" s="168" cm="1">
        <f t="array" ref="J93">I93-VLOOKUP(B$2,H1:J210,2,FALSE)</f>
        <v>-10.049589656250877</v>
      </c>
    </row>
    <row r="94" spans="1:10" ht="21.25" customHeight="1" x14ac:dyDescent="0.15">
      <c r="A94" s="10" t="s">
        <v>506</v>
      </c>
      <c r="B94" s="88" t="str" cm="1">
        <f t="array" ref="B94">VLOOKUP(A94,'The List'!B1:D671,3,FALSE)</f>
        <v>C</v>
      </c>
      <c r="C94" s="89" cm="1">
        <f t="array" ref="C94">IF(Settings!$E$15="POINTS",RANK(E94,E3:E210),H94)</f>
        <v>92</v>
      </c>
      <c r="D94" s="18" t="str" cm="1">
        <f t="array" ref="D94">VLOOKUP(A94,'The List'!B1:F671,5,FALSE)</f>
        <v>CBJ</v>
      </c>
      <c r="E94" s="55" cm="1">
        <f t="array" ref="E94">VLOOKUP(A94,'The List'!B1:I671,8,FALSE)</f>
        <v>213.55282578873681</v>
      </c>
      <c r="F94" s="55" cm="1">
        <f t="array" ref="F94">IF(Settings!$E$15="POINTS",E94-VLOOKUP(B$2,C1:E210,3,FALSE),J94)</f>
        <v>-172.98238060434619</v>
      </c>
      <c r="G94" s="55"/>
      <c r="H94" s="167" cm="1">
        <f t="array" ref="H94">RANK(I94,I3:I210)</f>
        <v>101</v>
      </c>
      <c r="I94" s="168" cm="1">
        <f t="array" ref="I94">VLOOKUP(A94,'Standard Deviations'!A1:C672,3,FALSE)</f>
        <v>-0.98259400013420284</v>
      </c>
      <c r="J94" s="168" cm="1">
        <f t="array" ref="J94">I94-VLOOKUP(B$2,H1:J210,2,FALSE)</f>
        <v>-7.3640684030871464</v>
      </c>
    </row>
    <row r="95" spans="1:10" ht="21.25" customHeight="1" x14ac:dyDescent="0.15">
      <c r="A95" s="10" t="s">
        <v>540</v>
      </c>
      <c r="B95" s="88" t="str" cm="1">
        <f t="array" ref="B95">VLOOKUP(A95,'The List'!B1:D671,3,FALSE)</f>
        <v>C,LW</v>
      </c>
      <c r="C95" s="89" cm="1">
        <f t="array" ref="C95">IF(Settings!$E$15="POINTS",RANK(E95,E3:E210),H95)</f>
        <v>93</v>
      </c>
      <c r="D95" s="18" t="str" cm="1">
        <f t="array" ref="D95">VLOOKUP(A95,'The List'!B1:F671,5,FALSE)</f>
        <v>NSH</v>
      </c>
      <c r="E95" s="55" cm="1">
        <f t="array" ref="E95">VLOOKUP(A95,'The List'!B1:I671,8,FALSE)</f>
        <v>212.69273059863824</v>
      </c>
      <c r="F95" s="55" cm="1">
        <f t="array" ref="F95">IF(Settings!$E$15="POINTS",E95-VLOOKUP(B$2,C1:E210,3,FALSE),J95)</f>
        <v>-173.84247579444477</v>
      </c>
      <c r="G95" s="55"/>
      <c r="H95" s="167" cm="1">
        <f t="array" ref="H95">RANK(I95,I3:I210)</f>
        <v>108</v>
      </c>
      <c r="I95" s="168" cm="1">
        <f t="array" ref="I95">VLOOKUP(A95,'Standard Deviations'!A1:C672,3,FALSE)</f>
        <v>-1.255920916266668</v>
      </c>
      <c r="J95" s="168" cm="1">
        <f t="array" ref="J95">I95-VLOOKUP(B$2,H1:J210,2,FALSE)</f>
        <v>-7.6373953192196122</v>
      </c>
    </row>
    <row r="96" spans="1:10" ht="21.25" customHeight="1" x14ac:dyDescent="0.15">
      <c r="A96" s="10" t="s">
        <v>542</v>
      </c>
      <c r="B96" s="88" t="str" cm="1">
        <f t="array" ref="B96">VLOOKUP(A96,'The List'!B1:D671,3,FALSE)</f>
        <v>C,LW</v>
      </c>
      <c r="C96" s="89" cm="1">
        <f t="array" ref="C96">IF(Settings!$E$15="POINTS",RANK(E96,E3:E210),H96)</f>
        <v>94</v>
      </c>
      <c r="D96" s="18" t="str" cm="1">
        <f t="array" ref="D96">VLOOKUP(A96,'The List'!B1:F671,5,FALSE)</f>
        <v>DET</v>
      </c>
      <c r="E96" s="55" cm="1">
        <f t="array" ref="E96">VLOOKUP(A96,'The List'!B1:I671,8,FALSE)</f>
        <v>211.94328072778347</v>
      </c>
      <c r="F96" s="55" cm="1">
        <f t="array" ref="F96">IF(Settings!$E$15="POINTS",E96-VLOOKUP(B$2,C1:E210,3,FALSE),J96)</f>
        <v>-174.59192566529953</v>
      </c>
      <c r="G96" s="55"/>
      <c r="H96" s="167" cm="1">
        <f t="array" ref="H96">RANK(I96,I3:I210)</f>
        <v>104</v>
      </c>
      <c r="I96" s="168" cm="1">
        <f t="array" ref="I96">VLOOKUP(A96,'Standard Deviations'!A1:C672,3,FALSE)</f>
        <v>-1.108640558188124</v>
      </c>
      <c r="J96" s="168" cm="1">
        <f t="array" ref="J96">I96-VLOOKUP(B$2,H1:J210,2,FALSE)</f>
        <v>-7.4901149611410673</v>
      </c>
    </row>
    <row r="97" spans="1:10" ht="21.25" customHeight="1" x14ac:dyDescent="0.15">
      <c r="A97" s="10" t="s">
        <v>544</v>
      </c>
      <c r="B97" s="88" t="str" cm="1">
        <f t="array" ref="B97">VLOOKUP(A97,'The List'!B1:D671,3,FALSE)</f>
        <v>C,LW</v>
      </c>
      <c r="C97" s="89" cm="1">
        <f t="array" ref="C97">IF(Settings!$E$15="POINTS",RANK(E97,E3:E210),H97)</f>
        <v>95</v>
      </c>
      <c r="D97" s="18" t="str" cm="1">
        <f t="array" ref="D97">VLOOKUP(A97,'The List'!B1:F671,5,FALSE)</f>
        <v>PIT</v>
      </c>
      <c r="E97" s="55" cm="1">
        <f t="array" ref="E97">VLOOKUP(A97,'The List'!B1:I671,8,FALSE)</f>
        <v>211.84160919439239</v>
      </c>
      <c r="F97" s="55" cm="1">
        <f t="array" ref="F97">IF(Settings!$E$15="POINTS",E97-VLOOKUP(B$2,C1:E210,3,FALSE),J97)</f>
        <v>-174.69359719869061</v>
      </c>
      <c r="G97" s="55"/>
      <c r="H97" s="167" cm="1">
        <f t="array" ref="H97">RANK(I97,I3:I210)</f>
        <v>106</v>
      </c>
      <c r="I97" s="168" cm="1">
        <f t="array" ref="I97">VLOOKUP(A97,'Standard Deviations'!A1:C672,3,FALSE)</f>
        <v>-1.1763862821186213</v>
      </c>
      <c r="J97" s="168" cm="1">
        <f t="array" ref="J97">I97-VLOOKUP(B$2,H1:J210,2,FALSE)</f>
        <v>-7.5578606850715655</v>
      </c>
    </row>
    <row r="98" spans="1:10" ht="21.25" customHeight="1" x14ac:dyDescent="0.15">
      <c r="A98" s="10" t="s">
        <v>519</v>
      </c>
      <c r="B98" s="88" t="str" cm="1">
        <f t="array" ref="B98">VLOOKUP(A98,'The List'!B1:D671,3,FALSE)</f>
        <v>C</v>
      </c>
      <c r="C98" s="89" cm="1">
        <f t="array" ref="C98">IF(Settings!$E$15="POINTS",RANK(E98,E3:E210),H98)</f>
        <v>96</v>
      </c>
      <c r="D98" s="18" t="str" cm="1">
        <f t="array" ref="D98">VLOOKUP(A98,'The List'!B1:F671,5,FALSE)</f>
        <v>BUF</v>
      </c>
      <c r="E98" s="55" cm="1">
        <f t="array" ref="E98">VLOOKUP(A98,'The List'!B1:I671,8,FALSE)</f>
        <v>210.95914970766987</v>
      </c>
      <c r="F98" s="55" cm="1">
        <f t="array" ref="F98">IF(Settings!$E$15="POINTS",E98-VLOOKUP(B$2,C1:E210,3,FALSE),J98)</f>
        <v>-175.57605668541314</v>
      </c>
      <c r="G98" s="55"/>
      <c r="H98" s="167" cm="1">
        <f t="array" ref="H98">RANK(I98,I3:I210)</f>
        <v>82</v>
      </c>
      <c r="I98" s="168" cm="1">
        <f t="array" ref="I98">VLOOKUP(A98,'Standard Deviations'!A1:C672,3,FALSE)</f>
        <v>-0.1578137835039671</v>
      </c>
      <c r="J98" s="168" cm="1">
        <f t="array" ref="J98">I98-VLOOKUP(B$2,H1:J210,2,FALSE)</f>
        <v>-6.5392881864569112</v>
      </c>
    </row>
    <row r="99" spans="1:10" ht="21.25" customHeight="1" x14ac:dyDescent="0.15">
      <c r="A99" s="10" t="s">
        <v>554</v>
      </c>
      <c r="B99" s="88" t="str" cm="1">
        <f t="array" ref="B99">VLOOKUP(A99,'The List'!B1:D671,3,FALSE)</f>
        <v>C,RW</v>
      </c>
      <c r="C99" s="89" cm="1">
        <f t="array" ref="C99">IF(Settings!$E$15="POINTS",RANK(E99,E3:E210),H99)</f>
        <v>97</v>
      </c>
      <c r="D99" s="18" t="str" cm="1">
        <f t="array" ref="D99">VLOOKUP(A99,'The List'!B1:F671,5,FALSE)</f>
        <v>TOR</v>
      </c>
      <c r="E99" s="55" cm="1">
        <f t="array" ref="E99">VLOOKUP(A99,'The List'!B1:I671,8,FALSE)</f>
        <v>203.07425341275479</v>
      </c>
      <c r="F99" s="55" cm="1">
        <f t="array" ref="F99">IF(Settings!$E$15="POINTS",E99-VLOOKUP(B$2,C1:E210,3,FALSE),J99)</f>
        <v>-183.46095298032822</v>
      </c>
      <c r="G99" s="55"/>
      <c r="H99" s="167" cm="1">
        <f t="array" ref="H99">RANK(I99,I3:I210)</f>
        <v>121</v>
      </c>
      <c r="I99" s="168" cm="1">
        <f t="array" ref="I99">VLOOKUP(A99,'Standard Deviations'!A1:C672,3,FALSE)</f>
        <v>-1.921934741517288</v>
      </c>
      <c r="J99" s="168" cm="1">
        <f t="array" ref="J99">I99-VLOOKUP(B$2,H1:J210,2,FALSE)</f>
        <v>-8.3034091444702316</v>
      </c>
    </row>
    <row r="100" spans="1:10" ht="21.25" customHeight="1" x14ac:dyDescent="0.15">
      <c r="A100" s="10" t="s">
        <v>556</v>
      </c>
      <c r="B100" s="88" t="str" cm="1">
        <f t="array" ref="B100">VLOOKUP(A100,'The List'!B1:D671,3,FALSE)</f>
        <v>C,LW,RW</v>
      </c>
      <c r="C100" s="89" cm="1">
        <f t="array" ref="C100">IF(Settings!$E$15="POINTS",RANK(E100,E3:E210),H100)</f>
        <v>98</v>
      </c>
      <c r="D100" s="18" t="str" cm="1">
        <f t="array" ref="D100">VLOOKUP(A100,'The List'!B1:F671,5,FALSE)</f>
        <v>OTT</v>
      </c>
      <c r="E100" s="55" cm="1">
        <f t="array" ref="E100">VLOOKUP(A100,'The List'!B1:I671,8,FALSE)</f>
        <v>202.7751628492889</v>
      </c>
      <c r="F100" s="55" cm="1">
        <f t="array" ref="F100">IF(Settings!$E$15="POINTS",E100-VLOOKUP(B$2,C1:E210,3,FALSE),J100)</f>
        <v>-183.7600435437941</v>
      </c>
      <c r="G100" s="55"/>
      <c r="H100" s="167" cm="1">
        <f t="array" ref="H100">RANK(I100,I3:I210)</f>
        <v>65</v>
      </c>
      <c r="I100" s="168" cm="1">
        <f t="array" ref="I100">VLOOKUP(A100,'Standard Deviations'!A1:C672,3,FALSE)</f>
        <v>1.5298632041730804</v>
      </c>
      <c r="J100" s="168" cm="1">
        <f t="array" ref="J100">I100-VLOOKUP(B$2,H1:J210,2,FALSE)</f>
        <v>-4.8516111987798638</v>
      </c>
    </row>
    <row r="101" spans="1:10" ht="21.25" customHeight="1" x14ac:dyDescent="0.15">
      <c r="A101" s="10" t="s">
        <v>569</v>
      </c>
      <c r="B101" s="88" t="str" cm="1">
        <f t="array" ref="B101">VLOOKUP(A101,'The List'!B1:D671,3,FALSE)</f>
        <v>C,LW</v>
      </c>
      <c r="C101" s="89" cm="1">
        <f t="array" ref="C101">IF(Settings!$E$15="POINTS",RANK(E101,E3:E210),H101)</f>
        <v>99</v>
      </c>
      <c r="D101" s="18" t="str" cm="1">
        <f t="array" ref="D101">VLOOKUP(A101,'The List'!B1:F671,5,FALSE)</f>
        <v>NYI</v>
      </c>
      <c r="E101" s="55" cm="1">
        <f t="array" ref="E101">VLOOKUP(A101,'The List'!B1:I671,8,FALSE)</f>
        <v>201.91067096694192</v>
      </c>
      <c r="F101" s="55" cm="1">
        <f t="array" ref="F101">IF(Settings!$E$15="POINTS",E101-VLOOKUP(B$2,C1:E210,3,FALSE),J101)</f>
        <v>-184.62453542614108</v>
      </c>
      <c r="G101" s="55"/>
      <c r="H101" s="167" cm="1">
        <f t="array" ref="H101">RANK(I101,I3:I210)</f>
        <v>93</v>
      </c>
      <c r="I101" s="168" cm="1">
        <f t="array" ref="I101">VLOOKUP(A101,'Standard Deviations'!A1:C672,3,FALSE)</f>
        <v>-0.67984485297800235</v>
      </c>
      <c r="J101" s="168" cm="1">
        <f t="array" ref="J101">I101-VLOOKUP(B$2,H1:J210,2,FALSE)</f>
        <v>-7.0613192559309459</v>
      </c>
    </row>
    <row r="102" spans="1:10" ht="21.25" customHeight="1" x14ac:dyDescent="0.15">
      <c r="A102" s="10" t="s">
        <v>535</v>
      </c>
      <c r="B102" s="88" t="str" cm="1">
        <f t="array" ref="B102">VLOOKUP(A102,'The List'!B1:D671,3,FALSE)</f>
        <v>C</v>
      </c>
      <c r="C102" s="89" cm="1">
        <f t="array" ref="C102">IF(Settings!$E$15="POINTS",RANK(E102,E3:E210),H102)</f>
        <v>100</v>
      </c>
      <c r="D102" s="18" t="str" cm="1">
        <f t="array" ref="D102">VLOOKUP(A102,'The List'!B1:F671,5,FALSE)</f>
        <v>ANA</v>
      </c>
      <c r="E102" s="55" cm="1">
        <f t="array" ref="E102">VLOOKUP(A102,'The List'!B1:I671,8,FALSE)</f>
        <v>201.90029735253248</v>
      </c>
      <c r="F102" s="55" cm="1">
        <f t="array" ref="F102">IF(Settings!$E$15="POINTS",E102-VLOOKUP(B$2,C1:E210,3,FALSE),J102)</f>
        <v>-184.63490904055053</v>
      </c>
      <c r="G102" s="55"/>
      <c r="H102" s="167" cm="1">
        <f t="array" ref="H102">RANK(I102,I3:I210)</f>
        <v>146</v>
      </c>
      <c r="I102" s="168" cm="1">
        <f t="array" ref="I102">VLOOKUP(A102,'Standard Deviations'!A1:C672,3,FALSE)</f>
        <v>-2.8040369897370372</v>
      </c>
      <c r="J102" s="168" cm="1">
        <f t="array" ref="J102">I102-VLOOKUP(B$2,H1:J210,2,FALSE)</f>
        <v>-9.1855113926899818</v>
      </c>
    </row>
    <row r="103" spans="1:10" ht="21.25" customHeight="1" x14ac:dyDescent="0.15">
      <c r="A103" s="10" t="s">
        <v>573</v>
      </c>
      <c r="B103" s="88" t="str" cm="1">
        <f t="array" ref="B103">VLOOKUP(A103,'The List'!B1:D671,3,FALSE)</f>
        <v>C,LW</v>
      </c>
      <c r="C103" s="89" cm="1">
        <f t="array" ref="C103">IF(Settings!$E$15="POINTS",RANK(E103,E3:E210),H103)</f>
        <v>101</v>
      </c>
      <c r="D103" s="18" t="str" cm="1">
        <f t="array" ref="D103">VLOOKUP(A103,'The List'!B1:F671,5,FALSE)</f>
        <v>BOS</v>
      </c>
      <c r="E103" s="55" cm="1">
        <f t="array" ref="E103">VLOOKUP(A103,'The List'!B1:I671,8,FALSE)</f>
        <v>199.72991997509845</v>
      </c>
      <c r="F103" s="55" cm="1">
        <f t="array" ref="F103">IF(Settings!$E$15="POINTS",E103-VLOOKUP(B$2,C1:E210,3,FALSE),J103)</f>
        <v>-186.80528641798455</v>
      </c>
      <c r="G103" s="55"/>
      <c r="H103" s="167" cm="1">
        <f t="array" ref="H103">RANK(I103,I3:I210)</f>
        <v>128</v>
      </c>
      <c r="I103" s="168" cm="1">
        <f t="array" ref="I103">VLOOKUP(A103,'Standard Deviations'!A1:C672,3,FALSE)</f>
        <v>-2.162565311112139</v>
      </c>
      <c r="J103" s="168" cm="1">
        <f t="array" ref="J103">I103-VLOOKUP(B$2,H1:J210,2,FALSE)</f>
        <v>-8.5440397140650823</v>
      </c>
    </row>
    <row r="104" spans="1:10" ht="21.25" customHeight="1" x14ac:dyDescent="0.15">
      <c r="A104" s="10" t="s">
        <v>541</v>
      </c>
      <c r="B104" s="88" t="str" cm="1">
        <f t="array" ref="B104">VLOOKUP(A104,'The List'!B1:D671,3,FALSE)</f>
        <v>C</v>
      </c>
      <c r="C104" s="89" cm="1">
        <f t="array" ref="C104">IF(Settings!$E$15="POINTS",RANK(E104,E3:E210),H104)</f>
        <v>102</v>
      </c>
      <c r="D104" s="18" t="str" cm="1">
        <f t="array" ref="D104">VLOOKUP(A104,'The List'!B1:F671,5,FALSE)</f>
        <v>PHI</v>
      </c>
      <c r="E104" s="55" cm="1">
        <f t="array" ref="E104">VLOOKUP(A104,'The List'!B1:I671,8,FALSE)</f>
        <v>199.29418611456461</v>
      </c>
      <c r="F104" s="55" cm="1">
        <f t="array" ref="F104">IF(Settings!$E$15="POINTS",E104-VLOOKUP(B$2,C1:E210,3,FALSE),J104)</f>
        <v>-187.24102027851839</v>
      </c>
      <c r="G104" s="55"/>
      <c r="H104" s="167" cm="1">
        <f t="array" ref="H104">RANK(I104,I3:I210)</f>
        <v>109</v>
      </c>
      <c r="I104" s="168" cm="1">
        <f t="array" ref="I104">VLOOKUP(A104,'Standard Deviations'!A1:C672,3,FALSE)</f>
        <v>-1.427143264760856</v>
      </c>
      <c r="J104" s="168" cm="1">
        <f t="array" ref="J104">I104-VLOOKUP(B$2,H1:J210,2,FALSE)</f>
        <v>-7.8086176677137997</v>
      </c>
    </row>
    <row r="105" spans="1:10" ht="21.25" customHeight="1" x14ac:dyDescent="0.15">
      <c r="A105" s="10" t="s">
        <v>548</v>
      </c>
      <c r="B105" s="88" t="str" cm="1">
        <f t="array" ref="B105">VLOOKUP(A105,'The List'!B1:D671,3,FALSE)</f>
        <v>C</v>
      </c>
      <c r="C105" s="89" cm="1">
        <f t="array" ref="C105">IF(Settings!$E$15="POINTS",RANK(E105,E3:E210),H105)</f>
        <v>103</v>
      </c>
      <c r="D105" s="18" t="str" cm="1">
        <f t="array" ref="D105">VLOOKUP(A105,'The List'!B1:F671,5,FALSE)</f>
        <v>BUF</v>
      </c>
      <c r="E105" s="55" cm="1">
        <f t="array" ref="E105">VLOOKUP(A105,'The List'!B1:I671,8,FALSE)</f>
        <v>197.58341814985567</v>
      </c>
      <c r="F105" s="55" cm="1">
        <f t="array" ref="F105">IF(Settings!$E$15="POINTS",E105-VLOOKUP(B$2,C1:E210,3,FALSE),J105)</f>
        <v>-188.95178824322733</v>
      </c>
      <c r="G105" s="55"/>
      <c r="H105" s="167" cm="1">
        <f t="array" ref="H105">RANK(I105,I3:I210)</f>
        <v>112</v>
      </c>
      <c r="I105" s="168" cm="1">
        <f t="array" ref="I105">VLOOKUP(A105,'Standard Deviations'!A1:C672,3,FALSE)</f>
        <v>-1.4802564960407332</v>
      </c>
      <c r="J105" s="168" cm="1">
        <f t="array" ref="J105">I105-VLOOKUP(B$2,H1:J210,2,FALSE)</f>
        <v>-7.8617308989936774</v>
      </c>
    </row>
    <row r="106" spans="1:10" ht="21.25" customHeight="1" x14ac:dyDescent="0.15">
      <c r="A106" s="10" t="s">
        <v>582</v>
      </c>
      <c r="B106" s="88" t="str" cm="1">
        <f t="array" ref="B106">VLOOKUP(A106,'The List'!B1:D671,3,FALSE)</f>
        <v>C,LW</v>
      </c>
      <c r="C106" s="89" cm="1">
        <f t="array" ref="C106">IF(Settings!$E$15="POINTS",RANK(E106,E3:E210),H106)</f>
        <v>104</v>
      </c>
      <c r="D106" s="18" t="str" cm="1">
        <f t="array" ref="D106">VLOOKUP(A106,'The List'!B1:F671,5,FALSE)</f>
        <v>DET</v>
      </c>
      <c r="E106" s="55" cm="1">
        <f t="array" ref="E106">VLOOKUP(A106,'The List'!B1:I671,8,FALSE)</f>
        <v>195.91100296308286</v>
      </c>
      <c r="F106" s="55" cm="1">
        <f t="array" ref="F106">IF(Settings!$E$15="POINTS",E106-VLOOKUP(B$2,C1:E210,3,FALSE),J106)</f>
        <v>-190.62420343000014</v>
      </c>
      <c r="G106" s="55"/>
      <c r="H106" s="167" cm="1">
        <f t="array" ref="H106">RANK(I106,I3:I210)</f>
        <v>139</v>
      </c>
      <c r="I106" s="168" cm="1">
        <f t="array" ref="I106">VLOOKUP(A106,'Standard Deviations'!A1:C672,3,FALSE)</f>
        <v>-2.5302031220111378</v>
      </c>
      <c r="J106" s="168" cm="1">
        <f t="array" ref="J106">I106-VLOOKUP(B$2,H1:J210,2,FALSE)</f>
        <v>-8.9116775249640821</v>
      </c>
    </row>
    <row r="107" spans="1:10" ht="21.25" customHeight="1" x14ac:dyDescent="0.15">
      <c r="A107" s="10" t="s">
        <v>576</v>
      </c>
      <c r="B107" s="88" t="str" cm="1">
        <f t="array" ref="B107">VLOOKUP(A107,'The List'!B1:D671,3,FALSE)</f>
        <v>C,RW</v>
      </c>
      <c r="C107" s="89" cm="1">
        <f t="array" ref="C107">IF(Settings!$E$15="POINTS",RANK(E107,E3:E210),H107)</f>
        <v>105</v>
      </c>
      <c r="D107" s="18" t="str" cm="1">
        <f t="array" ref="D107">VLOOKUP(A107,'The List'!B1:F671,5,FALSE)</f>
        <v>CBJ</v>
      </c>
      <c r="E107" s="55" cm="1">
        <f t="array" ref="E107">VLOOKUP(A107,'The List'!B1:I671,8,FALSE)</f>
        <v>194.33242120587352</v>
      </c>
      <c r="F107" s="55" cm="1">
        <f t="array" ref="F107">IF(Settings!$E$15="POINTS",E107-VLOOKUP(B$2,C1:E210,3,FALSE),J107)</f>
        <v>-192.20278518720949</v>
      </c>
      <c r="G107" s="55"/>
      <c r="H107" s="167" cm="1">
        <f t="array" ref="H107">RANK(I107,I3:I210)</f>
        <v>111</v>
      </c>
      <c r="I107" s="168" cm="1">
        <f t="array" ref="I107">VLOOKUP(A107,'Standard Deviations'!A1:C672,3,FALSE)</f>
        <v>-1.4752565533148718</v>
      </c>
      <c r="J107" s="168" cm="1">
        <f t="array" ref="J107">I107-VLOOKUP(B$2,H1:J210,2,FALSE)</f>
        <v>-7.8567309562678158</v>
      </c>
    </row>
    <row r="108" spans="1:10" ht="21.25" customHeight="1" x14ac:dyDescent="0.15">
      <c r="A108" s="10" t="s">
        <v>558</v>
      </c>
      <c r="B108" s="88" t="str" cm="1">
        <f t="array" ref="B108">VLOOKUP(A108,'The List'!B1:D671,3,FALSE)</f>
        <v>C</v>
      </c>
      <c r="C108" s="89" cm="1">
        <f t="array" ref="C108">IF(Settings!$E$15="POINTS",RANK(E108,E3:E210),H108)</f>
        <v>106</v>
      </c>
      <c r="D108" s="18" t="str" cm="1">
        <f t="array" ref="D108">VLOOKUP(A108,'The List'!B1:F671,5,FALSE)</f>
        <v>BUF</v>
      </c>
      <c r="E108" s="55" cm="1">
        <f t="array" ref="E108">VLOOKUP(A108,'The List'!B1:I671,8,FALSE)</f>
        <v>192.33307743151184</v>
      </c>
      <c r="F108" s="55" cm="1">
        <f t="array" ref="F108">IF(Settings!$E$15="POINTS",E108-VLOOKUP(B$2,C1:E210,3,FALSE),J108)</f>
        <v>-194.20212896157116</v>
      </c>
      <c r="G108" s="55"/>
      <c r="H108" s="167" cm="1">
        <f t="array" ref="H108">RANK(I108,I3:I210)</f>
        <v>103</v>
      </c>
      <c r="I108" s="168" cm="1">
        <f t="array" ref="I108">VLOOKUP(A108,'Standard Deviations'!A1:C672,3,FALSE)</f>
        <v>-1.1078329165048899</v>
      </c>
      <c r="J108" s="168" cm="1">
        <f t="array" ref="J108">I108-VLOOKUP(B$2,H1:J210,2,FALSE)</f>
        <v>-7.4893073194578337</v>
      </c>
    </row>
    <row r="109" spans="1:10" ht="21.25" customHeight="1" x14ac:dyDescent="0.15">
      <c r="A109" s="10" t="s">
        <v>594</v>
      </c>
      <c r="B109" s="88" t="str" cm="1">
        <f t="array" ref="B109">VLOOKUP(A109,'The List'!B1:D671,3,FALSE)</f>
        <v>C,LW</v>
      </c>
      <c r="C109" s="89" cm="1">
        <f t="array" ref="C109">IF(Settings!$E$15="POINTS",RANK(E109,E3:E210),H109)</f>
        <v>107</v>
      </c>
      <c r="D109" s="18" t="str" cm="1">
        <f t="array" ref="D109">VLOOKUP(A109,'The List'!B1:F671,5,FALSE)</f>
        <v>L.A</v>
      </c>
      <c r="E109" s="55" cm="1">
        <f t="array" ref="E109">VLOOKUP(A109,'The List'!B1:I671,8,FALSE)</f>
        <v>191.38168758955078</v>
      </c>
      <c r="F109" s="55" cm="1">
        <f t="array" ref="F109">IF(Settings!$E$15="POINTS",E109-VLOOKUP(B$2,C1:E210,3,FALSE),J109)</f>
        <v>-195.15351880353222</v>
      </c>
      <c r="G109" s="55"/>
      <c r="H109" s="167" cm="1">
        <f t="array" ref="H109">RANK(I109,I3:I210)</f>
        <v>87</v>
      </c>
      <c r="I109" s="168" cm="1">
        <f t="array" ref="I109">VLOOKUP(A109,'Standard Deviations'!A1:C672,3,FALSE)</f>
        <v>-0.33643394959361128</v>
      </c>
      <c r="J109" s="168" cm="1">
        <f t="array" ref="J109">I109-VLOOKUP(B$2,H1:J210,2,FALSE)</f>
        <v>-6.7179083525465551</v>
      </c>
    </row>
    <row r="110" spans="1:10" ht="21.25" customHeight="1" x14ac:dyDescent="0.15">
      <c r="A110" s="10" t="s">
        <v>585</v>
      </c>
      <c r="B110" s="88" t="str" cm="1">
        <f t="array" ref="B110">VLOOKUP(A110,'The List'!B1:D671,3,FALSE)</f>
        <v>C,LW,RW</v>
      </c>
      <c r="C110" s="89" cm="1">
        <f t="array" ref="C110">IF(Settings!$E$15="POINTS",RANK(E110,E3:E210),H110)</f>
        <v>108</v>
      </c>
      <c r="D110" s="18" t="str" cm="1">
        <f t="array" ref="D110">VLOOKUP(A110,'The List'!B1:F671,5,FALSE)</f>
        <v>DAL</v>
      </c>
      <c r="E110" s="55" cm="1">
        <f t="array" ref="E110">VLOOKUP(A110,'The List'!B1:I671,8,FALSE)</f>
        <v>190.91418128325307</v>
      </c>
      <c r="F110" s="55" cm="1">
        <f t="array" ref="F110">IF(Settings!$E$15="POINTS",E110-VLOOKUP(B$2,C1:E210,3,FALSE),J110)</f>
        <v>-195.62102510982993</v>
      </c>
      <c r="G110" s="55"/>
      <c r="H110" s="167" cm="1">
        <f t="array" ref="H110">RANK(I110,I3:I210)</f>
        <v>64</v>
      </c>
      <c r="I110" s="168" cm="1">
        <f t="array" ref="I110">VLOOKUP(A110,'Standard Deviations'!A1:C672,3,FALSE)</f>
        <v>1.6877931309121759</v>
      </c>
      <c r="J110" s="168" cm="1">
        <f t="array" ref="J110">I110-VLOOKUP(B$2,H1:J210,2,FALSE)</f>
        <v>-4.6936812720407683</v>
      </c>
    </row>
    <row r="111" spans="1:10" ht="21.25" customHeight="1" x14ac:dyDescent="0.15">
      <c r="A111" s="10" t="s">
        <v>562</v>
      </c>
      <c r="B111" s="88" t="str" cm="1">
        <f t="array" ref="B111">VLOOKUP(A111,'The List'!B1:D671,3,FALSE)</f>
        <v>C</v>
      </c>
      <c r="C111" s="89" cm="1">
        <f t="array" ref="C111">IF(Settings!$E$15="POINTS",RANK(E111,E3:E210),H111)</f>
        <v>109</v>
      </c>
      <c r="D111" s="18" t="str" cm="1">
        <f t="array" ref="D111">VLOOKUP(A111,'The List'!B1:F671,5,FALSE)</f>
        <v>MTL</v>
      </c>
      <c r="E111" s="55" cm="1">
        <f t="array" ref="E111">VLOOKUP(A111,'The List'!B1:I671,8,FALSE)</f>
        <v>190.82985431192282</v>
      </c>
      <c r="F111" s="55" cm="1">
        <f t="array" ref="F111">IF(Settings!$E$15="POINTS",E111-VLOOKUP(B$2,C1:E210,3,FALSE),J111)</f>
        <v>-195.70535208116019</v>
      </c>
      <c r="G111" s="55"/>
      <c r="H111" s="167" cm="1">
        <f t="array" ref="H111">RANK(I111,I3:I210)</f>
        <v>116</v>
      </c>
      <c r="I111" s="168" cm="1">
        <f t="array" ref="I111">VLOOKUP(A111,'Standard Deviations'!A1:C672,3,FALSE)</f>
        <v>-1.7671144374086305</v>
      </c>
      <c r="J111" s="168" cm="1">
        <f t="array" ref="J111">I111-VLOOKUP(B$2,H1:J210,2,FALSE)</f>
        <v>-8.1485888403615743</v>
      </c>
    </row>
    <row r="112" spans="1:10" ht="21.25" customHeight="1" x14ac:dyDescent="0.15">
      <c r="A112" s="10" t="s">
        <v>566</v>
      </c>
      <c r="B112" s="88" t="str" cm="1">
        <f t="array" ref="B112">VLOOKUP(A112,'The List'!B1:D671,3,FALSE)</f>
        <v>C</v>
      </c>
      <c r="C112" s="89" cm="1">
        <f t="array" ref="C112">IF(Settings!$E$15="POINTS",RANK(E112,E3:E210),H112)</f>
        <v>110</v>
      </c>
      <c r="D112" s="18" t="str" cm="1">
        <f t="array" ref="D112">VLOOKUP(A112,'The List'!B1:F671,5,FALSE)</f>
        <v>CAR</v>
      </c>
      <c r="E112" s="55" cm="1">
        <f t="array" ref="E112">VLOOKUP(A112,'The List'!B1:I671,8,FALSE)</f>
        <v>190.08220898690942</v>
      </c>
      <c r="F112" s="55" cm="1">
        <f t="array" ref="F112">IF(Settings!$E$15="POINTS",E112-VLOOKUP(B$2,C1:E210,3,FALSE),J112)</f>
        <v>-196.45299740617358</v>
      </c>
      <c r="G112" s="55"/>
      <c r="H112" s="167" cm="1">
        <f t="array" ref="H112">RANK(I112,I3:I210)</f>
        <v>90</v>
      </c>
      <c r="I112" s="168" cm="1">
        <f t="array" ref="I112">VLOOKUP(A112,'Standard Deviations'!A1:C672,3,FALSE)</f>
        <v>-0.59709182591293886</v>
      </c>
      <c r="J112" s="168" cm="1">
        <f t="array" ref="J112">I112-VLOOKUP(B$2,H1:J210,2,FALSE)</f>
        <v>-6.9785662288658825</v>
      </c>
    </row>
    <row r="113" spans="1:10" ht="21.25" customHeight="1" x14ac:dyDescent="0.15">
      <c r="A113" s="10" t="s">
        <v>590</v>
      </c>
      <c r="B113" s="88" t="str" cm="1">
        <f t="array" ref="B113">VLOOKUP(A113,'The List'!B1:D671,3,FALSE)</f>
        <v>C,RW</v>
      </c>
      <c r="C113" s="89" cm="1">
        <f t="array" ref="C113">IF(Settings!$E$15="POINTS",RANK(E113,E3:E210),H113)</f>
        <v>111</v>
      </c>
      <c r="D113" s="18" t="str" cm="1">
        <f t="array" ref="D113">VLOOKUP(A113,'The List'!B1:F671,5,FALSE)</f>
        <v>NSH</v>
      </c>
      <c r="E113" s="55" cm="1">
        <f t="array" ref="E113">VLOOKUP(A113,'The List'!B1:I671,8,FALSE)</f>
        <v>188.90511627143758</v>
      </c>
      <c r="F113" s="55" cm="1">
        <f t="array" ref="F113">IF(Settings!$E$15="POINTS",E113-VLOOKUP(B$2,C1:E210,3,FALSE),J113)</f>
        <v>-197.63009012164542</v>
      </c>
      <c r="G113" s="55"/>
      <c r="H113" s="167" cm="1">
        <f t="array" ref="H113">RANK(I113,I3:I210)</f>
        <v>134</v>
      </c>
      <c r="I113" s="168" cm="1">
        <f t="array" ref="I113">VLOOKUP(A113,'Standard Deviations'!A1:C672,3,FALSE)</f>
        <v>-2.4896626233428329</v>
      </c>
      <c r="J113" s="168" cm="1">
        <f t="array" ref="J113">I113-VLOOKUP(B$2,H1:J210,2,FALSE)</f>
        <v>-8.8711370262957772</v>
      </c>
    </row>
    <row r="114" spans="1:10" ht="21.25" customHeight="1" x14ac:dyDescent="0.15">
      <c r="A114" s="10" t="s">
        <v>596</v>
      </c>
      <c r="B114" s="88" t="str" cm="1">
        <f t="array" ref="B114">VLOOKUP(A114,'The List'!B1:D671,3,FALSE)</f>
        <v>C,RW</v>
      </c>
      <c r="C114" s="89" cm="1">
        <f t="array" ref="C114">IF(Settings!$E$15="POINTS",RANK(E114,E3:E210),H114)</f>
        <v>112</v>
      </c>
      <c r="D114" s="18" t="str" cm="1">
        <f t="array" ref="D114">VLOOKUP(A114,'The List'!B1:F671,5,FALSE)</f>
        <v>DAL</v>
      </c>
      <c r="E114" s="55" cm="1">
        <f t="array" ref="E114">VLOOKUP(A114,'The List'!B1:I671,8,FALSE)</f>
        <v>186.79988143305997</v>
      </c>
      <c r="F114" s="55" cm="1">
        <f t="array" ref="F114">IF(Settings!$E$15="POINTS",E114-VLOOKUP(B$2,C1:E210,3,FALSE),J114)</f>
        <v>-199.73532496002304</v>
      </c>
      <c r="G114" s="55"/>
      <c r="H114" s="167" cm="1">
        <f t="array" ref="H114">RANK(I114,I3:I210)</f>
        <v>114</v>
      </c>
      <c r="I114" s="168" cm="1">
        <f t="array" ref="I114">VLOOKUP(A114,'Standard Deviations'!A1:C672,3,FALSE)</f>
        <v>-1.588240919396203</v>
      </c>
      <c r="J114" s="168" cm="1">
        <f t="array" ref="J114">I114-VLOOKUP(B$2,H1:J210,2,FALSE)</f>
        <v>-7.9697153223491473</v>
      </c>
    </row>
    <row r="115" spans="1:10" ht="21.25" customHeight="1" x14ac:dyDescent="0.15">
      <c r="A115" s="10" t="s">
        <v>615</v>
      </c>
      <c r="B115" s="88" t="str" cm="1">
        <f t="array" ref="B115">VLOOKUP(A115,'The List'!B1:D671,3,FALSE)</f>
        <v>C,LW</v>
      </c>
      <c r="C115" s="89" cm="1">
        <f t="array" ref="C115">IF(Settings!$E$15="POINTS",RANK(E115,E3:E210),H115)</f>
        <v>113</v>
      </c>
      <c r="D115" s="18" t="str" cm="1">
        <f t="array" ref="D115">VLOOKUP(A115,'The List'!B1:F671,5,FALSE)</f>
        <v>WSH</v>
      </c>
      <c r="E115" s="55" cm="1">
        <f t="array" ref="E115">VLOOKUP(A115,'The List'!B1:I671,8,FALSE)</f>
        <v>185.97927236713855</v>
      </c>
      <c r="F115" s="55" cm="1">
        <f t="array" ref="F115">IF(Settings!$E$15="POINTS",E115-VLOOKUP(B$2,C1:E210,3,FALSE),J115)</f>
        <v>-200.55593402594445</v>
      </c>
      <c r="G115" s="55"/>
      <c r="H115" s="167" cm="1">
        <f t="array" ref="H115">RANK(I115,I3:I210)</f>
        <v>97</v>
      </c>
      <c r="I115" s="168" cm="1">
        <f t="array" ref="I115">VLOOKUP(A115,'Standard Deviations'!A1:C672,3,FALSE)</f>
        <v>-0.82552399737256865</v>
      </c>
      <c r="J115" s="168" cm="1">
        <f t="array" ref="J115">I115-VLOOKUP(B$2,H1:J210,2,FALSE)</f>
        <v>-7.2069984003255128</v>
      </c>
    </row>
    <row r="116" spans="1:10" ht="21.25" customHeight="1" x14ac:dyDescent="0.15">
      <c r="A116" s="10" t="s">
        <v>577</v>
      </c>
      <c r="B116" s="88" t="str" cm="1">
        <f t="array" ref="B116">VLOOKUP(A116,'The List'!B1:D671,3,FALSE)</f>
        <v>C</v>
      </c>
      <c r="C116" s="89" cm="1">
        <f t="array" ref="C116">IF(Settings!$E$15="POINTS",RANK(E116,E3:E210),H116)</f>
        <v>114</v>
      </c>
      <c r="D116" s="18" t="str" cm="1">
        <f t="array" ref="D116">VLOOKUP(A116,'The List'!B1:F671,5,FALSE)</f>
        <v>VGK</v>
      </c>
      <c r="E116" s="55" cm="1">
        <f t="array" ref="E116">VLOOKUP(A116,'The List'!B1:I671,8,FALSE)</f>
        <v>185.85910923645176</v>
      </c>
      <c r="F116" s="55" cm="1">
        <f t="array" ref="F116">IF(Settings!$E$15="POINTS",E116-VLOOKUP(B$2,C1:E210,3,FALSE),J116)</f>
        <v>-200.67609715663124</v>
      </c>
      <c r="G116" s="55"/>
      <c r="H116" s="167" cm="1">
        <f t="array" ref="H116">RANK(I116,I3:I210)</f>
        <v>125</v>
      </c>
      <c r="I116" s="168" cm="1">
        <f t="array" ref="I116">VLOOKUP(A116,'Standard Deviations'!A1:C672,3,FALSE)</f>
        <v>-2.034338843324881</v>
      </c>
      <c r="J116" s="168" cm="1">
        <f t="array" ref="J116">I116-VLOOKUP(B$2,H1:J210,2,FALSE)</f>
        <v>-8.4158132462778248</v>
      </c>
    </row>
    <row r="117" spans="1:10" ht="21.25" customHeight="1" x14ac:dyDescent="0.15">
      <c r="A117" s="10" t="s">
        <v>609</v>
      </c>
      <c r="B117" s="88" t="str" cm="1">
        <f t="array" ref="B117">VLOOKUP(A117,'The List'!B1:D671,3,FALSE)</f>
        <v>C,LW,RW</v>
      </c>
      <c r="C117" s="89" cm="1">
        <f t="array" ref="C117">IF(Settings!$E$15="POINTS",RANK(E117,E3:E210),H117)</f>
        <v>115</v>
      </c>
      <c r="D117" s="18" t="str" cm="1">
        <f t="array" ref="D117">VLOOKUP(A117,'The List'!B1:F671,5,FALSE)</f>
        <v>CGY</v>
      </c>
      <c r="E117" s="55" cm="1">
        <f t="array" ref="E117">VLOOKUP(A117,'The List'!B1:I671,8,FALSE)</f>
        <v>184.44701944686253</v>
      </c>
      <c r="F117" s="55" cm="1">
        <f t="array" ref="F117">IF(Settings!$E$15="POINTS",E117-VLOOKUP(B$2,C1:E210,3,FALSE),J117)</f>
        <v>-202.08818694622047</v>
      </c>
      <c r="G117" s="55"/>
      <c r="H117" s="167" cm="1">
        <f t="array" ref="H117">RANK(I117,I3:I210)</f>
        <v>157</v>
      </c>
      <c r="I117" s="168" cm="1">
        <f t="array" ref="I117">VLOOKUP(A117,'Standard Deviations'!A1:C672,3,FALSE)</f>
        <v>-3.3377648479938009</v>
      </c>
      <c r="J117" s="168" cm="1">
        <f t="array" ref="J117">I117-VLOOKUP(B$2,H1:J210,2,FALSE)</f>
        <v>-9.7192392509467442</v>
      </c>
    </row>
    <row r="118" spans="1:10" ht="21.25" customHeight="1" x14ac:dyDescent="0.15">
      <c r="A118" s="10" t="s">
        <v>583</v>
      </c>
      <c r="B118" s="88" t="str" cm="1">
        <f t="array" ref="B118">VLOOKUP(A118,'The List'!B1:D671,3,FALSE)</f>
        <v>C</v>
      </c>
      <c r="C118" s="89" cm="1">
        <f t="array" ref="C118">IF(Settings!$E$15="POINTS",RANK(E118,E3:E210),H118)</f>
        <v>116</v>
      </c>
      <c r="D118" s="18" t="str" cm="1">
        <f t="array" ref="D118">VLOOKUP(A118,'The List'!B1:F671,5,FALSE)</f>
        <v>UTA</v>
      </c>
      <c r="E118" s="55" cm="1">
        <f t="array" ref="E118">VLOOKUP(A118,'The List'!B1:I671,8,FALSE)</f>
        <v>182.76123739890497</v>
      </c>
      <c r="F118" s="55" cm="1">
        <f t="array" ref="F118">IF(Settings!$E$15="POINTS",E118-VLOOKUP(B$2,C1:E210,3,FALSE),J118)</f>
        <v>-203.77396899417803</v>
      </c>
      <c r="G118" s="55"/>
      <c r="H118" s="167" cm="1">
        <f t="array" ref="H118">RANK(I118,I3:I210)</f>
        <v>94</v>
      </c>
      <c r="I118" s="168" cm="1">
        <f t="array" ref="I118">VLOOKUP(A118,'Standard Deviations'!A1:C672,3,FALSE)</f>
        <v>-0.68666587300718906</v>
      </c>
      <c r="J118" s="168" cm="1">
        <f t="array" ref="J118">I118-VLOOKUP(B$2,H1:J210,2,FALSE)</f>
        <v>-7.0681402759601326</v>
      </c>
    </row>
    <row r="119" spans="1:10" ht="21.25" customHeight="1" x14ac:dyDescent="0.15">
      <c r="A119" s="10" t="s">
        <v>591</v>
      </c>
      <c r="B119" s="88" t="str" cm="1">
        <f t="array" ref="B119">VLOOKUP(A119,'The List'!B1:D671,3,FALSE)</f>
        <v>C</v>
      </c>
      <c r="C119" s="89" cm="1">
        <f t="array" ref="C119">IF(Settings!$E$15="POINTS",RANK(E119,E3:E210),H119)</f>
        <v>117</v>
      </c>
      <c r="D119" s="18" t="str" cm="1">
        <f t="array" ref="D119">VLOOKUP(A119,'The List'!B1:F671,5,FALSE)</f>
        <v>BUF</v>
      </c>
      <c r="E119" s="55" cm="1">
        <f t="array" ref="E119">VLOOKUP(A119,'The List'!B1:I671,8,FALSE)</f>
        <v>180.40159715307152</v>
      </c>
      <c r="F119" s="55" cm="1">
        <f t="array" ref="F119">IF(Settings!$E$15="POINTS",E119-VLOOKUP(B$2,C1:E210,3,FALSE),J119)</f>
        <v>-206.13360924001148</v>
      </c>
      <c r="G119" s="55"/>
      <c r="H119" s="167" cm="1">
        <f t="array" ref="H119">RANK(I119,I3:I210)</f>
        <v>137</v>
      </c>
      <c r="I119" s="168" cm="1">
        <f t="array" ref="I119">VLOOKUP(A119,'Standard Deviations'!A1:C672,3,FALSE)</f>
        <v>-2.5172020324649651</v>
      </c>
      <c r="J119" s="168" cm="1">
        <f t="array" ref="J119">I119-VLOOKUP(B$2,H1:J210,2,FALSE)</f>
        <v>-8.898676435417908</v>
      </c>
    </row>
    <row r="120" spans="1:10" ht="21.25" customHeight="1" x14ac:dyDescent="0.15">
      <c r="A120" s="10" t="s">
        <v>619</v>
      </c>
      <c r="B120" s="88" t="str" cm="1">
        <f t="array" ref="B120">VLOOKUP(A120,'The List'!B1:D671,3,FALSE)</f>
        <v>C,LW,RW</v>
      </c>
      <c r="C120" s="89" cm="1">
        <f t="array" ref="C120">IF(Settings!$E$15="POINTS",RANK(E120,E3:E210),H120)</f>
        <v>118</v>
      </c>
      <c r="D120" s="18" t="str" cm="1">
        <f t="array" ref="D120">VLOOKUP(A120,'The List'!B1:F671,5,FALSE)</f>
        <v>N.J</v>
      </c>
      <c r="E120" s="55" cm="1">
        <f t="array" ref="E120">VLOOKUP(A120,'The List'!B1:I671,8,FALSE)</f>
        <v>179.8782635393583</v>
      </c>
      <c r="F120" s="55" cm="1">
        <f t="array" ref="F120">IF(Settings!$E$15="POINTS",E120-VLOOKUP(B$2,C1:E210,3,FALSE),J120)</f>
        <v>-206.6569428537247</v>
      </c>
      <c r="G120" s="55"/>
      <c r="H120" s="167" cm="1">
        <f t="array" ref="H120">RANK(I120,I3:I210)</f>
        <v>113</v>
      </c>
      <c r="I120" s="168" cm="1">
        <f t="array" ref="I120">VLOOKUP(A120,'Standard Deviations'!A1:C672,3,FALSE)</f>
        <v>-1.4905689833853419</v>
      </c>
      <c r="J120" s="168" cm="1">
        <f t="array" ref="J120">I120-VLOOKUP(B$2,H1:J210,2,FALSE)</f>
        <v>-7.8720433863382855</v>
      </c>
    </row>
    <row r="121" spans="1:10" ht="21.25" customHeight="1" x14ac:dyDescent="0.15">
      <c r="A121" s="10" t="s">
        <v>620</v>
      </c>
      <c r="B121" s="88" t="str" cm="1">
        <f t="array" ref="B121">VLOOKUP(A121,'The List'!B1:D671,3,FALSE)</f>
        <v>C,RW</v>
      </c>
      <c r="C121" s="89" cm="1">
        <f t="array" ref="C121">IF(Settings!$E$15="POINTS",RANK(E121,E3:E210),H121)</f>
        <v>119</v>
      </c>
      <c r="D121" s="18" t="str" cm="1">
        <f t="array" ref="D121">VLOOKUP(A121,'The List'!B1:F671,5,FALSE)</f>
        <v>CHI</v>
      </c>
      <c r="E121" s="55" cm="1">
        <f t="array" ref="E121">VLOOKUP(A121,'The List'!B1:I671,8,FALSE)</f>
        <v>179.73629821544824</v>
      </c>
      <c r="F121" s="55" cm="1">
        <f t="array" ref="F121">IF(Settings!$E$15="POINTS",E121-VLOOKUP(B$2,C1:E210,3,FALSE),J121)</f>
        <v>-206.79890817763476</v>
      </c>
      <c r="G121" s="55"/>
      <c r="H121" s="167" cm="1">
        <f t="array" ref="H121">RANK(I121,I3:I210)</f>
        <v>183</v>
      </c>
      <c r="I121" s="168" cm="1">
        <f t="array" ref="I121">VLOOKUP(A121,'Standard Deviations'!A1:C672,3,FALSE)</f>
        <v>-4.6130221817348129</v>
      </c>
      <c r="J121" s="168" cm="1">
        <f t="array" ref="J121">I121-VLOOKUP(B$2,H1:J210,2,FALSE)</f>
        <v>-10.994496584687756</v>
      </c>
    </row>
    <row r="122" spans="1:10" ht="21.25" customHeight="1" x14ac:dyDescent="0.15">
      <c r="A122" s="10" t="s">
        <v>597</v>
      </c>
      <c r="B122" s="88" t="str" cm="1">
        <f t="array" ref="B122">VLOOKUP(A122,'The List'!B1:D671,3,FALSE)</f>
        <v>C</v>
      </c>
      <c r="C122" s="89" cm="1">
        <f t="array" ref="C122">IF(Settings!$E$15="POINTS",RANK(E122,E3:E210),H122)</f>
        <v>120</v>
      </c>
      <c r="D122" s="18" t="str" cm="1">
        <f t="array" ref="D122">VLOOKUP(A122,'The List'!B1:F671,5,FALSE)</f>
        <v>BOS</v>
      </c>
      <c r="E122" s="55" cm="1">
        <f t="array" ref="E122">VLOOKUP(A122,'The List'!B1:I671,8,FALSE)</f>
        <v>178.3904752976616</v>
      </c>
      <c r="F122" s="55" cm="1">
        <f t="array" ref="F122">IF(Settings!$E$15="POINTS",E122-VLOOKUP(B$2,C1:E210,3,FALSE),J122)</f>
        <v>-208.14473109542141</v>
      </c>
      <c r="G122" s="55"/>
      <c r="H122" s="167" cm="1">
        <f t="array" ref="H122">RANK(I122,I3:I210)</f>
        <v>136</v>
      </c>
      <c r="I122" s="168" cm="1">
        <f t="array" ref="I122">VLOOKUP(A122,'Standard Deviations'!A1:C672,3,FALSE)</f>
        <v>-2.5084864844344583</v>
      </c>
      <c r="J122" s="168" cm="1">
        <f t="array" ref="J122">I122-VLOOKUP(B$2,H1:J210,2,FALSE)</f>
        <v>-8.889960887387403</v>
      </c>
    </row>
    <row r="123" spans="1:10" ht="21.25" customHeight="1" x14ac:dyDescent="0.15">
      <c r="A123" s="10" t="s">
        <v>598</v>
      </c>
      <c r="B123" s="88" t="str" cm="1">
        <f t="array" ref="B123">VLOOKUP(A123,'The List'!B1:D671,3,FALSE)</f>
        <v>C</v>
      </c>
      <c r="C123" s="89" cm="1">
        <f t="array" ref="C123">IF(Settings!$E$15="POINTS",RANK(E123,E3:E210),H123)</f>
        <v>121</v>
      </c>
      <c r="D123" s="18" t="str" cm="1">
        <f t="array" ref="D123">VLOOKUP(A123,'The List'!B1:F671,5,FALSE)</f>
        <v>NYI</v>
      </c>
      <c r="E123" s="55" cm="1">
        <f t="array" ref="E123">VLOOKUP(A123,'The List'!B1:I671,8,FALSE)</f>
        <v>178.25936011140374</v>
      </c>
      <c r="F123" s="55" cm="1">
        <f t="array" ref="F123">IF(Settings!$E$15="POINTS",E123-VLOOKUP(B$2,C1:E210,3,FALSE),J123)</f>
        <v>-208.27584628167926</v>
      </c>
      <c r="G123" s="55"/>
      <c r="H123" s="167" cm="1">
        <f t="array" ref="H123">RANK(I123,I3:I210)</f>
        <v>181</v>
      </c>
      <c r="I123" s="168" cm="1">
        <f t="array" ref="I123">VLOOKUP(A123,'Standard Deviations'!A1:C672,3,FALSE)</f>
        <v>-4.3534985591283375</v>
      </c>
      <c r="J123" s="168" cm="1">
        <f t="array" ref="J123">I123-VLOOKUP(B$2,H1:J210,2,FALSE)</f>
        <v>-10.734972962081281</v>
      </c>
    </row>
    <row r="124" spans="1:10" ht="21.25" customHeight="1" x14ac:dyDescent="0.15">
      <c r="A124" s="10" t="s">
        <v>605</v>
      </c>
      <c r="B124" s="88" t="str" cm="1">
        <f t="array" ref="B124">VLOOKUP(A124,'The List'!B1:D671,3,FALSE)</f>
        <v>C</v>
      </c>
      <c r="C124" s="89" cm="1">
        <f t="array" ref="C124">IF(Settings!$E$15="POINTS",RANK(E124,E3:E210),H124)</f>
        <v>122</v>
      </c>
      <c r="D124" s="18" t="str" cm="1">
        <f t="array" ref="D124">VLOOKUP(A124,'The List'!B1:F671,5,FALSE)</f>
        <v>NSH</v>
      </c>
      <c r="E124" s="55" cm="1">
        <f t="array" ref="E124">VLOOKUP(A124,'The List'!B1:I671,8,FALSE)</f>
        <v>176.99883451490322</v>
      </c>
      <c r="F124" s="55" cm="1">
        <f t="array" ref="F124">IF(Settings!$E$15="POINTS",E124-VLOOKUP(B$2,C1:E210,3,FALSE),J124)</f>
        <v>-209.53637187817978</v>
      </c>
      <c r="G124" s="55"/>
      <c r="H124" s="167" cm="1">
        <f t="array" ref="H124">RANK(I124,I3:I210)</f>
        <v>126</v>
      </c>
      <c r="I124" s="168" cm="1">
        <f t="array" ref="I124">VLOOKUP(A124,'Standard Deviations'!A1:C672,3,FALSE)</f>
        <v>-2.069134639510938</v>
      </c>
      <c r="J124" s="168" cm="1">
        <f t="array" ref="J124">I124-VLOOKUP(B$2,H1:J210,2,FALSE)</f>
        <v>-8.4506090424638813</v>
      </c>
    </row>
    <row r="125" spans="1:10" ht="21.25" customHeight="1" x14ac:dyDescent="0.15">
      <c r="A125" s="10" t="s">
        <v>629</v>
      </c>
      <c r="B125" s="88" t="str" cm="1">
        <f t="array" ref="B125">VLOOKUP(A125,'The List'!B1:D671,3,FALSE)</f>
        <v>C,LW</v>
      </c>
      <c r="C125" s="89" cm="1">
        <f t="array" ref="C125">IF(Settings!$E$15="POINTS",RANK(E125,E3:E210),H125)</f>
        <v>123</v>
      </c>
      <c r="D125" s="18" t="str" cm="1">
        <f t="array" ref="D125">VLOOKUP(A125,'The List'!B1:F671,5,FALSE)</f>
        <v>VGK</v>
      </c>
      <c r="E125" s="55" cm="1">
        <f t="array" ref="E125">VLOOKUP(A125,'The List'!B1:I671,8,FALSE)</f>
        <v>175.80542348377887</v>
      </c>
      <c r="F125" s="55" cm="1">
        <f t="array" ref="F125">IF(Settings!$E$15="POINTS",E125-VLOOKUP(B$2,C1:E210,3,FALSE),J125)</f>
        <v>-210.72978290930413</v>
      </c>
      <c r="G125" s="55"/>
      <c r="H125" s="167" cm="1">
        <f t="array" ref="H125">RANK(I125,I3:I210)</f>
        <v>84</v>
      </c>
      <c r="I125" s="168" cm="1">
        <f t="array" ref="I125">VLOOKUP(A125,'Standard Deviations'!A1:C672,3,FALSE)</f>
        <v>-0.29557652909343679</v>
      </c>
      <c r="J125" s="168" cm="1">
        <f t="array" ref="J125">I125-VLOOKUP(B$2,H1:J210,2,FALSE)</f>
        <v>-6.6770509320463809</v>
      </c>
    </row>
    <row r="126" spans="1:10" ht="21.25" customHeight="1" x14ac:dyDescent="0.15">
      <c r="A126" s="10" t="s">
        <v>625</v>
      </c>
      <c r="B126" s="88" t="str" cm="1">
        <f t="array" ref="B126">VLOOKUP(A126,'The List'!B1:D671,3,FALSE)</f>
        <v>C,LW,RW</v>
      </c>
      <c r="C126" s="89" cm="1">
        <f t="array" ref="C126">IF(Settings!$E$15="POINTS",RANK(E126,E3:E210),H126)</f>
        <v>124</v>
      </c>
      <c r="D126" s="18" t="str" cm="1">
        <f t="array" ref="D126">VLOOKUP(A126,'The List'!B1:F671,5,FALSE)</f>
        <v>CHI</v>
      </c>
      <c r="E126" s="55" cm="1">
        <f t="array" ref="E126">VLOOKUP(A126,'The List'!B1:I671,8,FALSE)</f>
        <v>173.74835550699348</v>
      </c>
      <c r="F126" s="55" cm="1">
        <f t="array" ref="F126">IF(Settings!$E$15="POINTS",E126-VLOOKUP(B$2,C1:E210,3,FALSE),J126)</f>
        <v>-212.78685088608952</v>
      </c>
      <c r="G126" s="55"/>
      <c r="H126" s="167" cm="1">
        <f t="array" ref="H126">RANK(I126,I3:I210)</f>
        <v>174</v>
      </c>
      <c r="I126" s="168" cm="1">
        <f t="array" ref="I126">VLOOKUP(A126,'Standard Deviations'!A1:C672,3,FALSE)</f>
        <v>-4.1365925369638195</v>
      </c>
      <c r="J126" s="168" cm="1">
        <f t="array" ref="J126">I126-VLOOKUP(B$2,H1:J210,2,FALSE)</f>
        <v>-10.518066939916764</v>
      </c>
    </row>
    <row r="127" spans="1:10" ht="21.25" customHeight="1" x14ac:dyDescent="0.15">
      <c r="A127" s="10" t="s">
        <v>616</v>
      </c>
      <c r="B127" s="88" t="str" cm="1">
        <f t="array" ref="B127">VLOOKUP(A127,'The List'!B1:D671,3,FALSE)</f>
        <v>C</v>
      </c>
      <c r="C127" s="89" cm="1">
        <f t="array" ref="C127">IF(Settings!$E$15="POINTS",RANK(E127,E3:E210),H127)</f>
        <v>125</v>
      </c>
      <c r="D127" s="18" t="str" cm="1">
        <f t="array" ref="D127">VLOOKUP(A127,'The List'!B1:F671,5,FALSE)</f>
        <v>PHI</v>
      </c>
      <c r="E127" s="55" cm="1">
        <f t="array" ref="E127">VLOOKUP(A127,'The List'!B1:I671,8,FALSE)</f>
        <v>173.17667828764331</v>
      </c>
      <c r="F127" s="55" cm="1">
        <f t="array" ref="F127">IF(Settings!$E$15="POINTS",E127-VLOOKUP(B$2,C1:E210,3,FALSE),J127)</f>
        <v>-213.35852810543969</v>
      </c>
      <c r="G127" s="55"/>
      <c r="H127" s="167" cm="1">
        <f t="array" ref="H127">RANK(I127,I3:I210)</f>
        <v>127</v>
      </c>
      <c r="I127" s="168" cm="1">
        <f t="array" ref="I127">VLOOKUP(A127,'Standard Deviations'!A1:C672,3,FALSE)</f>
        <v>-2.085072442958622</v>
      </c>
      <c r="J127" s="168" cm="1">
        <f t="array" ref="J127">I127-VLOOKUP(B$2,H1:J210,2,FALSE)</f>
        <v>-8.4665468459115658</v>
      </c>
    </row>
    <row r="128" spans="1:10" ht="21.25" customHeight="1" x14ac:dyDescent="0.15">
      <c r="A128" s="10" t="s">
        <v>640</v>
      </c>
      <c r="B128" s="88" t="str" cm="1">
        <f t="array" ref="B128">VLOOKUP(A128,'The List'!B1:D671,3,FALSE)</f>
        <v>C,LW</v>
      </c>
      <c r="C128" s="89" cm="1">
        <f t="array" ref="C128">IF(Settings!$E$15="POINTS",RANK(E128,E3:E210),H128)</f>
        <v>126</v>
      </c>
      <c r="D128" s="18" t="str" cm="1">
        <f t="array" ref="D128">VLOOKUP(A128,'The List'!B1:F671,5,FALSE)</f>
        <v>STL</v>
      </c>
      <c r="E128" s="55" cm="1">
        <f t="array" ref="E128">VLOOKUP(A128,'The List'!B1:I671,8,FALSE)</f>
        <v>171.81950076685914</v>
      </c>
      <c r="F128" s="55" cm="1">
        <f t="array" ref="F128">IF(Settings!$E$15="POINTS",E128-VLOOKUP(B$2,C1:E210,3,FALSE),J128)</f>
        <v>-214.71570562622387</v>
      </c>
      <c r="G128" s="55"/>
      <c r="H128" s="167" cm="1">
        <f t="array" ref="H128">RANK(I128,I3:I210)</f>
        <v>150</v>
      </c>
      <c r="I128" s="168" cm="1">
        <f t="array" ref="I128">VLOOKUP(A128,'Standard Deviations'!A1:C672,3,FALSE)</f>
        <v>-2.9949204154783944</v>
      </c>
      <c r="J128" s="168" cm="1">
        <f t="array" ref="J128">I128-VLOOKUP(B$2,H1:J210,2,FALSE)</f>
        <v>-9.3763948184313382</v>
      </c>
    </row>
    <row r="129" spans="1:10" ht="21.25" customHeight="1" x14ac:dyDescent="0.15">
      <c r="A129" s="10" t="s">
        <v>643</v>
      </c>
      <c r="B129" s="88" t="str" cm="1">
        <f t="array" ref="B129">VLOOKUP(A129,'The List'!B1:D671,3,FALSE)</f>
        <v>C,LW</v>
      </c>
      <c r="C129" s="89" cm="1">
        <f t="array" ref="C129">IF(Settings!$E$15="POINTS",RANK(E129,E3:E210),H129)</f>
        <v>127</v>
      </c>
      <c r="D129" s="18" t="str" cm="1">
        <f t="array" ref="D129">VLOOKUP(A129,'The List'!B1:F671,5,FALSE)</f>
        <v>MTL</v>
      </c>
      <c r="E129" s="55" cm="1">
        <f t="array" ref="E129">VLOOKUP(A129,'The List'!B1:I671,8,FALSE)</f>
        <v>170.81907065353187</v>
      </c>
      <c r="F129" s="55" cm="1">
        <f t="array" ref="F129">IF(Settings!$E$15="POINTS",E129-VLOOKUP(B$2,C1:E210,3,FALSE),J129)</f>
        <v>-215.71613573955113</v>
      </c>
      <c r="G129" s="55"/>
      <c r="H129" s="167" cm="1">
        <f t="array" ref="H129">RANK(I129,I3:I210)</f>
        <v>132</v>
      </c>
      <c r="I129" s="168" cm="1">
        <f t="array" ref="I129">VLOOKUP(A129,'Standard Deviations'!A1:C672,3,FALSE)</f>
        <v>-2.3851330778857305</v>
      </c>
      <c r="J129" s="168" cm="1">
        <f t="array" ref="J129">I129-VLOOKUP(B$2,H1:J210,2,FALSE)</f>
        <v>-8.7666074808386742</v>
      </c>
    </row>
    <row r="130" spans="1:10" ht="21.25" customHeight="1" x14ac:dyDescent="0.15">
      <c r="A130" s="10" t="s">
        <v>644</v>
      </c>
      <c r="B130" s="88" t="str" cm="1">
        <f t="array" ref="B130">VLOOKUP(A130,'The List'!B1:D671,3,FALSE)</f>
        <v>C,LW</v>
      </c>
      <c r="C130" s="89" cm="1">
        <f t="array" ref="C130">IF(Settings!$E$15="POINTS",RANK(E130,E3:E210),H130)</f>
        <v>128</v>
      </c>
      <c r="D130" s="18" t="str" cm="1">
        <f t="array" ref="D130">VLOOKUP(A130,'The List'!B1:F671,5,FALSE)</f>
        <v>COL</v>
      </c>
      <c r="E130" s="55" cm="1">
        <f t="array" ref="E130">VLOOKUP(A130,'The List'!B1:I671,8,FALSE)</f>
        <v>170.07348128542856</v>
      </c>
      <c r="F130" s="55" cm="1">
        <f t="array" ref="F130">IF(Settings!$E$15="POINTS",E130-VLOOKUP(B$2,C1:E210,3,FALSE),J130)</f>
        <v>-216.46172510765444</v>
      </c>
      <c r="G130" s="55"/>
      <c r="H130" s="167" cm="1">
        <f t="array" ref="H130">RANK(I130,I3:I210)</f>
        <v>117</v>
      </c>
      <c r="I130" s="168" cm="1">
        <f t="array" ref="I130">VLOOKUP(A130,'Standard Deviations'!A1:C672,3,FALSE)</f>
        <v>-1.8173909338221472</v>
      </c>
      <c r="J130" s="168" cm="1">
        <f t="array" ref="J130">I130-VLOOKUP(B$2,H1:J210,2,FALSE)</f>
        <v>-8.198865336775091</v>
      </c>
    </row>
    <row r="131" spans="1:10" ht="21.25" customHeight="1" x14ac:dyDescent="0.15">
      <c r="A131" s="10" t="s">
        <v>647</v>
      </c>
      <c r="B131" s="88" t="str" cm="1">
        <f t="array" ref="B131">VLOOKUP(A131,'The List'!B1:D671,3,FALSE)</f>
        <v>C,LW</v>
      </c>
      <c r="C131" s="89" cm="1">
        <f t="array" ref="C131">IF(Settings!$E$15="POINTS",RANK(E131,E3:E210),H131)</f>
        <v>129</v>
      </c>
      <c r="D131" s="18" t="str" cm="1">
        <f t="array" ref="D131">VLOOKUP(A131,'The List'!B1:F671,5,FALSE)</f>
        <v>TOR</v>
      </c>
      <c r="E131" s="55" cm="1">
        <f t="array" ref="E131">VLOOKUP(A131,'The List'!B1:I671,8,FALSE)</f>
        <v>168.9945023124931</v>
      </c>
      <c r="F131" s="55" cm="1">
        <f t="array" ref="F131">IF(Settings!$E$15="POINTS",E131-VLOOKUP(B$2,C1:E210,3,FALSE),J131)</f>
        <v>-217.5407040805899</v>
      </c>
      <c r="G131" s="55"/>
      <c r="H131" s="167" cm="1">
        <f t="array" ref="H131">RANK(I131,I3:I210)</f>
        <v>148</v>
      </c>
      <c r="I131" s="168" cm="1">
        <f t="array" ref="I131">VLOOKUP(A131,'Standard Deviations'!A1:C672,3,FALSE)</f>
        <v>-2.8568650466714383</v>
      </c>
      <c r="J131" s="168" cm="1">
        <f t="array" ref="J131">I131-VLOOKUP(B$2,H1:J210,2,FALSE)</f>
        <v>-9.238339449624382</v>
      </c>
    </row>
    <row r="132" spans="1:10" ht="21.25" customHeight="1" x14ac:dyDescent="0.15">
      <c r="A132" s="10" t="s">
        <v>645</v>
      </c>
      <c r="B132" s="88" t="str" cm="1">
        <f t="array" ref="B132">VLOOKUP(A132,'The List'!B1:D671,3,FALSE)</f>
        <v>C,RW</v>
      </c>
      <c r="C132" s="89" cm="1">
        <f t="array" ref="C132">IF(Settings!$E$15="POINTS",RANK(E132,E3:E210),H132)</f>
        <v>130</v>
      </c>
      <c r="D132" s="18" t="str" cm="1">
        <f t="array" ref="D132">VLOOKUP(A132,'The List'!B1:F671,5,FALSE)</f>
        <v>MIN</v>
      </c>
      <c r="E132" s="55" cm="1">
        <f t="array" ref="E132">VLOOKUP(A132,'The List'!B1:I671,8,FALSE)</f>
        <v>165.62787590108982</v>
      </c>
      <c r="F132" s="55" cm="1">
        <f t="array" ref="F132">IF(Settings!$E$15="POINTS",E132-VLOOKUP(B$2,C1:E210,3,FALSE),J132)</f>
        <v>-220.90733049199318</v>
      </c>
      <c r="G132" s="55"/>
      <c r="H132" s="167" cm="1">
        <f t="array" ref="H132">RANK(I132,I3:I210)</f>
        <v>123</v>
      </c>
      <c r="I132" s="168" cm="1">
        <f t="array" ref="I132">VLOOKUP(A132,'Standard Deviations'!A1:C672,3,FALSE)</f>
        <v>-2.0088661290370204</v>
      </c>
      <c r="J132" s="168" cm="1">
        <f t="array" ref="J132">I132-VLOOKUP(B$2,H1:J210,2,FALSE)</f>
        <v>-8.3903405319899633</v>
      </c>
    </row>
    <row r="133" spans="1:10" ht="21.25" customHeight="1" x14ac:dyDescent="0.15">
      <c r="A133" s="10" t="s">
        <v>649</v>
      </c>
      <c r="B133" s="88" t="str" cm="1">
        <f t="array" ref="B133">VLOOKUP(A133,'The List'!B1:D671,3,FALSE)</f>
        <v>C,LW</v>
      </c>
      <c r="C133" s="89" cm="1">
        <f t="array" ref="C133">IF(Settings!$E$15="POINTS",RANK(E133,E3:E210),H133)</f>
        <v>131</v>
      </c>
      <c r="D133" s="18" t="str" cm="1">
        <f t="array" ref="D133">VLOOKUP(A133,'The List'!B1:F671,5,FALSE)</f>
        <v>COL</v>
      </c>
      <c r="E133" s="55" cm="1">
        <f t="array" ref="E133">VLOOKUP(A133,'The List'!B1:I671,8,FALSE)</f>
        <v>164.06070320209082</v>
      </c>
      <c r="F133" s="55" cm="1">
        <f t="array" ref="F133">IF(Settings!$E$15="POINTS",E133-VLOOKUP(B$2,C1:E210,3,FALSE),J133)</f>
        <v>-222.47450319099218</v>
      </c>
      <c r="G133" s="55"/>
      <c r="H133" s="167" cm="1">
        <f t="array" ref="H133">RANK(I133,I3:I210)</f>
        <v>99</v>
      </c>
      <c r="I133" s="168" cm="1">
        <f t="array" ref="I133">VLOOKUP(A133,'Standard Deviations'!A1:C672,3,FALSE)</f>
        <v>-0.9062708225497641</v>
      </c>
      <c r="J133" s="168" cm="1">
        <f t="array" ref="J133">I133-VLOOKUP(B$2,H1:J210,2,FALSE)</f>
        <v>-7.2877452255027082</v>
      </c>
    </row>
    <row r="134" spans="1:10" ht="21.25" customHeight="1" x14ac:dyDescent="0.15">
      <c r="A134" s="10" t="s">
        <v>650</v>
      </c>
      <c r="B134" s="88" t="str" cm="1">
        <f t="array" ref="B134">VLOOKUP(A134,'The List'!B1:D671,3,FALSE)</f>
        <v>C,LW</v>
      </c>
      <c r="C134" s="89" cm="1">
        <f t="array" ref="C134">IF(Settings!$E$15="POINTS",RANK(E134,E3:E210),H134)</f>
        <v>132</v>
      </c>
      <c r="D134" s="18" t="str" cm="1">
        <f t="array" ref="D134">VLOOKUP(A134,'The List'!B1:F671,5,FALSE)</f>
        <v>SEA</v>
      </c>
      <c r="E134" s="55" cm="1">
        <f t="array" ref="E134">VLOOKUP(A134,'The List'!B1:I671,8,FALSE)</f>
        <v>163.80895934809433</v>
      </c>
      <c r="F134" s="55" cm="1">
        <f t="array" ref="F134">IF(Settings!$E$15="POINTS",E134-VLOOKUP(B$2,C1:E210,3,FALSE),J134)</f>
        <v>-222.72624704498867</v>
      </c>
      <c r="G134" s="55"/>
      <c r="H134" s="167" cm="1">
        <f t="array" ref="H134">RANK(I134,I3:I210)</f>
        <v>159</v>
      </c>
      <c r="I134" s="168" cm="1">
        <f t="array" ref="I134">VLOOKUP(A134,'Standard Deviations'!A1:C672,3,FALSE)</f>
        <v>-3.3653015348614677</v>
      </c>
      <c r="J134" s="168" cm="1">
        <f t="array" ref="J134">I134-VLOOKUP(B$2,H1:J210,2,FALSE)</f>
        <v>-9.7467759378144123</v>
      </c>
    </row>
    <row r="135" spans="1:10" ht="21.25" customHeight="1" x14ac:dyDescent="0.15">
      <c r="A135" s="10" t="s">
        <v>627</v>
      </c>
      <c r="B135" s="88" t="str" cm="1">
        <f t="array" ref="B135">VLOOKUP(A135,'The List'!B1:D671,3,FALSE)</f>
        <v>C</v>
      </c>
      <c r="C135" s="89" cm="1">
        <f t="array" ref="C135">IF(Settings!$E$15="POINTS",RANK(E135,E3:E210),H135)</f>
        <v>133</v>
      </c>
      <c r="D135" s="18" t="str" cm="1">
        <f t="array" ref="D135">VLOOKUP(A135,'The List'!B1:F671,5,FALSE)</f>
        <v>STL</v>
      </c>
      <c r="E135" s="55" cm="1">
        <f t="array" ref="E135">VLOOKUP(A135,'The List'!B1:I671,8,FALSE)</f>
        <v>163.47861742047604</v>
      </c>
      <c r="F135" s="55" cm="1">
        <f t="array" ref="F135">IF(Settings!$E$15="POINTS",E135-VLOOKUP(B$2,C1:E210,3,FALSE),J135)</f>
        <v>-223.05658897260696</v>
      </c>
      <c r="G135" s="55"/>
      <c r="H135" s="167" cm="1">
        <f t="array" ref="H135">RANK(I135,I3:I210)</f>
        <v>149</v>
      </c>
      <c r="I135" s="168" cm="1">
        <f t="array" ref="I135">VLOOKUP(A135,'Standard Deviations'!A1:C672,3,FALSE)</f>
        <v>-2.8794209603531997</v>
      </c>
      <c r="J135" s="168" cm="1">
        <f t="array" ref="J135">I135-VLOOKUP(B$2,H1:J210,2,FALSE)</f>
        <v>-9.2608953633061439</v>
      </c>
    </row>
    <row r="136" spans="1:10" ht="21.25" customHeight="1" x14ac:dyDescent="0.15">
      <c r="A136" s="10" t="s">
        <v>628</v>
      </c>
      <c r="B136" s="88" t="str" cm="1">
        <f t="array" ref="B136">VLOOKUP(A136,'The List'!B1:D671,3,FALSE)</f>
        <v>C</v>
      </c>
      <c r="C136" s="89" cm="1">
        <f t="array" ref="C136">IF(Settings!$E$15="POINTS",RANK(E136,E3:E210),H136)</f>
        <v>134</v>
      </c>
      <c r="D136" s="18" t="str" cm="1">
        <f t="array" ref="D136">VLOOKUP(A136,'The List'!B1:F671,5,FALSE)</f>
        <v>VAN</v>
      </c>
      <c r="E136" s="55" cm="1">
        <f t="array" ref="E136">VLOOKUP(A136,'The List'!B1:I671,8,FALSE)</f>
        <v>163.37930353912526</v>
      </c>
      <c r="F136" s="55" cm="1">
        <f t="array" ref="F136">IF(Settings!$E$15="POINTS",E136-VLOOKUP(B$2,C1:E210,3,FALSE),J136)</f>
        <v>-223.15590285395774</v>
      </c>
      <c r="G136" s="55"/>
      <c r="H136" s="167" cm="1">
        <f t="array" ref="H136">RANK(I136,I3:I210)</f>
        <v>180</v>
      </c>
      <c r="I136" s="168" cm="1">
        <f t="array" ref="I136">VLOOKUP(A136,'Standard Deviations'!A1:C672,3,FALSE)</f>
        <v>-4.3295605758499596</v>
      </c>
      <c r="J136" s="168" cm="1">
        <f t="array" ref="J136">I136-VLOOKUP(B$2,H1:J210,2,FALSE)</f>
        <v>-10.711034978802903</v>
      </c>
    </row>
    <row r="137" spans="1:10" ht="21.25" customHeight="1" x14ac:dyDescent="0.15">
      <c r="A137" s="10" t="s">
        <v>631</v>
      </c>
      <c r="B137" s="88" t="str" cm="1">
        <f t="array" ref="B137">VLOOKUP(A137,'The List'!B1:D671,3,FALSE)</f>
        <v>C</v>
      </c>
      <c r="C137" s="89" cm="1">
        <f t="array" ref="C137">IF(Settings!$E$15="POINTS",RANK(E137,E3:E210),H137)</f>
        <v>135</v>
      </c>
      <c r="D137" s="18" t="str" cm="1">
        <f t="array" ref="D137">VLOOKUP(A137,'The List'!B1:F671,5,FALSE)</f>
        <v>MTL</v>
      </c>
      <c r="E137" s="55" cm="1">
        <f t="array" ref="E137">VLOOKUP(A137,'The List'!B1:I671,8,FALSE)</f>
        <v>162.73664907869886</v>
      </c>
      <c r="F137" s="55" cm="1">
        <f t="array" ref="F137">IF(Settings!$E$15="POINTS",E137-VLOOKUP(B$2,C1:E210,3,FALSE),J137)</f>
        <v>-223.79855731438414</v>
      </c>
      <c r="G137" s="55"/>
      <c r="H137" s="167" cm="1">
        <f t="array" ref="H137">RANK(I137,I3:I210)</f>
        <v>151</v>
      </c>
      <c r="I137" s="168" cm="1">
        <f t="array" ref="I137">VLOOKUP(A137,'Standard Deviations'!A1:C672,3,FALSE)</f>
        <v>-3.0305118897070655</v>
      </c>
      <c r="J137" s="168" cm="1">
        <f t="array" ref="J137">I137-VLOOKUP(B$2,H1:J210,2,FALSE)</f>
        <v>-9.4119862926600089</v>
      </c>
    </row>
    <row r="138" spans="1:10" ht="21.25" customHeight="1" x14ac:dyDescent="0.15">
      <c r="A138" s="10" t="s">
        <v>634</v>
      </c>
      <c r="B138" s="88" t="str" cm="1">
        <f t="array" ref="B138">VLOOKUP(A138,'The List'!B1:D671,3,FALSE)</f>
        <v>C</v>
      </c>
      <c r="C138" s="89" cm="1">
        <f t="array" ref="C138">IF(Settings!$E$15="POINTS",RANK(E138,E3:E210),H138)</f>
        <v>136</v>
      </c>
      <c r="D138" s="18" t="str" cm="1">
        <f t="array" ref="D138">VLOOKUP(A138,'The List'!B1:F671,5,FALSE)</f>
        <v>NYR</v>
      </c>
      <c r="E138" s="55" cm="1">
        <f t="array" ref="E138">VLOOKUP(A138,'The List'!B1:I671,8,FALSE)</f>
        <v>161.337632082765</v>
      </c>
      <c r="F138" s="55" cm="1">
        <f t="array" ref="F138">IF(Settings!$E$15="POINTS",E138-VLOOKUP(B$2,C1:E210,3,FALSE),J138)</f>
        <v>-225.197574310318</v>
      </c>
      <c r="G138" s="55"/>
      <c r="H138" s="167" cm="1">
        <f t="array" ref="H138">RANK(I138,I3:I210)</f>
        <v>129</v>
      </c>
      <c r="I138" s="168" cm="1">
        <f t="array" ref="I138">VLOOKUP(A138,'Standard Deviations'!A1:C672,3,FALSE)</f>
        <v>-2.2082247514453677</v>
      </c>
      <c r="J138" s="168" cm="1">
        <f t="array" ref="J138">I138-VLOOKUP(B$2,H1:J210,2,FALSE)</f>
        <v>-8.5896991543983106</v>
      </c>
    </row>
    <row r="139" spans="1:10" ht="21.25" customHeight="1" x14ac:dyDescent="0.15">
      <c r="A139" s="10" t="s">
        <v>636</v>
      </c>
      <c r="B139" s="88" t="str" cm="1">
        <f t="array" ref="B139">VLOOKUP(A139,'The List'!B1:D671,3,FALSE)</f>
        <v>C</v>
      </c>
      <c r="C139" s="89" cm="1">
        <f t="array" ref="C139">IF(Settings!$E$15="POINTS",RANK(E139,E3:E210),H139)</f>
        <v>137</v>
      </c>
      <c r="D139" s="18" t="str" cm="1">
        <f t="array" ref="D139">VLOOKUP(A139,'The List'!B1:F671,5,FALSE)</f>
        <v>T.B</v>
      </c>
      <c r="E139" s="55" cm="1">
        <f t="array" ref="E139">VLOOKUP(A139,'The List'!B1:I671,8,FALSE)</f>
        <v>160.38045837053971</v>
      </c>
      <c r="F139" s="55" cm="1">
        <f t="array" ref="F139">IF(Settings!$E$15="POINTS",E139-VLOOKUP(B$2,C1:E210,3,FALSE),J139)</f>
        <v>-226.15474802254329</v>
      </c>
      <c r="G139" s="55"/>
      <c r="H139" s="167" cm="1">
        <f t="array" ref="H139">RANK(I139,I3:I210)</f>
        <v>85</v>
      </c>
      <c r="I139" s="168" cm="1">
        <f t="array" ref="I139">VLOOKUP(A139,'Standard Deviations'!A1:C672,3,FALSE)</f>
        <v>-0.30429311272009074</v>
      </c>
      <c r="J139" s="168" cm="1">
        <f t="array" ref="J139">I139-VLOOKUP(B$2,H1:J210,2,FALSE)</f>
        <v>-6.6857675156730343</v>
      </c>
    </row>
    <row r="140" spans="1:10" ht="21.25" customHeight="1" x14ac:dyDescent="0.15">
      <c r="A140" s="10" t="s">
        <v>660</v>
      </c>
      <c r="B140" s="88" t="str" cm="1">
        <f t="array" ref="B140">VLOOKUP(A140,'The List'!B1:D671,3,FALSE)</f>
        <v>C,LW</v>
      </c>
      <c r="C140" s="89" cm="1">
        <f t="array" ref="C140">IF(Settings!$E$15="POINTS",RANK(E140,E3:E210),H140)</f>
        <v>138</v>
      </c>
      <c r="D140" s="18" t="str" cm="1">
        <f t="array" ref="D140">VLOOKUP(A140,'The List'!B1:F671,5,FALSE)</f>
        <v>L.A</v>
      </c>
      <c r="E140" s="55" cm="1">
        <f t="array" ref="E140">VLOOKUP(A140,'The List'!B1:I671,8,FALSE)</f>
        <v>160.11576418090513</v>
      </c>
      <c r="F140" s="55" cm="1">
        <f t="array" ref="F140">IF(Settings!$E$15="POINTS",E140-VLOOKUP(B$2,C1:E210,3,FALSE),J140)</f>
        <v>-226.41944221217787</v>
      </c>
      <c r="G140" s="55"/>
      <c r="H140" s="167" cm="1">
        <f t="array" ref="H140">RANK(I140,I3:I210)</f>
        <v>135</v>
      </c>
      <c r="I140" s="168" cm="1">
        <f t="array" ref="I140">VLOOKUP(A140,'Standard Deviations'!A1:C672,3,FALSE)</f>
        <v>-2.4975367879286186</v>
      </c>
      <c r="J140" s="168" cm="1">
        <f t="array" ref="J140">I140-VLOOKUP(B$2,H1:J210,2,FALSE)</f>
        <v>-8.8790111908815632</v>
      </c>
    </row>
    <row r="141" spans="1:10" ht="21.25" customHeight="1" x14ac:dyDescent="0.15">
      <c r="A141" s="10" t="s">
        <v>641</v>
      </c>
      <c r="B141" s="88" t="str" cm="1">
        <f t="array" ref="B141">VLOOKUP(A141,'The List'!B1:D671,3,FALSE)</f>
        <v>C</v>
      </c>
      <c r="C141" s="89" cm="1">
        <f t="array" ref="C141">IF(Settings!$E$15="POINTS",RANK(E141,E3:E210),H141)</f>
        <v>139</v>
      </c>
      <c r="D141" s="18" t="str" cm="1">
        <f t="array" ref="D141">VLOOKUP(A141,'The List'!B1:F671,5,FALSE)</f>
        <v>WPG</v>
      </c>
      <c r="E141" s="55" cm="1">
        <f t="array" ref="E141">VLOOKUP(A141,'The List'!B1:I671,8,FALSE)</f>
        <v>158.65927600151582</v>
      </c>
      <c r="F141" s="55" cm="1">
        <f t="array" ref="F141">IF(Settings!$E$15="POINTS",E141-VLOOKUP(B$2,C1:E210,3,FALSE),J141)</f>
        <v>-227.87593039156718</v>
      </c>
      <c r="G141" s="55"/>
      <c r="H141" s="167" cm="1">
        <f t="array" ref="H141">RANK(I141,I3:I210)</f>
        <v>119</v>
      </c>
      <c r="I141" s="168" cm="1">
        <f t="array" ref="I141">VLOOKUP(A141,'Standard Deviations'!A1:C672,3,FALSE)</f>
        <v>-1.8889924476446918</v>
      </c>
      <c r="J141" s="168" cm="1">
        <f t="array" ref="J141">I141-VLOOKUP(B$2,H1:J210,2,FALSE)</f>
        <v>-8.2704668505976358</v>
      </c>
    </row>
    <row r="142" spans="1:10" ht="21.25" customHeight="1" x14ac:dyDescent="0.15">
      <c r="A142" s="10" t="s">
        <v>642</v>
      </c>
      <c r="B142" s="88" t="str" cm="1">
        <f t="array" ref="B142">VLOOKUP(A142,'The List'!B1:D671,3,FALSE)</f>
        <v>C</v>
      </c>
      <c r="C142" s="89" cm="1">
        <f t="array" ref="C142">IF(Settings!$E$15="POINTS",RANK(E142,E3:E210),H142)</f>
        <v>140</v>
      </c>
      <c r="D142" s="18" t="str" cm="1">
        <f t="array" ref="D142">VLOOKUP(A142,'The List'!B1:F671,5,FALSE)</f>
        <v>DET</v>
      </c>
      <c r="E142" s="55" cm="1">
        <f t="array" ref="E142">VLOOKUP(A142,'The List'!B1:I671,8,FALSE)</f>
        <v>158.51598718718785</v>
      </c>
      <c r="F142" s="55" cm="1">
        <f t="array" ref="F142">IF(Settings!$E$15="POINTS",E142-VLOOKUP(B$2,C1:E210,3,FALSE),J142)</f>
        <v>-228.01921920589515</v>
      </c>
      <c r="G142" s="55"/>
      <c r="H142" s="167" cm="1">
        <f t="array" ref="H142">RANK(I142,I3:I210)</f>
        <v>166</v>
      </c>
      <c r="I142" s="168" cm="1">
        <f t="array" ref="I142">VLOOKUP(A142,'Standard Deviations'!A1:C672,3,FALSE)</f>
        <v>-3.7592228194923769</v>
      </c>
      <c r="J142" s="168" cm="1">
        <f t="array" ref="J142">I142-VLOOKUP(B$2,H1:J210,2,FALSE)</f>
        <v>-10.14069722244532</v>
      </c>
    </row>
    <row r="143" spans="1:10" ht="21.25" customHeight="1" x14ac:dyDescent="0.15">
      <c r="A143" s="10" t="s">
        <v>666</v>
      </c>
      <c r="B143" s="88" t="str" cm="1">
        <f t="array" ref="B143">VLOOKUP(A143,'The List'!B1:D671,3,FALSE)</f>
        <v>C,LW</v>
      </c>
      <c r="C143" s="89" cm="1">
        <f t="array" ref="C143">IF(Settings!$E$15="POINTS",RANK(E143,E3:E210),H143)</f>
        <v>141</v>
      </c>
      <c r="D143" s="18" t="str" cm="1">
        <f t="array" ref="D143">VLOOKUP(A143,'The List'!B1:F671,5,FALSE)</f>
        <v>DAL</v>
      </c>
      <c r="E143" s="55" cm="1">
        <f t="array" ref="E143">VLOOKUP(A143,'The List'!B1:I671,8,FALSE)</f>
        <v>156.13141068931625</v>
      </c>
      <c r="F143" s="55" cm="1">
        <f t="array" ref="F143">IF(Settings!$E$15="POINTS",E143-VLOOKUP(B$2,C1:E210,3,FALSE),J143)</f>
        <v>-230.40379570376675</v>
      </c>
      <c r="G143" s="55"/>
      <c r="H143" s="167" cm="1">
        <f t="array" ref="H143">RANK(I143,I3:I210)</f>
        <v>102</v>
      </c>
      <c r="I143" s="168" cm="1">
        <f t="array" ref="I143">VLOOKUP(A143,'Standard Deviations'!A1:C672,3,FALSE)</f>
        <v>-1.0466563569080498</v>
      </c>
      <c r="J143" s="168" cm="1">
        <f t="array" ref="J143">I143-VLOOKUP(B$2,H1:J210,2,FALSE)</f>
        <v>-7.4281307598609931</v>
      </c>
    </row>
    <row r="144" spans="1:10" ht="21.25" customHeight="1" x14ac:dyDescent="0.15">
      <c r="A144" s="10" t="s">
        <v>668</v>
      </c>
      <c r="B144" s="88" t="str" cm="1">
        <f t="array" ref="B144">VLOOKUP(A144,'The List'!B1:D671,3,FALSE)</f>
        <v>C,LW</v>
      </c>
      <c r="C144" s="89" cm="1">
        <f t="array" ref="C144">IF(Settings!$E$15="POINTS",RANK(E144,E3:E210),H144)</f>
        <v>142</v>
      </c>
      <c r="D144" s="18" t="str" cm="1">
        <f t="array" ref="D144">VLOOKUP(A144,'The List'!B1:F671,5,FALSE)</f>
        <v>T.B</v>
      </c>
      <c r="E144" s="55" cm="1">
        <f t="array" ref="E144">VLOOKUP(A144,'The List'!B1:I671,8,FALSE)</f>
        <v>154.14218459151215</v>
      </c>
      <c r="F144" s="55" cm="1">
        <f t="array" ref="F144">IF(Settings!$E$15="POINTS",E144-VLOOKUP(B$2,C1:E210,3,FALSE),J144)</f>
        <v>-232.39302180157085</v>
      </c>
      <c r="G144" s="55"/>
      <c r="H144" s="167" cm="1">
        <f t="array" ref="H144">RANK(I144,I3:I210)</f>
        <v>107</v>
      </c>
      <c r="I144" s="168" cm="1">
        <f t="array" ref="I144">VLOOKUP(A144,'Standard Deviations'!A1:C672,3,FALSE)</f>
        <v>-1.1809209112842955</v>
      </c>
      <c r="J144" s="168" cm="1">
        <f t="array" ref="J144">I144-VLOOKUP(B$2,H1:J210,2,FALSE)</f>
        <v>-7.5623953142372393</v>
      </c>
    </row>
    <row r="145" spans="1:10" ht="21.25" customHeight="1" x14ac:dyDescent="0.15">
      <c r="A145" s="10" t="s">
        <v>672</v>
      </c>
      <c r="B145" s="88" t="str" cm="1">
        <f t="array" ref="B145">VLOOKUP(A145,'The List'!B1:D671,3,FALSE)</f>
        <v>C,LW</v>
      </c>
      <c r="C145" s="89" cm="1">
        <f t="array" ref="C145">IF(Settings!$E$15="POINTS",RANK(E145,E3:E210),H145)</f>
        <v>143</v>
      </c>
      <c r="D145" s="18" t="str" cm="1">
        <f t="array" ref="D145">VLOOKUP(A145,'The List'!B1:F671,5,FALSE)</f>
        <v>WPG</v>
      </c>
      <c r="E145" s="55" cm="1">
        <f t="array" ref="E145">VLOOKUP(A145,'The List'!B1:I671,8,FALSE)</f>
        <v>152.2931111061238</v>
      </c>
      <c r="F145" s="55" cm="1">
        <f t="array" ref="F145">IF(Settings!$E$15="POINTS",E145-VLOOKUP(B$2,C1:E210,3,FALSE),J145)</f>
        <v>-234.2420952869592</v>
      </c>
      <c r="G145" s="55"/>
      <c r="H145" s="167" cm="1">
        <f t="array" ref="H145">RANK(I145,I3:I210)</f>
        <v>141</v>
      </c>
      <c r="I145" s="168" cm="1">
        <f t="array" ref="I145">VLOOKUP(A145,'Standard Deviations'!A1:C672,3,FALSE)</f>
        <v>-2.6181987270517548</v>
      </c>
      <c r="J145" s="168" cm="1">
        <f t="array" ref="J145">I145-VLOOKUP(B$2,H1:J210,2,FALSE)</f>
        <v>-8.9996731300046982</v>
      </c>
    </row>
    <row r="146" spans="1:10" ht="21.25" customHeight="1" x14ac:dyDescent="0.15">
      <c r="A146" s="10" t="s">
        <v>673</v>
      </c>
      <c r="B146" s="88" t="str" cm="1">
        <f t="array" ref="B146">VLOOKUP(A146,'The List'!B1:D671,3,FALSE)</f>
        <v>C,LW</v>
      </c>
      <c r="C146" s="89" cm="1">
        <f t="array" ref="C146">IF(Settings!$E$15="POINTS",RANK(E146,E3:E210),H146)</f>
        <v>144</v>
      </c>
      <c r="D146" s="18" t="str" cm="1">
        <f t="array" ref="D146">VLOOKUP(A146,'The List'!B1:F671,5,FALSE)</f>
        <v>TOR</v>
      </c>
      <c r="E146" s="55" cm="1">
        <f t="array" ref="E146">VLOOKUP(A146,'The List'!B1:I671,8,FALSE)</f>
        <v>152.10078647623914</v>
      </c>
      <c r="F146" s="55" cm="1">
        <f t="array" ref="F146">IF(Settings!$E$15="POINTS",E146-VLOOKUP(B$2,C1:E210,3,FALSE),J146)</f>
        <v>-234.43441991684386</v>
      </c>
      <c r="G146" s="55"/>
      <c r="H146" s="167" cm="1">
        <f t="array" ref="H146">RANK(I146,I3:I210)</f>
        <v>110</v>
      </c>
      <c r="I146" s="168" cm="1">
        <f t="array" ref="I146">VLOOKUP(A146,'Standard Deviations'!A1:C672,3,FALSE)</f>
        <v>-1.4687639745274956</v>
      </c>
      <c r="J146" s="168" cm="1">
        <f t="array" ref="J146">I146-VLOOKUP(B$2,H1:J210,2,FALSE)</f>
        <v>-7.850238377480439</v>
      </c>
    </row>
    <row r="147" spans="1:10" ht="21.25" customHeight="1" x14ac:dyDescent="0.15">
      <c r="A147" s="10" t="s">
        <v>667</v>
      </c>
      <c r="B147" s="88" t="str" cm="1">
        <f t="array" ref="B147">VLOOKUP(A147,'The List'!B1:D671,3,FALSE)</f>
        <v>C,RW</v>
      </c>
      <c r="C147" s="89" cm="1">
        <f t="array" ref="C147">IF(Settings!$E$15="POINTS",RANK(E147,E3:E210),H147)</f>
        <v>145</v>
      </c>
      <c r="D147" s="18" t="str" cm="1">
        <f t="array" ref="D147">VLOOKUP(A147,'The List'!B1:F671,5,FALSE)</f>
        <v>COL</v>
      </c>
      <c r="E147" s="55" cm="1">
        <f t="array" ref="E147">VLOOKUP(A147,'The List'!B1:I671,8,FALSE)</f>
        <v>151.52782171336438</v>
      </c>
      <c r="F147" s="55" cm="1">
        <f t="array" ref="F147">IF(Settings!$E$15="POINTS",E147-VLOOKUP(B$2,C1:E210,3,FALSE),J147)</f>
        <v>-235.00738467971863</v>
      </c>
      <c r="G147" s="55"/>
      <c r="H147" s="167" cm="1">
        <f t="array" ref="H147">RANK(I147,I3:I210)</f>
        <v>118</v>
      </c>
      <c r="I147" s="168" cm="1">
        <f t="array" ref="I147">VLOOKUP(A147,'Standard Deviations'!A1:C672,3,FALSE)</f>
        <v>-1.8429988272330453</v>
      </c>
      <c r="J147" s="168" cm="1">
        <f t="array" ref="J147">I147-VLOOKUP(B$2,H1:J210,2,FALSE)</f>
        <v>-8.2244732301859891</v>
      </c>
    </row>
    <row r="148" spans="1:10" ht="21.25" customHeight="1" x14ac:dyDescent="0.15">
      <c r="A148" s="10" t="s">
        <v>669</v>
      </c>
      <c r="B148" s="88" t="str" cm="1">
        <f t="array" ref="B148">VLOOKUP(A148,'The List'!B1:D671,3,FALSE)</f>
        <v>C,RW</v>
      </c>
      <c r="C148" s="89" cm="1">
        <f t="array" ref="C148">IF(Settings!$E$15="POINTS",RANK(E148,E3:E210),H148)</f>
        <v>146</v>
      </c>
      <c r="D148" s="18" t="str" cm="1">
        <f t="array" ref="D148">VLOOKUP(A148,'The List'!B1:F671,5,FALSE)</f>
        <v>N.J</v>
      </c>
      <c r="E148" s="55" cm="1">
        <f t="array" ref="E148">VLOOKUP(A148,'The List'!B1:I671,8,FALSE)</f>
        <v>149.51594419857432</v>
      </c>
      <c r="F148" s="55" cm="1">
        <f t="array" ref="F148">IF(Settings!$E$15="POINTS",E148-VLOOKUP(B$2,C1:E210,3,FALSE),J148)</f>
        <v>-237.01926219450868</v>
      </c>
      <c r="G148" s="55"/>
      <c r="H148" s="167" cm="1">
        <f t="array" ref="H148">RANK(I148,I3:I210)</f>
        <v>152</v>
      </c>
      <c r="I148" s="168" cm="1">
        <f t="array" ref="I148">VLOOKUP(A148,'Standard Deviations'!A1:C672,3,FALSE)</f>
        <v>-3.1258471731550865</v>
      </c>
      <c r="J148" s="168" cm="1">
        <f t="array" ref="J148">I148-VLOOKUP(B$2,H1:J210,2,FALSE)</f>
        <v>-9.5073215761080299</v>
      </c>
    </row>
    <row r="149" spans="1:10" ht="21.25" customHeight="1" x14ac:dyDescent="0.15">
      <c r="A149" s="10" t="s">
        <v>679</v>
      </c>
      <c r="B149" s="88" t="str" cm="1">
        <f t="array" ref="B149">VLOOKUP(A149,'The List'!B1:D671,3,FALSE)</f>
        <v>C,LW</v>
      </c>
      <c r="C149" s="89" cm="1">
        <f t="array" ref="C149">IF(Settings!$E$15="POINTS",RANK(E149,E3:E210),H149)</f>
        <v>147</v>
      </c>
      <c r="D149" s="18" t="str" cm="1">
        <f t="array" ref="D149">VLOOKUP(A149,'The List'!B1:F671,5,FALSE)</f>
        <v>BOS</v>
      </c>
      <c r="E149" s="55" cm="1">
        <f t="array" ref="E149">VLOOKUP(A149,'The List'!B1:I671,8,FALSE)</f>
        <v>149.15578870461394</v>
      </c>
      <c r="F149" s="55" cm="1">
        <f t="array" ref="F149">IF(Settings!$E$15="POINTS",E149-VLOOKUP(B$2,C1:E210,3,FALSE),J149)</f>
        <v>-237.37941768846906</v>
      </c>
      <c r="G149" s="55"/>
      <c r="H149" s="167" cm="1">
        <f t="array" ref="H149">RANK(I149,I3:I210)</f>
        <v>173</v>
      </c>
      <c r="I149" s="168" cm="1">
        <f t="array" ref="I149">VLOOKUP(A149,'Standard Deviations'!A1:C672,3,FALSE)</f>
        <v>-4.0432539563229764</v>
      </c>
      <c r="J149" s="168" cm="1">
        <f t="array" ref="J149">I149-VLOOKUP(B$2,H1:J210,2,FALSE)</f>
        <v>-10.424728359275921</v>
      </c>
    </row>
    <row r="150" spans="1:10" ht="21.25" customHeight="1" x14ac:dyDescent="0.15">
      <c r="A150" s="10" t="s">
        <v>680</v>
      </c>
      <c r="B150" s="88" t="str" cm="1">
        <f t="array" ref="B150">VLOOKUP(A150,'The List'!B1:D671,3,FALSE)</f>
        <v>C,LW</v>
      </c>
      <c r="C150" s="89" cm="1">
        <f t="array" ref="C150">IF(Settings!$E$15="POINTS",RANK(E150,E3:E210),H150)</f>
        <v>148</v>
      </c>
      <c r="D150" s="18" t="str" cm="1">
        <f t="array" ref="D150">VLOOKUP(A150,'The List'!B1:F671,5,FALSE)</f>
        <v>PIT</v>
      </c>
      <c r="E150" s="55" cm="1">
        <f t="array" ref="E150">VLOOKUP(A150,'The List'!B1:I671,8,FALSE)</f>
        <v>148.92316495648106</v>
      </c>
      <c r="F150" s="55" cm="1">
        <f t="array" ref="F150">IF(Settings!$E$15="POINTS",E150-VLOOKUP(B$2,C1:E210,3,FALSE),J150)</f>
        <v>-237.61204143660194</v>
      </c>
      <c r="G150" s="55"/>
      <c r="H150" s="167" cm="1">
        <f t="array" ref="H150">RANK(I150,I3:I210)</f>
        <v>160</v>
      </c>
      <c r="I150" s="168" cm="1">
        <f t="array" ref="I150">VLOOKUP(A150,'Standard Deviations'!A1:C672,3,FALSE)</f>
        <v>-3.4618159793086178</v>
      </c>
      <c r="J150" s="168" cm="1">
        <f t="array" ref="J150">I150-VLOOKUP(B$2,H1:J210,2,FALSE)</f>
        <v>-9.8432903822615607</v>
      </c>
    </row>
    <row r="151" spans="1:10" ht="21.25" customHeight="1" x14ac:dyDescent="0.15">
      <c r="A151" s="10" t="s">
        <v>656</v>
      </c>
      <c r="B151" s="88" t="str" cm="1">
        <f t="array" ref="B151">VLOOKUP(A151,'The List'!B1:D671,3,FALSE)</f>
        <v>C</v>
      </c>
      <c r="C151" s="89" cm="1">
        <f t="array" ref="C151">IF(Settings!$E$15="POINTS",RANK(E151,E3:E210),H151)</f>
        <v>149</v>
      </c>
      <c r="D151" s="18" t="str" cm="1">
        <f t="array" ref="D151">VLOOKUP(A151,'The List'!B1:F671,5,FALSE)</f>
        <v>TOR</v>
      </c>
      <c r="E151" s="55" cm="1">
        <f t="array" ref="E151">VLOOKUP(A151,'The List'!B1:I671,8,FALSE)</f>
        <v>148.42194902572274</v>
      </c>
      <c r="F151" s="55" cm="1">
        <f t="array" ref="F151">IF(Settings!$E$15="POINTS",E151-VLOOKUP(B$2,C1:E210,3,FALSE),J151)</f>
        <v>-238.11325736736026</v>
      </c>
      <c r="G151" s="55"/>
      <c r="H151" s="167" cm="1">
        <f t="array" ref="H151">RANK(I151,I3:I210)</f>
        <v>142</v>
      </c>
      <c r="I151" s="168" cm="1">
        <f t="array" ref="I151">VLOOKUP(A151,'Standard Deviations'!A1:C672,3,FALSE)</f>
        <v>-2.6395032719234406</v>
      </c>
      <c r="J151" s="168" cm="1">
        <f t="array" ref="J151">I151-VLOOKUP(B$2,H1:J210,2,FALSE)</f>
        <v>-9.0209776748763844</v>
      </c>
    </row>
    <row r="152" spans="1:10" ht="21.25" customHeight="1" x14ac:dyDescent="0.15">
      <c r="A152" s="10" t="s">
        <v>659</v>
      </c>
      <c r="B152" s="88" t="str" cm="1">
        <f t="array" ref="B152">VLOOKUP(A152,'The List'!B1:D671,3,FALSE)</f>
        <v>C</v>
      </c>
      <c r="C152" s="89" cm="1">
        <f t="array" ref="C152">IF(Settings!$E$15="POINTS",RANK(E152,E3:E210),H152)</f>
        <v>150</v>
      </c>
      <c r="D152" s="18" t="str" cm="1">
        <f t="array" ref="D152">VLOOKUP(A152,'The List'!B1:F671,5,FALSE)</f>
        <v>DET</v>
      </c>
      <c r="E152" s="55" cm="1">
        <f t="array" ref="E152">VLOOKUP(A152,'The List'!B1:I671,8,FALSE)</f>
        <v>147.63915242422775</v>
      </c>
      <c r="F152" s="55" cm="1">
        <f t="array" ref="F152">IF(Settings!$E$15="POINTS",E152-VLOOKUP(B$2,C1:E210,3,FALSE),J152)</f>
        <v>-238.89605396885526</v>
      </c>
      <c r="G152" s="55"/>
      <c r="H152" s="167" cm="1">
        <f t="array" ref="H152">RANK(I152,I3:I210)</f>
        <v>168</v>
      </c>
      <c r="I152" s="168" cm="1">
        <f t="array" ref="I152">VLOOKUP(A152,'Standard Deviations'!A1:C672,3,FALSE)</f>
        <v>-3.8155008341569836</v>
      </c>
      <c r="J152" s="168" cm="1">
        <f t="array" ref="J152">I152-VLOOKUP(B$2,H1:J210,2,FALSE)</f>
        <v>-10.196975237109928</v>
      </c>
    </row>
    <row r="153" spans="1:10" ht="21.25" customHeight="1" x14ac:dyDescent="0.15">
      <c r="A153" s="10" t="s">
        <v>684</v>
      </c>
      <c r="B153" s="88" t="str" cm="1">
        <f t="array" ref="B153">VLOOKUP(A153,'The List'!B1:D671,3,FALSE)</f>
        <v>C,LW</v>
      </c>
      <c r="C153" s="89" cm="1">
        <f t="array" ref="C153">IF(Settings!$E$15="POINTS",RANK(E153,E3:E210),H153)</f>
        <v>151</v>
      </c>
      <c r="D153" s="18" t="str" cm="1">
        <f t="array" ref="D153">VLOOKUP(A153,'The List'!B1:F671,5,FALSE)</f>
        <v>UTA</v>
      </c>
      <c r="E153" s="55" cm="1">
        <f t="array" ref="E153">VLOOKUP(A153,'The List'!B1:I671,8,FALSE)</f>
        <v>147.34149050842899</v>
      </c>
      <c r="F153" s="55" cm="1">
        <f t="array" ref="F153">IF(Settings!$E$15="POINTS",E153-VLOOKUP(B$2,C1:E210,3,FALSE),J153)</f>
        <v>-239.19371588465401</v>
      </c>
      <c r="G153" s="55"/>
      <c r="H153" s="167" cm="1">
        <f t="array" ref="H153">RANK(I153,I3:I210)</f>
        <v>92</v>
      </c>
      <c r="I153" s="168" cm="1">
        <f t="array" ref="I153">VLOOKUP(A153,'Standard Deviations'!A1:C672,3,FALSE)</f>
        <v>-0.63313244656736023</v>
      </c>
      <c r="J153" s="168" cm="1">
        <f t="array" ref="J153">I153-VLOOKUP(B$2,H1:J210,2,FALSE)</f>
        <v>-7.0146068495203036</v>
      </c>
    </row>
    <row r="154" spans="1:10" ht="21.25" customHeight="1" x14ac:dyDescent="0.15">
      <c r="A154" s="10" t="s">
        <v>661</v>
      </c>
      <c r="B154" s="88" t="str" cm="1">
        <f t="array" ref="B154">VLOOKUP(A154,'The List'!B1:D671,3,FALSE)</f>
        <v>C</v>
      </c>
      <c r="C154" s="89" cm="1">
        <f t="array" ref="C154">IF(Settings!$E$15="POINTS",RANK(E154,E3:E210),H154)</f>
        <v>152</v>
      </c>
      <c r="D154" s="18" t="str" cm="1">
        <f t="array" ref="D154">VLOOKUP(A154,'The List'!B1:F671,5,FALSE)</f>
        <v>CGY</v>
      </c>
      <c r="E154" s="55" cm="1">
        <f t="array" ref="E154">VLOOKUP(A154,'The List'!B1:I671,8,FALSE)</f>
        <v>147.31566899271124</v>
      </c>
      <c r="F154" s="55" cm="1">
        <f t="array" ref="F154">IF(Settings!$E$15="POINTS",E154-VLOOKUP(B$2,C1:E210,3,FALSE),J154)</f>
        <v>-239.21953740037176</v>
      </c>
      <c r="G154" s="55"/>
      <c r="H154" s="167" cm="1">
        <f t="array" ref="H154">RANK(I154,I3:I210)</f>
        <v>162</v>
      </c>
      <c r="I154" s="168" cm="1">
        <f t="array" ref="I154">VLOOKUP(A154,'Standard Deviations'!A1:C672,3,FALSE)</f>
        <v>-3.6038429875680138</v>
      </c>
      <c r="J154" s="168" cm="1">
        <f t="array" ref="J154">I154-VLOOKUP(B$2,H1:J210,2,FALSE)</f>
        <v>-9.985317390520958</v>
      </c>
    </row>
    <row r="155" spans="1:10" ht="21.25" customHeight="1" x14ac:dyDescent="0.15">
      <c r="A155" s="10" t="s">
        <v>675</v>
      </c>
      <c r="B155" s="88" t="str" cm="1">
        <f t="array" ref="B155">VLOOKUP(A155,'The List'!B1:D671,3,FALSE)</f>
        <v>C,RW</v>
      </c>
      <c r="C155" s="89" cm="1">
        <f t="array" ref="C155">IF(Settings!$E$15="POINTS",RANK(E155,E3:E210),H155)</f>
        <v>153</v>
      </c>
      <c r="D155" s="18" t="str" cm="1">
        <f t="array" ref="D155">VLOOKUP(A155,'The List'!B1:F671,5,FALSE)</f>
        <v>MTL</v>
      </c>
      <c r="E155" s="55" cm="1">
        <f t="array" ref="E155">VLOOKUP(A155,'The List'!B1:I671,8,FALSE)</f>
        <v>146.52044804829563</v>
      </c>
      <c r="F155" s="55" cm="1">
        <f t="array" ref="F155">IF(Settings!$E$15="POINTS",E155-VLOOKUP(B$2,C1:E210,3,FALSE),J155)</f>
        <v>-240.01475834478737</v>
      </c>
      <c r="G155" s="55"/>
      <c r="H155" s="167" cm="1">
        <f t="array" ref="H155">RANK(I155,I3:I210)</f>
        <v>120</v>
      </c>
      <c r="I155" s="168" cm="1">
        <f t="array" ref="I155">VLOOKUP(A155,'Standard Deviations'!A1:C672,3,FALSE)</f>
        <v>-1.9026919476884228</v>
      </c>
      <c r="J155" s="168" cm="1">
        <f t="array" ref="J155">I155-VLOOKUP(B$2,H1:J210,2,FALSE)</f>
        <v>-8.2841663506413674</v>
      </c>
    </row>
    <row r="156" spans="1:10" ht="21.25" customHeight="1" x14ac:dyDescent="0.15">
      <c r="A156" s="10" t="s">
        <v>677</v>
      </c>
      <c r="B156" s="88" t="str" cm="1">
        <f t="array" ref="B156">VLOOKUP(A156,'The List'!B1:D671,3,FALSE)</f>
        <v>C,RW</v>
      </c>
      <c r="C156" s="89" cm="1">
        <f t="array" ref="C156">IF(Settings!$E$15="POINTS",RANK(E156,E3:E210),H156)</f>
        <v>154</v>
      </c>
      <c r="D156" s="18" t="str" cm="1">
        <f t="array" ref="D156">VLOOKUP(A156,'The List'!B1:F671,5,FALSE)</f>
        <v>WSH</v>
      </c>
      <c r="E156" s="55" cm="1">
        <f t="array" ref="E156">VLOOKUP(A156,'The List'!B1:I671,8,FALSE)</f>
        <v>146.03634311885486</v>
      </c>
      <c r="F156" s="55" cm="1">
        <f t="array" ref="F156">IF(Settings!$E$15="POINTS",E156-VLOOKUP(B$2,C1:E210,3,FALSE),J156)</f>
        <v>-240.49886327422814</v>
      </c>
      <c r="G156" s="55"/>
      <c r="H156" s="167" cm="1">
        <f t="array" ref="H156">RANK(I156,I3:I210)</f>
        <v>130</v>
      </c>
      <c r="I156" s="168" cm="1">
        <f t="array" ref="I156">VLOOKUP(A156,'Standard Deviations'!A1:C672,3,FALSE)</f>
        <v>-2.2233758562068937</v>
      </c>
      <c r="J156" s="168" cm="1">
        <f t="array" ref="J156">I156-VLOOKUP(B$2,H1:J210,2,FALSE)</f>
        <v>-8.6048502591598375</v>
      </c>
    </row>
    <row r="157" spans="1:10" ht="21.25" customHeight="1" x14ac:dyDescent="0.15">
      <c r="A157" s="10" t="s">
        <v>685</v>
      </c>
      <c r="B157" s="88" t="str" cm="1">
        <f t="array" ref="B157">VLOOKUP(A157,'The List'!B1:D671,3,FALSE)</f>
        <v>C,LW</v>
      </c>
      <c r="C157" s="89" cm="1">
        <f t="array" ref="C157">IF(Settings!$E$15="POINTS",RANK(E157,E3:E210),H157)</f>
        <v>155</v>
      </c>
      <c r="D157" s="18" t="str" cm="1">
        <f t="array" ref="D157">VLOOKUP(A157,'The List'!B1:F671,5,FALSE)</f>
        <v>BUF</v>
      </c>
      <c r="E157" s="55" cm="1">
        <f t="array" ref="E157">VLOOKUP(A157,'The List'!B1:I671,8,FALSE)</f>
        <v>146.01881101514866</v>
      </c>
      <c r="F157" s="55" cm="1">
        <f t="array" ref="F157">IF(Settings!$E$15="POINTS",E157-VLOOKUP(B$2,C1:E210,3,FALSE),J157)</f>
        <v>-240.51639537793434</v>
      </c>
      <c r="G157" s="55"/>
      <c r="H157" s="167" cm="1">
        <f t="array" ref="H157">RANK(I157,I3:I210)</f>
        <v>124</v>
      </c>
      <c r="I157" s="168" cm="1">
        <f t="array" ref="I157">VLOOKUP(A157,'Standard Deviations'!A1:C672,3,FALSE)</f>
        <v>-2.0164064771055523</v>
      </c>
      <c r="J157" s="168" cm="1">
        <f t="array" ref="J157">I157-VLOOKUP(B$2,H1:J210,2,FALSE)</f>
        <v>-8.3978808800584961</v>
      </c>
    </row>
    <row r="158" spans="1:10" ht="21.25" customHeight="1" x14ac:dyDescent="0.15">
      <c r="A158" s="10" t="s">
        <v>686</v>
      </c>
      <c r="B158" s="88" t="str" cm="1">
        <f t="array" ref="B158">VLOOKUP(A158,'The List'!B1:D671,3,FALSE)</f>
        <v>C,LW</v>
      </c>
      <c r="C158" s="89" cm="1">
        <f t="array" ref="C158">IF(Settings!$E$15="POINTS",RANK(E158,E3:E210),H158)</f>
        <v>156</v>
      </c>
      <c r="D158" s="18" t="str" cm="1">
        <f t="array" ref="D158">VLOOKUP(A158,'The List'!B1:F671,5,FALSE)</f>
        <v>DAL</v>
      </c>
      <c r="E158" s="55" cm="1">
        <f t="array" ref="E158">VLOOKUP(A158,'The List'!B1:I671,8,FALSE)</f>
        <v>145.96338984928676</v>
      </c>
      <c r="F158" s="55" cm="1">
        <f t="array" ref="F158">IF(Settings!$E$15="POINTS",E158-VLOOKUP(B$2,C1:E210,3,FALSE),J158)</f>
        <v>-240.57181654379625</v>
      </c>
      <c r="G158" s="55"/>
      <c r="H158" s="167" cm="1">
        <f t="array" ref="H158">RANK(I158,I3:I210)</f>
        <v>138</v>
      </c>
      <c r="I158" s="168" cm="1">
        <f t="array" ref="I158">VLOOKUP(A158,'Standard Deviations'!A1:C672,3,FALSE)</f>
        <v>-2.5261636105711389</v>
      </c>
      <c r="J158" s="168" cm="1">
        <f t="array" ref="J158">I158-VLOOKUP(B$2,H1:J210,2,FALSE)</f>
        <v>-8.9076380135240818</v>
      </c>
    </row>
    <row r="159" spans="1:10" ht="21.25" customHeight="1" x14ac:dyDescent="0.15">
      <c r="A159" s="10" t="s">
        <v>664</v>
      </c>
      <c r="B159" s="88" t="str" cm="1">
        <f t="array" ref="B159">VLOOKUP(A159,'The List'!B1:D671,3,FALSE)</f>
        <v>C</v>
      </c>
      <c r="C159" s="89" cm="1">
        <f t="array" ref="C159">IF(Settings!$E$15="POINTS",RANK(E159,E3:E210),H159)</f>
        <v>157</v>
      </c>
      <c r="D159" s="18" t="str" cm="1">
        <f t="array" ref="D159">VLOOKUP(A159,'The List'!B1:F671,5,FALSE)</f>
        <v>MTL</v>
      </c>
      <c r="E159" s="55" cm="1">
        <f t="array" ref="E159">VLOOKUP(A159,'The List'!B1:I671,8,FALSE)</f>
        <v>144.8317027273041</v>
      </c>
      <c r="F159" s="55" cm="1">
        <f t="array" ref="F159">IF(Settings!$E$15="POINTS",E159-VLOOKUP(B$2,C1:E210,3,FALSE),J159)</f>
        <v>-241.7035036657789</v>
      </c>
      <c r="G159" s="55"/>
      <c r="H159" s="167" cm="1">
        <f t="array" ref="H159">RANK(I159,I3:I210)</f>
        <v>153</v>
      </c>
      <c r="I159" s="168" cm="1">
        <f t="array" ref="I159">VLOOKUP(A159,'Standard Deviations'!A1:C672,3,FALSE)</f>
        <v>-3.185250688738519</v>
      </c>
      <c r="J159" s="168" cm="1">
        <f t="array" ref="J159">I159-VLOOKUP(B$2,H1:J210,2,FALSE)</f>
        <v>-9.5667250916914632</v>
      </c>
    </row>
    <row r="160" spans="1:10" ht="21.25" customHeight="1" x14ac:dyDescent="0.15">
      <c r="A160" s="10" t="s">
        <v>681</v>
      </c>
      <c r="B160" s="88" t="str" cm="1">
        <f t="array" ref="B160">VLOOKUP(A160,'The List'!B1:D671,3,FALSE)</f>
        <v>C,RW</v>
      </c>
      <c r="C160" s="89" cm="1">
        <f t="array" ref="C160">IF(Settings!$E$15="POINTS",RANK(E160,E3:E210),H160)</f>
        <v>158</v>
      </c>
      <c r="D160" s="18" t="str" cm="1">
        <f t="array" ref="D160">VLOOKUP(A160,'The List'!B1:F671,5,FALSE)</f>
        <v>SEA</v>
      </c>
      <c r="E160" s="55" cm="1">
        <f t="array" ref="E160">VLOOKUP(A160,'The List'!B1:I671,8,FALSE)</f>
        <v>144.41385497594416</v>
      </c>
      <c r="F160" s="55" cm="1">
        <f t="array" ref="F160">IF(Settings!$E$15="POINTS",E160-VLOOKUP(B$2,C1:E210,3,FALSE),J160)</f>
        <v>-242.12135141713884</v>
      </c>
      <c r="G160" s="55"/>
      <c r="H160" s="167" cm="1">
        <f t="array" ref="H160">RANK(I160,I3:I210)</f>
        <v>200</v>
      </c>
      <c r="I160" s="168" cm="1">
        <f t="array" ref="I160">VLOOKUP(A160,'Standard Deviations'!A1:C672,3,FALSE)</f>
        <v>-6.0587488273492358</v>
      </c>
      <c r="J160" s="168" cm="1">
        <f t="array" ref="J160">I160-VLOOKUP(B$2,H1:J210,2,FALSE)</f>
        <v>-12.44022323030218</v>
      </c>
    </row>
    <row r="161" spans="1:10" ht="21.25" customHeight="1" x14ac:dyDescent="0.15">
      <c r="A161" s="10" t="s">
        <v>698</v>
      </c>
      <c r="B161" s="88" t="str" cm="1">
        <f t="array" ref="B161">VLOOKUP(A161,'The List'!B1:D671,3,FALSE)</f>
        <v>C,LW</v>
      </c>
      <c r="C161" s="89" cm="1">
        <f t="array" ref="C161">IF(Settings!$E$15="POINTS",RANK(E161,E3:E210),H161)</f>
        <v>159</v>
      </c>
      <c r="D161" s="18" t="str" cm="1">
        <f t="array" ref="D161">VLOOKUP(A161,'The List'!B1:F671,5,FALSE)</f>
        <v>WPG</v>
      </c>
      <c r="E161" s="55" cm="1">
        <f t="array" ref="E161">VLOOKUP(A161,'The List'!B1:I671,8,FALSE)</f>
        <v>139.37956686193914</v>
      </c>
      <c r="F161" s="55" cm="1">
        <f t="array" ref="F161">IF(Settings!$E$15="POINTS",E161-VLOOKUP(B$2,C1:E210,3,FALSE),J161)</f>
        <v>-247.15563953114386</v>
      </c>
      <c r="G161" s="55"/>
      <c r="H161" s="167" cm="1">
        <f t="array" ref="H161">RANK(I161,I3:I210)</f>
        <v>155</v>
      </c>
      <c r="I161" s="168" cm="1">
        <f t="array" ref="I161">VLOOKUP(A161,'Standard Deviations'!A1:C672,3,FALSE)</f>
        <v>-3.2948038565384588</v>
      </c>
      <c r="J161" s="168" cm="1">
        <f t="array" ref="J161">I161-VLOOKUP(B$2,H1:J210,2,FALSE)</f>
        <v>-9.6762782594914025</v>
      </c>
    </row>
    <row r="162" spans="1:10" ht="21.25" customHeight="1" x14ac:dyDescent="0.15">
      <c r="A162" s="10" t="s">
        <v>690</v>
      </c>
      <c r="B162" s="88" t="str" cm="1">
        <f t="array" ref="B162">VLOOKUP(A162,'The List'!B1:D671,3,FALSE)</f>
        <v>C,RW</v>
      </c>
      <c r="C162" s="89" cm="1">
        <f t="array" ref="C162">IF(Settings!$E$15="POINTS",RANK(E162,E3:E210),H162)</f>
        <v>160</v>
      </c>
      <c r="D162" s="18" t="str" cm="1">
        <f t="array" ref="D162">VLOOKUP(A162,'The List'!B1:F671,5,FALSE)</f>
        <v>PHI</v>
      </c>
      <c r="E162" s="55" cm="1">
        <f t="array" ref="E162">VLOOKUP(A162,'The List'!B1:I671,8,FALSE)</f>
        <v>138.14554770153657</v>
      </c>
      <c r="F162" s="55" cm="1">
        <f t="array" ref="F162">IF(Settings!$E$15="POINTS",E162-VLOOKUP(B$2,C1:E210,3,FALSE),J162)</f>
        <v>-248.38965869154643</v>
      </c>
      <c r="G162" s="55"/>
      <c r="H162" s="167" cm="1">
        <f t="array" ref="H162">RANK(I162,I3:I210)</f>
        <v>165</v>
      </c>
      <c r="I162" s="168" cm="1">
        <f t="array" ref="I162">VLOOKUP(A162,'Standard Deviations'!A1:C672,3,FALSE)</f>
        <v>-3.7481985322381219</v>
      </c>
      <c r="J162" s="168" cm="1">
        <f t="array" ref="J162">I162-VLOOKUP(B$2,H1:J210,2,FALSE)</f>
        <v>-10.129672935191065</v>
      </c>
    </row>
    <row r="163" spans="1:10" ht="21.25" customHeight="1" x14ac:dyDescent="0.15">
      <c r="A163" s="10" t="s">
        <v>700</v>
      </c>
      <c r="B163" s="88" t="str" cm="1">
        <f t="array" ref="B163">VLOOKUP(A163,'The List'!B1:D671,3,FALSE)</f>
        <v>C,LW</v>
      </c>
      <c r="C163" s="89" cm="1">
        <f t="array" ref="C163">IF(Settings!$E$15="POINTS",RANK(E163,E3:E210),H163)</f>
        <v>161</v>
      </c>
      <c r="D163" s="18" t="str" cm="1">
        <f t="array" ref="D163">VLOOKUP(A163,'The List'!B1:F671,5,FALSE)</f>
        <v>DET</v>
      </c>
      <c r="E163" s="55" cm="1">
        <f t="array" ref="E163">VLOOKUP(A163,'The List'!B1:I671,8,FALSE)</f>
        <v>137.96278553022793</v>
      </c>
      <c r="F163" s="55" cm="1">
        <f t="array" ref="F163">IF(Settings!$E$15="POINTS",E163-VLOOKUP(B$2,C1:E210,3,FALSE),J163)</f>
        <v>-248.57242086285507</v>
      </c>
      <c r="G163" s="55"/>
      <c r="H163" s="167" cm="1">
        <f t="array" ref="H163">RANK(I163,I3:I210)</f>
        <v>171</v>
      </c>
      <c r="I163" s="168" cm="1">
        <f t="array" ref="I163">VLOOKUP(A163,'Standard Deviations'!A1:C672,3,FALSE)</f>
        <v>-3.9532696549331638</v>
      </c>
      <c r="J163" s="168" cm="1">
        <f t="array" ref="J163">I163-VLOOKUP(B$2,H1:J210,2,FALSE)</f>
        <v>-10.334744057886107</v>
      </c>
    </row>
    <row r="164" spans="1:10" ht="21.25" customHeight="1" x14ac:dyDescent="0.15">
      <c r="A164" s="10" t="s">
        <v>676</v>
      </c>
      <c r="B164" s="88" t="str" cm="1">
        <f t="array" ref="B164">VLOOKUP(A164,'The List'!B1:D671,3,FALSE)</f>
        <v>C</v>
      </c>
      <c r="C164" s="89" cm="1">
        <f t="array" ref="C164">IF(Settings!$E$15="POINTS",RANK(E164,E3:E210),H164)</f>
        <v>162</v>
      </c>
      <c r="D164" s="18" t="str" cm="1">
        <f t="array" ref="D164">VLOOKUP(A164,'The List'!B1:F671,5,FALSE)</f>
        <v>MIN</v>
      </c>
      <c r="E164" s="55" cm="1">
        <f t="array" ref="E164">VLOOKUP(A164,'The List'!B1:I671,8,FALSE)</f>
        <v>137.78286335914413</v>
      </c>
      <c r="F164" s="55" cm="1">
        <f t="array" ref="F164">IF(Settings!$E$15="POINTS",E164-VLOOKUP(B$2,C1:E210,3,FALSE),J164)</f>
        <v>-248.75234303393887</v>
      </c>
      <c r="G164" s="55"/>
      <c r="H164" s="167" cm="1">
        <f t="array" ref="H164">RANK(I164,I3:I210)</f>
        <v>79</v>
      </c>
      <c r="I164" s="168" cm="1">
        <f t="array" ref="I164">VLOOKUP(A164,'Standard Deviations'!A1:C672,3,FALSE)</f>
        <v>0.10639323798943279</v>
      </c>
      <c r="J164" s="168" cm="1">
        <f t="array" ref="J164">I164-VLOOKUP(B$2,H1:J210,2,FALSE)</f>
        <v>-6.2750811649635114</v>
      </c>
    </row>
    <row r="165" spans="1:10" ht="21.25" customHeight="1" x14ac:dyDescent="0.15">
      <c r="A165" s="10" t="s">
        <v>693</v>
      </c>
      <c r="B165" s="88" t="str" cm="1">
        <f t="array" ref="B165">VLOOKUP(A165,'The List'!B1:D671,3,FALSE)</f>
        <v>C,RW</v>
      </c>
      <c r="C165" s="89" cm="1">
        <f t="array" ref="C165">IF(Settings!$E$15="POINTS",RANK(E165,E3:E210),H165)</f>
        <v>163</v>
      </c>
      <c r="D165" s="18" t="str" cm="1">
        <f t="array" ref="D165">VLOOKUP(A165,'The List'!B1:F671,5,FALSE)</f>
        <v>BOS</v>
      </c>
      <c r="E165" s="55" cm="1">
        <f t="array" ref="E165">VLOOKUP(A165,'The List'!B1:I671,8,FALSE)</f>
        <v>136.62365834937853</v>
      </c>
      <c r="F165" s="55" cm="1">
        <f t="array" ref="F165">IF(Settings!$E$15="POINTS",E165-VLOOKUP(B$2,C1:E210,3,FALSE),J165)</f>
        <v>-249.91154804370447</v>
      </c>
      <c r="G165" s="55"/>
      <c r="H165" s="167" cm="1">
        <f t="array" ref="H165">RANK(I165,I3:I210)</f>
        <v>76</v>
      </c>
      <c r="I165" s="168" cm="1">
        <f t="array" ref="I165">VLOOKUP(A165,'Standard Deviations'!A1:C672,3,FALSE)</f>
        <v>0.25767262728070772</v>
      </c>
      <c r="J165" s="168" cm="1">
        <f t="array" ref="J165">I165-VLOOKUP(B$2,H1:J210,2,FALSE)</f>
        <v>-6.123801775672236</v>
      </c>
    </row>
    <row r="166" spans="1:10" ht="21.25" customHeight="1" x14ac:dyDescent="0.15">
      <c r="A166" s="10" t="s">
        <v>696</v>
      </c>
      <c r="B166" s="88" t="str" cm="1">
        <f t="array" ref="B166">VLOOKUP(A166,'The List'!B1:D671,3,FALSE)</f>
        <v>C,LW,RW</v>
      </c>
      <c r="C166" s="89" cm="1">
        <f t="array" ref="C166">IF(Settings!$E$15="POINTS",RANK(E166,E3:E210),H166)</f>
        <v>164</v>
      </c>
      <c r="D166" s="18" t="str" cm="1">
        <f t="array" ref="D166">VLOOKUP(A166,'The List'!B1:F671,5,FALSE)</f>
        <v>NSH</v>
      </c>
      <c r="E166" s="55" cm="1">
        <f t="array" ref="E166">VLOOKUP(A166,'The List'!B1:I671,8,FALSE)</f>
        <v>135.71447661757338</v>
      </c>
      <c r="F166" s="55" cm="1">
        <f t="array" ref="F166">IF(Settings!$E$15="POINTS",E166-VLOOKUP(B$2,C1:E210,3,FALSE),J166)</f>
        <v>-250.82072977550962</v>
      </c>
      <c r="G166" s="55"/>
      <c r="H166" s="167" cm="1">
        <f t="array" ref="H166">RANK(I166,I3:I210)</f>
        <v>182</v>
      </c>
      <c r="I166" s="168" cm="1">
        <f t="array" ref="I166">VLOOKUP(A166,'Standard Deviations'!A1:C672,3,FALSE)</f>
        <v>-4.4724303638569092</v>
      </c>
      <c r="J166" s="168" cm="1">
        <f t="array" ref="J166">I166-VLOOKUP(B$2,H1:J210,2,FALSE)</f>
        <v>-10.853904766809853</v>
      </c>
    </row>
    <row r="167" spans="1:10" ht="21.25" customHeight="1" x14ac:dyDescent="0.15">
      <c r="A167" s="10" t="s">
        <v>706</v>
      </c>
      <c r="B167" s="88" t="str" cm="1">
        <f t="array" ref="B167">VLOOKUP(A167,'The List'!B1:D671,3,FALSE)</f>
        <v>C,RW</v>
      </c>
      <c r="C167" s="89" cm="1">
        <f t="array" ref="C167">IF(Settings!$E$15="POINTS",RANK(E167,E3:E210),H167)</f>
        <v>165</v>
      </c>
      <c r="D167" s="18" t="str" cm="1">
        <f t="array" ref="D167">VLOOKUP(A167,'The List'!B1:F671,5,FALSE)</f>
        <v>CHI</v>
      </c>
      <c r="E167" s="55" cm="1">
        <f t="array" ref="E167">VLOOKUP(A167,'The List'!B1:I671,8,FALSE)</f>
        <v>129.91200386225688</v>
      </c>
      <c r="F167" s="55" cm="1">
        <f t="array" ref="F167">IF(Settings!$E$15="POINTS",E167-VLOOKUP(B$2,C1:E210,3,FALSE),J167)</f>
        <v>-256.62320253082612</v>
      </c>
      <c r="G167" s="55"/>
      <c r="H167" s="167" cm="1">
        <f t="array" ref="H167">RANK(I167,I3:I210)</f>
        <v>194</v>
      </c>
      <c r="I167" s="168" cm="1">
        <f t="array" ref="I167">VLOOKUP(A167,'Standard Deviations'!A1:C672,3,FALSE)</f>
        <v>-5.5018196713217451</v>
      </c>
      <c r="J167" s="168" cm="1">
        <f t="array" ref="J167">I167-VLOOKUP(B$2,H1:J210,2,FALSE)</f>
        <v>-11.883294074274689</v>
      </c>
    </row>
    <row r="168" spans="1:10" ht="21.25" customHeight="1" x14ac:dyDescent="0.15">
      <c r="A168" s="10" t="s">
        <v>691</v>
      </c>
      <c r="B168" s="88" t="str" cm="1">
        <f t="array" ref="B168">VLOOKUP(A168,'The List'!B1:D671,3,FALSE)</f>
        <v>C</v>
      </c>
      <c r="C168" s="89" cm="1">
        <f t="array" ref="C168">IF(Settings!$E$15="POINTS",RANK(E168,E3:E210),H168)</f>
        <v>166</v>
      </c>
      <c r="D168" s="18" t="str" cm="1">
        <f t="array" ref="D168">VLOOKUP(A168,'The List'!B1:F671,5,FALSE)</f>
        <v>EDM</v>
      </c>
      <c r="E168" s="55" cm="1">
        <f t="array" ref="E168">VLOOKUP(A168,'The List'!B1:I671,8,FALSE)</f>
        <v>128.52772509296017</v>
      </c>
      <c r="F168" s="55" cm="1">
        <f t="array" ref="F168">IF(Settings!$E$15="POINTS",E168-VLOOKUP(B$2,C1:E210,3,FALSE),J168)</f>
        <v>-258.00748130012283</v>
      </c>
      <c r="G168" s="55"/>
      <c r="H168" s="167" cm="1">
        <f t="array" ref="H168">RANK(I168,I3:I210)</f>
        <v>147</v>
      </c>
      <c r="I168" s="168" cm="1">
        <f t="array" ref="I168">VLOOKUP(A168,'Standard Deviations'!A1:C672,3,FALSE)</f>
        <v>-2.8265198205379307</v>
      </c>
      <c r="J168" s="168" cm="1">
        <f t="array" ref="J168">I168-VLOOKUP(B$2,H1:J210,2,FALSE)</f>
        <v>-9.2079942234908749</v>
      </c>
    </row>
    <row r="169" spans="1:10" ht="21.25" customHeight="1" x14ac:dyDescent="0.15">
      <c r="A169" s="10" t="s">
        <v>711</v>
      </c>
      <c r="B169" s="88" t="str" cm="1">
        <f t="array" ref="B169">VLOOKUP(A169,'The List'!B1:D671,3,FALSE)</f>
        <v>C,RW</v>
      </c>
      <c r="C169" s="89" cm="1">
        <f t="array" ref="C169">IF(Settings!$E$15="POINTS",RANK(E169,E3:E210),H169)</f>
        <v>167</v>
      </c>
      <c r="D169" s="18" t="str" cm="1">
        <f t="array" ref="D169">VLOOKUP(A169,'The List'!B1:F671,5,FALSE)</f>
        <v>DAL</v>
      </c>
      <c r="E169" s="55" cm="1">
        <f t="array" ref="E169">VLOOKUP(A169,'The List'!B1:I671,8,FALSE)</f>
        <v>127.53005914238597</v>
      </c>
      <c r="F169" s="55" cm="1">
        <f t="array" ref="F169">IF(Settings!$E$15="POINTS",E169-VLOOKUP(B$2,C1:E210,3,FALSE),J169)</f>
        <v>-259.00514725069706</v>
      </c>
      <c r="G169" s="55"/>
      <c r="H169" s="167" cm="1">
        <f t="array" ref="H169">RANK(I169,I3:I210)</f>
        <v>170</v>
      </c>
      <c r="I169" s="168" cm="1">
        <f t="array" ref="I169">VLOOKUP(A169,'Standard Deviations'!A1:C672,3,FALSE)</f>
        <v>-3.9244146042314254</v>
      </c>
      <c r="J169" s="168" cm="1">
        <f t="array" ref="J169">I169-VLOOKUP(B$2,H1:J210,2,FALSE)</f>
        <v>-10.305889007184369</v>
      </c>
    </row>
    <row r="170" spans="1:10" ht="21.25" customHeight="1" x14ac:dyDescent="0.15">
      <c r="A170" s="10" t="s">
        <v>697</v>
      </c>
      <c r="B170" s="88" t="str" cm="1">
        <f t="array" ref="B170">VLOOKUP(A170,'The List'!B1:D671,3,FALSE)</f>
        <v>C</v>
      </c>
      <c r="C170" s="89" cm="1">
        <f t="array" ref="C170">IF(Settings!$E$15="POINTS",RANK(E170,E3:E210),H170)</f>
        <v>168</v>
      </c>
      <c r="D170" s="18" t="str" cm="1">
        <f t="array" ref="D170">VLOOKUP(A170,'The List'!B1:F671,5,FALSE)</f>
        <v>PIT</v>
      </c>
      <c r="E170" s="55" cm="1">
        <f t="array" ref="E170">VLOOKUP(A170,'The List'!B1:I671,8,FALSE)</f>
        <v>127.08004679398897</v>
      </c>
      <c r="F170" s="55" cm="1">
        <f t="array" ref="F170">IF(Settings!$E$15="POINTS",E170-VLOOKUP(B$2,C1:E210,3,FALSE),J170)</f>
        <v>-259.45515959909403</v>
      </c>
      <c r="G170" s="55"/>
      <c r="H170" s="167" cm="1">
        <f t="array" ref="H170">RANK(I170,I3:I210)</f>
        <v>167</v>
      </c>
      <c r="I170" s="168" cm="1">
        <f t="array" ref="I170">VLOOKUP(A170,'Standard Deviations'!A1:C672,3,FALSE)</f>
        <v>-3.808147571715975</v>
      </c>
      <c r="J170" s="168" cm="1">
        <f t="array" ref="J170">I170-VLOOKUP(B$2,H1:J210,2,FALSE)</f>
        <v>-10.189621974668919</v>
      </c>
    </row>
    <row r="171" spans="1:10" ht="21.25" customHeight="1" x14ac:dyDescent="0.15">
      <c r="A171" s="10" t="s">
        <v>712</v>
      </c>
      <c r="B171" s="88" t="str" cm="1">
        <f t="array" ref="B171">VLOOKUP(A171,'The List'!B1:D671,3,FALSE)</f>
        <v>C,LW,RW</v>
      </c>
      <c r="C171" s="89" cm="1">
        <f t="array" ref="C171">IF(Settings!$E$15="POINTS",RANK(E171,E3:E210),H171)</f>
        <v>169</v>
      </c>
      <c r="D171" s="18" t="str" cm="1">
        <f t="array" ref="D171">VLOOKUP(A171,'The List'!B1:F671,5,FALSE)</f>
        <v>MIN</v>
      </c>
      <c r="E171" s="55" cm="1">
        <f t="array" ref="E171">VLOOKUP(A171,'The List'!B1:I671,8,FALSE)</f>
        <v>126.8320607710076</v>
      </c>
      <c r="F171" s="55" cm="1">
        <f t="array" ref="F171">IF(Settings!$E$15="POINTS",E171-VLOOKUP(B$2,C1:E210,3,FALSE),J171)</f>
        <v>-259.7031456220754</v>
      </c>
      <c r="G171" s="55"/>
      <c r="H171" s="167" cm="1">
        <f t="array" ref="H171">RANK(I171,I3:I210)</f>
        <v>144</v>
      </c>
      <c r="I171" s="168" cm="1">
        <f t="array" ref="I171">VLOOKUP(A171,'Standard Deviations'!A1:C672,3,FALSE)</f>
        <v>-2.7036632467316317</v>
      </c>
      <c r="J171" s="168" cm="1">
        <f t="array" ref="J171">I171-VLOOKUP(B$2,H1:J210,2,FALSE)</f>
        <v>-9.0851376496845759</v>
      </c>
    </row>
    <row r="172" spans="1:10" ht="21.25" customHeight="1" x14ac:dyDescent="0.15">
      <c r="A172" s="10" t="s">
        <v>713</v>
      </c>
      <c r="B172" s="88" t="str" cm="1">
        <f t="array" ref="B172">VLOOKUP(A172,'The List'!B1:D671,3,FALSE)</f>
        <v>C,RW</v>
      </c>
      <c r="C172" s="89" cm="1">
        <f t="array" ref="C172">IF(Settings!$E$15="POINTS",RANK(E172,E3:E210),H172)</f>
        <v>170</v>
      </c>
      <c r="D172" s="18" t="str" cm="1">
        <f t="array" ref="D172">VLOOKUP(A172,'The List'!B1:F671,5,FALSE)</f>
        <v>BOS</v>
      </c>
      <c r="E172" s="55" cm="1">
        <f t="array" ref="E172">VLOOKUP(A172,'The List'!B1:I671,8,FALSE)</f>
        <v>126.26256305905103</v>
      </c>
      <c r="F172" s="55" cm="1">
        <f t="array" ref="F172">IF(Settings!$E$15="POINTS",E172-VLOOKUP(B$2,C1:E210,3,FALSE),J172)</f>
        <v>-260.27264333403195</v>
      </c>
      <c r="G172" s="55"/>
      <c r="H172" s="167" cm="1">
        <f t="array" ref="H172">RANK(I172,I3:I210)</f>
        <v>172</v>
      </c>
      <c r="I172" s="168" cm="1">
        <f t="array" ref="I172">VLOOKUP(A172,'Standard Deviations'!A1:C672,3,FALSE)</f>
        <v>-3.9593178680919143</v>
      </c>
      <c r="J172" s="168" cm="1">
        <f t="array" ref="J172">I172-VLOOKUP(B$2,H1:J210,2,FALSE)</f>
        <v>-10.340792271044858</v>
      </c>
    </row>
    <row r="173" spans="1:10" ht="21.25" customHeight="1" x14ac:dyDescent="0.15">
      <c r="A173" s="10" t="s">
        <v>702</v>
      </c>
      <c r="B173" s="88" t="str" cm="1">
        <f t="array" ref="B173">VLOOKUP(A173,'The List'!B1:D671,3,FALSE)</f>
        <v>C</v>
      </c>
      <c r="C173" s="89" cm="1">
        <f t="array" ref="C173">IF(Settings!$E$15="POINTS",RANK(E173,E3:E210),H173)</f>
        <v>171</v>
      </c>
      <c r="D173" s="18" t="str" cm="1">
        <f t="array" ref="D173">VLOOKUP(A173,'The List'!B1:F671,5,FALSE)</f>
        <v>T.B</v>
      </c>
      <c r="E173" s="55" cm="1">
        <f t="array" ref="E173">VLOOKUP(A173,'The List'!B1:I671,8,FALSE)</f>
        <v>124.26496142388649</v>
      </c>
      <c r="F173" s="55" cm="1">
        <f t="array" ref="F173">IF(Settings!$E$15="POINTS",E173-VLOOKUP(B$2,C1:E210,3,FALSE),J173)</f>
        <v>-262.27024496919648</v>
      </c>
      <c r="G173" s="55"/>
      <c r="H173" s="167" cm="1">
        <f t="array" ref="H173">RANK(I173,I3:I210)</f>
        <v>161</v>
      </c>
      <c r="I173" s="168" cm="1">
        <f t="array" ref="I173">VLOOKUP(A173,'Standard Deviations'!A1:C672,3,FALSE)</f>
        <v>-3.5499159779618354</v>
      </c>
      <c r="J173" s="168" cm="1">
        <f t="array" ref="J173">I173-VLOOKUP(B$2,H1:J210,2,FALSE)</f>
        <v>-9.9313903809147792</v>
      </c>
    </row>
    <row r="174" spans="1:10" ht="21.25" customHeight="1" x14ac:dyDescent="0.15">
      <c r="A174" s="10" t="s">
        <v>719</v>
      </c>
      <c r="B174" s="88" t="str" cm="1">
        <f t="array" ref="B174">VLOOKUP(A174,'The List'!B1:D671,3,FALSE)</f>
        <v>C,RW</v>
      </c>
      <c r="C174" s="89" cm="1">
        <f t="array" ref="C174">IF(Settings!$E$15="POINTS",RANK(E174,E3:E210),H174)</f>
        <v>172</v>
      </c>
      <c r="D174" s="18" t="str" cm="1">
        <f t="array" ref="D174">VLOOKUP(A174,'The List'!B1:F671,5,FALSE)</f>
        <v>TOR</v>
      </c>
      <c r="E174" s="55" cm="1">
        <f t="array" ref="E174">VLOOKUP(A174,'The List'!B1:I671,8,FALSE)</f>
        <v>123.01295045181961</v>
      </c>
      <c r="F174" s="55" cm="1">
        <f t="array" ref="F174">IF(Settings!$E$15="POINTS",E174-VLOOKUP(B$2,C1:E210,3,FALSE),J174)</f>
        <v>-263.52225594126338</v>
      </c>
      <c r="G174" s="55"/>
      <c r="H174" s="167" cm="1">
        <f t="array" ref="H174">RANK(I174,I3:I210)</f>
        <v>164</v>
      </c>
      <c r="I174" s="168" cm="1">
        <f t="array" ref="I174">VLOOKUP(A174,'Standard Deviations'!A1:C672,3,FALSE)</f>
        <v>-3.7047737830328664</v>
      </c>
      <c r="J174" s="168" cm="1">
        <f t="array" ref="J174">I174-VLOOKUP(B$2,H1:J210,2,FALSE)</f>
        <v>-10.086248185985809</v>
      </c>
    </row>
    <row r="175" spans="1:10" ht="21.25" customHeight="1" x14ac:dyDescent="0.15">
      <c r="A175" s="10" t="s">
        <v>707</v>
      </c>
      <c r="B175" s="88" t="str" cm="1">
        <f t="array" ref="B175">VLOOKUP(A175,'The List'!B1:D671,3,FALSE)</f>
        <v>C</v>
      </c>
      <c r="C175" s="89" cm="1">
        <f t="array" ref="C175">IF(Settings!$E$15="POINTS",RANK(E175,E3:E210),H175)</f>
        <v>173</v>
      </c>
      <c r="D175" s="18" t="str" cm="1">
        <f t="array" ref="D175">VLOOKUP(A175,'The List'!B1:F671,5,FALSE)</f>
        <v>WPG</v>
      </c>
      <c r="E175" s="55" cm="1">
        <f t="array" ref="E175">VLOOKUP(A175,'The List'!B1:I671,8,FALSE)</f>
        <v>121.27710689922661</v>
      </c>
      <c r="F175" s="55" cm="1">
        <f t="array" ref="F175">IF(Settings!$E$15="POINTS",E175-VLOOKUP(B$2,C1:E210,3,FALSE),J175)</f>
        <v>-265.25809949385638</v>
      </c>
      <c r="G175" s="55"/>
      <c r="H175" s="167" cm="1">
        <f t="array" ref="H175">RANK(I175,I3:I210)</f>
        <v>184</v>
      </c>
      <c r="I175" s="168" cm="1">
        <f t="array" ref="I175">VLOOKUP(A175,'Standard Deviations'!A1:C672,3,FALSE)</f>
        <v>-4.6435949662362255</v>
      </c>
      <c r="J175" s="168" cm="1">
        <f t="array" ref="J175">I175-VLOOKUP(B$2,H1:J210,2,FALSE)</f>
        <v>-11.025069369189168</v>
      </c>
    </row>
    <row r="176" spans="1:10" ht="21.25" customHeight="1" x14ac:dyDescent="0.15">
      <c r="A176" s="10" t="s">
        <v>722</v>
      </c>
      <c r="B176" s="88" t="str" cm="1">
        <f t="array" ref="B176">VLOOKUP(A176,'The List'!B1:D671,3,FALSE)</f>
        <v>C,RW</v>
      </c>
      <c r="C176" s="89" cm="1">
        <f t="array" ref="C176">IF(Settings!$E$15="POINTS",RANK(E176,E3:E210),H176)</f>
        <v>174</v>
      </c>
      <c r="D176" s="18" t="str" cm="1">
        <f t="array" ref="D176">VLOOKUP(A176,'The List'!B1:F671,5,FALSE)</f>
        <v>S.J</v>
      </c>
      <c r="E176" s="55" cm="1">
        <f t="array" ref="E176">VLOOKUP(A176,'The List'!B1:I671,8,FALSE)</f>
        <v>120.93478281309424</v>
      </c>
      <c r="F176" s="55" cm="1">
        <f t="array" ref="F176">IF(Settings!$E$15="POINTS",E176-VLOOKUP(B$2,C1:E210,3,FALSE),J176)</f>
        <v>-265.60042357998873</v>
      </c>
      <c r="G176" s="55"/>
      <c r="H176" s="167" cm="1">
        <f t="array" ref="H176">RANK(I176,I3:I210)</f>
        <v>190</v>
      </c>
      <c r="I176" s="168" cm="1">
        <f t="array" ref="I176">VLOOKUP(A176,'Standard Deviations'!A1:C672,3,FALSE)</f>
        <v>-4.9675128032231193</v>
      </c>
      <c r="J176" s="168" cm="1">
        <f t="array" ref="J176">I176-VLOOKUP(B$2,H1:J210,2,FALSE)</f>
        <v>-11.348987206176062</v>
      </c>
    </row>
    <row r="177" spans="1:10" ht="21.25" customHeight="1" x14ac:dyDescent="0.15">
      <c r="A177" s="10" t="s">
        <v>741</v>
      </c>
      <c r="B177" s="88" t="str" cm="1">
        <f t="array" ref="B177">VLOOKUP(A177,'The List'!B1:D671,3,FALSE)</f>
        <v>C,LW</v>
      </c>
      <c r="C177" s="89" cm="1">
        <f t="array" ref="C177">IF(Settings!$E$15="POINTS",RANK(E177,E3:E210),H177)</f>
        <v>175</v>
      </c>
      <c r="D177" s="18" t="str" cm="1">
        <f t="array" ref="D177">VLOOKUP(A177,'The List'!B1:F671,5,FALSE)</f>
        <v>VAN</v>
      </c>
      <c r="E177" s="55" cm="1">
        <f t="array" ref="E177">VLOOKUP(A177,'The List'!B1:I671,8,FALSE)</f>
        <v>116.6523170720025</v>
      </c>
      <c r="F177" s="55" cm="1">
        <f t="array" ref="F177">IF(Settings!$E$15="POINTS",E177-VLOOKUP(B$2,C1:E210,3,FALSE),J177)</f>
        <v>-269.88288932108048</v>
      </c>
      <c r="G177" s="55"/>
      <c r="H177" s="167" cm="1">
        <f t="array" ref="H177">RANK(I177,I3:I210)</f>
        <v>203</v>
      </c>
      <c r="I177" s="168" cm="1">
        <f t="array" ref="I177">VLOOKUP(A177,'Standard Deviations'!A1:C672,3,FALSE)</f>
        <v>-6.4372016320808738</v>
      </c>
      <c r="J177" s="168" cm="1">
        <f t="array" ref="J177">I177-VLOOKUP(B$2,H1:J210,2,FALSE)</f>
        <v>-12.818676035033818</v>
      </c>
    </row>
    <row r="178" spans="1:10" ht="21.25" customHeight="1" x14ac:dyDescent="0.15">
      <c r="A178" s="10" t="s">
        <v>747</v>
      </c>
      <c r="B178" s="88" t="str" cm="1">
        <f t="array" ref="B178">VLOOKUP(A178,'The List'!B1:D671,3,FALSE)</f>
        <v>C,LW</v>
      </c>
      <c r="C178" s="89" cm="1">
        <f t="array" ref="C178">IF(Settings!$E$15="POINTS",RANK(E178,E3:E210),H178)</f>
        <v>176</v>
      </c>
      <c r="D178" s="18" t="str" cm="1">
        <f t="array" ref="D178">VLOOKUP(A178,'The List'!B1:F671,5,FALSE)</f>
        <v>L.A</v>
      </c>
      <c r="E178" s="55" cm="1">
        <f t="array" ref="E178">VLOOKUP(A178,'The List'!B1:I671,8,FALSE)</f>
        <v>115.76814560486808</v>
      </c>
      <c r="F178" s="55" cm="1">
        <f t="array" ref="F178">IF(Settings!$E$15="POINTS",E178-VLOOKUP(B$2,C1:E210,3,FALSE),J178)</f>
        <v>-270.76706078821491</v>
      </c>
      <c r="G178" s="55"/>
      <c r="H178" s="167" cm="1">
        <f t="array" ref="H178">RANK(I178,I3:I210)</f>
        <v>187</v>
      </c>
      <c r="I178" s="168" cm="1">
        <f t="array" ref="I178">VLOOKUP(A178,'Standard Deviations'!A1:C672,3,FALSE)</f>
        <v>-4.7150831152317316</v>
      </c>
      <c r="J178" s="168" cm="1">
        <f t="array" ref="J178">I178-VLOOKUP(B$2,H1:J210,2,FALSE)</f>
        <v>-11.096557518184675</v>
      </c>
    </row>
    <row r="179" spans="1:10" ht="21.25" customHeight="1" x14ac:dyDescent="0.15">
      <c r="A179" s="10" t="s">
        <v>752</v>
      </c>
      <c r="B179" s="88" t="str" cm="1">
        <f t="array" ref="B179">VLOOKUP(A179,'The List'!B1:D671,3,FALSE)</f>
        <v>C,LW</v>
      </c>
      <c r="C179" s="89" cm="1">
        <f t="array" ref="C179">IF(Settings!$E$15="POINTS",RANK(E179,E3:E210),H179)</f>
        <v>177</v>
      </c>
      <c r="D179" s="18" t="str" cm="1">
        <f t="array" ref="D179">VLOOKUP(A179,'The List'!B1:F671,5,FALSE)</f>
        <v>TOR</v>
      </c>
      <c r="E179" s="55" cm="1">
        <f t="array" ref="E179">VLOOKUP(A179,'The List'!B1:I671,8,FALSE)</f>
        <v>114.8947307588229</v>
      </c>
      <c r="F179" s="55" cm="1">
        <f t="array" ref="F179">IF(Settings!$E$15="POINTS",E179-VLOOKUP(B$2,C1:E210,3,FALSE),J179)</f>
        <v>-271.6404756342601</v>
      </c>
      <c r="G179" s="55"/>
      <c r="H179" s="167" cm="1">
        <f t="array" ref="H179">RANK(I179,I3:I210)</f>
        <v>156</v>
      </c>
      <c r="I179" s="168" cm="1">
        <f t="array" ref="I179">VLOOKUP(A179,'Standard Deviations'!A1:C672,3,FALSE)</f>
        <v>-3.3088232891530733</v>
      </c>
      <c r="J179" s="168" cm="1">
        <f t="array" ref="J179">I179-VLOOKUP(B$2,H1:J210,2,FALSE)</f>
        <v>-9.690297692106018</v>
      </c>
    </row>
    <row r="180" spans="1:10" ht="21.25" customHeight="1" x14ac:dyDescent="0.15">
      <c r="A180" s="10" t="s">
        <v>739</v>
      </c>
      <c r="B180" s="88" t="str" cm="1">
        <f t="array" ref="B180">VLOOKUP(A180,'The List'!B1:D671,3,FALSE)</f>
        <v>C,RW</v>
      </c>
      <c r="C180" s="89" cm="1">
        <f t="array" ref="C180">IF(Settings!$E$15="POINTS",RANK(E180,E3:E210),H180)</f>
        <v>178</v>
      </c>
      <c r="D180" s="18" t="str" cm="1">
        <f t="array" ref="D180">VLOOKUP(A180,'The List'!B1:F671,5,FALSE)</f>
        <v>CGY</v>
      </c>
      <c r="E180" s="55" cm="1">
        <f t="array" ref="E180">VLOOKUP(A180,'The List'!B1:I671,8,FALSE)</f>
        <v>114.32798669813094</v>
      </c>
      <c r="F180" s="55" cm="1">
        <f t="array" ref="F180">IF(Settings!$E$15="POINTS",E180-VLOOKUP(B$2,C1:E210,3,FALSE),J180)</f>
        <v>-272.20721969495207</v>
      </c>
      <c r="G180" s="55"/>
      <c r="H180" s="167" cm="1">
        <f t="array" ref="H180">RANK(I180,I3:I210)</f>
        <v>177</v>
      </c>
      <c r="I180" s="168" cm="1">
        <f t="array" ref="I180">VLOOKUP(A180,'Standard Deviations'!A1:C672,3,FALSE)</f>
        <v>-4.2724494710469898</v>
      </c>
      <c r="J180" s="168" cm="1">
        <f t="array" ref="J180">I180-VLOOKUP(B$2,H1:J210,2,FALSE)</f>
        <v>-10.653923873999933</v>
      </c>
    </row>
    <row r="181" spans="1:10" ht="21.25" customHeight="1" x14ac:dyDescent="0.15">
      <c r="A181" s="10" t="s">
        <v>753</v>
      </c>
      <c r="B181" s="88" t="str" cm="1">
        <f t="array" ref="B181">VLOOKUP(A181,'The List'!B1:D671,3,FALSE)</f>
        <v>C,LW</v>
      </c>
      <c r="C181" s="89" cm="1">
        <f t="array" ref="C181">IF(Settings!$E$15="POINTS",RANK(E181,E3:E210),H181)</f>
        <v>179</v>
      </c>
      <c r="D181" s="18" t="str" cm="1">
        <f t="array" ref="D181">VLOOKUP(A181,'The List'!B1:F671,5,FALSE)</f>
        <v>EDM</v>
      </c>
      <c r="E181" s="55" cm="1">
        <f t="array" ref="E181">VLOOKUP(A181,'The List'!B1:I671,8,FALSE)</f>
        <v>114.2364001810729</v>
      </c>
      <c r="F181" s="55" cm="1">
        <f t="array" ref="F181">IF(Settings!$E$15="POINTS",E181-VLOOKUP(B$2,C1:E210,3,FALSE),J181)</f>
        <v>-272.29880621201011</v>
      </c>
      <c r="G181" s="55"/>
      <c r="H181" s="167" cm="1">
        <f t="array" ref="H181">RANK(I181,I3:I210)</f>
        <v>143</v>
      </c>
      <c r="I181" s="168" cm="1">
        <f t="array" ref="I181">VLOOKUP(A181,'Standard Deviations'!A1:C672,3,FALSE)</f>
        <v>-2.6572056070193151</v>
      </c>
      <c r="J181" s="168" cm="1">
        <f t="array" ref="J181">I181-VLOOKUP(B$2,H1:J210,2,FALSE)</f>
        <v>-9.0386800099722588</v>
      </c>
    </row>
    <row r="182" spans="1:10" ht="21.25" customHeight="1" x14ac:dyDescent="0.15">
      <c r="A182" s="10" t="s">
        <v>758</v>
      </c>
      <c r="B182" s="88" t="str" cm="1">
        <f t="array" ref="B182">VLOOKUP(A182,'The List'!B1:D671,3,FALSE)</f>
        <v>C,LW</v>
      </c>
      <c r="C182" s="89" cm="1">
        <f t="array" ref="C182">IF(Settings!$E$15="POINTS",RANK(E182,E3:E210),H182)</f>
        <v>180</v>
      </c>
      <c r="D182" s="18" t="str" cm="1">
        <f t="array" ref="D182">VLOOKUP(A182,'The List'!B1:F671,5,FALSE)</f>
        <v>NYI</v>
      </c>
      <c r="E182" s="55" cm="1">
        <f t="array" ref="E182">VLOOKUP(A182,'The List'!B1:I671,8,FALSE)</f>
        <v>113.78633567236672</v>
      </c>
      <c r="F182" s="55" cm="1">
        <f t="array" ref="F182">IF(Settings!$E$15="POINTS",E182-VLOOKUP(B$2,C1:E210,3,FALSE),J182)</f>
        <v>-272.7488707207163</v>
      </c>
      <c r="G182" s="55"/>
      <c r="H182" s="167" cm="1">
        <f t="array" ref="H182">RANK(I182,I3:I210)</f>
        <v>192</v>
      </c>
      <c r="I182" s="168" cm="1">
        <f t="array" ref="I182">VLOOKUP(A182,'Standard Deviations'!A1:C672,3,FALSE)</f>
        <v>-5.1157446038829084</v>
      </c>
      <c r="J182" s="168" cm="1">
        <f t="array" ref="J182">I182-VLOOKUP(B$2,H1:J210,2,FALSE)</f>
        <v>-11.497219006835852</v>
      </c>
    </row>
    <row r="183" spans="1:10" ht="21.25" customHeight="1" x14ac:dyDescent="0.15">
      <c r="A183" s="10" t="s">
        <v>723</v>
      </c>
      <c r="B183" s="88" t="str" cm="1">
        <f t="array" ref="B183">VLOOKUP(A183,'The List'!B1:D671,3,FALSE)</f>
        <v>C</v>
      </c>
      <c r="C183" s="89" cm="1">
        <f t="array" ref="C183">IF(Settings!$E$15="POINTS",RANK(E183,E3:E210),H183)</f>
        <v>181</v>
      </c>
      <c r="D183" s="18" t="str" cm="1">
        <f t="array" ref="D183">VLOOKUP(A183,'The List'!B1:F671,5,FALSE)</f>
        <v>VGK</v>
      </c>
      <c r="E183" s="55" cm="1">
        <f t="array" ref="E183">VLOOKUP(A183,'The List'!B1:I671,8,FALSE)</f>
        <v>112.44579991207853</v>
      </c>
      <c r="F183" s="55" cm="1">
        <f t="array" ref="F183">IF(Settings!$E$15="POINTS",E183-VLOOKUP(B$2,C1:E210,3,FALSE),J183)</f>
        <v>-274.08940648100446</v>
      </c>
      <c r="G183" s="55"/>
      <c r="H183" s="167" cm="1">
        <f t="array" ref="H183">RANK(I183,I3:I210)</f>
        <v>145</v>
      </c>
      <c r="I183" s="168" cm="1">
        <f t="array" ref="I183">VLOOKUP(A183,'Standard Deviations'!A1:C672,3,FALSE)</f>
        <v>-2.7310611740888584</v>
      </c>
      <c r="J183" s="168" cm="1">
        <f t="array" ref="J183">I183-VLOOKUP(B$2,H1:J210,2,FALSE)</f>
        <v>-9.1125355770418022</v>
      </c>
    </row>
    <row r="184" spans="1:10" ht="21.25" customHeight="1" x14ac:dyDescent="0.15">
      <c r="A184" s="10" t="s">
        <v>724</v>
      </c>
      <c r="B184" s="88" t="str" cm="1">
        <f t="array" ref="B184">VLOOKUP(A184,'The List'!B1:D671,3,FALSE)</f>
        <v>C</v>
      </c>
      <c r="C184" s="89" cm="1">
        <f t="array" ref="C184">IF(Settings!$E$15="POINTS",RANK(E184,E3:E210),H184)</f>
        <v>182</v>
      </c>
      <c r="D184" s="18" t="str" cm="1">
        <f t="array" ref="D184">VLOOKUP(A184,'The List'!B1:F671,5,FALSE)</f>
        <v>N.J</v>
      </c>
      <c r="E184" s="55" cm="1">
        <f t="array" ref="E184">VLOOKUP(A184,'The List'!B1:I671,8,FALSE)</f>
        <v>112.39535773809229</v>
      </c>
      <c r="F184" s="55" cm="1">
        <f t="array" ref="F184">IF(Settings!$E$15="POINTS",E184-VLOOKUP(B$2,C1:E210,3,FALSE),J184)</f>
        <v>-274.13984865499071</v>
      </c>
      <c r="G184" s="55"/>
      <c r="H184" s="167" cm="1">
        <f t="array" ref="H184">RANK(I184,I3:I210)</f>
        <v>179</v>
      </c>
      <c r="I184" s="168" cm="1">
        <f t="array" ref="I184">VLOOKUP(A184,'Standard Deviations'!A1:C672,3,FALSE)</f>
        <v>-4.3263106078516511</v>
      </c>
      <c r="J184" s="168" cm="1">
        <f t="array" ref="J184">I184-VLOOKUP(B$2,H1:J210,2,FALSE)</f>
        <v>-10.707785010804596</v>
      </c>
    </row>
    <row r="185" spans="1:10" ht="21.25" customHeight="1" x14ac:dyDescent="0.15">
      <c r="A185" s="10" t="s">
        <v>761</v>
      </c>
      <c r="B185" s="88" t="str" cm="1">
        <f t="array" ref="B185">VLOOKUP(A185,'The List'!B1:D671,3,FALSE)</f>
        <v>C,LW</v>
      </c>
      <c r="C185" s="89" cm="1">
        <f t="array" ref="C185">IF(Settings!$E$15="POINTS",RANK(E185,E3:E210),H185)</f>
        <v>183</v>
      </c>
      <c r="D185" s="18" t="str" cm="1">
        <f t="array" ref="D185">VLOOKUP(A185,'The List'!B1:F671,5,FALSE)</f>
        <v>MIN</v>
      </c>
      <c r="E185" s="55" cm="1">
        <f t="array" ref="E185">VLOOKUP(A185,'The List'!B1:I671,8,FALSE)</f>
        <v>111.82424172119796</v>
      </c>
      <c r="F185" s="55" cm="1">
        <f t="array" ref="F185">IF(Settings!$E$15="POINTS",E185-VLOOKUP(B$2,C1:E210,3,FALSE),J185)</f>
        <v>-274.71096467188505</v>
      </c>
      <c r="G185" s="55"/>
      <c r="H185" s="167" cm="1">
        <f t="array" ref="H185">RANK(I185,I3:I210)</f>
        <v>154</v>
      </c>
      <c r="I185" s="168" cm="1">
        <f t="array" ref="I185">VLOOKUP(A185,'Standard Deviations'!A1:C672,3,FALSE)</f>
        <v>-3.2187080948407853</v>
      </c>
      <c r="J185" s="168" cm="1">
        <f t="array" ref="J185">I185-VLOOKUP(B$2,H1:J210,2,FALSE)</f>
        <v>-9.6001824977937282</v>
      </c>
    </row>
    <row r="186" spans="1:10" ht="21.25" customHeight="1" x14ac:dyDescent="0.15">
      <c r="A186" s="10" t="s">
        <v>727</v>
      </c>
      <c r="B186" s="88" t="str" cm="1">
        <f t="array" ref="B186">VLOOKUP(A186,'The List'!B1:D671,3,FALSE)</f>
        <v>C</v>
      </c>
      <c r="C186" s="89" cm="1">
        <f t="array" ref="C186">IF(Settings!$E$15="POINTS",RANK(E186,E3:E210),H186)</f>
        <v>184</v>
      </c>
      <c r="D186" s="18" t="str" cm="1">
        <f t="array" ref="D186">VLOOKUP(A186,'The List'!B1:F671,5,FALSE)</f>
        <v>CAR</v>
      </c>
      <c r="E186" s="55" cm="1">
        <f t="array" ref="E186">VLOOKUP(A186,'The List'!B1:I671,8,FALSE)</f>
        <v>109.90835744141182</v>
      </c>
      <c r="F186" s="55" cm="1">
        <f t="array" ref="F186">IF(Settings!$E$15="POINTS",E186-VLOOKUP(B$2,C1:E210,3,FALSE),J186)</f>
        <v>-276.62684895167115</v>
      </c>
      <c r="G186" s="55"/>
      <c r="H186" s="167" cm="1">
        <f t="array" ref="H186">RANK(I186,I3:I210)</f>
        <v>158</v>
      </c>
      <c r="I186" s="168" cm="1">
        <f t="array" ref="I186">VLOOKUP(A186,'Standard Deviations'!A1:C672,3,FALSE)</f>
        <v>-3.3630020078380296</v>
      </c>
      <c r="J186" s="168" cm="1">
        <f t="array" ref="J186">I186-VLOOKUP(B$2,H1:J210,2,FALSE)</f>
        <v>-9.7444764107909734</v>
      </c>
    </row>
    <row r="187" spans="1:10" ht="21.25" customHeight="1" x14ac:dyDescent="0.15">
      <c r="A187" s="10" t="s">
        <v>755</v>
      </c>
      <c r="B187" s="88" t="str" cm="1">
        <f t="array" ref="B187">VLOOKUP(A187,'The List'!B1:D671,3,FALSE)</f>
        <v>C,LW,RW</v>
      </c>
      <c r="C187" s="89" cm="1">
        <f t="array" ref="C187">IF(Settings!$E$15="POINTS",RANK(E187,E3:E210),H187)</f>
        <v>185</v>
      </c>
      <c r="D187" s="18" t="str" cm="1">
        <f t="array" ref="D187">VLOOKUP(A187,'The List'!B1:F671,5,FALSE)</f>
        <v>EDM</v>
      </c>
      <c r="E187" s="55" cm="1">
        <f t="array" ref="E187">VLOOKUP(A187,'The List'!B1:I671,8,FALSE)</f>
        <v>109.76021036564762</v>
      </c>
      <c r="F187" s="55" cm="1">
        <f t="array" ref="F187">IF(Settings!$E$15="POINTS",E187-VLOOKUP(B$2,C1:E210,3,FALSE),J187)</f>
        <v>-276.77499602743535</v>
      </c>
      <c r="G187" s="55"/>
      <c r="H187" s="167" cm="1">
        <f t="array" ref="H187">RANK(I187,I3:I210)</f>
        <v>133</v>
      </c>
      <c r="I187" s="168" cm="1">
        <f t="array" ref="I187">VLOOKUP(A187,'Standard Deviations'!A1:C672,3,FALSE)</f>
        <v>-2.4363596204547999</v>
      </c>
      <c r="J187" s="168" cm="1">
        <f t="array" ref="J187">I187-VLOOKUP(B$2,H1:J210,2,FALSE)</f>
        <v>-8.8178340234077446</v>
      </c>
    </row>
    <row r="188" spans="1:10" ht="21.25" customHeight="1" x14ac:dyDescent="0.15">
      <c r="A188" s="10" t="s">
        <v>728</v>
      </c>
      <c r="B188" s="88" t="str" cm="1">
        <f t="array" ref="B188">VLOOKUP(A188,'The List'!B1:D671,3,FALSE)</f>
        <v>C</v>
      </c>
      <c r="C188" s="89" cm="1">
        <f t="array" ref="C188">IF(Settings!$E$15="POINTS",RANK(E188,E3:E210),H188)</f>
        <v>186</v>
      </c>
      <c r="D188" s="18" t="str" cm="1">
        <f t="array" ref="D188">VLOOKUP(A188,'The List'!B1:F671,5,FALSE)</f>
        <v>BUF</v>
      </c>
      <c r="E188" s="55" cm="1">
        <f t="array" ref="E188">VLOOKUP(A188,'The List'!B1:I671,8,FALSE)</f>
        <v>109.73565645698585</v>
      </c>
      <c r="F188" s="55" cm="1">
        <f t="array" ref="F188">IF(Settings!$E$15="POINTS",E188-VLOOKUP(B$2,C1:E210,3,FALSE),J188)</f>
        <v>-276.79954993609715</v>
      </c>
      <c r="G188" s="55"/>
      <c r="H188" s="167" cm="1">
        <f t="array" ref="H188">RANK(I188,I3:I210)</f>
        <v>122</v>
      </c>
      <c r="I188" s="168" cm="1">
        <f t="array" ref="I188">VLOOKUP(A188,'Standard Deviations'!A1:C672,3,FALSE)</f>
        <v>-1.9889597170785533</v>
      </c>
      <c r="J188" s="168" cm="1">
        <f t="array" ref="J188">I188-VLOOKUP(B$2,H1:J210,2,FALSE)</f>
        <v>-8.3704341200314971</v>
      </c>
    </row>
    <row r="189" spans="1:10" ht="21.25" customHeight="1" x14ac:dyDescent="0.15">
      <c r="A189" s="10" t="s">
        <v>735</v>
      </c>
      <c r="B189" s="88" t="str" cm="1">
        <f t="array" ref="B189">VLOOKUP(A189,'The List'!B1:D671,3,FALSE)</f>
        <v>C</v>
      </c>
      <c r="C189" s="89" cm="1">
        <f t="array" ref="C189">IF(Settings!$E$15="POINTS",RANK(E189,E3:E210),H189)</f>
        <v>187</v>
      </c>
      <c r="D189" s="18" t="str" cm="1">
        <f t="array" ref="D189">VLOOKUP(A189,'The List'!B1:F671,5,FALSE)</f>
        <v>DAL</v>
      </c>
      <c r="E189" s="55" cm="1">
        <f t="array" ref="E189">VLOOKUP(A189,'The List'!B1:I671,8,FALSE)</f>
        <v>107.04869008619052</v>
      </c>
      <c r="F189" s="55" cm="1">
        <f t="array" ref="F189">IF(Settings!$E$15="POINTS",E189-VLOOKUP(B$2,C1:E210,3,FALSE),J189)</f>
        <v>-279.4865163068925</v>
      </c>
      <c r="G189" s="55"/>
      <c r="H189" s="167" cm="1">
        <f t="array" ref="H189">RANK(I189,I3:I210)</f>
        <v>169</v>
      </c>
      <c r="I189" s="168" cm="1">
        <f t="array" ref="I189">VLOOKUP(A189,'Standard Deviations'!A1:C672,3,FALSE)</f>
        <v>-3.9161209583728982</v>
      </c>
      <c r="J189" s="168" cm="1">
        <f t="array" ref="J189">I189-VLOOKUP(B$2,H1:J210,2,FALSE)</f>
        <v>-10.297595361325842</v>
      </c>
    </row>
    <row r="190" spans="1:10" ht="21.25" customHeight="1" x14ac:dyDescent="0.15">
      <c r="A190" s="10" t="s">
        <v>769</v>
      </c>
      <c r="B190" s="88" t="str" cm="1">
        <f t="array" ref="B190">VLOOKUP(A190,'The List'!B1:D671,3,FALSE)</f>
        <v>C,LW</v>
      </c>
      <c r="C190" s="89" cm="1">
        <f t="array" ref="C190">IF(Settings!$E$15="POINTS",RANK(E190,E3:E210),H190)</f>
        <v>188</v>
      </c>
      <c r="D190" s="18" t="str" cm="1">
        <f t="array" ref="D190">VLOOKUP(A190,'The List'!B1:F671,5,FALSE)</f>
        <v>BOS</v>
      </c>
      <c r="E190" s="55" cm="1">
        <f t="array" ref="E190">VLOOKUP(A190,'The List'!B1:I671,8,FALSE)</f>
        <v>105.10956956053404</v>
      </c>
      <c r="F190" s="55" cm="1">
        <f t="array" ref="F190">IF(Settings!$E$15="POINTS",E190-VLOOKUP(B$2,C1:E210,3,FALSE),J190)</f>
        <v>-281.42563683254895</v>
      </c>
      <c r="G190" s="55"/>
      <c r="H190" s="167" cm="1">
        <f t="array" ref="H190">RANK(I190,I3:I210)</f>
        <v>191</v>
      </c>
      <c r="I190" s="168" cm="1">
        <f t="array" ref="I190">VLOOKUP(A190,'Standard Deviations'!A1:C672,3,FALSE)</f>
        <v>-5.0718922107599216</v>
      </c>
      <c r="J190" s="168" cm="1">
        <f t="array" ref="J190">I190-VLOOKUP(B$2,H1:J210,2,FALSE)</f>
        <v>-11.453366613712866</v>
      </c>
    </row>
    <row r="191" spans="1:10" ht="21.25" customHeight="1" x14ac:dyDescent="0.15">
      <c r="A191" s="10" t="s">
        <v>740</v>
      </c>
      <c r="B191" s="88" t="str" cm="1">
        <f t="array" ref="B191">VLOOKUP(A191,'The List'!B1:D671,3,FALSE)</f>
        <v>C</v>
      </c>
      <c r="C191" s="89" cm="1">
        <f t="array" ref="C191">IF(Settings!$E$15="POINTS",RANK(E191,E3:E210),H191)</f>
        <v>189</v>
      </c>
      <c r="D191" s="18" t="str" cm="1">
        <f t="array" ref="D191">VLOOKUP(A191,'The List'!B1:F671,5,FALSE)</f>
        <v>COL</v>
      </c>
      <c r="E191" s="55" cm="1">
        <f t="array" ref="E191">VLOOKUP(A191,'The List'!B1:I671,8,FALSE)</f>
        <v>104.74563796346695</v>
      </c>
      <c r="F191" s="55" cm="1">
        <f t="array" ref="F191">IF(Settings!$E$15="POINTS",E191-VLOOKUP(B$2,C1:E210,3,FALSE),J191)</f>
        <v>-281.78956842961605</v>
      </c>
      <c r="G191" s="55"/>
      <c r="H191" s="167" cm="1">
        <f t="array" ref="H191">RANK(I191,I3:I210)</f>
        <v>175</v>
      </c>
      <c r="I191" s="168" cm="1">
        <f t="array" ref="I191">VLOOKUP(A191,'Standard Deviations'!A1:C672,3,FALSE)</f>
        <v>-4.1932149532060867</v>
      </c>
      <c r="J191" s="168" cm="1">
        <f t="array" ref="J191">I191-VLOOKUP(B$2,H1:J210,2,FALSE)</f>
        <v>-10.57468935615903</v>
      </c>
    </row>
    <row r="192" spans="1:10" ht="21.25" customHeight="1" x14ac:dyDescent="0.15">
      <c r="A192" s="10" t="s">
        <v>742</v>
      </c>
      <c r="B192" s="88" t="str" cm="1">
        <f t="array" ref="B192">VLOOKUP(A192,'The List'!B1:D671,3,FALSE)</f>
        <v>C</v>
      </c>
      <c r="C192" s="89" cm="1">
        <f t="array" ref="C192">IF(Settings!$E$15="POINTS",RANK(E192,E3:E210),H192)</f>
        <v>190</v>
      </c>
      <c r="D192" s="18" t="str" cm="1">
        <f t="array" ref="D192">VLOOKUP(A192,'The List'!B1:F671,5,FALSE)</f>
        <v>PIT</v>
      </c>
      <c r="E192" s="55" cm="1">
        <f t="array" ref="E192">VLOOKUP(A192,'The List'!B1:I671,8,FALSE)</f>
        <v>103.86057017994337</v>
      </c>
      <c r="F192" s="55" cm="1">
        <f t="array" ref="F192">IF(Settings!$E$15="POINTS",E192-VLOOKUP(B$2,C1:E210,3,FALSE),J192)</f>
        <v>-282.67463621313965</v>
      </c>
      <c r="G192" s="55"/>
      <c r="H192" s="167" cm="1">
        <f t="array" ref="H192">RANK(I192,I3:I210)</f>
        <v>195</v>
      </c>
      <c r="I192" s="168" cm="1">
        <f t="array" ref="I192">VLOOKUP(A192,'Standard Deviations'!A1:C672,3,FALSE)</f>
        <v>-5.6387488524273319</v>
      </c>
      <c r="J192" s="168" cm="1">
        <f t="array" ref="J192">I192-VLOOKUP(B$2,H1:J210,2,FALSE)</f>
        <v>-12.020223255380277</v>
      </c>
    </row>
    <row r="193" spans="1:10" ht="21.25" customHeight="1" x14ac:dyDescent="0.15">
      <c r="A193" s="10" t="s">
        <v>745</v>
      </c>
      <c r="B193" s="88" t="str" cm="1">
        <f t="array" ref="B193">VLOOKUP(A193,'The List'!B1:D671,3,FALSE)</f>
        <v>C</v>
      </c>
      <c r="C193" s="89" cm="1">
        <f t="array" ref="C193">IF(Settings!$E$15="POINTS",RANK(E193,E3:E210),H193)</f>
        <v>191</v>
      </c>
      <c r="D193" s="18" t="str" cm="1">
        <f t="array" ref="D193">VLOOKUP(A193,'The List'!B1:F671,5,FALSE)</f>
        <v>STL</v>
      </c>
      <c r="E193" s="55" cm="1">
        <f t="array" ref="E193">VLOOKUP(A193,'The List'!B1:I671,8,FALSE)</f>
        <v>103.3148133214992</v>
      </c>
      <c r="F193" s="55" cm="1">
        <f t="array" ref="F193">IF(Settings!$E$15="POINTS",E193-VLOOKUP(B$2,C1:E210,3,FALSE),J193)</f>
        <v>-283.22039307158377</v>
      </c>
      <c r="G193" s="55"/>
      <c r="H193" s="167" cm="1">
        <f t="array" ref="H193">RANK(I193,I3:I210)</f>
        <v>199</v>
      </c>
      <c r="I193" s="168" cm="1">
        <f t="array" ref="I193">VLOOKUP(A193,'Standard Deviations'!A1:C672,3,FALSE)</f>
        <v>-6.0437067154812976</v>
      </c>
      <c r="J193" s="168" cm="1">
        <f t="array" ref="J193">I193-VLOOKUP(B$2,H1:J210,2,FALSE)</f>
        <v>-12.425181118434242</v>
      </c>
    </row>
    <row r="194" spans="1:10" ht="21.25" customHeight="1" x14ac:dyDescent="0.15">
      <c r="A194" s="10" t="s">
        <v>750</v>
      </c>
      <c r="B194" s="88" t="str" cm="1">
        <f t="array" ref="B194">VLOOKUP(A194,'The List'!B1:D671,3,FALSE)</f>
        <v>C</v>
      </c>
      <c r="C194" s="89" cm="1">
        <f t="array" ref="C194">IF(Settings!$E$15="POINTS",RANK(E194,E3:E210),H194)</f>
        <v>192</v>
      </c>
      <c r="D194" s="18" t="str" cm="1">
        <f t="array" ref="D194">VLOOKUP(A194,'The List'!B1:F671,5,FALSE)</f>
        <v>VAN</v>
      </c>
      <c r="E194" s="55" cm="1">
        <f t="array" ref="E194">VLOOKUP(A194,'The List'!B1:I671,8,FALSE)</f>
        <v>102.36463119294751</v>
      </c>
      <c r="F194" s="55" cm="1">
        <f t="array" ref="F194">IF(Settings!$E$15="POINTS",E194-VLOOKUP(B$2,C1:E210,3,FALSE),J194)</f>
        <v>-284.17057520013549</v>
      </c>
      <c r="G194" s="55"/>
      <c r="H194" s="167" cm="1">
        <f t="array" ref="H194">RANK(I194,I3:I210)</f>
        <v>206</v>
      </c>
      <c r="I194" s="168" cm="1">
        <f t="array" ref="I194">VLOOKUP(A194,'Standard Deviations'!A1:C672,3,FALSE)</f>
        <v>-6.8442772556933305</v>
      </c>
      <c r="J194" s="168" cm="1">
        <f t="array" ref="J194">I194-VLOOKUP(B$2,H1:J210,2,FALSE)</f>
        <v>-13.225751658646274</v>
      </c>
    </row>
    <row r="195" spans="1:10" ht="21.25" customHeight="1" x14ac:dyDescent="0.15">
      <c r="A195" s="10" t="s">
        <v>757</v>
      </c>
      <c r="B195" s="88" t="str" cm="1">
        <f t="array" ref="B195">VLOOKUP(A195,'The List'!B1:D671,3,FALSE)</f>
        <v>C</v>
      </c>
      <c r="C195" s="89" cm="1">
        <f t="array" ref="C195">IF(Settings!$E$15="POINTS",RANK(E195,E3:E210),H195)</f>
        <v>193</v>
      </c>
      <c r="D195" s="18" t="str" cm="1">
        <f t="array" ref="D195">VLOOKUP(A195,'The List'!B1:F671,5,FALSE)</f>
        <v>T.B</v>
      </c>
      <c r="E195" s="55" cm="1">
        <f t="array" ref="E195">VLOOKUP(A195,'The List'!B1:I671,8,FALSE)</f>
        <v>101.14871676596439</v>
      </c>
      <c r="F195" s="55" cm="1">
        <f t="array" ref="F195">IF(Settings!$E$15="POINTS",E195-VLOOKUP(B$2,C1:E210,3,FALSE),J195)</f>
        <v>-285.38648962711864</v>
      </c>
      <c r="G195" s="55"/>
      <c r="H195" s="167" cm="1">
        <f t="array" ref="H195">RANK(I195,I3:I210)</f>
        <v>176</v>
      </c>
      <c r="I195" s="168" cm="1">
        <f t="array" ref="I195">VLOOKUP(A195,'Standard Deviations'!A1:C672,3,FALSE)</f>
        <v>-4.2666800511111056</v>
      </c>
      <c r="J195" s="168" cm="1">
        <f t="array" ref="J195">I195-VLOOKUP(B$2,H1:J210,2,FALSE)</f>
        <v>-10.648154454064048</v>
      </c>
    </row>
    <row r="196" spans="1:10" ht="21.25" customHeight="1" x14ac:dyDescent="0.15">
      <c r="A196" s="10" t="s">
        <v>760</v>
      </c>
      <c r="B196" s="88" t="str" cm="1">
        <f t="array" ref="B196">VLOOKUP(A196,'The List'!B1:D671,3,FALSE)</f>
        <v>C</v>
      </c>
      <c r="C196" s="89" cm="1">
        <f t="array" ref="C196">IF(Settings!$E$15="POINTS",RANK(E196,E3:E210),H196)</f>
        <v>194</v>
      </c>
      <c r="D196" s="18" t="str" cm="1">
        <f t="array" ref="D196">VLOOKUP(A196,'The List'!B1:F671,5,FALSE)</f>
        <v>CBJ</v>
      </c>
      <c r="E196" s="55" cm="1">
        <f t="array" ref="E196">VLOOKUP(A196,'The List'!B1:I671,8,FALSE)</f>
        <v>99.305912980814497</v>
      </c>
      <c r="F196" s="55" cm="1">
        <f t="array" ref="F196">IF(Settings!$E$15="POINTS",E196-VLOOKUP(B$2,C1:E210,3,FALSE),J196)</f>
        <v>-287.22929341226848</v>
      </c>
      <c r="G196" s="55"/>
      <c r="H196" s="167" cm="1">
        <f t="array" ref="H196">RANK(I196,I3:I210)</f>
        <v>197</v>
      </c>
      <c r="I196" s="168" cm="1">
        <f t="array" ref="I196">VLOOKUP(A196,'Standard Deviations'!A1:C672,3,FALSE)</f>
        <v>-5.9554876915793296</v>
      </c>
      <c r="J196" s="168" cm="1">
        <f t="array" ref="J196">I196-VLOOKUP(B$2,H1:J210,2,FALSE)</f>
        <v>-12.336962094532273</v>
      </c>
    </row>
    <row r="197" spans="1:10" ht="21.25" customHeight="1" x14ac:dyDescent="0.15">
      <c r="A197" s="10" t="s">
        <v>772</v>
      </c>
      <c r="B197" s="88" t="str" cm="1">
        <f t="array" ref="B197">VLOOKUP(A197,'The List'!B1:D671,3,FALSE)</f>
        <v>C,RW</v>
      </c>
      <c r="C197" s="89" cm="1">
        <f t="array" ref="C197">IF(Settings!$E$15="POINTS",RANK(E197,E3:E210),H197)</f>
        <v>195</v>
      </c>
      <c r="D197" s="18" t="str" cm="1">
        <f t="array" ref="D197">VLOOKUP(A197,'The List'!B1:F671,5,FALSE)</f>
        <v>DAL</v>
      </c>
      <c r="E197" s="55" cm="1">
        <f t="array" ref="E197">VLOOKUP(A197,'The List'!B1:I671,8,FALSE)</f>
        <v>98.867701509882167</v>
      </c>
      <c r="F197" s="55" cm="1">
        <f t="array" ref="F197">IF(Settings!$E$15="POINTS",E197-VLOOKUP(B$2,C1:E210,3,FALSE),J197)</f>
        <v>-287.66750488320082</v>
      </c>
      <c r="G197" s="55"/>
      <c r="H197" s="167" cm="1">
        <f t="array" ref="H197">RANK(I197,I3:I210)</f>
        <v>178</v>
      </c>
      <c r="I197" s="168" cm="1">
        <f t="array" ref="I197">VLOOKUP(A197,'Standard Deviations'!A1:C672,3,FALSE)</f>
        <v>-4.3187752223507294</v>
      </c>
      <c r="J197" s="168" cm="1">
        <f t="array" ref="J197">I197-VLOOKUP(B$2,H1:J210,2,FALSE)</f>
        <v>-10.700249625303673</v>
      </c>
    </row>
    <row r="198" spans="1:10" ht="21.25" customHeight="1" x14ac:dyDescent="0.15">
      <c r="A198" s="10" t="s">
        <v>763</v>
      </c>
      <c r="B198" s="88" t="str" cm="1">
        <f t="array" ref="B198">VLOOKUP(A198,'The List'!B1:D671,3,FALSE)</f>
        <v>C</v>
      </c>
      <c r="C198" s="89" cm="1">
        <f t="array" ref="C198">IF(Settings!$E$15="POINTS",RANK(E198,E3:E210),H198)</f>
        <v>196</v>
      </c>
      <c r="D198" s="18" t="str" cm="1">
        <f t="array" ref="D198">VLOOKUP(A198,'The List'!B1:F671,5,FALSE)</f>
        <v>FLA</v>
      </c>
      <c r="E198" s="55" cm="1">
        <f t="array" ref="E198">VLOOKUP(A198,'The List'!B1:I671,8,FALSE)</f>
        <v>98.493412254179262</v>
      </c>
      <c r="F198" s="55" cm="1">
        <f t="array" ref="F198">IF(Settings!$E$15="POINTS",E198-VLOOKUP(B$2,C1:E210,3,FALSE),J198)</f>
        <v>-288.04179413890375</v>
      </c>
      <c r="G198" s="55"/>
      <c r="H198" s="167" cm="1">
        <f t="array" ref="H198">RANK(I198,I3:I210)</f>
        <v>188</v>
      </c>
      <c r="I198" s="168" cm="1">
        <f t="array" ref="I198">VLOOKUP(A198,'Standard Deviations'!A1:C672,3,FALSE)</f>
        <v>-4.7992130983897558</v>
      </c>
      <c r="J198" s="168" cm="1">
        <f t="array" ref="J198">I198-VLOOKUP(B$2,H1:J210,2,FALSE)</f>
        <v>-11.1806875013427</v>
      </c>
    </row>
    <row r="199" spans="1:10" ht="21.25" customHeight="1" x14ac:dyDescent="0.15">
      <c r="A199" s="10" t="s">
        <v>777</v>
      </c>
      <c r="B199" s="88" t="str" cm="1">
        <f t="array" ref="B199">VLOOKUP(A199,'The List'!B1:D671,3,FALSE)</f>
        <v>C,LW</v>
      </c>
      <c r="C199" s="89" cm="1">
        <f t="array" ref="C199">IF(Settings!$E$15="POINTS",RANK(E199,E3:E210),H199)</f>
        <v>197</v>
      </c>
      <c r="D199" s="18" t="str" cm="1">
        <f t="array" ref="D199">VLOOKUP(A199,'The List'!B1:F671,5,FALSE)</f>
        <v>NSH</v>
      </c>
      <c r="E199" s="55" cm="1">
        <f t="array" ref="E199">VLOOKUP(A199,'The List'!B1:I671,8,FALSE)</f>
        <v>97.53110407897789</v>
      </c>
      <c r="F199" s="55" cm="1">
        <f t="array" ref="F199">IF(Settings!$E$15="POINTS",E199-VLOOKUP(B$2,C1:E210,3,FALSE),J199)</f>
        <v>-289.00410231410513</v>
      </c>
      <c r="G199" s="55"/>
      <c r="H199" s="167" cm="1">
        <f t="array" ref="H199">RANK(I199,I3:I210)</f>
        <v>198</v>
      </c>
      <c r="I199" s="168" cm="1">
        <f t="array" ref="I199">VLOOKUP(A199,'Standard Deviations'!A1:C672,3,FALSE)</f>
        <v>-5.9779954909588655</v>
      </c>
      <c r="J199" s="168" cm="1">
        <f t="array" ref="J199">I199-VLOOKUP(B$2,H1:J210,2,FALSE)</f>
        <v>-12.359469893911809</v>
      </c>
    </row>
    <row r="200" spans="1:10" ht="21.25" customHeight="1" x14ac:dyDescent="0.15">
      <c r="A200" s="10" t="s">
        <v>779</v>
      </c>
      <c r="B200" s="88" t="str" cm="1">
        <f t="array" ref="B200">VLOOKUP(A200,'The List'!B1:D671,3,FALSE)</f>
        <v>C,LW</v>
      </c>
      <c r="C200" s="89" cm="1">
        <f t="array" ref="C200">IF(Settings!$E$15="POINTS",RANK(E200,E3:E210),H200)</f>
        <v>198</v>
      </c>
      <c r="D200" s="18" t="str" cm="1">
        <f t="array" ref="D200">VLOOKUP(A200,'The List'!B1:F671,5,FALSE)</f>
        <v>DAL</v>
      </c>
      <c r="E200" s="55" cm="1">
        <f t="array" ref="E200">VLOOKUP(A200,'The List'!B1:I671,8,FALSE)</f>
        <v>95.691686681289426</v>
      </c>
      <c r="F200" s="55" cm="1">
        <f t="array" ref="F200">IF(Settings!$E$15="POINTS",E200-VLOOKUP(B$2,C1:E210,3,FALSE),J200)</f>
        <v>-290.84351971179359</v>
      </c>
      <c r="G200" s="55"/>
      <c r="H200" s="167" cm="1">
        <f t="array" ref="H200">RANK(I200,I3:I210)</f>
        <v>185</v>
      </c>
      <c r="I200" s="168" cm="1">
        <f t="array" ref="I200">VLOOKUP(A200,'Standard Deviations'!A1:C672,3,FALSE)</f>
        <v>-4.7065723625536968</v>
      </c>
      <c r="J200" s="168" cm="1">
        <f t="array" ref="J200">I200-VLOOKUP(B$2,H1:J210,2,FALSE)</f>
        <v>-11.08804676550664</v>
      </c>
    </row>
    <row r="201" spans="1:10" ht="21.25" customHeight="1" x14ac:dyDescent="0.15">
      <c r="A201" s="10" t="s">
        <v>767</v>
      </c>
      <c r="B201" s="88" t="str" cm="1">
        <f t="array" ref="B201">VLOOKUP(A201,'The List'!B1:D671,3,FALSE)</f>
        <v>C</v>
      </c>
      <c r="C201" s="89" cm="1">
        <f t="array" ref="C201">IF(Settings!$E$15="POINTS",RANK(E201,E3:E210),H201)</f>
        <v>199</v>
      </c>
      <c r="D201" s="18" t="str" cm="1">
        <f t="array" ref="D201">VLOOKUP(A201,'The List'!B1:F671,5,FALSE)</f>
        <v>EDM</v>
      </c>
      <c r="E201" s="55" cm="1">
        <f t="array" ref="E201">VLOOKUP(A201,'The List'!B1:I671,8,FALSE)</f>
        <v>93.428579301062015</v>
      </c>
      <c r="F201" s="55" cm="1">
        <f t="array" ref="F201">IF(Settings!$E$15="POINTS",E201-VLOOKUP(B$2,C1:E210,3,FALSE),J201)</f>
        <v>-293.10662709202097</v>
      </c>
      <c r="G201" s="55"/>
      <c r="H201" s="167" cm="1">
        <f t="array" ref="H201">RANK(I201,I3:I210)</f>
        <v>186</v>
      </c>
      <c r="I201" s="168" cm="1">
        <f t="array" ref="I201">VLOOKUP(A201,'Standard Deviations'!A1:C672,3,FALSE)</f>
        <v>-4.7135227675051485</v>
      </c>
      <c r="J201" s="168" cm="1">
        <f t="array" ref="J201">I201-VLOOKUP(B$2,H1:J210,2,FALSE)</f>
        <v>-11.094997170458093</v>
      </c>
    </row>
    <row r="202" spans="1:10" ht="21.25" customHeight="1" x14ac:dyDescent="0.15">
      <c r="A202" s="10" t="s">
        <v>782</v>
      </c>
      <c r="B202" s="88" t="str" cm="1">
        <f t="array" ref="B202">VLOOKUP(A202,'The List'!B1:D671,3,FALSE)</f>
        <v>C,LW</v>
      </c>
      <c r="C202" s="89" cm="1">
        <f t="array" ref="C202">IF(Settings!$E$15="POINTS",RANK(E202,E3:E210),H202)</f>
        <v>200</v>
      </c>
      <c r="D202" s="18" t="str" cm="1">
        <f t="array" ref="D202">VLOOKUP(A202,'The List'!B1:F671,5,FALSE)</f>
        <v>SEA</v>
      </c>
      <c r="E202" s="55" cm="1">
        <f t="array" ref="E202">VLOOKUP(A202,'The List'!B1:I671,8,FALSE)</f>
        <v>91.812084416922843</v>
      </c>
      <c r="F202" s="55" cm="1">
        <f t="array" ref="F202">IF(Settings!$E$15="POINTS",E202-VLOOKUP(B$2,C1:E210,3,FALSE),J202)</f>
        <v>-294.72312197616014</v>
      </c>
      <c r="G202" s="55"/>
      <c r="H202" s="167" cm="1">
        <f t="array" ref="H202">RANK(I202,I3:I210)</f>
        <v>207</v>
      </c>
      <c r="I202" s="168" cm="1">
        <f t="array" ref="I202">VLOOKUP(A202,'Standard Deviations'!A1:C672,3,FALSE)</f>
        <v>-6.9089615386896623</v>
      </c>
      <c r="J202" s="168" cm="1">
        <f t="array" ref="J202">I202-VLOOKUP(B$2,H1:J210,2,FALSE)</f>
        <v>-13.290435941642606</v>
      </c>
    </row>
    <row r="203" spans="1:10" ht="21.25" customHeight="1" x14ac:dyDescent="0.15">
      <c r="A203" s="10" t="s">
        <v>774</v>
      </c>
      <c r="B203" s="88" t="str" cm="1">
        <f t="array" ref="B203">VLOOKUP(A203,'The List'!B1:D671,3,FALSE)</f>
        <v>C</v>
      </c>
      <c r="C203" s="89" cm="1">
        <f t="array" ref="C203">IF(Settings!$E$15="POINTS",RANK(E203,E3:E210),H203)</f>
        <v>201</v>
      </c>
      <c r="D203" s="18" t="str" cm="1">
        <f t="array" ref="D203">VLOOKUP(A203,'The List'!B1:F671,5,FALSE)</f>
        <v>MIN</v>
      </c>
      <c r="E203" s="55" cm="1">
        <f t="array" ref="E203">VLOOKUP(A203,'The List'!B1:I671,8,FALSE)</f>
        <v>89.608784921117632</v>
      </c>
      <c r="F203" s="55" cm="1">
        <f t="array" ref="F203">IF(Settings!$E$15="POINTS",E203-VLOOKUP(B$2,C1:E210,3,FALSE),J203)</f>
        <v>-296.92642147196534</v>
      </c>
      <c r="G203" s="55"/>
      <c r="H203" s="167" cm="1">
        <f t="array" ref="H203">RANK(I203,I3:I210)</f>
        <v>193</v>
      </c>
      <c r="I203" s="168" cm="1">
        <f t="array" ref="I203">VLOOKUP(A203,'Standard Deviations'!A1:C672,3,FALSE)</f>
        <v>-5.3058163507918392</v>
      </c>
      <c r="J203" s="168" cm="1">
        <f t="array" ref="J203">I203-VLOOKUP(B$2,H1:J210,2,FALSE)</f>
        <v>-11.687290753744783</v>
      </c>
    </row>
    <row r="204" spans="1:10" ht="21.25" customHeight="1" x14ac:dyDescent="0.15">
      <c r="A204" s="10" t="s">
        <v>776</v>
      </c>
      <c r="B204" s="88" t="str" cm="1">
        <f t="array" ref="B204">VLOOKUP(A204,'The List'!B1:D671,3,FALSE)</f>
        <v>C</v>
      </c>
      <c r="C204" s="89" cm="1">
        <f t="array" ref="C204">IF(Settings!$E$15="POINTS",RANK(E204,E3:E210),H204)</f>
        <v>202</v>
      </c>
      <c r="D204" s="18" t="str" cm="1">
        <f t="array" ref="D204">VLOOKUP(A204,'The List'!B1:F671,5,FALSE)</f>
        <v>NYR</v>
      </c>
      <c r="E204" s="55" cm="1">
        <f t="array" ref="E204">VLOOKUP(A204,'The List'!B1:I671,8,FALSE)</f>
        <v>87.566052256597004</v>
      </c>
      <c r="F204" s="55" cm="1">
        <f t="array" ref="F204">IF(Settings!$E$15="POINTS",E204-VLOOKUP(B$2,C1:E210,3,FALSE),J204)</f>
        <v>-298.969154136486</v>
      </c>
      <c r="G204" s="55"/>
      <c r="H204" s="167" cm="1">
        <f t="array" ref="H204">RANK(I204,I3:I210)</f>
        <v>201</v>
      </c>
      <c r="I204" s="168" cm="1">
        <f t="array" ref="I204">VLOOKUP(A204,'Standard Deviations'!A1:C672,3,FALSE)</f>
        <v>-6.0882308194091586</v>
      </c>
      <c r="J204" s="168" cm="1">
        <f t="array" ref="J204">I204-VLOOKUP(B$2,H1:J210,2,FALSE)</f>
        <v>-12.469705222362101</v>
      </c>
    </row>
    <row r="205" spans="1:10" ht="21.25" customHeight="1" x14ac:dyDescent="0.15">
      <c r="A205" s="10" t="s">
        <v>788</v>
      </c>
      <c r="B205" s="88" t="str" cm="1">
        <f t="array" ref="B205">VLOOKUP(A205,'The List'!B1:D671,3,FALSE)</f>
        <v>C,LW</v>
      </c>
      <c r="C205" s="89" cm="1">
        <f t="array" ref="C205">IF(Settings!$E$15="POINTS",RANK(E205,E3:E210),H205)</f>
        <v>203</v>
      </c>
      <c r="D205" s="18" t="str" cm="1">
        <f t="array" ref="D205">VLOOKUP(A205,'The List'!B1:F671,5,FALSE)</f>
        <v>N.J</v>
      </c>
      <c r="E205" s="55" cm="1">
        <f t="array" ref="E205">VLOOKUP(A205,'The List'!B1:I671,8,FALSE)</f>
        <v>86.708405164340178</v>
      </c>
      <c r="F205" s="55" cm="1">
        <f t="array" ref="F205">IF(Settings!$E$15="POINTS",E205-VLOOKUP(B$2,C1:E210,3,FALSE),J205)</f>
        <v>-299.82680122874285</v>
      </c>
      <c r="G205" s="55"/>
      <c r="H205" s="167" cm="1">
        <f t="array" ref="H205">RANK(I205,I3:I210)</f>
        <v>202</v>
      </c>
      <c r="I205" s="168" cm="1">
        <f t="array" ref="I205">VLOOKUP(A205,'Standard Deviations'!A1:C672,3,FALSE)</f>
        <v>-6.3621342832682313</v>
      </c>
      <c r="J205" s="168" cm="1">
        <f t="array" ref="J205">I205-VLOOKUP(B$2,H1:J210,2,FALSE)</f>
        <v>-12.743608686221176</v>
      </c>
    </row>
    <row r="206" spans="1:10" ht="21.25" customHeight="1" x14ac:dyDescent="0.15">
      <c r="A206" s="10" t="s">
        <v>778</v>
      </c>
      <c r="B206" s="88" t="str" cm="1">
        <f t="array" ref="B206">VLOOKUP(A206,'The List'!B1:D671,3,FALSE)</f>
        <v>C</v>
      </c>
      <c r="C206" s="89" cm="1">
        <f t="array" ref="C206">IF(Settings!$E$15="POINTS",RANK(E206,E3:E210),H206)</f>
        <v>204</v>
      </c>
      <c r="D206" s="18" t="str" cm="1">
        <f t="array" ref="D206">VLOOKUP(A206,'The List'!B1:F671,5,FALSE)</f>
        <v>L.A</v>
      </c>
      <c r="E206" s="55" cm="1">
        <f t="array" ref="E206">VLOOKUP(A206,'The List'!B1:I671,8,FALSE)</f>
        <v>83.744436832415374</v>
      </c>
      <c r="F206" s="55" cm="1">
        <f t="array" ref="F206">IF(Settings!$E$15="POINTS",E206-VLOOKUP(B$2,C1:E210,3,FALSE),J206)</f>
        <v>-302.79076956066763</v>
      </c>
      <c r="G206" s="55"/>
      <c r="H206" s="167" cm="1">
        <f t="array" ref="H206">RANK(I206,I3:I210)</f>
        <v>189</v>
      </c>
      <c r="I206" s="168" cm="1">
        <f t="array" ref="I206">VLOOKUP(A206,'Standard Deviations'!A1:C672,3,FALSE)</f>
        <v>-4.914100034797662</v>
      </c>
      <c r="J206" s="168" cm="1">
        <f t="array" ref="J206">I206-VLOOKUP(B$2,H1:J210,2,FALSE)</f>
        <v>-11.295574437750606</v>
      </c>
    </row>
    <row r="207" spans="1:10" ht="21.25" customHeight="1" x14ac:dyDescent="0.15">
      <c r="A207" s="10" t="s">
        <v>781</v>
      </c>
      <c r="B207" s="88" t="str" cm="1">
        <f t="array" ref="B207">VLOOKUP(A207,'The List'!B1:D671,3,FALSE)</f>
        <v>C</v>
      </c>
      <c r="C207" s="89" cm="1">
        <f t="array" ref="C207">IF(Settings!$E$15="POINTS",RANK(E207,E3:E210),H207)</f>
        <v>205</v>
      </c>
      <c r="D207" s="18" t="str" cm="1">
        <f t="array" ref="D207">VLOOKUP(A207,'The List'!B1:F671,5,FALSE)</f>
        <v>ANA</v>
      </c>
      <c r="E207" s="55" cm="1">
        <f t="array" ref="E207">VLOOKUP(A207,'The List'!B1:I671,8,FALSE)</f>
        <v>79.80592219586751</v>
      </c>
      <c r="F207" s="55" cm="1">
        <f t="array" ref="F207">IF(Settings!$E$15="POINTS",E207-VLOOKUP(B$2,C1:E210,3,FALSE),J207)</f>
        <v>-306.72928419721552</v>
      </c>
      <c r="G207" s="55"/>
      <c r="H207" s="167" cm="1">
        <f t="array" ref="H207">RANK(I207,I3:I210)</f>
        <v>204</v>
      </c>
      <c r="I207" s="168" cm="1">
        <f t="array" ref="I207">VLOOKUP(A207,'Standard Deviations'!A1:C672,3,FALSE)</f>
        <v>-6.4865530031904211</v>
      </c>
      <c r="J207" s="168" cm="1">
        <f t="array" ref="J207">I207-VLOOKUP(B$2,H1:J210,2,FALSE)</f>
        <v>-12.868027406143366</v>
      </c>
    </row>
    <row r="208" spans="1:10" ht="21.25" customHeight="1" x14ac:dyDescent="0.15">
      <c r="A208" s="10" t="s">
        <v>791</v>
      </c>
      <c r="B208" s="88" t="str" cm="1">
        <f t="array" ref="B208">VLOOKUP(A208,'The List'!B1:D671,3,FALSE)</f>
        <v>C</v>
      </c>
      <c r="C208" s="89" cm="1">
        <f t="array" ref="C208">IF(Settings!$E$15="POINTS",RANK(E208,E3:E210),H208)</f>
        <v>206</v>
      </c>
      <c r="D208" s="18" t="str" cm="1">
        <f t="array" ref="D208">VLOOKUP(A208,'The List'!B1:F671,5,FALSE)</f>
        <v>S.J</v>
      </c>
      <c r="E208" s="55" cm="1">
        <f t="array" ref="E208">VLOOKUP(A208,'The List'!B1:I671,8,FALSE)</f>
        <v>70.754125302176561</v>
      </c>
      <c r="F208" s="55" cm="1">
        <f t="array" ref="F208">IF(Settings!$E$15="POINTS",E208-VLOOKUP(B$2,C1:E210,3,FALSE),J208)</f>
        <v>-315.78108109090647</v>
      </c>
      <c r="G208" s="55"/>
      <c r="H208" s="167" cm="1">
        <f t="array" ref="H208">RANK(I208,I3:I210)</f>
        <v>196</v>
      </c>
      <c r="I208" s="168" cm="1">
        <f t="array" ref="I208">VLOOKUP(A208,'Standard Deviations'!A1:C672,3,FALSE)</f>
        <v>-5.786886166395286</v>
      </c>
      <c r="J208" s="168" cm="1">
        <f t="array" ref="J208">I208-VLOOKUP(B$2,H1:J210,2,FALSE)</f>
        <v>-12.168360569348231</v>
      </c>
    </row>
    <row r="209" spans="1:10" ht="21.25" customHeight="1" x14ac:dyDescent="0.15">
      <c r="A209" s="10" t="s">
        <v>794</v>
      </c>
      <c r="B209" s="88" t="str" cm="1">
        <f t="array" ref="B209">VLOOKUP(A209,'The List'!B1:D671,3,FALSE)</f>
        <v>C</v>
      </c>
      <c r="C209" s="89" cm="1">
        <f t="array" ref="C209">IF(Settings!$E$15="POINTS",RANK(E209,E3:E210),H209)</f>
        <v>207</v>
      </c>
      <c r="D209" s="18" t="str" cm="1">
        <f t="array" ref="D209">VLOOKUP(A209,'The List'!B1:F671,5,FALSE)</f>
        <v>TOR</v>
      </c>
      <c r="E209" s="55" cm="1">
        <f t="array" ref="E209">VLOOKUP(A209,'The List'!B1:I671,8,FALSE)</f>
        <v>65.68080267404325</v>
      </c>
      <c r="F209" s="55" cm="1">
        <f t="array" ref="F209">IF(Settings!$E$15="POINTS",E209-VLOOKUP(B$2,C1:E210,3,FALSE),J209)</f>
        <v>-320.85440371903974</v>
      </c>
      <c r="G209" s="55"/>
      <c r="H209" s="167" cm="1">
        <f t="array" ref="H209">RANK(I209,I3:I210)</f>
        <v>208</v>
      </c>
      <c r="I209" s="168" cm="1">
        <f t="array" ref="I209">VLOOKUP(A209,'Standard Deviations'!A1:C672,3,FALSE)</f>
        <v>-6.9253664683841105</v>
      </c>
      <c r="J209" s="168" cm="1">
        <f t="array" ref="J209">I209-VLOOKUP(B$2,H1:J210,2,FALSE)</f>
        <v>-13.306840871337055</v>
      </c>
    </row>
    <row r="210" spans="1:10" ht="21.25" customHeight="1" x14ac:dyDescent="0.15">
      <c r="A210" s="10" t="s">
        <v>796</v>
      </c>
      <c r="B210" s="88" t="str" cm="1">
        <f t="array" ref="B210">VLOOKUP(A210,'The List'!B1:D671,3,FALSE)</f>
        <v>C</v>
      </c>
      <c r="C210" s="89" cm="1">
        <f t="array" ref="C210">IF(Settings!$E$15="POINTS",RANK(E210,E3:E210),H210)</f>
        <v>208</v>
      </c>
      <c r="D210" s="18" t="str" cm="1">
        <f t="array" ref="D210">VLOOKUP(A210,'The List'!B1:F671,5,FALSE)</f>
        <v>MIN</v>
      </c>
      <c r="E210" s="55" cm="1">
        <f t="array" ref="E210">VLOOKUP(A210,'The List'!B1:I671,8,FALSE)</f>
        <v>57.221304778195545</v>
      </c>
      <c r="F210" s="55" cm="1">
        <f t="array" ref="F210">IF(Settings!$E$15="POINTS",E210-VLOOKUP(B$2,C1:E210,3,FALSE),J210)</f>
        <v>-329.31390161488747</v>
      </c>
      <c r="G210" s="55"/>
      <c r="H210" s="167" cm="1">
        <f t="array" ref="H210">RANK(I210,I3:I210)</f>
        <v>205</v>
      </c>
      <c r="I210" s="168" cm="1">
        <f t="array" ref="I210">VLOOKUP(A210,'Standard Deviations'!A1:C672,3,FALSE)</f>
        <v>-6.7714902947898024</v>
      </c>
      <c r="J210" s="168" cm="1">
        <f t="array" ref="J210">I210-VLOOKUP(B$2,H1:J210,2,FALSE)</f>
        <v>-13.152964697742746</v>
      </c>
    </row>
  </sheetData>
  <conditionalFormatting sqref="C3:C210 H3:H210">
    <cfRule type="containsText" dxfId="29" priority="1" stopIfTrue="1" operator="containsText" text="/">
      <formula>NOT(ISERROR(FIND(UPPER("/"),UPPER(C3))))</formula>
      <formula>"/"</formula>
    </cfRule>
    <cfRule type="containsText" dxfId="28" priority="2" stopIfTrue="1" operator="containsText" text="C">
      <formula>NOT(ISERROR(FIND(UPPER("C"),UPPER(C3))))</formula>
      <formula>"C"</formula>
    </cfRule>
    <cfRule type="containsText" dxfId="27" priority="3" stopIfTrue="1" operator="containsText" text="D">
      <formula>NOT(ISERROR(FIND(UPPER("D"),UPPER(C3))))</formula>
      <formula>"D"</formula>
    </cfRule>
    <cfRule type="containsText" dxfId="26" priority="4" stopIfTrue="1" operator="containsText" text="LW">
      <formula>NOT(ISERROR(FIND(UPPER("LW"),UPPER(C3))))</formula>
      <formula>"LW"</formula>
    </cfRule>
    <cfRule type="containsText" dxfId="25" priority="5" stopIfTrue="1" operator="containsText" text="RW">
      <formula>NOT(ISERROR(FIND(UPPER("RW"),UPPER(C3))))</formula>
      <formula>"RW"</formula>
    </cfRule>
    <cfRule type="containsText" dxfId="24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210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825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Settings!F3</f>
        <v>17</v>
      </c>
      <c r="C2" s="161"/>
      <c r="D2" s="162"/>
      <c r="E2" s="163"/>
      <c r="F2" s="163"/>
      <c r="G2" s="163"/>
      <c r="H2" s="169"/>
      <c r="I2" s="165"/>
      <c r="J2" s="170"/>
    </row>
    <row r="3" spans="1:10" ht="21.25" customHeight="1" x14ac:dyDescent="0.15">
      <c r="A3" s="10" t="s">
        <v>138</v>
      </c>
      <c r="B3" s="94" t="str" cm="1">
        <f t="array" ref="B3">VLOOKUP(A3,'The List'!B1:D671,3,FALSE)</f>
        <v>C,LW</v>
      </c>
      <c r="C3" s="95" cm="1">
        <f t="array" ref="C3">IF(Settings!$E$15="POINTS",RANK(E3,E3:E210),H3)</f>
        <v>1</v>
      </c>
      <c r="D3" s="18" t="str" cm="1">
        <f t="array" ref="D3">VLOOKUP(A3,'The List'!B1:F671,5,FALSE)</f>
        <v>EDM</v>
      </c>
      <c r="E3" s="55" cm="1">
        <f t="array" ref="E3">VLOOKUP(A3,'The List'!B1:I671,8,FALSE)</f>
        <v>509.65722947201846</v>
      </c>
      <c r="F3" s="55" cm="1">
        <f t="array" ref="F3">IF(Settings!$E$15="POINTS",E3-VLOOKUP(B$2,C1:E210,3,FALSE),J3)</f>
        <v>110.34423615829837</v>
      </c>
      <c r="G3" s="55"/>
      <c r="H3" s="171" cm="1">
        <f t="array" ref="H3">RANK(I3,I3:I210)</f>
        <v>1</v>
      </c>
      <c r="I3" s="168" cm="1">
        <f t="array" ref="I3">VLOOKUP(A3,'Standard Deviations'!A1:C672,3,FALSE)</f>
        <v>13.230736262853329</v>
      </c>
      <c r="J3" s="172" cm="1">
        <f t="array" ref="J3">I3-VLOOKUP(B$2,H1:J210,2,FALSE)</f>
        <v>6.0594928510096695</v>
      </c>
    </row>
    <row r="4" spans="1:10" ht="21.25" customHeight="1" x14ac:dyDescent="0.15">
      <c r="A4" s="10" t="s">
        <v>142</v>
      </c>
      <c r="B4" s="94" t="str" cm="1">
        <f t="array" ref="B4">VLOOKUP(A4,'The List'!B1:D671,3,FALSE)</f>
        <v>C,LW</v>
      </c>
      <c r="C4" s="95" cm="1">
        <f t="array" ref="C4">IF(Settings!$E$15="POINTS",RANK(E4,E3:E210),H4)</f>
        <v>2</v>
      </c>
      <c r="D4" s="18" t="str" cm="1">
        <f t="array" ref="D4">VLOOKUP(A4,'The List'!B1:F671,5,FALSE)</f>
        <v>N.J</v>
      </c>
      <c r="E4" s="55" cm="1">
        <f t="array" ref="E4">VLOOKUP(A4,'The List'!B1:I671,8,FALSE)</f>
        <v>499.85379527947913</v>
      </c>
      <c r="F4" s="55" cm="1">
        <f t="array" ref="F4">IF(Settings!$E$15="POINTS",E4-VLOOKUP(B$2,C1:E210,3,FALSE),J4)</f>
        <v>100.54080196575904</v>
      </c>
      <c r="G4" s="55"/>
      <c r="H4" s="167" cm="1">
        <f t="array" ref="H4">RANK(I4,I3:I210)</f>
        <v>8</v>
      </c>
      <c r="I4" s="168" cm="1">
        <f t="array" ref="I4">VLOOKUP(A4,'Standard Deviations'!A1:C672,3,FALSE)</f>
        <v>9.5002375978834799</v>
      </c>
      <c r="J4" s="168" cm="1">
        <f t="array" ref="J4">I4-VLOOKUP(B$2,H1:J210,2,FALSE)</f>
        <v>2.3289941860398207</v>
      </c>
    </row>
    <row r="5" spans="1:10" ht="21.25" customHeight="1" x14ac:dyDescent="0.15">
      <c r="A5" s="10" t="s">
        <v>143</v>
      </c>
      <c r="B5" s="94" t="str" cm="1">
        <f t="array" ref="B5">VLOOKUP(A5,'The List'!B1:D671,3,FALSE)</f>
        <v>LW,RW</v>
      </c>
      <c r="C5" s="95" cm="1">
        <f t="array" ref="C5">IF(Settings!$E$15="POINTS",RANK(E5,E3:E210),H5)</f>
        <v>3</v>
      </c>
      <c r="D5" s="18" t="str" cm="1">
        <f t="array" ref="D5">VLOOKUP(A5,'The List'!B1:F671,5,FALSE)</f>
        <v>MIN</v>
      </c>
      <c r="E5" s="55" cm="1">
        <f t="array" ref="E5">VLOOKUP(A5,'The List'!B1:I671,8,FALSE)</f>
        <v>484.91184206940261</v>
      </c>
      <c r="F5" s="55" cm="1">
        <f t="array" ref="F5">IF(Settings!$E$15="POINTS",E5-VLOOKUP(B$2,C1:E210,3,FALSE),J5)</f>
        <v>85.598848755682525</v>
      </c>
      <c r="G5" s="55"/>
      <c r="H5" s="167" cm="1">
        <f t="array" ref="H5">RANK(I5,I3:I210)</f>
        <v>2</v>
      </c>
      <c r="I5" s="168" cm="1">
        <f t="array" ref="I5">VLOOKUP(A5,'Standard Deviations'!A1:C672,3,FALSE)</f>
        <v>11.762726894081251</v>
      </c>
      <c r="J5" s="168" cm="1">
        <f t="array" ref="J5">I5-VLOOKUP(B$2,H1:J210,2,FALSE)</f>
        <v>4.5914834822375914</v>
      </c>
    </row>
    <row r="6" spans="1:10" ht="21.25" customHeight="1" x14ac:dyDescent="0.15">
      <c r="A6" s="10" t="s">
        <v>144</v>
      </c>
      <c r="B6" s="94" t="str" cm="1">
        <f t="array" ref="B6">VLOOKUP(A6,'The List'!B1:D671,3,FALSE)</f>
        <v>LW,RW</v>
      </c>
      <c r="C6" s="95" cm="1">
        <f t="array" ref="C6">IF(Settings!$E$15="POINTS",RANK(E6,E3:E210),H6)</f>
        <v>4</v>
      </c>
      <c r="D6" s="18" t="str" cm="1">
        <f t="array" ref="D6">VLOOKUP(A6,'The List'!B1:F671,5,FALSE)</f>
        <v>DAL</v>
      </c>
      <c r="E6" s="55" cm="1">
        <f t="array" ref="E6">VLOOKUP(A6,'The List'!B1:I671,8,FALSE)</f>
        <v>482.26198502606582</v>
      </c>
      <c r="F6" s="55" cm="1">
        <f t="array" ref="F6">IF(Settings!$E$15="POINTS",E6-VLOOKUP(B$2,C1:E210,3,FALSE),J6)</f>
        <v>82.94899171234573</v>
      </c>
      <c r="G6" s="55"/>
      <c r="H6" s="167" cm="1">
        <f t="array" ref="H6">RANK(I6,I3:I210)</f>
        <v>3</v>
      </c>
      <c r="I6" s="168" cm="1">
        <f t="array" ref="I6">VLOOKUP(A6,'Standard Deviations'!A1:C672,3,FALSE)</f>
        <v>11.309423823210317</v>
      </c>
      <c r="J6" s="168" cm="1">
        <f t="array" ref="J6">I6-VLOOKUP(B$2,H1:J210,2,FALSE)</f>
        <v>4.1381804113666574</v>
      </c>
    </row>
    <row r="7" spans="1:10" ht="21.25" customHeight="1" x14ac:dyDescent="0.15">
      <c r="A7" s="10" t="s">
        <v>148</v>
      </c>
      <c r="B7" s="94" t="str" cm="1">
        <f t="array" ref="B7">VLOOKUP(A7,'The List'!B1:D671,3,FALSE)</f>
        <v>LW</v>
      </c>
      <c r="C7" s="95" cm="1">
        <f t="array" ref="C7">IF(Settings!$E$15="POINTS",RANK(E7,E3:E210),H7)</f>
        <v>5</v>
      </c>
      <c r="D7" s="18" t="str" cm="1">
        <f t="array" ref="D7">VLOOKUP(A7,'The List'!B1:F671,5,FALSE)</f>
        <v>MIN</v>
      </c>
      <c r="E7" s="55" cm="1">
        <f t="array" ref="E7">VLOOKUP(A7,'The List'!B1:I671,8,FALSE)</f>
        <v>475.66771056679676</v>
      </c>
      <c r="F7" s="55" cm="1">
        <f t="array" ref="F7">IF(Settings!$E$15="POINTS",E7-VLOOKUP(B$2,C1:E210,3,FALSE),J7)</f>
        <v>76.354717253076672</v>
      </c>
      <c r="G7" s="55"/>
      <c r="H7" s="167" cm="1">
        <f t="array" ref="H7">RANK(I7,I3:I210)</f>
        <v>5</v>
      </c>
      <c r="I7" s="168" cm="1">
        <f t="array" ref="I7">VLOOKUP(A7,'Standard Deviations'!A1:C672,3,FALSE)</f>
        <v>10.511012996838099</v>
      </c>
      <c r="J7" s="168" cm="1">
        <f t="array" ref="J7">I7-VLOOKUP(B$2,H1:J210,2,FALSE)</f>
        <v>3.33976958499444</v>
      </c>
    </row>
    <row r="8" spans="1:10" ht="21.25" customHeight="1" x14ac:dyDescent="0.15">
      <c r="A8" s="10" t="s">
        <v>155</v>
      </c>
      <c r="B8" s="94" t="str" cm="1">
        <f t="array" ref="B8">VLOOKUP(A8,'The List'!B1:D671,3,FALSE)</f>
        <v>LW</v>
      </c>
      <c r="C8" s="95" cm="1">
        <f t="array" ref="C8">IF(Settings!$E$15="POINTS",RANK(E8,E3:E210),H8)</f>
        <v>6</v>
      </c>
      <c r="D8" s="18" t="str" cm="1">
        <f t="array" ref="D8">VLOOKUP(A8,'The List'!B1:F671,5,FALSE)</f>
        <v>WPG</v>
      </c>
      <c r="E8" s="55" cm="1">
        <f t="array" ref="E8">VLOOKUP(A8,'The List'!B1:I671,8,FALSE)</f>
        <v>449.77356481658967</v>
      </c>
      <c r="F8" s="55" cm="1">
        <f t="array" ref="F8">IF(Settings!$E$15="POINTS",E8-VLOOKUP(B$2,C1:E210,3,FALSE),J8)</f>
        <v>50.460571502869584</v>
      </c>
      <c r="G8" s="55"/>
      <c r="H8" s="167" cm="1">
        <f t="array" ref="H8">RANK(I8,I3:I210)</f>
        <v>18</v>
      </c>
      <c r="I8" s="168" cm="1">
        <f t="array" ref="I8">VLOOKUP(A8,'Standard Deviations'!A1:C672,3,FALSE)</f>
        <v>7.1151731503986202</v>
      </c>
      <c r="J8" s="168" cm="1">
        <f t="array" ref="J8">I8-VLOOKUP(B$2,H1:J210,2,FALSE)</f>
        <v>-5.6070261445039016E-2</v>
      </c>
    </row>
    <row r="9" spans="1:10" ht="21.25" customHeight="1" x14ac:dyDescent="0.15">
      <c r="A9" s="10" t="s">
        <v>162</v>
      </c>
      <c r="B9" s="94" t="str" cm="1">
        <f t="array" ref="B9">VLOOKUP(A9,'The List'!B1:D671,3,FALSE)</f>
        <v>C,LW,RW</v>
      </c>
      <c r="C9" s="95" cm="1">
        <f t="array" ref="C9">IF(Settings!$E$15="POINTS",RANK(E9,E3:E210),H9)</f>
        <v>7</v>
      </c>
      <c r="D9" s="18" t="str" cm="1">
        <f t="array" ref="D9">VLOOKUP(A9,'The List'!B1:F671,5,FALSE)</f>
        <v>ANA</v>
      </c>
      <c r="E9" s="55" cm="1">
        <f t="array" ref="E9">VLOOKUP(A9,'The List'!B1:I671,8,FALSE)</f>
        <v>431.07519953197504</v>
      </c>
      <c r="F9" s="55" cm="1">
        <f t="array" ref="F9">IF(Settings!$E$15="POINTS",E9-VLOOKUP(B$2,C1:E210,3,FALSE),J9)</f>
        <v>31.76220621825496</v>
      </c>
      <c r="G9" s="55"/>
      <c r="H9" s="167" cm="1">
        <f t="array" ref="H9">RANK(I9,I3:I210)</f>
        <v>17</v>
      </c>
      <c r="I9" s="168" cm="1">
        <f t="array" ref="I9">VLOOKUP(A9,'Standard Deviations'!A1:C672,3,FALSE)</f>
        <v>7.1712434118436592</v>
      </c>
      <c r="J9" s="168" cm="1">
        <f t="array" ref="J9">I9-VLOOKUP(B$2,H1:J210,2,FALSE)</f>
        <v>0</v>
      </c>
    </row>
    <row r="10" spans="1:10" ht="21.25" customHeight="1" x14ac:dyDescent="0.15">
      <c r="A10" s="10" t="s">
        <v>164</v>
      </c>
      <c r="B10" s="94" t="str" cm="1">
        <f t="array" ref="B10">VLOOKUP(A10,'The List'!B1:D671,3,FALSE)</f>
        <v>LW,RW</v>
      </c>
      <c r="C10" s="95" cm="1">
        <f t="array" ref="C10">IF(Settings!$E$15="POINTS",RANK(E10,E3:E210),H10)</f>
        <v>8</v>
      </c>
      <c r="D10" s="18" t="str" cm="1">
        <f t="array" ref="D10">VLOOKUP(A10,'The List'!B1:F671,5,FALSE)</f>
        <v>DAL</v>
      </c>
      <c r="E10" s="55" cm="1">
        <f t="array" ref="E10">VLOOKUP(A10,'The List'!B1:I671,8,FALSE)</f>
        <v>429.44531913112792</v>
      </c>
      <c r="F10" s="55" cm="1">
        <f t="array" ref="F10">IF(Settings!$E$15="POINTS",E10-VLOOKUP(B$2,C1:E210,3,FALSE),J10)</f>
        <v>30.132325817407832</v>
      </c>
      <c r="G10" s="55"/>
      <c r="H10" s="167" cm="1">
        <f t="array" ref="H10">RANK(I10,I3:I210)</f>
        <v>4</v>
      </c>
      <c r="I10" s="168" cm="1">
        <f t="array" ref="I10">VLOOKUP(A10,'Standard Deviations'!A1:C672,3,FALSE)</f>
        <v>10.966766360835466</v>
      </c>
      <c r="J10" s="168" cm="1">
        <f t="array" ref="J10">I10-VLOOKUP(B$2,H1:J210,2,FALSE)</f>
        <v>3.795522948991807</v>
      </c>
    </row>
    <row r="11" spans="1:10" ht="21.25" customHeight="1" x14ac:dyDescent="0.15">
      <c r="A11" s="10" t="s">
        <v>168</v>
      </c>
      <c r="B11" s="94" t="str" cm="1">
        <f t="array" ref="B11">VLOOKUP(A11,'The List'!B1:D671,3,FALSE)</f>
        <v>LW,RW</v>
      </c>
      <c r="C11" s="95" cm="1">
        <f t="array" ref="C11">IF(Settings!$E$15="POINTS",RANK(E11,E3:E210),H11)</f>
        <v>9</v>
      </c>
      <c r="D11" s="18" t="str" cm="1">
        <f t="array" ref="D11">VLOOKUP(A11,'The List'!B1:F671,5,FALSE)</f>
        <v>UTA</v>
      </c>
      <c r="E11" s="55" cm="1">
        <f t="array" ref="E11">VLOOKUP(A11,'The List'!B1:I671,8,FALSE)</f>
        <v>421.1259218806934</v>
      </c>
      <c r="F11" s="55" cm="1">
        <f t="array" ref="F11">IF(Settings!$E$15="POINTS",E11-VLOOKUP(B$2,C1:E210,3,FALSE),J11)</f>
        <v>21.812928566973312</v>
      </c>
      <c r="G11" s="55"/>
      <c r="H11" s="167" cm="1">
        <f t="array" ref="H11">RANK(I11,I3:I210)</f>
        <v>11</v>
      </c>
      <c r="I11" s="168" cm="1">
        <f t="array" ref="I11">VLOOKUP(A11,'Standard Deviations'!A1:C672,3,FALSE)</f>
        <v>8.0246101399434515</v>
      </c>
      <c r="J11" s="168" cm="1">
        <f t="array" ref="J11">I11-VLOOKUP(B$2,H1:J210,2,FALSE)</f>
        <v>0.8533667280997923</v>
      </c>
    </row>
    <row r="12" spans="1:10" ht="21.25" customHeight="1" x14ac:dyDescent="0.15">
      <c r="A12" s="10" t="s">
        <v>169</v>
      </c>
      <c r="B12" s="94" t="str" cm="1">
        <f t="array" ref="B12">VLOOKUP(A12,'The List'!B1:D671,3,FALSE)</f>
        <v>LW,RW</v>
      </c>
      <c r="C12" s="95" cm="1">
        <f t="array" ref="C12">IF(Settings!$E$15="POINTS",RANK(E12,E3:E210),H12)</f>
        <v>10</v>
      </c>
      <c r="D12" s="18" t="str" cm="1">
        <f t="array" ref="D12">VLOOKUP(A12,'The List'!B1:F671,5,FALSE)</f>
        <v>UTA</v>
      </c>
      <c r="E12" s="55" cm="1">
        <f t="array" ref="E12">VLOOKUP(A12,'The List'!B1:I671,8,FALSE)</f>
        <v>420.17530426193724</v>
      </c>
      <c r="F12" s="55" cm="1">
        <f t="array" ref="F12">IF(Settings!$E$15="POINTS",E12-VLOOKUP(B$2,C1:E210,3,FALSE),J12)</f>
        <v>20.862310948217157</v>
      </c>
      <c r="G12" s="55"/>
      <c r="H12" s="167" cm="1">
        <f t="array" ref="H12">RANK(I12,I3:I210)</f>
        <v>12</v>
      </c>
      <c r="I12" s="168" cm="1">
        <f t="array" ref="I12">VLOOKUP(A12,'Standard Deviations'!A1:C672,3,FALSE)</f>
        <v>7.9550365125768741</v>
      </c>
      <c r="J12" s="168" cm="1">
        <f t="array" ref="J12">I12-VLOOKUP(B$2,H1:J210,2,FALSE)</f>
        <v>0.78379310073321484</v>
      </c>
    </row>
    <row r="13" spans="1:10" ht="21.25" customHeight="1" x14ac:dyDescent="0.15">
      <c r="A13" s="10" t="s">
        <v>176</v>
      </c>
      <c r="B13" s="94" t="str" cm="1">
        <f t="array" ref="B13">VLOOKUP(A13,'The List'!B1:D671,3,FALSE)</f>
        <v>LW,RW</v>
      </c>
      <c r="C13" s="95" cm="1">
        <f t="array" ref="C13">IF(Settings!$E$15="POINTS",RANK(E13,E3:E210),H13)</f>
        <v>11</v>
      </c>
      <c r="D13" s="18" t="str" cm="1">
        <f t="array" ref="D13">VLOOKUP(A13,'The List'!B1:F671,5,FALSE)</f>
        <v>DET</v>
      </c>
      <c r="E13" s="55" cm="1">
        <f t="array" ref="E13">VLOOKUP(A13,'The List'!B1:I671,8,FALSE)</f>
        <v>414.42600016670809</v>
      </c>
      <c r="F13" s="55" cm="1">
        <f t="array" ref="F13">IF(Settings!$E$15="POINTS",E13-VLOOKUP(B$2,C1:E210,3,FALSE),J13)</f>
        <v>15.113006852988008</v>
      </c>
      <c r="G13" s="55"/>
      <c r="H13" s="167" cm="1">
        <f t="array" ref="H13">RANK(I13,I3:I210)</f>
        <v>19</v>
      </c>
      <c r="I13" s="168" cm="1">
        <f t="array" ref="I13">VLOOKUP(A13,'Standard Deviations'!A1:C672,3,FALSE)</f>
        <v>7.0210080392316865</v>
      </c>
      <c r="J13" s="168" cm="1">
        <f t="array" ref="J13">I13-VLOOKUP(B$2,H1:J210,2,FALSE)</f>
        <v>-0.15023537261197273</v>
      </c>
    </row>
    <row r="14" spans="1:10" ht="21.25" customHeight="1" x14ac:dyDescent="0.15">
      <c r="A14" s="10" t="s">
        <v>182</v>
      </c>
      <c r="B14" s="94" t="str" cm="1">
        <f t="array" ref="B14">VLOOKUP(A14,'The List'!B1:D671,3,FALSE)</f>
        <v>LW</v>
      </c>
      <c r="C14" s="95" cm="1">
        <f t="array" ref="C14">IF(Settings!$E$15="POINTS",RANK(E14,E3:E210),H14)</f>
        <v>12</v>
      </c>
      <c r="D14" s="18" t="str" cm="1">
        <f t="array" ref="D14">VLOOKUP(A14,'The List'!B1:F671,5,FALSE)</f>
        <v>L.A</v>
      </c>
      <c r="E14" s="55" cm="1">
        <f t="array" ref="E14">VLOOKUP(A14,'The List'!B1:I671,8,FALSE)</f>
        <v>414.13956054448539</v>
      </c>
      <c r="F14" s="55" cm="1">
        <f t="array" ref="F14">IF(Settings!$E$15="POINTS",E14-VLOOKUP(B$2,C1:E210,3,FALSE),J14)</f>
        <v>14.826567230765306</v>
      </c>
      <c r="G14" s="55"/>
      <c r="H14" s="167" cm="1">
        <f t="array" ref="H14">RANK(I14,I3:I210)</f>
        <v>24</v>
      </c>
      <c r="I14" s="168" cm="1">
        <f t="array" ref="I14">VLOOKUP(A14,'Standard Deviations'!A1:C672,3,FALSE)</f>
        <v>6.4898329739021241</v>
      </c>
      <c r="J14" s="168" cm="1">
        <f t="array" ref="J14">I14-VLOOKUP(B$2,H1:J210,2,FALSE)</f>
        <v>-0.68141043794153511</v>
      </c>
    </row>
    <row r="15" spans="1:10" ht="21.25" customHeight="1" x14ac:dyDescent="0.15">
      <c r="A15" s="10" t="s">
        <v>179</v>
      </c>
      <c r="B15" s="94" t="str" cm="1">
        <f t="array" ref="B15">VLOOKUP(A15,'The List'!B1:D671,3,FALSE)</f>
        <v>LW,RW</v>
      </c>
      <c r="C15" s="95" cm="1">
        <f t="array" ref="C15">IF(Settings!$E$15="POINTS",RANK(E15,E3:E210),H15)</f>
        <v>13</v>
      </c>
      <c r="D15" s="18" t="str" cm="1">
        <f t="array" ref="D15">VLOOKUP(A15,'The List'!B1:F671,5,FALSE)</f>
        <v>MTL</v>
      </c>
      <c r="E15" s="55" cm="1">
        <f t="array" ref="E15">VLOOKUP(A15,'The List'!B1:I671,8,FALSE)</f>
        <v>412.80847420064674</v>
      </c>
      <c r="F15" s="55" cm="1">
        <f t="array" ref="F15">IF(Settings!$E$15="POINTS",E15-VLOOKUP(B$2,C1:E210,3,FALSE),J15)</f>
        <v>13.495480886926657</v>
      </c>
      <c r="G15" s="55"/>
      <c r="H15" s="167" cm="1">
        <f t="array" ref="H15">RANK(I15,I3:I210)</f>
        <v>14</v>
      </c>
      <c r="I15" s="168" cm="1">
        <f t="array" ref="I15">VLOOKUP(A15,'Standard Deviations'!A1:C672,3,FALSE)</f>
        <v>7.3542571314399572</v>
      </c>
      <c r="J15" s="168" cm="1">
        <f t="array" ref="J15">I15-VLOOKUP(B$2,H1:J210,2,FALSE)</f>
        <v>0.18301371959629797</v>
      </c>
    </row>
    <row r="16" spans="1:10" ht="21.25" customHeight="1" x14ac:dyDescent="0.15">
      <c r="A16" s="10" t="s">
        <v>185</v>
      </c>
      <c r="B16" s="94" t="str" cm="1">
        <f t="array" ref="B16">VLOOKUP(A16,'The List'!B1:D671,3,FALSE)</f>
        <v>LW,RW</v>
      </c>
      <c r="C16" s="95" cm="1">
        <f t="array" ref="C16">IF(Settings!$E$15="POINTS",RANK(E16,E3:E210),H16)</f>
        <v>14</v>
      </c>
      <c r="D16" s="18" t="str" cm="1">
        <f t="array" ref="D16">VLOOKUP(A16,'The List'!B1:F671,5,FALSE)</f>
        <v>FLA</v>
      </c>
      <c r="E16" s="55" cm="1">
        <f t="array" ref="E16">VLOOKUP(A16,'The List'!B1:I671,8,FALSE)</f>
        <v>409.03605123904606</v>
      </c>
      <c r="F16" s="55" cm="1">
        <f t="array" ref="F16">IF(Settings!$E$15="POINTS",E16-VLOOKUP(B$2,C1:E210,3,FALSE),J16)</f>
        <v>9.7230579253259748</v>
      </c>
      <c r="G16" s="55"/>
      <c r="H16" s="167" cm="1">
        <f t="array" ref="H16">RANK(I16,I3:I210)</f>
        <v>6</v>
      </c>
      <c r="I16" s="168" cm="1">
        <f t="array" ref="I16">VLOOKUP(A16,'Standard Deviations'!A1:C672,3,FALSE)</f>
        <v>10.159290277344384</v>
      </c>
      <c r="J16" s="168" cm="1">
        <f t="array" ref="J16">I16-VLOOKUP(B$2,H1:J210,2,FALSE)</f>
        <v>2.9880468655007251</v>
      </c>
    </row>
    <row r="17" spans="1:10" ht="21.25" customHeight="1" x14ac:dyDescent="0.15">
      <c r="A17" s="10" t="s">
        <v>190</v>
      </c>
      <c r="B17" s="94" t="str" cm="1">
        <f t="array" ref="B17">VLOOKUP(A17,'The List'!B1:D671,3,FALSE)</f>
        <v>LW</v>
      </c>
      <c r="C17" s="95" cm="1">
        <f t="array" ref="C17">IF(Settings!$E$15="POINTS",RANK(E17,E3:E210),H17)</f>
        <v>15</v>
      </c>
      <c r="D17" s="18" t="str" cm="1">
        <f t="array" ref="D17">VLOOKUP(A17,'The List'!B1:F671,5,FALSE)</f>
        <v>NSH</v>
      </c>
      <c r="E17" s="55" cm="1">
        <f t="array" ref="E17">VLOOKUP(A17,'The List'!B1:I671,8,FALSE)</f>
        <v>409.00654484962962</v>
      </c>
      <c r="F17" s="55" cm="1">
        <f t="array" ref="F17">IF(Settings!$E$15="POINTS",E17-VLOOKUP(B$2,C1:E210,3,FALSE),J17)</f>
        <v>9.6935515359095348</v>
      </c>
      <c r="G17" s="55"/>
      <c r="H17" s="167" cm="1">
        <f t="array" ref="H17">RANK(I17,I3:I210)</f>
        <v>21</v>
      </c>
      <c r="I17" s="168" cm="1">
        <f t="array" ref="I17">VLOOKUP(A17,'Standard Deviations'!A1:C672,3,FALSE)</f>
        <v>6.9685181931353144</v>
      </c>
      <c r="J17" s="168" cm="1">
        <f t="array" ref="J17">I17-VLOOKUP(B$2,H1:J210,2,FALSE)</f>
        <v>-0.20272521870834481</v>
      </c>
    </row>
    <row r="18" spans="1:10" ht="21.25" customHeight="1" x14ac:dyDescent="0.15">
      <c r="A18" s="10" t="s">
        <v>188</v>
      </c>
      <c r="B18" s="94" t="str" cm="1">
        <f t="array" ref="B18">VLOOKUP(A18,'The List'!B1:D671,3,FALSE)</f>
        <v>C,LW,RW</v>
      </c>
      <c r="C18" s="95" cm="1">
        <f t="array" ref="C18">IF(Settings!$E$15="POINTS",RANK(E18,E3:E210),H18)</f>
        <v>16</v>
      </c>
      <c r="D18" s="18" t="str" cm="1">
        <f t="array" ref="D18">VLOOKUP(A18,'The List'!B1:F671,5,FALSE)</f>
        <v>VGK</v>
      </c>
      <c r="E18" s="55" cm="1">
        <f t="array" ref="E18">VLOOKUP(A18,'The List'!B1:I671,8,FALSE)</f>
        <v>407.01221704076733</v>
      </c>
      <c r="F18" s="55" cm="1">
        <f t="array" ref="F18">IF(Settings!$E$15="POINTS",E18-VLOOKUP(B$2,C1:E210,3,FALSE),J18)</f>
        <v>7.6992237270472401</v>
      </c>
      <c r="G18" s="55"/>
      <c r="H18" s="167" cm="1">
        <f t="array" ref="H18">RANK(I18,I3:I210)</f>
        <v>16</v>
      </c>
      <c r="I18" s="168" cm="1">
        <f t="array" ref="I18">VLOOKUP(A18,'Standard Deviations'!A1:C672,3,FALSE)</f>
        <v>7.3167480216897305</v>
      </c>
      <c r="J18" s="168" cm="1">
        <f t="array" ref="J18">I18-VLOOKUP(B$2,H1:J210,2,FALSE)</f>
        <v>0.14550460984607128</v>
      </c>
    </row>
    <row r="19" spans="1:10" ht="21.25" customHeight="1" x14ac:dyDescent="0.15">
      <c r="A19" s="10" t="s">
        <v>192</v>
      </c>
      <c r="B19" s="94" t="str" cm="1">
        <f t="array" ref="B19">VLOOKUP(A19,'The List'!B1:D671,3,FALSE)</f>
        <v>LW,RW</v>
      </c>
      <c r="C19" s="95" cm="1">
        <f t="array" ref="C19">IF(Settings!$E$15="POINTS",RANK(E19,E3:E210),H19)</f>
        <v>17</v>
      </c>
      <c r="D19" s="18" t="str" cm="1">
        <f t="array" ref="D19">VLOOKUP(A19,'The List'!B1:F671,5,FALSE)</f>
        <v>T.B</v>
      </c>
      <c r="E19" s="55" cm="1">
        <f t="array" ref="E19">VLOOKUP(A19,'The List'!B1:I671,8,FALSE)</f>
        <v>399.31299331372009</v>
      </c>
      <c r="F19" s="55" cm="1">
        <f t="array" ref="F19">IF(Settings!$E$15="POINTS",E19-VLOOKUP(B$2,C1:E210,3,FALSE),J19)</f>
        <v>0</v>
      </c>
      <c r="G19" s="55"/>
      <c r="H19" s="167" cm="1">
        <f t="array" ref="H19">RANK(I19,I3:I210)</f>
        <v>10</v>
      </c>
      <c r="I19" s="168" cm="1">
        <f t="array" ref="I19">VLOOKUP(A19,'Standard Deviations'!A1:C672,3,FALSE)</f>
        <v>8.7150618533856807</v>
      </c>
      <c r="J19" s="168" cm="1">
        <f t="array" ref="J19">I19-VLOOKUP(B$2,H1:J210,2,FALSE)</f>
        <v>1.5438184415420215</v>
      </c>
    </row>
    <row r="20" spans="1:10" ht="21.25" customHeight="1" x14ac:dyDescent="0.15">
      <c r="A20" s="10" t="s">
        <v>195</v>
      </c>
      <c r="B20" s="94" t="str" cm="1">
        <f t="array" ref="B20">VLOOKUP(A20,'The List'!B1:D671,3,FALSE)</f>
        <v>LW,RW</v>
      </c>
      <c r="C20" s="95" cm="1">
        <f t="array" ref="C20">IF(Settings!$E$15="POINTS",RANK(E20,E3:E210),H20)</f>
        <v>18</v>
      </c>
      <c r="D20" s="18" t="str" cm="1">
        <f t="array" ref="D20">VLOOKUP(A20,'The List'!B1:F671,5,FALSE)</f>
        <v>T.B</v>
      </c>
      <c r="E20" s="55" cm="1">
        <f t="array" ref="E20">VLOOKUP(A20,'The List'!B1:I671,8,FALSE)</f>
        <v>397.59998409230695</v>
      </c>
      <c r="F20" s="55" cm="1">
        <f t="array" ref="F20">IF(Settings!$E$15="POINTS",E20-VLOOKUP(B$2,C1:E210,3,FALSE),J20)</f>
        <v>-1.7130092214131309</v>
      </c>
      <c r="G20" s="55"/>
      <c r="H20" s="167" cm="1">
        <f t="array" ref="H20">RANK(I20,I3:I210)</f>
        <v>7</v>
      </c>
      <c r="I20" s="168" cm="1">
        <f t="array" ref="I20">VLOOKUP(A20,'Standard Deviations'!A1:C672,3,FALSE)</f>
        <v>9.6746821991179619</v>
      </c>
      <c r="J20" s="168" cm="1">
        <f t="array" ref="J20">I20-VLOOKUP(B$2,H1:J210,2,FALSE)</f>
        <v>2.5034387872743027</v>
      </c>
    </row>
    <row r="21" spans="1:10" ht="21.25" customHeight="1" x14ac:dyDescent="0.15">
      <c r="A21" s="10" t="s">
        <v>211</v>
      </c>
      <c r="B21" s="94" t="str" cm="1">
        <f t="array" ref="B21">VLOOKUP(A21,'The List'!B1:D671,3,FALSE)</f>
        <v>C,LW</v>
      </c>
      <c r="C21" s="95" cm="1">
        <f t="array" ref="C21">IF(Settings!$E$15="POINTS",RANK(E21,E3:E210),H21)</f>
        <v>19</v>
      </c>
      <c r="D21" s="18" t="str" cm="1">
        <f t="array" ref="D21">VLOOKUP(A21,'The List'!B1:F671,5,FALSE)</f>
        <v>OTT</v>
      </c>
      <c r="E21" s="55" cm="1">
        <f t="array" ref="E21">VLOOKUP(A21,'The List'!B1:I671,8,FALSE)</f>
        <v>386.535206393083</v>
      </c>
      <c r="F21" s="55" cm="1">
        <f t="array" ref="F21">IF(Settings!$E$15="POINTS",E21-VLOOKUP(B$2,C1:E210,3,FALSE),J21)</f>
        <v>-12.777786920637084</v>
      </c>
      <c r="G21" s="55"/>
      <c r="H21" s="167" cm="1">
        <f t="array" ref="H21">RANK(I21,I3:I210)</f>
        <v>22</v>
      </c>
      <c r="I21" s="168" cm="1">
        <f t="array" ref="I21">VLOOKUP(A21,'Standard Deviations'!A1:C672,3,FALSE)</f>
        <v>6.9310667029514708</v>
      </c>
      <c r="J21" s="168" cm="1">
        <f t="array" ref="J21">I21-VLOOKUP(B$2,H1:J210,2,FALSE)</f>
        <v>-0.24017670889218845</v>
      </c>
    </row>
    <row r="22" spans="1:10" ht="21.25" customHeight="1" x14ac:dyDescent="0.15">
      <c r="A22" s="10" t="s">
        <v>210</v>
      </c>
      <c r="B22" s="94" t="str" cm="1">
        <f t="array" ref="B22">VLOOKUP(A22,'The List'!B1:D671,3,FALSE)</f>
        <v>LW,RW</v>
      </c>
      <c r="C22" s="95" cm="1">
        <f t="array" ref="C22">IF(Settings!$E$15="POINTS",RANK(E22,E3:E210),H22)</f>
        <v>20</v>
      </c>
      <c r="D22" s="18" t="str" cm="1">
        <f t="array" ref="D22">VLOOKUP(A22,'The List'!B1:F671,5,FALSE)</f>
        <v>N.J</v>
      </c>
      <c r="E22" s="55" cm="1">
        <f t="array" ref="E22">VLOOKUP(A22,'The List'!B1:I671,8,FALSE)</f>
        <v>383.46511643154287</v>
      </c>
      <c r="F22" s="55" cm="1">
        <f t="array" ref="F22">IF(Settings!$E$15="POINTS",E22-VLOOKUP(B$2,C1:E210,3,FALSE),J22)</f>
        <v>-15.847876882177218</v>
      </c>
      <c r="G22" s="55"/>
      <c r="H22" s="167" cm="1">
        <f t="array" ref="H22">RANK(I22,I3:I210)</f>
        <v>31</v>
      </c>
      <c r="I22" s="168" cm="1">
        <f t="array" ref="I22">VLOOKUP(A22,'Standard Deviations'!A1:C672,3,FALSE)</f>
        <v>4.9509929294211084</v>
      </c>
      <c r="J22" s="168" cm="1">
        <f t="array" ref="J22">I22-VLOOKUP(B$2,H1:J210,2,FALSE)</f>
        <v>-2.2202504824225509</v>
      </c>
    </row>
    <row r="23" spans="1:10" ht="21.25" customHeight="1" x14ac:dyDescent="0.15">
      <c r="A23" s="10" t="s">
        <v>223</v>
      </c>
      <c r="B23" s="94" t="str" cm="1">
        <f t="array" ref="B23">VLOOKUP(A23,'The List'!B1:D671,3,FALSE)</f>
        <v>LW</v>
      </c>
      <c r="C23" s="95" cm="1">
        <f t="array" ref="C23">IF(Settings!$E$15="POINTS",RANK(E23,E3:E210),H23)</f>
        <v>21</v>
      </c>
      <c r="D23" s="18" t="str" cm="1">
        <f t="array" ref="D23">VLOOKUP(A23,'The List'!B1:F671,5,FALSE)</f>
        <v>CAR</v>
      </c>
      <c r="E23" s="55" cm="1">
        <f t="array" ref="E23">VLOOKUP(A23,'The List'!B1:I671,8,FALSE)</f>
        <v>371.05732682391113</v>
      </c>
      <c r="F23" s="55" cm="1">
        <f t="array" ref="F23">IF(Settings!$E$15="POINTS",E23-VLOOKUP(B$2,C1:E210,3,FALSE),J23)</f>
        <v>-28.255666489808959</v>
      </c>
      <c r="G23" s="55"/>
      <c r="H23" s="167" cm="1">
        <f t="array" ref="H23">RANK(I23,I3:I210)</f>
        <v>23</v>
      </c>
      <c r="I23" s="168" cm="1">
        <f t="array" ref="I23">VLOOKUP(A23,'Standard Deviations'!A1:C672,3,FALSE)</f>
        <v>6.6280930244361942</v>
      </c>
      <c r="J23" s="168" cm="1">
        <f t="array" ref="J23">I23-VLOOKUP(B$2,H1:J210,2,FALSE)</f>
        <v>-0.54315038740746502</v>
      </c>
    </row>
    <row r="24" spans="1:10" ht="21.25" customHeight="1" x14ac:dyDescent="0.15">
      <c r="A24" s="10" t="s">
        <v>229</v>
      </c>
      <c r="B24" s="94" t="str" cm="1">
        <f t="array" ref="B24">VLOOKUP(A24,'The List'!B1:D671,3,FALSE)</f>
        <v>C,LW</v>
      </c>
      <c r="C24" s="95" cm="1">
        <f t="array" ref="C24">IF(Settings!$E$15="POINTS",RANK(E24,E3:E210),H24)</f>
        <v>22</v>
      </c>
      <c r="D24" s="18" t="str" cm="1">
        <f t="array" ref="D24">VLOOKUP(A24,'The List'!B1:F671,5,FALSE)</f>
        <v>FLA</v>
      </c>
      <c r="E24" s="55" cm="1">
        <f t="array" ref="E24">VLOOKUP(A24,'The List'!B1:I671,8,FALSE)</f>
        <v>366.09111973250168</v>
      </c>
      <c r="F24" s="55" cm="1">
        <f t="array" ref="F24">IF(Settings!$E$15="POINTS",E24-VLOOKUP(B$2,C1:E210,3,FALSE),J24)</f>
        <v>-33.221873581218404</v>
      </c>
      <c r="G24" s="55"/>
      <c r="H24" s="167" cm="1">
        <f t="array" ref="H24">RANK(I24,I3:I210)</f>
        <v>9</v>
      </c>
      <c r="I24" s="168" cm="1">
        <f t="array" ref="I24">VLOOKUP(A24,'Standard Deviations'!A1:C672,3,FALSE)</f>
        <v>9.2978897819713939</v>
      </c>
      <c r="J24" s="168" cm="1">
        <f t="array" ref="J24">I24-VLOOKUP(B$2,H1:J210,2,FALSE)</f>
        <v>2.1266463701277347</v>
      </c>
    </row>
    <row r="25" spans="1:10" ht="21.25" customHeight="1" x14ac:dyDescent="0.15">
      <c r="A25" s="10" t="s">
        <v>224</v>
      </c>
      <c r="B25" s="94" t="str" cm="1">
        <f t="array" ref="B25">VLOOKUP(A25,'The List'!B1:D671,3,FALSE)</f>
        <v>LW,RW</v>
      </c>
      <c r="C25" s="95" cm="1">
        <f t="array" ref="C25">IF(Settings!$E$15="POINTS",RANK(E25,E3:E210),H25)</f>
        <v>23</v>
      </c>
      <c r="D25" s="18" t="str" cm="1">
        <f t="array" ref="D25">VLOOKUP(A25,'The List'!B1:F671,5,FALSE)</f>
        <v>S.J</v>
      </c>
      <c r="E25" s="55" cm="1">
        <f t="array" ref="E25">VLOOKUP(A25,'The List'!B1:I671,8,FALSE)</f>
        <v>364.951912718291</v>
      </c>
      <c r="F25" s="55" cm="1">
        <f t="array" ref="F25">IF(Settings!$E$15="POINTS",E25-VLOOKUP(B$2,C1:E210,3,FALSE),J25)</f>
        <v>-34.361080595429087</v>
      </c>
      <c r="G25" s="55"/>
      <c r="H25" s="167" cm="1">
        <f t="array" ref="H25">RANK(I25,I3:I210)</f>
        <v>43</v>
      </c>
      <c r="I25" s="168" cm="1">
        <f t="array" ref="I25">VLOOKUP(A25,'Standard Deviations'!A1:C672,3,FALSE)</f>
        <v>3.9971968499738351</v>
      </c>
      <c r="J25" s="168" cm="1">
        <f t="array" ref="J25">I25-VLOOKUP(B$2,H1:J210,2,FALSE)</f>
        <v>-3.1740465618698241</v>
      </c>
    </row>
    <row r="26" spans="1:10" ht="21.25" customHeight="1" x14ac:dyDescent="0.15">
      <c r="A26" s="10" t="s">
        <v>231</v>
      </c>
      <c r="B26" s="94" t="str" cm="1">
        <f t="array" ref="B26">VLOOKUP(A26,'The List'!B1:D671,3,FALSE)</f>
        <v>LW,RW</v>
      </c>
      <c r="C26" s="95" cm="1">
        <f t="array" ref="C26">IF(Settings!$E$15="POINTS",RANK(E26,E3:E210),H26)</f>
        <v>24</v>
      </c>
      <c r="D26" s="18" t="str" cm="1">
        <f t="array" ref="D26">VLOOKUP(A26,'The List'!B1:F671,5,FALSE)</f>
        <v>MTL</v>
      </c>
      <c r="E26" s="55" cm="1">
        <f t="array" ref="E26">VLOOKUP(A26,'The List'!B1:I671,8,FALSE)</f>
        <v>358.74625324759126</v>
      </c>
      <c r="F26" s="55" cm="1">
        <f t="array" ref="F26">IF(Settings!$E$15="POINTS",E26-VLOOKUP(B$2,C1:E210,3,FALSE),J26)</f>
        <v>-40.56674006612883</v>
      </c>
      <c r="G26" s="55"/>
      <c r="H26" s="167" cm="1">
        <f t="array" ref="H26">RANK(I26,I3:I210)</f>
        <v>15</v>
      </c>
      <c r="I26" s="168" cm="1">
        <f t="array" ref="I26">VLOOKUP(A26,'Standard Deviations'!A1:C672,3,FALSE)</f>
        <v>7.3390280628720319</v>
      </c>
      <c r="J26" s="168" cm="1">
        <f t="array" ref="J26">I26-VLOOKUP(B$2,H1:J210,2,FALSE)</f>
        <v>0.1677846510283727</v>
      </c>
    </row>
    <row r="27" spans="1:10" ht="21.25" customHeight="1" x14ac:dyDescent="0.15">
      <c r="A27" s="10" t="s">
        <v>243</v>
      </c>
      <c r="B27" s="94" t="str" cm="1">
        <f t="array" ref="B27">VLOOKUP(A27,'The List'!B1:D671,3,FALSE)</f>
        <v>C,LW</v>
      </c>
      <c r="C27" s="95" cm="1">
        <f t="array" ref="C27">IF(Settings!$E$15="POINTS",RANK(E27,E3:E210),H27)</f>
        <v>25</v>
      </c>
      <c r="D27" s="18" t="str" cm="1">
        <f t="array" ref="D27">VLOOKUP(A27,'The List'!B1:F671,5,FALSE)</f>
        <v>STL</v>
      </c>
      <c r="E27" s="55" cm="1">
        <f t="array" ref="E27">VLOOKUP(A27,'The List'!B1:I671,8,FALSE)</f>
        <v>352.95616804074433</v>
      </c>
      <c r="F27" s="55" cm="1">
        <f t="array" ref="F27">IF(Settings!$E$15="POINTS",E27-VLOOKUP(B$2,C1:E210,3,FALSE),J27)</f>
        <v>-46.356825272975755</v>
      </c>
      <c r="G27" s="55"/>
      <c r="H27" s="167" cm="1">
        <f t="array" ref="H27">RANK(I27,I3:I210)</f>
        <v>36</v>
      </c>
      <c r="I27" s="168" cm="1">
        <f t="array" ref="I27">VLOOKUP(A27,'Standard Deviations'!A1:C672,3,FALSE)</f>
        <v>4.4102872660938832</v>
      </c>
      <c r="J27" s="168" cm="1">
        <f t="array" ref="J27">I27-VLOOKUP(B$2,H1:J210,2,FALSE)</f>
        <v>-2.760956145749776</v>
      </c>
    </row>
    <row r="28" spans="1:10" ht="21.25" customHeight="1" x14ac:dyDescent="0.15">
      <c r="A28" s="10" t="s">
        <v>240</v>
      </c>
      <c r="B28" s="94" t="str" cm="1">
        <f t="array" ref="B28">VLOOKUP(A28,'The List'!B1:D671,3,FALSE)</f>
        <v>LW,RW</v>
      </c>
      <c r="C28" s="95" cm="1">
        <f t="array" ref="C28">IF(Settings!$E$15="POINTS",RANK(E28,E3:E210),H28)</f>
        <v>26</v>
      </c>
      <c r="D28" s="18" t="str" cm="1">
        <f t="array" ref="D28">VLOOKUP(A28,'The List'!B1:F671,5,FALSE)</f>
        <v>NYR</v>
      </c>
      <c r="E28" s="55" cm="1">
        <f t="array" ref="E28">VLOOKUP(A28,'The List'!B1:I671,8,FALSE)</f>
        <v>350.73301740046213</v>
      </c>
      <c r="F28" s="55" cm="1">
        <f t="array" ref="F28">IF(Settings!$E$15="POINTS",E28-VLOOKUP(B$2,C1:E210,3,FALSE),J28)</f>
        <v>-48.579975913257954</v>
      </c>
      <c r="G28" s="55"/>
      <c r="H28" s="167" cm="1">
        <f t="array" ref="H28">RANK(I28,I3:I210)</f>
        <v>28</v>
      </c>
      <c r="I28" s="168" cm="1">
        <f t="array" ref="I28">VLOOKUP(A28,'Standard Deviations'!A1:C672,3,FALSE)</f>
        <v>5.4906433599230553</v>
      </c>
      <c r="J28" s="168" cm="1">
        <f t="array" ref="J28">I28-VLOOKUP(B$2,H1:J210,2,FALSE)</f>
        <v>-1.6806000519206039</v>
      </c>
    </row>
    <row r="29" spans="1:10" ht="21.25" customHeight="1" x14ac:dyDescent="0.15">
      <c r="A29" s="10" t="s">
        <v>249</v>
      </c>
      <c r="B29" s="94" t="str" cm="1">
        <f t="array" ref="B29">VLOOKUP(A29,'The List'!B1:D671,3,FALSE)</f>
        <v>LW,RW</v>
      </c>
      <c r="C29" s="95" cm="1">
        <f t="array" ref="C29">IF(Settings!$E$15="POINTS",RANK(E29,E3:E210),H29)</f>
        <v>27</v>
      </c>
      <c r="D29" s="18" t="str" cm="1">
        <f t="array" ref="D29">VLOOKUP(A29,'The List'!B1:F671,5,FALSE)</f>
        <v>NYR</v>
      </c>
      <c r="E29" s="55" cm="1">
        <f t="array" ref="E29">VLOOKUP(A29,'The List'!B1:I671,8,FALSE)</f>
        <v>343.14960212091603</v>
      </c>
      <c r="F29" s="55" cm="1">
        <f t="array" ref="F29">IF(Settings!$E$15="POINTS",E29-VLOOKUP(B$2,C1:E210,3,FALSE),J29)</f>
        <v>-56.163391192804056</v>
      </c>
      <c r="G29" s="55"/>
      <c r="H29" s="167" cm="1">
        <f t="array" ref="H29">RANK(I29,I3:I210)</f>
        <v>35</v>
      </c>
      <c r="I29" s="168" cm="1">
        <f t="array" ref="I29">VLOOKUP(A29,'Standard Deviations'!A1:C672,3,FALSE)</f>
        <v>4.4326981710898519</v>
      </c>
      <c r="J29" s="168" cm="1">
        <f t="array" ref="J29">I29-VLOOKUP(B$2,H1:J210,2,FALSE)</f>
        <v>-2.7385452407538073</v>
      </c>
    </row>
    <row r="30" spans="1:10" ht="21.25" customHeight="1" x14ac:dyDescent="0.15">
      <c r="A30" s="10" t="s">
        <v>252</v>
      </c>
      <c r="B30" s="94" t="str" cm="1">
        <f t="array" ref="B30">VLOOKUP(A30,'The List'!B1:D671,3,FALSE)</f>
        <v>LW,RW</v>
      </c>
      <c r="C30" s="95" cm="1">
        <f t="array" ref="C30">IF(Settings!$E$15="POINTS",RANK(E30,E3:E210),H30)</f>
        <v>28</v>
      </c>
      <c r="D30" s="18" t="str" cm="1">
        <f t="array" ref="D30">VLOOKUP(A30,'The List'!B1:F671,5,FALSE)</f>
        <v>WSH</v>
      </c>
      <c r="E30" s="55" cm="1">
        <f t="array" ref="E30">VLOOKUP(A30,'The List'!B1:I671,8,FALSE)</f>
        <v>341.64947380082634</v>
      </c>
      <c r="F30" s="55" cm="1">
        <f t="array" ref="F30">IF(Settings!$E$15="POINTS",E30-VLOOKUP(B$2,C1:E210,3,FALSE),J30)</f>
        <v>-57.663519512893743</v>
      </c>
      <c r="G30" s="55"/>
      <c r="H30" s="167" cm="1">
        <f t="array" ref="H30">RANK(I30,I3:I210)</f>
        <v>25</v>
      </c>
      <c r="I30" s="168" cm="1">
        <f t="array" ref="I30">VLOOKUP(A30,'Standard Deviations'!A1:C672,3,FALSE)</f>
        <v>6.1969769574687206</v>
      </c>
      <c r="J30" s="168" cm="1">
        <f t="array" ref="J30">I30-VLOOKUP(B$2,H1:J210,2,FALSE)</f>
        <v>-0.97426645437493864</v>
      </c>
    </row>
    <row r="31" spans="1:10" ht="21.25" customHeight="1" x14ac:dyDescent="0.15">
      <c r="A31" s="10" t="s">
        <v>258</v>
      </c>
      <c r="B31" s="94" t="str" cm="1">
        <f t="array" ref="B31">VLOOKUP(A31,'The List'!B1:D671,3,FALSE)</f>
        <v>C,LW,RW</v>
      </c>
      <c r="C31" s="95" cm="1">
        <f t="array" ref="C31">IF(Settings!$E$15="POINTS",RANK(E31,E3:E210),H31)</f>
        <v>29</v>
      </c>
      <c r="D31" s="18" t="str" cm="1">
        <f t="array" ref="D31">VLOOKUP(A31,'The List'!B1:F671,5,FALSE)</f>
        <v>NYR</v>
      </c>
      <c r="E31" s="55" cm="1">
        <f t="array" ref="E31">VLOOKUP(A31,'The List'!B1:I671,8,FALSE)</f>
        <v>340.14791021061484</v>
      </c>
      <c r="F31" s="55" cm="1">
        <f t="array" ref="F31">IF(Settings!$E$15="POINTS",E31-VLOOKUP(B$2,C1:E210,3,FALSE),J31)</f>
        <v>-59.165083103105246</v>
      </c>
      <c r="G31" s="55"/>
      <c r="H31" s="167" cm="1">
        <f t="array" ref="H31">RANK(I31,I3:I210)</f>
        <v>29</v>
      </c>
      <c r="I31" s="168" cm="1">
        <f t="array" ref="I31">VLOOKUP(A31,'Standard Deviations'!A1:C672,3,FALSE)</f>
        <v>5.4216675799283403</v>
      </c>
      <c r="J31" s="168" cm="1">
        <f t="array" ref="J31">I31-VLOOKUP(B$2,H1:J210,2,FALSE)</f>
        <v>-1.749575831915319</v>
      </c>
    </row>
    <row r="32" spans="1:10" ht="21.25" customHeight="1" x14ac:dyDescent="0.15">
      <c r="A32" s="10" t="s">
        <v>261</v>
      </c>
      <c r="B32" s="94" t="str" cm="1">
        <f t="array" ref="B32">VLOOKUP(A32,'The List'!B1:D671,3,FALSE)</f>
        <v>LW,RW</v>
      </c>
      <c r="C32" s="95" cm="1">
        <f t="array" ref="C32">IF(Settings!$E$15="POINTS",RANK(E32,E3:E210),H32)</f>
        <v>30</v>
      </c>
      <c r="D32" s="18" t="str" cm="1">
        <f t="array" ref="D32">VLOOKUP(A32,'The List'!B1:F671,5,FALSE)</f>
        <v>CAR</v>
      </c>
      <c r="E32" s="55" cm="1">
        <f t="array" ref="E32">VLOOKUP(A32,'The List'!B1:I671,8,FALSE)</f>
        <v>339.0866770659722</v>
      </c>
      <c r="F32" s="55" cm="1">
        <f t="array" ref="F32">IF(Settings!$E$15="POINTS",E32-VLOOKUP(B$2,C1:E210,3,FALSE),J32)</f>
        <v>-60.226316247747889</v>
      </c>
      <c r="G32" s="55"/>
      <c r="H32" s="167" cm="1">
        <f t="array" ref="H32">RANK(I32,I3:I210)</f>
        <v>13</v>
      </c>
      <c r="I32" s="168" cm="1">
        <f t="array" ref="I32">VLOOKUP(A32,'Standard Deviations'!A1:C672,3,FALSE)</f>
        <v>7.8970854871801111</v>
      </c>
      <c r="J32" s="168" cm="1">
        <f t="array" ref="J32">I32-VLOOKUP(B$2,H1:J210,2,FALSE)</f>
        <v>0.72584207533645184</v>
      </c>
    </row>
    <row r="33" spans="1:10" ht="21.25" customHeight="1" x14ac:dyDescent="0.15">
      <c r="A33" s="10" t="s">
        <v>265</v>
      </c>
      <c r="B33" s="94" t="str" cm="1">
        <f t="array" ref="B33">VLOOKUP(A33,'The List'!B1:D671,3,FALSE)</f>
        <v>LW,RW</v>
      </c>
      <c r="C33" s="95" cm="1">
        <f t="array" ref="C33">IF(Settings!$E$15="POINTS",RANK(E33,E3:E210),H33)</f>
        <v>31</v>
      </c>
      <c r="D33" s="18" t="str" cm="1">
        <f t="array" ref="D33">VLOOKUP(A33,'The List'!B1:F671,5,FALSE)</f>
        <v>PHI</v>
      </c>
      <c r="E33" s="55" cm="1">
        <f t="array" ref="E33">VLOOKUP(A33,'The List'!B1:I671,8,FALSE)</f>
        <v>337.69603310818508</v>
      </c>
      <c r="F33" s="55" cm="1">
        <f t="array" ref="F33">IF(Settings!$E$15="POINTS",E33-VLOOKUP(B$2,C1:E210,3,FALSE),J33)</f>
        <v>-61.616960205535008</v>
      </c>
      <c r="G33" s="55"/>
      <c r="H33" s="167" cm="1">
        <f t="array" ref="H33">RANK(I33,I3:I210)</f>
        <v>32</v>
      </c>
      <c r="I33" s="168" cm="1">
        <f t="array" ref="I33">VLOOKUP(A33,'Standard Deviations'!A1:C672,3,FALSE)</f>
        <v>4.9504733272307719</v>
      </c>
      <c r="J33" s="168" cm="1">
        <f t="array" ref="J33">I33-VLOOKUP(B$2,H1:J210,2,FALSE)</f>
        <v>-2.2207700846128873</v>
      </c>
    </row>
    <row r="34" spans="1:10" ht="21.25" customHeight="1" x14ac:dyDescent="0.15">
      <c r="A34" s="10" t="s">
        <v>267</v>
      </c>
      <c r="B34" s="94" t="str" cm="1">
        <f t="array" ref="B34">VLOOKUP(A34,'The List'!B1:D671,3,FALSE)</f>
        <v>C,LW,RW</v>
      </c>
      <c r="C34" s="95" cm="1">
        <f t="array" ref="C34">IF(Settings!$E$15="POINTS",RANK(E34,E3:E210),H34)</f>
        <v>32</v>
      </c>
      <c r="D34" s="18" t="str" cm="1">
        <f t="array" ref="D34">VLOOKUP(A34,'The List'!B1:F671,5,FALSE)</f>
        <v>PIT</v>
      </c>
      <c r="E34" s="55" cm="1">
        <f t="array" ref="E34">VLOOKUP(A34,'The List'!B1:I671,8,FALSE)</f>
        <v>336.99772010800154</v>
      </c>
      <c r="F34" s="55" cm="1">
        <f t="array" ref="F34">IF(Settings!$E$15="POINTS",E34-VLOOKUP(B$2,C1:E210,3,FALSE),J34)</f>
        <v>-62.31527320571854</v>
      </c>
      <c r="G34" s="55"/>
      <c r="H34" s="167" cm="1">
        <f t="array" ref="H34">RANK(I34,I3:I210)</f>
        <v>46</v>
      </c>
      <c r="I34" s="168" cm="1">
        <f t="array" ref="I34">VLOOKUP(A34,'Standard Deviations'!A1:C672,3,FALSE)</f>
        <v>3.5684802742122872</v>
      </c>
      <c r="J34" s="168" cm="1">
        <f t="array" ref="J34">I34-VLOOKUP(B$2,H1:J210,2,FALSE)</f>
        <v>-3.602763137631372</v>
      </c>
    </row>
    <row r="35" spans="1:10" ht="21.25" customHeight="1" x14ac:dyDescent="0.15">
      <c r="A35" s="10" t="s">
        <v>271</v>
      </c>
      <c r="B35" s="94" t="str" cm="1">
        <f t="array" ref="B35">VLOOKUP(A35,'The List'!B1:D671,3,FALSE)</f>
        <v>LW,RW</v>
      </c>
      <c r="C35" s="95" cm="1">
        <f t="array" ref="C35">IF(Settings!$E$15="POINTS",RANK(E35,E3:E210),H35)</f>
        <v>33</v>
      </c>
      <c r="D35" s="18" t="str" cm="1">
        <f t="array" ref="D35">VLOOKUP(A35,'The List'!B1:F671,5,FALSE)</f>
        <v>EDM</v>
      </c>
      <c r="E35" s="55" cm="1">
        <f t="array" ref="E35">VLOOKUP(A35,'The List'!B1:I671,8,FALSE)</f>
        <v>334.07665101179299</v>
      </c>
      <c r="F35" s="55" cm="1">
        <f t="array" ref="F35">IF(Settings!$E$15="POINTS",E35-VLOOKUP(B$2,C1:E210,3,FALSE),J35)</f>
        <v>-65.236342301927095</v>
      </c>
      <c r="G35" s="55"/>
      <c r="H35" s="167" cm="1">
        <f t="array" ref="H35">RANK(I35,I3:I210)</f>
        <v>20</v>
      </c>
      <c r="I35" s="168" cm="1">
        <f t="array" ref="I35">VLOOKUP(A35,'Standard Deviations'!A1:C672,3,FALSE)</f>
        <v>7.0008688448509817</v>
      </c>
      <c r="J35" s="168" cm="1">
        <f t="array" ref="J35">I35-VLOOKUP(B$2,H1:J210,2,FALSE)</f>
        <v>-0.1703745669926775</v>
      </c>
    </row>
    <row r="36" spans="1:10" ht="21.25" customHeight="1" x14ac:dyDescent="0.15">
      <c r="A36" s="10" t="s">
        <v>277</v>
      </c>
      <c r="B36" s="94" t="str" cm="1">
        <f t="array" ref="B36">VLOOKUP(A36,'The List'!B1:D671,3,FALSE)</f>
        <v>LW,RW</v>
      </c>
      <c r="C36" s="95" cm="1">
        <f t="array" ref="C36">IF(Settings!$E$15="POINTS",RANK(E36,E3:E210),H36)</f>
        <v>34</v>
      </c>
      <c r="D36" s="18" t="str" cm="1">
        <f t="array" ref="D36">VLOOKUP(A36,'The List'!B1:F671,5,FALSE)</f>
        <v>N.J</v>
      </c>
      <c r="E36" s="55" cm="1">
        <f t="array" ref="E36">VLOOKUP(A36,'The List'!B1:I671,8,FALSE)</f>
        <v>328.25462042837142</v>
      </c>
      <c r="F36" s="55" cm="1">
        <f t="array" ref="F36">IF(Settings!$E$15="POINTS",E36-VLOOKUP(B$2,C1:E210,3,FALSE),J36)</f>
        <v>-71.05837288534866</v>
      </c>
      <c r="G36" s="55"/>
      <c r="H36" s="167" cm="1">
        <f t="array" ref="H36">RANK(I36,I3:I210)</f>
        <v>40</v>
      </c>
      <c r="I36" s="168" cm="1">
        <f t="array" ref="I36">VLOOKUP(A36,'Standard Deviations'!A1:C672,3,FALSE)</f>
        <v>4.1195107659796628</v>
      </c>
      <c r="J36" s="168" cm="1">
        <f t="array" ref="J36">I36-VLOOKUP(B$2,H1:J210,2,FALSE)</f>
        <v>-3.0517326458639964</v>
      </c>
    </row>
    <row r="37" spans="1:10" ht="21.25" customHeight="1" x14ac:dyDescent="0.15">
      <c r="A37" s="10" t="s">
        <v>278</v>
      </c>
      <c r="B37" s="94" t="str" cm="1">
        <f t="array" ref="B37">VLOOKUP(A37,'The List'!B1:D671,3,FALSE)</f>
        <v>C,LW,RW</v>
      </c>
      <c r="C37" s="95" cm="1">
        <f t="array" ref="C37">IF(Settings!$E$15="POINTS",RANK(E37,E3:E210),H37)</f>
        <v>35</v>
      </c>
      <c r="D37" s="18" t="str" cm="1">
        <f t="array" ref="D37">VLOOKUP(A37,'The List'!B1:F671,5,FALSE)</f>
        <v>BOS</v>
      </c>
      <c r="E37" s="55" cm="1">
        <f t="array" ref="E37">VLOOKUP(A37,'The List'!B1:I671,8,FALSE)</f>
        <v>327.74700676153907</v>
      </c>
      <c r="F37" s="55" cm="1">
        <f t="array" ref="F37">IF(Settings!$E$15="POINTS",E37-VLOOKUP(B$2,C1:E210,3,FALSE),J37)</f>
        <v>-71.565986552181016</v>
      </c>
      <c r="G37" s="55"/>
      <c r="H37" s="167" cm="1">
        <f t="array" ref="H37">RANK(I37,I3:I210)</f>
        <v>45</v>
      </c>
      <c r="I37" s="168" cm="1">
        <f t="array" ref="I37">VLOOKUP(A37,'Standard Deviations'!A1:C672,3,FALSE)</f>
        <v>3.5710589707507894</v>
      </c>
      <c r="J37" s="168" cm="1">
        <f t="array" ref="J37">I37-VLOOKUP(B$2,H1:J210,2,FALSE)</f>
        <v>-3.6001844410928698</v>
      </c>
    </row>
    <row r="38" spans="1:10" ht="21.25" customHeight="1" x14ac:dyDescent="0.15">
      <c r="A38" s="10" t="s">
        <v>283</v>
      </c>
      <c r="B38" s="94" t="str" cm="1">
        <f t="array" ref="B38">VLOOKUP(A38,'The List'!B1:D671,3,FALSE)</f>
        <v>C,LW</v>
      </c>
      <c r="C38" s="95" cm="1">
        <f t="array" ref="C38">IF(Settings!$E$15="POINTS",RANK(E38,E3:E210),H38)</f>
        <v>36</v>
      </c>
      <c r="D38" s="18" t="str" cm="1">
        <f t="array" ref="D38">VLOOKUP(A38,'The List'!B1:F671,5,FALSE)</f>
        <v>VGK</v>
      </c>
      <c r="E38" s="55" cm="1">
        <f t="array" ref="E38">VLOOKUP(A38,'The List'!B1:I671,8,FALSE)</f>
        <v>327.58703595649564</v>
      </c>
      <c r="F38" s="55" cm="1">
        <f t="array" ref="F38">IF(Settings!$E$15="POINTS",E38-VLOOKUP(B$2,C1:E210,3,FALSE),J38)</f>
        <v>-71.725957357224445</v>
      </c>
      <c r="G38" s="55"/>
      <c r="H38" s="167" cm="1">
        <f t="array" ref="H38">RANK(I38,I3:I210)</f>
        <v>33</v>
      </c>
      <c r="I38" s="168" cm="1">
        <f t="array" ref="I38">VLOOKUP(A38,'Standard Deviations'!A1:C672,3,FALSE)</f>
        <v>4.7118209443490455</v>
      </c>
      <c r="J38" s="168" cm="1">
        <f t="array" ref="J38">I38-VLOOKUP(B$2,H1:J210,2,FALSE)</f>
        <v>-2.4594224674946137</v>
      </c>
    </row>
    <row r="39" spans="1:10" ht="21.25" customHeight="1" x14ac:dyDescent="0.15">
      <c r="A39" s="10" t="s">
        <v>279</v>
      </c>
      <c r="B39" s="94" t="str" cm="1">
        <f t="array" ref="B39">VLOOKUP(A39,'The List'!B1:D671,3,FALSE)</f>
        <v>C,LW,RW</v>
      </c>
      <c r="C39" s="95" cm="1">
        <f t="array" ref="C39">IF(Settings!$E$15="POINTS",RANK(E39,E3:E210),H39)</f>
        <v>37</v>
      </c>
      <c r="D39" s="18" t="str" cm="1">
        <f t="array" ref="D39">VLOOKUP(A39,'The List'!B1:F671,5,FALSE)</f>
        <v>PIT</v>
      </c>
      <c r="E39" s="55" cm="1">
        <f t="array" ref="E39">VLOOKUP(A39,'The List'!B1:I671,8,FALSE)</f>
        <v>326.92211895558961</v>
      </c>
      <c r="F39" s="55" cm="1">
        <f t="array" ref="F39">IF(Settings!$E$15="POINTS",E39-VLOOKUP(B$2,C1:E210,3,FALSE),J39)</f>
        <v>-72.390874358130475</v>
      </c>
      <c r="G39" s="55"/>
      <c r="H39" s="167" cm="1">
        <f t="array" ref="H39">RANK(I39,I3:I210)</f>
        <v>26</v>
      </c>
      <c r="I39" s="168" cm="1">
        <f t="array" ref="I39">VLOOKUP(A39,'Standard Deviations'!A1:C672,3,FALSE)</f>
        <v>5.5975504414883082</v>
      </c>
      <c r="J39" s="168" cm="1">
        <f t="array" ref="J39">I39-VLOOKUP(B$2,H1:J210,2,FALSE)</f>
        <v>-1.5736929703553511</v>
      </c>
    </row>
    <row r="40" spans="1:10" ht="21.25" customHeight="1" x14ac:dyDescent="0.15">
      <c r="A40" s="10" t="s">
        <v>280</v>
      </c>
      <c r="B40" s="94" t="str" cm="1">
        <f t="array" ref="B40">VLOOKUP(A40,'The List'!B1:D671,3,FALSE)</f>
        <v>LW,RW</v>
      </c>
      <c r="C40" s="95" cm="1">
        <f t="array" ref="C40">IF(Settings!$E$15="POINTS",RANK(E40,E3:E210),H40)</f>
        <v>38</v>
      </c>
      <c r="D40" s="18" t="str" cm="1">
        <f t="array" ref="D40">VLOOKUP(A40,'The List'!B1:F671,5,FALSE)</f>
        <v>TOR</v>
      </c>
      <c r="E40" s="55" cm="1">
        <f t="array" ref="E40">VLOOKUP(A40,'The List'!B1:I671,8,FALSE)</f>
        <v>325.83447150064848</v>
      </c>
      <c r="F40" s="55" cm="1">
        <f t="array" ref="F40">IF(Settings!$E$15="POINTS",E40-VLOOKUP(B$2,C1:E210,3,FALSE),J40)</f>
        <v>-73.478521813071609</v>
      </c>
      <c r="G40" s="55"/>
      <c r="H40" s="167" cm="1">
        <f t="array" ref="H40">RANK(I40,I3:I210)</f>
        <v>42</v>
      </c>
      <c r="I40" s="168" cm="1">
        <f t="array" ref="I40">VLOOKUP(A40,'Standard Deviations'!A1:C672,3,FALSE)</f>
        <v>4.0588527634139435</v>
      </c>
      <c r="J40" s="168" cm="1">
        <f t="array" ref="J40">I40-VLOOKUP(B$2,H1:J210,2,FALSE)</f>
        <v>-3.1123906484297157</v>
      </c>
    </row>
    <row r="41" spans="1:10" ht="21.25" customHeight="1" x14ac:dyDescent="0.15">
      <c r="A41" s="10" t="s">
        <v>284</v>
      </c>
      <c r="B41" s="94" t="str" cm="1">
        <f t="array" ref="B41">VLOOKUP(A41,'The List'!B1:D671,3,FALSE)</f>
        <v>LW</v>
      </c>
      <c r="C41" s="95" cm="1">
        <f t="array" ref="C41">IF(Settings!$E$15="POINTS",RANK(E41,E3:E210),H41)</f>
        <v>39</v>
      </c>
      <c r="D41" s="18" t="str" cm="1">
        <f t="array" ref="D41">VLOOKUP(A41,'The List'!B1:F671,5,FALSE)</f>
        <v>BUF</v>
      </c>
      <c r="E41" s="55" cm="1">
        <f t="array" ref="E41">VLOOKUP(A41,'The List'!B1:I671,8,FALSE)</f>
        <v>325.29623072030597</v>
      </c>
      <c r="F41" s="55" cm="1">
        <f t="array" ref="F41">IF(Settings!$E$15="POINTS",E41-VLOOKUP(B$2,C1:E210,3,FALSE),J41)</f>
        <v>-74.016762593414114</v>
      </c>
      <c r="G41" s="55"/>
      <c r="H41" s="167" cm="1">
        <f t="array" ref="H41">RANK(I41,I3:I210)</f>
        <v>27</v>
      </c>
      <c r="I41" s="168" cm="1">
        <f t="array" ref="I41">VLOOKUP(A41,'Standard Deviations'!A1:C672,3,FALSE)</f>
        <v>5.506895403632976</v>
      </c>
      <c r="J41" s="168" cm="1">
        <f t="array" ref="J41">I41-VLOOKUP(B$2,H1:J210,2,FALSE)</f>
        <v>-1.6643480082106832</v>
      </c>
    </row>
    <row r="42" spans="1:10" ht="21.25" customHeight="1" x14ac:dyDescent="0.15">
      <c r="A42" s="10" t="s">
        <v>282</v>
      </c>
      <c r="B42" s="94" t="str" cm="1">
        <f t="array" ref="B42">VLOOKUP(A42,'The List'!B1:D671,3,FALSE)</f>
        <v>LW,RW</v>
      </c>
      <c r="C42" s="95" cm="1">
        <f t="array" ref="C42">IF(Settings!$E$15="POINTS",RANK(E42,E3:E210),H42)</f>
        <v>40</v>
      </c>
      <c r="D42" s="18" t="str" cm="1">
        <f t="array" ref="D42">VLOOKUP(A42,'The List'!B1:F671,5,FALSE)</f>
        <v>OTT</v>
      </c>
      <c r="E42" s="55" cm="1">
        <f t="array" ref="E42">VLOOKUP(A42,'The List'!B1:I671,8,FALSE)</f>
        <v>323.29237461671488</v>
      </c>
      <c r="F42" s="55" cm="1">
        <f t="array" ref="F42">IF(Settings!$E$15="POINTS",E42-VLOOKUP(B$2,C1:E210,3,FALSE),J42)</f>
        <v>-76.020618697005204</v>
      </c>
      <c r="G42" s="55"/>
      <c r="H42" s="167" cm="1">
        <f t="array" ref="H42">RANK(I42,I3:I210)</f>
        <v>37</v>
      </c>
      <c r="I42" s="168" cm="1">
        <f t="array" ref="I42">VLOOKUP(A42,'Standard Deviations'!A1:C672,3,FALSE)</f>
        <v>4.3934263737130319</v>
      </c>
      <c r="J42" s="168" cm="1">
        <f t="array" ref="J42">I42-VLOOKUP(B$2,H1:J210,2,FALSE)</f>
        <v>-2.7778170381306273</v>
      </c>
    </row>
    <row r="43" spans="1:10" ht="21.25" customHeight="1" x14ac:dyDescent="0.15">
      <c r="A43" s="10" t="s">
        <v>296</v>
      </c>
      <c r="B43" s="94" t="str" cm="1">
        <f t="array" ref="B43">VLOOKUP(A43,'The List'!B1:D671,3,FALSE)</f>
        <v>LW,RW</v>
      </c>
      <c r="C43" s="95" cm="1">
        <f t="array" ref="C43">IF(Settings!$E$15="POINTS",RANK(E43,E3:E210),H43)</f>
        <v>41</v>
      </c>
      <c r="D43" s="18" t="str" cm="1">
        <f t="array" ref="D43">VLOOKUP(A43,'The List'!B1:F671,5,FALSE)</f>
        <v>OTT</v>
      </c>
      <c r="E43" s="55" cm="1">
        <f t="array" ref="E43">VLOOKUP(A43,'The List'!B1:I671,8,FALSE)</f>
        <v>317.50763970741735</v>
      </c>
      <c r="F43" s="55" cm="1">
        <f t="array" ref="F43">IF(Settings!$E$15="POINTS",E43-VLOOKUP(B$2,C1:E210,3,FALSE),J43)</f>
        <v>-81.805353606302731</v>
      </c>
      <c r="G43" s="55"/>
      <c r="H43" s="167" cm="1">
        <f t="array" ref="H43">RANK(I43,I3:I210)</f>
        <v>47</v>
      </c>
      <c r="I43" s="168" cm="1">
        <f t="array" ref="I43">VLOOKUP(A43,'Standard Deviations'!A1:C672,3,FALSE)</f>
        <v>3.4324083778855359</v>
      </c>
      <c r="J43" s="168" cm="1">
        <f t="array" ref="J43">I43-VLOOKUP(B$2,H1:J210,2,FALSE)</f>
        <v>-3.7388350339581233</v>
      </c>
    </row>
    <row r="44" spans="1:10" ht="21.25" customHeight="1" x14ac:dyDescent="0.15">
      <c r="A44" s="10" t="s">
        <v>300</v>
      </c>
      <c r="B44" s="94" t="str" cm="1">
        <f t="array" ref="B44">VLOOKUP(A44,'The List'!B1:D671,3,FALSE)</f>
        <v>LW</v>
      </c>
      <c r="C44" s="95" cm="1">
        <f t="array" ref="C44">IF(Settings!$E$15="POINTS",RANK(E44,E3:E210),H44)</f>
        <v>42</v>
      </c>
      <c r="D44" s="18" t="str" cm="1">
        <f t="array" ref="D44">VLOOKUP(A44,'The List'!B1:F671,5,FALSE)</f>
        <v>TOR</v>
      </c>
      <c r="E44" s="55" cm="1">
        <f t="array" ref="E44">VLOOKUP(A44,'The List'!B1:I671,8,FALSE)</f>
        <v>317.42328549235407</v>
      </c>
      <c r="F44" s="55" cm="1">
        <f t="array" ref="F44">IF(Settings!$E$15="POINTS",E44-VLOOKUP(B$2,C1:E210,3,FALSE),J44)</f>
        <v>-81.889707821366017</v>
      </c>
      <c r="G44" s="55"/>
      <c r="H44" s="167" cm="1">
        <f t="array" ref="H44">RANK(I44,I3:I210)</f>
        <v>48</v>
      </c>
      <c r="I44" s="168" cm="1">
        <f t="array" ref="I44">VLOOKUP(A44,'Standard Deviations'!A1:C672,3,FALSE)</f>
        <v>3.3745146942002289</v>
      </c>
      <c r="J44" s="168" cm="1">
        <f t="array" ref="J44">I44-VLOOKUP(B$2,H1:J210,2,FALSE)</f>
        <v>-3.7967287176434303</v>
      </c>
    </row>
    <row r="45" spans="1:10" ht="21.25" customHeight="1" x14ac:dyDescent="0.15">
      <c r="A45" s="10" t="s">
        <v>301</v>
      </c>
      <c r="B45" s="94" t="str" cm="1">
        <f t="array" ref="B45">VLOOKUP(A45,'The List'!B1:D671,3,FALSE)</f>
        <v>C,LW</v>
      </c>
      <c r="C45" s="95" cm="1">
        <f t="array" ref="C45">IF(Settings!$E$15="POINTS",RANK(E45,E3:E210),H45)</f>
        <v>43</v>
      </c>
      <c r="D45" s="18" t="str" cm="1">
        <f t="array" ref="D45">VLOOKUP(A45,'The List'!B1:F671,5,FALSE)</f>
        <v>COL</v>
      </c>
      <c r="E45" s="55" cm="1">
        <f t="array" ref="E45">VLOOKUP(A45,'The List'!B1:I671,8,FALSE)</f>
        <v>316.74830561317731</v>
      </c>
      <c r="F45" s="55" cm="1">
        <f t="array" ref="F45">IF(Settings!$E$15="POINTS",E45-VLOOKUP(B$2,C1:E210,3,FALSE),J45)</f>
        <v>-82.564687700542777</v>
      </c>
      <c r="G45" s="55"/>
      <c r="H45" s="167" cm="1">
        <f t="array" ref="H45">RANK(I45,I3:I210)</f>
        <v>30</v>
      </c>
      <c r="I45" s="168" cm="1">
        <f t="array" ref="I45">VLOOKUP(A45,'Standard Deviations'!A1:C672,3,FALSE)</f>
        <v>5.3952496544659834</v>
      </c>
      <c r="J45" s="168" cm="1">
        <f t="array" ref="J45">I45-VLOOKUP(B$2,H1:J210,2,FALSE)</f>
        <v>-1.7759937573776758</v>
      </c>
    </row>
    <row r="46" spans="1:10" ht="21.25" customHeight="1" x14ac:dyDescent="0.15">
      <c r="A46" s="10" t="s">
        <v>299</v>
      </c>
      <c r="B46" s="94" t="str" cm="1">
        <f t="array" ref="B46">VLOOKUP(A46,'The List'!B1:D671,3,FALSE)</f>
        <v>LW,RW</v>
      </c>
      <c r="C46" s="95" cm="1">
        <f t="array" ref="C46">IF(Settings!$E$15="POINTS",RANK(E46,E3:E210),H46)</f>
        <v>44</v>
      </c>
      <c r="D46" s="18" t="str" cm="1">
        <f t="array" ref="D46">VLOOKUP(A46,'The List'!B1:F671,5,FALSE)</f>
        <v>BOS</v>
      </c>
      <c r="E46" s="55" cm="1">
        <f t="array" ref="E46">VLOOKUP(A46,'The List'!B1:I671,8,FALSE)</f>
        <v>315.68046648720946</v>
      </c>
      <c r="F46" s="55" cm="1">
        <f t="array" ref="F46">IF(Settings!$E$15="POINTS",E46-VLOOKUP(B$2,C1:E210,3,FALSE),J46)</f>
        <v>-83.632526826510627</v>
      </c>
      <c r="G46" s="55"/>
      <c r="H46" s="167" cm="1">
        <f t="array" ref="H46">RANK(I46,I3:I210)</f>
        <v>54</v>
      </c>
      <c r="I46" s="168" cm="1">
        <f t="array" ref="I46">VLOOKUP(A46,'Standard Deviations'!A1:C672,3,FALSE)</f>
        <v>2.62369569686593</v>
      </c>
      <c r="J46" s="168" cm="1">
        <f t="array" ref="J46">I46-VLOOKUP(B$2,H1:J210,2,FALSE)</f>
        <v>-4.5475477149777292</v>
      </c>
    </row>
    <row r="47" spans="1:10" ht="21.25" customHeight="1" x14ac:dyDescent="0.15">
      <c r="A47" s="10" t="s">
        <v>315</v>
      </c>
      <c r="B47" s="94" t="str" cm="1">
        <f t="array" ref="B47">VLOOKUP(A47,'The List'!B1:D671,3,FALSE)</f>
        <v>LW</v>
      </c>
      <c r="C47" s="95" cm="1">
        <f t="array" ref="C47">IF(Settings!$E$15="POINTS",RANK(E47,E3:E210),H47)</f>
        <v>45</v>
      </c>
      <c r="D47" s="18" t="str" cm="1">
        <f t="array" ref="D47">VLOOKUP(A47,'The List'!B1:F671,5,FALSE)</f>
        <v>L.A</v>
      </c>
      <c r="E47" s="55" cm="1">
        <f t="array" ref="E47">VLOOKUP(A47,'The List'!B1:I671,8,FALSE)</f>
        <v>308.16643618859064</v>
      </c>
      <c r="F47" s="55" cm="1">
        <f t="array" ref="F47">IF(Settings!$E$15="POINTS",E47-VLOOKUP(B$2,C1:E210,3,FALSE),J47)</f>
        <v>-91.146557125129448</v>
      </c>
      <c r="G47" s="55"/>
      <c r="H47" s="167" cm="1">
        <f t="array" ref="H47">RANK(I47,I3:I210)</f>
        <v>41</v>
      </c>
      <c r="I47" s="168" cm="1">
        <f t="array" ref="I47">VLOOKUP(A47,'Standard Deviations'!A1:C672,3,FALSE)</f>
        <v>4.1025866036290655</v>
      </c>
      <c r="J47" s="168" cm="1">
        <f t="array" ref="J47">I47-VLOOKUP(B$2,H1:J210,2,FALSE)</f>
        <v>-3.0686568082145937</v>
      </c>
    </row>
    <row r="48" spans="1:10" ht="21.25" customHeight="1" x14ac:dyDescent="0.15">
      <c r="A48" s="10" t="s">
        <v>321</v>
      </c>
      <c r="B48" s="94" t="str" cm="1">
        <f t="array" ref="B48">VLOOKUP(A48,'The List'!B1:D671,3,FALSE)</f>
        <v>C,LW</v>
      </c>
      <c r="C48" s="95" cm="1">
        <f t="array" ref="C48">IF(Settings!$E$15="POINTS",RANK(E48,E3:E210),H48)</f>
        <v>46</v>
      </c>
      <c r="D48" s="18" t="str" cm="1">
        <f t="array" ref="D48">VLOOKUP(A48,'The List'!B1:F671,5,FALSE)</f>
        <v>SEA</v>
      </c>
      <c r="E48" s="55" cm="1">
        <f t="array" ref="E48">VLOOKUP(A48,'The List'!B1:I671,8,FALSE)</f>
        <v>304.58235299228926</v>
      </c>
      <c r="F48" s="55" cm="1">
        <f t="array" ref="F48">IF(Settings!$E$15="POINTS",E48-VLOOKUP(B$2,C1:E210,3,FALSE),J48)</f>
        <v>-94.730640321430826</v>
      </c>
      <c r="G48" s="55"/>
      <c r="H48" s="167" cm="1">
        <f t="array" ref="H48">RANK(I48,I3:I210)</f>
        <v>71</v>
      </c>
      <c r="I48" s="168" cm="1">
        <f t="array" ref="I48">VLOOKUP(A48,'Standard Deviations'!A1:C672,3,FALSE)</f>
        <v>1.2180920739004422</v>
      </c>
      <c r="J48" s="168" cm="1">
        <f t="array" ref="J48">I48-VLOOKUP(B$2,H1:J210,2,FALSE)</f>
        <v>-5.9531513379432166</v>
      </c>
    </row>
    <row r="49" spans="1:10" ht="21.25" customHeight="1" x14ac:dyDescent="0.15">
      <c r="A49" s="10" t="s">
        <v>316</v>
      </c>
      <c r="B49" s="94" t="str" cm="1">
        <f t="array" ref="B49">VLOOKUP(A49,'The List'!B1:D671,3,FALSE)</f>
        <v>LW,RW</v>
      </c>
      <c r="C49" s="95" cm="1">
        <f t="array" ref="C49">IF(Settings!$E$15="POINTS",RANK(E49,E3:E210),H49)</f>
        <v>47</v>
      </c>
      <c r="D49" s="18" t="str" cm="1">
        <f t="array" ref="D49">VLOOKUP(A49,'The List'!B1:F671,5,FALSE)</f>
        <v>VAN</v>
      </c>
      <c r="E49" s="55" cm="1">
        <f t="array" ref="E49">VLOOKUP(A49,'The List'!B1:I671,8,FALSE)</f>
        <v>302.83381827747519</v>
      </c>
      <c r="F49" s="55" cm="1">
        <f t="array" ref="F49">IF(Settings!$E$15="POINTS",E49-VLOOKUP(B$2,C1:E210,3,FALSE),J49)</f>
        <v>-96.479175036244897</v>
      </c>
      <c r="G49" s="55"/>
      <c r="H49" s="167" cm="1">
        <f t="array" ref="H49">RANK(I49,I3:I210)</f>
        <v>95</v>
      </c>
      <c r="I49" s="168" cm="1">
        <f t="array" ref="I49">VLOOKUP(A49,'Standard Deviations'!A1:C672,3,FALSE)</f>
        <v>-0.44516889686452066</v>
      </c>
      <c r="J49" s="168" cm="1">
        <f t="array" ref="J49">I49-VLOOKUP(B$2,H1:J210,2,FALSE)</f>
        <v>-7.6164123087081794</v>
      </c>
    </row>
    <row r="50" spans="1:10" ht="21.25" customHeight="1" x14ac:dyDescent="0.15">
      <c r="A50" s="10" t="s">
        <v>319</v>
      </c>
      <c r="B50" s="94" t="str" cm="1">
        <f t="array" ref="B50">VLOOKUP(A50,'The List'!B1:D671,3,FALSE)</f>
        <v>LW,RW</v>
      </c>
      <c r="C50" s="95" cm="1">
        <f t="array" ref="C50">IF(Settings!$E$15="POINTS",RANK(E50,E3:E210),H50)</f>
        <v>48</v>
      </c>
      <c r="D50" s="18" t="str" cm="1">
        <f t="array" ref="D50">VLOOKUP(A50,'The List'!B1:F671,5,FALSE)</f>
        <v>CAR</v>
      </c>
      <c r="E50" s="55" cm="1">
        <f t="array" ref="E50">VLOOKUP(A50,'The List'!B1:I671,8,FALSE)</f>
        <v>301.13824094420426</v>
      </c>
      <c r="F50" s="55" cm="1">
        <f t="array" ref="F50">IF(Settings!$E$15="POINTS",E50-VLOOKUP(B$2,C1:E210,3,FALSE),J50)</f>
        <v>-98.174752369515829</v>
      </c>
      <c r="G50" s="55"/>
      <c r="H50" s="167" cm="1">
        <f t="array" ref="H50">RANK(I50,I3:I210)</f>
        <v>51</v>
      </c>
      <c r="I50" s="168" cm="1">
        <f t="array" ref="I50">VLOOKUP(A50,'Standard Deviations'!A1:C672,3,FALSE)</f>
        <v>2.886345969944208</v>
      </c>
      <c r="J50" s="168" cm="1">
        <f t="array" ref="J50">I50-VLOOKUP(B$2,H1:J210,2,FALSE)</f>
        <v>-4.2848974418994512</v>
      </c>
    </row>
    <row r="51" spans="1:10" ht="21.25" customHeight="1" x14ac:dyDescent="0.15">
      <c r="A51" s="10" t="s">
        <v>322</v>
      </c>
      <c r="B51" s="94" t="str" cm="1">
        <f t="array" ref="B51">VLOOKUP(A51,'The List'!B1:D671,3,FALSE)</f>
        <v>LW,RW</v>
      </c>
      <c r="C51" s="95" cm="1">
        <f t="array" ref="C51">IF(Settings!$E$15="POINTS",RANK(E51,E3:E210),H51)</f>
        <v>49</v>
      </c>
      <c r="D51" s="18" t="str" cm="1">
        <f t="array" ref="D51">VLOOKUP(A51,'The List'!B1:F671,5,FALSE)</f>
        <v>VAN</v>
      </c>
      <c r="E51" s="55" cm="1">
        <f t="array" ref="E51">VLOOKUP(A51,'The List'!B1:I671,8,FALSE)</f>
        <v>300.20840133334292</v>
      </c>
      <c r="F51" s="55" cm="1">
        <f t="array" ref="F51">IF(Settings!$E$15="POINTS",E51-VLOOKUP(B$2,C1:E210,3,FALSE),J51)</f>
        <v>-99.104591980377165</v>
      </c>
      <c r="G51" s="55"/>
      <c r="H51" s="167" cm="1">
        <f t="array" ref="H51">RANK(I51,I3:I210)</f>
        <v>81</v>
      </c>
      <c r="I51" s="168" cm="1">
        <f t="array" ref="I51">VLOOKUP(A51,'Standard Deviations'!A1:C672,3,FALSE)</f>
        <v>0.41720326892765036</v>
      </c>
      <c r="J51" s="168" cm="1">
        <f t="array" ref="J51">I51-VLOOKUP(B$2,H1:J210,2,FALSE)</f>
        <v>-6.7540401429160086</v>
      </c>
    </row>
    <row r="52" spans="1:10" ht="21.25" customHeight="1" x14ac:dyDescent="0.15">
      <c r="A52" s="10" t="s">
        <v>328</v>
      </c>
      <c r="B52" s="94" t="str" cm="1">
        <f t="array" ref="B52">VLOOKUP(A52,'The List'!B1:D671,3,FALSE)</f>
        <v>LW,RW</v>
      </c>
      <c r="C52" s="95" cm="1">
        <f t="array" ref="C52">IF(Settings!$E$15="POINTS",RANK(E52,E3:E210),H52)</f>
        <v>50</v>
      </c>
      <c r="D52" s="18" t="str" cm="1">
        <f t="array" ref="D52">VLOOKUP(A52,'The List'!B1:F671,5,FALSE)</f>
        <v>NSH</v>
      </c>
      <c r="E52" s="55" cm="1">
        <f t="array" ref="E52">VLOOKUP(A52,'The List'!B1:I671,8,FALSE)</f>
        <v>296.86095603321098</v>
      </c>
      <c r="F52" s="55" cm="1">
        <f t="array" ref="F52">IF(Settings!$E$15="POINTS",E52-VLOOKUP(B$2,C1:E210,3,FALSE),J52)</f>
        <v>-102.4520372805091</v>
      </c>
      <c r="G52" s="55"/>
      <c r="H52" s="167" cm="1">
        <f t="array" ref="H52">RANK(I52,I3:I210)</f>
        <v>60</v>
      </c>
      <c r="I52" s="168" cm="1">
        <f t="array" ref="I52">VLOOKUP(A52,'Standard Deviations'!A1:C672,3,FALSE)</f>
        <v>1.7782577117230314</v>
      </c>
      <c r="J52" s="168" cm="1">
        <f t="array" ref="J52">I52-VLOOKUP(B$2,H1:J210,2,FALSE)</f>
        <v>-5.3929857001206276</v>
      </c>
    </row>
    <row r="53" spans="1:10" ht="21.25" customHeight="1" x14ac:dyDescent="0.15">
      <c r="A53" s="10" t="s">
        <v>330</v>
      </c>
      <c r="B53" s="94" t="str" cm="1">
        <f t="array" ref="B53">VLOOKUP(A53,'The List'!B1:D671,3,FALSE)</f>
        <v>C,LW,RW</v>
      </c>
      <c r="C53" s="95" cm="1">
        <f t="array" ref="C53">IF(Settings!$E$15="POINTS",RANK(E53,E3:E210),H53)</f>
        <v>51</v>
      </c>
      <c r="D53" s="18" t="str" cm="1">
        <f t="array" ref="D53">VLOOKUP(A53,'The List'!B1:F671,5,FALSE)</f>
        <v>PHI</v>
      </c>
      <c r="E53" s="55" cm="1">
        <f t="array" ref="E53">VLOOKUP(A53,'The List'!B1:I671,8,FALSE)</f>
        <v>296.03676603353699</v>
      </c>
      <c r="F53" s="55" cm="1">
        <f t="array" ref="F53">IF(Settings!$E$15="POINTS",E53-VLOOKUP(B$2,C1:E210,3,FALSE),J53)</f>
        <v>-103.27622728018309</v>
      </c>
      <c r="G53" s="55"/>
      <c r="H53" s="167" cm="1">
        <f t="array" ref="H53">RANK(I53,I3:I210)</f>
        <v>44</v>
      </c>
      <c r="I53" s="168" cm="1">
        <f t="array" ref="I53">VLOOKUP(A53,'Standard Deviations'!A1:C672,3,FALSE)</f>
        <v>3.7023649153629781</v>
      </c>
      <c r="J53" s="168" cm="1">
        <f t="array" ref="J53">I53-VLOOKUP(B$2,H1:J210,2,FALSE)</f>
        <v>-3.4688784964806811</v>
      </c>
    </row>
    <row r="54" spans="1:10" ht="21.25" customHeight="1" x14ac:dyDescent="0.15">
      <c r="A54" s="10" t="s">
        <v>341</v>
      </c>
      <c r="B54" s="94" t="str" cm="1">
        <f t="array" ref="B54">VLOOKUP(A54,'The List'!B1:D671,3,FALSE)</f>
        <v>C,LW</v>
      </c>
      <c r="C54" s="95" cm="1">
        <f t="array" ref="C54">IF(Settings!$E$15="POINTS",RANK(E54,E3:E210),H54)</f>
        <v>52</v>
      </c>
      <c r="D54" s="18" t="str" cm="1">
        <f t="array" ref="D54">VLOOKUP(A54,'The List'!B1:F671,5,FALSE)</f>
        <v>EDM</v>
      </c>
      <c r="E54" s="55" cm="1">
        <f t="array" ref="E54">VLOOKUP(A54,'The List'!B1:I671,8,FALSE)</f>
        <v>295.51112873580962</v>
      </c>
      <c r="F54" s="55" cm="1">
        <f t="array" ref="F54">IF(Settings!$E$15="POINTS",E54-VLOOKUP(B$2,C1:E210,3,FALSE),J54)</f>
        <v>-103.80186457791046</v>
      </c>
      <c r="G54" s="55"/>
      <c r="H54" s="167" cm="1">
        <f t="array" ref="H54">RANK(I54,I3:I210)</f>
        <v>39</v>
      </c>
      <c r="I54" s="168" cm="1">
        <f t="array" ref="I54">VLOOKUP(A54,'Standard Deviations'!A1:C672,3,FALSE)</f>
        <v>4.2167105286581039</v>
      </c>
      <c r="J54" s="168" cm="1">
        <f t="array" ref="J54">I54-VLOOKUP(B$2,H1:J210,2,FALSE)</f>
        <v>-2.9545328831855553</v>
      </c>
    </row>
    <row r="55" spans="1:10" ht="21.25" customHeight="1" x14ac:dyDescent="0.15">
      <c r="A55" s="10" t="s">
        <v>335</v>
      </c>
      <c r="B55" s="94" t="str" cm="1">
        <f t="array" ref="B55">VLOOKUP(A55,'The List'!B1:D671,3,FALSE)</f>
        <v>LW,RW</v>
      </c>
      <c r="C55" s="95" cm="1">
        <f t="array" ref="C55">IF(Settings!$E$15="POINTS",RANK(E55,E3:E210),H55)</f>
        <v>53</v>
      </c>
      <c r="D55" s="18" t="str" cm="1">
        <f t="array" ref="D55">VLOOKUP(A55,'The List'!B1:F671,5,FALSE)</f>
        <v>FLA</v>
      </c>
      <c r="E55" s="55" cm="1">
        <f t="array" ref="E55">VLOOKUP(A55,'The List'!B1:I671,8,FALSE)</f>
        <v>293.97395283647791</v>
      </c>
      <c r="F55" s="55" cm="1">
        <f t="array" ref="F55">IF(Settings!$E$15="POINTS",E55-VLOOKUP(B$2,C1:E210,3,FALSE),J55)</f>
        <v>-105.33904047724218</v>
      </c>
      <c r="G55" s="55"/>
      <c r="H55" s="167" cm="1">
        <f t="array" ref="H55">RANK(I55,I3:I210)</f>
        <v>34</v>
      </c>
      <c r="I55" s="168" cm="1">
        <f t="array" ref="I55">VLOOKUP(A55,'Standard Deviations'!A1:C672,3,FALSE)</f>
        <v>4.5313439280941585</v>
      </c>
      <c r="J55" s="168" cm="1">
        <f t="array" ref="J55">I55-VLOOKUP(B$2,H1:J210,2,FALSE)</f>
        <v>-2.6398994837495007</v>
      </c>
    </row>
    <row r="56" spans="1:10" ht="21.25" customHeight="1" x14ac:dyDescent="0.15">
      <c r="A56" s="10" t="s">
        <v>336</v>
      </c>
      <c r="B56" s="94" t="str" cm="1">
        <f t="array" ref="B56">VLOOKUP(A56,'The List'!B1:D671,3,FALSE)</f>
        <v>LW,RW</v>
      </c>
      <c r="C56" s="95" cm="1">
        <f t="array" ref="C56">IF(Settings!$E$15="POINTS",RANK(E56,E3:E210),H56)</f>
        <v>54</v>
      </c>
      <c r="D56" s="18" t="str" cm="1">
        <f t="array" ref="D56">VLOOKUP(A56,'The List'!B1:F671,5,FALSE)</f>
        <v>PHI</v>
      </c>
      <c r="E56" s="55" cm="1">
        <f t="array" ref="E56">VLOOKUP(A56,'The List'!B1:I671,8,FALSE)</f>
        <v>293.96378708679964</v>
      </c>
      <c r="F56" s="55" cm="1">
        <f t="array" ref="F56">IF(Settings!$E$15="POINTS",E56-VLOOKUP(B$2,C1:E210,3,FALSE),J56)</f>
        <v>-105.34920622692044</v>
      </c>
      <c r="G56" s="55"/>
      <c r="H56" s="167" cm="1">
        <f t="array" ref="H56">RANK(I56,I3:I210)</f>
        <v>38</v>
      </c>
      <c r="I56" s="168" cm="1">
        <f t="array" ref="I56">VLOOKUP(A56,'Standard Deviations'!A1:C672,3,FALSE)</f>
        <v>4.2580595127092185</v>
      </c>
      <c r="J56" s="168" cm="1">
        <f t="array" ref="J56">I56-VLOOKUP(B$2,H1:J210,2,FALSE)</f>
        <v>-2.9131838991344408</v>
      </c>
    </row>
    <row r="57" spans="1:10" ht="21.25" customHeight="1" x14ac:dyDescent="0.15">
      <c r="A57" s="10" t="s">
        <v>347</v>
      </c>
      <c r="B57" s="94" t="str" cm="1">
        <f t="array" ref="B57">VLOOKUP(A57,'The List'!B1:D671,3,FALSE)</f>
        <v>LW,RW</v>
      </c>
      <c r="C57" s="95" cm="1">
        <f t="array" ref="C57">IF(Settings!$E$15="POINTS",RANK(E57,E3:E210),H57)</f>
        <v>55</v>
      </c>
      <c r="D57" s="18" t="str" cm="1">
        <f t="array" ref="D57">VLOOKUP(A57,'The List'!B1:F671,5,FALSE)</f>
        <v>PHI</v>
      </c>
      <c r="E57" s="55" cm="1">
        <f t="array" ref="E57">VLOOKUP(A57,'The List'!B1:I671,8,FALSE)</f>
        <v>288.78266507565496</v>
      </c>
      <c r="F57" s="55" cm="1">
        <f t="array" ref="F57">IF(Settings!$E$15="POINTS",E57-VLOOKUP(B$2,C1:E210,3,FALSE),J57)</f>
        <v>-110.53032823806512</v>
      </c>
      <c r="G57" s="55"/>
      <c r="H57" s="167" cm="1">
        <f t="array" ref="H57">RANK(I57,I3:I210)</f>
        <v>63</v>
      </c>
      <c r="I57" s="168" cm="1">
        <f t="array" ref="I57">VLOOKUP(A57,'Standard Deviations'!A1:C672,3,FALSE)</f>
        <v>1.5949076218100728</v>
      </c>
      <c r="J57" s="168" cm="1">
        <f t="array" ref="J57">I57-VLOOKUP(B$2,H1:J210,2,FALSE)</f>
        <v>-5.5763357900335864</v>
      </c>
    </row>
    <row r="58" spans="1:10" ht="21.25" customHeight="1" x14ac:dyDescent="0.15">
      <c r="A58" s="10" t="s">
        <v>350</v>
      </c>
      <c r="B58" s="94" t="str" cm="1">
        <f t="array" ref="B58">VLOOKUP(A58,'The List'!B1:D671,3,FALSE)</f>
        <v>LW,RW</v>
      </c>
      <c r="C58" s="95" cm="1">
        <f t="array" ref="C58">IF(Settings!$E$15="POINTS",RANK(E58,E3:E210),H58)</f>
        <v>56</v>
      </c>
      <c r="D58" s="18" t="str" cm="1">
        <f t="array" ref="D58">VLOOKUP(A58,'The List'!B1:F671,5,FALSE)</f>
        <v>CGY</v>
      </c>
      <c r="E58" s="55" cm="1">
        <f t="array" ref="E58">VLOOKUP(A58,'The List'!B1:I671,8,FALSE)</f>
        <v>285.05159732595723</v>
      </c>
      <c r="F58" s="55" cm="1">
        <f t="array" ref="F58">IF(Settings!$E$15="POINTS",E58-VLOOKUP(B$2,C1:E210,3,FALSE),J58)</f>
        <v>-114.26139598776285</v>
      </c>
      <c r="G58" s="55"/>
      <c r="H58" s="167" cm="1">
        <f t="array" ref="H58">RANK(I58,I3:I210)</f>
        <v>90</v>
      </c>
      <c r="I58" s="168" cm="1">
        <f t="array" ref="I58">VLOOKUP(A58,'Standard Deviations'!A1:C672,3,FALSE)</f>
        <v>-0.28219096264593158</v>
      </c>
      <c r="J58" s="168" cm="1">
        <f t="array" ref="J58">I58-VLOOKUP(B$2,H1:J210,2,FALSE)</f>
        <v>-7.453434374489591</v>
      </c>
    </row>
    <row r="59" spans="1:10" ht="21.25" customHeight="1" x14ac:dyDescent="0.15">
      <c r="A59" s="10" t="s">
        <v>357</v>
      </c>
      <c r="B59" s="94" t="str" cm="1">
        <f t="array" ref="B59">VLOOKUP(A59,'The List'!B1:D671,3,FALSE)</f>
        <v>LW,RW</v>
      </c>
      <c r="C59" s="95" cm="1">
        <f t="array" ref="C59">IF(Settings!$E$15="POINTS",RANK(E59,E3:E210),H59)</f>
        <v>57</v>
      </c>
      <c r="D59" s="18" t="str" cm="1">
        <f t="array" ref="D59">VLOOKUP(A59,'The List'!B1:F671,5,FALSE)</f>
        <v>CHI</v>
      </c>
      <c r="E59" s="55" cm="1">
        <f t="array" ref="E59">VLOOKUP(A59,'The List'!B1:I671,8,FALSE)</f>
        <v>282.34359943185535</v>
      </c>
      <c r="F59" s="55" cm="1">
        <f t="array" ref="F59">IF(Settings!$E$15="POINTS",E59-VLOOKUP(B$2,C1:E210,3,FALSE),J59)</f>
        <v>-116.96939388186473</v>
      </c>
      <c r="G59" s="55"/>
      <c r="H59" s="167" cm="1">
        <f t="array" ref="H59">RANK(I59,I3:I210)</f>
        <v>74</v>
      </c>
      <c r="I59" s="168" cm="1">
        <f t="array" ref="I59">VLOOKUP(A59,'Standard Deviations'!A1:C672,3,FALSE)</f>
        <v>1.0796009778687785</v>
      </c>
      <c r="J59" s="168" cm="1">
        <f t="array" ref="J59">I59-VLOOKUP(B$2,H1:J210,2,FALSE)</f>
        <v>-6.0916424339748811</v>
      </c>
    </row>
    <row r="60" spans="1:10" ht="21.25" customHeight="1" x14ac:dyDescent="0.15">
      <c r="A60" s="10" t="s">
        <v>359</v>
      </c>
      <c r="B60" s="94" t="str" cm="1">
        <f t="array" ref="B60">VLOOKUP(A60,'The List'!B1:D671,3,FALSE)</f>
        <v>LW,RW</v>
      </c>
      <c r="C60" s="95" cm="1">
        <f t="array" ref="C60">IF(Settings!$E$15="POINTS",RANK(E60,E3:E210),H60)</f>
        <v>58</v>
      </c>
      <c r="D60" s="18" t="str" cm="1">
        <f t="array" ref="D60">VLOOKUP(A60,'The List'!B1:F671,5,FALSE)</f>
        <v>WSH</v>
      </c>
      <c r="E60" s="55" cm="1">
        <f t="array" ref="E60">VLOOKUP(A60,'The List'!B1:I671,8,FALSE)</f>
        <v>281.34024163364592</v>
      </c>
      <c r="F60" s="55" cm="1">
        <f t="array" ref="F60">IF(Settings!$E$15="POINTS",E60-VLOOKUP(B$2,C1:E210,3,FALSE),J60)</f>
        <v>-117.97275168007417</v>
      </c>
      <c r="G60" s="55"/>
      <c r="H60" s="167" cm="1">
        <f t="array" ref="H60">RANK(I60,I3:I210)</f>
        <v>56</v>
      </c>
      <c r="I60" s="168" cm="1">
        <f t="array" ref="I60">VLOOKUP(A60,'Standard Deviations'!A1:C672,3,FALSE)</f>
        <v>2.1913543316758974</v>
      </c>
      <c r="J60" s="168" cm="1">
        <f t="array" ref="J60">I60-VLOOKUP(B$2,H1:J210,2,FALSE)</f>
        <v>-4.9798890801677622</v>
      </c>
    </row>
    <row r="61" spans="1:10" ht="21.25" customHeight="1" x14ac:dyDescent="0.15">
      <c r="A61" s="10" t="s">
        <v>369</v>
      </c>
      <c r="B61" s="94" t="str" cm="1">
        <f t="array" ref="B61">VLOOKUP(A61,'The List'!B1:D671,3,FALSE)</f>
        <v>C,LW</v>
      </c>
      <c r="C61" s="95" cm="1">
        <f t="array" ref="C61">IF(Settings!$E$15="POINTS",RANK(E61,E3:E210),H61)</f>
        <v>59</v>
      </c>
      <c r="D61" s="18" t="str" cm="1">
        <f t="array" ref="D61">VLOOKUP(A61,'The List'!B1:F671,5,FALSE)</f>
        <v>BOS</v>
      </c>
      <c r="E61" s="55" cm="1">
        <f t="array" ref="E61">VLOOKUP(A61,'The List'!B1:I671,8,FALSE)</f>
        <v>279.59440691993996</v>
      </c>
      <c r="F61" s="55" cm="1">
        <f t="array" ref="F61">IF(Settings!$E$15="POINTS",E61-VLOOKUP(B$2,C1:E210,3,FALSE),J61)</f>
        <v>-119.71858639378013</v>
      </c>
      <c r="G61" s="55"/>
      <c r="H61" s="167" cm="1">
        <f t="array" ref="H61">RANK(I61,I3:I210)</f>
        <v>70</v>
      </c>
      <c r="I61" s="168" cm="1">
        <f t="array" ref="I61">VLOOKUP(A61,'Standard Deviations'!A1:C672,3,FALSE)</f>
        <v>1.2517199204761964</v>
      </c>
      <c r="J61" s="168" cm="1">
        <f t="array" ref="J61">I61-VLOOKUP(B$2,H1:J210,2,FALSE)</f>
        <v>-5.919523491367463</v>
      </c>
    </row>
    <row r="62" spans="1:10" ht="21.25" customHeight="1" x14ac:dyDescent="0.15">
      <c r="A62" s="10" t="s">
        <v>375</v>
      </c>
      <c r="B62" s="94" t="str" cm="1">
        <f t="array" ref="B62">VLOOKUP(A62,'The List'!B1:D671,3,FALSE)</f>
        <v>C,LW</v>
      </c>
      <c r="C62" s="95" cm="1">
        <f t="array" ref="C62">IF(Settings!$E$15="POINTS",RANK(E62,E3:E210),H62)</f>
        <v>60</v>
      </c>
      <c r="D62" s="18" t="str" cm="1">
        <f t="array" ref="D62">VLOOKUP(A62,'The List'!B1:F671,5,FALSE)</f>
        <v>ANA</v>
      </c>
      <c r="E62" s="55" cm="1">
        <f t="array" ref="E62">VLOOKUP(A62,'The List'!B1:I671,8,FALSE)</f>
        <v>277.53981970935575</v>
      </c>
      <c r="F62" s="55" cm="1">
        <f t="array" ref="F62">IF(Settings!$E$15="POINTS",E62-VLOOKUP(B$2,C1:E210,3,FALSE),J62)</f>
        <v>-121.77317360436433</v>
      </c>
      <c r="G62" s="55"/>
      <c r="H62" s="167" cm="1">
        <f t="array" ref="H62">RANK(I62,I3:I210)</f>
        <v>72</v>
      </c>
      <c r="I62" s="168" cm="1">
        <f t="array" ref="I62">VLOOKUP(A62,'Standard Deviations'!A1:C672,3,FALSE)</f>
        <v>1.169831699652097</v>
      </c>
      <c r="J62" s="168" cm="1">
        <f t="array" ref="J62">I62-VLOOKUP(B$2,H1:J210,2,FALSE)</f>
        <v>-6.0014117121915618</v>
      </c>
    </row>
    <row r="63" spans="1:10" ht="21.25" customHeight="1" x14ac:dyDescent="0.15">
      <c r="A63" s="10" t="s">
        <v>365</v>
      </c>
      <c r="B63" s="94" t="str" cm="1">
        <f t="array" ref="B63">VLOOKUP(A63,'The List'!B1:D671,3,FALSE)</f>
        <v>LW,RW</v>
      </c>
      <c r="C63" s="95" cm="1">
        <f t="array" ref="C63">IF(Settings!$E$15="POINTS",RANK(E63,E3:E210),H63)</f>
        <v>61</v>
      </c>
      <c r="D63" s="18" t="str" cm="1">
        <f t="array" ref="D63">VLOOKUP(A63,'The List'!B1:F671,5,FALSE)</f>
        <v>WPG</v>
      </c>
      <c r="E63" s="55" cm="1">
        <f t="array" ref="E63">VLOOKUP(A63,'The List'!B1:I671,8,FALSE)</f>
        <v>276.43789120893581</v>
      </c>
      <c r="F63" s="55" cm="1">
        <f t="array" ref="F63">IF(Settings!$E$15="POINTS",E63-VLOOKUP(B$2,C1:E210,3,FALSE),J63)</f>
        <v>-122.87510210478428</v>
      </c>
      <c r="G63" s="55"/>
      <c r="H63" s="167" cm="1">
        <f t="array" ref="H63">RANK(I63,I3:I210)</f>
        <v>58</v>
      </c>
      <c r="I63" s="168" cm="1">
        <f t="array" ref="I63">VLOOKUP(A63,'Standard Deviations'!A1:C672,3,FALSE)</f>
        <v>1.9257981710885894</v>
      </c>
      <c r="J63" s="168" cm="1">
        <f t="array" ref="J63">I63-VLOOKUP(B$2,H1:J210,2,FALSE)</f>
        <v>-5.2454452407550693</v>
      </c>
    </row>
    <row r="64" spans="1:10" ht="21.25" customHeight="1" x14ac:dyDescent="0.15">
      <c r="A64" s="10" t="s">
        <v>366</v>
      </c>
      <c r="B64" s="94" t="str" cm="1">
        <f t="array" ref="B64">VLOOKUP(A64,'The List'!B1:D671,3,FALSE)</f>
        <v>LW,RW</v>
      </c>
      <c r="C64" s="95" cm="1">
        <f t="array" ref="C64">IF(Settings!$E$15="POINTS",RANK(E64,E3:E210),H64)</f>
        <v>62</v>
      </c>
      <c r="D64" s="18" t="str" cm="1">
        <f t="array" ref="D64">VLOOKUP(A64,'The List'!B1:F671,5,FALSE)</f>
        <v>CBJ</v>
      </c>
      <c r="E64" s="55" cm="1">
        <f t="array" ref="E64">VLOOKUP(A64,'The List'!B1:I671,8,FALSE)</f>
        <v>276.40484776382175</v>
      </c>
      <c r="F64" s="55" cm="1">
        <f t="array" ref="F64">IF(Settings!$E$15="POINTS",E64-VLOOKUP(B$2,C1:E210,3,FALSE),J64)</f>
        <v>-122.90814554989834</v>
      </c>
      <c r="G64" s="55"/>
      <c r="H64" s="167" cm="1">
        <f t="array" ref="H64">RANK(I64,I3:I210)</f>
        <v>68</v>
      </c>
      <c r="I64" s="168" cm="1">
        <f t="array" ref="I64">VLOOKUP(A64,'Standard Deviations'!A1:C672,3,FALSE)</f>
        <v>1.4173909827626776</v>
      </c>
      <c r="J64" s="168" cm="1">
        <f t="array" ref="J64">I64-VLOOKUP(B$2,H1:J210,2,FALSE)</f>
        <v>-5.7538524290809816</v>
      </c>
    </row>
    <row r="65" spans="1:10" ht="21.25" customHeight="1" x14ac:dyDescent="0.15">
      <c r="A65" s="10" t="s">
        <v>372</v>
      </c>
      <c r="B65" s="94" t="str" cm="1">
        <f t="array" ref="B65">VLOOKUP(A65,'The List'!B1:D671,3,FALSE)</f>
        <v>LW,RW</v>
      </c>
      <c r="C65" s="95" cm="1">
        <f t="array" ref="C65">IF(Settings!$E$15="POINTS",RANK(E65,E3:E210),H65)</f>
        <v>63</v>
      </c>
      <c r="D65" s="18" t="str" cm="1">
        <f t="array" ref="D65">VLOOKUP(A65,'The List'!B1:F671,5,FALSE)</f>
        <v>WSH</v>
      </c>
      <c r="E65" s="55" cm="1">
        <f t="array" ref="E65">VLOOKUP(A65,'The List'!B1:I671,8,FALSE)</f>
        <v>273.83936588963974</v>
      </c>
      <c r="F65" s="55" cm="1">
        <f t="array" ref="F65">IF(Settings!$E$15="POINTS",E65-VLOOKUP(B$2,C1:E210,3,FALSE),J65)</f>
        <v>-125.47362742408035</v>
      </c>
      <c r="G65" s="55"/>
      <c r="H65" s="167" cm="1">
        <f t="array" ref="H65">RANK(I65,I3:I210)</f>
        <v>66</v>
      </c>
      <c r="I65" s="168" cm="1">
        <f t="array" ref="I65">VLOOKUP(A65,'Standard Deviations'!A1:C672,3,FALSE)</f>
        <v>1.4905801360702036</v>
      </c>
      <c r="J65" s="168" cm="1">
        <f t="array" ref="J65">I65-VLOOKUP(B$2,H1:J210,2,FALSE)</f>
        <v>-5.6806632757734556</v>
      </c>
    </row>
    <row r="66" spans="1:10" ht="21.25" customHeight="1" x14ac:dyDescent="0.15">
      <c r="A66" s="10" t="s">
        <v>386</v>
      </c>
      <c r="B66" s="94" t="str" cm="1">
        <f t="array" ref="B66">VLOOKUP(A66,'The List'!B1:D671,3,FALSE)</f>
        <v>LW</v>
      </c>
      <c r="C66" s="95" cm="1">
        <f t="array" ref="C66">IF(Settings!$E$15="POINTS",RANK(E66,E3:E210),H66)</f>
        <v>64</v>
      </c>
      <c r="D66" s="18" t="str" cm="1">
        <f t="array" ref="D66">VLOOKUP(A66,'The List'!B1:F671,5,FALSE)</f>
        <v>FLA</v>
      </c>
      <c r="E66" s="55" cm="1">
        <f t="array" ref="E66">VLOOKUP(A66,'The List'!B1:I671,8,FALSE)</f>
        <v>270.64777867671921</v>
      </c>
      <c r="F66" s="55" cm="1">
        <f t="array" ref="F66">IF(Settings!$E$15="POINTS",E66-VLOOKUP(B$2,C1:E210,3,FALSE),J66)</f>
        <v>-128.66521463700087</v>
      </c>
      <c r="G66" s="55"/>
      <c r="H66" s="167" cm="1">
        <f t="array" ref="H66">RANK(I66,I3:I210)</f>
        <v>55</v>
      </c>
      <c r="I66" s="168" cm="1">
        <f t="array" ref="I66">VLOOKUP(A66,'Standard Deviations'!A1:C672,3,FALSE)</f>
        <v>2.3856652031574961</v>
      </c>
      <c r="J66" s="168" cm="1">
        <f t="array" ref="J66">I66-VLOOKUP(B$2,H1:J210,2,FALSE)</f>
        <v>-4.7855782086861627</v>
      </c>
    </row>
    <row r="67" spans="1:10" ht="21.25" customHeight="1" x14ac:dyDescent="0.15">
      <c r="A67" s="10" t="s">
        <v>380</v>
      </c>
      <c r="B67" s="94" t="str" cm="1">
        <f t="array" ref="B67">VLOOKUP(A67,'The List'!B1:D671,3,FALSE)</f>
        <v>LW,RW</v>
      </c>
      <c r="C67" s="95" cm="1">
        <f t="array" ref="C67">IF(Settings!$E$15="POINTS",RANK(E67,E3:E210),H67)</f>
        <v>65</v>
      </c>
      <c r="D67" s="18" t="str" cm="1">
        <f t="array" ref="D67">VLOOKUP(A67,'The List'!B1:F671,5,FALSE)</f>
        <v>DET</v>
      </c>
      <c r="E67" s="55" cm="1">
        <f t="array" ref="E67">VLOOKUP(A67,'The List'!B1:I671,8,FALSE)</f>
        <v>270.12813035582172</v>
      </c>
      <c r="F67" s="55" cm="1">
        <f t="array" ref="F67">IF(Settings!$E$15="POINTS",E67-VLOOKUP(B$2,C1:E210,3,FALSE),J67)</f>
        <v>-129.18486295789836</v>
      </c>
      <c r="G67" s="55"/>
      <c r="H67" s="167" cm="1">
        <f t="array" ref="H67">RANK(I67,I3:I210)</f>
        <v>65</v>
      </c>
      <c r="I67" s="168" cm="1">
        <f t="array" ref="I67">VLOOKUP(A67,'Standard Deviations'!A1:C672,3,FALSE)</f>
        <v>1.5109290804876938</v>
      </c>
      <c r="J67" s="168" cm="1">
        <f t="array" ref="J67">I67-VLOOKUP(B$2,H1:J210,2,FALSE)</f>
        <v>-5.6603143313559654</v>
      </c>
    </row>
    <row r="68" spans="1:10" ht="21.25" customHeight="1" x14ac:dyDescent="0.15">
      <c r="A68" s="10" t="s">
        <v>421</v>
      </c>
      <c r="B68" s="94" t="str" cm="1">
        <f t="array" ref="B68">VLOOKUP(A68,'The List'!B1:D671,3,FALSE)</f>
        <v>LW</v>
      </c>
      <c r="C68" s="95" cm="1">
        <f t="array" ref="C68">IF(Settings!$E$15="POINTS",RANK(E68,E3:E210),H68)</f>
        <v>66</v>
      </c>
      <c r="D68" s="18" t="str" cm="1">
        <f t="array" ref="D68">VLOOKUP(A68,'The List'!B1:F671,5,FALSE)</f>
        <v>S.J</v>
      </c>
      <c r="E68" s="55" cm="1">
        <f t="array" ref="E68">VLOOKUP(A68,'The List'!B1:I671,8,FALSE)</f>
        <v>256.29801726603927</v>
      </c>
      <c r="F68" s="55" cm="1">
        <f t="array" ref="F68">IF(Settings!$E$15="POINTS",E68-VLOOKUP(B$2,C1:E210,3,FALSE),J68)</f>
        <v>-143.01497604768082</v>
      </c>
      <c r="G68" s="55"/>
      <c r="H68" s="167" cm="1">
        <f t="array" ref="H68">RANK(I68,I3:I210)</f>
        <v>73</v>
      </c>
      <c r="I68" s="168" cm="1">
        <f t="array" ref="I68">VLOOKUP(A68,'Standard Deviations'!A1:C672,3,FALSE)</f>
        <v>1.1067323217990077</v>
      </c>
      <c r="J68" s="168" cm="1">
        <f t="array" ref="J68">I68-VLOOKUP(B$2,H1:J210,2,FALSE)</f>
        <v>-6.0645110900446513</v>
      </c>
    </row>
    <row r="69" spans="1:10" ht="21.25" customHeight="1" x14ac:dyDescent="0.15">
      <c r="A69" s="10" t="s">
        <v>406</v>
      </c>
      <c r="B69" s="94" t="str" cm="1">
        <f t="array" ref="B69">VLOOKUP(A69,'The List'!B1:D671,3,FALSE)</f>
        <v>LW,RW</v>
      </c>
      <c r="C69" s="95" cm="1">
        <f t="array" ref="C69">IF(Settings!$E$15="POINTS",RANK(E69,E3:E210),H69)</f>
        <v>67</v>
      </c>
      <c r="D69" s="18" t="str" cm="1">
        <f t="array" ref="D69">VLOOKUP(A69,'The List'!B1:F671,5,FALSE)</f>
        <v>NYR</v>
      </c>
      <c r="E69" s="55" cm="1">
        <f t="array" ref="E69">VLOOKUP(A69,'The List'!B1:I671,8,FALSE)</f>
        <v>256.20299605836851</v>
      </c>
      <c r="F69" s="55" cm="1">
        <f t="array" ref="F69">IF(Settings!$E$15="POINTS",E69-VLOOKUP(B$2,C1:E210,3,FALSE),J69)</f>
        <v>-143.10999725535157</v>
      </c>
      <c r="G69" s="55"/>
      <c r="H69" s="167" cm="1">
        <f t="array" ref="H69">RANK(I69,I3:I210)</f>
        <v>49</v>
      </c>
      <c r="I69" s="168" cm="1">
        <f t="array" ref="I69">VLOOKUP(A69,'Standard Deviations'!A1:C672,3,FALSE)</f>
        <v>2.9591452942435836</v>
      </c>
      <c r="J69" s="168" cm="1">
        <f t="array" ref="J69">I69-VLOOKUP(B$2,H1:J210,2,FALSE)</f>
        <v>-4.2120981176000756</v>
      </c>
    </row>
    <row r="70" spans="1:10" ht="21.25" customHeight="1" x14ac:dyDescent="0.15">
      <c r="A70" s="10" t="s">
        <v>408</v>
      </c>
      <c r="B70" s="94" t="str" cm="1">
        <f t="array" ref="B70">VLOOKUP(A70,'The List'!B1:D671,3,FALSE)</f>
        <v>C,LW,RW</v>
      </c>
      <c r="C70" s="95" cm="1">
        <f t="array" ref="C70">IF(Settings!$E$15="POINTS",RANK(E70,E3:E210),H70)</f>
        <v>68</v>
      </c>
      <c r="D70" s="18" t="str" cm="1">
        <f t="array" ref="D70">VLOOKUP(A70,'The List'!B1:F671,5,FALSE)</f>
        <v>STL</v>
      </c>
      <c r="E70" s="55" cm="1">
        <f t="array" ref="E70">VLOOKUP(A70,'The List'!B1:I671,8,FALSE)</f>
        <v>255.80639228294342</v>
      </c>
      <c r="F70" s="55" cm="1">
        <f t="array" ref="F70">IF(Settings!$E$15="POINTS",E70-VLOOKUP(B$2,C1:E210,3,FALSE),J70)</f>
        <v>-143.50660103077666</v>
      </c>
      <c r="G70" s="55"/>
      <c r="H70" s="167" cm="1">
        <f t="array" ref="H70">RANK(I70,I3:I210)</f>
        <v>79</v>
      </c>
      <c r="I70" s="168" cm="1">
        <f t="array" ref="I70">VLOOKUP(A70,'Standard Deviations'!A1:C672,3,FALSE)</f>
        <v>0.61588298517463802</v>
      </c>
      <c r="J70" s="168" cm="1">
        <f t="array" ref="J70">I70-VLOOKUP(B$2,H1:J210,2,FALSE)</f>
        <v>-6.5553604266690213</v>
      </c>
    </row>
    <row r="71" spans="1:10" ht="21.25" customHeight="1" x14ac:dyDescent="0.15">
      <c r="A71" s="10" t="s">
        <v>415</v>
      </c>
      <c r="B71" s="94" t="str" cm="1">
        <f t="array" ref="B71">VLOOKUP(A71,'The List'!B1:D671,3,FALSE)</f>
        <v>C,LW,RW</v>
      </c>
      <c r="C71" s="95" cm="1">
        <f t="array" ref="C71">IF(Settings!$E$15="POINTS",RANK(E71,E3:E210),H71)</f>
        <v>69</v>
      </c>
      <c r="D71" s="18" t="str" cm="1">
        <f t="array" ref="D71">VLOOKUP(A71,'The List'!B1:F671,5,FALSE)</f>
        <v>L.A</v>
      </c>
      <c r="E71" s="55" cm="1">
        <f t="array" ref="E71">VLOOKUP(A71,'The List'!B1:I671,8,FALSE)</f>
        <v>253.2762881512862</v>
      </c>
      <c r="F71" s="55" cm="1">
        <f t="array" ref="F71">IF(Settings!$E$15="POINTS",E71-VLOOKUP(B$2,C1:E210,3,FALSE),J71)</f>
        <v>-146.03670516243389</v>
      </c>
      <c r="G71" s="55"/>
      <c r="H71" s="167" cm="1">
        <f t="array" ref="H71">RANK(I71,I3:I210)</f>
        <v>77</v>
      </c>
      <c r="I71" s="168" cm="1">
        <f t="array" ref="I71">VLOOKUP(A71,'Standard Deviations'!A1:C672,3,FALSE)</f>
        <v>0.71110843045026217</v>
      </c>
      <c r="J71" s="168" cm="1">
        <f t="array" ref="J71">I71-VLOOKUP(B$2,H1:J210,2,FALSE)</f>
        <v>-6.4601349813933968</v>
      </c>
    </row>
    <row r="72" spans="1:10" ht="21.25" customHeight="1" x14ac:dyDescent="0.15">
      <c r="A72" s="10" t="s">
        <v>441</v>
      </c>
      <c r="B72" s="94" t="str" cm="1">
        <f t="array" ref="B72">VLOOKUP(A72,'The List'!B1:D671,3,FALSE)</f>
        <v>LW</v>
      </c>
      <c r="C72" s="95" cm="1">
        <f t="array" ref="C72">IF(Settings!$E$15="POINTS",RANK(E72,E3:E210),H72)</f>
        <v>70</v>
      </c>
      <c r="D72" s="18" t="str" cm="1">
        <f t="array" ref="D72">VLOOKUP(A72,'The List'!B1:F671,5,FALSE)</f>
        <v>ANA</v>
      </c>
      <c r="E72" s="55" cm="1">
        <f t="array" ref="E72">VLOOKUP(A72,'The List'!B1:I671,8,FALSE)</f>
        <v>250.38342753786964</v>
      </c>
      <c r="F72" s="55" cm="1">
        <f t="array" ref="F72">IF(Settings!$E$15="POINTS",E72-VLOOKUP(B$2,C1:E210,3,FALSE),J72)</f>
        <v>-148.92956577585045</v>
      </c>
      <c r="G72" s="55"/>
      <c r="H72" s="167" cm="1">
        <f t="array" ref="H72">RANK(I72,I3:I210)</f>
        <v>78</v>
      </c>
      <c r="I72" s="168" cm="1">
        <f t="array" ref="I72">VLOOKUP(A72,'Standard Deviations'!A1:C672,3,FALSE)</f>
        <v>0.65090912120033217</v>
      </c>
      <c r="J72" s="168" cm="1">
        <f t="array" ref="J72">I72-VLOOKUP(B$2,H1:J210,2,FALSE)</f>
        <v>-6.5203342906433273</v>
      </c>
    </row>
    <row r="73" spans="1:10" ht="21.25" customHeight="1" x14ac:dyDescent="0.15">
      <c r="A73" s="10" t="s">
        <v>444</v>
      </c>
      <c r="B73" s="94" t="str" cm="1">
        <f t="array" ref="B73">VLOOKUP(A73,'The List'!B1:D671,3,FALSE)</f>
        <v>C,LW</v>
      </c>
      <c r="C73" s="95" cm="1">
        <f t="array" ref="C73">IF(Settings!$E$15="POINTS",RANK(E73,E3:E210),H73)</f>
        <v>71</v>
      </c>
      <c r="D73" s="18" t="str" cm="1">
        <f t="array" ref="D73">VLOOKUP(A73,'The List'!B1:F671,5,FALSE)</f>
        <v>STL</v>
      </c>
      <c r="E73" s="55" cm="1">
        <f t="array" ref="E73">VLOOKUP(A73,'The List'!B1:I671,8,FALSE)</f>
        <v>249.80174671123874</v>
      </c>
      <c r="F73" s="55" cm="1">
        <f t="array" ref="F73">IF(Settings!$E$15="POINTS",E73-VLOOKUP(B$2,C1:E210,3,FALSE),J73)</f>
        <v>-149.51124660248135</v>
      </c>
      <c r="G73" s="55"/>
      <c r="H73" s="167" cm="1">
        <f t="array" ref="H73">RANK(I73,I3:I210)</f>
        <v>84</v>
      </c>
      <c r="I73" s="168" cm="1">
        <f t="array" ref="I73">VLOOKUP(A73,'Standard Deviations'!A1:C672,3,FALSE)</f>
        <v>0.30748761088008131</v>
      </c>
      <c r="J73" s="168" cm="1">
        <f t="array" ref="J73">I73-VLOOKUP(B$2,H1:J210,2,FALSE)</f>
        <v>-6.8637558009635775</v>
      </c>
    </row>
    <row r="74" spans="1:10" ht="21.25" customHeight="1" x14ac:dyDescent="0.15">
      <c r="A74" s="10" t="s">
        <v>433</v>
      </c>
      <c r="B74" s="94" t="str" cm="1">
        <f t="array" ref="B74">VLOOKUP(A74,'The List'!B1:D671,3,FALSE)</f>
        <v>LW,RW</v>
      </c>
      <c r="C74" s="95" cm="1">
        <f t="array" ref="C74">IF(Settings!$E$15="POINTS",RANK(E74,E3:E210),H74)</f>
        <v>72</v>
      </c>
      <c r="D74" s="18" t="str" cm="1">
        <f t="array" ref="D74">VLOOKUP(A74,'The List'!B1:F671,5,FALSE)</f>
        <v>CGY</v>
      </c>
      <c r="E74" s="55" cm="1">
        <f t="array" ref="E74">VLOOKUP(A74,'The List'!B1:I671,8,FALSE)</f>
        <v>247.8910043918896</v>
      </c>
      <c r="F74" s="55" cm="1">
        <f t="array" ref="F74">IF(Settings!$E$15="POINTS",E74-VLOOKUP(B$2,C1:E210,3,FALSE),J74)</f>
        <v>-151.42198892183049</v>
      </c>
      <c r="G74" s="55"/>
      <c r="H74" s="167" cm="1">
        <f t="array" ref="H74">RANK(I74,I3:I210)</f>
        <v>88</v>
      </c>
      <c r="I74" s="168" cm="1">
        <f t="array" ref="I74">VLOOKUP(A74,'Standard Deviations'!A1:C672,3,FALSE)</f>
        <v>-0.14843779444304334</v>
      </c>
      <c r="J74" s="168" cm="1">
        <f t="array" ref="J74">I74-VLOOKUP(B$2,H1:J210,2,FALSE)</f>
        <v>-7.3196812062867025</v>
      </c>
    </row>
    <row r="75" spans="1:10" ht="21.25" customHeight="1" x14ac:dyDescent="0.15">
      <c r="A75" s="10" t="s">
        <v>449</v>
      </c>
      <c r="B75" s="94" t="str" cm="1">
        <f t="array" ref="B75">VLOOKUP(A75,'The List'!B1:D671,3,FALSE)</f>
        <v>C,LW</v>
      </c>
      <c r="C75" s="95" cm="1">
        <f t="array" ref="C75">IF(Settings!$E$15="POINTS",RANK(E75,E3:E210),H75)</f>
        <v>73</v>
      </c>
      <c r="D75" s="18" t="str" cm="1">
        <f t="array" ref="D75">VLOOKUP(A75,'The List'!B1:F671,5,FALSE)</f>
        <v>MIN</v>
      </c>
      <c r="E75" s="55" cm="1">
        <f t="array" ref="E75">VLOOKUP(A75,'The List'!B1:I671,8,FALSE)</f>
        <v>247.62695514849818</v>
      </c>
      <c r="F75" s="55" cm="1">
        <f t="array" ref="F75">IF(Settings!$E$15="POINTS",E75-VLOOKUP(B$2,C1:E210,3,FALSE),J75)</f>
        <v>-151.6860381652219</v>
      </c>
      <c r="G75" s="55"/>
      <c r="H75" s="167" cm="1">
        <f t="array" ref="H75">RANK(I75,I3:I210)</f>
        <v>53</v>
      </c>
      <c r="I75" s="168" cm="1">
        <f t="array" ref="I75">VLOOKUP(A75,'Standard Deviations'!A1:C672,3,FALSE)</f>
        <v>2.6355760302936462</v>
      </c>
      <c r="J75" s="168" cm="1">
        <f t="array" ref="J75">I75-VLOOKUP(B$2,H1:J210,2,FALSE)</f>
        <v>-4.535667381550013</v>
      </c>
    </row>
    <row r="76" spans="1:10" ht="21.25" customHeight="1" x14ac:dyDescent="0.15">
      <c r="A76" s="10" t="s">
        <v>438</v>
      </c>
      <c r="B76" s="94" t="str" cm="1">
        <f t="array" ref="B76">VLOOKUP(A76,'The List'!B1:D671,3,FALSE)</f>
        <v>LW,RW</v>
      </c>
      <c r="C76" s="95" cm="1">
        <f t="array" ref="C76">IF(Settings!$E$15="POINTS",RANK(E76,E3:E210),H76)</f>
        <v>74</v>
      </c>
      <c r="D76" s="18" t="str" cm="1">
        <f t="array" ref="D76">VLOOKUP(A76,'The List'!B1:F671,5,FALSE)</f>
        <v>SEA</v>
      </c>
      <c r="E76" s="55" cm="1">
        <f t="array" ref="E76">VLOOKUP(A76,'The List'!B1:I671,8,FALSE)</f>
        <v>246.68167413291556</v>
      </c>
      <c r="F76" s="55" cm="1">
        <f t="array" ref="F76">IF(Settings!$E$15="POINTS",E76-VLOOKUP(B$2,C1:E210,3,FALSE),J76)</f>
        <v>-152.63131918080452</v>
      </c>
      <c r="G76" s="55"/>
      <c r="H76" s="167" cm="1">
        <f t="array" ref="H76">RANK(I76,I3:I210)</f>
        <v>94</v>
      </c>
      <c r="I76" s="168" cm="1">
        <f t="array" ref="I76">VLOOKUP(A76,'Standard Deviations'!A1:C672,3,FALSE)</f>
        <v>-0.35454343235129859</v>
      </c>
      <c r="J76" s="168" cm="1">
        <f t="array" ref="J76">I76-VLOOKUP(B$2,H1:J210,2,FALSE)</f>
        <v>-7.5257868441949576</v>
      </c>
    </row>
    <row r="77" spans="1:10" ht="21.25" customHeight="1" x14ac:dyDescent="0.15">
      <c r="A77" s="10" t="s">
        <v>453</v>
      </c>
      <c r="B77" s="94" t="str" cm="1">
        <f t="array" ref="B77">VLOOKUP(A77,'The List'!B1:D671,3,FALSE)</f>
        <v>C,LW</v>
      </c>
      <c r="C77" s="95" cm="1">
        <f t="array" ref="C77">IF(Settings!$E$15="POINTS",RANK(E77,E3:E210),H77)</f>
        <v>75</v>
      </c>
      <c r="D77" s="18" t="str" cm="1">
        <f t="array" ref="D77">VLOOKUP(A77,'The List'!B1:F671,5,FALSE)</f>
        <v>WSH</v>
      </c>
      <c r="E77" s="55" cm="1">
        <f t="array" ref="E77">VLOOKUP(A77,'The List'!B1:I671,8,FALSE)</f>
        <v>246.56140976422114</v>
      </c>
      <c r="F77" s="55" cm="1">
        <f t="array" ref="F77">IF(Settings!$E$15="POINTS",E77-VLOOKUP(B$2,C1:E210,3,FALSE),J77)</f>
        <v>-152.75158354949895</v>
      </c>
      <c r="G77" s="55"/>
      <c r="H77" s="167" cm="1">
        <f t="array" ref="H77">RANK(I77,I3:I210)</f>
        <v>52</v>
      </c>
      <c r="I77" s="168" cm="1">
        <f t="array" ref="I77">VLOOKUP(A77,'Standard Deviations'!A1:C672,3,FALSE)</f>
        <v>2.729344552414636</v>
      </c>
      <c r="J77" s="168" cm="1">
        <f t="array" ref="J77">I77-VLOOKUP(B$2,H1:J210,2,FALSE)</f>
        <v>-4.4418988594290232</v>
      </c>
    </row>
    <row r="78" spans="1:10" ht="21.25" customHeight="1" x14ac:dyDescent="0.15">
      <c r="A78" s="10" t="s">
        <v>454</v>
      </c>
      <c r="B78" s="94" t="str" cm="1">
        <f t="array" ref="B78">VLOOKUP(A78,'The List'!B1:D671,3,FALSE)</f>
        <v>LW</v>
      </c>
      <c r="C78" s="95" cm="1">
        <f t="array" ref="C78">IF(Settings!$E$15="POINTS",RANK(E78,E3:E210),H78)</f>
        <v>76</v>
      </c>
      <c r="D78" s="18" t="str" cm="1">
        <f t="array" ref="D78">VLOOKUP(A78,'The List'!B1:F671,5,FALSE)</f>
        <v>S.J</v>
      </c>
      <c r="E78" s="55" cm="1">
        <f t="array" ref="E78">VLOOKUP(A78,'The List'!B1:I671,8,FALSE)</f>
        <v>246.21496204163947</v>
      </c>
      <c r="F78" s="55" cm="1">
        <f t="array" ref="F78">IF(Settings!$E$15="POINTS",E78-VLOOKUP(B$2,C1:E210,3,FALSE),J78)</f>
        <v>-153.09803127208062</v>
      </c>
      <c r="G78" s="55"/>
      <c r="H78" s="167" cm="1">
        <f t="array" ref="H78">RANK(I78,I3:I210)</f>
        <v>57</v>
      </c>
      <c r="I78" s="168" cm="1">
        <f t="array" ref="I78">VLOOKUP(A78,'Standard Deviations'!A1:C672,3,FALSE)</f>
        <v>2.0135471327664427</v>
      </c>
      <c r="J78" s="168" cm="1">
        <f t="array" ref="J78">I78-VLOOKUP(B$2,H1:J210,2,FALSE)</f>
        <v>-5.1576962790772161</v>
      </c>
    </row>
    <row r="79" spans="1:10" ht="21.25" customHeight="1" x14ac:dyDescent="0.15">
      <c r="A79" s="10" t="s">
        <v>446</v>
      </c>
      <c r="B79" s="94" t="str" cm="1">
        <f t="array" ref="B79">VLOOKUP(A79,'The List'!B1:D671,3,FALSE)</f>
        <v>LW,RW</v>
      </c>
      <c r="C79" s="95" cm="1">
        <f t="array" ref="C79">IF(Settings!$E$15="POINTS",RANK(E79,E3:E210),H79)</f>
        <v>77</v>
      </c>
      <c r="D79" s="18" t="str" cm="1">
        <f t="array" ref="D79">VLOOKUP(A79,'The List'!B1:F671,5,FALSE)</f>
        <v>PHI</v>
      </c>
      <c r="E79" s="55" cm="1">
        <f t="array" ref="E79">VLOOKUP(A79,'The List'!B1:I671,8,FALSE)</f>
        <v>244.24824323143201</v>
      </c>
      <c r="F79" s="55" cm="1">
        <f t="array" ref="F79">IF(Settings!$E$15="POINTS",E79-VLOOKUP(B$2,C1:E210,3,FALSE),J79)</f>
        <v>-155.06475008228807</v>
      </c>
      <c r="G79" s="55"/>
      <c r="H79" s="167" cm="1">
        <f t="array" ref="H79">RANK(I79,I3:I210)</f>
        <v>67</v>
      </c>
      <c r="I79" s="168" cm="1">
        <f t="array" ref="I79">VLOOKUP(A79,'Standard Deviations'!A1:C672,3,FALSE)</f>
        <v>1.4528495260984955</v>
      </c>
      <c r="J79" s="168" cm="1">
        <f t="array" ref="J79">I79-VLOOKUP(B$2,H1:J210,2,FALSE)</f>
        <v>-5.7183938857451633</v>
      </c>
    </row>
    <row r="80" spans="1:10" ht="21.25" customHeight="1" x14ac:dyDescent="0.15">
      <c r="A80" s="10" t="s">
        <v>458</v>
      </c>
      <c r="B80" s="94" t="str" cm="1">
        <f t="array" ref="B80">VLOOKUP(A80,'The List'!B1:D671,3,FALSE)</f>
        <v>LW</v>
      </c>
      <c r="C80" s="95" cm="1">
        <f t="array" ref="C80">IF(Settings!$E$15="POINTS",RANK(E80,E3:E210),H80)</f>
        <v>78</v>
      </c>
      <c r="D80" s="18" t="str" cm="1">
        <f t="array" ref="D80">VLOOKUP(A80,'The List'!B1:F671,5,FALSE)</f>
        <v>VGK</v>
      </c>
      <c r="E80" s="55" cm="1">
        <f t="array" ref="E80">VLOOKUP(A80,'The List'!B1:I671,8,FALSE)</f>
        <v>244.14782927288812</v>
      </c>
      <c r="F80" s="55" cm="1">
        <f t="array" ref="F80">IF(Settings!$E$15="POINTS",E80-VLOOKUP(B$2,C1:E210,3,FALSE),J80)</f>
        <v>-155.16516404083197</v>
      </c>
      <c r="G80" s="55"/>
      <c r="H80" s="167" cm="1">
        <f t="array" ref="H80">RANK(I80,I3:I210)</f>
        <v>76</v>
      </c>
      <c r="I80" s="168" cm="1">
        <f t="array" ref="I80">VLOOKUP(A80,'Standard Deviations'!A1:C672,3,FALSE)</f>
        <v>0.90128850940133165</v>
      </c>
      <c r="J80" s="168" cm="1">
        <f t="array" ref="J80">I80-VLOOKUP(B$2,H1:J210,2,FALSE)</f>
        <v>-6.2699549024423273</v>
      </c>
    </row>
    <row r="81" spans="1:10" ht="21.25" customHeight="1" x14ac:dyDescent="0.15">
      <c r="A81" s="10" t="s">
        <v>471</v>
      </c>
      <c r="B81" s="94" t="str" cm="1">
        <f t="array" ref="B81">VLOOKUP(A81,'The List'!B1:D671,3,FALSE)</f>
        <v>LW</v>
      </c>
      <c r="C81" s="95" cm="1">
        <f t="array" ref="C81">IF(Settings!$E$15="POINTS",RANK(E81,E3:E210),H81)</f>
        <v>79</v>
      </c>
      <c r="D81" s="18" t="str" cm="1">
        <f t="array" ref="D81">VLOOKUP(A81,'The List'!B1:F671,5,FALSE)</f>
        <v>CBJ</v>
      </c>
      <c r="E81" s="55" cm="1">
        <f t="array" ref="E81">VLOOKUP(A81,'The List'!B1:I671,8,FALSE)</f>
        <v>239.05364304708453</v>
      </c>
      <c r="F81" s="55" cm="1">
        <f t="array" ref="F81">IF(Settings!$E$15="POINTS",E81-VLOOKUP(B$2,C1:E210,3,FALSE),J81)</f>
        <v>-160.25935026663555</v>
      </c>
      <c r="G81" s="55"/>
      <c r="H81" s="167" cm="1">
        <f t="array" ref="H81">RANK(I81,I3:I210)</f>
        <v>50</v>
      </c>
      <c r="I81" s="168" cm="1">
        <f t="array" ref="I81">VLOOKUP(A81,'Standard Deviations'!A1:C672,3,FALSE)</f>
        <v>2.8966889720818676</v>
      </c>
      <c r="J81" s="168" cm="1">
        <f t="array" ref="J81">I81-VLOOKUP(B$2,H1:J210,2,FALSE)</f>
        <v>-4.2745544397617916</v>
      </c>
    </row>
    <row r="82" spans="1:10" ht="21.25" customHeight="1" x14ac:dyDescent="0.15">
      <c r="A82" s="10" t="s">
        <v>463</v>
      </c>
      <c r="B82" s="94" t="str" cm="1">
        <f t="array" ref="B82">VLOOKUP(A82,'The List'!B1:D671,3,FALSE)</f>
        <v>LW,RW</v>
      </c>
      <c r="C82" s="95" cm="1">
        <f t="array" ref="C82">IF(Settings!$E$15="POINTS",RANK(E82,E3:E210),H82)</f>
        <v>80</v>
      </c>
      <c r="D82" s="18" t="str" cm="1">
        <f t="array" ref="D82">VLOOKUP(A82,'The List'!B1:F671,5,FALSE)</f>
        <v>NYI</v>
      </c>
      <c r="E82" s="55" cm="1">
        <f t="array" ref="E82">VLOOKUP(A82,'The List'!B1:I671,8,FALSE)</f>
        <v>238.25643493939344</v>
      </c>
      <c r="F82" s="55" cm="1">
        <f t="array" ref="F82">IF(Settings!$E$15="POINTS",E82-VLOOKUP(B$2,C1:E210,3,FALSE),J82)</f>
        <v>-161.05655837432664</v>
      </c>
      <c r="G82" s="55"/>
      <c r="H82" s="167" cm="1">
        <f t="array" ref="H82">RANK(I82,I3:I210)</f>
        <v>117</v>
      </c>
      <c r="I82" s="168" cm="1">
        <f t="array" ref="I82">VLOOKUP(A82,'Standard Deviations'!A1:C672,3,FALSE)</f>
        <v>-1.4827693340308725</v>
      </c>
      <c r="J82" s="168" cm="1">
        <f t="array" ref="J82">I82-VLOOKUP(B$2,H1:J210,2,FALSE)</f>
        <v>-8.6540127458745317</v>
      </c>
    </row>
    <row r="83" spans="1:10" ht="21.25" customHeight="1" x14ac:dyDescent="0.15">
      <c r="A83" s="10" t="s">
        <v>465</v>
      </c>
      <c r="B83" s="94" t="str" cm="1">
        <f t="array" ref="B83">VLOOKUP(A83,'The List'!B1:D671,3,FALSE)</f>
        <v>LW,RW</v>
      </c>
      <c r="C83" s="95" cm="1">
        <f t="array" ref="C83">IF(Settings!$E$15="POINTS",RANK(E83,E3:E210),H83)</f>
        <v>81</v>
      </c>
      <c r="D83" s="18" t="str" cm="1">
        <f t="array" ref="D83">VLOOKUP(A83,'The List'!B1:F671,5,FALSE)</f>
        <v>COL</v>
      </c>
      <c r="E83" s="55" cm="1">
        <f t="array" ref="E83">VLOOKUP(A83,'The List'!B1:I671,8,FALSE)</f>
        <v>237.93001367595139</v>
      </c>
      <c r="F83" s="55" cm="1">
        <f t="array" ref="F83">IF(Settings!$E$15="POINTS",E83-VLOOKUP(B$2,C1:E210,3,FALSE),J83)</f>
        <v>-161.3829796377687</v>
      </c>
      <c r="G83" s="55"/>
      <c r="H83" s="167" cm="1">
        <f t="array" ref="H83">RANK(I83,I3:I210)</f>
        <v>59</v>
      </c>
      <c r="I83" s="168" cm="1">
        <f t="array" ref="I83">VLOOKUP(A83,'Standard Deviations'!A1:C672,3,FALSE)</f>
        <v>1.8472576901589584</v>
      </c>
      <c r="J83" s="168" cm="1">
        <f t="array" ref="J83">I83-VLOOKUP(B$2,H1:J210,2,FALSE)</f>
        <v>-5.3239857216847009</v>
      </c>
    </row>
    <row r="84" spans="1:10" ht="21.25" customHeight="1" x14ac:dyDescent="0.15">
      <c r="A84" s="10" t="s">
        <v>473</v>
      </c>
      <c r="B84" s="94" t="str" cm="1">
        <f t="array" ref="B84">VLOOKUP(A84,'The List'!B1:D671,3,FALSE)</f>
        <v>LW,RW</v>
      </c>
      <c r="C84" s="95" cm="1">
        <f t="array" ref="C84">IF(Settings!$E$15="POINTS",RANK(E84,E3:E210),H84)</f>
        <v>82</v>
      </c>
      <c r="D84" s="18" t="str" cm="1">
        <f t="array" ref="D84">VLOOKUP(A84,'The List'!B1:F671,5,FALSE)</f>
        <v>CGY</v>
      </c>
      <c r="E84" s="55" cm="1">
        <f t="array" ref="E84">VLOOKUP(A84,'The List'!B1:I671,8,FALSE)</f>
        <v>234.23682361122701</v>
      </c>
      <c r="F84" s="55" cm="1">
        <f t="array" ref="F84">IF(Settings!$E$15="POINTS",E84-VLOOKUP(B$2,C1:E210,3,FALSE),J84)</f>
        <v>-165.07616970249308</v>
      </c>
      <c r="G84" s="55"/>
      <c r="H84" s="167" cm="1">
        <f t="array" ref="H84">RANK(I84,I3:I210)</f>
        <v>118</v>
      </c>
      <c r="I84" s="168" cm="1">
        <f t="array" ref="I84">VLOOKUP(A84,'Standard Deviations'!A1:C672,3,FALSE)</f>
        <v>-1.4841110149228107</v>
      </c>
      <c r="J84" s="168" cm="1">
        <f t="array" ref="J84">I84-VLOOKUP(B$2,H1:J210,2,FALSE)</f>
        <v>-8.6553544267664702</v>
      </c>
    </row>
    <row r="85" spans="1:10" ht="21.25" customHeight="1" x14ac:dyDescent="0.15">
      <c r="A85" s="10" t="s">
        <v>475</v>
      </c>
      <c r="B85" s="94" t="str" cm="1">
        <f t="array" ref="B85">VLOOKUP(A85,'The List'!B1:D671,3,FALSE)</f>
        <v>LW,RW</v>
      </c>
      <c r="C85" s="95" cm="1">
        <f t="array" ref="C85">IF(Settings!$E$15="POINTS",RANK(E85,E3:E210),H85)</f>
        <v>83</v>
      </c>
      <c r="D85" s="18" t="str" cm="1">
        <f t="array" ref="D85">VLOOKUP(A85,'The List'!B1:F671,5,FALSE)</f>
        <v>S.J</v>
      </c>
      <c r="E85" s="55" cm="1">
        <f t="array" ref="E85">VLOOKUP(A85,'The List'!B1:I671,8,FALSE)</f>
        <v>233.42358565716344</v>
      </c>
      <c r="F85" s="55" cm="1">
        <f t="array" ref="F85">IF(Settings!$E$15="POINTS",E85-VLOOKUP(B$2,C1:E210,3,FALSE),J85)</f>
        <v>-165.88940765655664</v>
      </c>
      <c r="G85" s="55"/>
      <c r="H85" s="167" cm="1">
        <f t="array" ref="H85">RANK(I85,I3:I210)</f>
        <v>75</v>
      </c>
      <c r="I85" s="168" cm="1">
        <f t="array" ref="I85">VLOOKUP(A85,'Standard Deviations'!A1:C672,3,FALSE)</f>
        <v>0.93339761750421846</v>
      </c>
      <c r="J85" s="168" cm="1">
        <f t="array" ref="J85">I85-VLOOKUP(B$2,H1:J210,2,FALSE)</f>
        <v>-6.2378457943394405</v>
      </c>
    </row>
    <row r="86" spans="1:10" ht="21.25" customHeight="1" x14ac:dyDescent="0.15">
      <c r="A86" s="10" t="s">
        <v>488</v>
      </c>
      <c r="B86" s="94" t="str" cm="1">
        <f t="array" ref="B86">VLOOKUP(A86,'The List'!B1:D671,3,FALSE)</f>
        <v>LW</v>
      </c>
      <c r="C86" s="95" cm="1">
        <f t="array" ref="C86">IF(Settings!$E$15="POINTS",RANK(E86,E3:E210),H86)</f>
        <v>84</v>
      </c>
      <c r="D86" s="18" t="str" cm="1">
        <f t="array" ref="D86">VLOOKUP(A86,'The List'!B1:F671,5,FALSE)</f>
        <v>UTA</v>
      </c>
      <c r="E86" s="55" cm="1">
        <f t="array" ref="E86">VLOOKUP(A86,'The List'!B1:I671,8,FALSE)</f>
        <v>233.15342394454839</v>
      </c>
      <c r="F86" s="55" cm="1">
        <f t="array" ref="F86">IF(Settings!$E$15="POINTS",E86-VLOOKUP(B$2,C1:E210,3,FALSE),J86)</f>
        <v>-166.15956936917169</v>
      </c>
      <c r="G86" s="55"/>
      <c r="H86" s="167" cm="1">
        <f t="array" ref="H86">RANK(I86,I3:I210)</f>
        <v>62</v>
      </c>
      <c r="I86" s="168" cm="1">
        <f t="array" ref="I86">VLOOKUP(A86,'Standard Deviations'!A1:C672,3,FALSE)</f>
        <v>1.6432502148801309</v>
      </c>
      <c r="J86" s="168" cm="1">
        <f t="array" ref="J86">I86-VLOOKUP(B$2,H1:J210,2,FALSE)</f>
        <v>-5.5279931969635285</v>
      </c>
    </row>
    <row r="87" spans="1:10" ht="21.25" customHeight="1" x14ac:dyDescent="0.15">
      <c r="A87" s="10" t="s">
        <v>501</v>
      </c>
      <c r="B87" s="94" t="str" cm="1">
        <f t="array" ref="B87">VLOOKUP(A87,'The List'!B1:D671,3,FALSE)</f>
        <v>C,LW</v>
      </c>
      <c r="C87" s="95" cm="1">
        <f t="array" ref="C87">IF(Settings!$E$15="POINTS",RANK(E87,E3:E210),H87)</f>
        <v>85</v>
      </c>
      <c r="D87" s="18" t="str" cm="1">
        <f t="array" ref="D87">VLOOKUP(A87,'The List'!B1:F671,5,FALSE)</f>
        <v>DET</v>
      </c>
      <c r="E87" s="55" cm="1">
        <f t="array" ref="E87">VLOOKUP(A87,'The List'!B1:I671,8,FALSE)</f>
        <v>227.73875813709486</v>
      </c>
      <c r="F87" s="55" cm="1">
        <f t="array" ref="F87">IF(Settings!$E$15="POINTS",E87-VLOOKUP(B$2,C1:E210,3,FALSE),J87)</f>
        <v>-171.57423517662522</v>
      </c>
      <c r="G87" s="55"/>
      <c r="H87" s="167" cm="1">
        <f t="array" ref="H87">RANK(I87,I3:I210)</f>
        <v>96</v>
      </c>
      <c r="I87" s="168" cm="1">
        <f t="array" ref="I87">VLOOKUP(A87,'Standard Deviations'!A1:C672,3,FALSE)</f>
        <v>-0.51537758583287419</v>
      </c>
      <c r="J87" s="168" cm="1">
        <f t="array" ref="J87">I87-VLOOKUP(B$2,H1:J210,2,FALSE)</f>
        <v>-7.686620997676533</v>
      </c>
    </row>
    <row r="88" spans="1:10" ht="21.25" customHeight="1" x14ac:dyDescent="0.15">
      <c r="A88" s="10" t="s">
        <v>497</v>
      </c>
      <c r="B88" s="94" t="str" cm="1">
        <f t="array" ref="B88">VLOOKUP(A88,'The List'!B1:D671,3,FALSE)</f>
        <v>LW,RW</v>
      </c>
      <c r="C88" s="95" cm="1">
        <f t="array" ref="C88">IF(Settings!$E$15="POINTS",RANK(E88,E3:E210),H88)</f>
        <v>86</v>
      </c>
      <c r="D88" s="18" t="str" cm="1">
        <f t="array" ref="D88">VLOOKUP(A88,'The List'!B1:F671,5,FALSE)</f>
        <v>NSH</v>
      </c>
      <c r="E88" s="55" cm="1">
        <f t="array" ref="E88">VLOOKUP(A88,'The List'!B1:I671,8,FALSE)</f>
        <v>225.10089917070135</v>
      </c>
      <c r="F88" s="55" cm="1">
        <f t="array" ref="F88">IF(Settings!$E$15="POINTS",E88-VLOOKUP(B$2,C1:E210,3,FALSE),J88)</f>
        <v>-174.21209414301873</v>
      </c>
      <c r="G88" s="55"/>
      <c r="H88" s="167" cm="1">
        <f t="array" ref="H88">RANK(I88,I3:I210)</f>
        <v>107</v>
      </c>
      <c r="I88" s="168" cm="1">
        <f t="array" ref="I88">VLOOKUP(A88,'Standard Deviations'!A1:C672,3,FALSE)</f>
        <v>-1.0889641903433511</v>
      </c>
      <c r="J88" s="168" cm="1">
        <f t="array" ref="J88">I88-VLOOKUP(B$2,H1:J210,2,FALSE)</f>
        <v>-8.2602076021870108</v>
      </c>
    </row>
    <row r="89" spans="1:10" ht="21.25" customHeight="1" x14ac:dyDescent="0.15">
      <c r="A89" s="10" t="s">
        <v>514</v>
      </c>
      <c r="B89" s="94" t="str" cm="1">
        <f t="array" ref="B89">VLOOKUP(A89,'The List'!B1:D671,3,FALSE)</f>
        <v>LW</v>
      </c>
      <c r="C89" s="95" cm="1">
        <f t="array" ref="C89">IF(Settings!$E$15="POINTS",RANK(E89,E3:E210),H89)</f>
        <v>87</v>
      </c>
      <c r="D89" s="18" t="str" cm="1">
        <f t="array" ref="D89">VLOOKUP(A89,'The List'!B1:F671,5,FALSE)</f>
        <v>CAR</v>
      </c>
      <c r="E89" s="55" cm="1">
        <f t="array" ref="E89">VLOOKUP(A89,'The List'!B1:I671,8,FALSE)</f>
        <v>225.08835462832945</v>
      </c>
      <c r="F89" s="55" cm="1">
        <f t="array" ref="F89">IF(Settings!$E$15="POINTS",E89-VLOOKUP(B$2,C1:E210,3,FALSE),J89)</f>
        <v>-174.22463868539063</v>
      </c>
      <c r="G89" s="55"/>
      <c r="H89" s="167" cm="1">
        <f t="array" ref="H89">RANK(I89,I3:I210)</f>
        <v>69</v>
      </c>
      <c r="I89" s="168" cm="1">
        <f t="array" ref="I89">VLOOKUP(A89,'Standard Deviations'!A1:C672,3,FALSE)</f>
        <v>1.3669587734359581</v>
      </c>
      <c r="J89" s="168" cm="1">
        <f t="array" ref="J89">I89-VLOOKUP(B$2,H1:J210,2,FALSE)</f>
        <v>-5.8042846384077009</v>
      </c>
    </row>
    <row r="90" spans="1:10" ht="21.25" customHeight="1" x14ac:dyDescent="0.15">
      <c r="A90" s="10" t="s">
        <v>499</v>
      </c>
      <c r="B90" s="94" t="str" cm="1">
        <f t="array" ref="B90">VLOOKUP(A90,'The List'!B1:D671,3,FALSE)</f>
        <v>LW,RW</v>
      </c>
      <c r="C90" s="95" cm="1">
        <f t="array" ref="C90">IF(Settings!$E$15="POINTS",RANK(E90,E3:E210),H90)</f>
        <v>88</v>
      </c>
      <c r="D90" s="18" t="str" cm="1">
        <f t="array" ref="D90">VLOOKUP(A90,'The List'!B1:F671,5,FALSE)</f>
        <v>S.J</v>
      </c>
      <c r="E90" s="55" cm="1">
        <f t="array" ref="E90">VLOOKUP(A90,'The List'!B1:I671,8,FALSE)</f>
        <v>224.99141928825057</v>
      </c>
      <c r="F90" s="55" cm="1">
        <f t="array" ref="F90">IF(Settings!$E$15="POINTS",E90-VLOOKUP(B$2,C1:E210,3,FALSE),J90)</f>
        <v>-174.32157402546952</v>
      </c>
      <c r="G90" s="55"/>
      <c r="H90" s="167" cm="1">
        <f t="array" ref="H90">RANK(I90,I3:I210)</f>
        <v>127</v>
      </c>
      <c r="I90" s="168" cm="1">
        <f t="array" ref="I90">VLOOKUP(A90,'Standard Deviations'!A1:C672,3,FALSE)</f>
        <v>-1.8541813487518164</v>
      </c>
      <c r="J90" s="168" cm="1">
        <f t="array" ref="J90">I90-VLOOKUP(B$2,H1:J210,2,FALSE)</f>
        <v>-9.0254247605954756</v>
      </c>
    </row>
    <row r="91" spans="1:10" ht="21.25" customHeight="1" x14ac:dyDescent="0.15">
      <c r="A91" s="10" t="s">
        <v>500</v>
      </c>
      <c r="B91" s="94" t="str" cm="1">
        <f t="array" ref="B91">VLOOKUP(A91,'The List'!B1:D671,3,FALSE)</f>
        <v>LW,RW</v>
      </c>
      <c r="C91" s="95" cm="1">
        <f t="array" ref="C91">IF(Settings!$E$15="POINTS",RANK(E91,E3:E210),H91)</f>
        <v>89</v>
      </c>
      <c r="D91" s="18" t="str" cm="1">
        <f t="array" ref="D91">VLOOKUP(A91,'The List'!B1:F671,5,FALSE)</f>
        <v>PIT</v>
      </c>
      <c r="E91" s="55" cm="1">
        <f t="array" ref="E91">VLOOKUP(A91,'The List'!B1:I671,8,FALSE)</f>
        <v>224.38293977864012</v>
      </c>
      <c r="F91" s="55" cm="1">
        <f t="array" ref="F91">IF(Settings!$E$15="POINTS",E91-VLOOKUP(B$2,C1:E210,3,FALSE),J91)</f>
        <v>-174.93005353507996</v>
      </c>
      <c r="G91" s="55"/>
      <c r="H91" s="167" cm="1">
        <f t="array" ref="H91">RANK(I91,I3:I210)</f>
        <v>114</v>
      </c>
      <c r="I91" s="168" cm="1">
        <f t="array" ref="I91">VLOOKUP(A91,'Standard Deviations'!A1:C672,3,FALSE)</f>
        <v>-1.4675488701250905</v>
      </c>
      <c r="J91" s="168" cm="1">
        <f t="array" ref="J91">I91-VLOOKUP(B$2,H1:J210,2,FALSE)</f>
        <v>-8.6387922819687493</v>
      </c>
    </row>
    <row r="92" spans="1:10" ht="21.25" customHeight="1" x14ac:dyDescent="0.15">
      <c r="A92" s="10" t="s">
        <v>502</v>
      </c>
      <c r="B92" s="94" t="str" cm="1">
        <f t="array" ref="B92">VLOOKUP(A92,'The List'!B1:D671,3,FALSE)</f>
        <v>LW,RW</v>
      </c>
      <c r="C92" s="95" cm="1">
        <f t="array" ref="C92">IF(Settings!$E$15="POINTS",RANK(E92,E3:E210),H92)</f>
        <v>90</v>
      </c>
      <c r="D92" s="18" t="str" cm="1">
        <f t="array" ref="D92">VLOOKUP(A92,'The List'!B1:F671,5,FALSE)</f>
        <v>S.J</v>
      </c>
      <c r="E92" s="55" cm="1">
        <f t="array" ref="E92">VLOOKUP(A92,'The List'!B1:I671,8,FALSE)</f>
        <v>223.08884803982193</v>
      </c>
      <c r="F92" s="55" cm="1">
        <f t="array" ref="F92">IF(Settings!$E$15="POINTS",E92-VLOOKUP(B$2,C1:E210,3,FALSE),J92)</f>
        <v>-176.22414527389816</v>
      </c>
      <c r="G92" s="55"/>
      <c r="H92" s="167" cm="1">
        <f t="array" ref="H92">RANK(I92,I3:I210)</f>
        <v>104</v>
      </c>
      <c r="I92" s="168" cm="1">
        <f t="array" ref="I92">VLOOKUP(A92,'Standard Deviations'!A1:C672,3,FALSE)</f>
        <v>-1.0169378886055078</v>
      </c>
      <c r="J92" s="168" cm="1">
        <f t="array" ref="J92">I92-VLOOKUP(B$2,H1:J210,2,FALSE)</f>
        <v>-8.1881813004491661</v>
      </c>
    </row>
    <row r="93" spans="1:10" ht="21.25" customHeight="1" x14ac:dyDescent="0.15">
      <c r="A93" s="10" t="s">
        <v>521</v>
      </c>
      <c r="B93" s="94" t="str" cm="1">
        <f t="array" ref="B93">VLOOKUP(A93,'The List'!B1:D671,3,FALSE)</f>
        <v>C,LW,RW</v>
      </c>
      <c r="C93" s="95" cm="1">
        <f t="array" ref="C93">IF(Settings!$E$15="POINTS",RANK(E93,E3:E210),H93)</f>
        <v>91</v>
      </c>
      <c r="D93" s="18" t="str" cm="1">
        <f t="array" ref="D93">VLOOKUP(A93,'The List'!B1:F671,5,FALSE)</f>
        <v>OTT</v>
      </c>
      <c r="E93" s="55" cm="1">
        <f t="array" ref="E93">VLOOKUP(A93,'The List'!B1:I671,8,FALSE)</f>
        <v>216.25971582303217</v>
      </c>
      <c r="F93" s="55" cm="1">
        <f t="array" ref="F93">IF(Settings!$E$15="POINTS",E93-VLOOKUP(B$2,C1:E210,3,FALSE),J93)</f>
        <v>-183.05327749068792</v>
      </c>
      <c r="G93" s="55"/>
      <c r="H93" s="167" cm="1">
        <f t="array" ref="H93">RANK(I93,I3:I210)</f>
        <v>89</v>
      </c>
      <c r="I93" s="168" cm="1">
        <f t="array" ref="I93">VLOOKUP(A93,'Standard Deviations'!A1:C672,3,FALSE)</f>
        <v>-0.17575097875840084</v>
      </c>
      <c r="J93" s="168" cm="1">
        <f t="array" ref="J93">I93-VLOOKUP(B$2,H1:J210,2,FALSE)</f>
        <v>-7.3469943906020596</v>
      </c>
    </row>
    <row r="94" spans="1:10" ht="21.25" customHeight="1" x14ac:dyDescent="0.15">
      <c r="A94" s="10" t="s">
        <v>522</v>
      </c>
      <c r="B94" s="94" t="str" cm="1">
        <f t="array" ref="B94">VLOOKUP(A94,'The List'!B1:D671,3,FALSE)</f>
        <v>LW,RW</v>
      </c>
      <c r="C94" s="95" cm="1">
        <f t="array" ref="C94">IF(Settings!$E$15="POINTS",RANK(E94,E3:E210),H94)</f>
        <v>92</v>
      </c>
      <c r="D94" s="18" t="str" cm="1">
        <f t="array" ref="D94">VLOOKUP(A94,'The List'!B1:F671,5,FALSE)</f>
        <v>N.J</v>
      </c>
      <c r="E94" s="55" cm="1">
        <f t="array" ref="E94">VLOOKUP(A94,'The List'!B1:I671,8,FALSE)</f>
        <v>214.9035490468022</v>
      </c>
      <c r="F94" s="55" cm="1">
        <f t="array" ref="F94">IF(Settings!$E$15="POINTS",E94-VLOOKUP(B$2,C1:E210,3,FALSE),J94)</f>
        <v>-184.40944426691789</v>
      </c>
      <c r="G94" s="55"/>
      <c r="H94" s="167" cm="1">
        <f t="array" ref="H94">RANK(I94,I3:I210)</f>
        <v>85</v>
      </c>
      <c r="I94" s="168" cm="1">
        <f t="array" ref="I94">VLOOKUP(A94,'Standard Deviations'!A1:C672,3,FALSE)</f>
        <v>0.27155510511567871</v>
      </c>
      <c r="J94" s="168" cm="1">
        <f t="array" ref="J94">I94-VLOOKUP(B$2,H1:J210,2,FALSE)</f>
        <v>-6.8996883067279802</v>
      </c>
    </row>
    <row r="95" spans="1:10" ht="21.25" customHeight="1" x14ac:dyDescent="0.15">
      <c r="A95" s="10" t="s">
        <v>524</v>
      </c>
      <c r="B95" s="94" t="str" cm="1">
        <f t="array" ref="B95">VLOOKUP(A95,'The List'!B1:D671,3,FALSE)</f>
        <v>C,LW,RW</v>
      </c>
      <c r="C95" s="95" cm="1">
        <f t="array" ref="C95">IF(Settings!$E$15="POINTS",RANK(E95,E3:E210),H95)</f>
        <v>93</v>
      </c>
      <c r="D95" s="18" t="str" cm="1">
        <f t="array" ref="D95">VLOOKUP(A95,'The List'!B1:F671,5,FALSE)</f>
        <v>CGY</v>
      </c>
      <c r="E95" s="55" cm="1">
        <f t="array" ref="E95">VLOOKUP(A95,'The List'!B1:I671,8,FALSE)</f>
        <v>214.72953506271566</v>
      </c>
      <c r="F95" s="55" cm="1">
        <f t="array" ref="F95">IF(Settings!$E$15="POINTS",E95-VLOOKUP(B$2,C1:E210,3,FALSE),J95)</f>
        <v>-184.58345825100443</v>
      </c>
      <c r="G95" s="55"/>
      <c r="H95" s="167" cm="1">
        <f t="array" ref="H95">RANK(I95,I3:I210)</f>
        <v>166</v>
      </c>
      <c r="I95" s="168" cm="1">
        <f t="array" ref="I95">VLOOKUP(A95,'Standard Deviations'!A1:C672,3,FALSE)</f>
        <v>-3.6681152532979335</v>
      </c>
      <c r="J95" s="168" cm="1">
        <f t="array" ref="J95">I95-VLOOKUP(B$2,H1:J210,2,FALSE)</f>
        <v>-10.839358665141592</v>
      </c>
    </row>
    <row r="96" spans="1:10" ht="21.25" customHeight="1" x14ac:dyDescent="0.15">
      <c r="A96" s="10" t="s">
        <v>527</v>
      </c>
      <c r="B96" s="94" t="str" cm="1">
        <f t="array" ref="B96">VLOOKUP(A96,'The List'!B1:D671,3,FALSE)</f>
        <v>LW,RW</v>
      </c>
      <c r="C96" s="95" cm="1">
        <f t="array" ref="C96">IF(Settings!$E$15="POINTS",RANK(E96,E3:E210),H96)</f>
        <v>94</v>
      </c>
      <c r="D96" s="18" t="str" cm="1">
        <f t="array" ref="D96">VLOOKUP(A96,'The List'!B1:F671,5,FALSE)</f>
        <v>UTA</v>
      </c>
      <c r="E96" s="55" cm="1">
        <f t="array" ref="E96">VLOOKUP(A96,'The List'!B1:I671,8,FALSE)</f>
        <v>213.04929822773803</v>
      </c>
      <c r="F96" s="55" cm="1">
        <f t="array" ref="F96">IF(Settings!$E$15="POINTS",E96-VLOOKUP(B$2,C1:E210,3,FALSE),J96)</f>
        <v>-186.26369508598205</v>
      </c>
      <c r="G96" s="55"/>
      <c r="H96" s="167" cm="1">
        <f t="array" ref="H96">RANK(I96,I3:I210)</f>
        <v>83</v>
      </c>
      <c r="I96" s="168" cm="1">
        <f t="array" ref="I96">VLOOKUP(A96,'Standard Deviations'!A1:C672,3,FALSE)</f>
        <v>0.34886868507131419</v>
      </c>
      <c r="J96" s="168" cm="1">
        <f t="array" ref="J96">I96-VLOOKUP(B$2,H1:J210,2,FALSE)</f>
        <v>-6.8223747267723454</v>
      </c>
    </row>
    <row r="97" spans="1:10" ht="21.25" customHeight="1" x14ac:dyDescent="0.15">
      <c r="A97" s="10" t="s">
        <v>540</v>
      </c>
      <c r="B97" s="94" t="str" cm="1">
        <f t="array" ref="B97">VLOOKUP(A97,'The List'!B1:D671,3,FALSE)</f>
        <v>C,LW</v>
      </c>
      <c r="C97" s="95" cm="1">
        <f t="array" ref="C97">IF(Settings!$E$15="POINTS",RANK(E97,E3:E210),H97)</f>
        <v>95</v>
      </c>
      <c r="D97" s="18" t="str" cm="1">
        <f t="array" ref="D97">VLOOKUP(A97,'The List'!B1:F671,5,FALSE)</f>
        <v>NSH</v>
      </c>
      <c r="E97" s="55" cm="1">
        <f t="array" ref="E97">VLOOKUP(A97,'The List'!B1:I671,8,FALSE)</f>
        <v>212.69273059863824</v>
      </c>
      <c r="F97" s="55" cm="1">
        <f t="array" ref="F97">IF(Settings!$E$15="POINTS",E97-VLOOKUP(B$2,C1:E210,3,FALSE),J97)</f>
        <v>-186.62026271508185</v>
      </c>
      <c r="G97" s="55"/>
      <c r="H97" s="167" cm="1">
        <f t="array" ref="H97">RANK(I97,I3:I210)</f>
        <v>113</v>
      </c>
      <c r="I97" s="168" cm="1">
        <f t="array" ref="I97">VLOOKUP(A97,'Standard Deviations'!A1:C672,3,FALSE)</f>
        <v>-1.255920916266668</v>
      </c>
      <c r="J97" s="168" cm="1">
        <f t="array" ref="J97">I97-VLOOKUP(B$2,H1:J210,2,FALSE)</f>
        <v>-8.4271643281103277</v>
      </c>
    </row>
    <row r="98" spans="1:10" ht="21.25" customHeight="1" x14ac:dyDescent="0.15">
      <c r="A98" s="10" t="s">
        <v>531</v>
      </c>
      <c r="B98" s="94" t="str" cm="1">
        <f t="array" ref="B98">VLOOKUP(A98,'The List'!B1:D671,3,FALSE)</f>
        <v>LW,RW</v>
      </c>
      <c r="C98" s="95" cm="1">
        <f t="array" ref="C98">IF(Settings!$E$15="POINTS",RANK(E98,E3:E210),H98)</f>
        <v>96</v>
      </c>
      <c r="D98" s="18" t="str" cm="1">
        <f t="array" ref="D98">VLOOKUP(A98,'The List'!B1:F671,5,FALSE)</f>
        <v>STL</v>
      </c>
      <c r="E98" s="55" cm="1">
        <f t="array" ref="E98">VLOOKUP(A98,'The List'!B1:I671,8,FALSE)</f>
        <v>212.27847831803066</v>
      </c>
      <c r="F98" s="55" cm="1">
        <f t="array" ref="F98">IF(Settings!$E$15="POINTS",E98-VLOOKUP(B$2,C1:E210,3,FALSE),J98)</f>
        <v>-187.03451499568942</v>
      </c>
      <c r="G98" s="55"/>
      <c r="H98" s="167" cm="1">
        <f t="array" ref="H98">RANK(I98,I3:I210)</f>
        <v>87</v>
      </c>
      <c r="I98" s="168" cm="1">
        <f t="array" ref="I98">VLOOKUP(A98,'Standard Deviations'!A1:C672,3,FALSE)</f>
        <v>-1.1786185719809605E-2</v>
      </c>
      <c r="J98" s="168" cm="1">
        <f t="array" ref="J98">I98-VLOOKUP(B$2,H1:J210,2,FALSE)</f>
        <v>-7.1830295975634684</v>
      </c>
    </row>
    <row r="99" spans="1:10" ht="21.25" customHeight="1" x14ac:dyDescent="0.15">
      <c r="A99" s="10" t="s">
        <v>542</v>
      </c>
      <c r="B99" s="94" t="str" cm="1">
        <f t="array" ref="B99">VLOOKUP(A99,'The List'!B1:D671,3,FALSE)</f>
        <v>C,LW</v>
      </c>
      <c r="C99" s="95" cm="1">
        <f t="array" ref="C99">IF(Settings!$E$15="POINTS",RANK(E99,E3:E210),H99)</f>
        <v>97</v>
      </c>
      <c r="D99" s="18" t="str" cm="1">
        <f t="array" ref="D99">VLOOKUP(A99,'The List'!B1:F671,5,FALSE)</f>
        <v>DET</v>
      </c>
      <c r="E99" s="55" cm="1">
        <f t="array" ref="E99">VLOOKUP(A99,'The List'!B1:I671,8,FALSE)</f>
        <v>211.94328072778347</v>
      </c>
      <c r="F99" s="55" cm="1">
        <f t="array" ref="F99">IF(Settings!$E$15="POINTS",E99-VLOOKUP(B$2,C1:E210,3,FALSE),J99)</f>
        <v>-187.36971258593661</v>
      </c>
      <c r="G99" s="55"/>
      <c r="H99" s="167" cm="1">
        <f t="array" ref="H99">RANK(I99,I3:I210)</f>
        <v>108</v>
      </c>
      <c r="I99" s="168" cm="1">
        <f t="array" ref="I99">VLOOKUP(A99,'Standard Deviations'!A1:C672,3,FALSE)</f>
        <v>-1.108640558188124</v>
      </c>
      <c r="J99" s="168" cm="1">
        <f t="array" ref="J99">I99-VLOOKUP(B$2,H1:J210,2,FALSE)</f>
        <v>-8.2798839700317828</v>
      </c>
    </row>
    <row r="100" spans="1:10" ht="21.25" customHeight="1" x14ac:dyDescent="0.15">
      <c r="A100" s="10" t="s">
        <v>543</v>
      </c>
      <c r="B100" s="94" t="str" cm="1">
        <f t="array" ref="B100">VLOOKUP(A100,'The List'!B1:D671,3,FALSE)</f>
        <v>LW</v>
      </c>
      <c r="C100" s="95" cm="1">
        <f t="array" ref="C100">IF(Settings!$E$15="POINTS",RANK(E100,E3:E210),H100)</f>
        <v>98</v>
      </c>
      <c r="D100" s="18" t="str" cm="1">
        <f t="array" ref="D100">VLOOKUP(A100,'The List'!B1:F671,5,FALSE)</f>
        <v>TOR</v>
      </c>
      <c r="E100" s="55" cm="1">
        <f t="array" ref="E100">VLOOKUP(A100,'The List'!B1:I671,8,FALSE)</f>
        <v>211.87649723627962</v>
      </c>
      <c r="F100" s="55" cm="1">
        <f t="array" ref="F100">IF(Settings!$E$15="POINTS",E100-VLOOKUP(B$2,C1:E210,3,FALSE),J100)</f>
        <v>-187.43649607744047</v>
      </c>
      <c r="G100" s="55"/>
      <c r="H100" s="167" cm="1">
        <f t="array" ref="H100">RANK(I100,I3:I210)</f>
        <v>86</v>
      </c>
      <c r="I100" s="168" cm="1">
        <f t="array" ref="I100">VLOOKUP(A100,'Standard Deviations'!A1:C672,3,FALSE)</f>
        <v>6.2527104092609143E-2</v>
      </c>
      <c r="J100" s="168" cm="1">
        <f t="array" ref="J100">I100-VLOOKUP(B$2,H1:J210,2,FALSE)</f>
        <v>-7.1087163077510498</v>
      </c>
    </row>
    <row r="101" spans="1:10" ht="21.25" customHeight="1" x14ac:dyDescent="0.15">
      <c r="A101" s="10" t="s">
        <v>544</v>
      </c>
      <c r="B101" s="94" t="str" cm="1">
        <f t="array" ref="B101">VLOOKUP(A101,'The List'!B1:D671,3,FALSE)</f>
        <v>C,LW</v>
      </c>
      <c r="C101" s="95" cm="1">
        <f t="array" ref="C101">IF(Settings!$E$15="POINTS",RANK(E101,E3:E210),H101)</f>
        <v>99</v>
      </c>
      <c r="D101" s="18" t="str" cm="1">
        <f t="array" ref="D101">VLOOKUP(A101,'The List'!B1:F671,5,FALSE)</f>
        <v>PIT</v>
      </c>
      <c r="E101" s="55" cm="1">
        <f t="array" ref="E101">VLOOKUP(A101,'The List'!B1:I671,8,FALSE)</f>
        <v>211.84160919439239</v>
      </c>
      <c r="F101" s="55" cm="1">
        <f t="array" ref="F101">IF(Settings!$E$15="POINTS",E101-VLOOKUP(B$2,C1:E210,3,FALSE),J101)</f>
        <v>-187.47138411932769</v>
      </c>
      <c r="G101" s="55"/>
      <c r="H101" s="167" cm="1">
        <f t="array" ref="H101">RANK(I101,I3:I210)</f>
        <v>111</v>
      </c>
      <c r="I101" s="168" cm="1">
        <f t="array" ref="I101">VLOOKUP(A101,'Standard Deviations'!A1:C672,3,FALSE)</f>
        <v>-1.1763862821186213</v>
      </c>
      <c r="J101" s="168" cm="1">
        <f t="array" ref="J101">I101-VLOOKUP(B$2,H1:J210,2,FALSE)</f>
        <v>-8.3476296939622809</v>
      </c>
    </row>
    <row r="102" spans="1:10" ht="21.25" customHeight="1" x14ac:dyDescent="0.15">
      <c r="A102" s="10" t="s">
        <v>545</v>
      </c>
      <c r="B102" s="94" t="str" cm="1">
        <f t="array" ref="B102">VLOOKUP(A102,'The List'!B1:D671,3,FALSE)</f>
        <v>LW,RW</v>
      </c>
      <c r="C102" s="95" cm="1">
        <f t="array" ref="C102">IF(Settings!$E$15="POINTS",RANK(E102,E3:E210),H102)</f>
        <v>100</v>
      </c>
      <c r="D102" s="18" t="str" cm="1">
        <f t="array" ref="D102">VLOOKUP(A102,'The List'!B1:F671,5,FALSE)</f>
        <v>L.A</v>
      </c>
      <c r="E102" s="55" cm="1">
        <f t="array" ref="E102">VLOOKUP(A102,'The List'!B1:I671,8,FALSE)</f>
        <v>206.47934071968695</v>
      </c>
      <c r="F102" s="55" cm="1">
        <f t="array" ref="F102">IF(Settings!$E$15="POINTS",E102-VLOOKUP(B$2,C1:E210,3,FALSE),J102)</f>
        <v>-192.83365259403314</v>
      </c>
      <c r="G102" s="55"/>
      <c r="H102" s="167" cm="1">
        <f t="array" ref="H102">RANK(I102,I3:I210)</f>
        <v>124</v>
      </c>
      <c r="I102" s="168" cm="1">
        <f t="array" ref="I102">VLOOKUP(A102,'Standard Deviations'!A1:C672,3,FALSE)</f>
        <v>-1.7934192429124691</v>
      </c>
      <c r="J102" s="168" cm="1">
        <f t="array" ref="J102">I102-VLOOKUP(B$2,H1:J210,2,FALSE)</f>
        <v>-8.964662654756129</v>
      </c>
    </row>
    <row r="103" spans="1:10" ht="21.25" customHeight="1" x14ac:dyDescent="0.15">
      <c r="A103" s="10" t="s">
        <v>550</v>
      </c>
      <c r="B103" s="94" t="str" cm="1">
        <f t="array" ref="B103">VLOOKUP(A103,'The List'!B1:D671,3,FALSE)</f>
        <v>LW,RW</v>
      </c>
      <c r="C103" s="95" cm="1">
        <f t="array" ref="C103">IF(Settings!$E$15="POINTS",RANK(E103,E3:E210),H103)</f>
        <v>101</v>
      </c>
      <c r="D103" s="18" t="str" cm="1">
        <f t="array" ref="D103">VLOOKUP(A103,'The List'!B1:F671,5,FALSE)</f>
        <v>N.J</v>
      </c>
      <c r="E103" s="55" cm="1">
        <f t="array" ref="E103">VLOOKUP(A103,'The List'!B1:I671,8,FALSE)</f>
        <v>204.09445091209429</v>
      </c>
      <c r="F103" s="55" cm="1">
        <f t="array" ref="F103">IF(Settings!$E$15="POINTS",E103-VLOOKUP(B$2,C1:E210,3,FALSE),J103)</f>
        <v>-195.2185424016258</v>
      </c>
      <c r="G103" s="55"/>
      <c r="H103" s="167" cm="1">
        <f t="array" ref="H103">RANK(I103,I3:I210)</f>
        <v>109</v>
      </c>
      <c r="I103" s="168" cm="1">
        <f t="array" ref="I103">VLOOKUP(A103,'Standard Deviations'!A1:C672,3,FALSE)</f>
        <v>-1.1417052408657475</v>
      </c>
      <c r="J103" s="168" cm="1">
        <f t="array" ref="J103">I103-VLOOKUP(B$2,H1:J210,2,FALSE)</f>
        <v>-8.312948652709407</v>
      </c>
    </row>
    <row r="104" spans="1:10" ht="21.25" customHeight="1" x14ac:dyDescent="0.15">
      <c r="A104" s="10" t="s">
        <v>556</v>
      </c>
      <c r="B104" s="94" t="str" cm="1">
        <f t="array" ref="B104">VLOOKUP(A104,'The List'!B1:D671,3,FALSE)</f>
        <v>C,LW,RW</v>
      </c>
      <c r="C104" s="95" cm="1">
        <f t="array" ref="C104">IF(Settings!$E$15="POINTS",RANK(E104,E3:E210),H104)</f>
        <v>102</v>
      </c>
      <c r="D104" s="18" t="str" cm="1">
        <f t="array" ref="D104">VLOOKUP(A104,'The List'!B1:F671,5,FALSE)</f>
        <v>OTT</v>
      </c>
      <c r="E104" s="55" cm="1">
        <f t="array" ref="E104">VLOOKUP(A104,'The List'!B1:I671,8,FALSE)</f>
        <v>202.7751628492889</v>
      </c>
      <c r="F104" s="55" cm="1">
        <f t="array" ref="F104">IF(Settings!$E$15="POINTS",E104-VLOOKUP(B$2,C1:E210,3,FALSE),J104)</f>
        <v>-196.53783046443118</v>
      </c>
      <c r="G104" s="55"/>
      <c r="H104" s="167" cm="1">
        <f t="array" ref="H104">RANK(I104,I3:I210)</f>
        <v>64</v>
      </c>
      <c r="I104" s="168" cm="1">
        <f t="array" ref="I104">VLOOKUP(A104,'Standard Deviations'!A1:C672,3,FALSE)</f>
        <v>1.5298632041730804</v>
      </c>
      <c r="J104" s="168" cm="1">
        <f t="array" ref="J104">I104-VLOOKUP(B$2,H1:J210,2,FALSE)</f>
        <v>-5.6413802076705792</v>
      </c>
    </row>
    <row r="105" spans="1:10" ht="21.25" customHeight="1" x14ac:dyDescent="0.15">
      <c r="A105" s="10" t="s">
        <v>569</v>
      </c>
      <c r="B105" s="94" t="str" cm="1">
        <f t="array" ref="B105">VLOOKUP(A105,'The List'!B1:D671,3,FALSE)</f>
        <v>C,LW</v>
      </c>
      <c r="C105" s="95" cm="1">
        <f t="array" ref="C105">IF(Settings!$E$15="POINTS",RANK(E105,E3:E210),H105)</f>
        <v>103</v>
      </c>
      <c r="D105" s="18" t="str" cm="1">
        <f t="array" ref="D105">VLOOKUP(A105,'The List'!B1:F671,5,FALSE)</f>
        <v>NYI</v>
      </c>
      <c r="E105" s="55" cm="1">
        <f t="array" ref="E105">VLOOKUP(A105,'The List'!B1:I671,8,FALSE)</f>
        <v>201.91067096694192</v>
      </c>
      <c r="F105" s="55" cm="1">
        <f t="array" ref="F105">IF(Settings!$E$15="POINTS",E105-VLOOKUP(B$2,C1:E210,3,FALSE),J105)</f>
        <v>-197.40232234677816</v>
      </c>
      <c r="G105" s="55"/>
      <c r="H105" s="167" cm="1">
        <f t="array" ref="H105">RANK(I105,I3:I210)</f>
        <v>100</v>
      </c>
      <c r="I105" s="168" cm="1">
        <f t="array" ref="I105">VLOOKUP(A105,'Standard Deviations'!A1:C672,3,FALSE)</f>
        <v>-0.67984485297800235</v>
      </c>
      <c r="J105" s="168" cm="1">
        <f t="array" ref="J105">I105-VLOOKUP(B$2,H1:J210,2,FALSE)</f>
        <v>-7.8510882648216613</v>
      </c>
    </row>
    <row r="106" spans="1:10" ht="21.25" customHeight="1" x14ac:dyDescent="0.15">
      <c r="A106" s="10" t="s">
        <v>573</v>
      </c>
      <c r="B106" s="94" t="str" cm="1">
        <f t="array" ref="B106">VLOOKUP(A106,'The List'!B1:D671,3,FALSE)</f>
        <v>C,LW</v>
      </c>
      <c r="C106" s="95" cm="1">
        <f t="array" ref="C106">IF(Settings!$E$15="POINTS",RANK(E106,E3:E210),H106)</f>
        <v>104</v>
      </c>
      <c r="D106" s="18" t="str" cm="1">
        <f t="array" ref="D106">VLOOKUP(A106,'The List'!B1:F671,5,FALSE)</f>
        <v>BOS</v>
      </c>
      <c r="E106" s="55" cm="1">
        <f t="array" ref="E106">VLOOKUP(A106,'The List'!B1:I671,8,FALSE)</f>
        <v>199.72991997509845</v>
      </c>
      <c r="F106" s="55" cm="1">
        <f t="array" ref="F106">IF(Settings!$E$15="POINTS",E106-VLOOKUP(B$2,C1:E210,3,FALSE),J106)</f>
        <v>-199.58307333862163</v>
      </c>
      <c r="G106" s="55"/>
      <c r="H106" s="167" cm="1">
        <f t="array" ref="H106">RANK(I106,I3:I210)</f>
        <v>133</v>
      </c>
      <c r="I106" s="168" cm="1">
        <f t="array" ref="I106">VLOOKUP(A106,'Standard Deviations'!A1:C672,3,FALSE)</f>
        <v>-2.162565311112139</v>
      </c>
      <c r="J106" s="168" cm="1">
        <f t="array" ref="J106">I106-VLOOKUP(B$2,H1:J210,2,FALSE)</f>
        <v>-9.3338087229557978</v>
      </c>
    </row>
    <row r="107" spans="1:10" ht="21.25" customHeight="1" x14ac:dyDescent="0.15">
      <c r="A107" s="10" t="s">
        <v>567</v>
      </c>
      <c r="B107" s="94" t="str" cm="1">
        <f t="array" ref="B107">VLOOKUP(A107,'The List'!B1:D671,3,FALSE)</f>
        <v>LW,RW</v>
      </c>
      <c r="C107" s="95" cm="1">
        <f t="array" ref="C107">IF(Settings!$E$15="POINTS",RANK(E107,E3:E210),H107)</f>
        <v>105</v>
      </c>
      <c r="D107" s="18" t="str" cm="1">
        <f t="array" ref="D107">VLOOKUP(A107,'The List'!B1:F671,5,FALSE)</f>
        <v>ANA</v>
      </c>
      <c r="E107" s="55" cm="1">
        <f t="array" ref="E107">VLOOKUP(A107,'The List'!B1:I671,8,FALSE)</f>
        <v>198.2328436009827</v>
      </c>
      <c r="F107" s="55" cm="1">
        <f t="array" ref="F107">IF(Settings!$E$15="POINTS",E107-VLOOKUP(B$2,C1:E210,3,FALSE),J107)</f>
        <v>-201.08014971273738</v>
      </c>
      <c r="G107" s="55"/>
      <c r="H107" s="167" cm="1">
        <f t="array" ref="H107">RANK(I107,I3:I210)</f>
        <v>97</v>
      </c>
      <c r="I107" s="168" cm="1">
        <f t="array" ref="I107">VLOOKUP(A107,'Standard Deviations'!A1:C672,3,FALSE)</f>
        <v>-0.52690729833914385</v>
      </c>
      <c r="J107" s="168" cm="1">
        <f t="array" ref="J107">I107-VLOOKUP(B$2,H1:J210,2,FALSE)</f>
        <v>-7.6981507101828033</v>
      </c>
    </row>
    <row r="108" spans="1:10" ht="21.25" customHeight="1" x14ac:dyDescent="0.15">
      <c r="A108" s="10" t="s">
        <v>579</v>
      </c>
      <c r="B108" s="94" t="str" cm="1">
        <f t="array" ref="B108">VLOOKUP(A108,'The List'!B1:D671,3,FALSE)</f>
        <v>LW</v>
      </c>
      <c r="C108" s="95" cm="1">
        <f t="array" ref="C108">IF(Settings!$E$15="POINTS",RANK(E108,E3:E210),H108)</f>
        <v>106</v>
      </c>
      <c r="D108" s="18" t="str" cm="1">
        <f t="array" ref="D108">VLOOKUP(A108,'The List'!B1:F671,5,FALSE)</f>
        <v>BUF</v>
      </c>
      <c r="E108" s="55" cm="1">
        <f t="array" ref="E108">VLOOKUP(A108,'The List'!B1:I671,8,FALSE)</f>
        <v>197.69316153622734</v>
      </c>
      <c r="F108" s="55" cm="1">
        <f t="array" ref="F108">IF(Settings!$E$15="POINTS",E108-VLOOKUP(B$2,C1:E210,3,FALSE),J108)</f>
        <v>-201.61983177749275</v>
      </c>
      <c r="G108" s="55"/>
      <c r="H108" s="167" cm="1">
        <f t="array" ref="H108">RANK(I108,I3:I210)</f>
        <v>98</v>
      </c>
      <c r="I108" s="168" cm="1">
        <f t="array" ref="I108">VLOOKUP(A108,'Standard Deviations'!A1:C672,3,FALSE)</f>
        <v>-0.57504589690850993</v>
      </c>
      <c r="J108" s="168" cm="1">
        <f t="array" ref="J108">I108-VLOOKUP(B$2,H1:J210,2,FALSE)</f>
        <v>-7.7462893087521696</v>
      </c>
    </row>
    <row r="109" spans="1:10" ht="21.25" customHeight="1" x14ac:dyDescent="0.15">
      <c r="A109" s="10" t="s">
        <v>570</v>
      </c>
      <c r="B109" s="94" t="str" cm="1">
        <f t="array" ref="B109">VLOOKUP(A109,'The List'!B1:D671,3,FALSE)</f>
        <v>LW,RW</v>
      </c>
      <c r="C109" s="95" cm="1">
        <f t="array" ref="C109">IF(Settings!$E$15="POINTS",RANK(E109,E3:E210),H109)</f>
        <v>107</v>
      </c>
      <c r="D109" s="18" t="str" cm="1">
        <f t="array" ref="D109">VLOOKUP(A109,'The List'!B1:F671,5,FALSE)</f>
        <v>NYI</v>
      </c>
      <c r="E109" s="55" cm="1">
        <f t="array" ref="E109">VLOOKUP(A109,'The List'!B1:I671,8,FALSE)</f>
        <v>197.42525731006737</v>
      </c>
      <c r="F109" s="55" cm="1">
        <f t="array" ref="F109">IF(Settings!$E$15="POINTS",E109-VLOOKUP(B$2,C1:E210,3,FALSE),J109)</f>
        <v>-201.88773600365272</v>
      </c>
      <c r="G109" s="55"/>
      <c r="H109" s="167" cm="1">
        <f t="array" ref="H109">RANK(I109,I3:I210)</f>
        <v>140</v>
      </c>
      <c r="I109" s="168" cm="1">
        <f t="array" ref="I109">VLOOKUP(A109,'Standard Deviations'!A1:C672,3,FALSE)</f>
        <v>-2.517361572612415</v>
      </c>
      <c r="J109" s="168" cm="1">
        <f t="array" ref="J109">I109-VLOOKUP(B$2,H1:J210,2,FALSE)</f>
        <v>-9.6886049844560738</v>
      </c>
    </row>
    <row r="110" spans="1:10" ht="21.25" customHeight="1" x14ac:dyDescent="0.15">
      <c r="A110" s="10" t="s">
        <v>572</v>
      </c>
      <c r="B110" s="94" t="str" cm="1">
        <f t="array" ref="B110">VLOOKUP(A110,'The List'!B1:D671,3,FALSE)</f>
        <v>LW,RW</v>
      </c>
      <c r="C110" s="95" cm="1">
        <f t="array" ref="C110">IF(Settings!$E$15="POINTS",RANK(E110,E3:E210),H110)</f>
        <v>108</v>
      </c>
      <c r="D110" s="18" t="str" cm="1">
        <f t="array" ref="D110">VLOOKUP(A110,'The List'!B1:F671,5,FALSE)</f>
        <v>WPG</v>
      </c>
      <c r="E110" s="55" cm="1">
        <f t="array" ref="E110">VLOOKUP(A110,'The List'!B1:I671,8,FALSE)</f>
        <v>196.10487700962074</v>
      </c>
      <c r="F110" s="55" cm="1">
        <f t="array" ref="F110">IF(Settings!$E$15="POINTS",E110-VLOOKUP(B$2,C1:E210,3,FALSE),J110)</f>
        <v>-203.20811630409935</v>
      </c>
      <c r="G110" s="55"/>
      <c r="H110" s="167" cm="1">
        <f t="array" ref="H110">RANK(I110,I3:I210)</f>
        <v>122</v>
      </c>
      <c r="I110" s="168" cm="1">
        <f t="array" ref="I110">VLOOKUP(A110,'Standard Deviations'!A1:C672,3,FALSE)</f>
        <v>-1.6278458556818045</v>
      </c>
      <c r="J110" s="168" cm="1">
        <f t="array" ref="J110">I110-VLOOKUP(B$2,H1:J210,2,FALSE)</f>
        <v>-8.7990892675254635</v>
      </c>
    </row>
    <row r="111" spans="1:10" ht="21.25" customHeight="1" x14ac:dyDescent="0.15">
      <c r="A111" s="10" t="s">
        <v>582</v>
      </c>
      <c r="B111" s="94" t="str" cm="1">
        <f t="array" ref="B111">VLOOKUP(A111,'The List'!B1:D671,3,FALSE)</f>
        <v>C,LW</v>
      </c>
      <c r="C111" s="95" cm="1">
        <f t="array" ref="C111">IF(Settings!$E$15="POINTS",RANK(E111,E3:E210),H111)</f>
        <v>109</v>
      </c>
      <c r="D111" s="18" t="str" cm="1">
        <f t="array" ref="D111">VLOOKUP(A111,'The List'!B1:F671,5,FALSE)</f>
        <v>DET</v>
      </c>
      <c r="E111" s="55" cm="1">
        <f t="array" ref="E111">VLOOKUP(A111,'The List'!B1:I671,8,FALSE)</f>
        <v>195.91100296308286</v>
      </c>
      <c r="F111" s="55" cm="1">
        <f t="array" ref="F111">IF(Settings!$E$15="POINTS",E111-VLOOKUP(B$2,C1:E210,3,FALSE),J111)</f>
        <v>-203.40199035063722</v>
      </c>
      <c r="G111" s="55"/>
      <c r="H111" s="167" cm="1">
        <f t="array" ref="H111">RANK(I111,I3:I210)</f>
        <v>142</v>
      </c>
      <c r="I111" s="168" cm="1">
        <f t="array" ref="I111">VLOOKUP(A111,'Standard Deviations'!A1:C672,3,FALSE)</f>
        <v>-2.5302031220111378</v>
      </c>
      <c r="J111" s="168" cm="1">
        <f t="array" ref="J111">I111-VLOOKUP(B$2,H1:J210,2,FALSE)</f>
        <v>-9.7014465338547975</v>
      </c>
    </row>
    <row r="112" spans="1:10" ht="21.25" customHeight="1" x14ac:dyDescent="0.15">
      <c r="A112" s="10" t="s">
        <v>574</v>
      </c>
      <c r="B112" s="94" t="str" cm="1">
        <f t="array" ref="B112">VLOOKUP(A112,'The List'!B1:D671,3,FALSE)</f>
        <v>LW,RW</v>
      </c>
      <c r="C112" s="95" cm="1">
        <f t="array" ref="C112">IF(Settings!$E$15="POINTS",RANK(E112,E3:E210),H112)</f>
        <v>110</v>
      </c>
      <c r="D112" s="18" t="str" cm="1">
        <f t="array" ref="D112">VLOOKUP(A112,'The List'!B1:F671,5,FALSE)</f>
        <v>MTL</v>
      </c>
      <c r="E112" s="55" cm="1">
        <f t="array" ref="E112">VLOOKUP(A112,'The List'!B1:I671,8,FALSE)</f>
        <v>194.56346667204519</v>
      </c>
      <c r="F112" s="55" cm="1">
        <f t="array" ref="F112">IF(Settings!$E$15="POINTS",E112-VLOOKUP(B$2,C1:E210,3,FALSE),J112)</f>
        <v>-204.74952664167489</v>
      </c>
      <c r="G112" s="55"/>
      <c r="H112" s="167" cm="1">
        <f t="array" ref="H112">RANK(I112,I3:I210)</f>
        <v>91</v>
      </c>
      <c r="I112" s="168" cm="1">
        <f t="array" ref="I112">VLOOKUP(A112,'Standard Deviations'!A1:C672,3,FALSE)</f>
        <v>-0.28805080446804021</v>
      </c>
      <c r="J112" s="168" cm="1">
        <f t="array" ref="J112">I112-VLOOKUP(B$2,H1:J210,2,FALSE)</f>
        <v>-7.4592942163116991</v>
      </c>
    </row>
    <row r="113" spans="1:10" ht="21.25" customHeight="1" x14ac:dyDescent="0.15">
      <c r="A113" s="10" t="s">
        <v>581</v>
      </c>
      <c r="B113" s="94" t="str" cm="1">
        <f t="array" ref="B113">VLOOKUP(A113,'The List'!B1:D671,3,FALSE)</f>
        <v>LW,RW</v>
      </c>
      <c r="C113" s="95" cm="1">
        <f t="array" ref="C113">IF(Settings!$E$15="POINTS",RANK(E113,E3:E210),H113)</f>
        <v>111</v>
      </c>
      <c r="D113" s="18" t="str" cm="1">
        <f t="array" ref="D113">VLOOKUP(A113,'The List'!B1:F671,5,FALSE)</f>
        <v>EDM</v>
      </c>
      <c r="E113" s="55" cm="1">
        <f t="array" ref="E113">VLOOKUP(A113,'The List'!B1:I671,8,FALSE)</f>
        <v>191.78456924818121</v>
      </c>
      <c r="F113" s="55" cm="1">
        <f t="array" ref="F113">IF(Settings!$E$15="POINTS",E113-VLOOKUP(B$2,C1:E210,3,FALSE),J113)</f>
        <v>-207.52842406553887</v>
      </c>
      <c r="G113" s="55"/>
      <c r="H113" s="167" cm="1">
        <f t="array" ref="H113">RANK(I113,I3:I210)</f>
        <v>80</v>
      </c>
      <c r="I113" s="168" cm="1">
        <f t="array" ref="I113">VLOOKUP(A113,'Standard Deviations'!A1:C672,3,FALSE)</f>
        <v>0.60500482839390601</v>
      </c>
      <c r="J113" s="168" cm="1">
        <f t="array" ref="J113">I113-VLOOKUP(B$2,H1:J210,2,FALSE)</f>
        <v>-6.5662385834497528</v>
      </c>
    </row>
    <row r="114" spans="1:10" ht="21.25" customHeight="1" x14ac:dyDescent="0.15">
      <c r="A114" s="10" t="s">
        <v>594</v>
      </c>
      <c r="B114" s="94" t="str" cm="1">
        <f t="array" ref="B114">VLOOKUP(A114,'The List'!B1:D671,3,FALSE)</f>
        <v>C,LW</v>
      </c>
      <c r="C114" s="95" cm="1">
        <f t="array" ref="C114">IF(Settings!$E$15="POINTS",RANK(E114,E3:E210),H114)</f>
        <v>112</v>
      </c>
      <c r="D114" s="18" t="str" cm="1">
        <f t="array" ref="D114">VLOOKUP(A114,'The List'!B1:F671,5,FALSE)</f>
        <v>L.A</v>
      </c>
      <c r="E114" s="55" cm="1">
        <f t="array" ref="E114">VLOOKUP(A114,'The List'!B1:I671,8,FALSE)</f>
        <v>191.38168758955078</v>
      </c>
      <c r="F114" s="55" cm="1">
        <f t="array" ref="F114">IF(Settings!$E$15="POINTS",E114-VLOOKUP(B$2,C1:E210,3,FALSE),J114)</f>
        <v>-207.93130572416931</v>
      </c>
      <c r="G114" s="55"/>
      <c r="H114" s="167" cm="1">
        <f t="array" ref="H114">RANK(I114,I3:I210)</f>
        <v>93</v>
      </c>
      <c r="I114" s="168" cm="1">
        <f t="array" ref="I114">VLOOKUP(A114,'Standard Deviations'!A1:C672,3,FALSE)</f>
        <v>-0.33643394959361128</v>
      </c>
      <c r="J114" s="168" cm="1">
        <f t="array" ref="J114">I114-VLOOKUP(B$2,H1:J210,2,FALSE)</f>
        <v>-7.5076773614372705</v>
      </c>
    </row>
    <row r="115" spans="1:10" ht="21.25" customHeight="1" x14ac:dyDescent="0.15">
      <c r="A115" s="10" t="s">
        <v>585</v>
      </c>
      <c r="B115" s="94" t="str" cm="1">
        <f t="array" ref="B115">VLOOKUP(A115,'The List'!B1:D671,3,FALSE)</f>
        <v>C,LW,RW</v>
      </c>
      <c r="C115" s="95" cm="1">
        <f t="array" ref="C115">IF(Settings!$E$15="POINTS",RANK(E115,E3:E210),H115)</f>
        <v>113</v>
      </c>
      <c r="D115" s="18" t="str" cm="1">
        <f t="array" ref="D115">VLOOKUP(A115,'The List'!B1:F671,5,FALSE)</f>
        <v>DAL</v>
      </c>
      <c r="E115" s="55" cm="1">
        <f t="array" ref="E115">VLOOKUP(A115,'The List'!B1:I671,8,FALSE)</f>
        <v>190.91418128325307</v>
      </c>
      <c r="F115" s="55" cm="1">
        <f t="array" ref="F115">IF(Settings!$E$15="POINTS",E115-VLOOKUP(B$2,C1:E210,3,FALSE),J115)</f>
        <v>-208.39881203046701</v>
      </c>
      <c r="G115" s="55"/>
      <c r="H115" s="167" cm="1">
        <f t="array" ref="H115">RANK(I115,I3:I210)</f>
        <v>61</v>
      </c>
      <c r="I115" s="168" cm="1">
        <f t="array" ref="I115">VLOOKUP(A115,'Standard Deviations'!A1:C672,3,FALSE)</f>
        <v>1.6877931309121759</v>
      </c>
      <c r="J115" s="168" cm="1">
        <f t="array" ref="J115">I115-VLOOKUP(B$2,H1:J210,2,FALSE)</f>
        <v>-5.4834502809314838</v>
      </c>
    </row>
    <row r="116" spans="1:10" ht="21.25" customHeight="1" x14ac:dyDescent="0.15">
      <c r="A116" s="10" t="s">
        <v>588</v>
      </c>
      <c r="B116" s="94" t="str" cm="1">
        <f t="array" ref="B116">VLOOKUP(A116,'The List'!B1:D671,3,FALSE)</f>
        <v>LW,RW</v>
      </c>
      <c r="C116" s="95" cm="1">
        <f t="array" ref="C116">IF(Settings!$E$15="POINTS",RANK(E116,E3:E210),H116)</f>
        <v>114</v>
      </c>
      <c r="D116" s="18" t="str" cm="1">
        <f t="array" ref="D116">VLOOKUP(A116,'The List'!B1:F671,5,FALSE)</f>
        <v>CHI</v>
      </c>
      <c r="E116" s="55" cm="1">
        <f t="array" ref="E116">VLOOKUP(A116,'The List'!B1:I671,8,FALSE)</f>
        <v>190.5809825337605</v>
      </c>
      <c r="F116" s="55" cm="1">
        <f t="array" ref="F116">IF(Settings!$E$15="POINTS",E116-VLOOKUP(B$2,C1:E210,3,FALSE),J116)</f>
        <v>-208.73201077995958</v>
      </c>
      <c r="G116" s="55"/>
      <c r="H116" s="167" cm="1">
        <f t="array" ref="H116">RANK(I116,I3:I210)</f>
        <v>178</v>
      </c>
      <c r="I116" s="168" cm="1">
        <f t="array" ref="I116">VLOOKUP(A116,'Standard Deviations'!A1:C672,3,FALSE)</f>
        <v>-4.3670087924198429</v>
      </c>
      <c r="J116" s="168" cm="1">
        <f t="array" ref="J116">I116-VLOOKUP(B$2,H1:J210,2,FALSE)</f>
        <v>-11.538252204263502</v>
      </c>
    </row>
    <row r="117" spans="1:10" ht="21.25" customHeight="1" x14ac:dyDescent="0.15">
      <c r="A117" s="10" t="s">
        <v>611</v>
      </c>
      <c r="B117" s="94" t="str" cm="1">
        <f t="array" ref="B117">VLOOKUP(A117,'The List'!B1:D671,3,FALSE)</f>
        <v>LW</v>
      </c>
      <c r="C117" s="95" cm="1">
        <f t="array" ref="C117">IF(Settings!$E$15="POINTS",RANK(E117,E3:E210),H117)</f>
        <v>115</v>
      </c>
      <c r="D117" s="18" t="str" cm="1">
        <f t="array" ref="D117">VLOOKUP(A117,'The List'!B1:F671,5,FALSE)</f>
        <v>WSH</v>
      </c>
      <c r="E117" s="55" cm="1">
        <f t="array" ref="E117">VLOOKUP(A117,'The List'!B1:I671,8,FALSE)</f>
        <v>188.66475611083101</v>
      </c>
      <c r="F117" s="55" cm="1">
        <f t="array" ref="F117">IF(Settings!$E$15="POINTS",E117-VLOOKUP(B$2,C1:E210,3,FALSE),J117)</f>
        <v>-210.64823720288908</v>
      </c>
      <c r="G117" s="55"/>
      <c r="H117" s="167" cm="1">
        <f t="array" ref="H117">RANK(I117,I3:I210)</f>
        <v>120</v>
      </c>
      <c r="I117" s="168" cm="1">
        <f t="array" ref="I117">VLOOKUP(A117,'Standard Deviations'!A1:C672,3,FALSE)</f>
        <v>-1.5071138589512336</v>
      </c>
      <c r="J117" s="168" cm="1">
        <f t="array" ref="J117">I117-VLOOKUP(B$2,H1:J210,2,FALSE)</f>
        <v>-8.6783572707948924</v>
      </c>
    </row>
    <row r="118" spans="1:10" ht="21.25" customHeight="1" x14ac:dyDescent="0.15">
      <c r="A118" s="10" t="s">
        <v>592</v>
      </c>
      <c r="B118" s="94" t="str" cm="1">
        <f t="array" ref="B118">VLOOKUP(A118,'The List'!B1:D671,3,FALSE)</f>
        <v>LW,RW</v>
      </c>
      <c r="C118" s="95" cm="1">
        <f t="array" ref="C118">IF(Settings!$E$15="POINTS",RANK(E118,E3:E210),H118)</f>
        <v>116</v>
      </c>
      <c r="D118" s="18" t="str" cm="1">
        <f t="array" ref="D118">VLOOKUP(A118,'The List'!B1:F671,5,FALSE)</f>
        <v>NYI</v>
      </c>
      <c r="E118" s="55" cm="1">
        <f t="array" ref="E118">VLOOKUP(A118,'The List'!B1:I671,8,FALSE)</f>
        <v>188.39018728944882</v>
      </c>
      <c r="F118" s="55" cm="1">
        <f t="array" ref="F118">IF(Settings!$E$15="POINTS",E118-VLOOKUP(B$2,C1:E210,3,FALSE),J118)</f>
        <v>-210.92280602427127</v>
      </c>
      <c r="G118" s="55"/>
      <c r="H118" s="167" cm="1">
        <f t="array" ref="H118">RANK(I118,I3:I210)</f>
        <v>157</v>
      </c>
      <c r="I118" s="168" cm="1">
        <f t="array" ref="I118">VLOOKUP(A118,'Standard Deviations'!A1:C672,3,FALSE)</f>
        <v>-3.3360091075310168</v>
      </c>
      <c r="J118" s="168" cm="1">
        <f t="array" ref="J118">I118-VLOOKUP(B$2,H1:J210,2,FALSE)</f>
        <v>-10.507252519374676</v>
      </c>
    </row>
    <row r="119" spans="1:10" ht="21.25" customHeight="1" x14ac:dyDescent="0.15">
      <c r="A119" s="10" t="s">
        <v>599</v>
      </c>
      <c r="B119" s="94" t="str" cm="1">
        <f t="array" ref="B119">VLOOKUP(A119,'The List'!B1:D671,3,FALSE)</f>
        <v>LW,RW</v>
      </c>
      <c r="C119" s="95" cm="1">
        <f t="array" ref="C119">IF(Settings!$E$15="POINTS",RANK(E119,E3:E210),H119)</f>
        <v>117</v>
      </c>
      <c r="D119" s="18" t="str" cm="1">
        <f t="array" ref="D119">VLOOKUP(A119,'The List'!B1:F671,5,FALSE)</f>
        <v>COL</v>
      </c>
      <c r="E119" s="55" cm="1">
        <f t="array" ref="E119">VLOOKUP(A119,'The List'!B1:I671,8,FALSE)</f>
        <v>186.46172734873039</v>
      </c>
      <c r="F119" s="55" cm="1">
        <f t="array" ref="F119">IF(Settings!$E$15="POINTS",E119-VLOOKUP(B$2,C1:E210,3,FALSE),J119)</f>
        <v>-212.85126596498969</v>
      </c>
      <c r="G119" s="55"/>
      <c r="H119" s="167" cm="1">
        <f t="array" ref="H119">RANK(I119,I3:I210)</f>
        <v>82</v>
      </c>
      <c r="I119" s="168" cm="1">
        <f t="array" ref="I119">VLOOKUP(A119,'Standard Deviations'!A1:C672,3,FALSE)</f>
        <v>0.39514985740232705</v>
      </c>
      <c r="J119" s="168" cm="1">
        <f t="array" ref="J119">I119-VLOOKUP(B$2,H1:J210,2,FALSE)</f>
        <v>-6.7760935544413323</v>
      </c>
    </row>
    <row r="120" spans="1:10" ht="21.25" customHeight="1" x14ac:dyDescent="0.15">
      <c r="A120" s="10" t="s">
        <v>615</v>
      </c>
      <c r="B120" s="94" t="str" cm="1">
        <f t="array" ref="B120">VLOOKUP(A120,'The List'!B1:D671,3,FALSE)</f>
        <v>C,LW</v>
      </c>
      <c r="C120" s="95" cm="1">
        <f t="array" ref="C120">IF(Settings!$E$15="POINTS",RANK(E120,E3:E210),H120)</f>
        <v>118</v>
      </c>
      <c r="D120" s="18" t="str" cm="1">
        <f t="array" ref="D120">VLOOKUP(A120,'The List'!B1:F671,5,FALSE)</f>
        <v>WSH</v>
      </c>
      <c r="E120" s="55" cm="1">
        <f t="array" ref="E120">VLOOKUP(A120,'The List'!B1:I671,8,FALSE)</f>
        <v>185.97927236713855</v>
      </c>
      <c r="F120" s="55" cm="1">
        <f t="array" ref="F120">IF(Settings!$E$15="POINTS",E120-VLOOKUP(B$2,C1:E210,3,FALSE),J120)</f>
        <v>-213.33372094658154</v>
      </c>
      <c r="G120" s="55"/>
      <c r="H120" s="167" cm="1">
        <f t="array" ref="H120">RANK(I120,I3:I210)</f>
        <v>101</v>
      </c>
      <c r="I120" s="168" cm="1">
        <f t="array" ref="I120">VLOOKUP(A120,'Standard Deviations'!A1:C672,3,FALSE)</f>
        <v>-0.82552399737256865</v>
      </c>
      <c r="J120" s="168" cm="1">
        <f t="array" ref="J120">I120-VLOOKUP(B$2,H1:J210,2,FALSE)</f>
        <v>-7.9967674092162282</v>
      </c>
    </row>
    <row r="121" spans="1:10" ht="21.25" customHeight="1" x14ac:dyDescent="0.15">
      <c r="A121" s="10" t="s">
        <v>601</v>
      </c>
      <c r="B121" s="94" t="str" cm="1">
        <f t="array" ref="B121">VLOOKUP(A121,'The List'!B1:D671,3,FALSE)</f>
        <v>LW,RW</v>
      </c>
      <c r="C121" s="95" cm="1">
        <f t="array" ref="C121">IF(Settings!$E$15="POINTS",RANK(E121,E3:E210),H121)</f>
        <v>119</v>
      </c>
      <c r="D121" s="18" t="str" cm="1">
        <f t="array" ref="D121">VLOOKUP(A121,'The List'!B1:F671,5,FALSE)</f>
        <v>VAN</v>
      </c>
      <c r="E121" s="55" cm="1">
        <f t="array" ref="E121">VLOOKUP(A121,'The List'!B1:I671,8,FALSE)</f>
        <v>185.79312926436293</v>
      </c>
      <c r="F121" s="55" cm="1">
        <f t="array" ref="F121">IF(Settings!$E$15="POINTS",E121-VLOOKUP(B$2,C1:E210,3,FALSE),J121)</f>
        <v>-213.51986404935715</v>
      </c>
      <c r="G121" s="55"/>
      <c r="H121" s="167" cm="1">
        <f t="array" ref="H121">RANK(I121,I3:I210)</f>
        <v>169</v>
      </c>
      <c r="I121" s="168" cm="1">
        <f t="array" ref="I121">VLOOKUP(A121,'Standard Deviations'!A1:C672,3,FALSE)</f>
        <v>-3.9108748407976717</v>
      </c>
      <c r="J121" s="168" cm="1">
        <f t="array" ref="J121">I121-VLOOKUP(B$2,H1:J210,2,FALSE)</f>
        <v>-11.082118252641331</v>
      </c>
    </row>
    <row r="122" spans="1:10" ht="21.25" customHeight="1" x14ac:dyDescent="0.15">
      <c r="A122" s="10" t="s">
        <v>603</v>
      </c>
      <c r="B122" s="94" t="str" cm="1">
        <f t="array" ref="B122">VLOOKUP(A122,'The List'!B1:D671,3,FALSE)</f>
        <v>LW,RW</v>
      </c>
      <c r="C122" s="95" cm="1">
        <f t="array" ref="C122">IF(Settings!$E$15="POINTS",RANK(E122,E3:E210),H122)</f>
        <v>120</v>
      </c>
      <c r="D122" s="18" t="str" cm="1">
        <f t="array" ref="D122">VLOOKUP(A122,'The List'!B1:F671,5,FALSE)</f>
        <v>S.J</v>
      </c>
      <c r="E122" s="55" cm="1">
        <f t="array" ref="E122">VLOOKUP(A122,'The List'!B1:I671,8,FALSE)</f>
        <v>185.60912833551512</v>
      </c>
      <c r="F122" s="55" cm="1">
        <f t="array" ref="F122">IF(Settings!$E$15="POINTS",E122-VLOOKUP(B$2,C1:E210,3,FALSE),J122)</f>
        <v>-213.70386497820496</v>
      </c>
      <c r="G122" s="55"/>
      <c r="H122" s="167" cm="1">
        <f t="array" ref="H122">RANK(I122,I3:I210)</f>
        <v>161</v>
      </c>
      <c r="I122" s="168" cm="1">
        <f t="array" ref="I122">VLOOKUP(A122,'Standard Deviations'!A1:C672,3,FALSE)</f>
        <v>-3.4060699979489106</v>
      </c>
      <c r="J122" s="168" cm="1">
        <f t="array" ref="J122">I122-VLOOKUP(B$2,H1:J210,2,FALSE)</f>
        <v>-10.57731340979257</v>
      </c>
    </row>
    <row r="123" spans="1:10" ht="21.25" customHeight="1" x14ac:dyDescent="0.15">
      <c r="A123" s="10" t="s">
        <v>604</v>
      </c>
      <c r="B123" s="94" t="str" cm="1">
        <f t="array" ref="B123">VLOOKUP(A123,'The List'!B1:D671,3,FALSE)</f>
        <v>LW,RW</v>
      </c>
      <c r="C123" s="95" cm="1">
        <f t="array" ref="C123">IF(Settings!$E$15="POINTS",RANK(E123,E3:E210),H123)</f>
        <v>121</v>
      </c>
      <c r="D123" s="18" t="str" cm="1">
        <f t="array" ref="D123">VLOOKUP(A123,'The List'!B1:F671,5,FALSE)</f>
        <v>ANA</v>
      </c>
      <c r="E123" s="55" cm="1">
        <f t="array" ref="E123">VLOOKUP(A123,'The List'!B1:I671,8,FALSE)</f>
        <v>185.51107176424807</v>
      </c>
      <c r="F123" s="55" cm="1">
        <f t="array" ref="F123">IF(Settings!$E$15="POINTS",E123-VLOOKUP(B$2,C1:E210,3,FALSE),J123)</f>
        <v>-213.80192154947201</v>
      </c>
      <c r="G123" s="55"/>
      <c r="H123" s="167" cm="1">
        <f t="array" ref="H123">RANK(I123,I3:I210)</f>
        <v>128</v>
      </c>
      <c r="I123" s="168" cm="1">
        <f t="array" ref="I123">VLOOKUP(A123,'Standard Deviations'!A1:C672,3,FALSE)</f>
        <v>-1.8921143594206931</v>
      </c>
      <c r="J123" s="168" cm="1">
        <f t="array" ref="J123">I123-VLOOKUP(B$2,H1:J210,2,FALSE)</f>
        <v>-9.0633577712643518</v>
      </c>
    </row>
    <row r="124" spans="1:10" ht="21.25" customHeight="1" x14ac:dyDescent="0.15">
      <c r="A124" s="10" t="s">
        <v>606</v>
      </c>
      <c r="B124" s="94" t="str" cm="1">
        <f t="array" ref="B124">VLOOKUP(A124,'The List'!B1:D671,3,FALSE)</f>
        <v>LW,RW</v>
      </c>
      <c r="C124" s="95" cm="1">
        <f t="array" ref="C124">IF(Settings!$E$15="POINTS",RANK(E124,E3:E210),H124)</f>
        <v>122</v>
      </c>
      <c r="D124" s="18" t="str" cm="1">
        <f t="array" ref="D124">VLOOKUP(A124,'The List'!B1:F671,5,FALSE)</f>
        <v>OTT</v>
      </c>
      <c r="E124" s="55" cm="1">
        <f t="array" ref="E124">VLOOKUP(A124,'The List'!B1:I671,8,FALSE)</f>
        <v>185.32708370831983</v>
      </c>
      <c r="F124" s="55" cm="1">
        <f t="array" ref="F124">IF(Settings!$E$15="POINTS",E124-VLOOKUP(B$2,C1:E210,3,FALSE),J124)</f>
        <v>-213.98590960540025</v>
      </c>
      <c r="G124" s="55"/>
      <c r="H124" s="167" cm="1">
        <f t="array" ref="H124">RANK(I124,I3:I210)</f>
        <v>123</v>
      </c>
      <c r="I124" s="168" cm="1">
        <f t="array" ref="I124">VLOOKUP(A124,'Standard Deviations'!A1:C672,3,FALSE)</f>
        <v>-1.7302523427694685</v>
      </c>
      <c r="J124" s="168" cm="1">
        <f t="array" ref="J124">I124-VLOOKUP(B$2,H1:J210,2,FALSE)</f>
        <v>-8.9014957546131281</v>
      </c>
    </row>
    <row r="125" spans="1:10" ht="21.25" customHeight="1" x14ac:dyDescent="0.15">
      <c r="A125" s="10" t="s">
        <v>609</v>
      </c>
      <c r="B125" s="94" t="str" cm="1">
        <f t="array" ref="B125">VLOOKUP(A125,'The List'!B1:D671,3,FALSE)</f>
        <v>C,LW,RW</v>
      </c>
      <c r="C125" s="95" cm="1">
        <f t="array" ref="C125">IF(Settings!$E$15="POINTS",RANK(E125,E3:E210),H125)</f>
        <v>123</v>
      </c>
      <c r="D125" s="18" t="str" cm="1">
        <f t="array" ref="D125">VLOOKUP(A125,'The List'!B1:F671,5,FALSE)</f>
        <v>CGY</v>
      </c>
      <c r="E125" s="55" cm="1">
        <f t="array" ref="E125">VLOOKUP(A125,'The List'!B1:I671,8,FALSE)</f>
        <v>184.44701944686253</v>
      </c>
      <c r="F125" s="55" cm="1">
        <f t="array" ref="F125">IF(Settings!$E$15="POINTS",E125-VLOOKUP(B$2,C1:E210,3,FALSE),J125)</f>
        <v>-214.86597386685756</v>
      </c>
      <c r="G125" s="55"/>
      <c r="H125" s="167" cm="1">
        <f t="array" ref="H125">RANK(I125,I3:I210)</f>
        <v>158</v>
      </c>
      <c r="I125" s="168" cm="1">
        <f t="array" ref="I125">VLOOKUP(A125,'Standard Deviations'!A1:C672,3,FALSE)</f>
        <v>-3.3377648479938009</v>
      </c>
      <c r="J125" s="168" cm="1">
        <f t="array" ref="J125">I125-VLOOKUP(B$2,H1:J210,2,FALSE)</f>
        <v>-10.50900825983746</v>
      </c>
    </row>
    <row r="126" spans="1:10" ht="21.25" customHeight="1" x14ac:dyDescent="0.15">
      <c r="A126" s="10" t="s">
        <v>612</v>
      </c>
      <c r="B126" s="94" t="str" cm="1">
        <f t="array" ref="B126">VLOOKUP(A126,'The List'!B1:D671,3,FALSE)</f>
        <v>LW,RW</v>
      </c>
      <c r="C126" s="95" cm="1">
        <f t="array" ref="C126">IF(Settings!$E$15="POINTS",RANK(E126,E3:E210),H126)</f>
        <v>124</v>
      </c>
      <c r="D126" s="18" t="str" cm="1">
        <f t="array" ref="D126">VLOOKUP(A126,'The List'!B1:F671,5,FALSE)</f>
        <v>CBJ</v>
      </c>
      <c r="E126" s="55" cm="1">
        <f t="array" ref="E126">VLOOKUP(A126,'The List'!B1:I671,8,FALSE)</f>
        <v>182.99386740441213</v>
      </c>
      <c r="F126" s="55" cm="1">
        <f t="array" ref="F126">IF(Settings!$E$15="POINTS",E126-VLOOKUP(B$2,C1:E210,3,FALSE),J126)</f>
        <v>-216.31912590930796</v>
      </c>
      <c r="G126" s="55"/>
      <c r="H126" s="167" cm="1">
        <f t="array" ref="H126">RANK(I126,I3:I210)</f>
        <v>134</v>
      </c>
      <c r="I126" s="168" cm="1">
        <f t="array" ref="I126">VLOOKUP(A126,'Standard Deviations'!A1:C672,3,FALSE)</f>
        <v>-2.2245718208770393</v>
      </c>
      <c r="J126" s="168" cm="1">
        <f t="array" ref="J126">I126-VLOOKUP(B$2,H1:J210,2,FALSE)</f>
        <v>-9.3958152327206985</v>
      </c>
    </row>
    <row r="127" spans="1:10" ht="21.25" customHeight="1" x14ac:dyDescent="0.15">
      <c r="A127" s="10" t="s">
        <v>619</v>
      </c>
      <c r="B127" s="94" t="str" cm="1">
        <f t="array" ref="B127">VLOOKUP(A127,'The List'!B1:D671,3,FALSE)</f>
        <v>C,LW,RW</v>
      </c>
      <c r="C127" s="95" cm="1">
        <f t="array" ref="C127">IF(Settings!$E$15="POINTS",RANK(E127,E3:E210),H127)</f>
        <v>125</v>
      </c>
      <c r="D127" s="18" t="str" cm="1">
        <f t="array" ref="D127">VLOOKUP(A127,'The List'!B1:F671,5,FALSE)</f>
        <v>N.J</v>
      </c>
      <c r="E127" s="55" cm="1">
        <f t="array" ref="E127">VLOOKUP(A127,'The List'!B1:I671,8,FALSE)</f>
        <v>179.8782635393583</v>
      </c>
      <c r="F127" s="55" cm="1">
        <f t="array" ref="F127">IF(Settings!$E$15="POINTS",E127-VLOOKUP(B$2,C1:E210,3,FALSE),J127)</f>
        <v>-219.43472977436178</v>
      </c>
      <c r="G127" s="55"/>
      <c r="H127" s="167" cm="1">
        <f t="array" ref="H127">RANK(I127,I3:I210)</f>
        <v>119</v>
      </c>
      <c r="I127" s="168" cm="1">
        <f t="array" ref="I127">VLOOKUP(A127,'Standard Deviations'!A1:C672,3,FALSE)</f>
        <v>-1.4905689833853419</v>
      </c>
      <c r="J127" s="168" cm="1">
        <f t="array" ref="J127">I127-VLOOKUP(B$2,H1:J210,2,FALSE)</f>
        <v>-8.6618123952290009</v>
      </c>
    </row>
    <row r="128" spans="1:10" ht="21.25" customHeight="1" x14ac:dyDescent="0.15">
      <c r="A128" s="10" t="s">
        <v>629</v>
      </c>
      <c r="B128" s="94" t="str" cm="1">
        <f t="array" ref="B128">VLOOKUP(A128,'The List'!B1:D671,3,FALSE)</f>
        <v>C,LW</v>
      </c>
      <c r="C128" s="95" cm="1">
        <f t="array" ref="C128">IF(Settings!$E$15="POINTS",RANK(E128,E3:E210),H128)</f>
        <v>126</v>
      </c>
      <c r="D128" s="18" t="str" cm="1">
        <f t="array" ref="D128">VLOOKUP(A128,'The List'!B1:F671,5,FALSE)</f>
        <v>VGK</v>
      </c>
      <c r="E128" s="55" cm="1">
        <f t="array" ref="E128">VLOOKUP(A128,'The List'!B1:I671,8,FALSE)</f>
        <v>175.80542348377887</v>
      </c>
      <c r="F128" s="55" cm="1">
        <f t="array" ref="F128">IF(Settings!$E$15="POINTS",E128-VLOOKUP(B$2,C1:E210,3,FALSE),J128)</f>
        <v>-223.50756982994122</v>
      </c>
      <c r="G128" s="55"/>
      <c r="H128" s="167" cm="1">
        <f t="array" ref="H128">RANK(I128,I3:I210)</f>
        <v>92</v>
      </c>
      <c r="I128" s="168" cm="1">
        <f t="array" ref="I128">VLOOKUP(A128,'Standard Deviations'!A1:C672,3,FALSE)</f>
        <v>-0.29557652909343679</v>
      </c>
      <c r="J128" s="168" cm="1">
        <f t="array" ref="J128">I128-VLOOKUP(B$2,H1:J210,2,FALSE)</f>
        <v>-7.4668199409370963</v>
      </c>
    </row>
    <row r="129" spans="1:10" ht="21.25" customHeight="1" x14ac:dyDescent="0.15">
      <c r="A129" s="10" t="s">
        <v>624</v>
      </c>
      <c r="B129" s="94" t="str" cm="1">
        <f t="array" ref="B129">VLOOKUP(A129,'The List'!B1:D671,3,FALSE)</f>
        <v>LW,RW</v>
      </c>
      <c r="C129" s="95" cm="1">
        <f t="array" ref="C129">IF(Settings!$E$15="POINTS",RANK(E129,E3:E210),H129)</f>
        <v>127</v>
      </c>
      <c r="D129" s="18" t="str" cm="1">
        <f t="array" ref="D129">VLOOKUP(A129,'The List'!B1:F671,5,FALSE)</f>
        <v>OTT</v>
      </c>
      <c r="E129" s="55" cm="1">
        <f t="array" ref="E129">VLOOKUP(A129,'The List'!B1:I671,8,FALSE)</f>
        <v>174.59725930998417</v>
      </c>
      <c r="F129" s="55" cm="1">
        <f t="array" ref="F129">IF(Settings!$E$15="POINTS",E129-VLOOKUP(B$2,C1:E210,3,FALSE),J129)</f>
        <v>-224.71573400373592</v>
      </c>
      <c r="G129" s="55"/>
      <c r="H129" s="167" cm="1">
        <f t="array" ref="H129">RANK(I129,I3:I210)</f>
        <v>135</v>
      </c>
      <c r="I129" s="168" cm="1">
        <f t="array" ref="I129">VLOOKUP(A129,'Standard Deviations'!A1:C672,3,FALSE)</f>
        <v>-2.2465424675620431</v>
      </c>
      <c r="J129" s="168" cm="1">
        <f t="array" ref="J129">I129-VLOOKUP(B$2,H1:J210,2,FALSE)</f>
        <v>-9.4177858794057023</v>
      </c>
    </row>
    <row r="130" spans="1:10" ht="21.25" customHeight="1" x14ac:dyDescent="0.15">
      <c r="A130" s="10" t="s">
        <v>625</v>
      </c>
      <c r="B130" s="94" t="str" cm="1">
        <f t="array" ref="B130">VLOOKUP(A130,'The List'!B1:D671,3,FALSE)</f>
        <v>C,LW,RW</v>
      </c>
      <c r="C130" s="95" cm="1">
        <f t="array" ref="C130">IF(Settings!$E$15="POINTS",RANK(E130,E3:E210),H130)</f>
        <v>128</v>
      </c>
      <c r="D130" s="18" t="str" cm="1">
        <f t="array" ref="D130">VLOOKUP(A130,'The List'!B1:F671,5,FALSE)</f>
        <v>CHI</v>
      </c>
      <c r="E130" s="55" cm="1">
        <f t="array" ref="E130">VLOOKUP(A130,'The List'!B1:I671,8,FALSE)</f>
        <v>173.74835550699348</v>
      </c>
      <c r="F130" s="55" cm="1">
        <f t="array" ref="F130">IF(Settings!$E$15="POINTS",E130-VLOOKUP(B$2,C1:E210,3,FALSE),J130)</f>
        <v>-225.56463780672661</v>
      </c>
      <c r="G130" s="55"/>
      <c r="H130" s="167" cm="1">
        <f t="array" ref="H130">RANK(I130,I3:I210)</f>
        <v>176</v>
      </c>
      <c r="I130" s="168" cm="1">
        <f t="array" ref="I130">VLOOKUP(A130,'Standard Deviations'!A1:C672,3,FALSE)</f>
        <v>-4.1365925369638195</v>
      </c>
      <c r="J130" s="168" cm="1">
        <f t="array" ref="J130">I130-VLOOKUP(B$2,H1:J210,2,FALSE)</f>
        <v>-11.30783594880748</v>
      </c>
    </row>
    <row r="131" spans="1:10" ht="21.25" customHeight="1" x14ac:dyDescent="0.15">
      <c r="A131" s="10" t="s">
        <v>639</v>
      </c>
      <c r="B131" s="94" t="str" cm="1">
        <f t="array" ref="B131">VLOOKUP(A131,'The List'!B1:D671,3,FALSE)</f>
        <v>LW</v>
      </c>
      <c r="C131" s="95" cm="1">
        <f t="array" ref="C131">IF(Settings!$E$15="POINTS",RANK(E131,E3:E210),H131)</f>
        <v>129</v>
      </c>
      <c r="D131" s="18" t="str" cm="1">
        <f t="array" ref="D131">VLOOKUP(A131,'The List'!B1:F671,5,FALSE)</f>
        <v>FLA</v>
      </c>
      <c r="E131" s="55" cm="1">
        <f t="array" ref="E131">VLOOKUP(A131,'The List'!B1:I671,8,FALSE)</f>
        <v>172.11032312253755</v>
      </c>
      <c r="F131" s="55" cm="1">
        <f t="array" ref="F131">IF(Settings!$E$15="POINTS",E131-VLOOKUP(B$2,C1:E210,3,FALSE),J131)</f>
        <v>-227.20267019118253</v>
      </c>
      <c r="G131" s="55"/>
      <c r="H131" s="167" cm="1">
        <f t="array" ref="H131">RANK(I131,I3:I210)</f>
        <v>121</v>
      </c>
      <c r="I131" s="168" cm="1">
        <f t="array" ref="I131">VLOOKUP(A131,'Standard Deviations'!A1:C672,3,FALSE)</f>
        <v>-1.5560691439592338</v>
      </c>
      <c r="J131" s="168" cm="1">
        <f t="array" ref="J131">I131-VLOOKUP(B$2,H1:J210,2,FALSE)</f>
        <v>-8.727312555802893</v>
      </c>
    </row>
    <row r="132" spans="1:10" ht="21.25" customHeight="1" x14ac:dyDescent="0.15">
      <c r="A132" s="10" t="s">
        <v>640</v>
      </c>
      <c r="B132" s="94" t="str" cm="1">
        <f t="array" ref="B132">VLOOKUP(A132,'The List'!B1:D671,3,FALSE)</f>
        <v>C,LW</v>
      </c>
      <c r="C132" s="95" cm="1">
        <f t="array" ref="C132">IF(Settings!$E$15="POINTS",RANK(E132,E3:E210),H132)</f>
        <v>130</v>
      </c>
      <c r="D132" s="18" t="str" cm="1">
        <f t="array" ref="D132">VLOOKUP(A132,'The List'!B1:F671,5,FALSE)</f>
        <v>STL</v>
      </c>
      <c r="E132" s="55" cm="1">
        <f t="array" ref="E132">VLOOKUP(A132,'The List'!B1:I671,8,FALSE)</f>
        <v>171.81950076685914</v>
      </c>
      <c r="F132" s="55" cm="1">
        <f t="array" ref="F132">IF(Settings!$E$15="POINTS",E132-VLOOKUP(B$2,C1:E210,3,FALSE),J132)</f>
        <v>-227.49349254686095</v>
      </c>
      <c r="G132" s="55"/>
      <c r="H132" s="167" cm="1">
        <f t="array" ref="H132">RANK(I132,I3:I210)</f>
        <v>152</v>
      </c>
      <c r="I132" s="168" cm="1">
        <f t="array" ref="I132">VLOOKUP(A132,'Standard Deviations'!A1:C672,3,FALSE)</f>
        <v>-2.9949204154783944</v>
      </c>
      <c r="J132" s="168" cm="1">
        <f t="array" ref="J132">I132-VLOOKUP(B$2,H1:J210,2,FALSE)</f>
        <v>-10.166163827322054</v>
      </c>
    </row>
    <row r="133" spans="1:10" ht="21.25" customHeight="1" x14ac:dyDescent="0.15">
      <c r="A133" s="10" t="s">
        <v>630</v>
      </c>
      <c r="B133" s="94" t="str" cm="1">
        <f t="array" ref="B133">VLOOKUP(A133,'The List'!B1:D671,3,FALSE)</f>
        <v>LW,RW</v>
      </c>
      <c r="C133" s="95" cm="1">
        <f t="array" ref="C133">IF(Settings!$E$15="POINTS",RANK(E133,E3:E210),H133)</f>
        <v>131</v>
      </c>
      <c r="D133" s="18" t="str" cm="1">
        <f t="array" ref="D133">VLOOKUP(A133,'The List'!B1:F671,5,FALSE)</f>
        <v>OTT</v>
      </c>
      <c r="E133" s="55" cm="1">
        <f t="array" ref="E133">VLOOKUP(A133,'The List'!B1:I671,8,FALSE)</f>
        <v>171.42921212127862</v>
      </c>
      <c r="F133" s="55" cm="1">
        <f t="array" ref="F133">IF(Settings!$E$15="POINTS",E133-VLOOKUP(B$2,C1:E210,3,FALSE),J133)</f>
        <v>-227.88378119244146</v>
      </c>
      <c r="G133" s="55"/>
      <c r="H133" s="167" cm="1">
        <f t="array" ref="H133">RANK(I133,I3:I210)</f>
        <v>131</v>
      </c>
      <c r="I133" s="168" cm="1">
        <f t="array" ref="I133">VLOOKUP(A133,'Standard Deviations'!A1:C672,3,FALSE)</f>
        <v>-2.0468560342383721</v>
      </c>
      <c r="J133" s="168" cm="1">
        <f t="array" ref="J133">I133-VLOOKUP(B$2,H1:J210,2,FALSE)</f>
        <v>-9.2180994460820322</v>
      </c>
    </row>
    <row r="134" spans="1:10" ht="21.25" customHeight="1" x14ac:dyDescent="0.15">
      <c r="A134" s="10" t="s">
        <v>643</v>
      </c>
      <c r="B134" s="94" t="str" cm="1">
        <f t="array" ref="B134">VLOOKUP(A134,'The List'!B1:D671,3,FALSE)</f>
        <v>C,LW</v>
      </c>
      <c r="C134" s="95" cm="1">
        <f t="array" ref="C134">IF(Settings!$E$15="POINTS",RANK(E134,E3:E210),H134)</f>
        <v>132</v>
      </c>
      <c r="D134" s="18" t="str" cm="1">
        <f t="array" ref="D134">VLOOKUP(A134,'The List'!B1:F671,5,FALSE)</f>
        <v>MTL</v>
      </c>
      <c r="E134" s="55" cm="1">
        <f t="array" ref="E134">VLOOKUP(A134,'The List'!B1:I671,8,FALSE)</f>
        <v>170.81907065353187</v>
      </c>
      <c r="F134" s="55" cm="1">
        <f t="array" ref="F134">IF(Settings!$E$15="POINTS",E134-VLOOKUP(B$2,C1:E210,3,FALSE),J134)</f>
        <v>-228.49392266018822</v>
      </c>
      <c r="G134" s="55"/>
      <c r="H134" s="167" cm="1">
        <f t="array" ref="H134">RANK(I134,I3:I210)</f>
        <v>136</v>
      </c>
      <c r="I134" s="168" cm="1">
        <f t="array" ref="I134">VLOOKUP(A134,'Standard Deviations'!A1:C672,3,FALSE)</f>
        <v>-2.3851330778857305</v>
      </c>
      <c r="J134" s="168" cm="1">
        <f t="array" ref="J134">I134-VLOOKUP(B$2,H1:J210,2,FALSE)</f>
        <v>-9.5563764897293897</v>
      </c>
    </row>
    <row r="135" spans="1:10" ht="21.25" customHeight="1" x14ac:dyDescent="0.15">
      <c r="A135" s="10" t="s">
        <v>644</v>
      </c>
      <c r="B135" s="94" t="str" cm="1">
        <f t="array" ref="B135">VLOOKUP(A135,'The List'!B1:D671,3,FALSE)</f>
        <v>C,LW</v>
      </c>
      <c r="C135" s="95" cm="1">
        <f t="array" ref="C135">IF(Settings!$E$15="POINTS",RANK(E135,E3:E210),H135)</f>
        <v>133</v>
      </c>
      <c r="D135" s="18" t="str" cm="1">
        <f t="array" ref="D135">VLOOKUP(A135,'The List'!B1:F671,5,FALSE)</f>
        <v>COL</v>
      </c>
      <c r="E135" s="55" cm="1">
        <f t="array" ref="E135">VLOOKUP(A135,'The List'!B1:I671,8,FALSE)</f>
        <v>170.07348128542856</v>
      </c>
      <c r="F135" s="55" cm="1">
        <f t="array" ref="F135">IF(Settings!$E$15="POINTS",E135-VLOOKUP(B$2,C1:E210,3,FALSE),J135)</f>
        <v>-229.23951202829153</v>
      </c>
      <c r="G135" s="55"/>
      <c r="H135" s="167" cm="1">
        <f t="array" ref="H135">RANK(I135,I3:I210)</f>
        <v>125</v>
      </c>
      <c r="I135" s="168" cm="1">
        <f t="array" ref="I135">VLOOKUP(A135,'Standard Deviations'!A1:C672,3,FALSE)</f>
        <v>-1.8173909338221472</v>
      </c>
      <c r="J135" s="168" cm="1">
        <f t="array" ref="J135">I135-VLOOKUP(B$2,H1:J210,2,FALSE)</f>
        <v>-8.9886343456658064</v>
      </c>
    </row>
    <row r="136" spans="1:10" ht="21.25" customHeight="1" x14ac:dyDescent="0.15">
      <c r="A136" s="10" t="s">
        <v>647</v>
      </c>
      <c r="B136" s="94" t="str" cm="1">
        <f t="array" ref="B136">VLOOKUP(A136,'The List'!B1:D671,3,FALSE)</f>
        <v>C,LW</v>
      </c>
      <c r="C136" s="95" cm="1">
        <f t="array" ref="C136">IF(Settings!$E$15="POINTS",RANK(E136,E3:E210),H136)</f>
        <v>134</v>
      </c>
      <c r="D136" s="18" t="str" cm="1">
        <f t="array" ref="D136">VLOOKUP(A136,'The List'!B1:F671,5,FALSE)</f>
        <v>TOR</v>
      </c>
      <c r="E136" s="55" cm="1">
        <f t="array" ref="E136">VLOOKUP(A136,'The List'!B1:I671,8,FALSE)</f>
        <v>168.9945023124931</v>
      </c>
      <c r="F136" s="55" cm="1">
        <f t="array" ref="F136">IF(Settings!$E$15="POINTS",E136-VLOOKUP(B$2,C1:E210,3,FALSE),J136)</f>
        <v>-230.31849100122699</v>
      </c>
      <c r="G136" s="55"/>
      <c r="H136" s="167" cm="1">
        <f t="array" ref="H136">RANK(I136,I3:I210)</f>
        <v>150</v>
      </c>
      <c r="I136" s="168" cm="1">
        <f t="array" ref="I136">VLOOKUP(A136,'Standard Deviations'!A1:C672,3,FALSE)</f>
        <v>-2.8568650466714383</v>
      </c>
      <c r="J136" s="168" cm="1">
        <f t="array" ref="J136">I136-VLOOKUP(B$2,H1:J210,2,FALSE)</f>
        <v>-10.028108458515097</v>
      </c>
    </row>
    <row r="137" spans="1:10" ht="21.25" customHeight="1" x14ac:dyDescent="0.15">
      <c r="A137" s="10" t="s">
        <v>637</v>
      </c>
      <c r="B137" s="94" t="str" cm="1">
        <f t="array" ref="B137">VLOOKUP(A137,'The List'!B1:D671,3,FALSE)</f>
        <v>LW,RW</v>
      </c>
      <c r="C137" s="95" cm="1">
        <f t="array" ref="C137">IF(Settings!$E$15="POINTS",RANK(E137,E3:E210),H137)</f>
        <v>135</v>
      </c>
      <c r="D137" s="18" t="str" cm="1">
        <f t="array" ref="D137">VLOOKUP(A137,'The List'!B1:F671,5,FALSE)</f>
        <v>CAR</v>
      </c>
      <c r="E137" s="55" cm="1">
        <f t="array" ref="E137">VLOOKUP(A137,'The List'!B1:I671,8,FALSE)</f>
        <v>168.06508144202166</v>
      </c>
      <c r="F137" s="55" cm="1">
        <f t="array" ref="F137">IF(Settings!$E$15="POINTS",E137-VLOOKUP(B$2,C1:E210,3,FALSE),J137)</f>
        <v>-231.24791187169842</v>
      </c>
      <c r="G137" s="55"/>
      <c r="H137" s="167" cm="1">
        <f t="array" ref="H137">RANK(I137,I3:I210)</f>
        <v>103</v>
      </c>
      <c r="I137" s="168" cm="1">
        <f t="array" ref="I137">VLOOKUP(A137,'Standard Deviations'!A1:C672,3,FALSE)</f>
        <v>-0.98426101920080145</v>
      </c>
      <c r="J137" s="168" cm="1">
        <f t="array" ref="J137">I137-VLOOKUP(B$2,H1:J210,2,FALSE)</f>
        <v>-8.1555044310444611</v>
      </c>
    </row>
    <row r="138" spans="1:10" ht="21.25" customHeight="1" x14ac:dyDescent="0.15">
      <c r="A138" s="10" t="s">
        <v>649</v>
      </c>
      <c r="B138" s="94" t="str" cm="1">
        <f t="array" ref="B138">VLOOKUP(A138,'The List'!B1:D671,3,FALSE)</f>
        <v>C,LW</v>
      </c>
      <c r="C138" s="95" cm="1">
        <f t="array" ref="C138">IF(Settings!$E$15="POINTS",RANK(E138,E3:E210),H138)</f>
        <v>136</v>
      </c>
      <c r="D138" s="18" t="str" cm="1">
        <f t="array" ref="D138">VLOOKUP(A138,'The List'!B1:F671,5,FALSE)</f>
        <v>COL</v>
      </c>
      <c r="E138" s="55" cm="1">
        <f t="array" ref="E138">VLOOKUP(A138,'The List'!B1:I671,8,FALSE)</f>
        <v>164.06070320209082</v>
      </c>
      <c r="F138" s="55" cm="1">
        <f t="array" ref="F138">IF(Settings!$E$15="POINTS",E138-VLOOKUP(B$2,C1:E210,3,FALSE),J138)</f>
        <v>-235.25229011162926</v>
      </c>
      <c r="G138" s="55"/>
      <c r="H138" s="167" cm="1">
        <f t="array" ref="H138">RANK(I138,I3:I210)</f>
        <v>102</v>
      </c>
      <c r="I138" s="168" cm="1">
        <f t="array" ref="I138">VLOOKUP(A138,'Standard Deviations'!A1:C672,3,FALSE)</f>
        <v>-0.9062708225497641</v>
      </c>
      <c r="J138" s="168" cm="1">
        <f t="array" ref="J138">I138-VLOOKUP(B$2,H1:J210,2,FALSE)</f>
        <v>-8.0775142343934228</v>
      </c>
    </row>
    <row r="139" spans="1:10" ht="21.25" customHeight="1" x14ac:dyDescent="0.15">
      <c r="A139" s="10" t="s">
        <v>650</v>
      </c>
      <c r="B139" s="94" t="str" cm="1">
        <f t="array" ref="B139">VLOOKUP(A139,'The List'!B1:D671,3,FALSE)</f>
        <v>C,LW</v>
      </c>
      <c r="C139" s="95" cm="1">
        <f t="array" ref="C139">IF(Settings!$E$15="POINTS",RANK(E139,E3:E210),H139)</f>
        <v>137</v>
      </c>
      <c r="D139" s="18" t="str" cm="1">
        <f t="array" ref="D139">VLOOKUP(A139,'The List'!B1:F671,5,FALSE)</f>
        <v>SEA</v>
      </c>
      <c r="E139" s="55" cm="1">
        <f t="array" ref="E139">VLOOKUP(A139,'The List'!B1:I671,8,FALSE)</f>
        <v>163.80895934809433</v>
      </c>
      <c r="F139" s="55" cm="1">
        <f t="array" ref="F139">IF(Settings!$E$15="POINTS",E139-VLOOKUP(B$2,C1:E210,3,FALSE),J139)</f>
        <v>-235.50403396562575</v>
      </c>
      <c r="G139" s="55"/>
      <c r="H139" s="167" cm="1">
        <f t="array" ref="H139">RANK(I139,I3:I210)</f>
        <v>159</v>
      </c>
      <c r="I139" s="168" cm="1">
        <f t="array" ref="I139">VLOOKUP(A139,'Standard Deviations'!A1:C672,3,FALSE)</f>
        <v>-3.3653015348614677</v>
      </c>
      <c r="J139" s="168" cm="1">
        <f t="array" ref="J139">I139-VLOOKUP(B$2,H1:J210,2,FALSE)</f>
        <v>-10.536544946705128</v>
      </c>
    </row>
    <row r="140" spans="1:10" ht="21.25" customHeight="1" x14ac:dyDescent="0.15">
      <c r="A140" s="10" t="s">
        <v>648</v>
      </c>
      <c r="B140" s="94" t="str" cm="1">
        <f t="array" ref="B140">VLOOKUP(A140,'The List'!B1:D671,3,FALSE)</f>
        <v>LW,RW</v>
      </c>
      <c r="C140" s="95" cm="1">
        <f t="array" ref="C140">IF(Settings!$E$15="POINTS",RANK(E140,E3:E210),H140)</f>
        <v>138</v>
      </c>
      <c r="D140" s="18" t="str" cm="1">
        <f t="array" ref="D140">VLOOKUP(A140,'The List'!B1:F671,5,FALSE)</f>
        <v>VGK</v>
      </c>
      <c r="E140" s="55" cm="1">
        <f t="array" ref="E140">VLOOKUP(A140,'The List'!B1:I671,8,FALSE)</f>
        <v>161.58573696180008</v>
      </c>
      <c r="F140" s="55" cm="1">
        <f t="array" ref="F140">IF(Settings!$E$15="POINTS",E140-VLOOKUP(B$2,C1:E210,3,FALSE),J140)</f>
        <v>-237.72725635192</v>
      </c>
      <c r="G140" s="55"/>
      <c r="H140" s="167" cm="1">
        <f t="array" ref="H140">RANK(I140,I3:I210)</f>
        <v>148</v>
      </c>
      <c r="I140" s="168" cm="1">
        <f t="array" ref="I140">VLOOKUP(A140,'Standard Deviations'!A1:C672,3,FALSE)</f>
        <v>-2.6650322048251658</v>
      </c>
      <c r="J140" s="168" cm="1">
        <f t="array" ref="J140">I140-VLOOKUP(B$2,H1:J210,2,FALSE)</f>
        <v>-9.836275616668825</v>
      </c>
    </row>
    <row r="141" spans="1:10" ht="21.25" customHeight="1" x14ac:dyDescent="0.15">
      <c r="A141" s="10" t="s">
        <v>660</v>
      </c>
      <c r="B141" s="94" t="str" cm="1">
        <f t="array" ref="B141">VLOOKUP(A141,'The List'!B1:D671,3,FALSE)</f>
        <v>C,LW</v>
      </c>
      <c r="C141" s="95" cm="1">
        <f t="array" ref="C141">IF(Settings!$E$15="POINTS",RANK(E141,E3:E210),H141)</f>
        <v>139</v>
      </c>
      <c r="D141" s="18" t="str" cm="1">
        <f t="array" ref="D141">VLOOKUP(A141,'The List'!B1:F671,5,FALSE)</f>
        <v>L.A</v>
      </c>
      <c r="E141" s="55" cm="1">
        <f t="array" ref="E141">VLOOKUP(A141,'The List'!B1:I671,8,FALSE)</f>
        <v>160.11576418090513</v>
      </c>
      <c r="F141" s="55" cm="1">
        <f t="array" ref="F141">IF(Settings!$E$15="POINTS",E141-VLOOKUP(B$2,C1:E210,3,FALSE),J141)</f>
        <v>-239.19722913281495</v>
      </c>
      <c r="G141" s="55"/>
      <c r="H141" s="167" cm="1">
        <f t="array" ref="H141">RANK(I141,I3:I210)</f>
        <v>139</v>
      </c>
      <c r="I141" s="168" cm="1">
        <f t="array" ref="I141">VLOOKUP(A141,'Standard Deviations'!A1:C672,3,FALSE)</f>
        <v>-2.4975367879286186</v>
      </c>
      <c r="J141" s="168" cm="1">
        <f t="array" ref="J141">I141-VLOOKUP(B$2,H1:J210,2,FALSE)</f>
        <v>-9.6687801997722786</v>
      </c>
    </row>
    <row r="142" spans="1:10" ht="21.25" customHeight="1" x14ac:dyDescent="0.15">
      <c r="A142" s="10" t="s">
        <v>652</v>
      </c>
      <c r="B142" s="94" t="str" cm="1">
        <f t="array" ref="B142">VLOOKUP(A142,'The List'!B1:D671,3,FALSE)</f>
        <v>LW,RW</v>
      </c>
      <c r="C142" s="95" cm="1">
        <f t="array" ref="C142">IF(Settings!$E$15="POINTS",RANK(E142,E3:E210),H142)</f>
        <v>140</v>
      </c>
      <c r="D142" s="18" t="str" cm="1">
        <f t="array" ref="D142">VLOOKUP(A142,'The List'!B1:F671,5,FALSE)</f>
        <v>T.B</v>
      </c>
      <c r="E142" s="55" cm="1">
        <f t="array" ref="E142">VLOOKUP(A142,'The List'!B1:I671,8,FALSE)</f>
        <v>158.52835148460397</v>
      </c>
      <c r="F142" s="55" cm="1">
        <f t="array" ref="F142">IF(Settings!$E$15="POINTS",E142-VLOOKUP(B$2,C1:E210,3,FALSE),J142)</f>
        <v>-240.78464182911611</v>
      </c>
      <c r="G142" s="55"/>
      <c r="H142" s="167" cm="1">
        <f t="array" ref="H142">RANK(I142,I3:I210)</f>
        <v>145</v>
      </c>
      <c r="I142" s="168" cm="1">
        <f t="array" ref="I142">VLOOKUP(A142,'Standard Deviations'!A1:C672,3,FALSE)</f>
        <v>-2.5933096611094397</v>
      </c>
      <c r="J142" s="168" cm="1">
        <f t="array" ref="J142">I142-VLOOKUP(B$2,H1:J210,2,FALSE)</f>
        <v>-9.7645530729530989</v>
      </c>
    </row>
    <row r="143" spans="1:10" ht="21.25" customHeight="1" x14ac:dyDescent="0.15">
      <c r="A143" s="10" t="s">
        <v>666</v>
      </c>
      <c r="B143" s="94" t="str" cm="1">
        <f t="array" ref="B143">VLOOKUP(A143,'The List'!B1:D671,3,FALSE)</f>
        <v>C,LW</v>
      </c>
      <c r="C143" s="95" cm="1">
        <f t="array" ref="C143">IF(Settings!$E$15="POINTS",RANK(E143,E3:E210),H143)</f>
        <v>141</v>
      </c>
      <c r="D143" s="18" t="str" cm="1">
        <f t="array" ref="D143">VLOOKUP(A143,'The List'!B1:F671,5,FALSE)</f>
        <v>DAL</v>
      </c>
      <c r="E143" s="55" cm="1">
        <f t="array" ref="E143">VLOOKUP(A143,'The List'!B1:I671,8,FALSE)</f>
        <v>156.13141068931625</v>
      </c>
      <c r="F143" s="55" cm="1">
        <f t="array" ref="F143">IF(Settings!$E$15="POINTS",E143-VLOOKUP(B$2,C1:E210,3,FALSE),J143)</f>
        <v>-243.18158262440383</v>
      </c>
      <c r="G143" s="55"/>
      <c r="H143" s="167" cm="1">
        <f t="array" ref="H143">RANK(I143,I3:I210)</f>
        <v>105</v>
      </c>
      <c r="I143" s="168" cm="1">
        <f t="array" ref="I143">VLOOKUP(A143,'Standard Deviations'!A1:C672,3,FALSE)</f>
        <v>-1.0466563569080498</v>
      </c>
      <c r="J143" s="168" cm="1">
        <f t="array" ref="J143">I143-VLOOKUP(B$2,H1:J210,2,FALSE)</f>
        <v>-8.2178997687517086</v>
      </c>
    </row>
    <row r="144" spans="1:10" ht="21.25" customHeight="1" x14ac:dyDescent="0.15">
      <c r="A144" s="10" t="s">
        <v>668</v>
      </c>
      <c r="B144" s="94" t="str" cm="1">
        <f t="array" ref="B144">VLOOKUP(A144,'The List'!B1:D671,3,FALSE)</f>
        <v>C,LW</v>
      </c>
      <c r="C144" s="95" cm="1">
        <f t="array" ref="C144">IF(Settings!$E$15="POINTS",RANK(E144,E3:E210),H144)</f>
        <v>142</v>
      </c>
      <c r="D144" s="18" t="str" cm="1">
        <f t="array" ref="D144">VLOOKUP(A144,'The List'!B1:F671,5,FALSE)</f>
        <v>T.B</v>
      </c>
      <c r="E144" s="55" cm="1">
        <f t="array" ref="E144">VLOOKUP(A144,'The List'!B1:I671,8,FALSE)</f>
        <v>154.14218459151215</v>
      </c>
      <c r="F144" s="55" cm="1">
        <f t="array" ref="F144">IF(Settings!$E$15="POINTS",E144-VLOOKUP(B$2,C1:E210,3,FALSE),J144)</f>
        <v>-245.17080872220794</v>
      </c>
      <c r="G144" s="55"/>
      <c r="H144" s="167" cm="1">
        <f t="array" ref="H144">RANK(I144,I3:I210)</f>
        <v>112</v>
      </c>
      <c r="I144" s="168" cm="1">
        <f t="array" ref="I144">VLOOKUP(A144,'Standard Deviations'!A1:C672,3,FALSE)</f>
        <v>-1.1809209112842955</v>
      </c>
      <c r="J144" s="168" cm="1">
        <f t="array" ref="J144">I144-VLOOKUP(B$2,H1:J210,2,FALSE)</f>
        <v>-8.3521643231279548</v>
      </c>
    </row>
    <row r="145" spans="1:10" ht="21.25" customHeight="1" x14ac:dyDescent="0.15">
      <c r="A145" s="10" t="s">
        <v>671</v>
      </c>
      <c r="B145" s="94" t="str" cm="1">
        <f t="array" ref="B145">VLOOKUP(A145,'The List'!B1:D671,3,FALSE)</f>
        <v>LW</v>
      </c>
      <c r="C145" s="95" cm="1">
        <f t="array" ref="C145">IF(Settings!$E$15="POINTS",RANK(E145,E3:E210),H145)</f>
        <v>143</v>
      </c>
      <c r="D145" s="18" t="str" cm="1">
        <f t="array" ref="D145">VLOOKUP(A145,'The List'!B1:F671,5,FALSE)</f>
        <v>BOS</v>
      </c>
      <c r="E145" s="55" cm="1">
        <f t="array" ref="E145">VLOOKUP(A145,'The List'!B1:I671,8,FALSE)</f>
        <v>153.0046557202665</v>
      </c>
      <c r="F145" s="55" cm="1">
        <f t="array" ref="F145">IF(Settings!$E$15="POINTS",E145-VLOOKUP(B$2,C1:E210,3,FALSE),J145)</f>
        <v>-246.30833759345359</v>
      </c>
      <c r="G145" s="55"/>
      <c r="H145" s="167" cm="1">
        <f t="array" ref="H145">RANK(I145,I3:I210)</f>
        <v>116</v>
      </c>
      <c r="I145" s="168" cm="1">
        <f t="array" ref="I145">VLOOKUP(A145,'Standard Deviations'!A1:C672,3,FALSE)</f>
        <v>-1.4709474636170294</v>
      </c>
      <c r="J145" s="168" cm="1">
        <f t="array" ref="J145">I145-VLOOKUP(B$2,H1:J210,2,FALSE)</f>
        <v>-8.6421908754606882</v>
      </c>
    </row>
    <row r="146" spans="1:10" ht="21.25" customHeight="1" x14ac:dyDescent="0.15">
      <c r="A146" s="10" t="s">
        <v>672</v>
      </c>
      <c r="B146" s="94" t="str" cm="1">
        <f t="array" ref="B146">VLOOKUP(A146,'The List'!B1:D671,3,FALSE)</f>
        <v>C,LW</v>
      </c>
      <c r="C146" s="95" cm="1">
        <f t="array" ref="C146">IF(Settings!$E$15="POINTS",RANK(E146,E3:E210),H146)</f>
        <v>144</v>
      </c>
      <c r="D146" s="18" t="str" cm="1">
        <f t="array" ref="D146">VLOOKUP(A146,'The List'!B1:F671,5,FALSE)</f>
        <v>WPG</v>
      </c>
      <c r="E146" s="55" cm="1">
        <f t="array" ref="E146">VLOOKUP(A146,'The List'!B1:I671,8,FALSE)</f>
        <v>152.2931111061238</v>
      </c>
      <c r="F146" s="55" cm="1">
        <f t="array" ref="F146">IF(Settings!$E$15="POINTS",E146-VLOOKUP(B$2,C1:E210,3,FALSE),J146)</f>
        <v>-247.01988220759628</v>
      </c>
      <c r="G146" s="55"/>
      <c r="H146" s="167" cm="1">
        <f t="array" ref="H146">RANK(I146,I3:I210)</f>
        <v>146</v>
      </c>
      <c r="I146" s="168" cm="1">
        <f t="array" ref="I146">VLOOKUP(A146,'Standard Deviations'!A1:C672,3,FALSE)</f>
        <v>-2.6181987270517548</v>
      </c>
      <c r="J146" s="168" cm="1">
        <f t="array" ref="J146">I146-VLOOKUP(B$2,H1:J210,2,FALSE)</f>
        <v>-9.7894421388954136</v>
      </c>
    </row>
    <row r="147" spans="1:10" ht="21.25" customHeight="1" x14ac:dyDescent="0.15">
      <c r="A147" s="10" t="s">
        <v>673</v>
      </c>
      <c r="B147" s="94" t="str" cm="1">
        <f t="array" ref="B147">VLOOKUP(A147,'The List'!B1:D671,3,FALSE)</f>
        <v>C,LW</v>
      </c>
      <c r="C147" s="95" cm="1">
        <f t="array" ref="C147">IF(Settings!$E$15="POINTS",RANK(E147,E3:E210),H147)</f>
        <v>145</v>
      </c>
      <c r="D147" s="18" t="str" cm="1">
        <f t="array" ref="D147">VLOOKUP(A147,'The List'!B1:F671,5,FALSE)</f>
        <v>TOR</v>
      </c>
      <c r="E147" s="55" cm="1">
        <f t="array" ref="E147">VLOOKUP(A147,'The List'!B1:I671,8,FALSE)</f>
        <v>152.10078647623914</v>
      </c>
      <c r="F147" s="55" cm="1">
        <f t="array" ref="F147">IF(Settings!$E$15="POINTS",E147-VLOOKUP(B$2,C1:E210,3,FALSE),J147)</f>
        <v>-247.21220683748095</v>
      </c>
      <c r="G147" s="55"/>
      <c r="H147" s="167" cm="1">
        <f t="array" ref="H147">RANK(I147,I3:I210)</f>
        <v>115</v>
      </c>
      <c r="I147" s="168" cm="1">
        <f t="array" ref="I147">VLOOKUP(A147,'Standard Deviations'!A1:C672,3,FALSE)</f>
        <v>-1.4687639745274956</v>
      </c>
      <c r="J147" s="168" cm="1">
        <f t="array" ref="J147">I147-VLOOKUP(B$2,H1:J210,2,FALSE)</f>
        <v>-8.6400073863711544</v>
      </c>
    </row>
    <row r="148" spans="1:10" ht="21.25" customHeight="1" x14ac:dyDescent="0.15">
      <c r="A148" s="10" t="s">
        <v>679</v>
      </c>
      <c r="B148" s="94" t="str" cm="1">
        <f t="array" ref="B148">VLOOKUP(A148,'The List'!B1:D671,3,FALSE)</f>
        <v>C,LW</v>
      </c>
      <c r="C148" s="95" cm="1">
        <f t="array" ref="C148">IF(Settings!$E$15="POINTS",RANK(E148,E3:E210),H148)</f>
        <v>146</v>
      </c>
      <c r="D148" s="18" t="str" cm="1">
        <f t="array" ref="D148">VLOOKUP(A148,'The List'!B1:F671,5,FALSE)</f>
        <v>BOS</v>
      </c>
      <c r="E148" s="55" cm="1">
        <f t="array" ref="E148">VLOOKUP(A148,'The List'!B1:I671,8,FALSE)</f>
        <v>149.15578870461394</v>
      </c>
      <c r="F148" s="55" cm="1">
        <f t="array" ref="F148">IF(Settings!$E$15="POINTS",E148-VLOOKUP(B$2,C1:E210,3,FALSE),J148)</f>
        <v>-250.15720460910615</v>
      </c>
      <c r="G148" s="55"/>
      <c r="H148" s="167" cm="1">
        <f t="array" ref="H148">RANK(I148,I3:I210)</f>
        <v>174</v>
      </c>
      <c r="I148" s="168" cm="1">
        <f t="array" ref="I148">VLOOKUP(A148,'Standard Deviations'!A1:C672,3,FALSE)</f>
        <v>-4.0432539563229764</v>
      </c>
      <c r="J148" s="168" cm="1">
        <f t="array" ref="J148">I148-VLOOKUP(B$2,H1:J210,2,FALSE)</f>
        <v>-11.214497368166636</v>
      </c>
    </row>
    <row r="149" spans="1:10" ht="21.25" customHeight="1" x14ac:dyDescent="0.15">
      <c r="A149" s="10" t="s">
        <v>680</v>
      </c>
      <c r="B149" s="94" t="str" cm="1">
        <f t="array" ref="B149">VLOOKUP(A149,'The List'!B1:D671,3,FALSE)</f>
        <v>C,LW</v>
      </c>
      <c r="C149" s="95" cm="1">
        <f t="array" ref="C149">IF(Settings!$E$15="POINTS",RANK(E149,E3:E210),H149)</f>
        <v>147</v>
      </c>
      <c r="D149" s="18" t="str" cm="1">
        <f t="array" ref="D149">VLOOKUP(A149,'The List'!B1:F671,5,FALSE)</f>
        <v>PIT</v>
      </c>
      <c r="E149" s="55" cm="1">
        <f t="array" ref="E149">VLOOKUP(A149,'The List'!B1:I671,8,FALSE)</f>
        <v>148.92316495648106</v>
      </c>
      <c r="F149" s="55" cm="1">
        <f t="array" ref="F149">IF(Settings!$E$15="POINTS",E149-VLOOKUP(B$2,C1:E210,3,FALSE),J149)</f>
        <v>-250.38982835723903</v>
      </c>
      <c r="G149" s="55"/>
      <c r="H149" s="167" cm="1">
        <f t="array" ref="H149">RANK(I149,I3:I210)</f>
        <v>162</v>
      </c>
      <c r="I149" s="168" cm="1">
        <f t="array" ref="I149">VLOOKUP(A149,'Standard Deviations'!A1:C672,3,FALSE)</f>
        <v>-3.4618159793086178</v>
      </c>
      <c r="J149" s="168" cm="1">
        <f t="array" ref="J149">I149-VLOOKUP(B$2,H1:J210,2,FALSE)</f>
        <v>-10.633059391152276</v>
      </c>
    </row>
    <row r="150" spans="1:10" ht="21.25" customHeight="1" x14ac:dyDescent="0.15">
      <c r="A150" s="10" t="s">
        <v>684</v>
      </c>
      <c r="B150" s="94" t="str" cm="1">
        <f t="array" ref="B150">VLOOKUP(A150,'The List'!B1:D671,3,FALSE)</f>
        <v>C,LW</v>
      </c>
      <c r="C150" s="95" cm="1">
        <f t="array" ref="C150">IF(Settings!$E$15="POINTS",RANK(E150,E3:E210),H150)</f>
        <v>148</v>
      </c>
      <c r="D150" s="18" t="str" cm="1">
        <f t="array" ref="D150">VLOOKUP(A150,'The List'!B1:F671,5,FALSE)</f>
        <v>UTA</v>
      </c>
      <c r="E150" s="55" cm="1">
        <f t="array" ref="E150">VLOOKUP(A150,'The List'!B1:I671,8,FALSE)</f>
        <v>147.34149050842899</v>
      </c>
      <c r="F150" s="55" cm="1">
        <f t="array" ref="F150">IF(Settings!$E$15="POINTS",E150-VLOOKUP(B$2,C1:E210,3,FALSE),J150)</f>
        <v>-251.9715028052911</v>
      </c>
      <c r="G150" s="55"/>
      <c r="H150" s="167" cm="1">
        <f t="array" ref="H150">RANK(I150,I3:I210)</f>
        <v>99</v>
      </c>
      <c r="I150" s="168" cm="1">
        <f t="array" ref="I150">VLOOKUP(A150,'Standard Deviations'!A1:C672,3,FALSE)</f>
        <v>-0.63313244656736023</v>
      </c>
      <c r="J150" s="168" cm="1">
        <f t="array" ref="J150">I150-VLOOKUP(B$2,H1:J210,2,FALSE)</f>
        <v>-7.804375858411019</v>
      </c>
    </row>
    <row r="151" spans="1:10" ht="21.25" customHeight="1" x14ac:dyDescent="0.15">
      <c r="A151" s="10" t="s">
        <v>674</v>
      </c>
      <c r="B151" s="94" t="str" cm="1">
        <f t="array" ref="B151">VLOOKUP(A151,'The List'!B1:D671,3,FALSE)</f>
        <v>LW,RW</v>
      </c>
      <c r="C151" s="95" cm="1">
        <f t="array" ref="C151">IF(Settings!$E$15="POINTS",RANK(E151,E3:E210),H151)</f>
        <v>149</v>
      </c>
      <c r="D151" s="18" t="str" cm="1">
        <f t="array" ref="D151">VLOOKUP(A151,'The List'!B1:F671,5,FALSE)</f>
        <v>MTL</v>
      </c>
      <c r="E151" s="55" cm="1">
        <f t="array" ref="E151">VLOOKUP(A151,'The List'!B1:I671,8,FALSE)</f>
        <v>147.13223319186213</v>
      </c>
      <c r="F151" s="55" cm="1">
        <f t="array" ref="F151">IF(Settings!$E$15="POINTS",E151-VLOOKUP(B$2,C1:E210,3,FALSE),J151)</f>
        <v>-252.18076012185796</v>
      </c>
      <c r="G151" s="55"/>
      <c r="H151" s="167" cm="1">
        <f t="array" ref="H151">RANK(I151,I3:I210)</f>
        <v>151</v>
      </c>
      <c r="I151" s="168" cm="1">
        <f t="array" ref="I151">VLOOKUP(A151,'Standard Deviations'!A1:C672,3,FALSE)</f>
        <v>-2.989838966641857</v>
      </c>
      <c r="J151" s="168" cm="1">
        <f t="array" ref="J151">I151-VLOOKUP(B$2,H1:J210,2,FALSE)</f>
        <v>-10.161082378485517</v>
      </c>
    </row>
    <row r="152" spans="1:10" ht="21.25" customHeight="1" x14ac:dyDescent="0.15">
      <c r="A152" s="10" t="s">
        <v>685</v>
      </c>
      <c r="B152" s="94" t="str" cm="1">
        <f t="array" ref="B152">VLOOKUP(A152,'The List'!B1:D671,3,FALSE)</f>
        <v>C,LW</v>
      </c>
      <c r="C152" s="95" cm="1">
        <f t="array" ref="C152">IF(Settings!$E$15="POINTS",RANK(E152,E3:E210),H152)</f>
        <v>150</v>
      </c>
      <c r="D152" s="18" t="str" cm="1">
        <f t="array" ref="D152">VLOOKUP(A152,'The List'!B1:F671,5,FALSE)</f>
        <v>BUF</v>
      </c>
      <c r="E152" s="55" cm="1">
        <f t="array" ref="E152">VLOOKUP(A152,'The List'!B1:I671,8,FALSE)</f>
        <v>146.01881101514866</v>
      </c>
      <c r="F152" s="55" cm="1">
        <f t="array" ref="F152">IF(Settings!$E$15="POINTS",E152-VLOOKUP(B$2,C1:E210,3,FALSE),J152)</f>
        <v>-253.29418229857143</v>
      </c>
      <c r="G152" s="55"/>
      <c r="H152" s="167" cm="1">
        <f t="array" ref="H152">RANK(I152,I3:I210)</f>
        <v>130</v>
      </c>
      <c r="I152" s="168" cm="1">
        <f t="array" ref="I152">VLOOKUP(A152,'Standard Deviations'!A1:C672,3,FALSE)</f>
        <v>-2.0164064771055523</v>
      </c>
      <c r="J152" s="168" cm="1">
        <f t="array" ref="J152">I152-VLOOKUP(B$2,H1:J210,2,FALSE)</f>
        <v>-9.1876498889492115</v>
      </c>
    </row>
    <row r="153" spans="1:10" ht="21.25" customHeight="1" x14ac:dyDescent="0.15">
      <c r="A153" s="10" t="s">
        <v>686</v>
      </c>
      <c r="B153" s="94" t="str" cm="1">
        <f t="array" ref="B153">VLOOKUP(A153,'The List'!B1:D671,3,FALSE)</f>
        <v>C,LW</v>
      </c>
      <c r="C153" s="95" cm="1">
        <f t="array" ref="C153">IF(Settings!$E$15="POINTS",RANK(E153,E3:E210),H153)</f>
        <v>151</v>
      </c>
      <c r="D153" s="18" t="str" cm="1">
        <f t="array" ref="D153">VLOOKUP(A153,'The List'!B1:F671,5,FALSE)</f>
        <v>DAL</v>
      </c>
      <c r="E153" s="55" cm="1">
        <f t="array" ref="E153">VLOOKUP(A153,'The List'!B1:I671,8,FALSE)</f>
        <v>145.96338984928676</v>
      </c>
      <c r="F153" s="55" cm="1">
        <f t="array" ref="F153">IF(Settings!$E$15="POINTS",E153-VLOOKUP(B$2,C1:E210,3,FALSE),J153)</f>
        <v>-253.34960346443333</v>
      </c>
      <c r="G153" s="55"/>
      <c r="H153" s="167" cm="1">
        <f t="array" ref="H153">RANK(I153,I3:I210)</f>
        <v>141</v>
      </c>
      <c r="I153" s="168" cm="1">
        <f t="array" ref="I153">VLOOKUP(A153,'Standard Deviations'!A1:C672,3,FALSE)</f>
        <v>-2.5261636105711389</v>
      </c>
      <c r="J153" s="168" cm="1">
        <f t="array" ref="J153">I153-VLOOKUP(B$2,H1:J210,2,FALSE)</f>
        <v>-9.6974070224147972</v>
      </c>
    </row>
    <row r="154" spans="1:10" ht="21.25" customHeight="1" x14ac:dyDescent="0.15">
      <c r="A154" s="10" t="s">
        <v>678</v>
      </c>
      <c r="B154" s="94" t="str" cm="1">
        <f t="array" ref="B154">VLOOKUP(A154,'The List'!B1:D671,3,FALSE)</f>
        <v>LW,RW</v>
      </c>
      <c r="C154" s="95" cm="1">
        <f t="array" ref="C154">IF(Settings!$E$15="POINTS",RANK(E154,E3:E210),H154)</f>
        <v>152</v>
      </c>
      <c r="D154" s="18" t="str" cm="1">
        <f t="array" ref="D154">VLOOKUP(A154,'The List'!B1:F671,5,FALSE)</f>
        <v>VGK</v>
      </c>
      <c r="E154" s="55" cm="1">
        <f t="array" ref="E154">VLOOKUP(A154,'The List'!B1:I671,8,FALSE)</f>
        <v>145.43204260548367</v>
      </c>
      <c r="F154" s="55" cm="1">
        <f t="array" ref="F154">IF(Settings!$E$15="POINTS",E154-VLOOKUP(B$2,C1:E210,3,FALSE),J154)</f>
        <v>-253.88095070823641</v>
      </c>
      <c r="G154" s="55"/>
      <c r="H154" s="167" cm="1">
        <f t="array" ref="H154">RANK(I154,I3:I210)</f>
        <v>165</v>
      </c>
      <c r="I154" s="168" cm="1">
        <f t="array" ref="I154">VLOOKUP(A154,'Standard Deviations'!A1:C672,3,FALSE)</f>
        <v>-3.6127436372610044</v>
      </c>
      <c r="J154" s="168" cm="1">
        <f t="array" ref="J154">I154-VLOOKUP(B$2,H1:J210,2,FALSE)</f>
        <v>-10.783987049104663</v>
      </c>
    </row>
    <row r="155" spans="1:10" ht="21.25" customHeight="1" x14ac:dyDescent="0.15">
      <c r="A155" s="10" t="s">
        <v>682</v>
      </c>
      <c r="B155" s="94" t="str" cm="1">
        <f t="array" ref="B155">VLOOKUP(A155,'The List'!B1:D671,3,FALSE)</f>
        <v>LW,RW</v>
      </c>
      <c r="C155" s="95" cm="1">
        <f t="array" ref="C155">IF(Settings!$E$15="POINTS",RANK(E155,E3:E210),H155)</f>
        <v>153</v>
      </c>
      <c r="D155" s="18" t="str" cm="1">
        <f t="array" ref="D155">VLOOKUP(A155,'The List'!B1:F671,5,FALSE)</f>
        <v>STL</v>
      </c>
      <c r="E155" s="55" cm="1">
        <f t="array" ref="E155">VLOOKUP(A155,'The List'!B1:I671,8,FALSE)</f>
        <v>143.94228151447854</v>
      </c>
      <c r="F155" s="55" cm="1">
        <f t="array" ref="F155">IF(Settings!$E$15="POINTS",E155-VLOOKUP(B$2,C1:E210,3,FALSE),J155)</f>
        <v>-255.37071179924155</v>
      </c>
      <c r="G155" s="55"/>
      <c r="H155" s="167" cm="1">
        <f t="array" ref="H155">RANK(I155,I3:I210)</f>
        <v>182</v>
      </c>
      <c r="I155" s="168" cm="1">
        <f t="array" ref="I155">VLOOKUP(A155,'Standard Deviations'!A1:C672,3,FALSE)</f>
        <v>-4.6387613370971712</v>
      </c>
      <c r="J155" s="168" cm="1">
        <f t="array" ref="J155">I155-VLOOKUP(B$2,H1:J210,2,FALSE)</f>
        <v>-11.81000474894083</v>
      </c>
    </row>
    <row r="156" spans="1:10" ht="21.25" customHeight="1" x14ac:dyDescent="0.15">
      <c r="A156" s="10" t="s">
        <v>683</v>
      </c>
      <c r="B156" s="94" t="str" cm="1">
        <f t="array" ref="B156">VLOOKUP(A156,'The List'!B1:D671,3,FALSE)</f>
        <v>LW,RW</v>
      </c>
      <c r="C156" s="95" cm="1">
        <f t="array" ref="C156">IF(Settings!$E$15="POINTS",RANK(E156,E3:E210),H156)</f>
        <v>154</v>
      </c>
      <c r="D156" s="18" t="str" cm="1">
        <f t="array" ref="D156">VLOOKUP(A156,'The List'!B1:F671,5,FALSE)</f>
        <v>WPG</v>
      </c>
      <c r="E156" s="55" cm="1">
        <f t="array" ref="E156">VLOOKUP(A156,'The List'!B1:I671,8,FALSE)</f>
        <v>143.92132183640524</v>
      </c>
      <c r="F156" s="55" cm="1">
        <f t="array" ref="F156">IF(Settings!$E$15="POINTS",E156-VLOOKUP(B$2,C1:E210,3,FALSE),J156)</f>
        <v>-255.39167147731484</v>
      </c>
      <c r="G156" s="55"/>
      <c r="H156" s="167" cm="1">
        <f t="array" ref="H156">RANK(I156,I3:I210)</f>
        <v>153</v>
      </c>
      <c r="I156" s="168" cm="1">
        <f t="array" ref="I156">VLOOKUP(A156,'Standard Deviations'!A1:C672,3,FALSE)</f>
        <v>-3.1064323276929557</v>
      </c>
      <c r="J156" s="168" cm="1">
        <f t="array" ref="J156">I156-VLOOKUP(B$2,H1:J210,2,FALSE)</f>
        <v>-10.277675739536615</v>
      </c>
    </row>
    <row r="157" spans="1:10" ht="21.25" customHeight="1" x14ac:dyDescent="0.15">
      <c r="A157" s="10" t="s">
        <v>688</v>
      </c>
      <c r="B157" s="94" t="str" cm="1">
        <f t="array" ref="B157">VLOOKUP(A157,'The List'!B1:D671,3,FALSE)</f>
        <v>LW</v>
      </c>
      <c r="C157" s="95" cm="1">
        <f t="array" ref="C157">IF(Settings!$E$15="POINTS",RANK(E157,E3:E210),H157)</f>
        <v>155</v>
      </c>
      <c r="D157" s="18" t="str" cm="1">
        <f t="array" ref="D157">VLOOKUP(A157,'The List'!B1:F671,5,FALSE)</f>
        <v>VAN</v>
      </c>
      <c r="E157" s="55" cm="1">
        <f t="array" ref="E157">VLOOKUP(A157,'The List'!B1:I671,8,FALSE)</f>
        <v>142.7279887416434</v>
      </c>
      <c r="F157" s="55" cm="1">
        <f t="array" ref="F157">IF(Settings!$E$15="POINTS",E157-VLOOKUP(B$2,C1:E210,3,FALSE),J157)</f>
        <v>-256.58500457207668</v>
      </c>
      <c r="G157" s="55"/>
      <c r="H157" s="167" cm="1">
        <f t="array" ref="H157">RANK(I157,I3:I210)</f>
        <v>204</v>
      </c>
      <c r="I157" s="168" cm="1">
        <f t="array" ref="I157">VLOOKUP(A157,'Standard Deviations'!A1:C672,3,FALSE)</f>
        <v>-6.7876636494062668</v>
      </c>
      <c r="J157" s="168" cm="1">
        <f t="array" ref="J157">I157-VLOOKUP(B$2,H1:J210,2,FALSE)</f>
        <v>-13.958907061249926</v>
      </c>
    </row>
    <row r="158" spans="1:10" ht="21.25" customHeight="1" x14ac:dyDescent="0.15">
      <c r="A158" s="10" t="s">
        <v>692</v>
      </c>
      <c r="B158" s="94" t="str" cm="1">
        <f t="array" ref="B158">VLOOKUP(A158,'The List'!B1:D671,3,FALSE)</f>
        <v>LW</v>
      </c>
      <c r="C158" s="95" cm="1">
        <f t="array" ref="C158">IF(Settings!$E$15="POINTS",RANK(E158,E3:E210),H158)</f>
        <v>156</v>
      </c>
      <c r="D158" s="18" t="str" cm="1">
        <f t="array" ref="D158">VLOOKUP(A158,'The List'!B1:F671,5,FALSE)</f>
        <v>UTA</v>
      </c>
      <c r="E158" s="55" cm="1">
        <f t="array" ref="E158">VLOOKUP(A158,'The List'!B1:I671,8,FALSE)</f>
        <v>140.99538810386863</v>
      </c>
      <c r="F158" s="55" cm="1">
        <f t="array" ref="F158">IF(Settings!$E$15="POINTS",E158-VLOOKUP(B$2,C1:E210,3,FALSE),J158)</f>
        <v>-258.31760520985142</v>
      </c>
      <c r="G158" s="55"/>
      <c r="H158" s="167" cm="1">
        <f t="array" ref="H158">RANK(I158,I3:I210)</f>
        <v>163</v>
      </c>
      <c r="I158" s="168" cm="1">
        <f t="array" ref="I158">VLOOKUP(A158,'Standard Deviations'!A1:C672,3,FALSE)</f>
        <v>-3.4733159096628223</v>
      </c>
      <c r="J158" s="168" cm="1">
        <f t="array" ref="J158">I158-VLOOKUP(B$2,H1:J210,2,FALSE)</f>
        <v>-10.644559321506481</v>
      </c>
    </row>
    <row r="159" spans="1:10" ht="21.25" customHeight="1" x14ac:dyDescent="0.15">
      <c r="A159" s="10" t="s">
        <v>694</v>
      </c>
      <c r="B159" s="94" t="str" cm="1">
        <f t="array" ref="B159">VLOOKUP(A159,'The List'!B1:D671,3,FALSE)</f>
        <v>LW</v>
      </c>
      <c r="C159" s="95" cm="1">
        <f t="array" ref="C159">IF(Settings!$E$15="POINTS",RANK(E159,E3:E210),H159)</f>
        <v>157</v>
      </c>
      <c r="D159" s="18" t="str" cm="1">
        <f t="array" ref="D159">VLOOKUP(A159,'The List'!B1:F671,5,FALSE)</f>
        <v>PHI</v>
      </c>
      <c r="E159" s="55" cm="1">
        <f t="array" ref="E159">VLOOKUP(A159,'The List'!B1:I671,8,FALSE)</f>
        <v>140.8189790372231</v>
      </c>
      <c r="F159" s="55" cm="1">
        <f t="array" ref="F159">IF(Settings!$E$15="POINTS",E159-VLOOKUP(B$2,C1:E210,3,FALSE),J159)</f>
        <v>-258.49401427649696</v>
      </c>
      <c r="G159" s="55"/>
      <c r="H159" s="167" cm="1">
        <f t="array" ref="H159">RANK(I159,I3:I210)</f>
        <v>175</v>
      </c>
      <c r="I159" s="168" cm="1">
        <f t="array" ref="I159">VLOOKUP(A159,'Standard Deviations'!A1:C672,3,FALSE)</f>
        <v>-4.1082318425825104</v>
      </c>
      <c r="J159" s="168" cm="1">
        <f t="array" ref="J159">I159-VLOOKUP(B$2,H1:J210,2,FALSE)</f>
        <v>-11.27947525442617</v>
      </c>
    </row>
    <row r="160" spans="1:10" ht="21.25" customHeight="1" x14ac:dyDescent="0.15">
      <c r="A160" s="10" t="s">
        <v>698</v>
      </c>
      <c r="B160" s="94" t="str" cm="1">
        <f t="array" ref="B160">VLOOKUP(A160,'The List'!B1:D671,3,FALSE)</f>
        <v>C,LW</v>
      </c>
      <c r="C160" s="95" cm="1">
        <f t="array" ref="C160">IF(Settings!$E$15="POINTS",RANK(E160,E3:E210),H160)</f>
        <v>158</v>
      </c>
      <c r="D160" s="18" t="str" cm="1">
        <f t="array" ref="D160">VLOOKUP(A160,'The List'!B1:F671,5,FALSE)</f>
        <v>WPG</v>
      </c>
      <c r="E160" s="55" cm="1">
        <f t="array" ref="E160">VLOOKUP(A160,'The List'!B1:I671,8,FALSE)</f>
        <v>139.37956686193914</v>
      </c>
      <c r="F160" s="55" cm="1">
        <f t="array" ref="F160">IF(Settings!$E$15="POINTS",E160-VLOOKUP(B$2,C1:E210,3,FALSE),J160)</f>
        <v>-259.93342645178097</v>
      </c>
      <c r="G160" s="55"/>
      <c r="H160" s="167" cm="1">
        <f t="array" ref="H160">RANK(I160,I3:I210)</f>
        <v>155</v>
      </c>
      <c r="I160" s="168" cm="1">
        <f t="array" ref="I160">VLOOKUP(A160,'Standard Deviations'!A1:C672,3,FALSE)</f>
        <v>-3.2948038565384588</v>
      </c>
      <c r="J160" s="168" cm="1">
        <f t="array" ref="J160">I160-VLOOKUP(B$2,H1:J210,2,FALSE)</f>
        <v>-10.466047268382118</v>
      </c>
    </row>
    <row r="161" spans="1:10" ht="21.25" customHeight="1" x14ac:dyDescent="0.15">
      <c r="A161" s="10" t="s">
        <v>700</v>
      </c>
      <c r="B161" s="94" t="str" cm="1">
        <f t="array" ref="B161">VLOOKUP(A161,'The List'!B1:D671,3,FALSE)</f>
        <v>C,LW</v>
      </c>
      <c r="C161" s="95" cm="1">
        <f t="array" ref="C161">IF(Settings!$E$15="POINTS",RANK(E161,E3:E210),H161)</f>
        <v>159</v>
      </c>
      <c r="D161" s="18" t="str" cm="1">
        <f t="array" ref="D161">VLOOKUP(A161,'The List'!B1:F671,5,FALSE)</f>
        <v>DET</v>
      </c>
      <c r="E161" s="55" cm="1">
        <f t="array" ref="E161">VLOOKUP(A161,'The List'!B1:I671,8,FALSE)</f>
        <v>137.96278553022793</v>
      </c>
      <c r="F161" s="55" cm="1">
        <f t="array" ref="F161">IF(Settings!$E$15="POINTS",E161-VLOOKUP(B$2,C1:E210,3,FALSE),J161)</f>
        <v>-261.35020778349212</v>
      </c>
      <c r="G161" s="55"/>
      <c r="H161" s="167" cm="1">
        <f t="array" ref="H161">RANK(I161,I3:I210)</f>
        <v>171</v>
      </c>
      <c r="I161" s="168" cm="1">
        <f t="array" ref="I161">VLOOKUP(A161,'Standard Deviations'!A1:C672,3,FALSE)</f>
        <v>-3.9532696549331638</v>
      </c>
      <c r="J161" s="168" cm="1">
        <f t="array" ref="J161">I161-VLOOKUP(B$2,H1:J210,2,FALSE)</f>
        <v>-11.124513066776823</v>
      </c>
    </row>
    <row r="162" spans="1:10" ht="21.25" customHeight="1" x14ac:dyDescent="0.15">
      <c r="A162" s="10" t="s">
        <v>701</v>
      </c>
      <c r="B162" s="94" t="str" cm="1">
        <f t="array" ref="B162">VLOOKUP(A162,'The List'!B1:D671,3,FALSE)</f>
        <v>LW</v>
      </c>
      <c r="C162" s="95" cm="1">
        <f t="array" ref="C162">IF(Settings!$E$15="POINTS",RANK(E162,E3:E210),H162)</f>
        <v>160</v>
      </c>
      <c r="D162" s="18" t="str" cm="1">
        <f t="array" ref="D162">VLOOKUP(A162,'The List'!B1:F671,5,FALSE)</f>
        <v>CHI</v>
      </c>
      <c r="E162" s="55" cm="1">
        <f t="array" ref="E162">VLOOKUP(A162,'The List'!B1:I671,8,FALSE)</f>
        <v>137.17876110305801</v>
      </c>
      <c r="F162" s="55" cm="1">
        <f t="array" ref="F162">IF(Settings!$E$15="POINTS",E162-VLOOKUP(B$2,C1:E210,3,FALSE),J162)</f>
        <v>-262.13423221066205</v>
      </c>
      <c r="G162" s="55"/>
      <c r="H162" s="167" cm="1">
        <f t="array" ref="H162">RANK(I162,I3:I210)</f>
        <v>196</v>
      </c>
      <c r="I162" s="168" cm="1">
        <f t="array" ref="I162">VLOOKUP(A162,'Standard Deviations'!A1:C672,3,FALSE)</f>
        <v>-5.731569194907137</v>
      </c>
      <c r="J162" s="168" cm="1">
        <f t="array" ref="J162">I162-VLOOKUP(B$2,H1:J210,2,FALSE)</f>
        <v>-12.902812606750796</v>
      </c>
    </row>
    <row r="163" spans="1:10" ht="21.25" customHeight="1" x14ac:dyDescent="0.15">
      <c r="A163" s="10" t="s">
        <v>703</v>
      </c>
      <c r="B163" s="94" t="str" cm="1">
        <f t="array" ref="B163">VLOOKUP(A163,'The List'!B1:D671,3,FALSE)</f>
        <v>LW</v>
      </c>
      <c r="C163" s="95" cm="1">
        <f t="array" ref="C163">IF(Settings!$E$15="POINTS",RANK(E163,E3:E210),H163)</f>
        <v>161</v>
      </c>
      <c r="D163" s="18" t="str" cm="1">
        <f t="array" ref="D163">VLOOKUP(A163,'The List'!B1:F671,5,FALSE)</f>
        <v>WSH</v>
      </c>
      <c r="E163" s="55" cm="1">
        <f t="array" ref="E163">VLOOKUP(A163,'The List'!B1:I671,8,FALSE)</f>
        <v>136.73209980636167</v>
      </c>
      <c r="F163" s="55" cm="1">
        <f t="array" ref="F163">IF(Settings!$E$15="POINTS",E163-VLOOKUP(B$2,C1:E210,3,FALSE),J163)</f>
        <v>-262.58089350735838</v>
      </c>
      <c r="G163" s="55"/>
      <c r="H163" s="167" cm="1">
        <f t="array" ref="H163">RANK(I163,I3:I210)</f>
        <v>160</v>
      </c>
      <c r="I163" s="168" cm="1">
        <f t="array" ref="I163">VLOOKUP(A163,'Standard Deviations'!A1:C672,3,FALSE)</f>
        <v>-3.3693293839398408</v>
      </c>
      <c r="J163" s="168" cm="1">
        <f t="array" ref="J163">I163-VLOOKUP(B$2,H1:J210,2,FALSE)</f>
        <v>-10.5405727957835</v>
      </c>
    </row>
    <row r="164" spans="1:10" ht="21.25" customHeight="1" x14ac:dyDescent="0.15">
      <c r="A164" s="10" t="s">
        <v>705</v>
      </c>
      <c r="B164" s="94" t="str" cm="1">
        <f t="array" ref="B164">VLOOKUP(A164,'The List'!B1:D671,3,FALSE)</f>
        <v>LW</v>
      </c>
      <c r="C164" s="95" cm="1">
        <f t="array" ref="C164">IF(Settings!$E$15="POINTS",RANK(E164,E3:E210),H164)</f>
        <v>162</v>
      </c>
      <c r="D164" s="18" t="str" cm="1">
        <f t="array" ref="D164">VLOOKUP(A164,'The List'!B1:F671,5,FALSE)</f>
        <v>PHI</v>
      </c>
      <c r="E164" s="55" cm="1">
        <f t="array" ref="E164">VLOOKUP(A164,'The List'!B1:I671,8,FALSE)</f>
        <v>135.91203839227461</v>
      </c>
      <c r="F164" s="55" cm="1">
        <f t="array" ref="F164">IF(Settings!$E$15="POINTS",E164-VLOOKUP(B$2,C1:E210,3,FALSE),J164)</f>
        <v>-263.40095492144548</v>
      </c>
      <c r="G164" s="55"/>
      <c r="H164" s="167" cm="1">
        <f t="array" ref="H164">RANK(I164,I3:I210)</f>
        <v>167</v>
      </c>
      <c r="I164" s="168" cm="1">
        <f t="array" ref="I164">VLOOKUP(A164,'Standard Deviations'!A1:C672,3,FALSE)</f>
        <v>-3.7276797325709965</v>
      </c>
      <c r="J164" s="168" cm="1">
        <f t="array" ref="J164">I164-VLOOKUP(B$2,H1:J210,2,FALSE)</f>
        <v>-10.898923144414656</v>
      </c>
    </row>
    <row r="165" spans="1:10" ht="21.25" customHeight="1" x14ac:dyDescent="0.15">
      <c r="A165" s="10" t="s">
        <v>696</v>
      </c>
      <c r="B165" s="94" t="str" cm="1">
        <f t="array" ref="B165">VLOOKUP(A165,'The List'!B1:D671,3,FALSE)</f>
        <v>C,LW,RW</v>
      </c>
      <c r="C165" s="95" cm="1">
        <f t="array" ref="C165">IF(Settings!$E$15="POINTS",RANK(E165,E3:E210),H165)</f>
        <v>163</v>
      </c>
      <c r="D165" s="18" t="str" cm="1">
        <f t="array" ref="D165">VLOOKUP(A165,'The List'!B1:F671,5,FALSE)</f>
        <v>NSH</v>
      </c>
      <c r="E165" s="55" cm="1">
        <f t="array" ref="E165">VLOOKUP(A165,'The List'!B1:I671,8,FALSE)</f>
        <v>135.71447661757338</v>
      </c>
      <c r="F165" s="55" cm="1">
        <f t="array" ref="F165">IF(Settings!$E$15="POINTS",E165-VLOOKUP(B$2,C1:E210,3,FALSE),J165)</f>
        <v>-263.5985166961467</v>
      </c>
      <c r="G165" s="55"/>
      <c r="H165" s="167" cm="1">
        <f t="array" ref="H165">RANK(I165,I3:I210)</f>
        <v>180</v>
      </c>
      <c r="I165" s="168" cm="1">
        <f t="array" ref="I165">VLOOKUP(A165,'Standard Deviations'!A1:C672,3,FALSE)</f>
        <v>-4.4724303638569092</v>
      </c>
      <c r="J165" s="168" cm="1">
        <f t="array" ref="J165">I165-VLOOKUP(B$2,H1:J210,2,FALSE)</f>
        <v>-11.643673775700568</v>
      </c>
    </row>
    <row r="166" spans="1:10" ht="21.25" customHeight="1" x14ac:dyDescent="0.15">
      <c r="A166" s="10" t="s">
        <v>709</v>
      </c>
      <c r="B166" s="94" t="str" cm="1">
        <f t="array" ref="B166">VLOOKUP(A166,'The List'!B1:D671,3,FALSE)</f>
        <v>LW</v>
      </c>
      <c r="C166" s="95" cm="1">
        <f t="array" ref="C166">IF(Settings!$E$15="POINTS",RANK(E166,E3:E210),H166)</f>
        <v>164</v>
      </c>
      <c r="D166" s="18" t="str" cm="1">
        <f t="array" ref="D166">VLOOKUP(A166,'The List'!B1:F671,5,FALSE)</f>
        <v>NSH</v>
      </c>
      <c r="E166" s="55" cm="1">
        <f t="array" ref="E166">VLOOKUP(A166,'The List'!B1:I671,8,FALSE)</f>
        <v>133.07158174580604</v>
      </c>
      <c r="F166" s="55" cm="1">
        <f t="array" ref="F166">IF(Settings!$E$15="POINTS",E166-VLOOKUP(B$2,C1:E210,3,FALSE),J166)</f>
        <v>-266.24141156791404</v>
      </c>
      <c r="G166" s="55"/>
      <c r="H166" s="167" cm="1">
        <f t="array" ref="H166">RANK(I166,I3:I210)</f>
        <v>172</v>
      </c>
      <c r="I166" s="168" cm="1">
        <f t="array" ref="I166">VLOOKUP(A166,'Standard Deviations'!A1:C672,3,FALSE)</f>
        <v>-3.9584083475917593</v>
      </c>
      <c r="J166" s="168" cm="1">
        <f t="array" ref="J166">I166-VLOOKUP(B$2,H1:J210,2,FALSE)</f>
        <v>-11.129651759435419</v>
      </c>
    </row>
    <row r="167" spans="1:10" ht="21.25" customHeight="1" x14ac:dyDescent="0.15">
      <c r="A167" s="10" t="s">
        <v>717</v>
      </c>
      <c r="B167" s="94" t="str" cm="1">
        <f t="array" ref="B167">VLOOKUP(A167,'The List'!B1:D671,3,FALSE)</f>
        <v>LW</v>
      </c>
      <c r="C167" s="95" cm="1">
        <f t="array" ref="C167">IF(Settings!$E$15="POINTS",RANK(E167,E3:E210),H167)</f>
        <v>165</v>
      </c>
      <c r="D167" s="18" t="str" cm="1">
        <f t="array" ref="D167">VLOOKUP(A167,'The List'!B1:F671,5,FALSE)</f>
        <v>NYR</v>
      </c>
      <c r="E167" s="55" cm="1">
        <f t="array" ref="E167">VLOOKUP(A167,'The List'!B1:I671,8,FALSE)</f>
        <v>128.40305394467018</v>
      </c>
      <c r="F167" s="55" cm="1">
        <f t="array" ref="F167">IF(Settings!$E$15="POINTS",E167-VLOOKUP(B$2,C1:E210,3,FALSE),J167)</f>
        <v>-270.90993936904988</v>
      </c>
      <c r="G167" s="55"/>
      <c r="H167" s="167" cm="1">
        <f t="array" ref="H167">RANK(I167,I3:I210)</f>
        <v>168</v>
      </c>
      <c r="I167" s="168" cm="1">
        <f t="array" ref="I167">VLOOKUP(A167,'Standard Deviations'!A1:C672,3,FALSE)</f>
        <v>-3.7546075297588364</v>
      </c>
      <c r="J167" s="168" cm="1">
        <f t="array" ref="J167">I167-VLOOKUP(B$2,H1:J210,2,FALSE)</f>
        <v>-10.925850941602496</v>
      </c>
    </row>
    <row r="168" spans="1:10" ht="21.25" customHeight="1" x14ac:dyDescent="0.15">
      <c r="A168" s="10" t="s">
        <v>712</v>
      </c>
      <c r="B168" s="94" t="str" cm="1">
        <f t="array" ref="B168">VLOOKUP(A168,'The List'!B1:D671,3,FALSE)</f>
        <v>C,LW,RW</v>
      </c>
      <c r="C168" s="95" cm="1">
        <f t="array" ref="C168">IF(Settings!$E$15="POINTS",RANK(E168,E3:E210),H168)</f>
        <v>166</v>
      </c>
      <c r="D168" s="18" t="str" cm="1">
        <f t="array" ref="D168">VLOOKUP(A168,'The List'!B1:F671,5,FALSE)</f>
        <v>MIN</v>
      </c>
      <c r="E168" s="55" cm="1">
        <f t="array" ref="E168">VLOOKUP(A168,'The List'!B1:I671,8,FALSE)</f>
        <v>126.8320607710076</v>
      </c>
      <c r="F168" s="55" cm="1">
        <f t="array" ref="F168">IF(Settings!$E$15="POINTS",E168-VLOOKUP(B$2,C1:E210,3,FALSE),J168)</f>
        <v>-272.48093254271248</v>
      </c>
      <c r="G168" s="55"/>
      <c r="H168" s="167" cm="1">
        <f t="array" ref="H168">RANK(I168,I3:I210)</f>
        <v>149</v>
      </c>
      <c r="I168" s="168" cm="1">
        <f t="array" ref="I168">VLOOKUP(A168,'Standard Deviations'!A1:C672,3,FALSE)</f>
        <v>-2.7036632467316317</v>
      </c>
      <c r="J168" s="168" cm="1">
        <f t="array" ref="J168">I168-VLOOKUP(B$2,H1:J210,2,FALSE)</f>
        <v>-9.8749066585752914</v>
      </c>
    </row>
    <row r="169" spans="1:10" ht="21.25" customHeight="1" x14ac:dyDescent="0.15">
      <c r="A169" s="10" t="s">
        <v>715</v>
      </c>
      <c r="B169" s="94" t="str" cm="1">
        <f t="array" ref="B169">VLOOKUP(A169,'The List'!B1:D671,3,FALSE)</f>
        <v>LW,RW</v>
      </c>
      <c r="C169" s="95" cm="1">
        <f t="array" ref="C169">IF(Settings!$E$15="POINTS",RANK(E169,E3:E210),H169)</f>
        <v>167</v>
      </c>
      <c r="D169" s="18" t="str" cm="1">
        <f t="array" ref="D169">VLOOKUP(A169,'The List'!B1:F671,5,FALSE)</f>
        <v>STL</v>
      </c>
      <c r="E169" s="55" cm="1">
        <f t="array" ref="E169">VLOOKUP(A169,'The List'!B1:I671,8,FALSE)</f>
        <v>125.29115204157866</v>
      </c>
      <c r="F169" s="55" cm="1">
        <f t="array" ref="F169">IF(Settings!$E$15="POINTS",E169-VLOOKUP(B$2,C1:E210,3,FALSE),J169)</f>
        <v>-274.02184127214144</v>
      </c>
      <c r="G169" s="55"/>
      <c r="H169" s="167" cm="1">
        <f t="array" ref="H169">RANK(I169,I3:I210)</f>
        <v>185</v>
      </c>
      <c r="I169" s="168" cm="1">
        <f t="array" ref="I169">VLOOKUP(A169,'Standard Deviations'!A1:C672,3,FALSE)</f>
        <v>-4.7708676708608806</v>
      </c>
      <c r="J169" s="168" cm="1">
        <f t="array" ref="J169">I169-VLOOKUP(B$2,H1:J210,2,FALSE)</f>
        <v>-11.942111082704539</v>
      </c>
    </row>
    <row r="170" spans="1:10" ht="21.25" customHeight="1" x14ac:dyDescent="0.15">
      <c r="A170" s="10" t="s">
        <v>721</v>
      </c>
      <c r="B170" s="94" t="str" cm="1">
        <f t="array" ref="B170">VLOOKUP(A170,'The List'!B1:D671,3,FALSE)</f>
        <v>LW,RW</v>
      </c>
      <c r="C170" s="95" cm="1">
        <f t="array" ref="C170">IF(Settings!$E$15="POINTS",RANK(E170,E3:E210),H170)</f>
        <v>168</v>
      </c>
      <c r="D170" s="18" t="str" cm="1">
        <f t="array" ref="D170">VLOOKUP(A170,'The List'!B1:F671,5,FALSE)</f>
        <v>OTT</v>
      </c>
      <c r="E170" s="55" cm="1">
        <f t="array" ref="E170">VLOOKUP(A170,'The List'!B1:I671,8,FALSE)</f>
        <v>121.53642236478285</v>
      </c>
      <c r="F170" s="55" cm="1">
        <f t="array" ref="F170">IF(Settings!$E$15="POINTS",E170-VLOOKUP(B$2,C1:E210,3,FALSE),J170)</f>
        <v>-277.77657094893721</v>
      </c>
      <c r="G170" s="55"/>
      <c r="H170" s="167" cm="1">
        <f t="array" ref="H170">RANK(I170,I3:I210)</f>
        <v>186</v>
      </c>
      <c r="I170" s="168" cm="1">
        <f t="array" ref="I170">VLOOKUP(A170,'Standard Deviations'!A1:C672,3,FALSE)</f>
        <v>-4.9107477202721466</v>
      </c>
      <c r="J170" s="168" cm="1">
        <f t="array" ref="J170">I170-VLOOKUP(B$2,H1:J210,2,FALSE)</f>
        <v>-12.081991132115807</v>
      </c>
    </row>
    <row r="171" spans="1:10" ht="21.25" customHeight="1" x14ac:dyDescent="0.15">
      <c r="A171" s="10" t="s">
        <v>731</v>
      </c>
      <c r="B171" s="94" t="str" cm="1">
        <f t="array" ref="B171">VLOOKUP(A171,'The List'!B1:D671,3,FALSE)</f>
        <v>LW</v>
      </c>
      <c r="C171" s="95" cm="1">
        <f t="array" ref="C171">IF(Settings!$E$15="POINTS",RANK(E171,E3:E210),H171)</f>
        <v>169</v>
      </c>
      <c r="D171" s="18" t="str" cm="1">
        <f t="array" ref="D171">VLOOKUP(A171,'The List'!B1:F671,5,FALSE)</f>
        <v>MIN</v>
      </c>
      <c r="E171" s="55" cm="1">
        <f t="array" ref="E171">VLOOKUP(A171,'The List'!B1:I671,8,FALSE)</f>
        <v>121.51629715840524</v>
      </c>
      <c r="F171" s="55" cm="1">
        <f t="array" ref="F171">IF(Settings!$E$15="POINTS",E171-VLOOKUP(B$2,C1:E210,3,FALSE),J171)</f>
        <v>-277.79669615531486</v>
      </c>
      <c r="G171" s="55"/>
      <c r="H171" s="167" cm="1">
        <f t="array" ref="H171">RANK(I171,I3:I210)</f>
        <v>110</v>
      </c>
      <c r="I171" s="168" cm="1">
        <f t="array" ref="I171">VLOOKUP(A171,'Standard Deviations'!A1:C672,3,FALSE)</f>
        <v>-1.1673729368055854</v>
      </c>
      <c r="J171" s="168" cm="1">
        <f t="array" ref="J171">I171-VLOOKUP(B$2,H1:J210,2,FALSE)</f>
        <v>-8.3386163486492446</v>
      </c>
    </row>
    <row r="172" spans="1:10" ht="21.25" customHeight="1" x14ac:dyDescent="0.15">
      <c r="A172" s="10" t="s">
        <v>725</v>
      </c>
      <c r="B172" s="94" t="str" cm="1">
        <f t="array" ref="B172">VLOOKUP(A172,'The List'!B1:D671,3,FALSE)</f>
        <v>LW,RW</v>
      </c>
      <c r="C172" s="95" cm="1">
        <f t="array" ref="C172">IF(Settings!$E$15="POINTS",RANK(E172,E3:E210),H172)</f>
        <v>170</v>
      </c>
      <c r="D172" s="18" t="str" cm="1">
        <f t="array" ref="D172">VLOOKUP(A172,'The List'!B1:F671,5,FALSE)</f>
        <v>BOS</v>
      </c>
      <c r="E172" s="55" cm="1">
        <f t="array" ref="E172">VLOOKUP(A172,'The List'!B1:I671,8,FALSE)</f>
        <v>119.50729062559837</v>
      </c>
      <c r="F172" s="55" cm="1">
        <f t="array" ref="F172">IF(Settings!$E$15="POINTS",E172-VLOOKUP(B$2,C1:E210,3,FALSE),J172)</f>
        <v>-279.8057026881217</v>
      </c>
      <c r="G172" s="55"/>
      <c r="H172" s="167" cm="1">
        <f t="array" ref="H172">RANK(I172,I3:I210)</f>
        <v>129</v>
      </c>
      <c r="I172" s="168" cm="1">
        <f t="array" ref="I172">VLOOKUP(A172,'Standard Deviations'!A1:C672,3,FALSE)</f>
        <v>-1.9019807645745574</v>
      </c>
      <c r="J172" s="168" cm="1">
        <f t="array" ref="J172">I172-VLOOKUP(B$2,H1:J210,2,FALSE)</f>
        <v>-9.0732241764182167</v>
      </c>
    </row>
    <row r="173" spans="1:10" ht="21.25" customHeight="1" x14ac:dyDescent="0.15">
      <c r="A173" s="10" t="s">
        <v>737</v>
      </c>
      <c r="B173" s="94" t="str" cm="1">
        <f t="array" ref="B173">VLOOKUP(A173,'The List'!B1:D671,3,FALSE)</f>
        <v>LW</v>
      </c>
      <c r="C173" s="95" cm="1">
        <f t="array" ref="C173">IF(Settings!$E$15="POINTS",RANK(E173,E3:E210),H173)</f>
        <v>171</v>
      </c>
      <c r="D173" s="18" t="str" cm="1">
        <f t="array" ref="D173">VLOOKUP(A173,'The List'!B1:F671,5,FALSE)</f>
        <v>T.B</v>
      </c>
      <c r="E173" s="55" cm="1">
        <f t="array" ref="E173">VLOOKUP(A173,'The List'!B1:I671,8,FALSE)</f>
        <v>119.42508174564182</v>
      </c>
      <c r="F173" s="55" cm="1">
        <f t="array" ref="F173">IF(Settings!$E$15="POINTS",E173-VLOOKUP(B$2,C1:E210,3,FALSE),J173)</f>
        <v>-279.88791156807827</v>
      </c>
      <c r="G173" s="55"/>
      <c r="H173" s="167" cm="1">
        <f t="array" ref="H173">RANK(I173,I3:I210)</f>
        <v>144</v>
      </c>
      <c r="I173" s="168" cm="1">
        <f t="array" ref="I173">VLOOKUP(A173,'Standard Deviations'!A1:C672,3,FALSE)</f>
        <v>-2.5482290490772481</v>
      </c>
      <c r="J173" s="168" cm="1">
        <f t="array" ref="J173">I173-VLOOKUP(B$2,H1:J210,2,FALSE)</f>
        <v>-9.7194724609209082</v>
      </c>
    </row>
    <row r="174" spans="1:10" ht="21.25" customHeight="1" x14ac:dyDescent="0.15">
      <c r="A174" s="10" t="s">
        <v>726</v>
      </c>
      <c r="B174" s="94" t="str" cm="1">
        <f t="array" ref="B174">VLOOKUP(A174,'The List'!B1:D671,3,FALSE)</f>
        <v>LW,RW</v>
      </c>
      <c r="C174" s="95" cm="1">
        <f t="array" ref="C174">IF(Settings!$E$15="POINTS",RANK(E174,E3:E210),H174)</f>
        <v>172</v>
      </c>
      <c r="D174" s="18" t="str" cm="1">
        <f t="array" ref="D174">VLOOKUP(A174,'The List'!B1:F671,5,FALSE)</f>
        <v>TOR</v>
      </c>
      <c r="E174" s="55" cm="1">
        <f t="array" ref="E174">VLOOKUP(A174,'The List'!B1:I671,8,FALSE)</f>
        <v>119.29140753677862</v>
      </c>
      <c r="F174" s="55" cm="1">
        <f t="array" ref="F174">IF(Settings!$E$15="POINTS",E174-VLOOKUP(B$2,C1:E210,3,FALSE),J174)</f>
        <v>-280.02158577694149</v>
      </c>
      <c r="G174" s="55"/>
      <c r="H174" s="167" cm="1">
        <f t="array" ref="H174">RANK(I174,I3:I210)</f>
        <v>187</v>
      </c>
      <c r="I174" s="168" cm="1">
        <f t="array" ref="I174">VLOOKUP(A174,'Standard Deviations'!A1:C672,3,FALSE)</f>
        <v>-4.9342018716550449</v>
      </c>
      <c r="J174" s="168" cm="1">
        <f t="array" ref="J174">I174-VLOOKUP(B$2,H1:J210,2,FALSE)</f>
        <v>-12.105445283498703</v>
      </c>
    </row>
    <row r="175" spans="1:10" ht="21.25" customHeight="1" x14ac:dyDescent="0.15">
      <c r="A175" s="10" t="s">
        <v>738</v>
      </c>
      <c r="B175" s="94" t="str" cm="1">
        <f t="array" ref="B175">VLOOKUP(A175,'The List'!B1:D671,3,FALSE)</f>
        <v>LW</v>
      </c>
      <c r="C175" s="95" cm="1">
        <f t="array" ref="C175">IF(Settings!$E$15="POINTS",RANK(E175,E3:E210),H175)</f>
        <v>173</v>
      </c>
      <c r="D175" s="18" t="str" cm="1">
        <f t="array" ref="D175">VLOOKUP(A175,'The List'!B1:F671,5,FALSE)</f>
        <v>NYI</v>
      </c>
      <c r="E175" s="55" cm="1">
        <f t="array" ref="E175">VLOOKUP(A175,'The List'!B1:I671,8,FALSE)</f>
        <v>119.18461765445055</v>
      </c>
      <c r="F175" s="55" cm="1">
        <f t="array" ref="F175">IF(Settings!$E$15="POINTS",E175-VLOOKUP(B$2,C1:E210,3,FALSE),J175)</f>
        <v>-280.12837565926952</v>
      </c>
      <c r="G175" s="55"/>
      <c r="H175" s="167" cm="1">
        <f t="array" ref="H175">RANK(I175,I3:I210)</f>
        <v>194</v>
      </c>
      <c r="I175" s="168" cm="1">
        <f t="array" ref="I175">VLOOKUP(A175,'Standard Deviations'!A1:C672,3,FALSE)</f>
        <v>-5.6127437613203917</v>
      </c>
      <c r="J175" s="168" cm="1">
        <f t="array" ref="J175">I175-VLOOKUP(B$2,H1:J210,2,FALSE)</f>
        <v>-12.78398717316405</v>
      </c>
    </row>
    <row r="176" spans="1:10" ht="21.25" customHeight="1" x14ac:dyDescent="0.15">
      <c r="A176" s="10" t="s">
        <v>729</v>
      </c>
      <c r="B176" s="94" t="str" cm="1">
        <f t="array" ref="B176">VLOOKUP(A176,'The List'!B1:D671,3,FALSE)</f>
        <v>LW,RW</v>
      </c>
      <c r="C176" s="95" cm="1">
        <f t="array" ref="C176">IF(Settings!$E$15="POINTS",RANK(E176,E3:E210),H176)</f>
        <v>174</v>
      </c>
      <c r="D176" s="18" t="str" cm="1">
        <f t="array" ref="D176">VLOOKUP(A176,'The List'!B1:F671,5,FALSE)</f>
        <v>CHI</v>
      </c>
      <c r="E176" s="55" cm="1">
        <f t="array" ref="E176">VLOOKUP(A176,'The List'!B1:I671,8,FALSE)</f>
        <v>118.1046793419105</v>
      </c>
      <c r="F176" s="55" cm="1">
        <f t="array" ref="F176">IF(Settings!$E$15="POINTS",E176-VLOOKUP(B$2,C1:E210,3,FALSE),J176)</f>
        <v>-281.20831397180962</v>
      </c>
      <c r="G176" s="55"/>
      <c r="H176" s="167" cm="1">
        <f t="array" ref="H176">RANK(I176,I3:I210)</f>
        <v>199</v>
      </c>
      <c r="I176" s="168" cm="1">
        <f t="array" ref="I176">VLOOKUP(A176,'Standard Deviations'!A1:C672,3,FALSE)</f>
        <v>-6.028730439311019</v>
      </c>
      <c r="J176" s="168" cm="1">
        <f t="array" ref="J176">I176-VLOOKUP(B$2,H1:J210,2,FALSE)</f>
        <v>-13.199973851154677</v>
      </c>
    </row>
    <row r="177" spans="1:10" ht="21.25" customHeight="1" x14ac:dyDescent="0.15">
      <c r="A177" s="10" t="s">
        <v>741</v>
      </c>
      <c r="B177" s="94" t="str" cm="1">
        <f t="array" ref="B177">VLOOKUP(A177,'The List'!B1:D671,3,FALSE)</f>
        <v>C,LW</v>
      </c>
      <c r="C177" s="95" cm="1">
        <f t="array" ref="C177">IF(Settings!$E$15="POINTS",RANK(E177,E3:E210),H177)</f>
        <v>175</v>
      </c>
      <c r="D177" s="18" t="str" cm="1">
        <f t="array" ref="D177">VLOOKUP(A177,'The List'!B1:F671,5,FALSE)</f>
        <v>VAN</v>
      </c>
      <c r="E177" s="55" cm="1">
        <f t="array" ref="E177">VLOOKUP(A177,'The List'!B1:I671,8,FALSE)</f>
        <v>116.6523170720025</v>
      </c>
      <c r="F177" s="55" cm="1">
        <f t="array" ref="F177">IF(Settings!$E$15="POINTS",E177-VLOOKUP(B$2,C1:E210,3,FALSE),J177)</f>
        <v>-282.66067624171757</v>
      </c>
      <c r="G177" s="55"/>
      <c r="H177" s="167" cm="1">
        <f t="array" ref="H177">RANK(I177,I3:I210)</f>
        <v>203</v>
      </c>
      <c r="I177" s="168" cm="1">
        <f t="array" ref="I177">VLOOKUP(A177,'Standard Deviations'!A1:C672,3,FALSE)</f>
        <v>-6.4372016320808738</v>
      </c>
      <c r="J177" s="168" cm="1">
        <f t="array" ref="J177">I177-VLOOKUP(B$2,H1:J210,2,FALSE)</f>
        <v>-13.608445043924533</v>
      </c>
    </row>
    <row r="178" spans="1:10" ht="21.25" customHeight="1" x14ac:dyDescent="0.15">
      <c r="A178" s="10" t="s">
        <v>733</v>
      </c>
      <c r="B178" s="94" t="str" cm="1">
        <f t="array" ref="B178">VLOOKUP(A178,'The List'!B1:D671,3,FALSE)</f>
        <v>LW,RW</v>
      </c>
      <c r="C178" s="95" cm="1">
        <f t="array" ref="C178">IF(Settings!$E$15="POINTS",RANK(E178,E3:E210),H178)</f>
        <v>176</v>
      </c>
      <c r="D178" s="18" t="str" cm="1">
        <f t="array" ref="D178">VLOOKUP(A178,'The List'!B1:F671,5,FALSE)</f>
        <v>UTA</v>
      </c>
      <c r="E178" s="55" cm="1">
        <f t="array" ref="E178">VLOOKUP(A178,'The List'!B1:I671,8,FALSE)</f>
        <v>116.60927490018494</v>
      </c>
      <c r="F178" s="55" cm="1">
        <f t="array" ref="F178">IF(Settings!$E$15="POINTS",E178-VLOOKUP(B$2,C1:E210,3,FALSE),J178)</f>
        <v>-282.70371841353517</v>
      </c>
      <c r="G178" s="55"/>
      <c r="H178" s="167" cm="1">
        <f t="array" ref="H178">RANK(I178,I3:I210)</f>
        <v>177</v>
      </c>
      <c r="I178" s="168" cm="1">
        <f t="array" ref="I178">VLOOKUP(A178,'Standard Deviations'!A1:C672,3,FALSE)</f>
        <v>-4.1856389345107781</v>
      </c>
      <c r="J178" s="168" cm="1">
        <f t="array" ref="J178">I178-VLOOKUP(B$2,H1:J210,2,FALSE)</f>
        <v>-11.356882346354437</v>
      </c>
    </row>
    <row r="179" spans="1:10" ht="21.25" customHeight="1" x14ac:dyDescent="0.15">
      <c r="A179" s="10" t="s">
        <v>734</v>
      </c>
      <c r="B179" s="94" t="str" cm="1">
        <f t="array" ref="B179">VLOOKUP(A179,'The List'!B1:D671,3,FALSE)</f>
        <v>LW,RW</v>
      </c>
      <c r="C179" s="95" cm="1">
        <f t="array" ref="C179">IF(Settings!$E$15="POINTS",RANK(E179,E3:E210),H179)</f>
        <v>177</v>
      </c>
      <c r="D179" s="18" t="str" cm="1">
        <f t="array" ref="D179">VLOOKUP(A179,'The List'!B1:F671,5,FALSE)</f>
        <v>CAR</v>
      </c>
      <c r="E179" s="55" cm="1">
        <f t="array" ref="E179">VLOOKUP(A179,'The List'!B1:I671,8,FALSE)</f>
        <v>116.59276381996756</v>
      </c>
      <c r="F179" s="55" cm="1">
        <f t="array" ref="F179">IF(Settings!$E$15="POINTS",E179-VLOOKUP(B$2,C1:E210,3,FALSE),J179)</f>
        <v>-282.72022949375253</v>
      </c>
      <c r="G179" s="55"/>
      <c r="H179" s="167" cm="1">
        <f t="array" ref="H179">RANK(I179,I3:I210)</f>
        <v>173</v>
      </c>
      <c r="I179" s="168" cm="1">
        <f t="array" ref="I179">VLOOKUP(A179,'Standard Deviations'!A1:C672,3,FALSE)</f>
        <v>-3.9996917108585679</v>
      </c>
      <c r="J179" s="168" cm="1">
        <f t="array" ref="J179">I179-VLOOKUP(B$2,H1:J210,2,FALSE)</f>
        <v>-11.170935122702227</v>
      </c>
    </row>
    <row r="180" spans="1:10" ht="21.25" customHeight="1" x14ac:dyDescent="0.15">
      <c r="A180" s="10" t="s">
        <v>743</v>
      </c>
      <c r="B180" s="94" t="str" cm="1">
        <f t="array" ref="B180">VLOOKUP(A180,'The List'!B1:D671,3,FALSE)</f>
        <v>LW</v>
      </c>
      <c r="C180" s="95" cm="1">
        <f t="array" ref="C180">IF(Settings!$E$15="POINTS",RANK(E180,E3:E210),H180)</f>
        <v>178</v>
      </c>
      <c r="D180" s="18" t="str" cm="1">
        <f t="array" ref="D180">VLOOKUP(A180,'The List'!B1:F671,5,FALSE)</f>
        <v>COL</v>
      </c>
      <c r="E180" s="55" cm="1">
        <f t="array" ref="E180">VLOOKUP(A180,'The List'!B1:I671,8,FALSE)</f>
        <v>116.34167210551391</v>
      </c>
      <c r="F180" s="55" cm="1">
        <f t="array" ref="F180">IF(Settings!$E$15="POINTS",E180-VLOOKUP(B$2,C1:E210,3,FALSE),J180)</f>
        <v>-282.97132120820618</v>
      </c>
      <c r="G180" s="55"/>
      <c r="H180" s="167" cm="1">
        <f t="array" ref="H180">RANK(I180,I3:I210)</f>
        <v>132</v>
      </c>
      <c r="I180" s="168" cm="1">
        <f t="array" ref="I180">VLOOKUP(A180,'Standard Deviations'!A1:C672,3,FALSE)</f>
        <v>-2.0911910991275029</v>
      </c>
      <c r="J180" s="168" cm="1">
        <f t="array" ref="J180">I180-VLOOKUP(B$2,H1:J210,2,FALSE)</f>
        <v>-9.2624345109711612</v>
      </c>
    </row>
    <row r="181" spans="1:10" ht="21.25" customHeight="1" x14ac:dyDescent="0.15">
      <c r="A181" s="10" t="s">
        <v>744</v>
      </c>
      <c r="B181" s="94" t="str" cm="1">
        <f t="array" ref="B181">VLOOKUP(A181,'The List'!B1:D671,3,FALSE)</f>
        <v>LW</v>
      </c>
      <c r="C181" s="95" cm="1">
        <f t="array" ref="C181">IF(Settings!$E$15="POINTS",RANK(E181,E3:E210),H181)</f>
        <v>179</v>
      </c>
      <c r="D181" s="18" t="str" cm="1">
        <f t="array" ref="D181">VLOOKUP(A181,'The List'!B1:F671,5,FALSE)</f>
        <v>NYI</v>
      </c>
      <c r="E181" s="55" cm="1">
        <f t="array" ref="E181">VLOOKUP(A181,'The List'!B1:I671,8,FALSE)</f>
        <v>116.22132235796012</v>
      </c>
      <c r="F181" s="55" cm="1">
        <f t="array" ref="F181">IF(Settings!$E$15="POINTS",E181-VLOOKUP(B$2,C1:E210,3,FALSE),J181)</f>
        <v>-283.09167095575998</v>
      </c>
      <c r="G181" s="55"/>
      <c r="H181" s="167" cm="1">
        <f t="array" ref="H181">RANK(I181,I3:I210)</f>
        <v>197</v>
      </c>
      <c r="I181" s="168" cm="1">
        <f t="array" ref="I181">VLOOKUP(A181,'Standard Deviations'!A1:C672,3,FALSE)</f>
        <v>-5.7662821296815263</v>
      </c>
      <c r="J181" s="168" cm="1">
        <f t="array" ref="J181">I181-VLOOKUP(B$2,H1:J210,2,FALSE)</f>
        <v>-12.937525541525186</v>
      </c>
    </row>
    <row r="182" spans="1:10" ht="21.25" customHeight="1" x14ac:dyDescent="0.15">
      <c r="A182" s="10" t="s">
        <v>746</v>
      </c>
      <c r="B182" s="94" t="str" cm="1">
        <f t="array" ref="B182">VLOOKUP(A182,'The List'!B1:D671,3,FALSE)</f>
        <v>LW</v>
      </c>
      <c r="C182" s="95" cm="1">
        <f t="array" ref="C182">IF(Settings!$E$15="POINTS",RANK(E182,E3:E210),H182)</f>
        <v>180</v>
      </c>
      <c r="D182" s="18" t="str" cm="1">
        <f t="array" ref="D182">VLOOKUP(A182,'The List'!B1:F671,5,FALSE)</f>
        <v>WPG</v>
      </c>
      <c r="E182" s="55" cm="1">
        <f t="array" ref="E182">VLOOKUP(A182,'The List'!B1:I671,8,FALSE)</f>
        <v>115.98037704017878</v>
      </c>
      <c r="F182" s="55" cm="1">
        <f t="array" ref="F182">IF(Settings!$E$15="POINTS",E182-VLOOKUP(B$2,C1:E210,3,FALSE),J182)</f>
        <v>-283.3326162735413</v>
      </c>
      <c r="G182" s="55"/>
      <c r="H182" s="167" cm="1">
        <f t="array" ref="H182">RANK(I182,I3:I210)</f>
        <v>190</v>
      </c>
      <c r="I182" s="168" cm="1">
        <f t="array" ref="I182">VLOOKUP(A182,'Standard Deviations'!A1:C672,3,FALSE)</f>
        <v>-5.0720713794304668</v>
      </c>
      <c r="J182" s="168" cm="1">
        <f t="array" ref="J182">I182-VLOOKUP(B$2,H1:J210,2,FALSE)</f>
        <v>-12.243314791274127</v>
      </c>
    </row>
    <row r="183" spans="1:10" ht="21.25" customHeight="1" x14ac:dyDescent="0.15">
      <c r="A183" s="10" t="s">
        <v>747</v>
      </c>
      <c r="B183" s="94" t="str" cm="1">
        <f t="array" ref="B183">VLOOKUP(A183,'The List'!B1:D671,3,FALSE)</f>
        <v>C,LW</v>
      </c>
      <c r="C183" s="95" cm="1">
        <f t="array" ref="C183">IF(Settings!$E$15="POINTS",RANK(E183,E3:E210),H183)</f>
        <v>181</v>
      </c>
      <c r="D183" s="18" t="str" cm="1">
        <f t="array" ref="D183">VLOOKUP(A183,'The List'!B1:F671,5,FALSE)</f>
        <v>L.A</v>
      </c>
      <c r="E183" s="55" cm="1">
        <f t="array" ref="E183">VLOOKUP(A183,'The List'!B1:I671,8,FALSE)</f>
        <v>115.76814560486808</v>
      </c>
      <c r="F183" s="55" cm="1">
        <f t="array" ref="F183">IF(Settings!$E$15="POINTS",E183-VLOOKUP(B$2,C1:E210,3,FALSE),J183)</f>
        <v>-283.54484770885199</v>
      </c>
      <c r="G183" s="55"/>
      <c r="H183" s="167" cm="1">
        <f t="array" ref="H183">RANK(I183,I3:I210)</f>
        <v>184</v>
      </c>
      <c r="I183" s="168" cm="1">
        <f t="array" ref="I183">VLOOKUP(A183,'Standard Deviations'!A1:C672,3,FALSE)</f>
        <v>-4.7150831152317316</v>
      </c>
      <c r="J183" s="168" cm="1">
        <f t="array" ref="J183">I183-VLOOKUP(B$2,H1:J210,2,FALSE)</f>
        <v>-11.88632652707539</v>
      </c>
    </row>
    <row r="184" spans="1:10" ht="21.25" customHeight="1" x14ac:dyDescent="0.15">
      <c r="A184" s="10" t="s">
        <v>751</v>
      </c>
      <c r="B184" s="94" t="str" cm="1">
        <f t="array" ref="B184">VLOOKUP(A184,'The List'!B1:D671,3,FALSE)</f>
        <v>LW</v>
      </c>
      <c r="C184" s="95" cm="1">
        <f t="array" ref="C184">IF(Settings!$E$15="POINTS",RANK(E184,E3:E210),H184)</f>
        <v>182</v>
      </c>
      <c r="D184" s="18" t="str" cm="1">
        <f t="array" ref="D184">VLOOKUP(A184,'The List'!B1:F671,5,FALSE)</f>
        <v>CBJ</v>
      </c>
      <c r="E184" s="55" cm="1">
        <f t="array" ref="E184">VLOOKUP(A184,'The List'!B1:I671,8,FALSE)</f>
        <v>114.95617787229452</v>
      </c>
      <c r="F184" s="55" cm="1">
        <f t="array" ref="F184">IF(Settings!$E$15="POINTS",E184-VLOOKUP(B$2,C1:E210,3,FALSE),J184)</f>
        <v>-284.35681544142557</v>
      </c>
      <c r="G184" s="55"/>
      <c r="H184" s="167" cm="1">
        <f t="array" ref="H184">RANK(I184,I3:I210)</f>
        <v>164</v>
      </c>
      <c r="I184" s="168" cm="1">
        <f t="array" ref="I184">VLOOKUP(A184,'Standard Deviations'!A1:C672,3,FALSE)</f>
        <v>-3.5452516762644608</v>
      </c>
      <c r="J184" s="168" cm="1">
        <f t="array" ref="J184">I184-VLOOKUP(B$2,H1:J210,2,FALSE)</f>
        <v>-10.71649508810812</v>
      </c>
    </row>
    <row r="185" spans="1:10" ht="21.25" customHeight="1" x14ac:dyDescent="0.15">
      <c r="A185" s="10" t="s">
        <v>752</v>
      </c>
      <c r="B185" s="94" t="str" cm="1">
        <f t="array" ref="B185">VLOOKUP(A185,'The List'!B1:D671,3,FALSE)</f>
        <v>C,LW</v>
      </c>
      <c r="C185" s="95" cm="1">
        <f t="array" ref="C185">IF(Settings!$E$15="POINTS",RANK(E185,E3:E210),H185)</f>
        <v>183</v>
      </c>
      <c r="D185" s="18" t="str" cm="1">
        <f t="array" ref="D185">VLOOKUP(A185,'The List'!B1:F671,5,FALSE)</f>
        <v>TOR</v>
      </c>
      <c r="E185" s="55" cm="1">
        <f t="array" ref="E185">VLOOKUP(A185,'The List'!B1:I671,8,FALSE)</f>
        <v>114.8947307588229</v>
      </c>
      <c r="F185" s="55" cm="1">
        <f t="array" ref="F185">IF(Settings!$E$15="POINTS",E185-VLOOKUP(B$2,C1:E210,3,FALSE),J185)</f>
        <v>-284.41826255489718</v>
      </c>
      <c r="G185" s="55"/>
      <c r="H185" s="167" cm="1">
        <f t="array" ref="H185">RANK(I185,I3:I210)</f>
        <v>156</v>
      </c>
      <c r="I185" s="168" cm="1">
        <f t="array" ref="I185">VLOOKUP(A185,'Standard Deviations'!A1:C672,3,FALSE)</f>
        <v>-3.3088232891530733</v>
      </c>
      <c r="J185" s="168" cm="1">
        <f t="array" ref="J185">I185-VLOOKUP(B$2,H1:J210,2,FALSE)</f>
        <v>-10.480066700996733</v>
      </c>
    </row>
    <row r="186" spans="1:10" ht="21.25" customHeight="1" x14ac:dyDescent="0.15">
      <c r="A186" s="10" t="s">
        <v>753</v>
      </c>
      <c r="B186" s="94" t="str" cm="1">
        <f t="array" ref="B186">VLOOKUP(A186,'The List'!B1:D671,3,FALSE)</f>
        <v>C,LW</v>
      </c>
      <c r="C186" s="95" cm="1">
        <f t="array" ref="C186">IF(Settings!$E$15="POINTS",RANK(E186,E3:E210),H186)</f>
        <v>184</v>
      </c>
      <c r="D186" s="18" t="str" cm="1">
        <f t="array" ref="D186">VLOOKUP(A186,'The List'!B1:F671,5,FALSE)</f>
        <v>EDM</v>
      </c>
      <c r="E186" s="55" cm="1">
        <f t="array" ref="E186">VLOOKUP(A186,'The List'!B1:I671,8,FALSE)</f>
        <v>114.2364001810729</v>
      </c>
      <c r="F186" s="55" cm="1">
        <f t="array" ref="F186">IF(Settings!$E$15="POINTS",E186-VLOOKUP(B$2,C1:E210,3,FALSE),J186)</f>
        <v>-285.07659313264719</v>
      </c>
      <c r="G186" s="55"/>
      <c r="H186" s="167" cm="1">
        <f t="array" ref="H186">RANK(I186,I3:I210)</f>
        <v>147</v>
      </c>
      <c r="I186" s="168" cm="1">
        <f t="array" ref="I186">VLOOKUP(A186,'Standard Deviations'!A1:C672,3,FALSE)</f>
        <v>-2.6572056070193151</v>
      </c>
      <c r="J186" s="168" cm="1">
        <f t="array" ref="J186">I186-VLOOKUP(B$2,H1:J210,2,FALSE)</f>
        <v>-9.8284490188629743</v>
      </c>
    </row>
    <row r="187" spans="1:10" ht="21.25" customHeight="1" x14ac:dyDescent="0.15">
      <c r="A187" s="10" t="s">
        <v>754</v>
      </c>
      <c r="B187" s="94" t="str" cm="1">
        <f t="array" ref="B187">VLOOKUP(A187,'The List'!B1:D671,3,FALSE)</f>
        <v>LW</v>
      </c>
      <c r="C187" s="95" cm="1">
        <f t="array" ref="C187">IF(Settings!$E$15="POINTS",RANK(E187,E3:E210),H187)</f>
        <v>185</v>
      </c>
      <c r="D187" s="18" t="str" cm="1">
        <f t="array" ref="D187">VLOOKUP(A187,'The List'!B1:F671,5,FALSE)</f>
        <v>OTT</v>
      </c>
      <c r="E187" s="55" cm="1">
        <f t="array" ref="E187">VLOOKUP(A187,'The List'!B1:I671,8,FALSE)</f>
        <v>114.18629543789687</v>
      </c>
      <c r="F187" s="55" cm="1">
        <f t="array" ref="F187">IF(Settings!$E$15="POINTS",E187-VLOOKUP(B$2,C1:E210,3,FALSE),J187)</f>
        <v>-285.1266978758232</v>
      </c>
      <c r="G187" s="55"/>
      <c r="H187" s="167" cm="1">
        <f t="array" ref="H187">RANK(I187,I3:I210)</f>
        <v>137</v>
      </c>
      <c r="I187" s="168" cm="1">
        <f t="array" ref="I187">VLOOKUP(A187,'Standard Deviations'!A1:C672,3,FALSE)</f>
        <v>-2.4326064463309924</v>
      </c>
      <c r="J187" s="168" cm="1">
        <f t="array" ref="J187">I187-VLOOKUP(B$2,H1:J210,2,FALSE)</f>
        <v>-9.6038498581746516</v>
      </c>
    </row>
    <row r="188" spans="1:10" ht="21.25" customHeight="1" x14ac:dyDescent="0.15">
      <c r="A188" s="10" t="s">
        <v>758</v>
      </c>
      <c r="B188" s="94" t="str" cm="1">
        <f t="array" ref="B188">VLOOKUP(A188,'The List'!B1:D671,3,FALSE)</f>
        <v>C,LW</v>
      </c>
      <c r="C188" s="95" cm="1">
        <f t="array" ref="C188">IF(Settings!$E$15="POINTS",RANK(E188,E3:E210),H188)</f>
        <v>186</v>
      </c>
      <c r="D188" s="18" t="str" cm="1">
        <f t="array" ref="D188">VLOOKUP(A188,'The List'!B1:F671,5,FALSE)</f>
        <v>NYI</v>
      </c>
      <c r="E188" s="55" cm="1">
        <f t="array" ref="E188">VLOOKUP(A188,'The List'!B1:I671,8,FALSE)</f>
        <v>113.78633567236672</v>
      </c>
      <c r="F188" s="55" cm="1">
        <f t="array" ref="F188">IF(Settings!$E$15="POINTS",E188-VLOOKUP(B$2,C1:E210,3,FALSE),J188)</f>
        <v>-285.52665764135338</v>
      </c>
      <c r="G188" s="55"/>
      <c r="H188" s="167" cm="1">
        <f t="array" ref="H188">RANK(I188,I3:I210)</f>
        <v>191</v>
      </c>
      <c r="I188" s="168" cm="1">
        <f t="array" ref="I188">VLOOKUP(A188,'Standard Deviations'!A1:C672,3,FALSE)</f>
        <v>-5.1157446038829084</v>
      </c>
      <c r="J188" s="168" cm="1">
        <f t="array" ref="J188">I188-VLOOKUP(B$2,H1:J210,2,FALSE)</f>
        <v>-12.286988015726568</v>
      </c>
    </row>
    <row r="189" spans="1:10" ht="21.25" customHeight="1" x14ac:dyDescent="0.15">
      <c r="A189" s="10" t="s">
        <v>761</v>
      </c>
      <c r="B189" s="94" t="str" cm="1">
        <f t="array" ref="B189">VLOOKUP(A189,'The List'!B1:D671,3,FALSE)</f>
        <v>C,LW</v>
      </c>
      <c r="C189" s="95" cm="1">
        <f t="array" ref="C189">IF(Settings!$E$15="POINTS",RANK(E189,E3:E210),H189)</f>
        <v>187</v>
      </c>
      <c r="D189" s="18" t="str" cm="1">
        <f t="array" ref="D189">VLOOKUP(A189,'The List'!B1:F671,5,FALSE)</f>
        <v>MIN</v>
      </c>
      <c r="E189" s="55" cm="1">
        <f t="array" ref="E189">VLOOKUP(A189,'The List'!B1:I671,8,FALSE)</f>
        <v>111.82424172119796</v>
      </c>
      <c r="F189" s="55" cm="1">
        <f t="array" ref="F189">IF(Settings!$E$15="POINTS",E189-VLOOKUP(B$2,C1:E210,3,FALSE),J189)</f>
        <v>-287.48875159252214</v>
      </c>
      <c r="G189" s="55"/>
      <c r="H189" s="167" cm="1">
        <f t="array" ref="H189">RANK(I189,I3:I210)</f>
        <v>154</v>
      </c>
      <c r="I189" s="168" cm="1">
        <f t="array" ref="I189">VLOOKUP(A189,'Standard Deviations'!A1:C672,3,FALSE)</f>
        <v>-3.2187080948407853</v>
      </c>
      <c r="J189" s="168" cm="1">
        <f t="array" ref="J189">I189-VLOOKUP(B$2,H1:J210,2,FALSE)</f>
        <v>-10.389951506684444</v>
      </c>
    </row>
    <row r="190" spans="1:10" ht="21.25" customHeight="1" x14ac:dyDescent="0.15">
      <c r="A190" s="10" t="s">
        <v>755</v>
      </c>
      <c r="B190" s="94" t="str" cm="1">
        <f t="array" ref="B190">VLOOKUP(A190,'The List'!B1:D671,3,FALSE)</f>
        <v>C,LW,RW</v>
      </c>
      <c r="C190" s="95" cm="1">
        <f t="array" ref="C190">IF(Settings!$E$15="POINTS",RANK(E190,E3:E210),H190)</f>
        <v>188</v>
      </c>
      <c r="D190" s="18" t="str" cm="1">
        <f t="array" ref="D190">VLOOKUP(A190,'The List'!B1:F671,5,FALSE)</f>
        <v>EDM</v>
      </c>
      <c r="E190" s="55" cm="1">
        <f t="array" ref="E190">VLOOKUP(A190,'The List'!B1:I671,8,FALSE)</f>
        <v>109.76021036564762</v>
      </c>
      <c r="F190" s="55" cm="1">
        <f t="array" ref="F190">IF(Settings!$E$15="POINTS",E190-VLOOKUP(B$2,C1:E210,3,FALSE),J190)</f>
        <v>-289.55278294807249</v>
      </c>
      <c r="G190" s="55"/>
      <c r="H190" s="167" cm="1">
        <f t="array" ref="H190">RANK(I190,I3:I210)</f>
        <v>138</v>
      </c>
      <c r="I190" s="168" cm="1">
        <f t="array" ref="I190">VLOOKUP(A190,'Standard Deviations'!A1:C672,3,FALSE)</f>
        <v>-2.4363596204547999</v>
      </c>
      <c r="J190" s="168" cm="1">
        <f t="array" ref="J190">I190-VLOOKUP(B$2,H1:J210,2,FALSE)</f>
        <v>-9.60760303229846</v>
      </c>
    </row>
    <row r="191" spans="1:10" ht="21.25" customHeight="1" x14ac:dyDescent="0.15">
      <c r="A191" s="10" t="s">
        <v>762</v>
      </c>
      <c r="B191" s="94" t="str" cm="1">
        <f t="array" ref="B191">VLOOKUP(A191,'The List'!B1:D671,3,FALSE)</f>
        <v>LW,RW</v>
      </c>
      <c r="C191" s="95" cm="1">
        <f t="array" ref="C191">IF(Settings!$E$15="POINTS",RANK(E191,E3:E210),H191)</f>
        <v>189</v>
      </c>
      <c r="D191" s="18" t="str" cm="1">
        <f t="array" ref="D191">VLOOKUP(A191,'The List'!B1:F671,5,FALSE)</f>
        <v>PIT</v>
      </c>
      <c r="E191" s="55" cm="1">
        <f t="array" ref="E191">VLOOKUP(A191,'The List'!B1:I671,8,FALSE)</f>
        <v>107.00244650214873</v>
      </c>
      <c r="F191" s="55" cm="1">
        <f t="array" ref="F191">IF(Settings!$E$15="POINTS",E191-VLOOKUP(B$2,C1:E210,3,FALSE),J191)</f>
        <v>-292.31054681157138</v>
      </c>
      <c r="G191" s="55"/>
      <c r="H191" s="167" cm="1">
        <f t="array" ref="H191">RANK(I191,I3:I210)</f>
        <v>188</v>
      </c>
      <c r="I191" s="168" cm="1">
        <f t="array" ref="I191">VLOOKUP(A191,'Standard Deviations'!A1:C672,3,FALSE)</f>
        <v>-5.0496152625293593</v>
      </c>
      <c r="J191" s="168" cm="1">
        <f t="array" ref="J191">I191-VLOOKUP(B$2,H1:J210,2,FALSE)</f>
        <v>-12.220858674373019</v>
      </c>
    </row>
    <row r="192" spans="1:10" ht="21.25" customHeight="1" x14ac:dyDescent="0.15">
      <c r="A192" s="10" t="s">
        <v>768</v>
      </c>
      <c r="B192" s="94" t="str" cm="1">
        <f t="array" ref="B192">VLOOKUP(A192,'The List'!B1:D671,3,FALSE)</f>
        <v>LW</v>
      </c>
      <c r="C192" s="95" cm="1">
        <f t="array" ref="C192">IF(Settings!$E$15="POINTS",RANK(E192,E3:E210),H192)</f>
        <v>190</v>
      </c>
      <c r="D192" s="18" t="str" cm="1">
        <f t="array" ref="D192">VLOOKUP(A192,'The List'!B1:F671,5,FALSE)</f>
        <v>PIT</v>
      </c>
      <c r="E192" s="55" cm="1">
        <f t="array" ref="E192">VLOOKUP(A192,'The List'!B1:I671,8,FALSE)</f>
        <v>105.8489525261687</v>
      </c>
      <c r="F192" s="55" cm="1">
        <f t="array" ref="F192">IF(Settings!$E$15="POINTS",E192-VLOOKUP(B$2,C1:E210,3,FALSE),J192)</f>
        <v>-293.46404078755137</v>
      </c>
      <c r="G192" s="55"/>
      <c r="H192" s="167" cm="1">
        <f t="array" ref="H192">RANK(I192,I3:I210)</f>
        <v>195</v>
      </c>
      <c r="I192" s="168" cm="1">
        <f t="array" ref="I192">VLOOKUP(A192,'Standard Deviations'!A1:C672,3,FALSE)</f>
        <v>-5.6177223332165056</v>
      </c>
      <c r="J192" s="168" cm="1">
        <f t="array" ref="J192">I192-VLOOKUP(B$2,H1:J210,2,FALSE)</f>
        <v>-12.788965745060164</v>
      </c>
    </row>
    <row r="193" spans="1:10" ht="21.25" customHeight="1" x14ac:dyDescent="0.15">
      <c r="A193" s="10" t="s">
        <v>765</v>
      </c>
      <c r="B193" s="94" t="str" cm="1">
        <f t="array" ref="B193">VLOOKUP(A193,'The List'!B1:D671,3,FALSE)</f>
        <v>LW,RW</v>
      </c>
      <c r="C193" s="95" cm="1">
        <f t="array" ref="C193">IF(Settings!$E$15="POINTS",RANK(E193,E3:E210),H193)</f>
        <v>191</v>
      </c>
      <c r="D193" s="18" t="str" cm="1">
        <f t="array" ref="D193">VLOOKUP(A193,'The List'!B1:F671,5,FALSE)</f>
        <v>TOR</v>
      </c>
      <c r="E193" s="55" cm="1">
        <f t="array" ref="E193">VLOOKUP(A193,'The List'!B1:I671,8,FALSE)</f>
        <v>105.64097629165865</v>
      </c>
      <c r="F193" s="55" cm="1">
        <f t="array" ref="F193">IF(Settings!$E$15="POINTS",E193-VLOOKUP(B$2,C1:E210,3,FALSE),J193)</f>
        <v>-293.67201702206142</v>
      </c>
      <c r="G193" s="55"/>
      <c r="H193" s="167" cm="1">
        <f t="array" ref="H193">RANK(I193,I3:I210)</f>
        <v>126</v>
      </c>
      <c r="I193" s="168" cm="1">
        <f t="array" ref="I193">VLOOKUP(A193,'Standard Deviations'!A1:C672,3,FALSE)</f>
        <v>-1.8474287212977574</v>
      </c>
      <c r="J193" s="168" cm="1">
        <f t="array" ref="J193">I193-VLOOKUP(B$2,H1:J210,2,FALSE)</f>
        <v>-9.0186721331414166</v>
      </c>
    </row>
    <row r="194" spans="1:10" ht="21.25" customHeight="1" x14ac:dyDescent="0.15">
      <c r="A194" s="10" t="s">
        <v>769</v>
      </c>
      <c r="B194" s="94" t="str" cm="1">
        <f t="array" ref="B194">VLOOKUP(A194,'The List'!B1:D671,3,FALSE)</f>
        <v>C,LW</v>
      </c>
      <c r="C194" s="95" cm="1">
        <f t="array" ref="C194">IF(Settings!$E$15="POINTS",RANK(E194,E3:E210),H194)</f>
        <v>192</v>
      </c>
      <c r="D194" s="18" t="str" cm="1">
        <f t="array" ref="D194">VLOOKUP(A194,'The List'!B1:F671,5,FALSE)</f>
        <v>BOS</v>
      </c>
      <c r="E194" s="55" cm="1">
        <f t="array" ref="E194">VLOOKUP(A194,'The List'!B1:I671,8,FALSE)</f>
        <v>105.10956956053404</v>
      </c>
      <c r="F194" s="55" cm="1">
        <f t="array" ref="F194">IF(Settings!$E$15="POINTS",E194-VLOOKUP(B$2,C1:E210,3,FALSE),J194)</f>
        <v>-294.20342375318603</v>
      </c>
      <c r="G194" s="55"/>
      <c r="H194" s="167" cm="1">
        <f t="array" ref="H194">RANK(I194,I3:I210)</f>
        <v>189</v>
      </c>
      <c r="I194" s="168" cm="1">
        <f t="array" ref="I194">VLOOKUP(A194,'Standard Deviations'!A1:C672,3,FALSE)</f>
        <v>-5.0718922107599216</v>
      </c>
      <c r="J194" s="168" cm="1">
        <f t="array" ref="J194">I194-VLOOKUP(B$2,H1:J210,2,FALSE)</f>
        <v>-12.243135622603582</v>
      </c>
    </row>
    <row r="195" spans="1:10" ht="21.25" customHeight="1" x14ac:dyDescent="0.15">
      <c r="A195" s="10" t="s">
        <v>770</v>
      </c>
      <c r="B195" s="94" t="str" cm="1">
        <f t="array" ref="B195">VLOOKUP(A195,'The List'!B1:D671,3,FALSE)</f>
        <v>LW</v>
      </c>
      <c r="C195" s="95" cm="1">
        <f t="array" ref="C195">IF(Settings!$E$15="POINTS",RANK(E195,E3:E210),H195)</f>
        <v>193</v>
      </c>
      <c r="D195" s="18" t="str" cm="1">
        <f t="array" ref="D195">VLOOKUP(A195,'The List'!B1:F671,5,FALSE)</f>
        <v>CAR</v>
      </c>
      <c r="E195" s="55" cm="1">
        <f t="array" ref="E195">VLOOKUP(A195,'The List'!B1:I671,8,FALSE)</f>
        <v>104.20239753154091</v>
      </c>
      <c r="F195" s="55" cm="1">
        <f t="array" ref="F195">IF(Settings!$E$15="POINTS",E195-VLOOKUP(B$2,C1:E210,3,FALSE),J195)</f>
        <v>-295.11059578217919</v>
      </c>
      <c r="G195" s="55"/>
      <c r="H195" s="167" cm="1">
        <f t="array" ref="H195">RANK(I195,I3:I210)</f>
        <v>170</v>
      </c>
      <c r="I195" s="168" cm="1">
        <f t="array" ref="I195">VLOOKUP(A195,'Standard Deviations'!A1:C672,3,FALSE)</f>
        <v>-3.9232622769721752</v>
      </c>
      <c r="J195" s="168" cm="1">
        <f t="array" ref="J195">I195-VLOOKUP(B$2,H1:J210,2,FALSE)</f>
        <v>-11.094505688815834</v>
      </c>
    </row>
    <row r="196" spans="1:10" ht="21.25" customHeight="1" x14ac:dyDescent="0.15">
      <c r="A196" s="10" t="s">
        <v>766</v>
      </c>
      <c r="B196" s="94" t="str" cm="1">
        <f t="array" ref="B196">VLOOKUP(A196,'The List'!B1:D671,3,FALSE)</f>
        <v>LW,RW</v>
      </c>
      <c r="C196" s="95" cm="1">
        <f t="array" ref="C196">IF(Settings!$E$15="POINTS",RANK(E196,E3:E210),H196)</f>
        <v>194</v>
      </c>
      <c r="D196" s="18" t="str" cm="1">
        <f t="array" ref="D196">VLOOKUP(A196,'The List'!B1:F671,5,FALSE)</f>
        <v>CGY</v>
      </c>
      <c r="E196" s="55" cm="1">
        <f t="array" ref="E196">VLOOKUP(A196,'The List'!B1:I671,8,FALSE)</f>
        <v>104.1107377112792</v>
      </c>
      <c r="F196" s="55" cm="1">
        <f t="array" ref="F196">IF(Settings!$E$15="POINTS",E196-VLOOKUP(B$2,C1:E210,3,FALSE),J196)</f>
        <v>-295.20225560244091</v>
      </c>
      <c r="G196" s="55"/>
      <c r="H196" s="167" cm="1">
        <f t="array" ref="H196">RANK(I196,I3:I210)</f>
        <v>205</v>
      </c>
      <c r="I196" s="168" cm="1">
        <f t="array" ref="I196">VLOOKUP(A196,'Standard Deviations'!A1:C672,3,FALSE)</f>
        <v>-6.7907108660043427</v>
      </c>
      <c r="J196" s="168" cm="1">
        <f t="array" ref="J196">I196-VLOOKUP(B$2,H1:J210,2,FALSE)</f>
        <v>-13.961954277848001</v>
      </c>
    </row>
    <row r="197" spans="1:10" ht="21.25" customHeight="1" x14ac:dyDescent="0.15">
      <c r="A197" s="10" t="s">
        <v>771</v>
      </c>
      <c r="B197" s="94" t="str" cm="1">
        <f t="array" ref="B197">VLOOKUP(A197,'The List'!B1:D671,3,FALSE)</f>
        <v>LW</v>
      </c>
      <c r="C197" s="95" cm="1">
        <f t="array" ref="C197">IF(Settings!$E$15="POINTS",RANK(E197,E3:E210),H197)</f>
        <v>195</v>
      </c>
      <c r="D197" s="18" t="str" cm="1">
        <f t="array" ref="D197">VLOOKUP(A197,'The List'!B1:F671,5,FALSE)</f>
        <v>EDM</v>
      </c>
      <c r="E197" s="55" cm="1">
        <f t="array" ref="E197">VLOOKUP(A197,'The List'!B1:I671,8,FALSE)</f>
        <v>103.81038714423016</v>
      </c>
      <c r="F197" s="55" cm="1">
        <f t="array" ref="F197">IF(Settings!$E$15="POINTS",E197-VLOOKUP(B$2,C1:E210,3,FALSE),J197)</f>
        <v>-295.50260616948992</v>
      </c>
      <c r="G197" s="55"/>
      <c r="H197" s="167" cm="1">
        <f t="array" ref="H197">RANK(I197,I3:I210)</f>
        <v>181</v>
      </c>
      <c r="I197" s="168" cm="1">
        <f t="array" ref="I197">VLOOKUP(A197,'Standard Deviations'!A1:C672,3,FALSE)</f>
        <v>-4.4807367168439072</v>
      </c>
      <c r="J197" s="168" cm="1">
        <f t="array" ref="J197">I197-VLOOKUP(B$2,H1:J210,2,FALSE)</f>
        <v>-11.651980128687565</v>
      </c>
    </row>
    <row r="198" spans="1:10" ht="21.25" customHeight="1" x14ac:dyDescent="0.15">
      <c r="A198" s="10" t="s">
        <v>773</v>
      </c>
      <c r="B198" s="94" t="str" cm="1">
        <f t="array" ref="B198">VLOOKUP(A198,'The List'!B1:D671,3,FALSE)</f>
        <v>LW</v>
      </c>
      <c r="C198" s="95" cm="1">
        <f t="array" ref="C198">IF(Settings!$E$15="POINTS",RANK(E198,E3:E210),H198)</f>
        <v>196</v>
      </c>
      <c r="D198" s="18" t="str" cm="1">
        <f t="array" ref="D198">VLOOKUP(A198,'The List'!B1:F671,5,FALSE)</f>
        <v>VAN</v>
      </c>
      <c r="E198" s="55" cm="1">
        <f t="array" ref="E198">VLOOKUP(A198,'The List'!B1:I671,8,FALSE)</f>
        <v>102.84477384556551</v>
      </c>
      <c r="F198" s="55" cm="1">
        <f t="array" ref="F198">IF(Settings!$E$15="POINTS",E198-VLOOKUP(B$2,C1:E210,3,FALSE),J198)</f>
        <v>-296.46821946815459</v>
      </c>
      <c r="G198" s="55"/>
      <c r="H198" s="167" cm="1">
        <f t="array" ref="H198">RANK(I198,I3:I210)</f>
        <v>207</v>
      </c>
      <c r="I198" s="168" cm="1">
        <f t="array" ref="I198">VLOOKUP(A198,'Standard Deviations'!A1:C672,3,FALSE)</f>
        <v>-7.0917391409812431</v>
      </c>
      <c r="J198" s="168" cm="1">
        <f t="array" ref="J198">I198-VLOOKUP(B$2,H1:J210,2,FALSE)</f>
        <v>-14.262982552824901</v>
      </c>
    </row>
    <row r="199" spans="1:10" ht="21.25" customHeight="1" x14ac:dyDescent="0.15">
      <c r="A199" s="10" t="s">
        <v>777</v>
      </c>
      <c r="B199" s="94" t="str" cm="1">
        <f t="array" ref="B199">VLOOKUP(A199,'The List'!B1:D671,3,FALSE)</f>
        <v>C,LW</v>
      </c>
      <c r="C199" s="95" cm="1">
        <f t="array" ref="C199">IF(Settings!$E$15="POINTS",RANK(E199,E3:E210),H199)</f>
        <v>197</v>
      </c>
      <c r="D199" s="18" t="str" cm="1">
        <f t="array" ref="D199">VLOOKUP(A199,'The List'!B1:F671,5,FALSE)</f>
        <v>NSH</v>
      </c>
      <c r="E199" s="55" cm="1">
        <f t="array" ref="E199">VLOOKUP(A199,'The List'!B1:I671,8,FALSE)</f>
        <v>97.53110407897789</v>
      </c>
      <c r="F199" s="55" cm="1">
        <f t="array" ref="F199">IF(Settings!$E$15="POINTS",E199-VLOOKUP(B$2,C1:E210,3,FALSE),J199)</f>
        <v>-301.78188923474221</v>
      </c>
      <c r="G199" s="55"/>
      <c r="H199" s="167" cm="1">
        <f t="array" ref="H199">RANK(I199,I3:I210)</f>
        <v>198</v>
      </c>
      <c r="I199" s="168" cm="1">
        <f t="array" ref="I199">VLOOKUP(A199,'Standard Deviations'!A1:C672,3,FALSE)</f>
        <v>-5.9779954909588655</v>
      </c>
      <c r="J199" s="168" cm="1">
        <f t="array" ref="J199">I199-VLOOKUP(B$2,H1:J210,2,FALSE)</f>
        <v>-13.149238902802525</v>
      </c>
    </row>
    <row r="200" spans="1:10" ht="21.25" customHeight="1" x14ac:dyDescent="0.15">
      <c r="A200" s="10" t="s">
        <v>779</v>
      </c>
      <c r="B200" s="94" t="str" cm="1">
        <f t="array" ref="B200">VLOOKUP(A200,'The List'!B1:D671,3,FALSE)</f>
        <v>C,LW</v>
      </c>
      <c r="C200" s="95" cm="1">
        <f t="array" ref="C200">IF(Settings!$E$15="POINTS",RANK(E200,E3:E210),H200)</f>
        <v>198</v>
      </c>
      <c r="D200" s="18" t="str" cm="1">
        <f t="array" ref="D200">VLOOKUP(A200,'The List'!B1:F671,5,FALSE)</f>
        <v>DAL</v>
      </c>
      <c r="E200" s="55" cm="1">
        <f t="array" ref="E200">VLOOKUP(A200,'The List'!B1:I671,8,FALSE)</f>
        <v>95.691686681289426</v>
      </c>
      <c r="F200" s="55" cm="1">
        <f t="array" ref="F200">IF(Settings!$E$15="POINTS",E200-VLOOKUP(B$2,C1:E210,3,FALSE),J200)</f>
        <v>-303.62130663243067</v>
      </c>
      <c r="G200" s="55"/>
      <c r="H200" s="167" cm="1">
        <f t="array" ref="H200">RANK(I200,I3:I210)</f>
        <v>183</v>
      </c>
      <c r="I200" s="168" cm="1">
        <f t="array" ref="I200">VLOOKUP(A200,'Standard Deviations'!A1:C672,3,FALSE)</f>
        <v>-4.7065723625536968</v>
      </c>
      <c r="J200" s="168" cm="1">
        <f t="array" ref="J200">I200-VLOOKUP(B$2,H1:J210,2,FALSE)</f>
        <v>-11.877815774397355</v>
      </c>
    </row>
    <row r="201" spans="1:10" ht="21.25" customHeight="1" x14ac:dyDescent="0.15">
      <c r="A201" s="10" t="s">
        <v>782</v>
      </c>
      <c r="B201" s="94" t="str" cm="1">
        <f t="array" ref="B201">VLOOKUP(A201,'The List'!B1:D671,3,FALSE)</f>
        <v>C,LW</v>
      </c>
      <c r="C201" s="95" cm="1">
        <f t="array" ref="C201">IF(Settings!$E$15="POINTS",RANK(E201,E3:E210),H201)</f>
        <v>199</v>
      </c>
      <c r="D201" s="18" t="str" cm="1">
        <f t="array" ref="D201">VLOOKUP(A201,'The List'!B1:F671,5,FALSE)</f>
        <v>SEA</v>
      </c>
      <c r="E201" s="55" cm="1">
        <f t="array" ref="E201">VLOOKUP(A201,'The List'!B1:I671,8,FALSE)</f>
        <v>91.812084416922843</v>
      </c>
      <c r="F201" s="55" cm="1">
        <f t="array" ref="F201">IF(Settings!$E$15="POINTS",E201-VLOOKUP(B$2,C1:E210,3,FALSE),J201)</f>
        <v>-307.50090889679723</v>
      </c>
      <c r="G201" s="55"/>
      <c r="H201" s="167" cm="1">
        <f t="array" ref="H201">RANK(I201,I3:I210)</f>
        <v>206</v>
      </c>
      <c r="I201" s="168" cm="1">
        <f t="array" ref="I201">VLOOKUP(A201,'Standard Deviations'!A1:C672,3,FALSE)</f>
        <v>-6.9089615386896623</v>
      </c>
      <c r="J201" s="168" cm="1">
        <f t="array" ref="J201">I201-VLOOKUP(B$2,H1:J210,2,FALSE)</f>
        <v>-14.080204950533322</v>
      </c>
    </row>
    <row r="202" spans="1:10" ht="21.25" customHeight="1" x14ac:dyDescent="0.15">
      <c r="A202" s="10" t="s">
        <v>784</v>
      </c>
      <c r="B202" s="94" t="str" cm="1">
        <f t="array" ref="B202">VLOOKUP(A202,'The List'!B1:D671,3,FALSE)</f>
        <v>LW</v>
      </c>
      <c r="C202" s="95" cm="1">
        <f t="array" ref="C202">IF(Settings!$E$15="POINTS",RANK(E202,E3:E210),H202)</f>
        <v>200</v>
      </c>
      <c r="D202" s="18" t="str" cm="1">
        <f t="array" ref="D202">VLOOKUP(A202,'The List'!B1:F671,5,FALSE)</f>
        <v>NSH</v>
      </c>
      <c r="E202" s="55" cm="1">
        <f t="array" ref="E202">VLOOKUP(A202,'The List'!B1:I671,8,FALSE)</f>
        <v>91.389814791024293</v>
      </c>
      <c r="F202" s="55" cm="1">
        <f t="array" ref="F202">IF(Settings!$E$15="POINTS",E202-VLOOKUP(B$2,C1:E210,3,FALSE),J202)</f>
        <v>-307.92317852269582</v>
      </c>
      <c r="G202" s="55"/>
      <c r="H202" s="167" cm="1">
        <f t="array" ref="H202">RANK(I202,I3:I210)</f>
        <v>200</v>
      </c>
      <c r="I202" s="168" cm="1">
        <f t="array" ref="I202">VLOOKUP(A202,'Standard Deviations'!A1:C672,3,FALSE)</f>
        <v>-6.2514589451438694</v>
      </c>
      <c r="J202" s="168" cm="1">
        <f t="array" ref="J202">I202-VLOOKUP(B$2,H1:J210,2,FALSE)</f>
        <v>-13.422702356987529</v>
      </c>
    </row>
    <row r="203" spans="1:10" ht="21.25" customHeight="1" x14ac:dyDescent="0.15">
      <c r="A203" s="10" t="s">
        <v>780</v>
      </c>
      <c r="B203" s="94" t="str" cm="1">
        <f t="array" ref="B203">VLOOKUP(A203,'The List'!B1:D671,3,FALSE)</f>
        <v>LW,RW</v>
      </c>
      <c r="C203" s="95" cm="1">
        <f t="array" ref="C203">IF(Settings!$E$15="POINTS",RANK(E203,E3:E210),H203)</f>
        <v>201</v>
      </c>
      <c r="D203" s="18" t="str" cm="1">
        <f t="array" ref="D203">VLOOKUP(A203,'The List'!B1:F671,5,FALSE)</f>
        <v>PHI</v>
      </c>
      <c r="E203" s="55" cm="1">
        <f t="array" ref="E203">VLOOKUP(A203,'The List'!B1:I671,8,FALSE)</f>
        <v>89.848339896251844</v>
      </c>
      <c r="F203" s="55" cm="1">
        <f t="array" ref="F203">IF(Settings!$E$15="POINTS",E203-VLOOKUP(B$2,C1:E210,3,FALSE),J203)</f>
        <v>-309.46465341746824</v>
      </c>
      <c r="G203" s="55"/>
      <c r="H203" s="167" cm="1">
        <f t="array" ref="H203">RANK(I203,I3:I210)</f>
        <v>193</v>
      </c>
      <c r="I203" s="168" cm="1">
        <f t="array" ref="I203">VLOOKUP(A203,'Standard Deviations'!A1:C672,3,FALSE)</f>
        <v>-5.5228479031111783</v>
      </c>
      <c r="J203" s="168" cm="1">
        <f t="array" ref="J203">I203-VLOOKUP(B$2,H1:J210,2,FALSE)</f>
        <v>-12.694091314954838</v>
      </c>
    </row>
    <row r="204" spans="1:10" ht="21.25" customHeight="1" x14ac:dyDescent="0.15">
      <c r="A204" s="10" t="s">
        <v>786</v>
      </c>
      <c r="B204" s="94" t="str" cm="1">
        <f t="array" ref="B204">VLOOKUP(A204,'The List'!B1:D671,3,FALSE)</f>
        <v>LW</v>
      </c>
      <c r="C204" s="95" cm="1">
        <f t="array" ref="C204">IF(Settings!$E$15="POINTS",RANK(E204,E3:E210),H204)</f>
        <v>202</v>
      </c>
      <c r="D204" s="18" t="str" cm="1">
        <f t="array" ref="D204">VLOOKUP(A204,'The List'!B1:F671,5,FALSE)</f>
        <v>T.B</v>
      </c>
      <c r="E204" s="55" cm="1">
        <f t="array" ref="E204">VLOOKUP(A204,'The List'!B1:I671,8,FALSE)</f>
        <v>89.154129654598535</v>
      </c>
      <c r="F204" s="55" cm="1">
        <f t="array" ref="F204">IF(Settings!$E$15="POINTS",E204-VLOOKUP(B$2,C1:E210,3,FALSE),J204)</f>
        <v>-310.15886365912155</v>
      </c>
      <c r="G204" s="55"/>
      <c r="H204" s="167" cm="1">
        <f t="array" ref="H204">RANK(I204,I3:I210)</f>
        <v>143</v>
      </c>
      <c r="I204" s="168" cm="1">
        <f t="array" ref="I204">VLOOKUP(A204,'Standard Deviations'!A1:C672,3,FALSE)</f>
        <v>-2.5458832911514242</v>
      </c>
      <c r="J204" s="168" cm="1">
        <f t="array" ref="J204">I204-VLOOKUP(B$2,H1:J210,2,FALSE)</f>
        <v>-9.717126702995083</v>
      </c>
    </row>
    <row r="205" spans="1:10" ht="21.25" customHeight="1" x14ac:dyDescent="0.15">
      <c r="A205" s="10" t="s">
        <v>788</v>
      </c>
      <c r="B205" s="94" t="str" cm="1">
        <f t="array" ref="B205">VLOOKUP(A205,'The List'!B1:D671,3,FALSE)</f>
        <v>C,LW</v>
      </c>
      <c r="C205" s="95" cm="1">
        <f t="array" ref="C205">IF(Settings!$E$15="POINTS",RANK(E205,E3:E210),H205)</f>
        <v>203</v>
      </c>
      <c r="D205" s="18" t="str" cm="1">
        <f t="array" ref="D205">VLOOKUP(A205,'The List'!B1:F671,5,FALSE)</f>
        <v>N.J</v>
      </c>
      <c r="E205" s="55" cm="1">
        <f t="array" ref="E205">VLOOKUP(A205,'The List'!B1:I671,8,FALSE)</f>
        <v>86.708405164340178</v>
      </c>
      <c r="F205" s="55" cm="1">
        <f t="array" ref="F205">IF(Settings!$E$15="POINTS",E205-VLOOKUP(B$2,C1:E210,3,FALSE),J205)</f>
        <v>-312.60458814937988</v>
      </c>
      <c r="G205" s="55"/>
      <c r="H205" s="167" cm="1">
        <f t="array" ref="H205">RANK(I205,I3:I210)</f>
        <v>202</v>
      </c>
      <c r="I205" s="168" cm="1">
        <f t="array" ref="I205">VLOOKUP(A205,'Standard Deviations'!A1:C672,3,FALSE)</f>
        <v>-6.3621342832682313</v>
      </c>
      <c r="J205" s="168" cm="1">
        <f t="array" ref="J205">I205-VLOOKUP(B$2,H1:J210,2,FALSE)</f>
        <v>-13.533377695111891</v>
      </c>
    </row>
    <row r="206" spans="1:10" ht="21.25" customHeight="1" x14ac:dyDescent="0.15">
      <c r="A206" s="10" t="s">
        <v>785</v>
      </c>
      <c r="B206" s="94" t="str" cm="1">
        <f t="array" ref="B206">VLOOKUP(A206,'The List'!B1:D671,3,FALSE)</f>
        <v>LW,RW</v>
      </c>
      <c r="C206" s="95" cm="1">
        <f t="array" ref="C206">IF(Settings!$E$15="POINTS",RANK(E206,E3:E210),H206)</f>
        <v>204</v>
      </c>
      <c r="D206" s="18" t="str" cm="1">
        <f t="array" ref="D206">VLOOKUP(A206,'The List'!B1:F671,5,FALSE)</f>
        <v>UTA</v>
      </c>
      <c r="E206" s="55" cm="1">
        <f t="array" ref="E206">VLOOKUP(A206,'The List'!B1:I671,8,FALSE)</f>
        <v>85.185829378744657</v>
      </c>
      <c r="F206" s="55" cm="1">
        <f t="array" ref="F206">IF(Settings!$E$15="POINTS",E206-VLOOKUP(B$2,C1:E210,3,FALSE),J206)</f>
        <v>-314.12716393497544</v>
      </c>
      <c r="G206" s="55"/>
      <c r="H206" s="167" cm="1">
        <f t="array" ref="H206">RANK(I206,I3:I210)</f>
        <v>192</v>
      </c>
      <c r="I206" s="168" cm="1">
        <f t="array" ref="I206">VLOOKUP(A206,'Standard Deviations'!A1:C672,3,FALSE)</f>
        <v>-5.1728953654310335</v>
      </c>
      <c r="J206" s="168" cm="1">
        <f t="array" ref="J206">I206-VLOOKUP(B$2,H1:J210,2,FALSE)</f>
        <v>-12.344138777274694</v>
      </c>
    </row>
    <row r="207" spans="1:10" ht="21.25" customHeight="1" x14ac:dyDescent="0.15">
      <c r="A207" s="10" t="s">
        <v>790</v>
      </c>
      <c r="B207" s="94" t="str" cm="1">
        <f t="array" ref="B207">VLOOKUP(A207,'The List'!B1:D671,3,FALSE)</f>
        <v>LW,RW</v>
      </c>
      <c r="C207" s="95" cm="1">
        <f t="array" ref="C207">IF(Settings!$E$15="POINTS",RANK(E207,E3:E210),H207)</f>
        <v>205</v>
      </c>
      <c r="D207" s="18" t="str" cm="1">
        <f t="array" ref="D207">VLOOKUP(A207,'The List'!B1:F671,5,FALSE)</f>
        <v>CHI</v>
      </c>
      <c r="E207" s="55" cm="1">
        <f t="array" ref="E207">VLOOKUP(A207,'The List'!B1:I671,8,FALSE)</f>
        <v>80.670423351284825</v>
      </c>
      <c r="F207" s="55" cm="1">
        <f t="array" ref="F207">IF(Settings!$E$15="POINTS",E207-VLOOKUP(B$2,C1:E210,3,FALSE),J207)</f>
        <v>-318.64256996243523</v>
      </c>
      <c r="G207" s="55"/>
      <c r="H207" s="167" cm="1">
        <f t="array" ref="H207">RANK(I207,I3:I210)</f>
        <v>208</v>
      </c>
      <c r="I207" s="168" cm="1">
        <f t="array" ref="I207">VLOOKUP(A207,'Standard Deviations'!A1:C672,3,FALSE)</f>
        <v>-7.346393281881471</v>
      </c>
      <c r="J207" s="168" cm="1">
        <f t="array" ref="J207">I207-VLOOKUP(B$2,H1:J210,2,FALSE)</f>
        <v>-14.51763669372513</v>
      </c>
    </row>
    <row r="208" spans="1:10" ht="21.25" customHeight="1" x14ac:dyDescent="0.15">
      <c r="A208" s="10" t="s">
        <v>795</v>
      </c>
      <c r="B208" s="94" t="str" cm="1">
        <f t="array" ref="B208">VLOOKUP(A208,'The List'!B1:D671,3,FALSE)</f>
        <v>LW</v>
      </c>
      <c r="C208" s="95" cm="1">
        <f t="array" ref="C208">IF(Settings!$E$15="POINTS",RANK(E208,E3:E210),H208)</f>
        <v>206</v>
      </c>
      <c r="D208" s="18" t="str" cm="1">
        <f t="array" ref="D208">VLOOKUP(A208,'The List'!B1:F671,5,FALSE)</f>
        <v>ANA</v>
      </c>
      <c r="E208" s="55" cm="1">
        <f t="array" ref="E208">VLOOKUP(A208,'The List'!B1:I671,8,FALSE)</f>
        <v>70.349288994353799</v>
      </c>
      <c r="F208" s="55" cm="1">
        <f t="array" ref="F208">IF(Settings!$E$15="POINTS",E208-VLOOKUP(B$2,C1:E210,3,FALSE),J208)</f>
        <v>-328.96370431936629</v>
      </c>
      <c r="G208" s="55"/>
      <c r="H208" s="167" cm="1">
        <f t="array" ref="H208">RANK(I208,I3:I210)</f>
        <v>201</v>
      </c>
      <c r="I208" s="168" cm="1">
        <f t="array" ref="I208">VLOOKUP(A208,'Standard Deviations'!A1:C672,3,FALSE)</f>
        <v>-6.3083776623074099</v>
      </c>
      <c r="J208" s="168" cm="1">
        <f t="array" ref="J208">I208-VLOOKUP(B$2,H1:J210,2,FALSE)</f>
        <v>-13.479621074151069</v>
      </c>
    </row>
    <row r="209" spans="1:10" ht="21.25" customHeight="1" x14ac:dyDescent="0.15">
      <c r="A209" s="10" t="s">
        <v>797</v>
      </c>
      <c r="B209" s="94" t="str" cm="1">
        <f t="array" ref="B209">VLOOKUP(A209,'The List'!B1:D671,3,FALSE)</f>
        <v>LW,RW</v>
      </c>
      <c r="C209" s="95" cm="1">
        <f t="array" ref="C209">IF(Settings!$E$15="POINTS",RANK(E209,E3:E210),H209)</f>
        <v>207</v>
      </c>
      <c r="D209" s="18" t="str" cm="1">
        <f t="array" ref="D209">VLOOKUP(A209,'The List'!B1:F671,5,FALSE)</f>
        <v>UTA</v>
      </c>
      <c r="E209" s="55" cm="1">
        <f t="array" ref="E209">VLOOKUP(A209,'The List'!B1:I671,8,FALSE)</f>
        <v>64.967174164465661</v>
      </c>
      <c r="F209" s="55" cm="1">
        <f t="array" ref="F209">IF(Settings!$E$15="POINTS",E209-VLOOKUP(B$2,C1:E210,3,FALSE),J209)</f>
        <v>-334.34581914925445</v>
      </c>
      <c r="G209" s="55"/>
      <c r="H209" s="167" cm="1">
        <f t="array" ref="H209">RANK(I209,I3:I210)</f>
        <v>179</v>
      </c>
      <c r="I209" s="168" cm="1">
        <f t="array" ref="I209">VLOOKUP(A209,'Standard Deviations'!A1:C672,3,FALSE)</f>
        <v>-4.4093214236581346</v>
      </c>
      <c r="J209" s="168" cm="1">
        <f t="array" ref="J209">I209-VLOOKUP(B$2,H1:J210,2,FALSE)</f>
        <v>-11.580564835501793</v>
      </c>
    </row>
    <row r="210" spans="1:10" ht="21.25" customHeight="1" x14ac:dyDescent="0.15">
      <c r="A210" s="10" t="s">
        <v>799</v>
      </c>
      <c r="B210" s="94" t="str" cm="1">
        <f t="array" ref="B210">VLOOKUP(A210,'The List'!B1:D671,3,FALSE)</f>
        <v>LW</v>
      </c>
      <c r="C210" s="95" cm="1">
        <f t="array" ref="C210">IF(Settings!$E$15="POINTS",RANK(E210,E3:E210),H210)</f>
        <v>208</v>
      </c>
      <c r="D210" s="18" t="str" cm="1">
        <f t="array" ref="D210">VLOOKUP(A210,'The List'!B1:F671,5,FALSE)</f>
        <v>FLA</v>
      </c>
      <c r="E210" s="55" cm="1">
        <f t="array" ref="E210">VLOOKUP(A210,'The List'!B1:I671,8,FALSE)</f>
        <v>59.817020213380985</v>
      </c>
      <c r="F210" s="55" cm="1">
        <f t="array" ref="F210">IF(Settings!$E$15="POINTS",E210-VLOOKUP(B$2,C1:E210,3,FALSE),J210)</f>
        <v>-339.49597310033909</v>
      </c>
      <c r="G210" s="55"/>
      <c r="H210" s="167" cm="1">
        <f t="array" ref="H210">RANK(I210,I3:I210)</f>
        <v>106</v>
      </c>
      <c r="I210" s="168" cm="1">
        <f t="array" ref="I210">VLOOKUP(A210,'Standard Deviations'!A1:C672,3,FALSE)</f>
        <v>-1.0879507713346586</v>
      </c>
      <c r="J210" s="168" cm="1">
        <f t="array" ref="J210">I210-VLOOKUP(B$2,H1:J210,2,FALSE)</f>
        <v>-8.2591941831783178</v>
      </c>
    </row>
  </sheetData>
  <conditionalFormatting sqref="C3:C210 H3:H210">
    <cfRule type="containsText" dxfId="23" priority="1" stopIfTrue="1" operator="containsText" text="/">
      <formula>NOT(ISERROR(FIND(UPPER("/"),UPPER(C3))))</formula>
      <formula>"/"</formula>
    </cfRule>
    <cfRule type="containsText" dxfId="22" priority="2" stopIfTrue="1" operator="containsText" text="C">
      <formula>NOT(ISERROR(FIND(UPPER("C"),UPPER(C3))))</formula>
      <formula>"C"</formula>
    </cfRule>
    <cfRule type="containsText" dxfId="21" priority="3" stopIfTrue="1" operator="containsText" text="D">
      <formula>NOT(ISERROR(FIND(UPPER("D"),UPPER(C3))))</formula>
      <formula>"D"</formula>
    </cfRule>
    <cfRule type="containsText" dxfId="20" priority="4" stopIfTrue="1" operator="containsText" text="LW">
      <formula>NOT(ISERROR(FIND(UPPER("LW"),UPPER(C3))))</formula>
      <formula>"LW"</formula>
    </cfRule>
    <cfRule type="containsText" dxfId="19" priority="5" stopIfTrue="1" operator="containsText" text="RW">
      <formula>NOT(ISERROR(FIND(UPPER("RW"),UPPER(C3))))</formula>
      <formula>"RW"</formula>
    </cfRule>
    <cfRule type="containsText" dxfId="18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210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826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Settings!F4</f>
        <v>20</v>
      </c>
      <c r="C2" s="161"/>
      <c r="D2" s="162"/>
      <c r="E2" s="163"/>
      <c r="F2" s="163"/>
      <c r="G2" s="163"/>
      <c r="H2" s="169"/>
      <c r="I2" s="170"/>
      <c r="J2" s="170"/>
    </row>
    <row r="3" spans="1:10" ht="21.25" customHeight="1" x14ac:dyDescent="0.15">
      <c r="A3" s="10" t="s">
        <v>130</v>
      </c>
      <c r="B3" s="97" t="str" cm="1">
        <f t="array" ref="B3">VLOOKUP(A3,'The List'!B1:D671,3,FALSE)</f>
        <v>RW</v>
      </c>
      <c r="C3" s="98" cm="1">
        <f t="array" ref="C3">IF(Settings!$E$15="POINTS",RANK(E3,E3:E210),H3)</f>
        <v>1</v>
      </c>
      <c r="D3" s="18" t="str" cm="1">
        <f t="array" ref="D3">VLOOKUP(A3,'The List'!B1:F671,5,FALSE)</f>
        <v>T.B</v>
      </c>
      <c r="E3" s="55" cm="1">
        <f t="array" ref="E3">VLOOKUP(A3,'The List'!B1:I671,8,FALSE)</f>
        <v>570.68556458331921</v>
      </c>
      <c r="F3" s="55" cm="1">
        <f t="array" ref="F3">IF(Settings!$E$15="POINTS",E3-VLOOKUP(B$2,C1:E210,3,FALSE),J3)</f>
        <v>175.74209988976173</v>
      </c>
      <c r="G3" s="55"/>
      <c r="H3" s="171" cm="1">
        <f t="array" ref="H3">RANK(I3,I3:I210)</f>
        <v>1</v>
      </c>
      <c r="I3" s="172" cm="1">
        <f t="array" ref="I3">VLOOKUP(A3,'Standard Deviations'!A1:C672,3,FALSE)</f>
        <v>15.149623236256513</v>
      </c>
      <c r="J3" s="172" cm="1">
        <f t="array" ref="J3">I3-VLOOKUP(B$2,H1:J210,2,FALSE)</f>
        <v>7.9783798244128539</v>
      </c>
    </row>
    <row r="4" spans="1:10" ht="21.25" customHeight="1" x14ac:dyDescent="0.15">
      <c r="A4" s="10" t="s">
        <v>136</v>
      </c>
      <c r="B4" s="97" t="str" cm="1">
        <f t="array" ref="B4">VLOOKUP(A4,'The List'!B1:D671,3,FALSE)</f>
        <v>RW</v>
      </c>
      <c r="C4" s="98" cm="1">
        <f t="array" ref="C4">IF(Settings!$E$15="POINTS",RANK(E4,E3:E210),H4)</f>
        <v>2</v>
      </c>
      <c r="D4" s="18" t="str" cm="1">
        <f t="array" ref="D4">VLOOKUP(A4,'The List'!B1:F671,5,FALSE)</f>
        <v>BOS</v>
      </c>
      <c r="E4" s="55" cm="1">
        <f t="array" ref="E4">VLOOKUP(A4,'The List'!B1:I671,8,FALSE)</f>
        <v>513.56769092086074</v>
      </c>
      <c r="F4" s="55" cm="1">
        <f t="array" ref="F4">IF(Settings!$E$15="POINTS",E4-VLOOKUP(B$2,C1:E210,3,FALSE),J4)</f>
        <v>118.62422622730327</v>
      </c>
      <c r="G4" s="55"/>
      <c r="H4" s="167" cm="1">
        <f t="array" ref="H4">RANK(I4,I3:I210)</f>
        <v>4</v>
      </c>
      <c r="I4" s="168" cm="1">
        <f t="array" ref="I4">VLOOKUP(A4,'Standard Deviations'!A1:C672,3,FALSE)</f>
        <v>11.067278631660665</v>
      </c>
      <c r="J4" s="168" cm="1">
        <f t="array" ref="J4">I4-VLOOKUP(B$2,H1:J210,2,FALSE)</f>
        <v>3.8960352198170058</v>
      </c>
    </row>
    <row r="5" spans="1:10" ht="21.25" customHeight="1" x14ac:dyDescent="0.15">
      <c r="A5" s="10" t="s">
        <v>143</v>
      </c>
      <c r="B5" s="97" t="str" cm="1">
        <f t="array" ref="B5">VLOOKUP(A5,'The List'!B1:D671,3,FALSE)</f>
        <v>LW,RW</v>
      </c>
      <c r="C5" s="98" cm="1">
        <f t="array" ref="C5">IF(Settings!$E$15="POINTS",RANK(E5,E3:E210),H5)</f>
        <v>3</v>
      </c>
      <c r="D5" s="18" t="str" cm="1">
        <f t="array" ref="D5">VLOOKUP(A5,'The List'!B1:F671,5,FALSE)</f>
        <v>MIN</v>
      </c>
      <c r="E5" s="55" cm="1">
        <f t="array" ref="E5">VLOOKUP(A5,'The List'!B1:I671,8,FALSE)</f>
        <v>484.91184206940261</v>
      </c>
      <c r="F5" s="55" cm="1">
        <f t="array" ref="F5">IF(Settings!$E$15="POINTS",E5-VLOOKUP(B$2,C1:E210,3,FALSE),J5)</f>
        <v>89.968377375845137</v>
      </c>
      <c r="G5" s="55"/>
      <c r="H5" s="167" cm="1">
        <f t="array" ref="H5">RANK(I5,I3:I210)</f>
        <v>2</v>
      </c>
      <c r="I5" s="168" cm="1">
        <f t="array" ref="I5">VLOOKUP(A5,'Standard Deviations'!A1:C672,3,FALSE)</f>
        <v>11.762726894081251</v>
      </c>
      <c r="J5" s="168" cm="1">
        <f t="array" ref="J5">I5-VLOOKUP(B$2,H1:J210,2,FALSE)</f>
        <v>4.5914834822375914</v>
      </c>
    </row>
    <row r="6" spans="1:10" ht="21.25" customHeight="1" x14ac:dyDescent="0.15">
      <c r="A6" s="10" t="s">
        <v>144</v>
      </c>
      <c r="B6" s="97" t="str" cm="1">
        <f t="array" ref="B6">VLOOKUP(A6,'The List'!B1:D671,3,FALSE)</f>
        <v>LW,RW</v>
      </c>
      <c r="C6" s="98" cm="1">
        <f t="array" ref="C6">IF(Settings!$E$15="POINTS",RANK(E6,E3:E210),H6)</f>
        <v>4</v>
      </c>
      <c r="D6" s="18" t="str" cm="1">
        <f t="array" ref="D6">VLOOKUP(A6,'The List'!B1:F671,5,FALSE)</f>
        <v>DAL</v>
      </c>
      <c r="E6" s="55" cm="1">
        <f t="array" ref="E6">VLOOKUP(A6,'The List'!B1:I671,8,FALSE)</f>
        <v>482.26198502606582</v>
      </c>
      <c r="F6" s="55" cm="1">
        <f t="array" ref="F6">IF(Settings!$E$15="POINTS",E6-VLOOKUP(B$2,C1:E210,3,FALSE),J6)</f>
        <v>87.318520332508342</v>
      </c>
      <c r="G6" s="55"/>
      <c r="H6" s="167" cm="1">
        <f t="array" ref="H6">RANK(I6,I3:I210)</f>
        <v>3</v>
      </c>
      <c r="I6" s="168" cm="1">
        <f t="array" ref="I6">VLOOKUP(A6,'Standard Deviations'!A1:C672,3,FALSE)</f>
        <v>11.309423823210317</v>
      </c>
      <c r="J6" s="168" cm="1">
        <f t="array" ref="J6">I6-VLOOKUP(B$2,H1:J210,2,FALSE)</f>
        <v>4.1381804113666574</v>
      </c>
    </row>
    <row r="7" spans="1:10" ht="21.25" customHeight="1" x14ac:dyDescent="0.15">
      <c r="A7" s="10" t="s">
        <v>154</v>
      </c>
      <c r="B7" s="97" t="str" cm="1">
        <f t="array" ref="B7">VLOOKUP(A7,'The List'!B1:D671,3,FALSE)</f>
        <v>RW</v>
      </c>
      <c r="C7" s="98" cm="1">
        <f t="array" ref="C7">IF(Settings!$E$15="POINTS",RANK(E7,E3:E210),H7)</f>
        <v>5</v>
      </c>
      <c r="D7" s="18" t="str" cm="1">
        <f t="array" ref="D7">VLOOKUP(A7,'The List'!B1:F671,5,FALSE)</f>
        <v>COL</v>
      </c>
      <c r="E7" s="55" cm="1">
        <f t="array" ref="E7">VLOOKUP(A7,'The List'!B1:I671,8,FALSE)</f>
        <v>447.45576947843551</v>
      </c>
      <c r="F7" s="55" cm="1">
        <f t="array" ref="F7">IF(Settings!$E$15="POINTS",E7-VLOOKUP(B$2,C1:E210,3,FALSE),J7)</f>
        <v>52.51230478487804</v>
      </c>
      <c r="G7" s="55"/>
      <c r="H7" s="167" cm="1">
        <f t="array" ref="H7">RANK(I7,I3:I210)</f>
        <v>7</v>
      </c>
      <c r="I7" s="168" cm="1">
        <f t="array" ref="I7">VLOOKUP(A7,'Standard Deviations'!A1:C672,3,FALSE)</f>
        <v>9.9141785280861274</v>
      </c>
      <c r="J7" s="168" cm="1">
        <f t="array" ref="J7">I7-VLOOKUP(B$2,H1:J210,2,FALSE)</f>
        <v>2.7429351162424682</v>
      </c>
    </row>
    <row r="8" spans="1:10" ht="21.25" customHeight="1" x14ac:dyDescent="0.15">
      <c r="A8" s="10" t="s">
        <v>156</v>
      </c>
      <c r="B8" s="97" t="str" cm="1">
        <f t="array" ref="B8">VLOOKUP(A8,'The List'!B1:D671,3,FALSE)</f>
        <v>C,RW</v>
      </c>
      <c r="C8" s="98" cm="1">
        <f t="array" ref="C8">IF(Settings!$E$15="POINTS",RANK(E8,E3:E210),H8)</f>
        <v>6</v>
      </c>
      <c r="D8" s="18" t="str" cm="1">
        <f t="array" ref="D8">VLOOKUP(A8,'The List'!B1:F671,5,FALSE)</f>
        <v>DAL</v>
      </c>
      <c r="E8" s="55" cm="1">
        <f t="array" ref="E8">VLOOKUP(A8,'The List'!B1:I671,8,FALSE)</f>
        <v>442.61340358960956</v>
      </c>
      <c r="F8" s="55" cm="1">
        <f t="array" ref="F8">IF(Settings!$E$15="POINTS",E8-VLOOKUP(B$2,C1:E210,3,FALSE),J8)</f>
        <v>47.669938896052088</v>
      </c>
      <c r="G8" s="55"/>
      <c r="H8" s="167" cm="1">
        <f t="array" ref="H8">RANK(I8,I3:I210)</f>
        <v>8</v>
      </c>
      <c r="I8" s="168" cm="1">
        <f t="array" ref="I8">VLOOKUP(A8,'Standard Deviations'!A1:C672,3,FALSE)</f>
        <v>9.784511660278433</v>
      </c>
      <c r="J8" s="168" cm="1">
        <f t="array" ref="J8">I8-VLOOKUP(B$2,H1:J210,2,FALSE)</f>
        <v>2.6132682484347738</v>
      </c>
    </row>
    <row r="9" spans="1:10" ht="21.25" customHeight="1" x14ac:dyDescent="0.15">
      <c r="A9" s="10" t="s">
        <v>159</v>
      </c>
      <c r="B9" s="97" t="str" cm="1">
        <f t="array" ref="B9">VLOOKUP(A9,'The List'!B1:D671,3,FALSE)</f>
        <v>C,RW</v>
      </c>
      <c r="C9" s="98" cm="1">
        <f t="array" ref="C9">IF(Settings!$E$15="POINTS",RANK(E9,E3:E210),H9)</f>
        <v>7</v>
      </c>
      <c r="D9" s="18" t="str" cm="1">
        <f t="array" ref="D9">VLOOKUP(A9,'The List'!B1:F671,5,FALSE)</f>
        <v>TOR</v>
      </c>
      <c r="E9" s="55" cm="1">
        <f t="array" ref="E9">VLOOKUP(A9,'The List'!B1:I671,8,FALSE)</f>
        <v>440.10286191423052</v>
      </c>
      <c r="F9" s="55" cm="1">
        <f t="array" ref="F9">IF(Settings!$E$15="POINTS",E9-VLOOKUP(B$2,C1:E210,3,FALSE),J9)</f>
        <v>45.159397220673043</v>
      </c>
      <c r="G9" s="55"/>
      <c r="H9" s="167" cm="1">
        <f t="array" ref="H9">RANK(I9,I3:I210)</f>
        <v>16</v>
      </c>
      <c r="I9" s="168" cm="1">
        <f t="array" ref="I9">VLOOKUP(A9,'Standard Deviations'!A1:C672,3,FALSE)</f>
        <v>7.6196700567487516</v>
      </c>
      <c r="J9" s="168" cm="1">
        <f t="array" ref="J9">I9-VLOOKUP(B$2,H1:J210,2,FALSE)</f>
        <v>0.44842664490509243</v>
      </c>
    </row>
    <row r="10" spans="1:10" ht="21.25" customHeight="1" x14ac:dyDescent="0.15">
      <c r="A10" s="10" t="s">
        <v>162</v>
      </c>
      <c r="B10" s="97" t="str" cm="1">
        <f t="array" ref="B10">VLOOKUP(A10,'The List'!B1:D671,3,FALSE)</f>
        <v>C,LW,RW</v>
      </c>
      <c r="C10" s="98" cm="1">
        <f t="array" ref="C10">IF(Settings!$E$15="POINTS",RANK(E10,E3:E210),H10)</f>
        <v>8</v>
      </c>
      <c r="D10" s="18" t="str" cm="1">
        <f t="array" ref="D10">VLOOKUP(A10,'The List'!B1:F671,5,FALSE)</f>
        <v>ANA</v>
      </c>
      <c r="E10" s="55" cm="1">
        <f t="array" ref="E10">VLOOKUP(A10,'The List'!B1:I671,8,FALSE)</f>
        <v>431.07519953197504</v>
      </c>
      <c r="F10" s="55" cm="1">
        <f t="array" ref="F10">IF(Settings!$E$15="POINTS",E10-VLOOKUP(B$2,C1:E210,3,FALSE),J10)</f>
        <v>36.131734838417572</v>
      </c>
      <c r="G10" s="55"/>
      <c r="H10" s="167" cm="1">
        <f t="array" ref="H10">RANK(I10,I3:I210)</f>
        <v>20</v>
      </c>
      <c r="I10" s="168" cm="1">
        <f t="array" ref="I10">VLOOKUP(A10,'Standard Deviations'!A1:C672,3,FALSE)</f>
        <v>7.1712434118436592</v>
      </c>
      <c r="J10" s="168" cm="1">
        <f t="array" ref="J10">I10-VLOOKUP(B$2,H1:J210,2,FALSE)</f>
        <v>0</v>
      </c>
    </row>
    <row r="11" spans="1:10" ht="21.25" customHeight="1" x14ac:dyDescent="0.15">
      <c r="A11" s="10" t="s">
        <v>164</v>
      </c>
      <c r="B11" s="97" t="str" cm="1">
        <f t="array" ref="B11">VLOOKUP(A11,'The List'!B1:D671,3,FALSE)</f>
        <v>LW,RW</v>
      </c>
      <c r="C11" s="98" cm="1">
        <f t="array" ref="C11">IF(Settings!$E$15="POINTS",RANK(E11,E3:E210),H11)</f>
        <v>9</v>
      </c>
      <c r="D11" s="18" t="str" cm="1">
        <f t="array" ref="D11">VLOOKUP(A11,'The List'!B1:F671,5,FALSE)</f>
        <v>DAL</v>
      </c>
      <c r="E11" s="55" cm="1">
        <f t="array" ref="E11">VLOOKUP(A11,'The List'!B1:I671,8,FALSE)</f>
        <v>429.44531913112792</v>
      </c>
      <c r="F11" s="55" cm="1">
        <f t="array" ref="F11">IF(Settings!$E$15="POINTS",E11-VLOOKUP(B$2,C1:E210,3,FALSE),J11)</f>
        <v>34.501854437570444</v>
      </c>
      <c r="G11" s="55"/>
      <c r="H11" s="167" cm="1">
        <f t="array" ref="H11">RANK(I11,I3:I210)</f>
        <v>5</v>
      </c>
      <c r="I11" s="168" cm="1">
        <f t="array" ref="I11">VLOOKUP(A11,'Standard Deviations'!A1:C672,3,FALSE)</f>
        <v>10.966766360835466</v>
      </c>
      <c r="J11" s="168" cm="1">
        <f t="array" ref="J11">I11-VLOOKUP(B$2,H1:J210,2,FALSE)</f>
        <v>3.795522948991807</v>
      </c>
    </row>
    <row r="12" spans="1:10" ht="21.25" customHeight="1" x14ac:dyDescent="0.15">
      <c r="A12" s="10" t="s">
        <v>168</v>
      </c>
      <c r="B12" s="97" t="str" cm="1">
        <f t="array" ref="B12">VLOOKUP(A12,'The List'!B1:D671,3,FALSE)</f>
        <v>LW,RW</v>
      </c>
      <c r="C12" s="98" cm="1">
        <f t="array" ref="C12">IF(Settings!$E$15="POINTS",RANK(E12,E3:E210),H12)</f>
        <v>10</v>
      </c>
      <c r="D12" s="18" t="str" cm="1">
        <f t="array" ref="D12">VLOOKUP(A12,'The List'!B1:F671,5,FALSE)</f>
        <v>UTA</v>
      </c>
      <c r="E12" s="55" cm="1">
        <f t="array" ref="E12">VLOOKUP(A12,'The List'!B1:I671,8,FALSE)</f>
        <v>421.1259218806934</v>
      </c>
      <c r="F12" s="55" cm="1">
        <f t="array" ref="F12">IF(Settings!$E$15="POINTS",E12-VLOOKUP(B$2,C1:E210,3,FALSE),J12)</f>
        <v>26.182457187135924</v>
      </c>
      <c r="G12" s="55"/>
      <c r="H12" s="167" cm="1">
        <f t="array" ref="H12">RANK(I12,I3:I210)</f>
        <v>12</v>
      </c>
      <c r="I12" s="168" cm="1">
        <f t="array" ref="I12">VLOOKUP(A12,'Standard Deviations'!A1:C672,3,FALSE)</f>
        <v>8.0246101399434515</v>
      </c>
      <c r="J12" s="168" cm="1">
        <f t="array" ref="J12">I12-VLOOKUP(B$2,H1:J210,2,FALSE)</f>
        <v>0.8533667280997923</v>
      </c>
    </row>
    <row r="13" spans="1:10" ht="21.25" customHeight="1" x14ac:dyDescent="0.15">
      <c r="A13" s="10" t="s">
        <v>169</v>
      </c>
      <c r="B13" s="97" t="str" cm="1">
        <f t="array" ref="B13">VLOOKUP(A13,'The List'!B1:D671,3,FALSE)</f>
        <v>LW,RW</v>
      </c>
      <c r="C13" s="98" cm="1">
        <f t="array" ref="C13">IF(Settings!$E$15="POINTS",RANK(E13,E3:E210),H13)</f>
        <v>11</v>
      </c>
      <c r="D13" s="18" t="str" cm="1">
        <f t="array" ref="D13">VLOOKUP(A13,'The List'!B1:F671,5,FALSE)</f>
        <v>UTA</v>
      </c>
      <c r="E13" s="55" cm="1">
        <f t="array" ref="E13">VLOOKUP(A13,'The List'!B1:I671,8,FALSE)</f>
        <v>420.17530426193724</v>
      </c>
      <c r="F13" s="55" cm="1">
        <f t="array" ref="F13">IF(Settings!$E$15="POINTS",E13-VLOOKUP(B$2,C1:E210,3,FALSE),J13)</f>
        <v>25.231839568379769</v>
      </c>
      <c r="G13" s="55"/>
      <c r="H13" s="167" cm="1">
        <f t="array" ref="H13">RANK(I13,I3:I210)</f>
        <v>13</v>
      </c>
      <c r="I13" s="168" cm="1">
        <f t="array" ref="I13">VLOOKUP(A13,'Standard Deviations'!A1:C672,3,FALSE)</f>
        <v>7.9550365125768741</v>
      </c>
      <c r="J13" s="168" cm="1">
        <f t="array" ref="J13">I13-VLOOKUP(B$2,H1:J210,2,FALSE)</f>
        <v>0.78379310073321484</v>
      </c>
    </row>
    <row r="14" spans="1:10" ht="21.25" customHeight="1" x14ac:dyDescent="0.15">
      <c r="A14" s="10" t="s">
        <v>171</v>
      </c>
      <c r="B14" s="97" t="str" cm="1">
        <f t="array" ref="B14">VLOOKUP(A14,'The List'!B1:D671,3,FALSE)</f>
        <v>C,RW</v>
      </c>
      <c r="C14" s="98" cm="1">
        <f t="array" ref="C14">IF(Settings!$E$15="POINTS",RANK(E14,E3:E210),H14)</f>
        <v>12</v>
      </c>
      <c r="D14" s="18" t="str" cm="1">
        <f t="array" ref="D14">VLOOKUP(A14,'The List'!B1:F671,5,FALSE)</f>
        <v>BUF</v>
      </c>
      <c r="E14" s="55" cm="1">
        <f t="array" ref="E14">VLOOKUP(A14,'The List'!B1:I671,8,FALSE)</f>
        <v>417.52590445678203</v>
      </c>
      <c r="F14" s="55" cm="1">
        <f t="array" ref="F14">IF(Settings!$E$15="POINTS",E14-VLOOKUP(B$2,C1:E210,3,FALSE),J14)</f>
        <v>22.582439763224556</v>
      </c>
      <c r="G14" s="55"/>
      <c r="H14" s="167" cm="1">
        <f t="array" ref="H14">RANK(I14,I3:I210)</f>
        <v>15</v>
      </c>
      <c r="I14" s="168" cm="1">
        <f t="array" ref="I14">VLOOKUP(A14,'Standard Deviations'!A1:C672,3,FALSE)</f>
        <v>7.7487190265722159</v>
      </c>
      <c r="J14" s="168" cm="1">
        <f t="array" ref="J14">I14-VLOOKUP(B$2,H1:J210,2,FALSE)</f>
        <v>0.57747561472855669</v>
      </c>
    </row>
    <row r="15" spans="1:10" ht="21.25" customHeight="1" x14ac:dyDescent="0.15">
      <c r="A15" s="10" t="s">
        <v>176</v>
      </c>
      <c r="B15" s="97" t="str" cm="1">
        <f t="array" ref="B15">VLOOKUP(A15,'The List'!B1:D671,3,FALSE)</f>
        <v>LW,RW</v>
      </c>
      <c r="C15" s="98" cm="1">
        <f t="array" ref="C15">IF(Settings!$E$15="POINTS",RANK(E15,E3:E210),H15)</f>
        <v>13</v>
      </c>
      <c r="D15" s="18" t="str" cm="1">
        <f t="array" ref="D15">VLOOKUP(A15,'The List'!B1:F671,5,FALSE)</f>
        <v>DET</v>
      </c>
      <c r="E15" s="55" cm="1">
        <f t="array" ref="E15">VLOOKUP(A15,'The List'!B1:I671,8,FALSE)</f>
        <v>414.42600016670809</v>
      </c>
      <c r="F15" s="55" cm="1">
        <f t="array" ref="F15">IF(Settings!$E$15="POINTS",E15-VLOOKUP(B$2,C1:E210,3,FALSE),J15)</f>
        <v>19.48253547315062</v>
      </c>
      <c r="G15" s="55"/>
      <c r="H15" s="167" cm="1">
        <f t="array" ref="H15">RANK(I15,I3:I210)</f>
        <v>21</v>
      </c>
      <c r="I15" s="168" cm="1">
        <f t="array" ref="I15">VLOOKUP(A15,'Standard Deviations'!A1:C672,3,FALSE)</f>
        <v>7.0210080392316865</v>
      </c>
      <c r="J15" s="168" cm="1">
        <f t="array" ref="J15">I15-VLOOKUP(B$2,H1:J210,2,FALSE)</f>
        <v>-0.15023537261197273</v>
      </c>
    </row>
    <row r="16" spans="1:10" ht="21.25" customHeight="1" x14ac:dyDescent="0.15">
      <c r="A16" s="10" t="s">
        <v>179</v>
      </c>
      <c r="B16" s="97" t="str" cm="1">
        <f t="array" ref="B16">VLOOKUP(A16,'The List'!B1:D671,3,FALSE)</f>
        <v>LW,RW</v>
      </c>
      <c r="C16" s="98" cm="1">
        <f t="array" ref="C16">IF(Settings!$E$15="POINTS",RANK(E16,E3:E210),H16)</f>
        <v>14</v>
      </c>
      <c r="D16" s="18" t="str" cm="1">
        <f t="array" ref="D16">VLOOKUP(A16,'The List'!B1:F671,5,FALSE)</f>
        <v>MTL</v>
      </c>
      <c r="E16" s="55" cm="1">
        <f t="array" ref="E16">VLOOKUP(A16,'The List'!B1:I671,8,FALSE)</f>
        <v>412.80847420064674</v>
      </c>
      <c r="F16" s="55" cm="1">
        <f t="array" ref="F16">IF(Settings!$E$15="POINTS",E16-VLOOKUP(B$2,C1:E210,3,FALSE),J16)</f>
        <v>17.865009507089269</v>
      </c>
      <c r="G16" s="55"/>
      <c r="H16" s="167" cm="1">
        <f t="array" ref="H16">RANK(I16,I3:I210)</f>
        <v>17</v>
      </c>
      <c r="I16" s="168" cm="1">
        <f t="array" ref="I16">VLOOKUP(A16,'Standard Deviations'!A1:C672,3,FALSE)</f>
        <v>7.3542571314399572</v>
      </c>
      <c r="J16" s="168" cm="1">
        <f t="array" ref="J16">I16-VLOOKUP(B$2,H1:J210,2,FALSE)</f>
        <v>0.18301371959629797</v>
      </c>
    </row>
    <row r="17" spans="1:10" ht="21.25" customHeight="1" x14ac:dyDescent="0.15">
      <c r="A17" s="10" t="s">
        <v>185</v>
      </c>
      <c r="B17" s="97" t="str" cm="1">
        <f t="array" ref="B17">VLOOKUP(A17,'The List'!B1:D671,3,FALSE)</f>
        <v>LW,RW</v>
      </c>
      <c r="C17" s="98" cm="1">
        <f t="array" ref="C17">IF(Settings!$E$15="POINTS",RANK(E17,E3:E210),H17)</f>
        <v>15</v>
      </c>
      <c r="D17" s="18" t="str" cm="1">
        <f t="array" ref="D17">VLOOKUP(A17,'The List'!B1:F671,5,FALSE)</f>
        <v>FLA</v>
      </c>
      <c r="E17" s="55" cm="1">
        <f t="array" ref="E17">VLOOKUP(A17,'The List'!B1:I671,8,FALSE)</f>
        <v>409.03605123904606</v>
      </c>
      <c r="F17" s="55" cm="1">
        <f t="array" ref="F17">IF(Settings!$E$15="POINTS",E17-VLOOKUP(B$2,C1:E210,3,FALSE),J17)</f>
        <v>14.092586545488587</v>
      </c>
      <c r="G17" s="55"/>
      <c r="H17" s="167" cm="1">
        <f t="array" ref="H17">RANK(I17,I3:I210)</f>
        <v>6</v>
      </c>
      <c r="I17" s="168" cm="1">
        <f t="array" ref="I17">VLOOKUP(A17,'Standard Deviations'!A1:C672,3,FALSE)</f>
        <v>10.159290277344384</v>
      </c>
      <c r="J17" s="168" cm="1">
        <f t="array" ref="J17">I17-VLOOKUP(B$2,H1:J210,2,FALSE)</f>
        <v>2.9880468655007251</v>
      </c>
    </row>
    <row r="18" spans="1:10" ht="21.25" customHeight="1" x14ac:dyDescent="0.15">
      <c r="A18" s="10" t="s">
        <v>188</v>
      </c>
      <c r="B18" s="97" t="str" cm="1">
        <f t="array" ref="B18">VLOOKUP(A18,'The List'!B1:D671,3,FALSE)</f>
        <v>C,LW,RW</v>
      </c>
      <c r="C18" s="98" cm="1">
        <f t="array" ref="C18">IF(Settings!$E$15="POINTS",RANK(E18,E3:E210),H18)</f>
        <v>16</v>
      </c>
      <c r="D18" s="18" t="str" cm="1">
        <f t="array" ref="D18">VLOOKUP(A18,'The List'!B1:F671,5,FALSE)</f>
        <v>VGK</v>
      </c>
      <c r="E18" s="55" cm="1">
        <f t="array" ref="E18">VLOOKUP(A18,'The List'!B1:I671,8,FALSE)</f>
        <v>407.01221704076733</v>
      </c>
      <c r="F18" s="55" cm="1">
        <f t="array" ref="F18">IF(Settings!$E$15="POINTS",E18-VLOOKUP(B$2,C1:E210,3,FALSE),J18)</f>
        <v>12.068752347209852</v>
      </c>
      <c r="G18" s="55"/>
      <c r="H18" s="167" cm="1">
        <f t="array" ref="H18">RANK(I18,I3:I210)</f>
        <v>19</v>
      </c>
      <c r="I18" s="168" cm="1">
        <f t="array" ref="I18">VLOOKUP(A18,'Standard Deviations'!A1:C672,3,FALSE)</f>
        <v>7.3167480216897305</v>
      </c>
      <c r="J18" s="168" cm="1">
        <f t="array" ref="J18">I18-VLOOKUP(B$2,H1:J210,2,FALSE)</f>
        <v>0.14550460984607128</v>
      </c>
    </row>
    <row r="19" spans="1:10" ht="21.25" customHeight="1" x14ac:dyDescent="0.15">
      <c r="A19" s="10" t="s">
        <v>192</v>
      </c>
      <c r="B19" s="97" t="str" cm="1">
        <f t="array" ref="B19">VLOOKUP(A19,'The List'!B1:D671,3,FALSE)</f>
        <v>LW,RW</v>
      </c>
      <c r="C19" s="98" cm="1">
        <f t="array" ref="C19">IF(Settings!$E$15="POINTS",RANK(E19,E3:E210),H19)</f>
        <v>17</v>
      </c>
      <c r="D19" s="18" t="str" cm="1">
        <f t="array" ref="D19">VLOOKUP(A19,'The List'!B1:F671,5,FALSE)</f>
        <v>T.B</v>
      </c>
      <c r="E19" s="55" cm="1">
        <f t="array" ref="E19">VLOOKUP(A19,'The List'!B1:I671,8,FALSE)</f>
        <v>399.31299331372009</v>
      </c>
      <c r="F19" s="55" cm="1">
        <f t="array" ref="F19">IF(Settings!$E$15="POINTS",E19-VLOOKUP(B$2,C1:E210,3,FALSE),J19)</f>
        <v>4.3695286201626118</v>
      </c>
      <c r="G19" s="55"/>
      <c r="H19" s="167" cm="1">
        <f t="array" ref="H19">RANK(I19,I3:I210)</f>
        <v>10</v>
      </c>
      <c r="I19" s="168" cm="1">
        <f t="array" ref="I19">VLOOKUP(A19,'Standard Deviations'!A1:C672,3,FALSE)</f>
        <v>8.7150618533856807</v>
      </c>
      <c r="J19" s="168" cm="1">
        <f t="array" ref="J19">I19-VLOOKUP(B$2,H1:J210,2,FALSE)</f>
        <v>1.5438184415420215</v>
      </c>
    </row>
    <row r="20" spans="1:10" ht="21.25" customHeight="1" x14ac:dyDescent="0.15">
      <c r="A20" s="10" t="s">
        <v>193</v>
      </c>
      <c r="B20" s="97" t="str" cm="1">
        <f t="array" ref="B20">VLOOKUP(A20,'The List'!B1:D671,3,FALSE)</f>
        <v>RW</v>
      </c>
      <c r="C20" s="98" cm="1">
        <f t="array" ref="C20">IF(Settings!$E$15="POINTS",RANK(E20,E3:E210),H20)</f>
        <v>18</v>
      </c>
      <c r="D20" s="18" t="str" cm="1">
        <f t="array" ref="D20">VLOOKUP(A20,'The List'!B1:F671,5,FALSE)</f>
        <v>DET</v>
      </c>
      <c r="E20" s="55" cm="1">
        <f t="array" ref="E20">VLOOKUP(A20,'The List'!B1:I671,8,FALSE)</f>
        <v>398.7504136781717</v>
      </c>
      <c r="F20" s="55" cm="1">
        <f t="array" ref="F20">IF(Settings!$E$15="POINTS",E20-VLOOKUP(B$2,C1:E210,3,FALSE),J20)</f>
        <v>3.8069489846142233</v>
      </c>
      <c r="G20" s="55"/>
      <c r="H20" s="167" cm="1">
        <f t="array" ref="H20">RANK(I20,I3:I210)</f>
        <v>29</v>
      </c>
      <c r="I20" s="168" cm="1">
        <f t="array" ref="I20">VLOOKUP(A20,'Standard Deviations'!A1:C672,3,FALSE)</f>
        <v>5.6577775945022708</v>
      </c>
      <c r="J20" s="168" cm="1">
        <f t="array" ref="J20">I20-VLOOKUP(B$2,H1:J210,2,FALSE)</f>
        <v>-1.5134658173413884</v>
      </c>
    </row>
    <row r="21" spans="1:10" ht="21.25" customHeight="1" x14ac:dyDescent="0.15">
      <c r="A21" s="10" t="s">
        <v>195</v>
      </c>
      <c r="B21" s="97" t="str" cm="1">
        <f t="array" ref="B21">VLOOKUP(A21,'The List'!B1:D671,3,FALSE)</f>
        <v>LW,RW</v>
      </c>
      <c r="C21" s="98" cm="1">
        <f t="array" ref="C21">IF(Settings!$E$15="POINTS",RANK(E21,E3:E210),H21)</f>
        <v>19</v>
      </c>
      <c r="D21" s="18" t="str" cm="1">
        <f t="array" ref="D21">VLOOKUP(A21,'The List'!B1:F671,5,FALSE)</f>
        <v>T.B</v>
      </c>
      <c r="E21" s="55" cm="1">
        <f t="array" ref="E21">VLOOKUP(A21,'The List'!B1:I671,8,FALSE)</f>
        <v>397.59998409230695</v>
      </c>
      <c r="F21" s="55" cm="1">
        <f t="array" ref="F21">IF(Settings!$E$15="POINTS",E21-VLOOKUP(B$2,C1:E210,3,FALSE),J21)</f>
        <v>2.6565193987494808</v>
      </c>
      <c r="G21" s="55"/>
      <c r="H21" s="167" cm="1">
        <f t="array" ref="H21">RANK(I21,I3:I210)</f>
        <v>9</v>
      </c>
      <c r="I21" s="168" cm="1">
        <f t="array" ref="I21">VLOOKUP(A21,'Standard Deviations'!A1:C672,3,FALSE)</f>
        <v>9.6746821991179619</v>
      </c>
      <c r="J21" s="168" cm="1">
        <f t="array" ref="J21">I21-VLOOKUP(B$2,H1:J210,2,FALSE)</f>
        <v>2.5034387872743027</v>
      </c>
    </row>
    <row r="22" spans="1:10" ht="21.25" customHeight="1" x14ac:dyDescent="0.15">
      <c r="A22" s="10" t="s">
        <v>198</v>
      </c>
      <c r="B22" s="97" t="str" cm="1">
        <f t="array" ref="B22">VLOOKUP(A22,'The List'!B1:D671,3,FALSE)</f>
        <v>C,RW</v>
      </c>
      <c r="C22" s="98" cm="1">
        <f t="array" ref="C22">IF(Settings!$E$15="POINTS",RANK(E22,E3:E210),H22)</f>
        <v>20</v>
      </c>
      <c r="D22" s="18" t="str" cm="1">
        <f t="array" ref="D22">VLOOKUP(A22,'The List'!B1:F671,5,FALSE)</f>
        <v>NYR</v>
      </c>
      <c r="E22" s="55" cm="1">
        <f t="array" ref="E22">VLOOKUP(A22,'The List'!B1:I671,8,FALSE)</f>
        <v>394.94346469355747</v>
      </c>
      <c r="F22" s="55" cm="1">
        <f t="array" ref="F22">IF(Settings!$E$15="POINTS",E22-VLOOKUP(B$2,C1:E210,3,FALSE),J22)</f>
        <v>0</v>
      </c>
      <c r="G22" s="55"/>
      <c r="H22" s="167" cm="1">
        <f t="array" ref="H22">RANK(I22,I3:I210)</f>
        <v>28</v>
      </c>
      <c r="I22" s="168" cm="1">
        <f t="array" ref="I22">VLOOKUP(A22,'Standard Deviations'!A1:C672,3,FALSE)</f>
        <v>5.7305508910243264</v>
      </c>
      <c r="J22" s="168" cm="1">
        <f t="array" ref="J22">I22-VLOOKUP(B$2,H1:J210,2,FALSE)</f>
        <v>-1.4406925208193329</v>
      </c>
    </row>
    <row r="23" spans="1:10" ht="21.25" customHeight="1" x14ac:dyDescent="0.15">
      <c r="A23" s="10" t="s">
        <v>201</v>
      </c>
      <c r="B23" s="97" t="str" cm="1">
        <f t="array" ref="B23">VLOOKUP(A23,'The List'!B1:D671,3,FALSE)</f>
        <v>RW</v>
      </c>
      <c r="C23" s="98" cm="1">
        <f t="array" ref="C23">IF(Settings!$E$15="POINTS",RANK(E23,E3:E210),H23)</f>
        <v>21</v>
      </c>
      <c r="D23" s="18" t="str" cm="1">
        <f t="array" ref="D23">VLOOKUP(A23,'The List'!B1:F671,5,FALSE)</f>
        <v>FLA</v>
      </c>
      <c r="E23" s="55" cm="1">
        <f t="array" ref="E23">VLOOKUP(A23,'The List'!B1:I671,8,FALSE)</f>
        <v>392.22670305232941</v>
      </c>
      <c r="F23" s="55" cm="1">
        <f t="array" ref="F23">IF(Settings!$E$15="POINTS",E23-VLOOKUP(B$2,C1:E210,3,FALSE),J23)</f>
        <v>-2.7167616412280609</v>
      </c>
      <c r="G23" s="55"/>
      <c r="H23" s="167" cm="1">
        <f t="array" ref="H23">RANK(I23,I3:I210)</f>
        <v>24</v>
      </c>
      <c r="I23" s="168" cm="1">
        <f t="array" ref="I23">VLOOKUP(A23,'Standard Deviations'!A1:C672,3,FALSE)</f>
        <v>6.8168801389860549</v>
      </c>
      <c r="J23" s="168" cm="1">
        <f t="array" ref="J23">I23-VLOOKUP(B$2,H1:J210,2,FALSE)</f>
        <v>-0.35436327285760427</v>
      </c>
    </row>
    <row r="24" spans="1:10" ht="21.25" customHeight="1" x14ac:dyDescent="0.15">
      <c r="A24" s="10" t="s">
        <v>207</v>
      </c>
      <c r="B24" s="97" t="str" cm="1">
        <f t="array" ref="B24">VLOOKUP(A24,'The List'!B1:D671,3,FALSE)</f>
        <v>RW</v>
      </c>
      <c r="C24" s="98" cm="1">
        <f t="array" ref="C24">IF(Settings!$E$15="POINTS",RANK(E24,E3:E210),H24)</f>
        <v>22</v>
      </c>
      <c r="D24" s="18" t="str" cm="1">
        <f t="array" ref="D24">VLOOKUP(A24,'The List'!B1:F671,5,FALSE)</f>
        <v>CBJ</v>
      </c>
      <c r="E24" s="55" cm="1">
        <f t="array" ref="E24">VLOOKUP(A24,'The List'!B1:I671,8,FALSE)</f>
        <v>385.41604058909758</v>
      </c>
      <c r="F24" s="55" cm="1">
        <f t="array" ref="F24">IF(Settings!$E$15="POINTS",E24-VLOOKUP(B$2,C1:E210,3,FALSE),J24)</f>
        <v>-9.5274241044598966</v>
      </c>
      <c r="G24" s="55"/>
      <c r="H24" s="167" cm="1">
        <f t="array" ref="H24">RANK(I24,I3:I210)</f>
        <v>25</v>
      </c>
      <c r="I24" s="168" cm="1">
        <f t="array" ref="I24">VLOOKUP(A24,'Standard Deviations'!A1:C672,3,FALSE)</f>
        <v>6.6579308238782255</v>
      </c>
      <c r="J24" s="168" cm="1">
        <f t="array" ref="J24">I24-VLOOKUP(B$2,H1:J210,2,FALSE)</f>
        <v>-0.51331258796543366</v>
      </c>
    </row>
    <row r="25" spans="1:10" ht="21.25" customHeight="1" x14ac:dyDescent="0.15">
      <c r="A25" s="10" t="s">
        <v>210</v>
      </c>
      <c r="B25" s="97" t="str" cm="1">
        <f t="array" ref="B25">VLOOKUP(A25,'The List'!B1:D671,3,FALSE)</f>
        <v>LW,RW</v>
      </c>
      <c r="C25" s="98" cm="1">
        <f t="array" ref="C25">IF(Settings!$E$15="POINTS",RANK(E25,E3:E210),H25)</f>
        <v>23</v>
      </c>
      <c r="D25" s="18" t="str" cm="1">
        <f t="array" ref="D25">VLOOKUP(A25,'The List'!B1:F671,5,FALSE)</f>
        <v>N.J</v>
      </c>
      <c r="E25" s="55" cm="1">
        <f t="array" ref="E25">VLOOKUP(A25,'The List'!B1:I671,8,FALSE)</f>
        <v>383.46511643154287</v>
      </c>
      <c r="F25" s="55" cm="1">
        <f t="array" ref="F25">IF(Settings!$E$15="POINTS",E25-VLOOKUP(B$2,C1:E210,3,FALSE),J25)</f>
        <v>-11.478348262014606</v>
      </c>
      <c r="G25" s="55"/>
      <c r="H25" s="167" cm="1">
        <f t="array" ref="H25">RANK(I25,I3:I210)</f>
        <v>37</v>
      </c>
      <c r="I25" s="168" cm="1">
        <f t="array" ref="I25">VLOOKUP(A25,'Standard Deviations'!A1:C672,3,FALSE)</f>
        <v>4.9509929294211084</v>
      </c>
      <c r="J25" s="168" cm="1">
        <f t="array" ref="J25">I25-VLOOKUP(B$2,H1:J210,2,FALSE)</f>
        <v>-2.2202504824225509</v>
      </c>
    </row>
    <row r="26" spans="1:10" ht="21.25" customHeight="1" x14ac:dyDescent="0.15">
      <c r="A26" s="10" t="s">
        <v>213</v>
      </c>
      <c r="B26" s="97" t="str" cm="1">
        <f t="array" ref="B26">VLOOKUP(A26,'The List'!B1:D671,3,FALSE)</f>
        <v>RW</v>
      </c>
      <c r="C26" s="98" cm="1">
        <f t="array" ref="C26">IF(Settings!$E$15="POINTS",RANK(E26,E3:E210),H26)</f>
        <v>24</v>
      </c>
      <c r="D26" s="18" t="str" cm="1">
        <f t="array" ref="D26">VLOOKUP(A26,'The List'!B1:F671,5,FALSE)</f>
        <v>L.A</v>
      </c>
      <c r="E26" s="55" cm="1">
        <f t="array" ref="E26">VLOOKUP(A26,'The List'!B1:I671,8,FALSE)</f>
        <v>381.06922865705565</v>
      </c>
      <c r="F26" s="55" cm="1">
        <f t="array" ref="F26">IF(Settings!$E$15="POINTS",E26-VLOOKUP(B$2,C1:E210,3,FALSE),J26)</f>
        <v>-13.874236036501827</v>
      </c>
      <c r="G26" s="55"/>
      <c r="H26" s="167" cm="1">
        <f t="array" ref="H26">RANK(I26,I3:I210)</f>
        <v>23</v>
      </c>
      <c r="I26" s="168" cm="1">
        <f t="array" ref="I26">VLOOKUP(A26,'Standard Deviations'!A1:C672,3,FALSE)</f>
        <v>6.9144140987073452</v>
      </c>
      <c r="J26" s="168" cm="1">
        <f t="array" ref="J26">I26-VLOOKUP(B$2,H1:J210,2,FALSE)</f>
        <v>-0.25682931313631396</v>
      </c>
    </row>
    <row r="27" spans="1:10" ht="21.25" customHeight="1" x14ac:dyDescent="0.15">
      <c r="A27" s="10" t="s">
        <v>215</v>
      </c>
      <c r="B27" s="97" t="str" cm="1">
        <f t="array" ref="B27">VLOOKUP(A27,'The List'!B1:D671,3,FALSE)</f>
        <v>C,RW</v>
      </c>
      <c r="C27" s="98" cm="1">
        <f t="array" ref="C27">IF(Settings!$E$15="POINTS",RANK(E27,E3:E210),H27)</f>
        <v>25</v>
      </c>
      <c r="D27" s="18" t="str" cm="1">
        <f t="array" ref="D27">VLOOKUP(A27,'The List'!B1:F671,5,FALSE)</f>
        <v>CHI</v>
      </c>
      <c r="E27" s="55" cm="1">
        <f t="array" ref="E27">VLOOKUP(A27,'The List'!B1:I671,8,FALSE)</f>
        <v>378.62916688119009</v>
      </c>
      <c r="F27" s="55" cm="1">
        <f t="array" ref="F27">IF(Settings!$E$15="POINTS",E27-VLOOKUP(B$2,C1:E210,3,FALSE),J27)</f>
        <v>-16.314297812367386</v>
      </c>
      <c r="G27" s="55"/>
      <c r="H27" s="167" cm="1">
        <f t="array" ref="H27">RANK(I27,I3:I210)</f>
        <v>48</v>
      </c>
      <c r="I27" s="168" cm="1">
        <f t="array" ref="I27">VLOOKUP(A27,'Standard Deviations'!A1:C672,3,FALSE)</f>
        <v>4.0841165212633355</v>
      </c>
      <c r="J27" s="168" cm="1">
        <f t="array" ref="J27">I27-VLOOKUP(B$2,H1:J210,2,FALSE)</f>
        <v>-3.0871268905803237</v>
      </c>
    </row>
    <row r="28" spans="1:10" ht="21.25" customHeight="1" x14ac:dyDescent="0.15">
      <c r="A28" s="10" t="s">
        <v>224</v>
      </c>
      <c r="B28" s="97" t="str" cm="1">
        <f t="array" ref="B28">VLOOKUP(A28,'The List'!B1:D671,3,FALSE)</f>
        <v>LW,RW</v>
      </c>
      <c r="C28" s="98" cm="1">
        <f t="array" ref="C28">IF(Settings!$E$15="POINTS",RANK(E28,E3:E210),H28)</f>
        <v>26</v>
      </c>
      <c r="D28" s="18" t="str" cm="1">
        <f t="array" ref="D28">VLOOKUP(A28,'The List'!B1:F671,5,FALSE)</f>
        <v>S.J</v>
      </c>
      <c r="E28" s="55" cm="1">
        <f t="array" ref="E28">VLOOKUP(A28,'The List'!B1:I671,8,FALSE)</f>
        <v>364.951912718291</v>
      </c>
      <c r="F28" s="55" cm="1">
        <f t="array" ref="F28">IF(Settings!$E$15="POINTS",E28-VLOOKUP(B$2,C1:E210,3,FALSE),J28)</f>
        <v>-29.991551975266475</v>
      </c>
      <c r="G28" s="55"/>
      <c r="H28" s="167" cm="1">
        <f t="array" ref="H28">RANK(I28,I3:I210)</f>
        <v>51</v>
      </c>
      <c r="I28" s="168" cm="1">
        <f t="array" ref="I28">VLOOKUP(A28,'Standard Deviations'!A1:C672,3,FALSE)</f>
        <v>3.9971968499738351</v>
      </c>
      <c r="J28" s="168" cm="1">
        <f t="array" ref="J28">I28-VLOOKUP(B$2,H1:J210,2,FALSE)</f>
        <v>-3.1740465618698241</v>
      </c>
    </row>
    <row r="29" spans="1:10" ht="21.25" customHeight="1" x14ac:dyDescent="0.15">
      <c r="A29" s="10" t="s">
        <v>226</v>
      </c>
      <c r="B29" s="97" t="str" cm="1">
        <f t="array" ref="B29">VLOOKUP(A29,'The List'!B1:D671,3,FALSE)</f>
        <v>RW</v>
      </c>
      <c r="C29" s="98" cm="1">
        <f t="array" ref="C29">IF(Settings!$E$15="POINTS",RANK(E29,E3:E210),H29)</f>
        <v>27</v>
      </c>
      <c r="D29" s="18" t="str" cm="1">
        <f t="array" ref="D29">VLOOKUP(A29,'The List'!B1:F671,5,FALSE)</f>
        <v>PIT</v>
      </c>
      <c r="E29" s="55" cm="1">
        <f t="array" ref="E29">VLOOKUP(A29,'The List'!B1:I671,8,FALSE)</f>
        <v>362.65275348499102</v>
      </c>
      <c r="F29" s="55" cm="1">
        <f t="array" ref="F29">IF(Settings!$E$15="POINTS",E29-VLOOKUP(B$2,C1:E210,3,FALSE),J29)</f>
        <v>-32.290711208566449</v>
      </c>
      <c r="G29" s="55"/>
      <c r="H29" s="167" cm="1">
        <f t="array" ref="H29">RANK(I29,I3:I210)</f>
        <v>35</v>
      </c>
      <c r="I29" s="168" cm="1">
        <f t="array" ref="I29">VLOOKUP(A29,'Standard Deviations'!A1:C672,3,FALSE)</f>
        <v>5.0657563976462283</v>
      </c>
      <c r="J29" s="168" cm="1">
        <f t="array" ref="J29">I29-VLOOKUP(B$2,H1:J210,2,FALSE)</f>
        <v>-2.1054870141974309</v>
      </c>
    </row>
    <row r="30" spans="1:10" ht="21.25" customHeight="1" x14ac:dyDescent="0.15">
      <c r="A30" s="10" t="s">
        <v>231</v>
      </c>
      <c r="B30" s="97" t="str" cm="1">
        <f t="array" ref="B30">VLOOKUP(A30,'The List'!B1:D671,3,FALSE)</f>
        <v>LW,RW</v>
      </c>
      <c r="C30" s="98" cm="1">
        <f t="array" ref="C30">IF(Settings!$E$15="POINTS",RANK(E30,E3:E210),H30)</f>
        <v>28</v>
      </c>
      <c r="D30" s="18" t="str" cm="1">
        <f t="array" ref="D30">VLOOKUP(A30,'The List'!B1:F671,5,FALSE)</f>
        <v>MTL</v>
      </c>
      <c r="E30" s="55" cm="1">
        <f t="array" ref="E30">VLOOKUP(A30,'The List'!B1:I671,8,FALSE)</f>
        <v>358.74625324759126</v>
      </c>
      <c r="F30" s="55" cm="1">
        <f t="array" ref="F30">IF(Settings!$E$15="POINTS",E30-VLOOKUP(B$2,C1:E210,3,FALSE),J30)</f>
        <v>-36.197211445966218</v>
      </c>
      <c r="G30" s="55"/>
      <c r="H30" s="167" cm="1">
        <f t="array" ref="H30">RANK(I30,I3:I210)</f>
        <v>18</v>
      </c>
      <c r="I30" s="168" cm="1">
        <f t="array" ref="I30">VLOOKUP(A30,'Standard Deviations'!A1:C672,3,FALSE)</f>
        <v>7.3390280628720319</v>
      </c>
      <c r="J30" s="168" cm="1">
        <f t="array" ref="J30">I30-VLOOKUP(B$2,H1:J210,2,FALSE)</f>
        <v>0.1677846510283727</v>
      </c>
    </row>
    <row r="31" spans="1:10" ht="21.25" customHeight="1" x14ac:dyDescent="0.15">
      <c r="A31" s="10" t="s">
        <v>239</v>
      </c>
      <c r="B31" s="97" t="str" cm="1">
        <f t="array" ref="B31">VLOOKUP(A31,'The List'!B1:D671,3,FALSE)</f>
        <v>RW</v>
      </c>
      <c r="C31" s="98" cm="1">
        <f t="array" ref="C31">IF(Settings!$E$15="POINTS",RANK(E31,E3:E210),H31)</f>
        <v>29</v>
      </c>
      <c r="D31" s="18" t="str" cm="1">
        <f t="array" ref="D31">VLOOKUP(A31,'The List'!B1:F671,5,FALSE)</f>
        <v>ANA</v>
      </c>
      <c r="E31" s="55" cm="1">
        <f t="array" ref="E31">VLOOKUP(A31,'The List'!B1:I671,8,FALSE)</f>
        <v>350.84729448549547</v>
      </c>
      <c r="F31" s="55" cm="1">
        <f t="array" ref="F31">IF(Settings!$E$15="POINTS",E31-VLOOKUP(B$2,C1:E210,3,FALSE),J31)</f>
        <v>-44.096170208062006</v>
      </c>
      <c r="G31" s="55"/>
      <c r="H31" s="167" cm="1">
        <f t="array" ref="H31">RANK(I31,I3:I210)</f>
        <v>33</v>
      </c>
      <c r="I31" s="168" cm="1">
        <f t="array" ref="I31">VLOOKUP(A31,'Standard Deviations'!A1:C672,3,FALSE)</f>
        <v>5.2910975633495907</v>
      </c>
      <c r="J31" s="168" cm="1">
        <f t="array" ref="J31">I31-VLOOKUP(B$2,H1:J210,2,FALSE)</f>
        <v>-1.8801458484940685</v>
      </c>
    </row>
    <row r="32" spans="1:10" ht="21.25" customHeight="1" x14ac:dyDescent="0.15">
      <c r="A32" s="10" t="s">
        <v>240</v>
      </c>
      <c r="B32" s="97" t="str" cm="1">
        <f t="array" ref="B32">VLOOKUP(A32,'The List'!B1:D671,3,FALSE)</f>
        <v>LW,RW</v>
      </c>
      <c r="C32" s="98" cm="1">
        <f t="array" ref="C32">IF(Settings!$E$15="POINTS",RANK(E32,E3:E210),H32)</f>
        <v>30</v>
      </c>
      <c r="D32" s="18" t="str" cm="1">
        <f t="array" ref="D32">VLOOKUP(A32,'The List'!B1:F671,5,FALSE)</f>
        <v>NYR</v>
      </c>
      <c r="E32" s="55" cm="1">
        <f t="array" ref="E32">VLOOKUP(A32,'The List'!B1:I671,8,FALSE)</f>
        <v>350.73301740046213</v>
      </c>
      <c r="F32" s="55" cm="1">
        <f t="array" ref="F32">IF(Settings!$E$15="POINTS",E32-VLOOKUP(B$2,C1:E210,3,FALSE),J32)</f>
        <v>-44.210447293095342</v>
      </c>
      <c r="G32" s="55"/>
      <c r="H32" s="167" cm="1">
        <f t="array" ref="H32">RANK(I32,I3:I210)</f>
        <v>31</v>
      </c>
      <c r="I32" s="168" cm="1">
        <f t="array" ref="I32">VLOOKUP(A32,'Standard Deviations'!A1:C672,3,FALSE)</f>
        <v>5.4906433599230553</v>
      </c>
      <c r="J32" s="168" cm="1">
        <f t="array" ref="J32">I32-VLOOKUP(B$2,H1:J210,2,FALSE)</f>
        <v>-1.6806000519206039</v>
      </c>
    </row>
    <row r="33" spans="1:10" ht="21.25" customHeight="1" x14ac:dyDescent="0.15">
      <c r="A33" s="10" t="s">
        <v>246</v>
      </c>
      <c r="B33" s="97" t="str" cm="1">
        <f t="array" ref="B33">VLOOKUP(A33,'The List'!B1:D671,3,FALSE)</f>
        <v>C,RW</v>
      </c>
      <c r="C33" s="98" cm="1">
        <f t="array" ref="C33">IF(Settings!$E$15="POINTS",RANK(E33,E3:E210),H33)</f>
        <v>31</v>
      </c>
      <c r="D33" s="18" t="str" cm="1">
        <f t="array" ref="D33">VLOOKUP(A33,'The List'!B1:F671,5,FALSE)</f>
        <v>UTA</v>
      </c>
      <c r="E33" s="55" cm="1">
        <f t="array" ref="E33">VLOOKUP(A33,'The List'!B1:I671,8,FALSE)</f>
        <v>346.28670948103127</v>
      </c>
      <c r="F33" s="55" cm="1">
        <f t="array" ref="F33">IF(Settings!$E$15="POINTS",E33-VLOOKUP(B$2,C1:E210,3,FALSE),J33)</f>
        <v>-48.656755212526207</v>
      </c>
      <c r="G33" s="55"/>
      <c r="H33" s="167" cm="1">
        <f t="array" ref="H33">RANK(I33,I3:I210)</f>
        <v>45</v>
      </c>
      <c r="I33" s="168" cm="1">
        <f t="array" ref="I33">VLOOKUP(A33,'Standard Deviations'!A1:C672,3,FALSE)</f>
        <v>4.3282410355416046</v>
      </c>
      <c r="J33" s="168" cm="1">
        <f t="array" ref="J33">I33-VLOOKUP(B$2,H1:J210,2,FALSE)</f>
        <v>-2.8430023763020547</v>
      </c>
    </row>
    <row r="34" spans="1:10" ht="21.25" customHeight="1" x14ac:dyDescent="0.15">
      <c r="A34" s="10" t="s">
        <v>249</v>
      </c>
      <c r="B34" s="97" t="str" cm="1">
        <f t="array" ref="B34">VLOOKUP(A34,'The List'!B1:D671,3,FALSE)</f>
        <v>LW,RW</v>
      </c>
      <c r="C34" s="98" cm="1">
        <f t="array" ref="C34">IF(Settings!$E$15="POINTS",RANK(E34,E3:E210),H34)</f>
        <v>32</v>
      </c>
      <c r="D34" s="18" t="str" cm="1">
        <f t="array" ref="D34">VLOOKUP(A34,'The List'!B1:F671,5,FALSE)</f>
        <v>NYR</v>
      </c>
      <c r="E34" s="55" cm="1">
        <f t="array" ref="E34">VLOOKUP(A34,'The List'!B1:I671,8,FALSE)</f>
        <v>343.14960212091603</v>
      </c>
      <c r="F34" s="55" cm="1">
        <f t="array" ref="F34">IF(Settings!$E$15="POINTS",E34-VLOOKUP(B$2,C1:E210,3,FALSE),J34)</f>
        <v>-51.793862572641444</v>
      </c>
      <c r="G34" s="55"/>
      <c r="H34" s="167" cm="1">
        <f t="array" ref="H34">RANK(I34,I3:I210)</f>
        <v>43</v>
      </c>
      <c r="I34" s="168" cm="1">
        <f t="array" ref="I34">VLOOKUP(A34,'Standard Deviations'!A1:C672,3,FALSE)</f>
        <v>4.4326981710898519</v>
      </c>
      <c r="J34" s="168" cm="1">
        <f t="array" ref="J34">I34-VLOOKUP(B$2,H1:J210,2,FALSE)</f>
        <v>-2.7385452407538073</v>
      </c>
    </row>
    <row r="35" spans="1:10" ht="21.25" customHeight="1" x14ac:dyDescent="0.15">
      <c r="A35" s="10" t="s">
        <v>252</v>
      </c>
      <c r="B35" s="97" t="str" cm="1">
        <f t="array" ref="B35">VLOOKUP(A35,'The List'!B1:D671,3,FALSE)</f>
        <v>LW,RW</v>
      </c>
      <c r="C35" s="98" cm="1">
        <f t="array" ref="C35">IF(Settings!$E$15="POINTS",RANK(E35,E3:E210),H35)</f>
        <v>33</v>
      </c>
      <c r="D35" s="18" t="str" cm="1">
        <f t="array" ref="D35">VLOOKUP(A35,'The List'!B1:F671,5,FALSE)</f>
        <v>WSH</v>
      </c>
      <c r="E35" s="55" cm="1">
        <f t="array" ref="E35">VLOOKUP(A35,'The List'!B1:I671,8,FALSE)</f>
        <v>341.64947380082634</v>
      </c>
      <c r="F35" s="55" cm="1">
        <f t="array" ref="F35">IF(Settings!$E$15="POINTS",E35-VLOOKUP(B$2,C1:E210,3,FALSE),J35)</f>
        <v>-53.293990892731131</v>
      </c>
      <c r="G35" s="55"/>
      <c r="H35" s="167" cm="1">
        <f t="array" ref="H35">RANK(I35,I3:I210)</f>
        <v>26</v>
      </c>
      <c r="I35" s="168" cm="1">
        <f t="array" ref="I35">VLOOKUP(A35,'Standard Deviations'!A1:C672,3,FALSE)</f>
        <v>6.1969769574687206</v>
      </c>
      <c r="J35" s="168" cm="1">
        <f t="array" ref="J35">I35-VLOOKUP(B$2,H1:J210,2,FALSE)</f>
        <v>-0.97426645437493864</v>
      </c>
    </row>
    <row r="36" spans="1:10" ht="21.25" customHeight="1" x14ac:dyDescent="0.15">
      <c r="A36" s="10" t="s">
        <v>253</v>
      </c>
      <c r="B36" s="97" t="str" cm="1">
        <f t="array" ref="B36">VLOOKUP(A36,'The List'!B1:D671,3,FALSE)</f>
        <v>C,RW</v>
      </c>
      <c r="C36" s="98" cm="1">
        <f t="array" ref="C36">IF(Settings!$E$15="POINTS",RANK(E36,E3:E210),H36)</f>
        <v>34</v>
      </c>
      <c r="D36" s="18" t="str" cm="1">
        <f t="array" ref="D36">VLOOKUP(A36,'The List'!B1:F671,5,FALSE)</f>
        <v>NYI</v>
      </c>
      <c r="E36" s="55" cm="1">
        <f t="array" ref="E36">VLOOKUP(A36,'The List'!B1:I671,8,FALSE)</f>
        <v>341.1935946628455</v>
      </c>
      <c r="F36" s="55" cm="1">
        <f t="array" ref="F36">IF(Settings!$E$15="POINTS",E36-VLOOKUP(B$2,C1:E210,3,FALSE),J36)</f>
        <v>-53.749870030711975</v>
      </c>
      <c r="G36" s="55"/>
      <c r="H36" s="167" cm="1">
        <f t="array" ref="H36">RANK(I36,I3:I210)</f>
        <v>50</v>
      </c>
      <c r="I36" s="168" cm="1">
        <f t="array" ref="I36">VLOOKUP(A36,'Standard Deviations'!A1:C672,3,FALSE)</f>
        <v>4.0124780190376645</v>
      </c>
      <c r="J36" s="168" cm="1">
        <f t="array" ref="J36">I36-VLOOKUP(B$2,H1:J210,2,FALSE)</f>
        <v>-3.1587653928059947</v>
      </c>
    </row>
    <row r="37" spans="1:10" ht="21.25" customHeight="1" x14ac:dyDescent="0.15">
      <c r="A37" s="10" t="s">
        <v>257</v>
      </c>
      <c r="B37" s="97" t="str" cm="1">
        <f t="array" ref="B37">VLOOKUP(A37,'The List'!B1:D671,3,FALSE)</f>
        <v>RW</v>
      </c>
      <c r="C37" s="98" cm="1">
        <f t="array" ref="C37">IF(Settings!$E$15="POINTS",RANK(E37,E3:E210),H37)</f>
        <v>35</v>
      </c>
      <c r="D37" s="18" t="str" cm="1">
        <f t="array" ref="D37">VLOOKUP(A37,'The List'!B1:F671,5,FALSE)</f>
        <v>MTL</v>
      </c>
      <c r="E37" s="55" cm="1">
        <f t="array" ref="E37">VLOOKUP(A37,'The List'!B1:I671,8,FALSE)</f>
        <v>340.41376305749532</v>
      </c>
      <c r="F37" s="55" cm="1">
        <f t="array" ref="F37">IF(Settings!$E$15="POINTS",E37-VLOOKUP(B$2,C1:E210,3,FALSE),J37)</f>
        <v>-54.529701636062157</v>
      </c>
      <c r="G37" s="55"/>
      <c r="H37" s="167" cm="1">
        <f t="array" ref="H37">RANK(I37,I3:I210)</f>
        <v>34</v>
      </c>
      <c r="I37" s="168" cm="1">
        <f t="array" ref="I37">VLOOKUP(A37,'Standard Deviations'!A1:C672,3,FALSE)</f>
        <v>5.1756899094622923</v>
      </c>
      <c r="J37" s="168" cm="1">
        <f t="array" ref="J37">I37-VLOOKUP(B$2,H1:J210,2,FALSE)</f>
        <v>-1.9955535023813669</v>
      </c>
    </row>
    <row r="38" spans="1:10" ht="21.25" customHeight="1" x14ac:dyDescent="0.15">
      <c r="A38" s="10" t="s">
        <v>258</v>
      </c>
      <c r="B38" s="97" t="str" cm="1">
        <f t="array" ref="B38">VLOOKUP(A38,'The List'!B1:D671,3,FALSE)</f>
        <v>C,LW,RW</v>
      </c>
      <c r="C38" s="98" cm="1">
        <f t="array" ref="C38">IF(Settings!$E$15="POINTS",RANK(E38,E3:E210),H38)</f>
        <v>36</v>
      </c>
      <c r="D38" s="18" t="str" cm="1">
        <f t="array" ref="D38">VLOOKUP(A38,'The List'!B1:F671,5,FALSE)</f>
        <v>NYR</v>
      </c>
      <c r="E38" s="55" cm="1">
        <f t="array" ref="E38">VLOOKUP(A38,'The List'!B1:I671,8,FALSE)</f>
        <v>340.14791021061484</v>
      </c>
      <c r="F38" s="55" cm="1">
        <f t="array" ref="F38">IF(Settings!$E$15="POINTS",E38-VLOOKUP(B$2,C1:E210,3,FALSE),J38)</f>
        <v>-54.795554482942634</v>
      </c>
      <c r="G38" s="55"/>
      <c r="H38" s="167" cm="1">
        <f t="array" ref="H38">RANK(I38,I3:I210)</f>
        <v>32</v>
      </c>
      <c r="I38" s="168" cm="1">
        <f t="array" ref="I38">VLOOKUP(A38,'Standard Deviations'!A1:C672,3,FALSE)</f>
        <v>5.4216675799283403</v>
      </c>
      <c r="J38" s="168" cm="1">
        <f t="array" ref="J38">I38-VLOOKUP(B$2,H1:J210,2,FALSE)</f>
        <v>-1.749575831915319</v>
      </c>
    </row>
    <row r="39" spans="1:10" ht="21.25" customHeight="1" x14ac:dyDescent="0.15">
      <c r="A39" s="10" t="s">
        <v>260</v>
      </c>
      <c r="B39" s="97" t="str" cm="1">
        <f t="array" ref="B39">VLOOKUP(A39,'The List'!B1:D671,3,FALSE)</f>
        <v>RW</v>
      </c>
      <c r="C39" s="98" cm="1">
        <f t="array" ref="C39">IF(Settings!$E$15="POINTS",RANK(E39,E3:E210),H39)</f>
        <v>37</v>
      </c>
      <c r="D39" s="18" t="str" cm="1">
        <f t="array" ref="D39">VLOOKUP(A39,'The List'!B1:F671,5,FALSE)</f>
        <v>VGK</v>
      </c>
      <c r="E39" s="55" cm="1">
        <f t="array" ref="E39">VLOOKUP(A39,'The List'!B1:I671,8,FALSE)</f>
        <v>339.53523389198114</v>
      </c>
      <c r="F39" s="55" cm="1">
        <f t="array" ref="F39">IF(Settings!$E$15="POINTS",E39-VLOOKUP(B$2,C1:E210,3,FALSE),J39)</f>
        <v>-55.408230801576337</v>
      </c>
      <c r="G39" s="55"/>
      <c r="H39" s="167" cm="1">
        <f t="array" ref="H39">RANK(I39,I3:I210)</f>
        <v>40</v>
      </c>
      <c r="I39" s="168" cm="1">
        <f t="array" ref="I39">VLOOKUP(A39,'Standard Deviations'!A1:C672,3,FALSE)</f>
        <v>4.8251481890951053</v>
      </c>
      <c r="J39" s="168" cm="1">
        <f t="array" ref="J39">I39-VLOOKUP(B$2,H1:J210,2,FALSE)</f>
        <v>-2.3460952227485539</v>
      </c>
    </row>
    <row r="40" spans="1:10" ht="21.25" customHeight="1" x14ac:dyDescent="0.15">
      <c r="A40" s="10" t="s">
        <v>261</v>
      </c>
      <c r="B40" s="97" t="str" cm="1">
        <f t="array" ref="B40">VLOOKUP(A40,'The List'!B1:D671,3,FALSE)</f>
        <v>LW,RW</v>
      </c>
      <c r="C40" s="98" cm="1">
        <f t="array" ref="C40">IF(Settings!$E$15="POINTS",RANK(E40,E3:E210),H40)</f>
        <v>38</v>
      </c>
      <c r="D40" s="18" t="str" cm="1">
        <f t="array" ref="D40">VLOOKUP(A40,'The List'!B1:F671,5,FALSE)</f>
        <v>CAR</v>
      </c>
      <c r="E40" s="55" cm="1">
        <f t="array" ref="E40">VLOOKUP(A40,'The List'!B1:I671,8,FALSE)</f>
        <v>339.0866770659722</v>
      </c>
      <c r="F40" s="55" cm="1">
        <f t="array" ref="F40">IF(Settings!$E$15="POINTS",E40-VLOOKUP(B$2,C1:E210,3,FALSE),J40)</f>
        <v>-55.856787627585277</v>
      </c>
      <c r="G40" s="55"/>
      <c r="H40" s="167" cm="1">
        <f t="array" ref="H40">RANK(I40,I3:I210)</f>
        <v>14</v>
      </c>
      <c r="I40" s="168" cm="1">
        <f t="array" ref="I40">VLOOKUP(A40,'Standard Deviations'!A1:C672,3,FALSE)</f>
        <v>7.8970854871801111</v>
      </c>
      <c r="J40" s="168" cm="1">
        <f t="array" ref="J40">I40-VLOOKUP(B$2,H1:J210,2,FALSE)</f>
        <v>0.72584207533645184</v>
      </c>
    </row>
    <row r="41" spans="1:10" ht="21.25" customHeight="1" x14ac:dyDescent="0.15">
      <c r="A41" s="10" t="s">
        <v>265</v>
      </c>
      <c r="B41" s="97" t="str" cm="1">
        <f t="array" ref="B41">VLOOKUP(A41,'The List'!B1:D671,3,FALSE)</f>
        <v>LW,RW</v>
      </c>
      <c r="C41" s="98" cm="1">
        <f t="array" ref="C41">IF(Settings!$E$15="POINTS",RANK(E41,E3:E210),H41)</f>
        <v>39</v>
      </c>
      <c r="D41" s="18" t="str" cm="1">
        <f t="array" ref="D41">VLOOKUP(A41,'The List'!B1:F671,5,FALSE)</f>
        <v>PHI</v>
      </c>
      <c r="E41" s="55" cm="1">
        <f t="array" ref="E41">VLOOKUP(A41,'The List'!B1:I671,8,FALSE)</f>
        <v>337.69603310818508</v>
      </c>
      <c r="F41" s="55" cm="1">
        <f t="array" ref="F41">IF(Settings!$E$15="POINTS",E41-VLOOKUP(B$2,C1:E210,3,FALSE),J41)</f>
        <v>-57.247431585372397</v>
      </c>
      <c r="G41" s="55"/>
      <c r="H41" s="167" cm="1">
        <f t="array" ref="H41">RANK(I41,I3:I210)</f>
        <v>38</v>
      </c>
      <c r="I41" s="168" cm="1">
        <f t="array" ref="I41">VLOOKUP(A41,'Standard Deviations'!A1:C672,3,FALSE)</f>
        <v>4.9504733272307719</v>
      </c>
      <c r="J41" s="168" cm="1">
        <f t="array" ref="J41">I41-VLOOKUP(B$2,H1:J210,2,FALSE)</f>
        <v>-2.2207700846128873</v>
      </c>
    </row>
    <row r="42" spans="1:10" ht="21.25" customHeight="1" x14ac:dyDescent="0.15">
      <c r="A42" s="10" t="s">
        <v>266</v>
      </c>
      <c r="B42" s="97" t="str" cm="1">
        <f t="array" ref="B42">VLOOKUP(A42,'The List'!B1:D671,3,FALSE)</f>
        <v>C,RW</v>
      </c>
      <c r="C42" s="98" cm="1">
        <f t="array" ref="C42">IF(Settings!$E$15="POINTS",RANK(E42,E3:E210),H42)</f>
        <v>40</v>
      </c>
      <c r="D42" s="18" t="str" cm="1">
        <f t="array" ref="D42">VLOOKUP(A42,'The List'!B1:F671,5,FALSE)</f>
        <v>NSH</v>
      </c>
      <c r="E42" s="55" cm="1">
        <f t="array" ref="E42">VLOOKUP(A42,'The List'!B1:I671,8,FALSE)</f>
        <v>337.56248988145887</v>
      </c>
      <c r="F42" s="55" cm="1">
        <f t="array" ref="F42">IF(Settings!$E$15="POINTS",E42-VLOOKUP(B$2,C1:E210,3,FALSE),J42)</f>
        <v>-57.3809748120986</v>
      </c>
      <c r="G42" s="55"/>
      <c r="H42" s="167" cm="1">
        <f t="array" ref="H42">RANK(I42,I3:I210)</f>
        <v>36</v>
      </c>
      <c r="I42" s="168" cm="1">
        <f t="array" ref="I42">VLOOKUP(A42,'Standard Deviations'!A1:C672,3,FALSE)</f>
        <v>4.9523133696184107</v>
      </c>
      <c r="J42" s="168" cm="1">
        <f t="array" ref="J42">I42-VLOOKUP(B$2,H1:J210,2,FALSE)</f>
        <v>-2.2189300422252485</v>
      </c>
    </row>
    <row r="43" spans="1:10" ht="21.25" customHeight="1" x14ac:dyDescent="0.15">
      <c r="A43" s="10" t="s">
        <v>267</v>
      </c>
      <c r="B43" s="97" t="str" cm="1">
        <f t="array" ref="B43">VLOOKUP(A43,'The List'!B1:D671,3,FALSE)</f>
        <v>C,LW,RW</v>
      </c>
      <c r="C43" s="98" cm="1">
        <f t="array" ref="C43">IF(Settings!$E$15="POINTS",RANK(E43,E3:E210),H43)</f>
        <v>41</v>
      </c>
      <c r="D43" s="18" t="str" cm="1">
        <f t="array" ref="D43">VLOOKUP(A43,'The List'!B1:F671,5,FALSE)</f>
        <v>PIT</v>
      </c>
      <c r="E43" s="55" cm="1">
        <f t="array" ref="E43">VLOOKUP(A43,'The List'!B1:I671,8,FALSE)</f>
        <v>336.99772010800154</v>
      </c>
      <c r="F43" s="55" cm="1">
        <f t="array" ref="F43">IF(Settings!$E$15="POINTS",E43-VLOOKUP(B$2,C1:E210,3,FALSE),J43)</f>
        <v>-57.945744585555929</v>
      </c>
      <c r="G43" s="55"/>
      <c r="H43" s="167" cm="1">
        <f t="array" ref="H43">RANK(I43,I3:I210)</f>
        <v>55</v>
      </c>
      <c r="I43" s="168" cm="1">
        <f t="array" ref="I43">VLOOKUP(A43,'Standard Deviations'!A1:C672,3,FALSE)</f>
        <v>3.5684802742122872</v>
      </c>
      <c r="J43" s="168" cm="1">
        <f t="array" ref="J43">I43-VLOOKUP(B$2,H1:J210,2,FALSE)</f>
        <v>-3.602763137631372</v>
      </c>
    </row>
    <row r="44" spans="1:10" ht="21.25" customHeight="1" x14ac:dyDescent="0.15">
      <c r="A44" s="10" t="s">
        <v>271</v>
      </c>
      <c r="B44" s="97" t="str" cm="1">
        <f t="array" ref="B44">VLOOKUP(A44,'The List'!B1:D671,3,FALSE)</f>
        <v>LW,RW</v>
      </c>
      <c r="C44" s="98" cm="1">
        <f t="array" ref="C44">IF(Settings!$E$15="POINTS",RANK(E44,E3:E210),H44)</f>
        <v>42</v>
      </c>
      <c r="D44" s="18" t="str" cm="1">
        <f t="array" ref="D44">VLOOKUP(A44,'The List'!B1:F671,5,FALSE)</f>
        <v>EDM</v>
      </c>
      <c r="E44" s="55" cm="1">
        <f t="array" ref="E44">VLOOKUP(A44,'The List'!B1:I671,8,FALSE)</f>
        <v>334.07665101179299</v>
      </c>
      <c r="F44" s="55" cm="1">
        <f t="array" ref="F44">IF(Settings!$E$15="POINTS",E44-VLOOKUP(B$2,C1:E210,3,FALSE),J44)</f>
        <v>-60.866813681764484</v>
      </c>
      <c r="G44" s="55"/>
      <c r="H44" s="167" cm="1">
        <f t="array" ref="H44">RANK(I44,I3:I210)</f>
        <v>22</v>
      </c>
      <c r="I44" s="168" cm="1">
        <f t="array" ref="I44">VLOOKUP(A44,'Standard Deviations'!A1:C672,3,FALSE)</f>
        <v>7.0008688448509817</v>
      </c>
      <c r="J44" s="168" cm="1">
        <f t="array" ref="J44">I44-VLOOKUP(B$2,H1:J210,2,FALSE)</f>
        <v>-0.1703745669926775</v>
      </c>
    </row>
    <row r="45" spans="1:10" ht="21.25" customHeight="1" x14ac:dyDescent="0.15">
      <c r="A45" s="10" t="s">
        <v>275</v>
      </c>
      <c r="B45" s="97" t="str" cm="1">
        <f t="array" ref="B45">VLOOKUP(A45,'The List'!B1:D671,3,FALSE)</f>
        <v>RW</v>
      </c>
      <c r="C45" s="98" cm="1">
        <f t="array" ref="C45">IF(Settings!$E$15="POINTS",RANK(E45,E3:E210),H45)</f>
        <v>43</v>
      </c>
      <c r="D45" s="18" t="str" cm="1">
        <f t="array" ref="D45">VLOOKUP(A45,'The List'!B1:F671,5,FALSE)</f>
        <v>STL</v>
      </c>
      <c r="E45" s="55" cm="1">
        <f t="array" ref="E45">VLOOKUP(A45,'The List'!B1:I671,8,FALSE)</f>
        <v>329.29480289356565</v>
      </c>
      <c r="F45" s="55" cm="1">
        <f t="array" ref="F45">IF(Settings!$E$15="POINTS",E45-VLOOKUP(B$2,C1:E210,3,FALSE),J45)</f>
        <v>-65.648661799991828</v>
      </c>
      <c r="G45" s="55"/>
      <c r="H45" s="167" cm="1">
        <f t="array" ref="H45">RANK(I45,I3:I210)</f>
        <v>60</v>
      </c>
      <c r="I45" s="168" cm="1">
        <f t="array" ref="I45">VLOOKUP(A45,'Standard Deviations'!A1:C672,3,FALSE)</f>
        <v>2.9790439575038681</v>
      </c>
      <c r="J45" s="168" cm="1">
        <f t="array" ref="J45">I45-VLOOKUP(B$2,H1:J210,2,FALSE)</f>
        <v>-4.1921994543397911</v>
      </c>
    </row>
    <row r="46" spans="1:10" ht="21.25" customHeight="1" x14ac:dyDescent="0.15">
      <c r="A46" s="10" t="s">
        <v>276</v>
      </c>
      <c r="B46" s="97" t="str" cm="1">
        <f t="array" ref="B46">VLOOKUP(A46,'The List'!B1:D671,3,FALSE)</f>
        <v>RW</v>
      </c>
      <c r="C46" s="98" cm="1">
        <f t="array" ref="C46">IF(Settings!$E$15="POINTS",RANK(E46,E3:E210),H46)</f>
        <v>44</v>
      </c>
      <c r="D46" s="18" t="str" cm="1">
        <f t="array" ref="D46">VLOOKUP(A46,'The List'!B1:F671,5,FALSE)</f>
        <v>WSH</v>
      </c>
      <c r="E46" s="55" cm="1">
        <f t="array" ref="E46">VLOOKUP(A46,'The List'!B1:I671,8,FALSE)</f>
        <v>328.50587060813558</v>
      </c>
      <c r="F46" s="55" cm="1">
        <f t="array" ref="F46">IF(Settings!$E$15="POINTS",E46-VLOOKUP(B$2,C1:E210,3,FALSE),J46)</f>
        <v>-66.437594085421892</v>
      </c>
      <c r="G46" s="55"/>
      <c r="H46" s="167" cm="1">
        <f t="array" ref="H46">RANK(I46,I3:I210)</f>
        <v>42</v>
      </c>
      <c r="I46" s="168" cm="1">
        <f t="array" ref="I46">VLOOKUP(A46,'Standard Deviations'!A1:C672,3,FALSE)</f>
        <v>4.5165597780964157</v>
      </c>
      <c r="J46" s="168" cm="1">
        <f t="array" ref="J46">I46-VLOOKUP(B$2,H1:J210,2,FALSE)</f>
        <v>-2.6546836337472435</v>
      </c>
    </row>
    <row r="47" spans="1:10" ht="21.25" customHeight="1" x14ac:dyDescent="0.15">
      <c r="A47" s="10" t="s">
        <v>277</v>
      </c>
      <c r="B47" s="97" t="str" cm="1">
        <f t="array" ref="B47">VLOOKUP(A47,'The List'!B1:D671,3,FALSE)</f>
        <v>LW,RW</v>
      </c>
      <c r="C47" s="98" cm="1">
        <f t="array" ref="C47">IF(Settings!$E$15="POINTS",RANK(E47,E3:E210),H47)</f>
        <v>45</v>
      </c>
      <c r="D47" s="18" t="str" cm="1">
        <f t="array" ref="D47">VLOOKUP(A47,'The List'!B1:F671,5,FALSE)</f>
        <v>N.J</v>
      </c>
      <c r="E47" s="55" cm="1">
        <f t="array" ref="E47">VLOOKUP(A47,'The List'!B1:I671,8,FALSE)</f>
        <v>328.25462042837142</v>
      </c>
      <c r="F47" s="55" cm="1">
        <f t="array" ref="F47">IF(Settings!$E$15="POINTS",E47-VLOOKUP(B$2,C1:E210,3,FALSE),J47)</f>
        <v>-66.688844265186049</v>
      </c>
      <c r="G47" s="55"/>
      <c r="H47" s="167" cm="1">
        <f t="array" ref="H47">RANK(I47,I3:I210)</f>
        <v>47</v>
      </c>
      <c r="I47" s="168" cm="1">
        <f t="array" ref="I47">VLOOKUP(A47,'Standard Deviations'!A1:C672,3,FALSE)</f>
        <v>4.1195107659796628</v>
      </c>
      <c r="J47" s="168" cm="1">
        <f t="array" ref="J47">I47-VLOOKUP(B$2,H1:J210,2,FALSE)</f>
        <v>-3.0517326458639964</v>
      </c>
    </row>
    <row r="48" spans="1:10" ht="21.25" customHeight="1" x14ac:dyDescent="0.15">
      <c r="A48" s="10" t="s">
        <v>278</v>
      </c>
      <c r="B48" s="97" t="str" cm="1">
        <f t="array" ref="B48">VLOOKUP(A48,'The List'!B1:D671,3,FALSE)</f>
        <v>C,LW,RW</v>
      </c>
      <c r="C48" s="98" cm="1">
        <f t="array" ref="C48">IF(Settings!$E$15="POINTS",RANK(E48,E3:E210),H48)</f>
        <v>46</v>
      </c>
      <c r="D48" s="18" t="str" cm="1">
        <f t="array" ref="D48">VLOOKUP(A48,'The List'!B1:F671,5,FALSE)</f>
        <v>BOS</v>
      </c>
      <c r="E48" s="55" cm="1">
        <f t="array" ref="E48">VLOOKUP(A48,'The List'!B1:I671,8,FALSE)</f>
        <v>327.74700676153907</v>
      </c>
      <c r="F48" s="55" cm="1">
        <f t="array" ref="F48">IF(Settings!$E$15="POINTS",E48-VLOOKUP(B$2,C1:E210,3,FALSE),J48)</f>
        <v>-67.196457932018404</v>
      </c>
      <c r="G48" s="55"/>
      <c r="H48" s="167" cm="1">
        <f t="array" ref="H48">RANK(I48,I3:I210)</f>
        <v>54</v>
      </c>
      <c r="I48" s="168" cm="1">
        <f t="array" ref="I48">VLOOKUP(A48,'Standard Deviations'!A1:C672,3,FALSE)</f>
        <v>3.5710589707507894</v>
      </c>
      <c r="J48" s="168" cm="1">
        <f t="array" ref="J48">I48-VLOOKUP(B$2,H1:J210,2,FALSE)</f>
        <v>-3.6001844410928698</v>
      </c>
    </row>
    <row r="49" spans="1:10" ht="21.25" customHeight="1" x14ac:dyDescent="0.15">
      <c r="A49" s="10" t="s">
        <v>279</v>
      </c>
      <c r="B49" s="97" t="str" cm="1">
        <f t="array" ref="B49">VLOOKUP(A49,'The List'!B1:D671,3,FALSE)</f>
        <v>C,LW,RW</v>
      </c>
      <c r="C49" s="98" cm="1">
        <f t="array" ref="C49">IF(Settings!$E$15="POINTS",RANK(E49,E3:E210),H49)</f>
        <v>47</v>
      </c>
      <c r="D49" s="18" t="str" cm="1">
        <f t="array" ref="D49">VLOOKUP(A49,'The List'!B1:F671,5,FALSE)</f>
        <v>PIT</v>
      </c>
      <c r="E49" s="55" cm="1">
        <f t="array" ref="E49">VLOOKUP(A49,'The List'!B1:I671,8,FALSE)</f>
        <v>326.92211895558961</v>
      </c>
      <c r="F49" s="55" cm="1">
        <f t="array" ref="F49">IF(Settings!$E$15="POINTS",E49-VLOOKUP(B$2,C1:E210,3,FALSE),J49)</f>
        <v>-68.021345737967863</v>
      </c>
      <c r="G49" s="55"/>
      <c r="H49" s="167" cm="1">
        <f t="array" ref="H49">RANK(I49,I3:I210)</f>
        <v>30</v>
      </c>
      <c r="I49" s="168" cm="1">
        <f t="array" ref="I49">VLOOKUP(A49,'Standard Deviations'!A1:C672,3,FALSE)</f>
        <v>5.5975504414883082</v>
      </c>
      <c r="J49" s="168" cm="1">
        <f t="array" ref="J49">I49-VLOOKUP(B$2,H1:J210,2,FALSE)</f>
        <v>-1.5736929703553511</v>
      </c>
    </row>
    <row r="50" spans="1:10" ht="21.25" customHeight="1" x14ac:dyDescent="0.15">
      <c r="A50" s="10" t="s">
        <v>280</v>
      </c>
      <c r="B50" s="97" t="str" cm="1">
        <f t="array" ref="B50">VLOOKUP(A50,'The List'!B1:D671,3,FALSE)</f>
        <v>LW,RW</v>
      </c>
      <c r="C50" s="98" cm="1">
        <f t="array" ref="C50">IF(Settings!$E$15="POINTS",RANK(E50,E3:E210),H50)</f>
        <v>48</v>
      </c>
      <c r="D50" s="18" t="str" cm="1">
        <f t="array" ref="D50">VLOOKUP(A50,'The List'!B1:F671,5,FALSE)</f>
        <v>TOR</v>
      </c>
      <c r="E50" s="55" cm="1">
        <f t="array" ref="E50">VLOOKUP(A50,'The List'!B1:I671,8,FALSE)</f>
        <v>325.83447150064848</v>
      </c>
      <c r="F50" s="55" cm="1">
        <f t="array" ref="F50">IF(Settings!$E$15="POINTS",E50-VLOOKUP(B$2,C1:E210,3,FALSE),J50)</f>
        <v>-69.108993192908997</v>
      </c>
      <c r="G50" s="55"/>
      <c r="H50" s="167" cm="1">
        <f t="array" ref="H50">RANK(I50,I3:I210)</f>
        <v>49</v>
      </c>
      <c r="I50" s="168" cm="1">
        <f t="array" ref="I50">VLOOKUP(A50,'Standard Deviations'!A1:C672,3,FALSE)</f>
        <v>4.0588527634139435</v>
      </c>
      <c r="J50" s="168" cm="1">
        <f t="array" ref="J50">I50-VLOOKUP(B$2,H1:J210,2,FALSE)</f>
        <v>-3.1123906484297157</v>
      </c>
    </row>
    <row r="51" spans="1:10" ht="21.25" customHeight="1" x14ac:dyDescent="0.15">
      <c r="A51" s="10" t="s">
        <v>282</v>
      </c>
      <c r="B51" s="97" t="str" cm="1">
        <f t="array" ref="B51">VLOOKUP(A51,'The List'!B1:D671,3,FALSE)</f>
        <v>LW,RW</v>
      </c>
      <c r="C51" s="98" cm="1">
        <f t="array" ref="C51">IF(Settings!$E$15="POINTS",RANK(E51,E3:E210),H51)</f>
        <v>49</v>
      </c>
      <c r="D51" s="18" t="str" cm="1">
        <f t="array" ref="D51">VLOOKUP(A51,'The List'!B1:F671,5,FALSE)</f>
        <v>OTT</v>
      </c>
      <c r="E51" s="55" cm="1">
        <f t="array" ref="E51">VLOOKUP(A51,'The List'!B1:I671,8,FALSE)</f>
        <v>323.29237461671488</v>
      </c>
      <c r="F51" s="55" cm="1">
        <f t="array" ref="F51">IF(Settings!$E$15="POINTS",E51-VLOOKUP(B$2,C1:E210,3,FALSE),J51)</f>
        <v>-71.651090076842593</v>
      </c>
      <c r="G51" s="55"/>
      <c r="H51" s="167" cm="1">
        <f t="array" ref="H51">RANK(I51,I3:I210)</f>
        <v>44</v>
      </c>
      <c r="I51" s="168" cm="1">
        <f t="array" ref="I51">VLOOKUP(A51,'Standard Deviations'!A1:C672,3,FALSE)</f>
        <v>4.3934263737130319</v>
      </c>
      <c r="J51" s="168" cm="1">
        <f t="array" ref="J51">I51-VLOOKUP(B$2,H1:J210,2,FALSE)</f>
        <v>-2.7778170381306273</v>
      </c>
    </row>
    <row r="52" spans="1:10" ht="21.25" customHeight="1" x14ac:dyDescent="0.15">
      <c r="A52" s="10" t="s">
        <v>294</v>
      </c>
      <c r="B52" s="97" t="str" cm="1">
        <f t="array" ref="B52">VLOOKUP(A52,'The List'!B1:D671,3,FALSE)</f>
        <v>RW</v>
      </c>
      <c r="C52" s="98" cm="1">
        <f t="array" ref="C52">IF(Settings!$E$15="POINTS",RANK(E52,E3:E210),H52)</f>
        <v>50</v>
      </c>
      <c r="D52" s="18" t="str" cm="1">
        <f t="array" ref="D52">VLOOKUP(A52,'The List'!B1:F671,5,FALSE)</f>
        <v>WSH</v>
      </c>
      <c r="E52" s="55" cm="1">
        <f t="array" ref="E52">VLOOKUP(A52,'The List'!B1:I671,8,FALSE)</f>
        <v>318.12187800701668</v>
      </c>
      <c r="F52" s="55" cm="1">
        <f t="array" ref="F52">IF(Settings!$E$15="POINTS",E52-VLOOKUP(B$2,C1:E210,3,FALSE),J52)</f>
        <v>-76.821586686540797</v>
      </c>
      <c r="G52" s="55"/>
      <c r="H52" s="167" cm="1">
        <f t="array" ref="H52">RANK(I52,I3:I210)</f>
        <v>11</v>
      </c>
      <c r="I52" s="168" cm="1">
        <f t="array" ref="I52">VLOOKUP(A52,'Standard Deviations'!A1:C672,3,FALSE)</f>
        <v>8.542478817544005</v>
      </c>
      <c r="J52" s="168" cm="1">
        <f t="array" ref="J52">I52-VLOOKUP(B$2,H1:J210,2,FALSE)</f>
        <v>1.3712354057003457</v>
      </c>
    </row>
    <row r="53" spans="1:10" ht="21.25" customHeight="1" x14ac:dyDescent="0.15">
      <c r="A53" s="10" t="s">
        <v>295</v>
      </c>
      <c r="B53" s="97" t="str" cm="1">
        <f t="array" ref="B53">VLOOKUP(A53,'The List'!B1:D671,3,FALSE)</f>
        <v>RW</v>
      </c>
      <c r="C53" s="98" cm="1">
        <f t="array" ref="C53">IF(Settings!$E$15="POINTS",RANK(E53,E3:E210),H53)</f>
        <v>51</v>
      </c>
      <c r="D53" s="18" t="str" cm="1">
        <f t="array" ref="D53">VLOOKUP(A53,'The List'!B1:F671,5,FALSE)</f>
        <v>PHI</v>
      </c>
      <c r="E53" s="55" cm="1">
        <f t="array" ref="E53">VLOOKUP(A53,'The List'!B1:I671,8,FALSE)</f>
        <v>317.90454739863992</v>
      </c>
      <c r="F53" s="55" cm="1">
        <f t="array" ref="F53">IF(Settings!$E$15="POINTS",E53-VLOOKUP(B$2,C1:E210,3,FALSE),J53)</f>
        <v>-77.038917294917553</v>
      </c>
      <c r="G53" s="55"/>
      <c r="H53" s="167" cm="1">
        <f t="array" ref="H53">RANK(I53,I3:I210)</f>
        <v>52</v>
      </c>
      <c r="I53" s="168" cm="1">
        <f t="array" ref="I53">VLOOKUP(A53,'Standard Deviations'!A1:C672,3,FALSE)</f>
        <v>3.970203845293546</v>
      </c>
      <c r="J53" s="168" cm="1">
        <f t="array" ref="J53">I53-VLOOKUP(B$2,H1:J210,2,FALSE)</f>
        <v>-3.2010395665501132</v>
      </c>
    </row>
    <row r="54" spans="1:10" ht="21.25" customHeight="1" x14ac:dyDescent="0.15">
      <c r="A54" s="10" t="s">
        <v>296</v>
      </c>
      <c r="B54" s="97" t="str" cm="1">
        <f t="array" ref="B54">VLOOKUP(A54,'The List'!B1:D671,3,FALSE)</f>
        <v>LW,RW</v>
      </c>
      <c r="C54" s="98" cm="1">
        <f t="array" ref="C54">IF(Settings!$E$15="POINTS",RANK(E54,E3:E210),H54)</f>
        <v>52</v>
      </c>
      <c r="D54" s="18" t="str" cm="1">
        <f t="array" ref="D54">VLOOKUP(A54,'The List'!B1:F671,5,FALSE)</f>
        <v>OTT</v>
      </c>
      <c r="E54" s="55" cm="1">
        <f t="array" ref="E54">VLOOKUP(A54,'The List'!B1:I671,8,FALSE)</f>
        <v>317.50763970741735</v>
      </c>
      <c r="F54" s="55" cm="1">
        <f t="array" ref="F54">IF(Settings!$E$15="POINTS",E54-VLOOKUP(B$2,C1:E210,3,FALSE),J54)</f>
        <v>-77.435824986140119</v>
      </c>
      <c r="G54" s="55"/>
      <c r="H54" s="167" cm="1">
        <f t="array" ref="H54">RANK(I54,I3:I210)</f>
        <v>56</v>
      </c>
      <c r="I54" s="168" cm="1">
        <f t="array" ref="I54">VLOOKUP(A54,'Standard Deviations'!A1:C672,3,FALSE)</f>
        <v>3.4324083778855359</v>
      </c>
      <c r="J54" s="168" cm="1">
        <f t="array" ref="J54">I54-VLOOKUP(B$2,H1:J210,2,FALSE)</f>
        <v>-3.7388350339581233</v>
      </c>
    </row>
    <row r="55" spans="1:10" ht="21.25" customHeight="1" x14ac:dyDescent="0.15">
      <c r="A55" s="10" t="s">
        <v>299</v>
      </c>
      <c r="B55" s="97" t="str" cm="1">
        <f t="array" ref="B55">VLOOKUP(A55,'The List'!B1:D671,3,FALSE)</f>
        <v>LW,RW</v>
      </c>
      <c r="C55" s="98" cm="1">
        <f t="array" ref="C55">IF(Settings!$E$15="POINTS",RANK(E55,E3:E210),H55)</f>
        <v>53</v>
      </c>
      <c r="D55" s="18" t="str" cm="1">
        <f t="array" ref="D55">VLOOKUP(A55,'The List'!B1:F671,5,FALSE)</f>
        <v>BOS</v>
      </c>
      <c r="E55" s="55" cm="1">
        <f t="array" ref="E55">VLOOKUP(A55,'The List'!B1:I671,8,FALSE)</f>
        <v>315.68046648720946</v>
      </c>
      <c r="F55" s="55" cm="1">
        <f t="array" ref="F55">IF(Settings!$E$15="POINTS",E55-VLOOKUP(B$2,C1:E210,3,FALSE),J55)</f>
        <v>-79.262998206348016</v>
      </c>
      <c r="G55" s="55"/>
      <c r="H55" s="167" cm="1">
        <f t="array" ref="H55">RANK(I55,I3:I210)</f>
        <v>63</v>
      </c>
      <c r="I55" s="168" cm="1">
        <f t="array" ref="I55">VLOOKUP(A55,'Standard Deviations'!A1:C672,3,FALSE)</f>
        <v>2.62369569686593</v>
      </c>
      <c r="J55" s="168" cm="1">
        <f t="array" ref="J55">I55-VLOOKUP(B$2,H1:J210,2,FALSE)</f>
        <v>-4.5475477149777292</v>
      </c>
    </row>
    <row r="56" spans="1:10" ht="21.25" customHeight="1" x14ac:dyDescent="0.15">
      <c r="A56" s="10" t="s">
        <v>304</v>
      </c>
      <c r="B56" s="97" t="str" cm="1">
        <f t="array" ref="B56">VLOOKUP(A56,'The List'!B1:D671,3,FALSE)</f>
        <v>C,RW</v>
      </c>
      <c r="C56" s="98" cm="1">
        <f t="array" ref="C56">IF(Settings!$E$15="POINTS",RANK(E56,E3:E210),H56)</f>
        <v>54</v>
      </c>
      <c r="D56" s="18" t="str" cm="1">
        <f t="array" ref="D56">VLOOKUP(A56,'The List'!B1:F671,5,FALSE)</f>
        <v>WPG</v>
      </c>
      <c r="E56" s="55" cm="1">
        <f t="array" ref="E56">VLOOKUP(A56,'The List'!B1:I671,8,FALSE)</f>
        <v>310.75112999982042</v>
      </c>
      <c r="F56" s="55" cm="1">
        <f t="array" ref="F56">IF(Settings!$E$15="POINTS",E56-VLOOKUP(B$2,C1:E210,3,FALSE),J56)</f>
        <v>-84.192334693737052</v>
      </c>
      <c r="G56" s="55"/>
      <c r="H56" s="167" cm="1">
        <f t="array" ref="H56">RANK(I56,I3:I210)</f>
        <v>57</v>
      </c>
      <c r="I56" s="168" cm="1">
        <f t="array" ref="I56">VLOOKUP(A56,'Standard Deviations'!A1:C672,3,FALSE)</f>
        <v>3.4124150709769117</v>
      </c>
      <c r="J56" s="168" cm="1">
        <f t="array" ref="J56">I56-VLOOKUP(B$2,H1:J210,2,FALSE)</f>
        <v>-3.7588283408667476</v>
      </c>
    </row>
    <row r="57" spans="1:10" ht="21.25" customHeight="1" x14ac:dyDescent="0.15">
      <c r="A57" s="10" t="s">
        <v>309</v>
      </c>
      <c r="B57" s="97" t="str" cm="1">
        <f t="array" ref="B57">VLOOKUP(A57,'The List'!B1:D671,3,FALSE)</f>
        <v>C,RW</v>
      </c>
      <c r="C57" s="98" cm="1">
        <f t="array" ref="C57">IF(Settings!$E$15="POINTS",RANK(E57,E3:E210),H57)</f>
        <v>55</v>
      </c>
      <c r="D57" s="18" t="str" cm="1">
        <f t="array" ref="D57">VLOOKUP(A57,'The List'!B1:F671,5,FALSE)</f>
        <v>MIN</v>
      </c>
      <c r="E57" s="55" cm="1">
        <f t="array" ref="E57">VLOOKUP(A57,'The List'!B1:I671,8,FALSE)</f>
        <v>307.88463396228008</v>
      </c>
      <c r="F57" s="55" cm="1">
        <f t="array" ref="F57">IF(Settings!$E$15="POINTS",E57-VLOOKUP(B$2,C1:E210,3,FALSE),J57)</f>
        <v>-87.058830731277396</v>
      </c>
      <c r="G57" s="55"/>
      <c r="H57" s="167" cm="1">
        <f t="array" ref="H57">RANK(I57,I3:I210)</f>
        <v>27</v>
      </c>
      <c r="I57" s="168" cm="1">
        <f t="array" ref="I57">VLOOKUP(A57,'Standard Deviations'!A1:C672,3,FALSE)</f>
        <v>6.0876328239385975</v>
      </c>
      <c r="J57" s="168" cm="1">
        <f t="array" ref="J57">I57-VLOOKUP(B$2,H1:J210,2,FALSE)</f>
        <v>-1.0836105879050617</v>
      </c>
    </row>
    <row r="58" spans="1:10" ht="21.25" customHeight="1" x14ac:dyDescent="0.15">
      <c r="A58" s="10" t="s">
        <v>316</v>
      </c>
      <c r="B58" s="97" t="str" cm="1">
        <f t="array" ref="B58">VLOOKUP(A58,'The List'!B1:D671,3,FALSE)</f>
        <v>LW,RW</v>
      </c>
      <c r="C58" s="98" cm="1">
        <f t="array" ref="C58">IF(Settings!$E$15="POINTS",RANK(E58,E3:E210),H58)</f>
        <v>56</v>
      </c>
      <c r="D58" s="18" t="str" cm="1">
        <f t="array" ref="D58">VLOOKUP(A58,'The List'!B1:F671,5,FALSE)</f>
        <v>VAN</v>
      </c>
      <c r="E58" s="55" cm="1">
        <f t="array" ref="E58">VLOOKUP(A58,'The List'!B1:I671,8,FALSE)</f>
        <v>302.83381827747519</v>
      </c>
      <c r="F58" s="55" cm="1">
        <f t="array" ref="F58">IF(Settings!$E$15="POINTS",E58-VLOOKUP(B$2,C1:E210,3,FALSE),J58)</f>
        <v>-92.109646416082285</v>
      </c>
      <c r="G58" s="55"/>
      <c r="H58" s="167" cm="1">
        <f t="array" ref="H58">RANK(I58,I3:I210)</f>
        <v>105</v>
      </c>
      <c r="I58" s="168" cm="1">
        <f t="array" ref="I58">VLOOKUP(A58,'Standard Deviations'!A1:C672,3,FALSE)</f>
        <v>-0.44516889686452066</v>
      </c>
      <c r="J58" s="168" cm="1">
        <f t="array" ref="J58">I58-VLOOKUP(B$2,H1:J210,2,FALSE)</f>
        <v>-7.6164123087081794</v>
      </c>
    </row>
    <row r="59" spans="1:10" ht="21.25" customHeight="1" x14ac:dyDescent="0.15">
      <c r="A59" s="10" t="s">
        <v>319</v>
      </c>
      <c r="B59" s="97" t="str" cm="1">
        <f t="array" ref="B59">VLOOKUP(A59,'The List'!B1:D671,3,FALSE)</f>
        <v>LW,RW</v>
      </c>
      <c r="C59" s="98" cm="1">
        <f t="array" ref="C59">IF(Settings!$E$15="POINTS",RANK(E59,E3:E210),H59)</f>
        <v>57</v>
      </c>
      <c r="D59" s="18" t="str" cm="1">
        <f t="array" ref="D59">VLOOKUP(A59,'The List'!B1:F671,5,FALSE)</f>
        <v>CAR</v>
      </c>
      <c r="E59" s="55" cm="1">
        <f t="array" ref="E59">VLOOKUP(A59,'The List'!B1:I671,8,FALSE)</f>
        <v>301.13824094420426</v>
      </c>
      <c r="F59" s="55" cm="1">
        <f t="array" ref="F59">IF(Settings!$E$15="POINTS",E59-VLOOKUP(B$2,C1:E210,3,FALSE),J59)</f>
        <v>-93.805223749353217</v>
      </c>
      <c r="G59" s="55"/>
      <c r="H59" s="167" cm="1">
        <f t="array" ref="H59">RANK(I59,I3:I210)</f>
        <v>62</v>
      </c>
      <c r="I59" s="168" cm="1">
        <f t="array" ref="I59">VLOOKUP(A59,'Standard Deviations'!A1:C672,3,FALSE)</f>
        <v>2.886345969944208</v>
      </c>
      <c r="J59" s="168" cm="1">
        <f t="array" ref="J59">I59-VLOOKUP(B$2,H1:J210,2,FALSE)</f>
        <v>-4.2848974418994512</v>
      </c>
    </row>
    <row r="60" spans="1:10" ht="21.25" customHeight="1" x14ac:dyDescent="0.15">
      <c r="A60" s="10" t="s">
        <v>322</v>
      </c>
      <c r="B60" s="97" t="str" cm="1">
        <f t="array" ref="B60">VLOOKUP(A60,'The List'!B1:D671,3,FALSE)</f>
        <v>LW,RW</v>
      </c>
      <c r="C60" s="98" cm="1">
        <f t="array" ref="C60">IF(Settings!$E$15="POINTS",RANK(E60,E3:E210),H60)</f>
        <v>58</v>
      </c>
      <c r="D60" s="18" t="str" cm="1">
        <f t="array" ref="D60">VLOOKUP(A60,'The List'!B1:F671,5,FALSE)</f>
        <v>VAN</v>
      </c>
      <c r="E60" s="55" cm="1">
        <f t="array" ref="E60">VLOOKUP(A60,'The List'!B1:I671,8,FALSE)</f>
        <v>300.20840133334292</v>
      </c>
      <c r="F60" s="55" cm="1">
        <f t="array" ref="F60">IF(Settings!$E$15="POINTS",E60-VLOOKUP(B$2,C1:E210,3,FALSE),J60)</f>
        <v>-94.735063360214554</v>
      </c>
      <c r="G60" s="55"/>
      <c r="H60" s="167" cm="1">
        <f t="array" ref="H60">RANK(I60,I3:I210)</f>
        <v>86</v>
      </c>
      <c r="I60" s="168" cm="1">
        <f t="array" ref="I60">VLOOKUP(A60,'Standard Deviations'!A1:C672,3,FALSE)</f>
        <v>0.41720326892765036</v>
      </c>
      <c r="J60" s="168" cm="1">
        <f t="array" ref="J60">I60-VLOOKUP(B$2,H1:J210,2,FALSE)</f>
        <v>-6.7540401429160086</v>
      </c>
    </row>
    <row r="61" spans="1:10" ht="21.25" customHeight="1" x14ac:dyDescent="0.15">
      <c r="A61" s="10" t="s">
        <v>328</v>
      </c>
      <c r="B61" s="97" t="str" cm="1">
        <f t="array" ref="B61">VLOOKUP(A61,'The List'!B1:D671,3,FALSE)</f>
        <v>LW,RW</v>
      </c>
      <c r="C61" s="98" cm="1">
        <f t="array" ref="C61">IF(Settings!$E$15="POINTS",RANK(E61,E3:E210),H61)</f>
        <v>59</v>
      </c>
      <c r="D61" s="18" t="str" cm="1">
        <f t="array" ref="D61">VLOOKUP(A61,'The List'!B1:F671,5,FALSE)</f>
        <v>NSH</v>
      </c>
      <c r="E61" s="55" cm="1">
        <f t="array" ref="E61">VLOOKUP(A61,'The List'!B1:I671,8,FALSE)</f>
        <v>296.86095603321098</v>
      </c>
      <c r="F61" s="55" cm="1">
        <f t="array" ref="F61">IF(Settings!$E$15="POINTS",E61-VLOOKUP(B$2,C1:E210,3,FALSE),J61)</f>
        <v>-98.082508660346491</v>
      </c>
      <c r="G61" s="55"/>
      <c r="H61" s="167" cm="1">
        <f t="array" ref="H61">RANK(I61,I3:I210)</f>
        <v>69</v>
      </c>
      <c r="I61" s="168" cm="1">
        <f t="array" ref="I61">VLOOKUP(A61,'Standard Deviations'!A1:C672,3,FALSE)</f>
        <v>1.7782577117230314</v>
      </c>
      <c r="J61" s="168" cm="1">
        <f t="array" ref="J61">I61-VLOOKUP(B$2,H1:J210,2,FALSE)</f>
        <v>-5.3929857001206276</v>
      </c>
    </row>
    <row r="62" spans="1:10" ht="21.25" customHeight="1" x14ac:dyDescent="0.15">
      <c r="A62" s="10" t="s">
        <v>330</v>
      </c>
      <c r="B62" s="97" t="str" cm="1">
        <f t="array" ref="B62">VLOOKUP(A62,'The List'!B1:D671,3,FALSE)</f>
        <v>C,LW,RW</v>
      </c>
      <c r="C62" s="98" cm="1">
        <f t="array" ref="C62">IF(Settings!$E$15="POINTS",RANK(E62,E3:E210),H62)</f>
        <v>60</v>
      </c>
      <c r="D62" s="18" t="str" cm="1">
        <f t="array" ref="D62">VLOOKUP(A62,'The List'!B1:F671,5,FALSE)</f>
        <v>PHI</v>
      </c>
      <c r="E62" s="55" cm="1">
        <f t="array" ref="E62">VLOOKUP(A62,'The List'!B1:I671,8,FALSE)</f>
        <v>296.03676603353699</v>
      </c>
      <c r="F62" s="55" cm="1">
        <f t="array" ref="F62">IF(Settings!$E$15="POINTS",E62-VLOOKUP(B$2,C1:E210,3,FALSE),J62)</f>
        <v>-98.906698660020481</v>
      </c>
      <c r="G62" s="55"/>
      <c r="H62" s="167" cm="1">
        <f t="array" ref="H62">RANK(I62,I3:I210)</f>
        <v>53</v>
      </c>
      <c r="I62" s="168" cm="1">
        <f t="array" ref="I62">VLOOKUP(A62,'Standard Deviations'!A1:C672,3,FALSE)</f>
        <v>3.7023649153629781</v>
      </c>
      <c r="J62" s="168" cm="1">
        <f t="array" ref="J62">I62-VLOOKUP(B$2,H1:J210,2,FALSE)</f>
        <v>-3.4688784964806811</v>
      </c>
    </row>
    <row r="63" spans="1:10" ht="21.25" customHeight="1" x14ac:dyDescent="0.15">
      <c r="A63" s="10" t="s">
        <v>332</v>
      </c>
      <c r="B63" s="97" t="str" cm="1">
        <f t="array" ref="B63">VLOOKUP(A63,'The List'!B1:D671,3,FALSE)</f>
        <v>RW</v>
      </c>
      <c r="C63" s="98" cm="1">
        <f t="array" ref="C63">IF(Settings!$E$15="POINTS",RANK(E63,E3:E210),H63)</f>
        <v>61</v>
      </c>
      <c r="D63" s="18" t="str" cm="1">
        <f t="array" ref="D63">VLOOKUP(A63,'The List'!B1:F671,5,FALSE)</f>
        <v>CAR</v>
      </c>
      <c r="E63" s="55" cm="1">
        <f t="array" ref="E63">VLOOKUP(A63,'The List'!B1:I671,8,FALSE)</f>
        <v>295.70254172098731</v>
      </c>
      <c r="F63" s="55" cm="1">
        <f t="array" ref="F63">IF(Settings!$E$15="POINTS",E63-VLOOKUP(B$2,C1:E210,3,FALSE),J63)</f>
        <v>-99.240922972570161</v>
      </c>
      <c r="G63" s="55"/>
      <c r="H63" s="167" cm="1">
        <f t="array" ref="H63">RANK(I63,I3:I210)</f>
        <v>39</v>
      </c>
      <c r="I63" s="168" cm="1">
        <f t="array" ref="I63">VLOOKUP(A63,'Standard Deviations'!A1:C672,3,FALSE)</f>
        <v>4.8568396025492149</v>
      </c>
      <c r="J63" s="168" cm="1">
        <f t="array" ref="J63">I63-VLOOKUP(B$2,H1:J210,2,FALSE)</f>
        <v>-2.3144038092944443</v>
      </c>
    </row>
    <row r="64" spans="1:10" ht="21.25" customHeight="1" x14ac:dyDescent="0.15">
      <c r="A64" s="10" t="s">
        <v>333</v>
      </c>
      <c r="B64" s="97" t="str" cm="1">
        <f t="array" ref="B64">VLOOKUP(A64,'The List'!B1:D671,3,FALSE)</f>
        <v>RW</v>
      </c>
      <c r="C64" s="98" cm="1">
        <f t="array" ref="C64">IF(Settings!$E$15="POINTS",RANK(E64,E3:E210),H64)</f>
        <v>62</v>
      </c>
      <c r="D64" s="18" t="str" cm="1">
        <f t="array" ref="D64">VLOOKUP(A64,'The List'!B1:F671,5,FALSE)</f>
        <v>CHI</v>
      </c>
      <c r="E64" s="55" cm="1">
        <f t="array" ref="E64">VLOOKUP(A64,'The List'!B1:I671,8,FALSE)</f>
        <v>295.69466214682234</v>
      </c>
      <c r="F64" s="55" cm="1">
        <f t="array" ref="F64">IF(Settings!$E$15="POINTS",E64-VLOOKUP(B$2,C1:E210,3,FALSE),J64)</f>
        <v>-99.248802546735135</v>
      </c>
      <c r="G64" s="55"/>
      <c r="H64" s="167" cm="1">
        <f t="array" ref="H64">RANK(I64,I3:I210)</f>
        <v>85</v>
      </c>
      <c r="I64" s="168" cm="1">
        <f t="array" ref="I64">VLOOKUP(A64,'Standard Deviations'!A1:C672,3,FALSE)</f>
        <v>0.43288559822602624</v>
      </c>
      <c r="J64" s="168" cm="1">
        <f t="array" ref="J64">I64-VLOOKUP(B$2,H1:J210,2,FALSE)</f>
        <v>-6.7383578136176325</v>
      </c>
    </row>
    <row r="65" spans="1:10" ht="21.25" customHeight="1" x14ac:dyDescent="0.15">
      <c r="A65" s="10" t="s">
        <v>335</v>
      </c>
      <c r="B65" s="97" t="str" cm="1">
        <f t="array" ref="B65">VLOOKUP(A65,'The List'!B1:D671,3,FALSE)</f>
        <v>LW,RW</v>
      </c>
      <c r="C65" s="98" cm="1">
        <f t="array" ref="C65">IF(Settings!$E$15="POINTS",RANK(E65,E3:E210),H65)</f>
        <v>63</v>
      </c>
      <c r="D65" s="18" t="str" cm="1">
        <f t="array" ref="D65">VLOOKUP(A65,'The List'!B1:F671,5,FALSE)</f>
        <v>FLA</v>
      </c>
      <c r="E65" s="55" cm="1">
        <f t="array" ref="E65">VLOOKUP(A65,'The List'!B1:I671,8,FALSE)</f>
        <v>293.97395283647791</v>
      </c>
      <c r="F65" s="55" cm="1">
        <f t="array" ref="F65">IF(Settings!$E$15="POINTS",E65-VLOOKUP(B$2,C1:E210,3,FALSE),J65)</f>
        <v>-100.96951185707957</v>
      </c>
      <c r="G65" s="55"/>
      <c r="H65" s="167" cm="1">
        <f t="array" ref="H65">RANK(I65,I3:I210)</f>
        <v>41</v>
      </c>
      <c r="I65" s="168" cm="1">
        <f t="array" ref="I65">VLOOKUP(A65,'Standard Deviations'!A1:C672,3,FALSE)</f>
        <v>4.5313439280941585</v>
      </c>
      <c r="J65" s="168" cm="1">
        <f t="array" ref="J65">I65-VLOOKUP(B$2,H1:J210,2,FALSE)</f>
        <v>-2.6398994837495007</v>
      </c>
    </row>
    <row r="66" spans="1:10" ht="21.25" customHeight="1" x14ac:dyDescent="0.15">
      <c r="A66" s="10" t="s">
        <v>336</v>
      </c>
      <c r="B66" s="97" t="str" cm="1">
        <f t="array" ref="B66">VLOOKUP(A66,'The List'!B1:D671,3,FALSE)</f>
        <v>LW,RW</v>
      </c>
      <c r="C66" s="98" cm="1">
        <f t="array" ref="C66">IF(Settings!$E$15="POINTS",RANK(E66,E3:E210),H66)</f>
        <v>64</v>
      </c>
      <c r="D66" s="18" t="str" cm="1">
        <f t="array" ref="D66">VLOOKUP(A66,'The List'!B1:F671,5,FALSE)</f>
        <v>PHI</v>
      </c>
      <c r="E66" s="55" cm="1">
        <f t="array" ref="E66">VLOOKUP(A66,'The List'!B1:I671,8,FALSE)</f>
        <v>293.96378708679964</v>
      </c>
      <c r="F66" s="55" cm="1">
        <f t="array" ref="F66">IF(Settings!$E$15="POINTS",E66-VLOOKUP(B$2,C1:E210,3,FALSE),J66)</f>
        <v>-100.97967760675783</v>
      </c>
      <c r="G66" s="55"/>
      <c r="H66" s="167" cm="1">
        <f t="array" ref="H66">RANK(I66,I3:I210)</f>
        <v>46</v>
      </c>
      <c r="I66" s="168" cm="1">
        <f t="array" ref="I66">VLOOKUP(A66,'Standard Deviations'!A1:C672,3,FALSE)</f>
        <v>4.2580595127092185</v>
      </c>
      <c r="J66" s="168" cm="1">
        <f t="array" ref="J66">I66-VLOOKUP(B$2,H1:J210,2,FALSE)</f>
        <v>-2.9131838991344408</v>
      </c>
    </row>
    <row r="67" spans="1:10" ht="21.25" customHeight="1" x14ac:dyDescent="0.15">
      <c r="A67" s="10" t="s">
        <v>338</v>
      </c>
      <c r="B67" s="97" t="str" cm="1">
        <f t="array" ref="B67">VLOOKUP(A67,'The List'!B1:D671,3,FALSE)</f>
        <v>RW</v>
      </c>
      <c r="C67" s="98" cm="1">
        <f t="array" ref="C67">IF(Settings!$E$15="POINTS",RANK(E67,E3:E210),H67)</f>
        <v>65</v>
      </c>
      <c r="D67" s="18" t="str" cm="1">
        <f t="array" ref="D67">VLOOKUP(A67,'The List'!B1:F671,5,FALSE)</f>
        <v>CGY</v>
      </c>
      <c r="E67" s="55" cm="1">
        <f t="array" ref="E67">VLOOKUP(A67,'The List'!B1:I671,8,FALSE)</f>
        <v>291.64883452465949</v>
      </c>
      <c r="F67" s="55" cm="1">
        <f t="array" ref="F67">IF(Settings!$E$15="POINTS",E67-VLOOKUP(B$2,C1:E210,3,FALSE),J67)</f>
        <v>-103.29463016889798</v>
      </c>
      <c r="G67" s="55"/>
      <c r="H67" s="167" cm="1">
        <f t="array" ref="H67">RANK(I67,I3:I210)</f>
        <v>88</v>
      </c>
      <c r="I67" s="168" cm="1">
        <f t="array" ref="I67">VLOOKUP(A67,'Standard Deviations'!A1:C672,3,FALSE)</f>
        <v>0.36124960272281609</v>
      </c>
      <c r="J67" s="168" cm="1">
        <f t="array" ref="J67">I67-VLOOKUP(B$2,H1:J210,2,FALSE)</f>
        <v>-6.8099938091208427</v>
      </c>
    </row>
    <row r="68" spans="1:10" ht="21.25" customHeight="1" x14ac:dyDescent="0.15">
      <c r="A68" s="10" t="s">
        <v>347</v>
      </c>
      <c r="B68" s="97" t="str" cm="1">
        <f t="array" ref="B68">VLOOKUP(A68,'The List'!B1:D671,3,FALSE)</f>
        <v>LW,RW</v>
      </c>
      <c r="C68" s="98" cm="1">
        <f t="array" ref="C68">IF(Settings!$E$15="POINTS",RANK(E68,E3:E210),H68)</f>
        <v>66</v>
      </c>
      <c r="D68" s="18" t="str" cm="1">
        <f t="array" ref="D68">VLOOKUP(A68,'The List'!B1:F671,5,FALSE)</f>
        <v>PHI</v>
      </c>
      <c r="E68" s="55" cm="1">
        <f t="array" ref="E68">VLOOKUP(A68,'The List'!B1:I671,8,FALSE)</f>
        <v>288.78266507565496</v>
      </c>
      <c r="F68" s="55" cm="1">
        <f t="array" ref="F68">IF(Settings!$E$15="POINTS",E68-VLOOKUP(B$2,C1:E210,3,FALSE),J68)</f>
        <v>-106.16079961790251</v>
      </c>
      <c r="G68" s="55"/>
      <c r="H68" s="167" cm="1">
        <f t="array" ref="H68">RANK(I68,I3:I210)</f>
        <v>71</v>
      </c>
      <c r="I68" s="168" cm="1">
        <f t="array" ref="I68">VLOOKUP(A68,'Standard Deviations'!A1:C672,3,FALSE)</f>
        <v>1.5949076218100728</v>
      </c>
      <c r="J68" s="168" cm="1">
        <f t="array" ref="J68">I68-VLOOKUP(B$2,H1:J210,2,FALSE)</f>
        <v>-5.5763357900335864</v>
      </c>
    </row>
    <row r="69" spans="1:10" ht="21.25" customHeight="1" x14ac:dyDescent="0.15">
      <c r="A69" s="10" t="s">
        <v>350</v>
      </c>
      <c r="B69" s="97" t="str" cm="1">
        <f t="array" ref="B69">VLOOKUP(A69,'The List'!B1:D671,3,FALSE)</f>
        <v>LW,RW</v>
      </c>
      <c r="C69" s="98" cm="1">
        <f t="array" ref="C69">IF(Settings!$E$15="POINTS",RANK(E69,E3:E210),H69)</f>
        <v>67</v>
      </c>
      <c r="D69" s="18" t="str" cm="1">
        <f t="array" ref="D69">VLOOKUP(A69,'The List'!B1:F671,5,FALSE)</f>
        <v>CGY</v>
      </c>
      <c r="E69" s="55" cm="1">
        <f t="array" ref="E69">VLOOKUP(A69,'The List'!B1:I671,8,FALSE)</f>
        <v>285.05159732595723</v>
      </c>
      <c r="F69" s="55" cm="1">
        <f t="array" ref="F69">IF(Settings!$E$15="POINTS",E69-VLOOKUP(B$2,C1:E210,3,FALSE),J69)</f>
        <v>-109.89186736760024</v>
      </c>
      <c r="G69" s="55"/>
      <c r="H69" s="167" cm="1">
        <f t="array" ref="H69">RANK(I69,I3:I210)</f>
        <v>100</v>
      </c>
      <c r="I69" s="168" cm="1">
        <f t="array" ref="I69">VLOOKUP(A69,'Standard Deviations'!A1:C672,3,FALSE)</f>
        <v>-0.28219096264593158</v>
      </c>
      <c r="J69" s="168" cm="1">
        <f t="array" ref="J69">I69-VLOOKUP(B$2,H1:J210,2,FALSE)</f>
        <v>-7.453434374489591</v>
      </c>
    </row>
    <row r="70" spans="1:10" ht="21.25" customHeight="1" x14ac:dyDescent="0.15">
      <c r="A70" s="10" t="s">
        <v>356</v>
      </c>
      <c r="B70" s="97" t="str" cm="1">
        <f t="array" ref="B70">VLOOKUP(A70,'The List'!B1:D671,3,FALSE)</f>
        <v>C,RW</v>
      </c>
      <c r="C70" s="98" cm="1">
        <f t="array" ref="C70">IF(Settings!$E$15="POINTS",RANK(E70,E3:E210),H70)</f>
        <v>68</v>
      </c>
      <c r="D70" s="18" t="str" cm="1">
        <f t="array" ref="D70">VLOOKUP(A70,'The List'!B1:F671,5,FALSE)</f>
        <v>CAR</v>
      </c>
      <c r="E70" s="55" cm="1">
        <f t="array" ref="E70">VLOOKUP(A70,'The List'!B1:I671,8,FALSE)</f>
        <v>282.64966564291768</v>
      </c>
      <c r="F70" s="55" cm="1">
        <f t="array" ref="F70">IF(Settings!$E$15="POINTS",E70-VLOOKUP(B$2,C1:E210,3,FALSE),J70)</f>
        <v>-112.29379905063979</v>
      </c>
      <c r="G70" s="55"/>
      <c r="H70" s="167" cm="1">
        <f t="array" ref="H70">RANK(I70,I3:I210)</f>
        <v>59</v>
      </c>
      <c r="I70" s="168" cm="1">
        <f t="array" ref="I70">VLOOKUP(A70,'Standard Deviations'!A1:C672,3,FALSE)</f>
        <v>3.1187005661195313</v>
      </c>
      <c r="J70" s="168" cm="1">
        <f t="array" ref="J70">I70-VLOOKUP(B$2,H1:J210,2,FALSE)</f>
        <v>-4.0525428457241279</v>
      </c>
    </row>
    <row r="71" spans="1:10" ht="21.25" customHeight="1" x14ac:dyDescent="0.15">
      <c r="A71" s="10" t="s">
        <v>357</v>
      </c>
      <c r="B71" s="97" t="str" cm="1">
        <f t="array" ref="B71">VLOOKUP(A71,'The List'!B1:D671,3,FALSE)</f>
        <v>LW,RW</v>
      </c>
      <c r="C71" s="98" cm="1">
        <f t="array" ref="C71">IF(Settings!$E$15="POINTS",RANK(E71,E3:E210),H71)</f>
        <v>69</v>
      </c>
      <c r="D71" s="18" t="str" cm="1">
        <f t="array" ref="D71">VLOOKUP(A71,'The List'!B1:F671,5,FALSE)</f>
        <v>CHI</v>
      </c>
      <c r="E71" s="55" cm="1">
        <f t="array" ref="E71">VLOOKUP(A71,'The List'!B1:I671,8,FALSE)</f>
        <v>282.34359943185535</v>
      </c>
      <c r="F71" s="55" cm="1">
        <f t="array" ref="F71">IF(Settings!$E$15="POINTS",E71-VLOOKUP(B$2,C1:E210,3,FALSE),J71)</f>
        <v>-112.59986526170212</v>
      </c>
      <c r="G71" s="55"/>
      <c r="H71" s="167" cm="1">
        <f t="array" ref="H71">RANK(I71,I3:I210)</f>
        <v>77</v>
      </c>
      <c r="I71" s="168" cm="1">
        <f t="array" ref="I71">VLOOKUP(A71,'Standard Deviations'!A1:C672,3,FALSE)</f>
        <v>1.0796009778687785</v>
      </c>
      <c r="J71" s="168" cm="1">
        <f t="array" ref="J71">I71-VLOOKUP(B$2,H1:J210,2,FALSE)</f>
        <v>-6.0916424339748811</v>
      </c>
    </row>
    <row r="72" spans="1:10" ht="21.25" customHeight="1" x14ac:dyDescent="0.15">
      <c r="A72" s="10" t="s">
        <v>359</v>
      </c>
      <c r="B72" s="97" t="str" cm="1">
        <f t="array" ref="B72">VLOOKUP(A72,'The List'!B1:D671,3,FALSE)</f>
        <v>LW,RW</v>
      </c>
      <c r="C72" s="98" cm="1">
        <f t="array" ref="C72">IF(Settings!$E$15="POINTS",RANK(E72,E3:E210),H72)</f>
        <v>70</v>
      </c>
      <c r="D72" s="18" t="str" cm="1">
        <f t="array" ref="D72">VLOOKUP(A72,'The List'!B1:F671,5,FALSE)</f>
        <v>WSH</v>
      </c>
      <c r="E72" s="55" cm="1">
        <f t="array" ref="E72">VLOOKUP(A72,'The List'!B1:I671,8,FALSE)</f>
        <v>281.34024163364592</v>
      </c>
      <c r="F72" s="55" cm="1">
        <f t="array" ref="F72">IF(Settings!$E$15="POINTS",E72-VLOOKUP(B$2,C1:E210,3,FALSE),J72)</f>
        <v>-113.60322305991156</v>
      </c>
      <c r="G72" s="55"/>
      <c r="H72" s="167" cm="1">
        <f t="array" ref="H72">RANK(I72,I3:I210)</f>
        <v>64</v>
      </c>
      <c r="I72" s="168" cm="1">
        <f t="array" ref="I72">VLOOKUP(A72,'Standard Deviations'!A1:C672,3,FALSE)</f>
        <v>2.1913543316758974</v>
      </c>
      <c r="J72" s="168" cm="1">
        <f t="array" ref="J72">I72-VLOOKUP(B$2,H1:J210,2,FALSE)</f>
        <v>-4.9798890801677622</v>
      </c>
    </row>
    <row r="73" spans="1:10" ht="21.25" customHeight="1" x14ac:dyDescent="0.15">
      <c r="A73" s="10" t="s">
        <v>365</v>
      </c>
      <c r="B73" s="97" t="str" cm="1">
        <f t="array" ref="B73">VLOOKUP(A73,'The List'!B1:D671,3,FALSE)</f>
        <v>LW,RW</v>
      </c>
      <c r="C73" s="98" cm="1">
        <f t="array" ref="C73">IF(Settings!$E$15="POINTS",RANK(E73,E3:E210),H73)</f>
        <v>71</v>
      </c>
      <c r="D73" s="18" t="str" cm="1">
        <f t="array" ref="D73">VLOOKUP(A73,'The List'!B1:F671,5,FALSE)</f>
        <v>WPG</v>
      </c>
      <c r="E73" s="55" cm="1">
        <f t="array" ref="E73">VLOOKUP(A73,'The List'!B1:I671,8,FALSE)</f>
        <v>276.43789120893581</v>
      </c>
      <c r="F73" s="55" cm="1">
        <f t="array" ref="F73">IF(Settings!$E$15="POINTS",E73-VLOOKUP(B$2,C1:E210,3,FALSE),J73)</f>
        <v>-118.50557348462166</v>
      </c>
      <c r="G73" s="55"/>
      <c r="H73" s="167" cm="1">
        <f t="array" ref="H73">RANK(I73,I3:I210)</f>
        <v>67</v>
      </c>
      <c r="I73" s="168" cm="1">
        <f t="array" ref="I73">VLOOKUP(A73,'Standard Deviations'!A1:C672,3,FALSE)</f>
        <v>1.9257981710885894</v>
      </c>
      <c r="J73" s="168" cm="1">
        <f t="array" ref="J73">I73-VLOOKUP(B$2,H1:J210,2,FALSE)</f>
        <v>-5.2454452407550693</v>
      </c>
    </row>
    <row r="74" spans="1:10" ht="21.25" customHeight="1" x14ac:dyDescent="0.15">
      <c r="A74" s="10" t="s">
        <v>366</v>
      </c>
      <c r="B74" s="97" t="str" cm="1">
        <f t="array" ref="B74">VLOOKUP(A74,'The List'!B1:D671,3,FALSE)</f>
        <v>LW,RW</v>
      </c>
      <c r="C74" s="98" cm="1">
        <f t="array" ref="C74">IF(Settings!$E$15="POINTS",RANK(E74,E3:E210),H74)</f>
        <v>72</v>
      </c>
      <c r="D74" s="18" t="str" cm="1">
        <f t="array" ref="D74">VLOOKUP(A74,'The List'!B1:F671,5,FALSE)</f>
        <v>CBJ</v>
      </c>
      <c r="E74" s="55" cm="1">
        <f t="array" ref="E74">VLOOKUP(A74,'The List'!B1:I671,8,FALSE)</f>
        <v>276.40484776382175</v>
      </c>
      <c r="F74" s="55" cm="1">
        <f t="array" ref="F74">IF(Settings!$E$15="POINTS",E74-VLOOKUP(B$2,C1:E210,3,FALSE),J74)</f>
        <v>-118.53861692973572</v>
      </c>
      <c r="G74" s="55"/>
      <c r="H74" s="167" cm="1">
        <f t="array" ref="H74">RANK(I74,I3:I210)</f>
        <v>76</v>
      </c>
      <c r="I74" s="168" cm="1">
        <f t="array" ref="I74">VLOOKUP(A74,'Standard Deviations'!A1:C672,3,FALSE)</f>
        <v>1.4173909827626776</v>
      </c>
      <c r="J74" s="168" cm="1">
        <f t="array" ref="J74">I74-VLOOKUP(B$2,H1:J210,2,FALSE)</f>
        <v>-5.7538524290809816</v>
      </c>
    </row>
    <row r="75" spans="1:10" ht="21.25" customHeight="1" x14ac:dyDescent="0.15">
      <c r="A75" s="10" t="s">
        <v>372</v>
      </c>
      <c r="B75" s="97" t="str" cm="1">
        <f t="array" ref="B75">VLOOKUP(A75,'The List'!B1:D671,3,FALSE)</f>
        <v>LW,RW</v>
      </c>
      <c r="C75" s="98" cm="1">
        <f t="array" ref="C75">IF(Settings!$E$15="POINTS",RANK(E75,E3:E210),H75)</f>
        <v>73</v>
      </c>
      <c r="D75" s="18" t="str" cm="1">
        <f t="array" ref="D75">VLOOKUP(A75,'The List'!B1:F671,5,FALSE)</f>
        <v>WSH</v>
      </c>
      <c r="E75" s="55" cm="1">
        <f t="array" ref="E75">VLOOKUP(A75,'The List'!B1:I671,8,FALSE)</f>
        <v>273.83936588963974</v>
      </c>
      <c r="F75" s="55" cm="1">
        <f t="array" ref="F75">IF(Settings!$E$15="POINTS",E75-VLOOKUP(B$2,C1:E210,3,FALSE),J75)</f>
        <v>-121.10409880391774</v>
      </c>
      <c r="G75" s="55"/>
      <c r="H75" s="167" cm="1">
        <f t="array" ref="H75">RANK(I75,I3:I210)</f>
        <v>74</v>
      </c>
      <c r="I75" s="168" cm="1">
        <f t="array" ref="I75">VLOOKUP(A75,'Standard Deviations'!A1:C672,3,FALSE)</f>
        <v>1.4905801360702036</v>
      </c>
      <c r="J75" s="168" cm="1">
        <f t="array" ref="J75">I75-VLOOKUP(B$2,H1:J210,2,FALSE)</f>
        <v>-5.6806632757734556</v>
      </c>
    </row>
    <row r="76" spans="1:10" ht="21.25" customHeight="1" x14ac:dyDescent="0.15">
      <c r="A76" s="10" t="s">
        <v>373</v>
      </c>
      <c r="B76" s="97" t="str" cm="1">
        <f t="array" ref="B76">VLOOKUP(A76,'The List'!B1:D671,3,FALSE)</f>
        <v>RW</v>
      </c>
      <c r="C76" s="98" cm="1">
        <f t="array" ref="C76">IF(Settings!$E$15="POINTS",RANK(E76,E3:E210),H76)</f>
        <v>74</v>
      </c>
      <c r="D76" s="18" t="str" cm="1">
        <f t="array" ref="D76">VLOOKUP(A76,'The List'!B1:F671,5,FALSE)</f>
        <v>BUF</v>
      </c>
      <c r="E76" s="55" cm="1">
        <f t="array" ref="E76">VLOOKUP(A76,'The List'!B1:I671,8,FALSE)</f>
        <v>273.41677229532252</v>
      </c>
      <c r="F76" s="55" cm="1">
        <f t="array" ref="F76">IF(Settings!$E$15="POINTS",E76-VLOOKUP(B$2,C1:E210,3,FALSE),J76)</f>
        <v>-121.52669239823496</v>
      </c>
      <c r="G76" s="55"/>
      <c r="H76" s="167" cm="1">
        <f t="array" ref="H76">RANK(I76,I3:I210)</f>
        <v>66</v>
      </c>
      <c r="I76" s="168" cm="1">
        <f t="array" ref="I76">VLOOKUP(A76,'Standard Deviations'!A1:C672,3,FALSE)</f>
        <v>1.9502299990449172</v>
      </c>
      <c r="J76" s="168" cm="1">
        <f t="array" ref="J76">I76-VLOOKUP(B$2,H1:J210,2,FALSE)</f>
        <v>-5.221013412798742</v>
      </c>
    </row>
    <row r="77" spans="1:10" ht="21.25" customHeight="1" x14ac:dyDescent="0.15">
      <c r="A77" s="10" t="s">
        <v>380</v>
      </c>
      <c r="B77" s="97" t="str" cm="1">
        <f t="array" ref="B77">VLOOKUP(A77,'The List'!B1:D671,3,FALSE)</f>
        <v>LW,RW</v>
      </c>
      <c r="C77" s="98" cm="1">
        <f t="array" ref="C77">IF(Settings!$E$15="POINTS",RANK(E77,E3:E210),H77)</f>
        <v>75</v>
      </c>
      <c r="D77" s="18" t="str" cm="1">
        <f t="array" ref="D77">VLOOKUP(A77,'The List'!B1:F671,5,FALSE)</f>
        <v>DET</v>
      </c>
      <c r="E77" s="55" cm="1">
        <f t="array" ref="E77">VLOOKUP(A77,'The List'!B1:I671,8,FALSE)</f>
        <v>270.12813035582172</v>
      </c>
      <c r="F77" s="55" cm="1">
        <f t="array" ref="F77">IF(Settings!$E$15="POINTS",E77-VLOOKUP(B$2,C1:E210,3,FALSE),J77)</f>
        <v>-124.81533433773575</v>
      </c>
      <c r="G77" s="55"/>
      <c r="H77" s="167" cm="1">
        <f t="array" ref="H77">RANK(I77,I3:I210)</f>
        <v>73</v>
      </c>
      <c r="I77" s="168" cm="1">
        <f t="array" ref="I77">VLOOKUP(A77,'Standard Deviations'!A1:C672,3,FALSE)</f>
        <v>1.5109290804876938</v>
      </c>
      <c r="J77" s="168" cm="1">
        <f t="array" ref="J77">I77-VLOOKUP(B$2,H1:J210,2,FALSE)</f>
        <v>-5.6603143313559654</v>
      </c>
    </row>
    <row r="78" spans="1:10" ht="21.25" customHeight="1" x14ac:dyDescent="0.15">
      <c r="A78" s="10" t="s">
        <v>391</v>
      </c>
      <c r="B78" s="97" t="str" cm="1">
        <f t="array" ref="B78">VLOOKUP(A78,'The List'!B1:D671,3,FALSE)</f>
        <v>RW</v>
      </c>
      <c r="C78" s="98" cm="1">
        <f t="array" ref="C78">IF(Settings!$E$15="POINTS",RANK(E78,E3:E210),H78)</f>
        <v>76</v>
      </c>
      <c r="D78" s="18" t="str" cm="1">
        <f t="array" ref="D78">VLOOKUP(A78,'The List'!B1:F671,5,FALSE)</f>
        <v>WSH</v>
      </c>
      <c r="E78" s="55" cm="1">
        <f t="array" ref="E78">VLOOKUP(A78,'The List'!B1:I671,8,FALSE)</f>
        <v>265.20987909945922</v>
      </c>
      <c r="F78" s="55" cm="1">
        <f t="array" ref="F78">IF(Settings!$E$15="POINTS",E78-VLOOKUP(B$2,C1:E210,3,FALSE),J78)</f>
        <v>-129.73358559409826</v>
      </c>
      <c r="G78" s="55"/>
      <c r="H78" s="167" cm="1">
        <f t="array" ref="H78">RANK(I78,I3:I210)</f>
        <v>58</v>
      </c>
      <c r="I78" s="168" cm="1">
        <f t="array" ref="I78">VLOOKUP(A78,'Standard Deviations'!A1:C672,3,FALSE)</f>
        <v>3.3344173998945483</v>
      </c>
      <c r="J78" s="168" cm="1">
        <f t="array" ref="J78">I78-VLOOKUP(B$2,H1:J210,2,FALSE)</f>
        <v>-3.8368260119491109</v>
      </c>
    </row>
    <row r="79" spans="1:10" ht="21.25" customHeight="1" x14ac:dyDescent="0.15">
      <c r="A79" s="10" t="s">
        <v>401</v>
      </c>
      <c r="B79" s="97" t="str" cm="1">
        <f t="array" ref="B79">VLOOKUP(A79,'The List'!B1:D671,3,FALSE)</f>
        <v>RW</v>
      </c>
      <c r="C79" s="98" cm="1">
        <f t="array" ref="C79">IF(Settings!$E$15="POINTS",RANK(E79,E3:E210),H79)</f>
        <v>77</v>
      </c>
      <c r="D79" s="18" t="str" cm="1">
        <f t="array" ref="D79">VLOOKUP(A79,'The List'!B1:F671,5,FALSE)</f>
        <v>SEA</v>
      </c>
      <c r="E79" s="55" cm="1">
        <f t="array" ref="E79">VLOOKUP(A79,'The List'!B1:I671,8,FALSE)</f>
        <v>259.23159012906535</v>
      </c>
      <c r="F79" s="55" cm="1">
        <f t="array" ref="F79">IF(Settings!$E$15="POINTS",E79-VLOOKUP(B$2,C1:E210,3,FALSE),J79)</f>
        <v>-135.71187456449212</v>
      </c>
      <c r="G79" s="55"/>
      <c r="H79" s="167" cm="1">
        <f t="array" ref="H79">RANK(I79,I3:I210)</f>
        <v>99</v>
      </c>
      <c r="I79" s="168" cm="1">
        <f t="array" ref="I79">VLOOKUP(A79,'Standard Deviations'!A1:C672,3,FALSE)</f>
        <v>-0.1944645468798219</v>
      </c>
      <c r="J79" s="168" cm="1">
        <f t="array" ref="J79">I79-VLOOKUP(B$2,H1:J210,2,FALSE)</f>
        <v>-7.3657079587234815</v>
      </c>
    </row>
    <row r="80" spans="1:10" ht="21.25" customHeight="1" x14ac:dyDescent="0.15">
      <c r="A80" s="10" t="s">
        <v>404</v>
      </c>
      <c r="B80" s="97" t="str" cm="1">
        <f t="array" ref="B80">VLOOKUP(A80,'The List'!B1:D671,3,FALSE)</f>
        <v>RW</v>
      </c>
      <c r="C80" s="98" cm="1">
        <f t="array" ref="C80">IF(Settings!$E$15="POINTS",RANK(E80,E3:E210),H80)</f>
        <v>78</v>
      </c>
      <c r="D80" s="18" t="str" cm="1">
        <f t="array" ref="D80">VLOOKUP(A80,'The List'!B1:F671,5,FALSE)</f>
        <v>BUF</v>
      </c>
      <c r="E80" s="55" cm="1">
        <f t="array" ref="E80">VLOOKUP(A80,'The List'!B1:I671,8,FALSE)</f>
        <v>256.64882512746482</v>
      </c>
      <c r="F80" s="55" cm="1">
        <f t="array" ref="F80">IF(Settings!$E$15="POINTS",E80-VLOOKUP(B$2,C1:E210,3,FALSE),J80)</f>
        <v>-138.29463956609266</v>
      </c>
      <c r="G80" s="55"/>
      <c r="H80" s="167" cm="1">
        <f t="array" ref="H80">RANK(I80,I3:I210)</f>
        <v>84</v>
      </c>
      <c r="I80" s="168" cm="1">
        <f t="array" ref="I80">VLOOKUP(A80,'Standard Deviations'!A1:C672,3,FALSE)</f>
        <v>0.47826364702370405</v>
      </c>
      <c r="J80" s="168" cm="1">
        <f t="array" ref="J80">I80-VLOOKUP(B$2,H1:J210,2,FALSE)</f>
        <v>-6.6929797648199552</v>
      </c>
    </row>
    <row r="81" spans="1:10" ht="21.25" customHeight="1" x14ac:dyDescent="0.15">
      <c r="A81" s="10" t="s">
        <v>406</v>
      </c>
      <c r="B81" s="97" t="str" cm="1">
        <f t="array" ref="B81">VLOOKUP(A81,'The List'!B1:D671,3,FALSE)</f>
        <v>LW,RW</v>
      </c>
      <c r="C81" s="98" cm="1">
        <f t="array" ref="C81">IF(Settings!$E$15="POINTS",RANK(E81,E3:E210),H81)</f>
        <v>79</v>
      </c>
      <c r="D81" s="18" t="str" cm="1">
        <f t="array" ref="D81">VLOOKUP(A81,'The List'!B1:F671,5,FALSE)</f>
        <v>NYR</v>
      </c>
      <c r="E81" s="55" cm="1">
        <f t="array" ref="E81">VLOOKUP(A81,'The List'!B1:I671,8,FALSE)</f>
        <v>256.20299605836851</v>
      </c>
      <c r="F81" s="55" cm="1">
        <f t="array" ref="F81">IF(Settings!$E$15="POINTS",E81-VLOOKUP(B$2,C1:E210,3,FALSE),J81)</f>
        <v>-138.74046863518896</v>
      </c>
      <c r="G81" s="55"/>
      <c r="H81" s="167" cm="1">
        <f t="array" ref="H81">RANK(I81,I3:I210)</f>
        <v>61</v>
      </c>
      <c r="I81" s="168" cm="1">
        <f t="array" ref="I81">VLOOKUP(A81,'Standard Deviations'!A1:C672,3,FALSE)</f>
        <v>2.9591452942435836</v>
      </c>
      <c r="J81" s="168" cm="1">
        <f t="array" ref="J81">I81-VLOOKUP(B$2,H1:J210,2,FALSE)</f>
        <v>-4.2120981176000756</v>
      </c>
    </row>
    <row r="82" spans="1:10" ht="21.25" customHeight="1" x14ac:dyDescent="0.15">
      <c r="A82" s="10" t="s">
        <v>408</v>
      </c>
      <c r="B82" s="97" t="str" cm="1">
        <f t="array" ref="B82">VLOOKUP(A82,'The List'!B1:D671,3,FALSE)</f>
        <v>C,LW,RW</v>
      </c>
      <c r="C82" s="98" cm="1">
        <f t="array" ref="C82">IF(Settings!$E$15="POINTS",RANK(E82,E3:E210),H82)</f>
        <v>80</v>
      </c>
      <c r="D82" s="18" t="str" cm="1">
        <f t="array" ref="D82">VLOOKUP(A82,'The List'!B1:F671,5,FALSE)</f>
        <v>STL</v>
      </c>
      <c r="E82" s="55" cm="1">
        <f t="array" ref="E82">VLOOKUP(A82,'The List'!B1:I671,8,FALSE)</f>
        <v>255.80639228294342</v>
      </c>
      <c r="F82" s="55" cm="1">
        <f t="array" ref="F82">IF(Settings!$E$15="POINTS",E82-VLOOKUP(B$2,C1:E210,3,FALSE),J82)</f>
        <v>-139.13707241061405</v>
      </c>
      <c r="G82" s="55"/>
      <c r="H82" s="167" cm="1">
        <f t="array" ref="H82">RANK(I82,I3:I210)</f>
        <v>81</v>
      </c>
      <c r="I82" s="168" cm="1">
        <f t="array" ref="I82">VLOOKUP(A82,'Standard Deviations'!A1:C672,3,FALSE)</f>
        <v>0.61588298517463802</v>
      </c>
      <c r="J82" s="168" cm="1">
        <f t="array" ref="J82">I82-VLOOKUP(B$2,H1:J210,2,FALSE)</f>
        <v>-6.5553604266690213</v>
      </c>
    </row>
    <row r="83" spans="1:10" ht="21.25" customHeight="1" x14ac:dyDescent="0.15">
      <c r="A83" s="10" t="s">
        <v>412</v>
      </c>
      <c r="B83" s="97" t="str" cm="1">
        <f t="array" ref="B83">VLOOKUP(A83,'The List'!B1:D671,3,FALSE)</f>
        <v>RW</v>
      </c>
      <c r="C83" s="98" cm="1">
        <f t="array" ref="C83">IF(Settings!$E$15="POINTS",RANK(E83,E3:E210),H83)</f>
        <v>81</v>
      </c>
      <c r="D83" s="18" t="str" cm="1">
        <f t="array" ref="D83">VLOOKUP(A83,'The List'!B1:F671,5,FALSE)</f>
        <v>NYI</v>
      </c>
      <c r="E83" s="55" cm="1">
        <f t="array" ref="E83">VLOOKUP(A83,'The List'!B1:I671,8,FALSE)</f>
        <v>253.76647840916939</v>
      </c>
      <c r="F83" s="55" cm="1">
        <f t="array" ref="F83">IF(Settings!$E$15="POINTS",E83-VLOOKUP(B$2,C1:E210,3,FALSE),J83)</f>
        <v>-141.17698628438808</v>
      </c>
      <c r="G83" s="55"/>
      <c r="H83" s="167" cm="1">
        <f t="array" ref="H83">RANK(I83,I3:I210)</f>
        <v>95</v>
      </c>
      <c r="I83" s="168" cm="1">
        <f t="array" ref="I83">VLOOKUP(A83,'Standard Deviations'!A1:C672,3,FALSE)</f>
        <v>-8.6242588346528537E-2</v>
      </c>
      <c r="J83" s="168" cm="1">
        <f t="array" ref="J83">I83-VLOOKUP(B$2,H1:J210,2,FALSE)</f>
        <v>-7.2574860001901875</v>
      </c>
    </row>
    <row r="84" spans="1:10" ht="21.25" customHeight="1" x14ac:dyDescent="0.15">
      <c r="A84" s="10" t="s">
        <v>415</v>
      </c>
      <c r="B84" s="97" t="str" cm="1">
        <f t="array" ref="B84">VLOOKUP(A84,'The List'!B1:D671,3,FALSE)</f>
        <v>C,LW,RW</v>
      </c>
      <c r="C84" s="98" cm="1">
        <f t="array" ref="C84">IF(Settings!$E$15="POINTS",RANK(E84,E3:E210),H84)</f>
        <v>82</v>
      </c>
      <c r="D84" s="18" t="str" cm="1">
        <f t="array" ref="D84">VLOOKUP(A84,'The List'!B1:F671,5,FALSE)</f>
        <v>L.A</v>
      </c>
      <c r="E84" s="55" cm="1">
        <f t="array" ref="E84">VLOOKUP(A84,'The List'!B1:I671,8,FALSE)</f>
        <v>253.2762881512862</v>
      </c>
      <c r="F84" s="55" cm="1">
        <f t="array" ref="F84">IF(Settings!$E$15="POINTS",E84-VLOOKUP(B$2,C1:E210,3,FALSE),J84)</f>
        <v>-141.66717654227128</v>
      </c>
      <c r="G84" s="55"/>
      <c r="H84" s="167" cm="1">
        <f t="array" ref="H84">RANK(I84,I3:I210)</f>
        <v>79</v>
      </c>
      <c r="I84" s="168" cm="1">
        <f t="array" ref="I84">VLOOKUP(A84,'Standard Deviations'!A1:C672,3,FALSE)</f>
        <v>0.71110843045026217</v>
      </c>
      <c r="J84" s="168" cm="1">
        <f t="array" ref="J84">I84-VLOOKUP(B$2,H1:J210,2,FALSE)</f>
        <v>-6.4601349813933968</v>
      </c>
    </row>
    <row r="85" spans="1:10" ht="21.25" customHeight="1" x14ac:dyDescent="0.15">
      <c r="A85" s="10" t="s">
        <v>418</v>
      </c>
      <c r="B85" s="97" t="str" cm="1">
        <f t="array" ref="B85">VLOOKUP(A85,'The List'!B1:D671,3,FALSE)</f>
        <v>RW</v>
      </c>
      <c r="C85" s="98" cm="1">
        <f t="array" ref="C85">IF(Settings!$E$15="POINTS",RANK(E85,E3:E210),H85)</f>
        <v>83</v>
      </c>
      <c r="D85" s="18" t="str" cm="1">
        <f t="array" ref="D85">VLOOKUP(A85,'The List'!B1:F671,5,FALSE)</f>
        <v>L.A</v>
      </c>
      <c r="E85" s="55" cm="1">
        <f t="array" ref="E85">VLOOKUP(A85,'The List'!B1:I671,8,FALSE)</f>
        <v>252.48528575799153</v>
      </c>
      <c r="F85" s="55" cm="1">
        <f t="array" ref="F85">IF(Settings!$E$15="POINTS",E85-VLOOKUP(B$2,C1:E210,3,FALSE),J85)</f>
        <v>-142.45817893556594</v>
      </c>
      <c r="G85" s="55"/>
      <c r="H85" s="167" cm="1">
        <f t="array" ref="H85">RANK(I85,I3:I210)</f>
        <v>83</v>
      </c>
      <c r="I85" s="168" cm="1">
        <f t="array" ref="I85">VLOOKUP(A85,'Standard Deviations'!A1:C672,3,FALSE)</f>
        <v>0.5430651153624213</v>
      </c>
      <c r="J85" s="168" cm="1">
        <f t="array" ref="J85">I85-VLOOKUP(B$2,H1:J210,2,FALSE)</f>
        <v>-6.6281782964812379</v>
      </c>
    </row>
    <row r="86" spans="1:10" ht="21.25" customHeight="1" x14ac:dyDescent="0.15">
      <c r="A86" s="10" t="s">
        <v>433</v>
      </c>
      <c r="B86" s="97" t="str" cm="1">
        <f t="array" ref="B86">VLOOKUP(A86,'The List'!B1:D671,3,FALSE)</f>
        <v>LW,RW</v>
      </c>
      <c r="C86" s="98" cm="1">
        <f t="array" ref="C86">IF(Settings!$E$15="POINTS",RANK(E86,E3:E210),H86)</f>
        <v>84</v>
      </c>
      <c r="D86" s="18" t="str" cm="1">
        <f t="array" ref="D86">VLOOKUP(A86,'The List'!B1:F671,5,FALSE)</f>
        <v>CGY</v>
      </c>
      <c r="E86" s="55" cm="1">
        <f t="array" ref="E86">VLOOKUP(A86,'The List'!B1:I671,8,FALSE)</f>
        <v>247.8910043918896</v>
      </c>
      <c r="F86" s="55" cm="1">
        <f t="array" ref="F86">IF(Settings!$E$15="POINTS",E86-VLOOKUP(B$2,C1:E210,3,FALSE),J86)</f>
        <v>-147.05246030166788</v>
      </c>
      <c r="G86" s="55"/>
      <c r="H86" s="167" cm="1">
        <f t="array" ref="H86">RANK(I86,I3:I210)</f>
        <v>97</v>
      </c>
      <c r="I86" s="168" cm="1">
        <f t="array" ref="I86">VLOOKUP(A86,'Standard Deviations'!A1:C672,3,FALSE)</f>
        <v>-0.14843779444304334</v>
      </c>
      <c r="J86" s="168" cm="1">
        <f t="array" ref="J86">I86-VLOOKUP(B$2,H1:J210,2,FALSE)</f>
        <v>-7.3196812062867025</v>
      </c>
    </row>
    <row r="87" spans="1:10" ht="21.25" customHeight="1" x14ac:dyDescent="0.15">
      <c r="A87" s="10" t="s">
        <v>438</v>
      </c>
      <c r="B87" s="97" t="str" cm="1">
        <f t="array" ref="B87">VLOOKUP(A87,'The List'!B1:D671,3,FALSE)</f>
        <v>LW,RW</v>
      </c>
      <c r="C87" s="98" cm="1">
        <f t="array" ref="C87">IF(Settings!$E$15="POINTS",RANK(E87,E3:E210),H87)</f>
        <v>85</v>
      </c>
      <c r="D87" s="18" t="str" cm="1">
        <f t="array" ref="D87">VLOOKUP(A87,'The List'!B1:F671,5,FALSE)</f>
        <v>SEA</v>
      </c>
      <c r="E87" s="55" cm="1">
        <f t="array" ref="E87">VLOOKUP(A87,'The List'!B1:I671,8,FALSE)</f>
        <v>246.68167413291556</v>
      </c>
      <c r="F87" s="55" cm="1">
        <f t="array" ref="F87">IF(Settings!$E$15="POINTS",E87-VLOOKUP(B$2,C1:E210,3,FALSE),J87)</f>
        <v>-148.26179056064191</v>
      </c>
      <c r="G87" s="55"/>
      <c r="H87" s="167" cm="1">
        <f t="array" ref="H87">RANK(I87,I3:I210)</f>
        <v>103</v>
      </c>
      <c r="I87" s="168" cm="1">
        <f t="array" ref="I87">VLOOKUP(A87,'Standard Deviations'!A1:C672,3,FALSE)</f>
        <v>-0.35454343235129859</v>
      </c>
      <c r="J87" s="168" cm="1">
        <f t="array" ref="J87">I87-VLOOKUP(B$2,H1:J210,2,FALSE)</f>
        <v>-7.5257868441949576</v>
      </c>
    </row>
    <row r="88" spans="1:10" ht="21.25" customHeight="1" x14ac:dyDescent="0.15">
      <c r="A88" s="10" t="s">
        <v>446</v>
      </c>
      <c r="B88" s="97" t="str" cm="1">
        <f t="array" ref="B88">VLOOKUP(A88,'The List'!B1:D671,3,FALSE)</f>
        <v>LW,RW</v>
      </c>
      <c r="C88" s="98" cm="1">
        <f t="array" ref="C88">IF(Settings!$E$15="POINTS",RANK(E88,E3:E210),H88)</f>
        <v>86</v>
      </c>
      <c r="D88" s="18" t="str" cm="1">
        <f t="array" ref="D88">VLOOKUP(A88,'The List'!B1:F671,5,FALSE)</f>
        <v>PHI</v>
      </c>
      <c r="E88" s="55" cm="1">
        <f t="array" ref="E88">VLOOKUP(A88,'The List'!B1:I671,8,FALSE)</f>
        <v>244.24824323143201</v>
      </c>
      <c r="F88" s="55" cm="1">
        <f t="array" ref="F88">IF(Settings!$E$15="POINTS",E88-VLOOKUP(B$2,C1:E210,3,FALSE),J88)</f>
        <v>-150.69522146212546</v>
      </c>
      <c r="G88" s="55"/>
      <c r="H88" s="167" cm="1">
        <f t="array" ref="H88">RANK(I88,I3:I210)</f>
        <v>75</v>
      </c>
      <c r="I88" s="168" cm="1">
        <f t="array" ref="I88">VLOOKUP(A88,'Standard Deviations'!A1:C672,3,FALSE)</f>
        <v>1.4528495260984955</v>
      </c>
      <c r="J88" s="168" cm="1">
        <f t="array" ref="J88">I88-VLOOKUP(B$2,H1:J210,2,FALSE)</f>
        <v>-5.7183938857451633</v>
      </c>
    </row>
    <row r="89" spans="1:10" ht="21.25" customHeight="1" x14ac:dyDescent="0.15">
      <c r="A89" s="10" t="s">
        <v>451</v>
      </c>
      <c r="B89" s="97" t="str" cm="1">
        <f t="array" ref="B89">VLOOKUP(A89,'The List'!B1:D671,3,FALSE)</f>
        <v>C,RW</v>
      </c>
      <c r="C89" s="98" cm="1">
        <f t="array" ref="C89">IF(Settings!$E$15="POINTS",RANK(E89,E3:E210),H89)</f>
        <v>87</v>
      </c>
      <c r="D89" s="18" t="str" cm="1">
        <f t="array" ref="D89">VLOOKUP(A89,'The List'!B1:F671,5,FALSE)</f>
        <v>DAL</v>
      </c>
      <c r="E89" s="55" cm="1">
        <f t="array" ref="E89">VLOOKUP(A89,'The List'!B1:I671,8,FALSE)</f>
        <v>242.34785746409622</v>
      </c>
      <c r="F89" s="55" cm="1">
        <f t="array" ref="F89">IF(Settings!$E$15="POINTS",E89-VLOOKUP(B$2,C1:E210,3,FALSE),J89)</f>
        <v>-152.59560722946125</v>
      </c>
      <c r="G89" s="55"/>
      <c r="H89" s="167" cm="1">
        <f t="array" ref="H89">RANK(I89,I3:I210)</f>
        <v>92</v>
      </c>
      <c r="I89" s="168" cm="1">
        <f t="array" ref="I89">VLOOKUP(A89,'Standard Deviations'!A1:C672,3,FALSE)</f>
        <v>0.25598175483585295</v>
      </c>
      <c r="J89" s="168" cm="1">
        <f t="array" ref="J89">I89-VLOOKUP(B$2,H1:J210,2,FALSE)</f>
        <v>-6.9152616570078065</v>
      </c>
    </row>
    <row r="90" spans="1:10" ht="21.25" customHeight="1" x14ac:dyDescent="0.15">
      <c r="A90" s="10" t="s">
        <v>455</v>
      </c>
      <c r="B90" s="97" t="str" cm="1">
        <f t="array" ref="B90">VLOOKUP(A90,'The List'!B1:D671,3,FALSE)</f>
        <v>C,RW</v>
      </c>
      <c r="C90" s="98" cm="1">
        <f t="array" ref="C90">IF(Settings!$E$15="POINTS",RANK(E90,E3:E210),H90)</f>
        <v>88</v>
      </c>
      <c r="D90" s="18" t="str" cm="1">
        <f t="array" ref="D90">VLOOKUP(A90,'The List'!B1:F671,5,FALSE)</f>
        <v>NYI</v>
      </c>
      <c r="E90" s="55" cm="1">
        <f t="array" ref="E90">VLOOKUP(A90,'The List'!B1:I671,8,FALSE)</f>
        <v>241.6266570721115</v>
      </c>
      <c r="F90" s="55" cm="1">
        <f t="array" ref="F90">IF(Settings!$E$15="POINTS",E90-VLOOKUP(B$2,C1:E210,3,FALSE),J90)</f>
        <v>-153.31680762144597</v>
      </c>
      <c r="G90" s="55"/>
      <c r="H90" s="167" cm="1">
        <f t="array" ref="H90">RANK(I90,I3:I210)</f>
        <v>96</v>
      </c>
      <c r="I90" s="168" cm="1">
        <f t="array" ref="I90">VLOOKUP(A90,'Standard Deviations'!A1:C672,3,FALSE)</f>
        <v>-0.13900229145386706</v>
      </c>
      <c r="J90" s="168" cm="1">
        <f t="array" ref="J90">I90-VLOOKUP(B$2,H1:J210,2,FALSE)</f>
        <v>-7.3102457032975261</v>
      </c>
    </row>
    <row r="91" spans="1:10" ht="21.25" customHeight="1" x14ac:dyDescent="0.15">
      <c r="A91" s="10" t="s">
        <v>463</v>
      </c>
      <c r="B91" s="97" t="str" cm="1">
        <f t="array" ref="B91">VLOOKUP(A91,'The List'!B1:D671,3,FALSE)</f>
        <v>LW,RW</v>
      </c>
      <c r="C91" s="98" cm="1">
        <f t="array" ref="C91">IF(Settings!$E$15="POINTS",RANK(E91,E3:E210),H91)</f>
        <v>89</v>
      </c>
      <c r="D91" s="18" t="str" cm="1">
        <f t="array" ref="D91">VLOOKUP(A91,'The List'!B1:F671,5,FALSE)</f>
        <v>NYI</v>
      </c>
      <c r="E91" s="55" cm="1">
        <f t="array" ref="E91">VLOOKUP(A91,'The List'!B1:I671,8,FALSE)</f>
        <v>238.25643493939344</v>
      </c>
      <c r="F91" s="55" cm="1">
        <f t="array" ref="F91">IF(Settings!$E$15="POINTS",E91-VLOOKUP(B$2,C1:E210,3,FALSE),J91)</f>
        <v>-156.68702975416403</v>
      </c>
      <c r="G91" s="55"/>
      <c r="H91" s="167" cm="1">
        <f t="array" ref="H91">RANK(I91,I3:I210)</f>
        <v>117</v>
      </c>
      <c r="I91" s="168" cm="1">
        <f t="array" ref="I91">VLOOKUP(A91,'Standard Deviations'!A1:C672,3,FALSE)</f>
        <v>-1.4827693340308725</v>
      </c>
      <c r="J91" s="168" cm="1">
        <f t="array" ref="J91">I91-VLOOKUP(B$2,H1:J210,2,FALSE)</f>
        <v>-8.6540127458745317</v>
      </c>
    </row>
    <row r="92" spans="1:10" ht="21.25" customHeight="1" x14ac:dyDescent="0.15">
      <c r="A92" s="10" t="s">
        <v>465</v>
      </c>
      <c r="B92" s="97" t="str" cm="1">
        <f t="array" ref="B92">VLOOKUP(A92,'The List'!B1:D671,3,FALSE)</f>
        <v>LW,RW</v>
      </c>
      <c r="C92" s="98" cm="1">
        <f t="array" ref="C92">IF(Settings!$E$15="POINTS",RANK(E92,E3:E210),H92)</f>
        <v>90</v>
      </c>
      <c r="D92" s="18" t="str" cm="1">
        <f t="array" ref="D92">VLOOKUP(A92,'The List'!B1:F671,5,FALSE)</f>
        <v>COL</v>
      </c>
      <c r="E92" s="55" cm="1">
        <f t="array" ref="E92">VLOOKUP(A92,'The List'!B1:I671,8,FALSE)</f>
        <v>237.93001367595139</v>
      </c>
      <c r="F92" s="55" cm="1">
        <f t="array" ref="F92">IF(Settings!$E$15="POINTS",E92-VLOOKUP(B$2,C1:E210,3,FALSE),J92)</f>
        <v>-157.01345101760609</v>
      </c>
      <c r="G92" s="55"/>
      <c r="H92" s="167" cm="1">
        <f t="array" ref="H92">RANK(I92,I3:I210)</f>
        <v>68</v>
      </c>
      <c r="I92" s="168" cm="1">
        <f t="array" ref="I92">VLOOKUP(A92,'Standard Deviations'!A1:C672,3,FALSE)</f>
        <v>1.8472576901589584</v>
      </c>
      <c r="J92" s="168" cm="1">
        <f t="array" ref="J92">I92-VLOOKUP(B$2,H1:J210,2,FALSE)</f>
        <v>-5.3239857216847009</v>
      </c>
    </row>
    <row r="93" spans="1:10" ht="21.25" customHeight="1" x14ac:dyDescent="0.15">
      <c r="A93" s="10" t="s">
        <v>472</v>
      </c>
      <c r="B93" s="97" t="str" cm="1">
        <f t="array" ref="B93">VLOOKUP(A93,'The List'!B1:D671,3,FALSE)</f>
        <v>C,RW</v>
      </c>
      <c r="C93" s="98" cm="1">
        <f t="array" ref="C93">IF(Settings!$E$15="POINTS",RANK(E93,E3:E210),H93)</f>
        <v>91</v>
      </c>
      <c r="D93" s="18" t="str" cm="1">
        <f t="array" ref="D93">VLOOKUP(A93,'The List'!B1:F671,5,FALSE)</f>
        <v>N.J</v>
      </c>
      <c r="E93" s="55" cm="1">
        <f t="array" ref="E93">VLOOKUP(A93,'The List'!B1:I671,8,FALSE)</f>
        <v>234.35865127818147</v>
      </c>
      <c r="F93" s="55" cm="1">
        <f t="array" ref="F93">IF(Settings!$E$15="POINTS",E93-VLOOKUP(B$2,C1:E210,3,FALSE),J93)</f>
        <v>-160.584813415376</v>
      </c>
      <c r="G93" s="55"/>
      <c r="H93" s="167" cm="1">
        <f t="array" ref="H93">RANK(I93,I3:I210)</f>
        <v>102</v>
      </c>
      <c r="I93" s="168" cm="1">
        <f t="array" ref="I93">VLOOKUP(A93,'Standard Deviations'!A1:C672,3,FALSE)</f>
        <v>-0.30645082286994868</v>
      </c>
      <c r="J93" s="168" cm="1">
        <f t="array" ref="J93">I93-VLOOKUP(B$2,H1:J210,2,FALSE)</f>
        <v>-7.4776942347136082</v>
      </c>
    </row>
    <row r="94" spans="1:10" ht="21.25" customHeight="1" x14ac:dyDescent="0.15">
      <c r="A94" s="10" t="s">
        <v>473</v>
      </c>
      <c r="B94" s="97" t="str" cm="1">
        <f t="array" ref="B94">VLOOKUP(A94,'The List'!B1:D671,3,FALSE)</f>
        <v>LW,RW</v>
      </c>
      <c r="C94" s="98" cm="1">
        <f t="array" ref="C94">IF(Settings!$E$15="POINTS",RANK(E94,E3:E210),H94)</f>
        <v>92</v>
      </c>
      <c r="D94" s="18" t="str" cm="1">
        <f t="array" ref="D94">VLOOKUP(A94,'The List'!B1:F671,5,FALSE)</f>
        <v>CGY</v>
      </c>
      <c r="E94" s="55" cm="1">
        <f t="array" ref="E94">VLOOKUP(A94,'The List'!B1:I671,8,FALSE)</f>
        <v>234.23682361122701</v>
      </c>
      <c r="F94" s="55" cm="1">
        <f t="array" ref="F94">IF(Settings!$E$15="POINTS",E94-VLOOKUP(B$2,C1:E210,3,FALSE),J94)</f>
        <v>-160.70664108233046</v>
      </c>
      <c r="G94" s="55"/>
      <c r="H94" s="167" cm="1">
        <f t="array" ref="H94">RANK(I94,I3:I210)</f>
        <v>118</v>
      </c>
      <c r="I94" s="168" cm="1">
        <f t="array" ref="I94">VLOOKUP(A94,'Standard Deviations'!A1:C672,3,FALSE)</f>
        <v>-1.4841110149228107</v>
      </c>
      <c r="J94" s="168" cm="1">
        <f t="array" ref="J94">I94-VLOOKUP(B$2,H1:J210,2,FALSE)</f>
        <v>-8.6553544267664702</v>
      </c>
    </row>
    <row r="95" spans="1:10" ht="21.25" customHeight="1" x14ac:dyDescent="0.15">
      <c r="A95" s="10" t="s">
        <v>475</v>
      </c>
      <c r="B95" s="97" t="str" cm="1">
        <f t="array" ref="B95">VLOOKUP(A95,'The List'!B1:D671,3,FALSE)</f>
        <v>LW,RW</v>
      </c>
      <c r="C95" s="98" cm="1">
        <f t="array" ref="C95">IF(Settings!$E$15="POINTS",RANK(E95,E3:E210),H95)</f>
        <v>93</v>
      </c>
      <c r="D95" s="18" t="str" cm="1">
        <f t="array" ref="D95">VLOOKUP(A95,'The List'!B1:F671,5,FALSE)</f>
        <v>S.J</v>
      </c>
      <c r="E95" s="55" cm="1">
        <f t="array" ref="E95">VLOOKUP(A95,'The List'!B1:I671,8,FALSE)</f>
        <v>233.42358565716344</v>
      </c>
      <c r="F95" s="55" cm="1">
        <f t="array" ref="F95">IF(Settings!$E$15="POINTS",E95-VLOOKUP(B$2,C1:E210,3,FALSE),J95)</f>
        <v>-161.51987903639403</v>
      </c>
      <c r="G95" s="55"/>
      <c r="H95" s="167" cm="1">
        <f t="array" ref="H95">RANK(I95,I3:I210)</f>
        <v>78</v>
      </c>
      <c r="I95" s="168" cm="1">
        <f t="array" ref="I95">VLOOKUP(A95,'Standard Deviations'!A1:C672,3,FALSE)</f>
        <v>0.93339761750421846</v>
      </c>
      <c r="J95" s="168" cm="1">
        <f t="array" ref="J95">I95-VLOOKUP(B$2,H1:J210,2,FALSE)</f>
        <v>-6.2378457943394405</v>
      </c>
    </row>
    <row r="96" spans="1:10" ht="21.25" customHeight="1" x14ac:dyDescent="0.15">
      <c r="A96" s="10" t="s">
        <v>485</v>
      </c>
      <c r="B96" s="97" t="str" cm="1">
        <f t="array" ref="B96">VLOOKUP(A96,'The List'!B1:D671,3,FALSE)</f>
        <v>C,RW</v>
      </c>
      <c r="C96" s="98" cm="1">
        <f t="array" ref="C96">IF(Settings!$E$15="POINTS",RANK(E96,E3:E210),H96)</f>
        <v>94</v>
      </c>
      <c r="D96" s="18" t="str" cm="1">
        <f t="array" ref="D96">VLOOKUP(A96,'The List'!B1:F671,5,FALSE)</f>
        <v>NSH</v>
      </c>
      <c r="E96" s="55" cm="1">
        <f t="array" ref="E96">VLOOKUP(A96,'The List'!B1:I671,8,FALSE)</f>
        <v>230.21416272990115</v>
      </c>
      <c r="F96" s="55" cm="1">
        <f t="array" ref="F96">IF(Settings!$E$15="POINTS",E96-VLOOKUP(B$2,C1:E210,3,FALSE),J96)</f>
        <v>-164.72930196365633</v>
      </c>
      <c r="G96" s="55"/>
      <c r="H96" s="167" cm="1">
        <f t="array" ref="H96">RANK(I96,I3:I210)</f>
        <v>113</v>
      </c>
      <c r="I96" s="168" cm="1">
        <f t="array" ref="I96">VLOOKUP(A96,'Standard Deviations'!A1:C672,3,FALSE)</f>
        <v>-1.1643298052082887</v>
      </c>
      <c r="J96" s="168" cm="1">
        <f t="array" ref="J96">I96-VLOOKUP(B$2,H1:J210,2,FALSE)</f>
        <v>-8.3355732170519481</v>
      </c>
    </row>
    <row r="97" spans="1:10" ht="21.25" customHeight="1" x14ac:dyDescent="0.15">
      <c r="A97" s="10" t="s">
        <v>492</v>
      </c>
      <c r="B97" s="97" t="str" cm="1">
        <f t="array" ref="B97">VLOOKUP(A97,'The List'!B1:D671,3,FALSE)</f>
        <v>C,RW</v>
      </c>
      <c r="C97" s="98" cm="1">
        <f t="array" ref="C97">IF(Settings!$E$15="POINTS",RANK(E97,E3:E210),H97)</f>
        <v>95</v>
      </c>
      <c r="D97" s="18" t="str" cm="1">
        <f t="array" ref="D97">VLOOKUP(A97,'The List'!B1:F671,5,FALSE)</f>
        <v>SEA</v>
      </c>
      <c r="E97" s="55" cm="1">
        <f t="array" ref="E97">VLOOKUP(A97,'The List'!B1:I671,8,FALSE)</f>
        <v>226.33554928553428</v>
      </c>
      <c r="F97" s="55" cm="1">
        <f t="array" ref="F97">IF(Settings!$E$15="POINTS",E97-VLOOKUP(B$2,C1:E210,3,FALSE),J97)</f>
        <v>-168.60791540802319</v>
      </c>
      <c r="G97" s="55"/>
      <c r="H97" s="167" cm="1">
        <f t="array" ref="H97">RANK(I97,I3:I210)</f>
        <v>122</v>
      </c>
      <c r="I97" s="168" cm="1">
        <f t="array" ref="I97">VLOOKUP(A97,'Standard Deviations'!A1:C672,3,FALSE)</f>
        <v>-1.7267018047371314</v>
      </c>
      <c r="J97" s="168" cm="1">
        <f t="array" ref="J97">I97-VLOOKUP(B$2,H1:J210,2,FALSE)</f>
        <v>-8.8979452165807906</v>
      </c>
    </row>
    <row r="98" spans="1:10" ht="21.25" customHeight="1" x14ac:dyDescent="0.15">
      <c r="A98" s="10" t="s">
        <v>493</v>
      </c>
      <c r="B98" s="97" t="str" cm="1">
        <f t="array" ref="B98">VLOOKUP(A98,'The List'!B1:D671,3,FALSE)</f>
        <v>C,RW</v>
      </c>
      <c r="C98" s="98" cm="1">
        <f t="array" ref="C98">IF(Settings!$E$15="POINTS",RANK(E98,E3:E210),H98)</f>
        <v>96</v>
      </c>
      <c r="D98" s="18" t="str" cm="1">
        <f t="array" ref="D98">VLOOKUP(A98,'The List'!B1:F671,5,FALSE)</f>
        <v>EDM</v>
      </c>
      <c r="E98" s="55" cm="1">
        <f t="array" ref="E98">VLOOKUP(A98,'The List'!B1:I671,8,FALSE)</f>
        <v>226.21666134188769</v>
      </c>
      <c r="F98" s="55" cm="1">
        <f t="array" ref="F98">IF(Settings!$E$15="POINTS",E98-VLOOKUP(B$2,C1:E210,3,FALSE),J98)</f>
        <v>-168.72680335166979</v>
      </c>
      <c r="G98" s="55"/>
      <c r="H98" s="167" cm="1">
        <f t="array" ref="H98">RANK(I98,I3:I210)</f>
        <v>93</v>
      </c>
      <c r="I98" s="168" cm="1">
        <f t="array" ref="I98">VLOOKUP(A98,'Standard Deviations'!A1:C672,3,FALSE)</f>
        <v>7.3202651235412364E-2</v>
      </c>
      <c r="J98" s="168" cm="1">
        <f t="array" ref="J98">I98-VLOOKUP(B$2,H1:J210,2,FALSE)</f>
        <v>-7.0980407606082467</v>
      </c>
    </row>
    <row r="99" spans="1:10" ht="21.25" customHeight="1" x14ac:dyDescent="0.15">
      <c r="A99" s="10" t="s">
        <v>497</v>
      </c>
      <c r="B99" s="97" t="str" cm="1">
        <f t="array" ref="B99">VLOOKUP(A99,'The List'!B1:D671,3,FALSE)</f>
        <v>LW,RW</v>
      </c>
      <c r="C99" s="98" cm="1">
        <f t="array" ref="C99">IF(Settings!$E$15="POINTS",RANK(E99,E3:E210),H99)</f>
        <v>97</v>
      </c>
      <c r="D99" s="18" t="str" cm="1">
        <f t="array" ref="D99">VLOOKUP(A99,'The List'!B1:F671,5,FALSE)</f>
        <v>NSH</v>
      </c>
      <c r="E99" s="55" cm="1">
        <f t="array" ref="E99">VLOOKUP(A99,'The List'!B1:I671,8,FALSE)</f>
        <v>225.10089917070135</v>
      </c>
      <c r="F99" s="55" cm="1">
        <f t="array" ref="F99">IF(Settings!$E$15="POINTS",E99-VLOOKUP(B$2,C1:E210,3,FALSE),J99)</f>
        <v>-169.84256552285612</v>
      </c>
      <c r="G99" s="55"/>
      <c r="H99" s="167" cm="1">
        <f t="array" ref="H99">RANK(I99,I3:I210)</f>
        <v>111</v>
      </c>
      <c r="I99" s="168" cm="1">
        <f t="array" ref="I99">VLOOKUP(A99,'Standard Deviations'!A1:C672,3,FALSE)</f>
        <v>-1.0889641903433511</v>
      </c>
      <c r="J99" s="168" cm="1">
        <f t="array" ref="J99">I99-VLOOKUP(B$2,H1:J210,2,FALSE)</f>
        <v>-8.2602076021870108</v>
      </c>
    </row>
    <row r="100" spans="1:10" ht="21.25" customHeight="1" x14ac:dyDescent="0.15">
      <c r="A100" s="10" t="s">
        <v>498</v>
      </c>
      <c r="B100" s="97" t="str" cm="1">
        <f t="array" ref="B100">VLOOKUP(A100,'The List'!B1:D671,3,FALSE)</f>
        <v>RW</v>
      </c>
      <c r="C100" s="98" cm="1">
        <f t="array" ref="C100">IF(Settings!$E$15="POINTS",RANK(E100,E3:E210),H100)</f>
        <v>98</v>
      </c>
      <c r="D100" s="18" t="str" cm="1">
        <f t="array" ref="D100">VLOOKUP(A100,'The List'!B1:F671,5,FALSE)</f>
        <v>CBJ</v>
      </c>
      <c r="E100" s="55" cm="1">
        <f t="array" ref="E100">VLOOKUP(A100,'The List'!B1:I671,8,FALSE)</f>
        <v>225.06820385096373</v>
      </c>
      <c r="F100" s="55" cm="1">
        <f t="array" ref="F100">IF(Settings!$E$15="POINTS",E100-VLOOKUP(B$2,C1:E210,3,FALSE),J100)</f>
        <v>-169.87526084259375</v>
      </c>
      <c r="G100" s="55"/>
      <c r="H100" s="167" cm="1">
        <f t="array" ref="H100">RANK(I100,I3:I210)</f>
        <v>80</v>
      </c>
      <c r="I100" s="168" cm="1">
        <f t="array" ref="I100">VLOOKUP(A100,'Standard Deviations'!A1:C672,3,FALSE)</f>
        <v>0.64162730434364601</v>
      </c>
      <c r="J100" s="168" cm="1">
        <f t="array" ref="J100">I100-VLOOKUP(B$2,H1:J210,2,FALSE)</f>
        <v>-6.5296161075000132</v>
      </c>
    </row>
    <row r="101" spans="1:10" ht="21.25" customHeight="1" x14ac:dyDescent="0.15">
      <c r="A101" s="10" t="s">
        <v>499</v>
      </c>
      <c r="B101" s="97" t="str" cm="1">
        <f t="array" ref="B101">VLOOKUP(A101,'The List'!B1:D671,3,FALSE)</f>
        <v>LW,RW</v>
      </c>
      <c r="C101" s="98" cm="1">
        <f t="array" ref="C101">IF(Settings!$E$15="POINTS",RANK(E101,E3:E210),H101)</f>
        <v>99</v>
      </c>
      <c r="D101" s="18" t="str" cm="1">
        <f t="array" ref="D101">VLOOKUP(A101,'The List'!B1:F671,5,FALSE)</f>
        <v>S.J</v>
      </c>
      <c r="E101" s="55" cm="1">
        <f t="array" ref="E101">VLOOKUP(A101,'The List'!B1:I671,8,FALSE)</f>
        <v>224.99141928825057</v>
      </c>
      <c r="F101" s="55" cm="1">
        <f t="array" ref="F101">IF(Settings!$E$15="POINTS",E101-VLOOKUP(B$2,C1:E210,3,FALSE),J101)</f>
        <v>-169.9520454053069</v>
      </c>
      <c r="G101" s="55"/>
      <c r="H101" s="167" cm="1">
        <f t="array" ref="H101">RANK(I101,I3:I210)</f>
        <v>127</v>
      </c>
      <c r="I101" s="168" cm="1">
        <f t="array" ref="I101">VLOOKUP(A101,'Standard Deviations'!A1:C672,3,FALSE)</f>
        <v>-1.8541813487518164</v>
      </c>
      <c r="J101" s="168" cm="1">
        <f t="array" ref="J101">I101-VLOOKUP(B$2,H1:J210,2,FALSE)</f>
        <v>-9.0254247605954756</v>
      </c>
    </row>
    <row r="102" spans="1:10" ht="21.25" customHeight="1" x14ac:dyDescent="0.15">
      <c r="A102" s="10" t="s">
        <v>500</v>
      </c>
      <c r="B102" s="97" t="str" cm="1">
        <f t="array" ref="B102">VLOOKUP(A102,'The List'!B1:D671,3,FALSE)</f>
        <v>LW,RW</v>
      </c>
      <c r="C102" s="98" cm="1">
        <f t="array" ref="C102">IF(Settings!$E$15="POINTS",RANK(E102,E3:E210),H102)</f>
        <v>100</v>
      </c>
      <c r="D102" s="18" t="str" cm="1">
        <f t="array" ref="D102">VLOOKUP(A102,'The List'!B1:F671,5,FALSE)</f>
        <v>PIT</v>
      </c>
      <c r="E102" s="55" cm="1">
        <f t="array" ref="E102">VLOOKUP(A102,'The List'!B1:I671,8,FALSE)</f>
        <v>224.38293977864012</v>
      </c>
      <c r="F102" s="55" cm="1">
        <f t="array" ref="F102">IF(Settings!$E$15="POINTS",E102-VLOOKUP(B$2,C1:E210,3,FALSE),J102)</f>
        <v>-170.56052491491735</v>
      </c>
      <c r="G102" s="55"/>
      <c r="H102" s="167" cm="1">
        <f t="array" ref="H102">RANK(I102,I3:I210)</f>
        <v>115</v>
      </c>
      <c r="I102" s="168" cm="1">
        <f t="array" ref="I102">VLOOKUP(A102,'Standard Deviations'!A1:C672,3,FALSE)</f>
        <v>-1.4675488701250905</v>
      </c>
      <c r="J102" s="168" cm="1">
        <f t="array" ref="J102">I102-VLOOKUP(B$2,H1:J210,2,FALSE)</f>
        <v>-8.6387922819687493</v>
      </c>
    </row>
    <row r="103" spans="1:10" ht="21.25" customHeight="1" x14ac:dyDescent="0.15">
      <c r="A103" s="10" t="s">
        <v>502</v>
      </c>
      <c r="B103" s="97" t="str" cm="1">
        <f t="array" ref="B103">VLOOKUP(A103,'The List'!B1:D671,3,FALSE)</f>
        <v>LW,RW</v>
      </c>
      <c r="C103" s="98" cm="1">
        <f t="array" ref="C103">IF(Settings!$E$15="POINTS",RANK(E103,E3:E210),H103)</f>
        <v>101</v>
      </c>
      <c r="D103" s="18" t="str" cm="1">
        <f t="array" ref="D103">VLOOKUP(A103,'The List'!B1:F671,5,FALSE)</f>
        <v>S.J</v>
      </c>
      <c r="E103" s="55" cm="1">
        <f t="array" ref="E103">VLOOKUP(A103,'The List'!B1:I671,8,FALSE)</f>
        <v>223.08884803982193</v>
      </c>
      <c r="F103" s="55" cm="1">
        <f t="array" ref="F103">IF(Settings!$E$15="POINTS",E103-VLOOKUP(B$2,C1:E210,3,FALSE),J103)</f>
        <v>-171.85461665373555</v>
      </c>
      <c r="G103" s="55"/>
      <c r="H103" s="167" cm="1">
        <f t="array" ref="H103">RANK(I103,I3:I210)</f>
        <v>110</v>
      </c>
      <c r="I103" s="168" cm="1">
        <f t="array" ref="I103">VLOOKUP(A103,'Standard Deviations'!A1:C672,3,FALSE)</f>
        <v>-1.0169378886055078</v>
      </c>
      <c r="J103" s="168" cm="1">
        <f t="array" ref="J103">I103-VLOOKUP(B$2,H1:J210,2,FALSE)</f>
        <v>-8.1881813004491661</v>
      </c>
    </row>
    <row r="104" spans="1:10" ht="21.25" customHeight="1" x14ac:dyDescent="0.15">
      <c r="A104" s="10" t="s">
        <v>511</v>
      </c>
      <c r="B104" s="97" t="str" cm="1">
        <f t="array" ref="B104">VLOOKUP(A104,'The List'!B1:D671,3,FALSE)</f>
        <v>RW</v>
      </c>
      <c r="C104" s="98" cm="1">
        <f t="array" ref="C104">IF(Settings!$E$15="POINTS",RANK(E104,E3:E210),H104)</f>
        <v>102</v>
      </c>
      <c r="D104" s="18" t="str" cm="1">
        <f t="array" ref="D104">VLOOKUP(A104,'The List'!B1:F671,5,FALSE)</f>
        <v>NYR</v>
      </c>
      <c r="E104" s="55" cm="1">
        <f t="array" ref="E104">VLOOKUP(A104,'The List'!B1:I671,8,FALSE)</f>
        <v>221.00948542002763</v>
      </c>
      <c r="F104" s="55" cm="1">
        <f t="array" ref="F104">IF(Settings!$E$15="POINTS",E104-VLOOKUP(B$2,C1:E210,3,FALSE),J104)</f>
        <v>-173.93397927352984</v>
      </c>
      <c r="G104" s="55"/>
      <c r="H104" s="167" cm="1">
        <f t="array" ref="H104">RANK(I104,I3:I210)</f>
        <v>108</v>
      </c>
      <c r="I104" s="168" cm="1">
        <f t="array" ref="I104">VLOOKUP(A104,'Standard Deviations'!A1:C672,3,FALSE)</f>
        <v>-0.90153046324503172</v>
      </c>
      <c r="J104" s="168" cm="1">
        <f t="array" ref="J104">I104-VLOOKUP(B$2,H1:J210,2,FALSE)</f>
        <v>-8.072773875088691</v>
      </c>
    </row>
    <row r="105" spans="1:10" ht="21.25" customHeight="1" x14ac:dyDescent="0.15">
      <c r="A105" s="10" t="s">
        <v>521</v>
      </c>
      <c r="B105" s="97" t="str" cm="1">
        <f t="array" ref="B105">VLOOKUP(A105,'The List'!B1:D671,3,FALSE)</f>
        <v>C,LW,RW</v>
      </c>
      <c r="C105" s="98" cm="1">
        <f t="array" ref="C105">IF(Settings!$E$15="POINTS",RANK(E105,E3:E210),H105)</f>
        <v>103</v>
      </c>
      <c r="D105" s="18" t="str" cm="1">
        <f t="array" ref="D105">VLOOKUP(A105,'The List'!B1:F671,5,FALSE)</f>
        <v>OTT</v>
      </c>
      <c r="E105" s="55" cm="1">
        <f t="array" ref="E105">VLOOKUP(A105,'The List'!B1:I671,8,FALSE)</f>
        <v>216.25971582303217</v>
      </c>
      <c r="F105" s="55" cm="1">
        <f t="array" ref="F105">IF(Settings!$E$15="POINTS",E105-VLOOKUP(B$2,C1:E210,3,FALSE),J105)</f>
        <v>-178.68374887052531</v>
      </c>
      <c r="G105" s="55"/>
      <c r="H105" s="167" cm="1">
        <f t="array" ref="H105">RANK(I105,I3:I210)</f>
        <v>98</v>
      </c>
      <c r="I105" s="168" cm="1">
        <f t="array" ref="I105">VLOOKUP(A105,'Standard Deviations'!A1:C672,3,FALSE)</f>
        <v>-0.17575097875840084</v>
      </c>
      <c r="J105" s="168" cm="1">
        <f t="array" ref="J105">I105-VLOOKUP(B$2,H1:J210,2,FALSE)</f>
        <v>-7.3469943906020596</v>
      </c>
    </row>
    <row r="106" spans="1:10" ht="21.25" customHeight="1" x14ac:dyDescent="0.15">
      <c r="A106" s="10" t="s">
        <v>522</v>
      </c>
      <c r="B106" s="97" t="str" cm="1">
        <f t="array" ref="B106">VLOOKUP(A106,'The List'!B1:D671,3,FALSE)</f>
        <v>LW,RW</v>
      </c>
      <c r="C106" s="98" cm="1">
        <f t="array" ref="C106">IF(Settings!$E$15="POINTS",RANK(E106,E3:E210),H106)</f>
        <v>104</v>
      </c>
      <c r="D106" s="18" t="str" cm="1">
        <f t="array" ref="D106">VLOOKUP(A106,'The List'!B1:F671,5,FALSE)</f>
        <v>N.J</v>
      </c>
      <c r="E106" s="55" cm="1">
        <f t="array" ref="E106">VLOOKUP(A106,'The List'!B1:I671,8,FALSE)</f>
        <v>214.9035490468022</v>
      </c>
      <c r="F106" s="55" cm="1">
        <f t="array" ref="F106">IF(Settings!$E$15="POINTS",E106-VLOOKUP(B$2,C1:E210,3,FALSE),J106)</f>
        <v>-180.03991564675528</v>
      </c>
      <c r="G106" s="55"/>
      <c r="H106" s="167" cm="1">
        <f t="array" ref="H106">RANK(I106,I3:I210)</f>
        <v>90</v>
      </c>
      <c r="I106" s="168" cm="1">
        <f t="array" ref="I106">VLOOKUP(A106,'Standard Deviations'!A1:C672,3,FALSE)</f>
        <v>0.27155510511567871</v>
      </c>
      <c r="J106" s="168" cm="1">
        <f t="array" ref="J106">I106-VLOOKUP(B$2,H1:J210,2,FALSE)</f>
        <v>-6.8996883067279802</v>
      </c>
    </row>
    <row r="107" spans="1:10" ht="21.25" customHeight="1" x14ac:dyDescent="0.15">
      <c r="A107" s="10" t="s">
        <v>524</v>
      </c>
      <c r="B107" s="97" t="str" cm="1">
        <f t="array" ref="B107">VLOOKUP(A107,'The List'!B1:D671,3,FALSE)</f>
        <v>C,LW,RW</v>
      </c>
      <c r="C107" s="98" cm="1">
        <f t="array" ref="C107">IF(Settings!$E$15="POINTS",RANK(E107,E3:E210),H107)</f>
        <v>105</v>
      </c>
      <c r="D107" s="18" t="str" cm="1">
        <f t="array" ref="D107">VLOOKUP(A107,'The List'!B1:F671,5,FALSE)</f>
        <v>CGY</v>
      </c>
      <c r="E107" s="55" cm="1">
        <f t="array" ref="E107">VLOOKUP(A107,'The List'!B1:I671,8,FALSE)</f>
        <v>214.72953506271566</v>
      </c>
      <c r="F107" s="55" cm="1">
        <f t="array" ref="F107">IF(Settings!$E$15="POINTS",E107-VLOOKUP(B$2,C1:E210,3,FALSE),J107)</f>
        <v>-180.21392963084182</v>
      </c>
      <c r="G107" s="55"/>
      <c r="H107" s="167" cm="1">
        <f t="array" ref="H107">RANK(I107,I3:I210)</f>
        <v>162</v>
      </c>
      <c r="I107" s="168" cm="1">
        <f t="array" ref="I107">VLOOKUP(A107,'Standard Deviations'!A1:C672,3,FALSE)</f>
        <v>-3.6681152532979335</v>
      </c>
      <c r="J107" s="168" cm="1">
        <f t="array" ref="J107">I107-VLOOKUP(B$2,H1:J210,2,FALSE)</f>
        <v>-10.839358665141592</v>
      </c>
    </row>
    <row r="108" spans="1:10" ht="21.25" customHeight="1" x14ac:dyDescent="0.15">
      <c r="A108" s="10" t="s">
        <v>527</v>
      </c>
      <c r="B108" s="97" t="str" cm="1">
        <f t="array" ref="B108">VLOOKUP(A108,'The List'!B1:D671,3,FALSE)</f>
        <v>LW,RW</v>
      </c>
      <c r="C108" s="98" cm="1">
        <f t="array" ref="C108">IF(Settings!$E$15="POINTS",RANK(E108,E3:E210),H108)</f>
        <v>106</v>
      </c>
      <c r="D108" s="18" t="str" cm="1">
        <f t="array" ref="D108">VLOOKUP(A108,'The List'!B1:F671,5,FALSE)</f>
        <v>UTA</v>
      </c>
      <c r="E108" s="55" cm="1">
        <f t="array" ref="E108">VLOOKUP(A108,'The List'!B1:I671,8,FALSE)</f>
        <v>213.04929822773803</v>
      </c>
      <c r="F108" s="55" cm="1">
        <f t="array" ref="F108">IF(Settings!$E$15="POINTS",E108-VLOOKUP(B$2,C1:E210,3,FALSE),J108)</f>
        <v>-181.89416646581944</v>
      </c>
      <c r="G108" s="55"/>
      <c r="H108" s="167" cm="1">
        <f t="array" ref="H108">RANK(I108,I3:I210)</f>
        <v>89</v>
      </c>
      <c r="I108" s="168" cm="1">
        <f t="array" ref="I108">VLOOKUP(A108,'Standard Deviations'!A1:C672,3,FALSE)</f>
        <v>0.34886868507131419</v>
      </c>
      <c r="J108" s="168" cm="1">
        <f t="array" ref="J108">I108-VLOOKUP(B$2,H1:J210,2,FALSE)</f>
        <v>-6.8223747267723454</v>
      </c>
    </row>
    <row r="109" spans="1:10" ht="21.25" customHeight="1" x14ac:dyDescent="0.15">
      <c r="A109" s="10" t="s">
        <v>530</v>
      </c>
      <c r="B109" s="97" t="str" cm="1">
        <f t="array" ref="B109">VLOOKUP(A109,'The List'!B1:D671,3,FALSE)</f>
        <v>RW</v>
      </c>
      <c r="C109" s="98" cm="1">
        <f t="array" ref="C109">IF(Settings!$E$15="POINTS",RANK(E109,E3:E210),H109)</f>
        <v>107</v>
      </c>
      <c r="D109" s="18" t="str" cm="1">
        <f t="array" ref="D109">VLOOKUP(A109,'The List'!B1:F671,5,FALSE)</f>
        <v>SEA</v>
      </c>
      <c r="E109" s="55" cm="1">
        <f t="array" ref="E109">VLOOKUP(A109,'The List'!B1:I671,8,FALSE)</f>
        <v>212.68541937357583</v>
      </c>
      <c r="F109" s="55" cm="1">
        <f t="array" ref="F109">IF(Settings!$E$15="POINTS",E109-VLOOKUP(B$2,C1:E210,3,FALSE),J109)</f>
        <v>-182.25804531998165</v>
      </c>
      <c r="G109" s="55"/>
      <c r="H109" s="167" cm="1">
        <f t="array" ref="H109">RANK(I109,I3:I210)</f>
        <v>140</v>
      </c>
      <c r="I109" s="168" cm="1">
        <f t="array" ref="I109">VLOOKUP(A109,'Standard Deviations'!A1:C672,3,FALSE)</f>
        <v>-2.2779713908702193</v>
      </c>
      <c r="J109" s="168" cm="1">
        <f t="array" ref="J109">I109-VLOOKUP(B$2,H1:J210,2,FALSE)</f>
        <v>-9.4492148027138789</v>
      </c>
    </row>
    <row r="110" spans="1:10" ht="21.25" customHeight="1" x14ac:dyDescent="0.15">
      <c r="A110" s="10" t="s">
        <v>531</v>
      </c>
      <c r="B110" s="97" t="str" cm="1">
        <f t="array" ref="B110">VLOOKUP(A110,'The List'!B1:D671,3,FALSE)</f>
        <v>LW,RW</v>
      </c>
      <c r="C110" s="98" cm="1">
        <f t="array" ref="C110">IF(Settings!$E$15="POINTS",RANK(E110,E3:E210),H110)</f>
        <v>108</v>
      </c>
      <c r="D110" s="18" t="str" cm="1">
        <f t="array" ref="D110">VLOOKUP(A110,'The List'!B1:F671,5,FALSE)</f>
        <v>STL</v>
      </c>
      <c r="E110" s="55" cm="1">
        <f t="array" ref="E110">VLOOKUP(A110,'The List'!B1:I671,8,FALSE)</f>
        <v>212.27847831803066</v>
      </c>
      <c r="F110" s="55" cm="1">
        <f t="array" ref="F110">IF(Settings!$E$15="POINTS",E110-VLOOKUP(B$2,C1:E210,3,FALSE),J110)</f>
        <v>-182.66498637552681</v>
      </c>
      <c r="G110" s="55"/>
      <c r="H110" s="167" cm="1">
        <f t="array" ref="H110">RANK(I110,I3:I210)</f>
        <v>94</v>
      </c>
      <c r="I110" s="168" cm="1">
        <f t="array" ref="I110">VLOOKUP(A110,'Standard Deviations'!A1:C672,3,FALSE)</f>
        <v>-1.1786185719809605E-2</v>
      </c>
      <c r="J110" s="168" cm="1">
        <f t="array" ref="J110">I110-VLOOKUP(B$2,H1:J210,2,FALSE)</f>
        <v>-7.1830295975634684</v>
      </c>
    </row>
    <row r="111" spans="1:10" ht="21.25" customHeight="1" x14ac:dyDescent="0.15">
      <c r="A111" s="10" t="s">
        <v>532</v>
      </c>
      <c r="B111" s="97" t="str" cm="1">
        <f t="array" ref="B111">VLOOKUP(A111,'The List'!B1:D671,3,FALSE)</f>
        <v>RW</v>
      </c>
      <c r="C111" s="98" cm="1">
        <f t="array" ref="C111">IF(Settings!$E$15="POINTS",RANK(E111,E3:E210),H111)</f>
        <v>109</v>
      </c>
      <c r="D111" s="18" t="str" cm="1">
        <f t="array" ref="D111">VLOOKUP(A111,'The List'!B1:F671,5,FALSE)</f>
        <v>SEA</v>
      </c>
      <c r="E111" s="55" cm="1">
        <f t="array" ref="E111">VLOOKUP(A111,'The List'!B1:I671,8,FALSE)</f>
        <v>212.10094545310787</v>
      </c>
      <c r="F111" s="55" cm="1">
        <f t="array" ref="F111">IF(Settings!$E$15="POINTS",E111-VLOOKUP(B$2,C1:E210,3,FALSE),J111)</f>
        <v>-182.8425192404496</v>
      </c>
      <c r="G111" s="55"/>
      <c r="H111" s="167" cm="1">
        <f t="array" ref="H111">RANK(I111,I3:I210)</f>
        <v>134</v>
      </c>
      <c r="I111" s="168" cm="1">
        <f t="array" ref="I111">VLOOKUP(A111,'Standard Deviations'!A1:C672,3,FALSE)</f>
        <v>-2.0515688226820203</v>
      </c>
      <c r="J111" s="168" cm="1">
        <f t="array" ref="J111">I111-VLOOKUP(B$2,H1:J210,2,FALSE)</f>
        <v>-9.22281223452568</v>
      </c>
    </row>
    <row r="112" spans="1:10" ht="21.25" customHeight="1" x14ac:dyDescent="0.15">
      <c r="A112" s="10" t="s">
        <v>534</v>
      </c>
      <c r="B112" s="97" t="str" cm="1">
        <f t="array" ref="B112">VLOOKUP(A112,'The List'!B1:D671,3,FALSE)</f>
        <v>RW</v>
      </c>
      <c r="C112" s="98" cm="1">
        <f t="array" ref="C112">IF(Settings!$E$15="POINTS",RANK(E112,E3:E210),H112)</f>
        <v>110</v>
      </c>
      <c r="D112" s="18" t="str" cm="1">
        <f t="array" ref="D112">VLOOKUP(A112,'The List'!B1:F671,5,FALSE)</f>
        <v>CHI</v>
      </c>
      <c r="E112" s="55" cm="1">
        <f t="array" ref="E112">VLOOKUP(A112,'The List'!B1:I671,8,FALSE)</f>
        <v>210.91147484400722</v>
      </c>
      <c r="F112" s="55" cm="1">
        <f t="array" ref="F112">IF(Settings!$E$15="POINTS",E112-VLOOKUP(B$2,C1:E210,3,FALSE),J112)</f>
        <v>-184.03198984955026</v>
      </c>
      <c r="G112" s="55"/>
      <c r="H112" s="167" cm="1">
        <f t="array" ref="H112">RANK(I112,I3:I210)</f>
        <v>104</v>
      </c>
      <c r="I112" s="168" cm="1">
        <f t="array" ref="I112">VLOOKUP(A112,'Standard Deviations'!A1:C672,3,FALSE)</f>
        <v>-0.43210406113387406</v>
      </c>
      <c r="J112" s="168" cm="1">
        <f t="array" ref="J112">I112-VLOOKUP(B$2,H1:J210,2,FALSE)</f>
        <v>-7.603347472977533</v>
      </c>
    </row>
    <row r="113" spans="1:10" ht="21.25" customHeight="1" x14ac:dyDescent="0.15">
      <c r="A113" s="10" t="s">
        <v>536</v>
      </c>
      <c r="B113" s="97" t="str" cm="1">
        <f t="array" ref="B113">VLOOKUP(A113,'The List'!B1:D671,3,FALSE)</f>
        <v>RW</v>
      </c>
      <c r="C113" s="98" cm="1">
        <f t="array" ref="C113">IF(Settings!$E$15="POINTS",RANK(E113,E3:E210),H113)</f>
        <v>111</v>
      </c>
      <c r="D113" s="18" t="str" cm="1">
        <f t="array" ref="D113">VLOOKUP(A113,'The List'!B1:F671,5,FALSE)</f>
        <v>ANA</v>
      </c>
      <c r="E113" s="55" cm="1">
        <f t="array" ref="E113">VLOOKUP(A113,'The List'!B1:I671,8,FALSE)</f>
        <v>210.12591682795227</v>
      </c>
      <c r="F113" s="55" cm="1">
        <f t="array" ref="F113">IF(Settings!$E$15="POINTS",E113-VLOOKUP(B$2,C1:E210,3,FALSE),J113)</f>
        <v>-184.81754786560521</v>
      </c>
      <c r="G113" s="55"/>
      <c r="H113" s="167" cm="1">
        <f t="array" ref="H113">RANK(I113,I3:I210)</f>
        <v>141</v>
      </c>
      <c r="I113" s="168" cm="1">
        <f t="array" ref="I113">VLOOKUP(A113,'Standard Deviations'!A1:C672,3,FALSE)</f>
        <v>-2.3548064321197115</v>
      </c>
      <c r="J113" s="168" cm="1">
        <f t="array" ref="J113">I113-VLOOKUP(B$2,H1:J210,2,FALSE)</f>
        <v>-9.5260498439633707</v>
      </c>
    </row>
    <row r="114" spans="1:10" ht="21.25" customHeight="1" x14ac:dyDescent="0.15">
      <c r="A114" s="10" t="s">
        <v>545</v>
      </c>
      <c r="B114" s="97" t="str" cm="1">
        <f t="array" ref="B114">VLOOKUP(A114,'The List'!B1:D671,3,FALSE)</f>
        <v>LW,RW</v>
      </c>
      <c r="C114" s="98" cm="1">
        <f t="array" ref="C114">IF(Settings!$E$15="POINTS",RANK(E114,E3:E210),H114)</f>
        <v>112</v>
      </c>
      <c r="D114" s="18" t="str" cm="1">
        <f t="array" ref="D114">VLOOKUP(A114,'The List'!B1:F671,5,FALSE)</f>
        <v>L.A</v>
      </c>
      <c r="E114" s="55" cm="1">
        <f t="array" ref="E114">VLOOKUP(A114,'The List'!B1:I671,8,FALSE)</f>
        <v>206.47934071968695</v>
      </c>
      <c r="F114" s="55" cm="1">
        <f t="array" ref="F114">IF(Settings!$E$15="POINTS",E114-VLOOKUP(B$2,C1:E210,3,FALSE),J114)</f>
        <v>-188.46412397387053</v>
      </c>
      <c r="G114" s="55"/>
      <c r="H114" s="167" cm="1">
        <f t="array" ref="H114">RANK(I114,I3:I210)</f>
        <v>124</v>
      </c>
      <c r="I114" s="168" cm="1">
        <f t="array" ref="I114">VLOOKUP(A114,'Standard Deviations'!A1:C672,3,FALSE)</f>
        <v>-1.7934192429124691</v>
      </c>
      <c r="J114" s="168" cm="1">
        <f t="array" ref="J114">I114-VLOOKUP(B$2,H1:J210,2,FALSE)</f>
        <v>-8.964662654756129</v>
      </c>
    </row>
    <row r="115" spans="1:10" ht="21.25" customHeight="1" x14ac:dyDescent="0.15">
      <c r="A115" s="10" t="s">
        <v>550</v>
      </c>
      <c r="B115" s="97" t="str" cm="1">
        <f t="array" ref="B115">VLOOKUP(A115,'The List'!B1:D671,3,FALSE)</f>
        <v>LW,RW</v>
      </c>
      <c r="C115" s="98" cm="1">
        <f t="array" ref="C115">IF(Settings!$E$15="POINTS",RANK(E115,E3:E210),H115)</f>
        <v>113</v>
      </c>
      <c r="D115" s="18" t="str" cm="1">
        <f t="array" ref="D115">VLOOKUP(A115,'The List'!B1:F671,5,FALSE)</f>
        <v>N.J</v>
      </c>
      <c r="E115" s="55" cm="1">
        <f t="array" ref="E115">VLOOKUP(A115,'The List'!B1:I671,8,FALSE)</f>
        <v>204.09445091209429</v>
      </c>
      <c r="F115" s="55" cm="1">
        <f t="array" ref="F115">IF(Settings!$E$15="POINTS",E115-VLOOKUP(B$2,C1:E210,3,FALSE),J115)</f>
        <v>-190.84901378146319</v>
      </c>
      <c r="G115" s="55"/>
      <c r="H115" s="167" cm="1">
        <f t="array" ref="H115">RANK(I115,I3:I210)</f>
        <v>112</v>
      </c>
      <c r="I115" s="168" cm="1">
        <f t="array" ref="I115">VLOOKUP(A115,'Standard Deviations'!A1:C672,3,FALSE)</f>
        <v>-1.1417052408657475</v>
      </c>
      <c r="J115" s="168" cm="1">
        <f t="array" ref="J115">I115-VLOOKUP(B$2,H1:J210,2,FALSE)</f>
        <v>-8.312948652709407</v>
      </c>
    </row>
    <row r="116" spans="1:10" ht="21.25" customHeight="1" x14ac:dyDescent="0.15">
      <c r="A116" s="10" t="s">
        <v>554</v>
      </c>
      <c r="B116" s="97" t="str" cm="1">
        <f t="array" ref="B116">VLOOKUP(A116,'The List'!B1:D671,3,FALSE)</f>
        <v>C,RW</v>
      </c>
      <c r="C116" s="98" cm="1">
        <f t="array" ref="C116">IF(Settings!$E$15="POINTS",RANK(E116,E3:E210),H116)</f>
        <v>114</v>
      </c>
      <c r="D116" s="18" t="str" cm="1">
        <f t="array" ref="D116">VLOOKUP(A116,'The List'!B1:F671,5,FALSE)</f>
        <v>TOR</v>
      </c>
      <c r="E116" s="55" cm="1">
        <f t="array" ref="E116">VLOOKUP(A116,'The List'!B1:I671,8,FALSE)</f>
        <v>203.07425341275479</v>
      </c>
      <c r="F116" s="55" cm="1">
        <f t="array" ref="F116">IF(Settings!$E$15="POINTS",E116-VLOOKUP(B$2,C1:E210,3,FALSE),J116)</f>
        <v>-191.86921128080269</v>
      </c>
      <c r="G116" s="55"/>
      <c r="H116" s="167" cm="1">
        <f t="array" ref="H116">RANK(I116,I3:I210)</f>
        <v>131</v>
      </c>
      <c r="I116" s="168" cm="1">
        <f t="array" ref="I116">VLOOKUP(A116,'Standard Deviations'!A1:C672,3,FALSE)</f>
        <v>-1.921934741517288</v>
      </c>
      <c r="J116" s="168" cm="1">
        <f t="array" ref="J116">I116-VLOOKUP(B$2,H1:J210,2,FALSE)</f>
        <v>-9.093178153360947</v>
      </c>
    </row>
    <row r="117" spans="1:10" ht="21.25" customHeight="1" x14ac:dyDescent="0.15">
      <c r="A117" s="10" t="s">
        <v>556</v>
      </c>
      <c r="B117" s="97" t="str" cm="1">
        <f t="array" ref="B117">VLOOKUP(A117,'The List'!B1:D671,3,FALSE)</f>
        <v>C,LW,RW</v>
      </c>
      <c r="C117" s="98" cm="1">
        <f t="array" ref="C117">IF(Settings!$E$15="POINTS",RANK(E117,E3:E210),H117)</f>
        <v>115</v>
      </c>
      <c r="D117" s="18" t="str" cm="1">
        <f t="array" ref="D117">VLOOKUP(A117,'The List'!B1:F671,5,FALSE)</f>
        <v>OTT</v>
      </c>
      <c r="E117" s="55" cm="1">
        <f t="array" ref="E117">VLOOKUP(A117,'The List'!B1:I671,8,FALSE)</f>
        <v>202.7751628492889</v>
      </c>
      <c r="F117" s="55" cm="1">
        <f t="array" ref="F117">IF(Settings!$E$15="POINTS",E117-VLOOKUP(B$2,C1:E210,3,FALSE),J117)</f>
        <v>-192.16830184426857</v>
      </c>
      <c r="G117" s="55"/>
      <c r="H117" s="167" cm="1">
        <f t="array" ref="H117">RANK(I117,I3:I210)</f>
        <v>72</v>
      </c>
      <c r="I117" s="168" cm="1">
        <f t="array" ref="I117">VLOOKUP(A117,'Standard Deviations'!A1:C672,3,FALSE)</f>
        <v>1.5298632041730804</v>
      </c>
      <c r="J117" s="168" cm="1">
        <f t="array" ref="J117">I117-VLOOKUP(B$2,H1:J210,2,FALSE)</f>
        <v>-5.6413802076705792</v>
      </c>
    </row>
    <row r="118" spans="1:10" ht="21.25" customHeight="1" x14ac:dyDescent="0.15">
      <c r="A118" s="10" t="s">
        <v>567</v>
      </c>
      <c r="B118" s="97" t="str" cm="1">
        <f t="array" ref="B118">VLOOKUP(A118,'The List'!B1:D671,3,FALSE)</f>
        <v>LW,RW</v>
      </c>
      <c r="C118" s="98" cm="1">
        <f t="array" ref="C118">IF(Settings!$E$15="POINTS",RANK(E118,E3:E210),H118)</f>
        <v>116</v>
      </c>
      <c r="D118" s="18" t="str" cm="1">
        <f t="array" ref="D118">VLOOKUP(A118,'The List'!B1:F671,5,FALSE)</f>
        <v>ANA</v>
      </c>
      <c r="E118" s="55" cm="1">
        <f t="array" ref="E118">VLOOKUP(A118,'The List'!B1:I671,8,FALSE)</f>
        <v>198.2328436009827</v>
      </c>
      <c r="F118" s="55" cm="1">
        <f t="array" ref="F118">IF(Settings!$E$15="POINTS",E118-VLOOKUP(B$2,C1:E210,3,FALSE),J118)</f>
        <v>-196.71062109257477</v>
      </c>
      <c r="G118" s="55"/>
      <c r="H118" s="167" cm="1">
        <f t="array" ref="H118">RANK(I118,I3:I210)</f>
        <v>106</v>
      </c>
      <c r="I118" s="168" cm="1">
        <f t="array" ref="I118">VLOOKUP(A118,'Standard Deviations'!A1:C672,3,FALSE)</f>
        <v>-0.52690729833914385</v>
      </c>
      <c r="J118" s="168" cm="1">
        <f t="array" ref="J118">I118-VLOOKUP(B$2,H1:J210,2,FALSE)</f>
        <v>-7.6981507101828033</v>
      </c>
    </row>
    <row r="119" spans="1:10" ht="21.25" customHeight="1" x14ac:dyDescent="0.15">
      <c r="A119" s="10" t="s">
        <v>570</v>
      </c>
      <c r="B119" s="97" t="str" cm="1">
        <f t="array" ref="B119">VLOOKUP(A119,'The List'!B1:D671,3,FALSE)</f>
        <v>LW,RW</v>
      </c>
      <c r="C119" s="98" cm="1">
        <f t="array" ref="C119">IF(Settings!$E$15="POINTS",RANK(E119,E3:E210),H119)</f>
        <v>117</v>
      </c>
      <c r="D119" s="18" t="str" cm="1">
        <f t="array" ref="D119">VLOOKUP(A119,'The List'!B1:F671,5,FALSE)</f>
        <v>NYI</v>
      </c>
      <c r="E119" s="55" cm="1">
        <f t="array" ref="E119">VLOOKUP(A119,'The List'!B1:I671,8,FALSE)</f>
        <v>197.42525731006737</v>
      </c>
      <c r="F119" s="55" cm="1">
        <f t="array" ref="F119">IF(Settings!$E$15="POINTS",E119-VLOOKUP(B$2,C1:E210,3,FALSE),J119)</f>
        <v>-197.51820738349011</v>
      </c>
      <c r="G119" s="55"/>
      <c r="H119" s="167" cm="1">
        <f t="array" ref="H119">RANK(I119,I3:I210)</f>
        <v>145</v>
      </c>
      <c r="I119" s="168" cm="1">
        <f t="array" ref="I119">VLOOKUP(A119,'Standard Deviations'!A1:C672,3,FALSE)</f>
        <v>-2.517361572612415</v>
      </c>
      <c r="J119" s="168" cm="1">
        <f t="array" ref="J119">I119-VLOOKUP(B$2,H1:J210,2,FALSE)</f>
        <v>-9.6886049844560738</v>
      </c>
    </row>
    <row r="120" spans="1:10" ht="21.25" customHeight="1" x14ac:dyDescent="0.15">
      <c r="A120" s="10" t="s">
        <v>571</v>
      </c>
      <c r="B120" s="97" t="str" cm="1">
        <f t="array" ref="B120">VLOOKUP(A120,'The List'!B1:D671,3,FALSE)</f>
        <v>RW</v>
      </c>
      <c r="C120" s="98" cm="1">
        <f t="array" ref="C120">IF(Settings!$E$15="POINTS",RANK(E120,E3:E210),H120)</f>
        <v>118</v>
      </c>
      <c r="D120" s="18" t="str" cm="1">
        <f t="array" ref="D120">VLOOKUP(A120,'The List'!B1:F671,5,FALSE)</f>
        <v>NYR</v>
      </c>
      <c r="E120" s="55" cm="1">
        <f t="array" ref="E120">VLOOKUP(A120,'The List'!B1:I671,8,FALSE)</f>
        <v>196.98677904201037</v>
      </c>
      <c r="F120" s="55" cm="1">
        <f t="array" ref="F120">IF(Settings!$E$15="POINTS",E120-VLOOKUP(B$2,C1:E210,3,FALSE),J120)</f>
        <v>-197.9566856515471</v>
      </c>
      <c r="G120" s="55"/>
      <c r="H120" s="167" cm="1">
        <f t="array" ref="H120">RANK(I120,I3:I210)</f>
        <v>136</v>
      </c>
      <c r="I120" s="168" cm="1">
        <f t="array" ref="I120">VLOOKUP(A120,'Standard Deviations'!A1:C672,3,FALSE)</f>
        <v>-2.2094491018833731</v>
      </c>
      <c r="J120" s="168" cm="1">
        <f t="array" ref="J120">I120-VLOOKUP(B$2,H1:J210,2,FALSE)</f>
        <v>-9.3806925137270323</v>
      </c>
    </row>
    <row r="121" spans="1:10" ht="21.25" customHeight="1" x14ac:dyDescent="0.15">
      <c r="A121" s="10" t="s">
        <v>572</v>
      </c>
      <c r="B121" s="97" t="str" cm="1">
        <f t="array" ref="B121">VLOOKUP(A121,'The List'!B1:D671,3,FALSE)</f>
        <v>LW,RW</v>
      </c>
      <c r="C121" s="98" cm="1">
        <f t="array" ref="C121">IF(Settings!$E$15="POINTS",RANK(E121,E3:E210),H121)</f>
        <v>119</v>
      </c>
      <c r="D121" s="18" t="str" cm="1">
        <f t="array" ref="D121">VLOOKUP(A121,'The List'!B1:F671,5,FALSE)</f>
        <v>WPG</v>
      </c>
      <c r="E121" s="55" cm="1">
        <f t="array" ref="E121">VLOOKUP(A121,'The List'!B1:I671,8,FALSE)</f>
        <v>196.10487700962074</v>
      </c>
      <c r="F121" s="55" cm="1">
        <f t="array" ref="F121">IF(Settings!$E$15="POINTS",E121-VLOOKUP(B$2,C1:E210,3,FALSE),J121)</f>
        <v>-198.83858768393674</v>
      </c>
      <c r="G121" s="55"/>
      <c r="H121" s="167" cm="1">
        <f t="array" ref="H121">RANK(I121,I3:I210)</f>
        <v>121</v>
      </c>
      <c r="I121" s="168" cm="1">
        <f t="array" ref="I121">VLOOKUP(A121,'Standard Deviations'!A1:C672,3,FALSE)</f>
        <v>-1.6278458556818045</v>
      </c>
      <c r="J121" s="168" cm="1">
        <f t="array" ref="J121">I121-VLOOKUP(B$2,H1:J210,2,FALSE)</f>
        <v>-8.7990892675254635</v>
      </c>
    </row>
    <row r="122" spans="1:10" ht="21.25" customHeight="1" x14ac:dyDescent="0.15">
      <c r="A122" s="10" t="s">
        <v>574</v>
      </c>
      <c r="B122" s="97" t="str" cm="1">
        <f t="array" ref="B122">VLOOKUP(A122,'The List'!B1:D671,3,FALSE)</f>
        <v>LW,RW</v>
      </c>
      <c r="C122" s="98" cm="1">
        <f t="array" ref="C122">IF(Settings!$E$15="POINTS",RANK(E122,E3:E210),H122)</f>
        <v>120</v>
      </c>
      <c r="D122" s="18" t="str" cm="1">
        <f t="array" ref="D122">VLOOKUP(A122,'The List'!B1:F671,5,FALSE)</f>
        <v>MTL</v>
      </c>
      <c r="E122" s="55" cm="1">
        <f t="array" ref="E122">VLOOKUP(A122,'The List'!B1:I671,8,FALSE)</f>
        <v>194.56346667204519</v>
      </c>
      <c r="F122" s="55" cm="1">
        <f t="array" ref="F122">IF(Settings!$E$15="POINTS",E122-VLOOKUP(B$2,C1:E210,3,FALSE),J122)</f>
        <v>-200.37999802151228</v>
      </c>
      <c r="G122" s="55"/>
      <c r="H122" s="167" cm="1">
        <f t="array" ref="H122">RANK(I122,I3:I210)</f>
        <v>101</v>
      </c>
      <c r="I122" s="168" cm="1">
        <f t="array" ref="I122">VLOOKUP(A122,'Standard Deviations'!A1:C672,3,FALSE)</f>
        <v>-0.28805080446804021</v>
      </c>
      <c r="J122" s="168" cm="1">
        <f t="array" ref="J122">I122-VLOOKUP(B$2,H1:J210,2,FALSE)</f>
        <v>-7.4592942163116991</v>
      </c>
    </row>
    <row r="123" spans="1:10" ht="21.25" customHeight="1" x14ac:dyDescent="0.15">
      <c r="A123" s="10" t="s">
        <v>576</v>
      </c>
      <c r="B123" s="97" t="str" cm="1">
        <f t="array" ref="B123">VLOOKUP(A123,'The List'!B1:D671,3,FALSE)</f>
        <v>C,RW</v>
      </c>
      <c r="C123" s="98" cm="1">
        <f t="array" ref="C123">IF(Settings!$E$15="POINTS",RANK(E123,E3:E210),H123)</f>
        <v>121</v>
      </c>
      <c r="D123" s="18" t="str" cm="1">
        <f t="array" ref="D123">VLOOKUP(A123,'The List'!B1:F671,5,FALSE)</f>
        <v>CBJ</v>
      </c>
      <c r="E123" s="55" cm="1">
        <f t="array" ref="E123">VLOOKUP(A123,'The List'!B1:I671,8,FALSE)</f>
        <v>194.33242120587352</v>
      </c>
      <c r="F123" s="55" cm="1">
        <f t="array" ref="F123">IF(Settings!$E$15="POINTS",E123-VLOOKUP(B$2,C1:E210,3,FALSE),J123)</f>
        <v>-200.61104348768396</v>
      </c>
      <c r="G123" s="55"/>
      <c r="H123" s="167" cm="1">
        <f t="array" ref="H123">RANK(I123,I3:I210)</f>
        <v>116</v>
      </c>
      <c r="I123" s="168" cm="1">
        <f t="array" ref="I123">VLOOKUP(A123,'Standard Deviations'!A1:C672,3,FALSE)</f>
        <v>-1.4752565533148718</v>
      </c>
      <c r="J123" s="168" cm="1">
        <f t="array" ref="J123">I123-VLOOKUP(B$2,H1:J210,2,FALSE)</f>
        <v>-8.6464999651585313</v>
      </c>
    </row>
    <row r="124" spans="1:10" ht="21.25" customHeight="1" x14ac:dyDescent="0.15">
      <c r="A124" s="10" t="s">
        <v>578</v>
      </c>
      <c r="B124" s="97" t="str" cm="1">
        <f t="array" ref="B124">VLOOKUP(A124,'The List'!B1:D671,3,FALSE)</f>
        <v>RW</v>
      </c>
      <c r="C124" s="98" cm="1">
        <f t="array" ref="C124">IF(Settings!$E$15="POINTS",RANK(E124,E3:E210),H124)</f>
        <v>122</v>
      </c>
      <c r="D124" s="18" t="str" cm="1">
        <f t="array" ref="D124">VLOOKUP(A124,'The List'!B1:F671,5,FALSE)</f>
        <v>MIN</v>
      </c>
      <c r="E124" s="55" cm="1">
        <f t="array" ref="E124">VLOOKUP(A124,'The List'!B1:I671,8,FALSE)</f>
        <v>194.18060499660837</v>
      </c>
      <c r="F124" s="55" cm="1">
        <f t="array" ref="F124">IF(Settings!$E$15="POINTS",E124-VLOOKUP(B$2,C1:E210,3,FALSE),J124)</f>
        <v>-200.76285969694911</v>
      </c>
      <c r="G124" s="55"/>
      <c r="H124" s="167" cm="1">
        <f t="array" ref="H124">RANK(I124,I3:I210)</f>
        <v>114</v>
      </c>
      <c r="I124" s="168" cm="1">
        <f t="array" ref="I124">VLOOKUP(A124,'Standard Deviations'!A1:C672,3,FALSE)</f>
        <v>-1.3722206553414873</v>
      </c>
      <c r="J124" s="168" cm="1">
        <f t="array" ref="J124">I124-VLOOKUP(B$2,H1:J210,2,FALSE)</f>
        <v>-8.5434640671851465</v>
      </c>
    </row>
    <row r="125" spans="1:10" ht="21.25" customHeight="1" x14ac:dyDescent="0.15">
      <c r="A125" s="10" t="s">
        <v>581</v>
      </c>
      <c r="B125" s="97" t="str" cm="1">
        <f t="array" ref="B125">VLOOKUP(A125,'The List'!B1:D671,3,FALSE)</f>
        <v>LW,RW</v>
      </c>
      <c r="C125" s="98" cm="1">
        <f t="array" ref="C125">IF(Settings!$E$15="POINTS",RANK(E125,E3:E210),H125)</f>
        <v>123</v>
      </c>
      <c r="D125" s="18" t="str" cm="1">
        <f t="array" ref="D125">VLOOKUP(A125,'The List'!B1:F671,5,FALSE)</f>
        <v>EDM</v>
      </c>
      <c r="E125" s="55" cm="1">
        <f t="array" ref="E125">VLOOKUP(A125,'The List'!B1:I671,8,FALSE)</f>
        <v>191.78456924818121</v>
      </c>
      <c r="F125" s="55" cm="1">
        <f t="array" ref="F125">IF(Settings!$E$15="POINTS",E125-VLOOKUP(B$2,C1:E210,3,FALSE),J125)</f>
        <v>-203.15889544537626</v>
      </c>
      <c r="G125" s="55"/>
      <c r="H125" s="167" cm="1">
        <f t="array" ref="H125">RANK(I125,I3:I210)</f>
        <v>82</v>
      </c>
      <c r="I125" s="168" cm="1">
        <f t="array" ref="I125">VLOOKUP(A125,'Standard Deviations'!A1:C672,3,FALSE)</f>
        <v>0.60500482839390601</v>
      </c>
      <c r="J125" s="168" cm="1">
        <f t="array" ref="J125">I125-VLOOKUP(B$2,H1:J210,2,FALSE)</f>
        <v>-6.5662385834497528</v>
      </c>
    </row>
    <row r="126" spans="1:10" ht="21.25" customHeight="1" x14ac:dyDescent="0.15">
      <c r="A126" s="10" t="s">
        <v>585</v>
      </c>
      <c r="B126" s="97" t="str" cm="1">
        <f t="array" ref="B126">VLOOKUP(A126,'The List'!B1:D671,3,FALSE)</f>
        <v>C,LW,RW</v>
      </c>
      <c r="C126" s="98" cm="1">
        <f t="array" ref="C126">IF(Settings!$E$15="POINTS",RANK(E126,E3:E210),H126)</f>
        <v>124</v>
      </c>
      <c r="D126" s="18" t="str" cm="1">
        <f t="array" ref="D126">VLOOKUP(A126,'The List'!B1:F671,5,FALSE)</f>
        <v>DAL</v>
      </c>
      <c r="E126" s="55" cm="1">
        <f t="array" ref="E126">VLOOKUP(A126,'The List'!B1:I671,8,FALSE)</f>
        <v>190.91418128325307</v>
      </c>
      <c r="F126" s="55" cm="1">
        <f t="array" ref="F126">IF(Settings!$E$15="POINTS",E126-VLOOKUP(B$2,C1:E210,3,FALSE),J126)</f>
        <v>-204.0292834103044</v>
      </c>
      <c r="G126" s="55"/>
      <c r="H126" s="167" cm="1">
        <f t="array" ref="H126">RANK(I126,I3:I210)</f>
        <v>70</v>
      </c>
      <c r="I126" s="168" cm="1">
        <f t="array" ref="I126">VLOOKUP(A126,'Standard Deviations'!A1:C672,3,FALSE)</f>
        <v>1.6877931309121759</v>
      </c>
      <c r="J126" s="168" cm="1">
        <f t="array" ref="J126">I126-VLOOKUP(B$2,H1:J210,2,FALSE)</f>
        <v>-5.4834502809314838</v>
      </c>
    </row>
    <row r="127" spans="1:10" ht="21.25" customHeight="1" x14ac:dyDescent="0.15">
      <c r="A127" s="10" t="s">
        <v>587</v>
      </c>
      <c r="B127" s="97" t="str" cm="1">
        <f t="array" ref="B127">VLOOKUP(A127,'The List'!B1:D671,3,FALSE)</f>
        <v>RW</v>
      </c>
      <c r="C127" s="98" cm="1">
        <f t="array" ref="C127">IF(Settings!$E$15="POINTS",RANK(E127,E3:E210),H127)</f>
        <v>125</v>
      </c>
      <c r="D127" s="18" t="str" cm="1">
        <f t="array" ref="D127">VLOOKUP(A127,'The List'!B1:F671,5,FALSE)</f>
        <v>PIT</v>
      </c>
      <c r="E127" s="55" cm="1">
        <f t="array" ref="E127">VLOOKUP(A127,'The List'!B1:I671,8,FALSE)</f>
        <v>190.75624649295403</v>
      </c>
      <c r="F127" s="55" cm="1">
        <f t="array" ref="F127">IF(Settings!$E$15="POINTS",E127-VLOOKUP(B$2,C1:E210,3,FALSE),J127)</f>
        <v>-204.18721820060344</v>
      </c>
      <c r="G127" s="55"/>
      <c r="H127" s="167" cm="1">
        <f t="array" ref="H127">RANK(I127,I3:I210)</f>
        <v>147</v>
      </c>
      <c r="I127" s="168" cm="1">
        <f t="array" ref="I127">VLOOKUP(A127,'Standard Deviations'!A1:C672,3,FALSE)</f>
        <v>-2.6371079542828602</v>
      </c>
      <c r="J127" s="168" cm="1">
        <f t="array" ref="J127">I127-VLOOKUP(B$2,H1:J210,2,FALSE)</f>
        <v>-9.8083513661265194</v>
      </c>
    </row>
    <row r="128" spans="1:10" ht="21.25" customHeight="1" x14ac:dyDescent="0.15">
      <c r="A128" s="10" t="s">
        <v>588</v>
      </c>
      <c r="B128" s="97" t="str" cm="1">
        <f t="array" ref="B128">VLOOKUP(A128,'The List'!B1:D671,3,FALSE)</f>
        <v>LW,RW</v>
      </c>
      <c r="C128" s="98" cm="1">
        <f t="array" ref="C128">IF(Settings!$E$15="POINTS",RANK(E128,E3:E210),H128)</f>
        <v>126</v>
      </c>
      <c r="D128" s="18" t="str" cm="1">
        <f t="array" ref="D128">VLOOKUP(A128,'The List'!B1:F671,5,FALSE)</f>
        <v>CHI</v>
      </c>
      <c r="E128" s="55" cm="1">
        <f t="array" ref="E128">VLOOKUP(A128,'The List'!B1:I671,8,FALSE)</f>
        <v>190.5809825337605</v>
      </c>
      <c r="F128" s="55" cm="1">
        <f t="array" ref="F128">IF(Settings!$E$15="POINTS",E128-VLOOKUP(B$2,C1:E210,3,FALSE),J128)</f>
        <v>-204.36248215979697</v>
      </c>
      <c r="G128" s="55"/>
      <c r="H128" s="167" cm="1">
        <f t="array" ref="H128">RANK(I128,I3:I210)</f>
        <v>179</v>
      </c>
      <c r="I128" s="168" cm="1">
        <f t="array" ref="I128">VLOOKUP(A128,'Standard Deviations'!A1:C672,3,FALSE)</f>
        <v>-4.3670087924198429</v>
      </c>
      <c r="J128" s="168" cm="1">
        <f t="array" ref="J128">I128-VLOOKUP(B$2,H1:J210,2,FALSE)</f>
        <v>-11.538252204263502</v>
      </c>
    </row>
    <row r="129" spans="1:10" ht="21.25" customHeight="1" x14ac:dyDescent="0.15">
      <c r="A129" s="10" t="s">
        <v>590</v>
      </c>
      <c r="B129" s="97" t="str" cm="1">
        <f t="array" ref="B129">VLOOKUP(A129,'The List'!B1:D671,3,FALSE)</f>
        <v>C,RW</v>
      </c>
      <c r="C129" s="98" cm="1">
        <f t="array" ref="C129">IF(Settings!$E$15="POINTS",RANK(E129,E3:E210),H129)</f>
        <v>127</v>
      </c>
      <c r="D129" s="18" t="str" cm="1">
        <f t="array" ref="D129">VLOOKUP(A129,'The List'!B1:F671,5,FALSE)</f>
        <v>NSH</v>
      </c>
      <c r="E129" s="55" cm="1">
        <f t="array" ref="E129">VLOOKUP(A129,'The List'!B1:I671,8,FALSE)</f>
        <v>188.90511627143758</v>
      </c>
      <c r="F129" s="55" cm="1">
        <f t="array" ref="F129">IF(Settings!$E$15="POINTS",E129-VLOOKUP(B$2,C1:E210,3,FALSE),J129)</f>
        <v>-206.0383484221199</v>
      </c>
      <c r="G129" s="55"/>
      <c r="H129" s="167" cm="1">
        <f t="array" ref="H129">RANK(I129,I3:I210)</f>
        <v>144</v>
      </c>
      <c r="I129" s="168" cm="1">
        <f t="array" ref="I129">VLOOKUP(A129,'Standard Deviations'!A1:C672,3,FALSE)</f>
        <v>-2.4896626233428329</v>
      </c>
      <c r="J129" s="168" cm="1">
        <f t="array" ref="J129">I129-VLOOKUP(B$2,H1:J210,2,FALSE)</f>
        <v>-9.6609060351864926</v>
      </c>
    </row>
    <row r="130" spans="1:10" ht="21.25" customHeight="1" x14ac:dyDescent="0.15">
      <c r="A130" s="10" t="s">
        <v>592</v>
      </c>
      <c r="B130" s="97" t="str" cm="1">
        <f t="array" ref="B130">VLOOKUP(A130,'The List'!B1:D671,3,FALSE)</f>
        <v>LW,RW</v>
      </c>
      <c r="C130" s="98" cm="1">
        <f t="array" ref="C130">IF(Settings!$E$15="POINTS",RANK(E130,E3:E210),H130)</f>
        <v>128</v>
      </c>
      <c r="D130" s="18" t="str" cm="1">
        <f t="array" ref="D130">VLOOKUP(A130,'The List'!B1:F671,5,FALSE)</f>
        <v>NYI</v>
      </c>
      <c r="E130" s="55" cm="1">
        <f t="array" ref="E130">VLOOKUP(A130,'The List'!B1:I671,8,FALSE)</f>
        <v>188.39018728944882</v>
      </c>
      <c r="F130" s="55" cm="1">
        <f t="array" ref="F130">IF(Settings!$E$15="POINTS",E130-VLOOKUP(B$2,C1:E210,3,FALSE),J130)</f>
        <v>-206.55327740410866</v>
      </c>
      <c r="G130" s="55"/>
      <c r="H130" s="167" cm="1">
        <f t="array" ref="H130">RANK(I130,I3:I210)</f>
        <v>157</v>
      </c>
      <c r="I130" s="168" cm="1">
        <f t="array" ref="I130">VLOOKUP(A130,'Standard Deviations'!A1:C672,3,FALSE)</f>
        <v>-3.3360091075310168</v>
      </c>
      <c r="J130" s="168" cm="1">
        <f t="array" ref="J130">I130-VLOOKUP(B$2,H1:J210,2,FALSE)</f>
        <v>-10.507252519374676</v>
      </c>
    </row>
    <row r="131" spans="1:10" ht="21.25" customHeight="1" x14ac:dyDescent="0.15">
      <c r="A131" s="10" t="s">
        <v>596</v>
      </c>
      <c r="B131" s="97" t="str" cm="1">
        <f t="array" ref="B131">VLOOKUP(A131,'The List'!B1:D671,3,FALSE)</f>
        <v>C,RW</v>
      </c>
      <c r="C131" s="98" cm="1">
        <f t="array" ref="C131">IF(Settings!$E$15="POINTS",RANK(E131,E3:E210),H131)</f>
        <v>129</v>
      </c>
      <c r="D131" s="18" t="str" cm="1">
        <f t="array" ref="D131">VLOOKUP(A131,'The List'!B1:F671,5,FALSE)</f>
        <v>DAL</v>
      </c>
      <c r="E131" s="55" cm="1">
        <f t="array" ref="E131">VLOOKUP(A131,'The List'!B1:I671,8,FALSE)</f>
        <v>186.79988143305997</v>
      </c>
      <c r="F131" s="55" cm="1">
        <f t="array" ref="F131">IF(Settings!$E$15="POINTS",E131-VLOOKUP(B$2,C1:E210,3,FALSE),J131)</f>
        <v>-208.14358326049751</v>
      </c>
      <c r="G131" s="55"/>
      <c r="H131" s="167" cm="1">
        <f t="array" ref="H131">RANK(I131,I3:I210)</f>
        <v>120</v>
      </c>
      <c r="I131" s="168" cm="1">
        <f t="array" ref="I131">VLOOKUP(A131,'Standard Deviations'!A1:C672,3,FALSE)</f>
        <v>-1.588240919396203</v>
      </c>
      <c r="J131" s="168" cm="1">
        <f t="array" ref="J131">I131-VLOOKUP(B$2,H1:J210,2,FALSE)</f>
        <v>-8.7594843312398627</v>
      </c>
    </row>
    <row r="132" spans="1:10" ht="21.25" customHeight="1" x14ac:dyDescent="0.15">
      <c r="A132" s="10" t="s">
        <v>599</v>
      </c>
      <c r="B132" s="97" t="str" cm="1">
        <f t="array" ref="B132">VLOOKUP(A132,'The List'!B1:D671,3,FALSE)</f>
        <v>LW,RW</v>
      </c>
      <c r="C132" s="98" cm="1">
        <f t="array" ref="C132">IF(Settings!$E$15="POINTS",RANK(E132,E3:E210),H132)</f>
        <v>130</v>
      </c>
      <c r="D132" s="18" t="str" cm="1">
        <f t="array" ref="D132">VLOOKUP(A132,'The List'!B1:F671,5,FALSE)</f>
        <v>COL</v>
      </c>
      <c r="E132" s="55" cm="1">
        <f t="array" ref="E132">VLOOKUP(A132,'The List'!B1:I671,8,FALSE)</f>
        <v>186.46172734873039</v>
      </c>
      <c r="F132" s="55" cm="1">
        <f t="array" ref="F132">IF(Settings!$E$15="POINTS",E132-VLOOKUP(B$2,C1:E210,3,FALSE),J132)</f>
        <v>-208.48173734482708</v>
      </c>
      <c r="G132" s="55"/>
      <c r="H132" s="167" cm="1">
        <f t="array" ref="H132">RANK(I132,I3:I210)</f>
        <v>87</v>
      </c>
      <c r="I132" s="168" cm="1">
        <f t="array" ref="I132">VLOOKUP(A132,'Standard Deviations'!A1:C672,3,FALSE)</f>
        <v>0.39514985740232705</v>
      </c>
      <c r="J132" s="168" cm="1">
        <f t="array" ref="J132">I132-VLOOKUP(B$2,H1:J210,2,FALSE)</f>
        <v>-6.7760935544413323</v>
      </c>
    </row>
    <row r="133" spans="1:10" ht="21.25" customHeight="1" x14ac:dyDescent="0.15">
      <c r="A133" s="10" t="s">
        <v>600</v>
      </c>
      <c r="B133" s="97" t="str" cm="1">
        <f t="array" ref="B133">VLOOKUP(A133,'The List'!B1:D671,3,FALSE)</f>
        <v>RW</v>
      </c>
      <c r="C133" s="98" cm="1">
        <f t="array" ref="C133">IF(Settings!$E$15="POINTS",RANK(E133,E3:E210),H133)</f>
        <v>131</v>
      </c>
      <c r="D133" s="18" t="str" cm="1">
        <f t="array" ref="D133">VLOOKUP(A133,'The List'!B1:F671,5,FALSE)</f>
        <v>N.J</v>
      </c>
      <c r="E133" s="55" cm="1">
        <f t="array" ref="E133">VLOOKUP(A133,'The List'!B1:I671,8,FALSE)</f>
        <v>185.97313431321561</v>
      </c>
      <c r="F133" s="55" cm="1">
        <f t="array" ref="F133">IF(Settings!$E$15="POINTS",E133-VLOOKUP(B$2,C1:E210,3,FALSE),J133)</f>
        <v>-208.97033038034186</v>
      </c>
      <c r="G133" s="55"/>
      <c r="H133" s="167" cm="1">
        <f t="array" ref="H133">RANK(I133,I3:I210)</f>
        <v>150</v>
      </c>
      <c r="I133" s="168" cm="1">
        <f t="array" ref="I133">VLOOKUP(A133,'Standard Deviations'!A1:C672,3,FALSE)</f>
        <v>-2.8265678436644288</v>
      </c>
      <c r="J133" s="168" cm="1">
        <f t="array" ref="J133">I133-VLOOKUP(B$2,H1:J210,2,FALSE)</f>
        <v>-9.997811255508088</v>
      </c>
    </row>
    <row r="134" spans="1:10" ht="21.25" customHeight="1" x14ac:dyDescent="0.15">
      <c r="A134" s="10" t="s">
        <v>601</v>
      </c>
      <c r="B134" s="97" t="str" cm="1">
        <f t="array" ref="B134">VLOOKUP(A134,'The List'!B1:D671,3,FALSE)</f>
        <v>LW,RW</v>
      </c>
      <c r="C134" s="98" cm="1">
        <f t="array" ref="C134">IF(Settings!$E$15="POINTS",RANK(E134,E3:E210),H134)</f>
        <v>132</v>
      </c>
      <c r="D134" s="18" t="str" cm="1">
        <f t="array" ref="D134">VLOOKUP(A134,'The List'!B1:F671,5,FALSE)</f>
        <v>VAN</v>
      </c>
      <c r="E134" s="55" cm="1">
        <f t="array" ref="E134">VLOOKUP(A134,'The List'!B1:I671,8,FALSE)</f>
        <v>185.79312926436293</v>
      </c>
      <c r="F134" s="55" cm="1">
        <f t="array" ref="F134">IF(Settings!$E$15="POINTS",E134-VLOOKUP(B$2,C1:E210,3,FALSE),J134)</f>
        <v>-209.15033542919454</v>
      </c>
      <c r="G134" s="55"/>
      <c r="H134" s="167" cm="1">
        <f t="array" ref="H134">RANK(I134,I3:I210)</f>
        <v>166</v>
      </c>
      <c r="I134" s="168" cm="1">
        <f t="array" ref="I134">VLOOKUP(A134,'Standard Deviations'!A1:C672,3,FALSE)</f>
        <v>-3.9108748407976717</v>
      </c>
      <c r="J134" s="168" cm="1">
        <f t="array" ref="J134">I134-VLOOKUP(B$2,H1:J210,2,FALSE)</f>
        <v>-11.082118252641331</v>
      </c>
    </row>
    <row r="135" spans="1:10" ht="21.25" customHeight="1" x14ac:dyDescent="0.15">
      <c r="A135" s="10" t="s">
        <v>603</v>
      </c>
      <c r="B135" s="97" t="str" cm="1">
        <f t="array" ref="B135">VLOOKUP(A135,'The List'!B1:D671,3,FALSE)</f>
        <v>LW,RW</v>
      </c>
      <c r="C135" s="98" cm="1">
        <f t="array" ref="C135">IF(Settings!$E$15="POINTS",RANK(E135,E3:E210),H135)</f>
        <v>133</v>
      </c>
      <c r="D135" s="18" t="str" cm="1">
        <f t="array" ref="D135">VLOOKUP(A135,'The List'!B1:F671,5,FALSE)</f>
        <v>S.J</v>
      </c>
      <c r="E135" s="55" cm="1">
        <f t="array" ref="E135">VLOOKUP(A135,'The List'!B1:I671,8,FALSE)</f>
        <v>185.60912833551512</v>
      </c>
      <c r="F135" s="55" cm="1">
        <f t="array" ref="F135">IF(Settings!$E$15="POINTS",E135-VLOOKUP(B$2,C1:E210,3,FALSE),J135)</f>
        <v>-209.33433635804235</v>
      </c>
      <c r="G135" s="55"/>
      <c r="H135" s="167" cm="1">
        <f t="array" ref="H135">RANK(I135,I3:I210)</f>
        <v>159</v>
      </c>
      <c r="I135" s="168" cm="1">
        <f t="array" ref="I135">VLOOKUP(A135,'Standard Deviations'!A1:C672,3,FALSE)</f>
        <v>-3.4060699979489106</v>
      </c>
      <c r="J135" s="168" cm="1">
        <f t="array" ref="J135">I135-VLOOKUP(B$2,H1:J210,2,FALSE)</f>
        <v>-10.57731340979257</v>
      </c>
    </row>
    <row r="136" spans="1:10" ht="21.25" customHeight="1" x14ac:dyDescent="0.15">
      <c r="A136" s="10" t="s">
        <v>604</v>
      </c>
      <c r="B136" s="97" t="str" cm="1">
        <f t="array" ref="B136">VLOOKUP(A136,'The List'!B1:D671,3,FALSE)</f>
        <v>LW,RW</v>
      </c>
      <c r="C136" s="98" cm="1">
        <f t="array" ref="C136">IF(Settings!$E$15="POINTS",RANK(E136,E3:E210),H136)</f>
        <v>134</v>
      </c>
      <c r="D136" s="18" t="str" cm="1">
        <f t="array" ref="D136">VLOOKUP(A136,'The List'!B1:F671,5,FALSE)</f>
        <v>ANA</v>
      </c>
      <c r="E136" s="55" cm="1">
        <f t="array" ref="E136">VLOOKUP(A136,'The List'!B1:I671,8,FALSE)</f>
        <v>185.51107176424807</v>
      </c>
      <c r="F136" s="55" cm="1">
        <f t="array" ref="F136">IF(Settings!$E$15="POINTS",E136-VLOOKUP(B$2,C1:E210,3,FALSE),J136)</f>
        <v>-209.4323929293094</v>
      </c>
      <c r="G136" s="55"/>
      <c r="H136" s="167" cm="1">
        <f t="array" ref="H136">RANK(I136,I3:I210)</f>
        <v>128</v>
      </c>
      <c r="I136" s="168" cm="1">
        <f t="array" ref="I136">VLOOKUP(A136,'Standard Deviations'!A1:C672,3,FALSE)</f>
        <v>-1.8921143594206931</v>
      </c>
      <c r="J136" s="168" cm="1">
        <f t="array" ref="J136">I136-VLOOKUP(B$2,H1:J210,2,FALSE)</f>
        <v>-9.0633577712643518</v>
      </c>
    </row>
    <row r="137" spans="1:10" ht="21.25" customHeight="1" x14ac:dyDescent="0.15">
      <c r="A137" s="10" t="s">
        <v>606</v>
      </c>
      <c r="B137" s="97" t="str" cm="1">
        <f t="array" ref="B137">VLOOKUP(A137,'The List'!B1:D671,3,FALSE)</f>
        <v>LW,RW</v>
      </c>
      <c r="C137" s="98" cm="1">
        <f t="array" ref="C137">IF(Settings!$E$15="POINTS",RANK(E137,E3:E210),H137)</f>
        <v>135</v>
      </c>
      <c r="D137" s="18" t="str" cm="1">
        <f t="array" ref="D137">VLOOKUP(A137,'The List'!B1:F671,5,FALSE)</f>
        <v>OTT</v>
      </c>
      <c r="E137" s="55" cm="1">
        <f t="array" ref="E137">VLOOKUP(A137,'The List'!B1:I671,8,FALSE)</f>
        <v>185.32708370831983</v>
      </c>
      <c r="F137" s="55" cm="1">
        <f t="array" ref="F137">IF(Settings!$E$15="POINTS",E137-VLOOKUP(B$2,C1:E210,3,FALSE),J137)</f>
        <v>-209.61638098523764</v>
      </c>
      <c r="G137" s="55"/>
      <c r="H137" s="167" cm="1">
        <f t="array" ref="H137">RANK(I137,I3:I210)</f>
        <v>123</v>
      </c>
      <c r="I137" s="168" cm="1">
        <f t="array" ref="I137">VLOOKUP(A137,'Standard Deviations'!A1:C672,3,FALSE)</f>
        <v>-1.7302523427694685</v>
      </c>
      <c r="J137" s="168" cm="1">
        <f t="array" ref="J137">I137-VLOOKUP(B$2,H1:J210,2,FALSE)</f>
        <v>-8.9014957546131281</v>
      </c>
    </row>
    <row r="138" spans="1:10" ht="21.25" customHeight="1" x14ac:dyDescent="0.15">
      <c r="A138" s="10" t="s">
        <v>609</v>
      </c>
      <c r="B138" s="97" t="str" cm="1">
        <f t="array" ref="B138">VLOOKUP(A138,'The List'!B1:D671,3,FALSE)</f>
        <v>C,LW,RW</v>
      </c>
      <c r="C138" s="98" cm="1">
        <f t="array" ref="C138">IF(Settings!$E$15="POINTS",RANK(E138,E3:E210),H138)</f>
        <v>136</v>
      </c>
      <c r="D138" s="18" t="str" cm="1">
        <f t="array" ref="D138">VLOOKUP(A138,'The List'!B1:F671,5,FALSE)</f>
        <v>CGY</v>
      </c>
      <c r="E138" s="55" cm="1">
        <f t="array" ref="E138">VLOOKUP(A138,'The List'!B1:I671,8,FALSE)</f>
        <v>184.44701944686253</v>
      </c>
      <c r="F138" s="55" cm="1">
        <f t="array" ref="F138">IF(Settings!$E$15="POINTS",E138-VLOOKUP(B$2,C1:E210,3,FALSE),J138)</f>
        <v>-210.49644524669495</v>
      </c>
      <c r="G138" s="55"/>
      <c r="H138" s="167" cm="1">
        <f t="array" ref="H138">RANK(I138,I3:I210)</f>
        <v>158</v>
      </c>
      <c r="I138" s="168" cm="1">
        <f t="array" ref="I138">VLOOKUP(A138,'Standard Deviations'!A1:C672,3,FALSE)</f>
        <v>-3.3377648479938009</v>
      </c>
      <c r="J138" s="168" cm="1">
        <f t="array" ref="J138">I138-VLOOKUP(B$2,H1:J210,2,FALSE)</f>
        <v>-10.50900825983746</v>
      </c>
    </row>
    <row r="139" spans="1:10" ht="21.25" customHeight="1" x14ac:dyDescent="0.15">
      <c r="A139" s="10" t="s">
        <v>612</v>
      </c>
      <c r="B139" s="97" t="str" cm="1">
        <f t="array" ref="B139">VLOOKUP(A139,'The List'!B1:D671,3,FALSE)</f>
        <v>LW,RW</v>
      </c>
      <c r="C139" s="98" cm="1">
        <f t="array" ref="C139">IF(Settings!$E$15="POINTS",RANK(E139,E3:E210),H139)</f>
        <v>137</v>
      </c>
      <c r="D139" s="18" t="str" cm="1">
        <f t="array" ref="D139">VLOOKUP(A139,'The List'!B1:F671,5,FALSE)</f>
        <v>CBJ</v>
      </c>
      <c r="E139" s="55" cm="1">
        <f t="array" ref="E139">VLOOKUP(A139,'The List'!B1:I671,8,FALSE)</f>
        <v>182.99386740441213</v>
      </c>
      <c r="F139" s="55" cm="1">
        <f t="array" ref="F139">IF(Settings!$E$15="POINTS",E139-VLOOKUP(B$2,C1:E210,3,FALSE),J139)</f>
        <v>-211.94959728914534</v>
      </c>
      <c r="G139" s="55"/>
      <c r="H139" s="167" cm="1">
        <f t="array" ref="H139">RANK(I139,I3:I210)</f>
        <v>138</v>
      </c>
      <c r="I139" s="168" cm="1">
        <f t="array" ref="I139">VLOOKUP(A139,'Standard Deviations'!A1:C672,3,FALSE)</f>
        <v>-2.2245718208770393</v>
      </c>
      <c r="J139" s="168" cm="1">
        <f t="array" ref="J139">I139-VLOOKUP(B$2,H1:J210,2,FALSE)</f>
        <v>-9.3958152327206985</v>
      </c>
    </row>
    <row r="140" spans="1:10" ht="21.25" customHeight="1" x14ac:dyDescent="0.15">
      <c r="A140" s="10" t="s">
        <v>619</v>
      </c>
      <c r="B140" s="97" t="str" cm="1">
        <f t="array" ref="B140">VLOOKUP(A140,'The List'!B1:D671,3,FALSE)</f>
        <v>C,LW,RW</v>
      </c>
      <c r="C140" s="98" cm="1">
        <f t="array" ref="C140">IF(Settings!$E$15="POINTS",RANK(E140,E3:E210),H140)</f>
        <v>138</v>
      </c>
      <c r="D140" s="18" t="str" cm="1">
        <f t="array" ref="D140">VLOOKUP(A140,'The List'!B1:F671,5,FALSE)</f>
        <v>N.J</v>
      </c>
      <c r="E140" s="55" cm="1">
        <f t="array" ref="E140">VLOOKUP(A140,'The List'!B1:I671,8,FALSE)</f>
        <v>179.8782635393583</v>
      </c>
      <c r="F140" s="55" cm="1">
        <f t="array" ref="F140">IF(Settings!$E$15="POINTS",E140-VLOOKUP(B$2,C1:E210,3,FALSE),J140)</f>
        <v>-215.06520115419917</v>
      </c>
      <c r="G140" s="55"/>
      <c r="H140" s="167" cm="1">
        <f t="array" ref="H140">RANK(I140,I3:I210)</f>
        <v>119</v>
      </c>
      <c r="I140" s="168" cm="1">
        <f t="array" ref="I140">VLOOKUP(A140,'Standard Deviations'!A1:C672,3,FALSE)</f>
        <v>-1.4905689833853419</v>
      </c>
      <c r="J140" s="168" cm="1">
        <f t="array" ref="J140">I140-VLOOKUP(B$2,H1:J210,2,FALSE)</f>
        <v>-8.6618123952290009</v>
      </c>
    </row>
    <row r="141" spans="1:10" ht="21.25" customHeight="1" x14ac:dyDescent="0.15">
      <c r="A141" s="10" t="s">
        <v>620</v>
      </c>
      <c r="B141" s="97" t="str" cm="1">
        <f t="array" ref="B141">VLOOKUP(A141,'The List'!B1:D671,3,FALSE)</f>
        <v>C,RW</v>
      </c>
      <c r="C141" s="98" cm="1">
        <f t="array" ref="C141">IF(Settings!$E$15="POINTS",RANK(E141,E3:E210),H141)</f>
        <v>139</v>
      </c>
      <c r="D141" s="18" t="str" cm="1">
        <f t="array" ref="D141">VLOOKUP(A141,'The List'!B1:F671,5,FALSE)</f>
        <v>CHI</v>
      </c>
      <c r="E141" s="55" cm="1">
        <f t="array" ref="E141">VLOOKUP(A141,'The List'!B1:I671,8,FALSE)</f>
        <v>179.73629821544824</v>
      </c>
      <c r="F141" s="55" cm="1">
        <f t="array" ref="F141">IF(Settings!$E$15="POINTS",E141-VLOOKUP(B$2,C1:E210,3,FALSE),J141)</f>
        <v>-215.20716647810923</v>
      </c>
      <c r="G141" s="55"/>
      <c r="H141" s="167" cm="1">
        <f t="array" ref="H141">RANK(I141,I3:I210)</f>
        <v>183</v>
      </c>
      <c r="I141" s="168" cm="1">
        <f t="array" ref="I141">VLOOKUP(A141,'Standard Deviations'!A1:C672,3,FALSE)</f>
        <v>-4.6130221817348129</v>
      </c>
      <c r="J141" s="168" cm="1">
        <f t="array" ref="J141">I141-VLOOKUP(B$2,H1:J210,2,FALSE)</f>
        <v>-11.784265593578471</v>
      </c>
    </row>
    <row r="142" spans="1:10" ht="21.25" customHeight="1" x14ac:dyDescent="0.15">
      <c r="A142" s="10" t="s">
        <v>621</v>
      </c>
      <c r="B142" s="97" t="str" cm="1">
        <f t="array" ref="B142">VLOOKUP(A142,'The List'!B1:D671,3,FALSE)</f>
        <v>RW</v>
      </c>
      <c r="C142" s="98" cm="1">
        <f t="array" ref="C142">IF(Settings!$E$15="POINTS",RANK(E142,E3:E210),H142)</f>
        <v>140</v>
      </c>
      <c r="D142" s="18" t="str" cm="1">
        <f t="array" ref="D142">VLOOKUP(A142,'The List'!B1:F671,5,FALSE)</f>
        <v>VAN</v>
      </c>
      <c r="E142" s="55" cm="1">
        <f t="array" ref="E142">VLOOKUP(A142,'The List'!B1:I671,8,FALSE)</f>
        <v>179.47695892758586</v>
      </c>
      <c r="F142" s="55" cm="1">
        <f t="array" ref="F142">IF(Settings!$E$15="POINTS",E142-VLOOKUP(B$2,C1:E210,3,FALSE),J142)</f>
        <v>-215.46650576597162</v>
      </c>
      <c r="G142" s="55"/>
      <c r="H142" s="167" cm="1">
        <f t="array" ref="H142">RANK(I142,I3:I210)</f>
        <v>177</v>
      </c>
      <c r="I142" s="168" cm="1">
        <f t="array" ref="I142">VLOOKUP(A142,'Standard Deviations'!A1:C672,3,FALSE)</f>
        <v>-4.3156341639280553</v>
      </c>
      <c r="J142" s="168" cm="1">
        <f t="array" ref="J142">I142-VLOOKUP(B$2,H1:J210,2,FALSE)</f>
        <v>-11.486877575771715</v>
      </c>
    </row>
    <row r="143" spans="1:10" ht="21.25" customHeight="1" x14ac:dyDescent="0.15">
      <c r="A143" s="10" t="s">
        <v>624</v>
      </c>
      <c r="B143" s="97" t="str" cm="1">
        <f t="array" ref="B143">VLOOKUP(A143,'The List'!B1:D671,3,FALSE)</f>
        <v>LW,RW</v>
      </c>
      <c r="C143" s="98" cm="1">
        <f t="array" ref="C143">IF(Settings!$E$15="POINTS",RANK(E143,E3:E210),H143)</f>
        <v>141</v>
      </c>
      <c r="D143" s="18" t="str" cm="1">
        <f t="array" ref="D143">VLOOKUP(A143,'The List'!B1:F671,5,FALSE)</f>
        <v>OTT</v>
      </c>
      <c r="E143" s="55" cm="1">
        <f t="array" ref="E143">VLOOKUP(A143,'The List'!B1:I671,8,FALSE)</f>
        <v>174.59725930998417</v>
      </c>
      <c r="F143" s="55" cm="1">
        <f t="array" ref="F143">IF(Settings!$E$15="POINTS",E143-VLOOKUP(B$2,C1:E210,3,FALSE),J143)</f>
        <v>-220.34620538357331</v>
      </c>
      <c r="G143" s="55"/>
      <c r="H143" s="167" cm="1">
        <f t="array" ref="H143">RANK(I143,I3:I210)</f>
        <v>139</v>
      </c>
      <c r="I143" s="168" cm="1">
        <f t="array" ref="I143">VLOOKUP(A143,'Standard Deviations'!A1:C672,3,FALSE)</f>
        <v>-2.2465424675620431</v>
      </c>
      <c r="J143" s="168" cm="1">
        <f t="array" ref="J143">I143-VLOOKUP(B$2,H1:J210,2,FALSE)</f>
        <v>-9.4177858794057023</v>
      </c>
    </row>
    <row r="144" spans="1:10" ht="21.25" customHeight="1" x14ac:dyDescent="0.15">
      <c r="A144" s="10" t="s">
        <v>625</v>
      </c>
      <c r="B144" s="97" t="str" cm="1">
        <f t="array" ref="B144">VLOOKUP(A144,'The List'!B1:D671,3,FALSE)</f>
        <v>C,LW,RW</v>
      </c>
      <c r="C144" s="98" cm="1">
        <f t="array" ref="C144">IF(Settings!$E$15="POINTS",RANK(E144,E3:E210),H144)</f>
        <v>142</v>
      </c>
      <c r="D144" s="18" t="str" cm="1">
        <f t="array" ref="D144">VLOOKUP(A144,'The List'!B1:F671,5,FALSE)</f>
        <v>CHI</v>
      </c>
      <c r="E144" s="55" cm="1">
        <f t="array" ref="E144">VLOOKUP(A144,'The List'!B1:I671,8,FALSE)</f>
        <v>173.74835550699348</v>
      </c>
      <c r="F144" s="55" cm="1">
        <f t="array" ref="F144">IF(Settings!$E$15="POINTS",E144-VLOOKUP(B$2,C1:E210,3,FALSE),J144)</f>
        <v>-221.195109186564</v>
      </c>
      <c r="G144" s="55"/>
      <c r="H144" s="167" cm="1">
        <f t="array" ref="H144">RANK(I144,I3:I210)</f>
        <v>171</v>
      </c>
      <c r="I144" s="168" cm="1">
        <f t="array" ref="I144">VLOOKUP(A144,'Standard Deviations'!A1:C672,3,FALSE)</f>
        <v>-4.1365925369638195</v>
      </c>
      <c r="J144" s="168" cm="1">
        <f t="array" ref="J144">I144-VLOOKUP(B$2,H1:J210,2,FALSE)</f>
        <v>-11.30783594880748</v>
      </c>
    </row>
    <row r="145" spans="1:10" ht="21.25" customHeight="1" x14ac:dyDescent="0.15">
      <c r="A145" s="10" t="s">
        <v>630</v>
      </c>
      <c r="B145" s="97" t="str" cm="1">
        <f t="array" ref="B145">VLOOKUP(A145,'The List'!B1:D671,3,FALSE)</f>
        <v>LW,RW</v>
      </c>
      <c r="C145" s="98" cm="1">
        <f t="array" ref="C145">IF(Settings!$E$15="POINTS",RANK(E145,E3:E210),H145)</f>
        <v>143</v>
      </c>
      <c r="D145" s="18" t="str" cm="1">
        <f t="array" ref="D145">VLOOKUP(A145,'The List'!B1:F671,5,FALSE)</f>
        <v>OTT</v>
      </c>
      <c r="E145" s="55" cm="1">
        <f t="array" ref="E145">VLOOKUP(A145,'The List'!B1:I671,8,FALSE)</f>
        <v>171.42921212127862</v>
      </c>
      <c r="F145" s="55" cm="1">
        <f t="array" ref="F145">IF(Settings!$E$15="POINTS",E145-VLOOKUP(B$2,C1:E210,3,FALSE),J145)</f>
        <v>-223.51425257227885</v>
      </c>
      <c r="G145" s="55"/>
      <c r="H145" s="167" cm="1">
        <f t="array" ref="H145">RANK(I145,I3:I210)</f>
        <v>133</v>
      </c>
      <c r="I145" s="168" cm="1">
        <f t="array" ref="I145">VLOOKUP(A145,'Standard Deviations'!A1:C672,3,FALSE)</f>
        <v>-2.0468560342383721</v>
      </c>
      <c r="J145" s="168" cm="1">
        <f t="array" ref="J145">I145-VLOOKUP(B$2,H1:J210,2,FALSE)</f>
        <v>-9.2180994460820322</v>
      </c>
    </row>
    <row r="146" spans="1:10" ht="21.25" customHeight="1" x14ac:dyDescent="0.15">
      <c r="A146" s="10" t="s">
        <v>637</v>
      </c>
      <c r="B146" s="97" t="str" cm="1">
        <f t="array" ref="B146">VLOOKUP(A146,'The List'!B1:D671,3,FALSE)</f>
        <v>LW,RW</v>
      </c>
      <c r="C146" s="98" cm="1">
        <f t="array" ref="C146">IF(Settings!$E$15="POINTS",RANK(E146,E3:E210),H146)</f>
        <v>144</v>
      </c>
      <c r="D146" s="18" t="str" cm="1">
        <f t="array" ref="D146">VLOOKUP(A146,'The List'!B1:F671,5,FALSE)</f>
        <v>CAR</v>
      </c>
      <c r="E146" s="55" cm="1">
        <f t="array" ref="E146">VLOOKUP(A146,'The List'!B1:I671,8,FALSE)</f>
        <v>168.06508144202166</v>
      </c>
      <c r="F146" s="55" cm="1">
        <f t="array" ref="F146">IF(Settings!$E$15="POINTS",E146-VLOOKUP(B$2,C1:E210,3,FALSE),J146)</f>
        <v>-226.87838325153581</v>
      </c>
      <c r="G146" s="55"/>
      <c r="H146" s="167" cm="1">
        <f t="array" ref="H146">RANK(I146,I3:I210)</f>
        <v>109</v>
      </c>
      <c r="I146" s="168" cm="1">
        <f t="array" ref="I146">VLOOKUP(A146,'Standard Deviations'!A1:C672,3,FALSE)</f>
        <v>-0.98426101920080145</v>
      </c>
      <c r="J146" s="168" cm="1">
        <f t="array" ref="J146">I146-VLOOKUP(B$2,H1:J210,2,FALSE)</f>
        <v>-8.1555044310444611</v>
      </c>
    </row>
    <row r="147" spans="1:10" ht="21.25" customHeight="1" x14ac:dyDescent="0.15">
      <c r="A147" s="10" t="s">
        <v>645</v>
      </c>
      <c r="B147" s="97" t="str" cm="1">
        <f t="array" ref="B147">VLOOKUP(A147,'The List'!B1:D671,3,FALSE)</f>
        <v>C,RW</v>
      </c>
      <c r="C147" s="98" cm="1">
        <f t="array" ref="C147">IF(Settings!$E$15="POINTS",RANK(E147,E3:E210),H147)</f>
        <v>145</v>
      </c>
      <c r="D147" s="18" t="str" cm="1">
        <f t="array" ref="D147">VLOOKUP(A147,'The List'!B1:F671,5,FALSE)</f>
        <v>MIN</v>
      </c>
      <c r="E147" s="55" cm="1">
        <f t="array" ref="E147">VLOOKUP(A147,'The List'!B1:I671,8,FALSE)</f>
        <v>165.62787590108982</v>
      </c>
      <c r="F147" s="55" cm="1">
        <f t="array" ref="F147">IF(Settings!$E$15="POINTS",E147-VLOOKUP(B$2,C1:E210,3,FALSE),J147)</f>
        <v>-229.31558879246765</v>
      </c>
      <c r="G147" s="55"/>
      <c r="H147" s="167" cm="1">
        <f t="array" ref="H147">RANK(I147,I3:I210)</f>
        <v>132</v>
      </c>
      <c r="I147" s="168" cm="1">
        <f t="array" ref="I147">VLOOKUP(A147,'Standard Deviations'!A1:C672,3,FALSE)</f>
        <v>-2.0088661290370204</v>
      </c>
      <c r="J147" s="168" cm="1">
        <f t="array" ref="J147">I147-VLOOKUP(B$2,H1:J210,2,FALSE)</f>
        <v>-9.1801095408806788</v>
      </c>
    </row>
    <row r="148" spans="1:10" ht="21.25" customHeight="1" x14ac:dyDescent="0.15">
      <c r="A148" s="10" t="s">
        <v>646</v>
      </c>
      <c r="B148" s="97" t="str" cm="1">
        <f t="array" ref="B148">VLOOKUP(A148,'The List'!B1:D671,3,FALSE)</f>
        <v>RW</v>
      </c>
      <c r="C148" s="98" cm="1">
        <f t="array" ref="C148">IF(Settings!$E$15="POINTS",RANK(E148,E3:E210),H148)</f>
        <v>146</v>
      </c>
      <c r="D148" s="18" t="str" cm="1">
        <f t="array" ref="D148">VLOOKUP(A148,'The List'!B1:F671,5,FALSE)</f>
        <v>CBJ</v>
      </c>
      <c r="E148" s="55" cm="1">
        <f t="array" ref="E148">VLOOKUP(A148,'The List'!B1:I671,8,FALSE)</f>
        <v>165.17399612833819</v>
      </c>
      <c r="F148" s="55" cm="1">
        <f t="array" ref="F148">IF(Settings!$E$15="POINTS",E148-VLOOKUP(B$2,C1:E210,3,FALSE),J148)</f>
        <v>-229.76946856521928</v>
      </c>
      <c r="G148" s="55"/>
      <c r="H148" s="167" cm="1">
        <f t="array" ref="H148">RANK(I148,I3:I210)</f>
        <v>65</v>
      </c>
      <c r="I148" s="168" cm="1">
        <f t="array" ref="I148">VLOOKUP(A148,'Standard Deviations'!A1:C672,3,FALSE)</f>
        <v>2.1650649651964757</v>
      </c>
      <c r="J148" s="168" cm="1">
        <f t="array" ref="J148">I148-VLOOKUP(B$2,H1:J210,2,FALSE)</f>
        <v>-5.0061784466471835</v>
      </c>
    </row>
    <row r="149" spans="1:10" ht="21.25" customHeight="1" x14ac:dyDescent="0.15">
      <c r="A149" s="10" t="s">
        <v>648</v>
      </c>
      <c r="B149" s="97" t="str" cm="1">
        <f t="array" ref="B149">VLOOKUP(A149,'The List'!B1:D671,3,FALSE)</f>
        <v>LW,RW</v>
      </c>
      <c r="C149" s="98" cm="1">
        <f t="array" ref="C149">IF(Settings!$E$15="POINTS",RANK(E149,E3:E210),H149)</f>
        <v>147</v>
      </c>
      <c r="D149" s="18" t="str" cm="1">
        <f t="array" ref="D149">VLOOKUP(A149,'The List'!B1:F671,5,FALSE)</f>
        <v>VGK</v>
      </c>
      <c r="E149" s="55" cm="1">
        <f t="array" ref="E149">VLOOKUP(A149,'The List'!B1:I671,8,FALSE)</f>
        <v>161.58573696180008</v>
      </c>
      <c r="F149" s="55" cm="1">
        <f t="array" ref="F149">IF(Settings!$E$15="POINTS",E149-VLOOKUP(B$2,C1:E210,3,FALSE),J149)</f>
        <v>-233.35772773175739</v>
      </c>
      <c r="G149" s="55"/>
      <c r="H149" s="167" cm="1">
        <f t="array" ref="H149">RANK(I149,I3:I210)</f>
        <v>148</v>
      </c>
      <c r="I149" s="168" cm="1">
        <f t="array" ref="I149">VLOOKUP(A149,'Standard Deviations'!A1:C672,3,FALSE)</f>
        <v>-2.6650322048251658</v>
      </c>
      <c r="J149" s="168" cm="1">
        <f t="array" ref="J149">I149-VLOOKUP(B$2,H1:J210,2,FALSE)</f>
        <v>-9.836275616668825</v>
      </c>
    </row>
    <row r="150" spans="1:10" ht="21.25" customHeight="1" x14ac:dyDescent="0.15">
      <c r="A150" s="10" t="s">
        <v>652</v>
      </c>
      <c r="B150" s="97" t="str" cm="1">
        <f t="array" ref="B150">VLOOKUP(A150,'The List'!B1:D671,3,FALSE)</f>
        <v>LW,RW</v>
      </c>
      <c r="C150" s="98" cm="1">
        <f t="array" ref="C150">IF(Settings!$E$15="POINTS",RANK(E150,E3:E210),H150)</f>
        <v>148</v>
      </c>
      <c r="D150" s="18" t="str" cm="1">
        <f t="array" ref="D150">VLOOKUP(A150,'The List'!B1:F671,5,FALSE)</f>
        <v>T.B</v>
      </c>
      <c r="E150" s="55" cm="1">
        <f t="array" ref="E150">VLOOKUP(A150,'The List'!B1:I671,8,FALSE)</f>
        <v>158.52835148460397</v>
      </c>
      <c r="F150" s="55" cm="1">
        <f t="array" ref="F150">IF(Settings!$E$15="POINTS",E150-VLOOKUP(B$2,C1:E210,3,FALSE),J150)</f>
        <v>-236.4151132089535</v>
      </c>
      <c r="G150" s="55"/>
      <c r="H150" s="167" cm="1">
        <f t="array" ref="H150">RANK(I150,I3:I210)</f>
        <v>146</v>
      </c>
      <c r="I150" s="168" cm="1">
        <f t="array" ref="I150">VLOOKUP(A150,'Standard Deviations'!A1:C672,3,FALSE)</f>
        <v>-2.5933096611094397</v>
      </c>
      <c r="J150" s="168" cm="1">
        <f t="array" ref="J150">I150-VLOOKUP(B$2,H1:J210,2,FALSE)</f>
        <v>-9.7645530729530989</v>
      </c>
    </row>
    <row r="151" spans="1:10" ht="21.25" customHeight="1" x14ac:dyDescent="0.15">
      <c r="A151" s="10" t="s">
        <v>657</v>
      </c>
      <c r="B151" s="97" t="str" cm="1">
        <f t="array" ref="B151">VLOOKUP(A151,'The List'!B1:D671,3,FALSE)</f>
        <v>RW</v>
      </c>
      <c r="C151" s="98" cm="1">
        <f t="array" ref="C151">IF(Settings!$E$15="POINTS",RANK(E151,E3:E210),H151)</f>
        <v>149</v>
      </c>
      <c r="D151" s="18" t="str" cm="1">
        <f t="array" ref="D151">VLOOKUP(A151,'The List'!B1:F671,5,FALSE)</f>
        <v>PIT</v>
      </c>
      <c r="E151" s="55" cm="1">
        <f t="array" ref="E151">VLOOKUP(A151,'The List'!B1:I671,8,FALSE)</f>
        <v>156.32491163151195</v>
      </c>
      <c r="F151" s="55" cm="1">
        <f t="array" ref="F151">IF(Settings!$E$15="POINTS",E151-VLOOKUP(B$2,C1:E210,3,FALSE),J151)</f>
        <v>-238.61855306204552</v>
      </c>
      <c r="G151" s="55"/>
      <c r="H151" s="167" cm="1">
        <f t="array" ref="H151">RANK(I151,I3:I210)</f>
        <v>160</v>
      </c>
      <c r="I151" s="168" cm="1">
        <f t="array" ref="I151">VLOOKUP(A151,'Standard Deviations'!A1:C672,3,FALSE)</f>
        <v>-3.5602767014653418</v>
      </c>
      <c r="J151" s="168" cm="1">
        <f t="array" ref="J151">I151-VLOOKUP(B$2,H1:J210,2,FALSE)</f>
        <v>-10.731520113309001</v>
      </c>
    </row>
    <row r="152" spans="1:10" ht="21.25" customHeight="1" x14ac:dyDescent="0.15">
      <c r="A152" s="10" t="s">
        <v>667</v>
      </c>
      <c r="B152" s="97" t="str" cm="1">
        <f t="array" ref="B152">VLOOKUP(A152,'The List'!B1:D671,3,FALSE)</f>
        <v>C,RW</v>
      </c>
      <c r="C152" s="98" cm="1">
        <f t="array" ref="C152">IF(Settings!$E$15="POINTS",RANK(E152,E3:E210),H152)</f>
        <v>150</v>
      </c>
      <c r="D152" s="18" t="str" cm="1">
        <f t="array" ref="D152">VLOOKUP(A152,'The List'!B1:F671,5,FALSE)</f>
        <v>COL</v>
      </c>
      <c r="E152" s="55" cm="1">
        <f t="array" ref="E152">VLOOKUP(A152,'The List'!B1:I671,8,FALSE)</f>
        <v>151.52782171336438</v>
      </c>
      <c r="F152" s="55" cm="1">
        <f t="array" ref="F152">IF(Settings!$E$15="POINTS",E152-VLOOKUP(B$2,C1:E210,3,FALSE),J152)</f>
        <v>-243.4156429801931</v>
      </c>
      <c r="G152" s="55"/>
      <c r="H152" s="167" cm="1">
        <f t="array" ref="H152">RANK(I152,I3:I210)</f>
        <v>125</v>
      </c>
      <c r="I152" s="168" cm="1">
        <f t="array" ref="I152">VLOOKUP(A152,'Standard Deviations'!A1:C672,3,FALSE)</f>
        <v>-1.8429988272330453</v>
      </c>
      <c r="J152" s="168" cm="1">
        <f t="array" ref="J152">I152-VLOOKUP(B$2,H1:J210,2,FALSE)</f>
        <v>-9.0142422390767045</v>
      </c>
    </row>
    <row r="153" spans="1:10" ht="21.25" customHeight="1" x14ac:dyDescent="0.15">
      <c r="A153" s="10" t="s">
        <v>669</v>
      </c>
      <c r="B153" s="97" t="str" cm="1">
        <f t="array" ref="B153">VLOOKUP(A153,'The List'!B1:D671,3,FALSE)</f>
        <v>C,RW</v>
      </c>
      <c r="C153" s="98" cm="1">
        <f t="array" ref="C153">IF(Settings!$E$15="POINTS",RANK(E153,E3:E210),H153)</f>
        <v>151</v>
      </c>
      <c r="D153" s="18" t="str" cm="1">
        <f t="array" ref="D153">VLOOKUP(A153,'The List'!B1:F671,5,FALSE)</f>
        <v>N.J</v>
      </c>
      <c r="E153" s="55" cm="1">
        <f t="array" ref="E153">VLOOKUP(A153,'The List'!B1:I671,8,FALSE)</f>
        <v>149.51594419857432</v>
      </c>
      <c r="F153" s="55" cm="1">
        <f t="array" ref="F153">IF(Settings!$E$15="POINTS",E153-VLOOKUP(B$2,C1:E210,3,FALSE),J153)</f>
        <v>-245.42752049498316</v>
      </c>
      <c r="G153" s="55"/>
      <c r="H153" s="167" cm="1">
        <f t="array" ref="H153">RANK(I153,I3:I210)</f>
        <v>155</v>
      </c>
      <c r="I153" s="168" cm="1">
        <f t="array" ref="I153">VLOOKUP(A153,'Standard Deviations'!A1:C672,3,FALSE)</f>
        <v>-3.1258471731550865</v>
      </c>
      <c r="J153" s="168" cm="1">
        <f t="array" ref="J153">I153-VLOOKUP(B$2,H1:J210,2,FALSE)</f>
        <v>-10.297090584998745</v>
      </c>
    </row>
    <row r="154" spans="1:10" ht="21.25" customHeight="1" x14ac:dyDescent="0.15">
      <c r="A154" s="10" t="s">
        <v>674</v>
      </c>
      <c r="B154" s="97" t="str" cm="1">
        <f t="array" ref="B154">VLOOKUP(A154,'The List'!B1:D671,3,FALSE)</f>
        <v>LW,RW</v>
      </c>
      <c r="C154" s="98" cm="1">
        <f t="array" ref="C154">IF(Settings!$E$15="POINTS",RANK(E154,E3:E210),H154)</f>
        <v>152</v>
      </c>
      <c r="D154" s="18" t="str" cm="1">
        <f t="array" ref="D154">VLOOKUP(A154,'The List'!B1:F671,5,FALSE)</f>
        <v>MTL</v>
      </c>
      <c r="E154" s="55" cm="1">
        <f t="array" ref="E154">VLOOKUP(A154,'The List'!B1:I671,8,FALSE)</f>
        <v>147.13223319186213</v>
      </c>
      <c r="F154" s="55" cm="1">
        <f t="array" ref="F154">IF(Settings!$E$15="POINTS",E154-VLOOKUP(B$2,C1:E210,3,FALSE),J154)</f>
        <v>-247.81123150169535</v>
      </c>
      <c r="G154" s="55"/>
      <c r="H154" s="167" cm="1">
        <f t="array" ref="H154">RANK(I154,I3:I210)</f>
        <v>152</v>
      </c>
      <c r="I154" s="168" cm="1">
        <f t="array" ref="I154">VLOOKUP(A154,'Standard Deviations'!A1:C672,3,FALSE)</f>
        <v>-2.989838966641857</v>
      </c>
      <c r="J154" s="168" cm="1">
        <f t="array" ref="J154">I154-VLOOKUP(B$2,H1:J210,2,FALSE)</f>
        <v>-10.161082378485517</v>
      </c>
    </row>
    <row r="155" spans="1:10" ht="21.25" customHeight="1" x14ac:dyDescent="0.15">
      <c r="A155" s="10" t="s">
        <v>675</v>
      </c>
      <c r="B155" s="97" t="str" cm="1">
        <f t="array" ref="B155">VLOOKUP(A155,'The List'!B1:D671,3,FALSE)</f>
        <v>C,RW</v>
      </c>
      <c r="C155" s="98" cm="1">
        <f t="array" ref="C155">IF(Settings!$E$15="POINTS",RANK(E155,E3:E210),H155)</f>
        <v>153</v>
      </c>
      <c r="D155" s="18" t="str" cm="1">
        <f t="array" ref="D155">VLOOKUP(A155,'The List'!B1:F671,5,FALSE)</f>
        <v>MTL</v>
      </c>
      <c r="E155" s="55" cm="1">
        <f t="array" ref="E155">VLOOKUP(A155,'The List'!B1:I671,8,FALSE)</f>
        <v>146.52044804829563</v>
      </c>
      <c r="F155" s="55" cm="1">
        <f t="array" ref="F155">IF(Settings!$E$15="POINTS",E155-VLOOKUP(B$2,C1:E210,3,FALSE),J155)</f>
        <v>-248.42301664526184</v>
      </c>
      <c r="G155" s="55"/>
      <c r="H155" s="167" cm="1">
        <f t="array" ref="H155">RANK(I155,I3:I210)</f>
        <v>130</v>
      </c>
      <c r="I155" s="168" cm="1">
        <f t="array" ref="I155">VLOOKUP(A155,'Standard Deviations'!A1:C672,3,FALSE)</f>
        <v>-1.9026919476884228</v>
      </c>
      <c r="J155" s="168" cm="1">
        <f t="array" ref="J155">I155-VLOOKUP(B$2,H1:J210,2,FALSE)</f>
        <v>-9.0739353595320829</v>
      </c>
    </row>
    <row r="156" spans="1:10" ht="21.25" customHeight="1" x14ac:dyDescent="0.15">
      <c r="A156" s="10" t="s">
        <v>677</v>
      </c>
      <c r="B156" s="97" t="str" cm="1">
        <f t="array" ref="B156">VLOOKUP(A156,'The List'!B1:D671,3,FALSE)</f>
        <v>C,RW</v>
      </c>
      <c r="C156" s="98" cm="1">
        <f t="array" ref="C156">IF(Settings!$E$15="POINTS",RANK(E156,E3:E210),H156)</f>
        <v>154</v>
      </c>
      <c r="D156" s="18" t="str" cm="1">
        <f t="array" ref="D156">VLOOKUP(A156,'The List'!B1:F671,5,FALSE)</f>
        <v>WSH</v>
      </c>
      <c r="E156" s="55" cm="1">
        <f t="array" ref="E156">VLOOKUP(A156,'The List'!B1:I671,8,FALSE)</f>
        <v>146.03634311885486</v>
      </c>
      <c r="F156" s="55" cm="1">
        <f t="array" ref="F156">IF(Settings!$E$15="POINTS",E156-VLOOKUP(B$2,C1:E210,3,FALSE),J156)</f>
        <v>-248.90712157470261</v>
      </c>
      <c r="G156" s="55"/>
      <c r="H156" s="167" cm="1">
        <f t="array" ref="H156">RANK(I156,I3:I210)</f>
        <v>137</v>
      </c>
      <c r="I156" s="168" cm="1">
        <f t="array" ref="I156">VLOOKUP(A156,'Standard Deviations'!A1:C672,3,FALSE)</f>
        <v>-2.2233758562068937</v>
      </c>
      <c r="J156" s="168" cm="1">
        <f t="array" ref="J156">I156-VLOOKUP(B$2,H1:J210,2,FALSE)</f>
        <v>-9.3946192680505529</v>
      </c>
    </row>
    <row r="157" spans="1:10" ht="21.25" customHeight="1" x14ac:dyDescent="0.15">
      <c r="A157" s="10" t="s">
        <v>678</v>
      </c>
      <c r="B157" s="97" t="str" cm="1">
        <f t="array" ref="B157">VLOOKUP(A157,'The List'!B1:D671,3,FALSE)</f>
        <v>LW,RW</v>
      </c>
      <c r="C157" s="98" cm="1">
        <f t="array" ref="C157">IF(Settings!$E$15="POINTS",RANK(E157,E3:E210),H157)</f>
        <v>155</v>
      </c>
      <c r="D157" s="18" t="str" cm="1">
        <f t="array" ref="D157">VLOOKUP(A157,'The List'!B1:F671,5,FALSE)</f>
        <v>VGK</v>
      </c>
      <c r="E157" s="55" cm="1">
        <f t="array" ref="E157">VLOOKUP(A157,'The List'!B1:I671,8,FALSE)</f>
        <v>145.43204260548367</v>
      </c>
      <c r="F157" s="55" cm="1">
        <f t="array" ref="F157">IF(Settings!$E$15="POINTS",E157-VLOOKUP(B$2,C1:E210,3,FALSE),J157)</f>
        <v>-249.5114220880738</v>
      </c>
      <c r="G157" s="55"/>
      <c r="H157" s="167" cm="1">
        <f t="array" ref="H157">RANK(I157,I3:I210)</f>
        <v>161</v>
      </c>
      <c r="I157" s="168" cm="1">
        <f t="array" ref="I157">VLOOKUP(A157,'Standard Deviations'!A1:C672,3,FALSE)</f>
        <v>-3.6127436372610044</v>
      </c>
      <c r="J157" s="168" cm="1">
        <f t="array" ref="J157">I157-VLOOKUP(B$2,H1:J210,2,FALSE)</f>
        <v>-10.783987049104663</v>
      </c>
    </row>
    <row r="158" spans="1:10" ht="21.25" customHeight="1" x14ac:dyDescent="0.15">
      <c r="A158" s="10" t="s">
        <v>681</v>
      </c>
      <c r="B158" s="97" t="str" cm="1">
        <f t="array" ref="B158">VLOOKUP(A158,'The List'!B1:D671,3,FALSE)</f>
        <v>C,RW</v>
      </c>
      <c r="C158" s="98" cm="1">
        <f t="array" ref="C158">IF(Settings!$E$15="POINTS",RANK(E158,E3:E210),H158)</f>
        <v>156</v>
      </c>
      <c r="D158" s="18" t="str" cm="1">
        <f t="array" ref="D158">VLOOKUP(A158,'The List'!B1:F671,5,FALSE)</f>
        <v>SEA</v>
      </c>
      <c r="E158" s="55" cm="1">
        <f t="array" ref="E158">VLOOKUP(A158,'The List'!B1:I671,8,FALSE)</f>
        <v>144.41385497594416</v>
      </c>
      <c r="F158" s="55" cm="1">
        <f t="array" ref="F158">IF(Settings!$E$15="POINTS",E158-VLOOKUP(B$2,C1:E210,3,FALSE),J158)</f>
        <v>-250.52960971761331</v>
      </c>
      <c r="G158" s="55"/>
      <c r="H158" s="167" cm="1">
        <f t="array" ref="H158">RANK(I158,I3:I210)</f>
        <v>202</v>
      </c>
      <c r="I158" s="168" cm="1">
        <f t="array" ref="I158">VLOOKUP(A158,'Standard Deviations'!A1:C672,3,FALSE)</f>
        <v>-6.0587488273492358</v>
      </c>
      <c r="J158" s="168" cm="1">
        <f t="array" ref="J158">I158-VLOOKUP(B$2,H1:J210,2,FALSE)</f>
        <v>-13.229992239192896</v>
      </c>
    </row>
    <row r="159" spans="1:10" ht="21.25" customHeight="1" x14ac:dyDescent="0.15">
      <c r="A159" s="10" t="s">
        <v>682</v>
      </c>
      <c r="B159" s="97" t="str" cm="1">
        <f t="array" ref="B159">VLOOKUP(A159,'The List'!B1:D671,3,FALSE)</f>
        <v>LW,RW</v>
      </c>
      <c r="C159" s="98" cm="1">
        <f t="array" ref="C159">IF(Settings!$E$15="POINTS",RANK(E159,E3:E210),H159)</f>
        <v>157</v>
      </c>
      <c r="D159" s="18" t="str" cm="1">
        <f t="array" ref="D159">VLOOKUP(A159,'The List'!B1:F671,5,FALSE)</f>
        <v>STL</v>
      </c>
      <c r="E159" s="55" cm="1">
        <f t="array" ref="E159">VLOOKUP(A159,'The List'!B1:I671,8,FALSE)</f>
        <v>143.94228151447854</v>
      </c>
      <c r="F159" s="55" cm="1">
        <f t="array" ref="F159">IF(Settings!$E$15="POINTS",E159-VLOOKUP(B$2,C1:E210,3,FALSE),J159)</f>
        <v>-251.00118317907894</v>
      </c>
      <c r="G159" s="55"/>
      <c r="H159" s="167" cm="1">
        <f t="array" ref="H159">RANK(I159,I3:I210)</f>
        <v>184</v>
      </c>
      <c r="I159" s="168" cm="1">
        <f t="array" ref="I159">VLOOKUP(A159,'Standard Deviations'!A1:C672,3,FALSE)</f>
        <v>-4.6387613370971712</v>
      </c>
      <c r="J159" s="168" cm="1">
        <f t="array" ref="J159">I159-VLOOKUP(B$2,H1:J210,2,FALSE)</f>
        <v>-11.81000474894083</v>
      </c>
    </row>
    <row r="160" spans="1:10" ht="21.25" customHeight="1" x14ac:dyDescent="0.15">
      <c r="A160" s="10" t="s">
        <v>683</v>
      </c>
      <c r="B160" s="97" t="str" cm="1">
        <f t="array" ref="B160">VLOOKUP(A160,'The List'!B1:D671,3,FALSE)</f>
        <v>LW,RW</v>
      </c>
      <c r="C160" s="98" cm="1">
        <f t="array" ref="C160">IF(Settings!$E$15="POINTS",RANK(E160,E3:E210),H160)</f>
        <v>158</v>
      </c>
      <c r="D160" s="18" t="str" cm="1">
        <f t="array" ref="D160">VLOOKUP(A160,'The List'!B1:F671,5,FALSE)</f>
        <v>WPG</v>
      </c>
      <c r="E160" s="55" cm="1">
        <f t="array" ref="E160">VLOOKUP(A160,'The List'!B1:I671,8,FALSE)</f>
        <v>143.92132183640524</v>
      </c>
      <c r="F160" s="55" cm="1">
        <f t="array" ref="F160">IF(Settings!$E$15="POINTS",E160-VLOOKUP(B$2,C1:E210,3,FALSE),J160)</f>
        <v>-251.02214285715223</v>
      </c>
      <c r="G160" s="55"/>
      <c r="H160" s="167" cm="1">
        <f t="array" ref="H160">RANK(I160,I3:I210)</f>
        <v>154</v>
      </c>
      <c r="I160" s="168" cm="1">
        <f t="array" ref="I160">VLOOKUP(A160,'Standard Deviations'!A1:C672,3,FALSE)</f>
        <v>-3.1064323276929557</v>
      </c>
      <c r="J160" s="168" cm="1">
        <f t="array" ref="J160">I160-VLOOKUP(B$2,H1:J210,2,FALSE)</f>
        <v>-10.277675739536615</v>
      </c>
    </row>
    <row r="161" spans="1:10" ht="21.25" customHeight="1" x14ac:dyDescent="0.15">
      <c r="A161" s="10" t="s">
        <v>687</v>
      </c>
      <c r="B161" s="97" t="str" cm="1">
        <f t="array" ref="B161">VLOOKUP(A161,'The List'!B1:D671,3,FALSE)</f>
        <v>RW</v>
      </c>
      <c r="C161" s="98" cm="1">
        <f t="array" ref="C161">IF(Settings!$E$15="POINTS",RANK(E161,E3:E210),H161)</f>
        <v>159</v>
      </c>
      <c r="D161" s="18" t="str" cm="1">
        <f t="array" ref="D161">VLOOKUP(A161,'The List'!B1:F671,5,FALSE)</f>
        <v>WSH</v>
      </c>
      <c r="E161" s="55" cm="1">
        <f t="array" ref="E161">VLOOKUP(A161,'The List'!B1:I671,8,FALSE)</f>
        <v>139.564342246161</v>
      </c>
      <c r="F161" s="55" cm="1">
        <f t="array" ref="F161">IF(Settings!$E$15="POINTS",E161-VLOOKUP(B$2,C1:E210,3,FALSE),J161)</f>
        <v>-255.37912244739647</v>
      </c>
      <c r="G161" s="55"/>
      <c r="H161" s="167" cm="1">
        <f t="array" ref="H161">RANK(I161,I3:I210)</f>
        <v>151</v>
      </c>
      <c r="I161" s="168" cm="1">
        <f t="array" ref="I161">VLOOKUP(A161,'Standard Deviations'!A1:C672,3,FALSE)</f>
        <v>-2.9094660577820304</v>
      </c>
      <c r="J161" s="168" cm="1">
        <f t="array" ref="J161">I161-VLOOKUP(B$2,H1:J210,2,FALSE)</f>
        <v>-10.08070946962569</v>
      </c>
    </row>
    <row r="162" spans="1:10" ht="21.25" customHeight="1" x14ac:dyDescent="0.15">
      <c r="A162" s="10" t="s">
        <v>689</v>
      </c>
      <c r="B162" s="97" t="str" cm="1">
        <f t="array" ref="B162">VLOOKUP(A162,'The List'!B1:D671,3,FALSE)</f>
        <v>RW</v>
      </c>
      <c r="C162" s="98" cm="1">
        <f t="array" ref="C162">IF(Settings!$E$15="POINTS",RANK(E162,E3:E210),H162)</f>
        <v>160</v>
      </c>
      <c r="D162" s="18" t="str" cm="1">
        <f t="array" ref="D162">VLOOKUP(A162,'The List'!B1:F671,5,FALSE)</f>
        <v>MTL</v>
      </c>
      <c r="E162" s="55" cm="1">
        <f t="array" ref="E162">VLOOKUP(A162,'The List'!B1:I671,8,FALSE)</f>
        <v>138.28564580507515</v>
      </c>
      <c r="F162" s="55" cm="1">
        <f t="array" ref="F162">IF(Settings!$E$15="POINTS",E162-VLOOKUP(B$2,C1:E210,3,FALSE),J162)</f>
        <v>-256.65781888848232</v>
      </c>
      <c r="G162" s="55"/>
      <c r="H162" s="167" cm="1">
        <f t="array" ref="H162">RANK(I162,I3:I210)</f>
        <v>107</v>
      </c>
      <c r="I162" s="168" cm="1">
        <f t="array" ref="I162">VLOOKUP(A162,'Standard Deviations'!A1:C672,3,FALSE)</f>
        <v>-0.61832640106400616</v>
      </c>
      <c r="J162" s="168" cm="1">
        <f t="array" ref="J162">I162-VLOOKUP(B$2,H1:J210,2,FALSE)</f>
        <v>-7.7895698129076649</v>
      </c>
    </row>
    <row r="163" spans="1:10" ht="21.25" customHeight="1" x14ac:dyDescent="0.15">
      <c r="A163" s="10" t="s">
        <v>690</v>
      </c>
      <c r="B163" s="97" t="str" cm="1">
        <f t="array" ref="B163">VLOOKUP(A163,'The List'!B1:D671,3,FALSE)</f>
        <v>C,RW</v>
      </c>
      <c r="C163" s="98" cm="1">
        <f t="array" ref="C163">IF(Settings!$E$15="POINTS",RANK(E163,E3:E210),H163)</f>
        <v>161</v>
      </c>
      <c r="D163" s="18" t="str" cm="1">
        <f t="array" ref="D163">VLOOKUP(A163,'The List'!B1:F671,5,FALSE)</f>
        <v>PHI</v>
      </c>
      <c r="E163" s="55" cm="1">
        <f t="array" ref="E163">VLOOKUP(A163,'The List'!B1:I671,8,FALSE)</f>
        <v>138.14554770153657</v>
      </c>
      <c r="F163" s="55" cm="1">
        <f t="array" ref="F163">IF(Settings!$E$15="POINTS",E163-VLOOKUP(B$2,C1:E210,3,FALSE),J163)</f>
        <v>-256.79791699202087</v>
      </c>
      <c r="G163" s="55"/>
      <c r="H163" s="167" cm="1">
        <f t="array" ref="H163">RANK(I163,I3:I210)</f>
        <v>165</v>
      </c>
      <c r="I163" s="168" cm="1">
        <f t="array" ref="I163">VLOOKUP(A163,'Standard Deviations'!A1:C672,3,FALSE)</f>
        <v>-3.7481985322381219</v>
      </c>
      <c r="J163" s="168" cm="1">
        <f t="array" ref="J163">I163-VLOOKUP(B$2,H1:J210,2,FALSE)</f>
        <v>-10.919441944081781</v>
      </c>
    </row>
    <row r="164" spans="1:10" ht="21.25" customHeight="1" x14ac:dyDescent="0.15">
      <c r="A164" s="10" t="s">
        <v>693</v>
      </c>
      <c r="B164" s="97" t="str" cm="1">
        <f t="array" ref="B164">VLOOKUP(A164,'The List'!B1:D671,3,FALSE)</f>
        <v>C,RW</v>
      </c>
      <c r="C164" s="98" cm="1">
        <f t="array" ref="C164">IF(Settings!$E$15="POINTS",RANK(E164,E3:E210),H164)</f>
        <v>162</v>
      </c>
      <c r="D164" s="18" t="str" cm="1">
        <f t="array" ref="D164">VLOOKUP(A164,'The List'!B1:F671,5,FALSE)</f>
        <v>BOS</v>
      </c>
      <c r="E164" s="55" cm="1">
        <f t="array" ref="E164">VLOOKUP(A164,'The List'!B1:I671,8,FALSE)</f>
        <v>136.62365834937853</v>
      </c>
      <c r="F164" s="55" cm="1">
        <f t="array" ref="F164">IF(Settings!$E$15="POINTS",E164-VLOOKUP(B$2,C1:E210,3,FALSE),J164)</f>
        <v>-258.31980634417891</v>
      </c>
      <c r="G164" s="55"/>
      <c r="H164" s="167" cm="1">
        <f t="array" ref="H164">RANK(I164,I3:I210)</f>
        <v>91</v>
      </c>
      <c r="I164" s="168" cm="1">
        <f t="array" ref="I164">VLOOKUP(A164,'Standard Deviations'!A1:C672,3,FALSE)</f>
        <v>0.25767262728070772</v>
      </c>
      <c r="J164" s="168" cm="1">
        <f t="array" ref="J164">I164-VLOOKUP(B$2,H1:J210,2,FALSE)</f>
        <v>-6.9135707845629515</v>
      </c>
    </row>
    <row r="165" spans="1:10" ht="21.25" customHeight="1" x14ac:dyDescent="0.15">
      <c r="A165" s="10" t="s">
        <v>695</v>
      </c>
      <c r="B165" s="97" t="str" cm="1">
        <f t="array" ref="B165">VLOOKUP(A165,'The List'!B1:D671,3,FALSE)</f>
        <v>RW</v>
      </c>
      <c r="C165" s="98" cm="1">
        <f t="array" ref="C165">IF(Settings!$E$15="POINTS",RANK(E165,E3:E210),H165)</f>
        <v>163</v>
      </c>
      <c r="D165" s="18" t="str" cm="1">
        <f t="array" ref="D165">VLOOKUP(A165,'The List'!B1:F671,5,FALSE)</f>
        <v>MIN</v>
      </c>
      <c r="E165" s="55" cm="1">
        <f t="array" ref="E165">VLOOKUP(A165,'The List'!B1:I671,8,FALSE)</f>
        <v>136.1576421950532</v>
      </c>
      <c r="F165" s="55" cm="1">
        <f t="array" ref="F165">IF(Settings!$E$15="POINTS",E165-VLOOKUP(B$2,C1:E210,3,FALSE),J165)</f>
        <v>-258.78582249850427</v>
      </c>
      <c r="G165" s="55"/>
      <c r="H165" s="167" cm="1">
        <f t="array" ref="H165">RANK(I165,I3:I210)</f>
        <v>174</v>
      </c>
      <c r="I165" s="168" cm="1">
        <f t="array" ref="I165">VLOOKUP(A165,'Standard Deviations'!A1:C672,3,FALSE)</f>
        <v>-4.2261327981915322</v>
      </c>
      <c r="J165" s="168" cm="1">
        <f t="array" ref="J165">I165-VLOOKUP(B$2,H1:J210,2,FALSE)</f>
        <v>-11.397376210035191</v>
      </c>
    </row>
    <row r="166" spans="1:10" ht="21.25" customHeight="1" x14ac:dyDescent="0.15">
      <c r="A166" s="10" t="s">
        <v>696</v>
      </c>
      <c r="B166" s="97" t="str" cm="1">
        <f t="array" ref="B166">VLOOKUP(A166,'The List'!B1:D671,3,FALSE)</f>
        <v>C,LW,RW</v>
      </c>
      <c r="C166" s="98" cm="1">
        <f t="array" ref="C166">IF(Settings!$E$15="POINTS",RANK(E166,E3:E210),H166)</f>
        <v>164</v>
      </c>
      <c r="D166" s="18" t="str" cm="1">
        <f t="array" ref="D166">VLOOKUP(A166,'The List'!B1:F671,5,FALSE)</f>
        <v>NSH</v>
      </c>
      <c r="E166" s="55" cm="1">
        <f t="array" ref="E166">VLOOKUP(A166,'The List'!B1:I671,8,FALSE)</f>
        <v>135.71447661757338</v>
      </c>
      <c r="F166" s="55" cm="1">
        <f t="array" ref="F166">IF(Settings!$E$15="POINTS",E166-VLOOKUP(B$2,C1:E210,3,FALSE),J166)</f>
        <v>-259.22898807598409</v>
      </c>
      <c r="G166" s="55"/>
      <c r="H166" s="167" cm="1">
        <f t="array" ref="H166">RANK(I166,I3:I210)</f>
        <v>181</v>
      </c>
      <c r="I166" s="168" cm="1">
        <f t="array" ref="I166">VLOOKUP(A166,'Standard Deviations'!A1:C672,3,FALSE)</f>
        <v>-4.4724303638569092</v>
      </c>
      <c r="J166" s="168" cm="1">
        <f t="array" ref="J166">I166-VLOOKUP(B$2,H1:J210,2,FALSE)</f>
        <v>-11.643673775700568</v>
      </c>
    </row>
    <row r="167" spans="1:10" ht="21.25" customHeight="1" x14ac:dyDescent="0.15">
      <c r="A167" s="10" t="s">
        <v>699</v>
      </c>
      <c r="B167" s="97" t="str" cm="1">
        <f t="array" ref="B167">VLOOKUP(A167,'The List'!B1:D671,3,FALSE)</f>
        <v>RW</v>
      </c>
      <c r="C167" s="98" cm="1">
        <f t="array" ref="C167">IF(Settings!$E$15="POINTS",RANK(E167,E3:E210),H167)</f>
        <v>165</v>
      </c>
      <c r="D167" s="18" t="str" cm="1">
        <f t="array" ref="D167">VLOOKUP(A167,'The List'!B1:F671,5,FALSE)</f>
        <v>T.B</v>
      </c>
      <c r="E167" s="55" cm="1">
        <f t="array" ref="E167">VLOOKUP(A167,'The List'!B1:I671,8,FALSE)</f>
        <v>133.61650700505794</v>
      </c>
      <c r="F167" s="55" cm="1">
        <f t="array" ref="F167">IF(Settings!$E$15="POINTS",E167-VLOOKUP(B$2,C1:E210,3,FALSE),J167)</f>
        <v>-261.32695768849953</v>
      </c>
      <c r="G167" s="55"/>
      <c r="H167" s="167" cm="1">
        <f t="array" ref="H167">RANK(I167,I3:I210)</f>
        <v>135</v>
      </c>
      <c r="I167" s="168" cm="1">
        <f t="array" ref="I167">VLOOKUP(A167,'Standard Deviations'!A1:C672,3,FALSE)</f>
        <v>-2.0929284242386066</v>
      </c>
      <c r="J167" s="168" cm="1">
        <f t="array" ref="J167">I167-VLOOKUP(B$2,H1:J210,2,FALSE)</f>
        <v>-9.2641718360822658</v>
      </c>
    </row>
    <row r="168" spans="1:10" ht="21.25" customHeight="1" x14ac:dyDescent="0.15">
      <c r="A168" s="10" t="s">
        <v>706</v>
      </c>
      <c r="B168" s="97" t="str" cm="1">
        <f t="array" ref="B168">VLOOKUP(A168,'The List'!B1:D671,3,FALSE)</f>
        <v>C,RW</v>
      </c>
      <c r="C168" s="98" cm="1">
        <f t="array" ref="C168">IF(Settings!$E$15="POINTS",RANK(E168,E3:E210),H168)</f>
        <v>166</v>
      </c>
      <c r="D168" s="18" t="str" cm="1">
        <f t="array" ref="D168">VLOOKUP(A168,'The List'!B1:F671,5,FALSE)</f>
        <v>CHI</v>
      </c>
      <c r="E168" s="55" cm="1">
        <f t="array" ref="E168">VLOOKUP(A168,'The List'!B1:I671,8,FALSE)</f>
        <v>129.91200386225688</v>
      </c>
      <c r="F168" s="55" cm="1">
        <f t="array" ref="F168">IF(Settings!$E$15="POINTS",E168-VLOOKUP(B$2,C1:E210,3,FALSE),J168)</f>
        <v>-265.03146083130059</v>
      </c>
      <c r="G168" s="55"/>
      <c r="H168" s="167" cm="1">
        <f t="array" ref="H168">RANK(I168,I3:I210)</f>
        <v>198</v>
      </c>
      <c r="I168" s="168" cm="1">
        <f t="array" ref="I168">VLOOKUP(A168,'Standard Deviations'!A1:C672,3,FALSE)</f>
        <v>-5.5018196713217451</v>
      </c>
      <c r="J168" s="168" cm="1">
        <f t="array" ref="J168">I168-VLOOKUP(B$2,H1:J210,2,FALSE)</f>
        <v>-12.673063083165404</v>
      </c>
    </row>
    <row r="169" spans="1:10" ht="21.25" customHeight="1" x14ac:dyDescent="0.15">
      <c r="A169" s="10" t="s">
        <v>710</v>
      </c>
      <c r="B169" s="97" t="str" cm="1">
        <f t="array" ref="B169">VLOOKUP(A169,'The List'!B1:D671,3,FALSE)</f>
        <v>RW</v>
      </c>
      <c r="C169" s="98" cm="1">
        <f t="array" ref="C169">IF(Settings!$E$15="POINTS",RANK(E169,E3:E210),H169)</f>
        <v>167</v>
      </c>
      <c r="D169" s="18" t="str" cm="1">
        <f t="array" ref="D169">VLOOKUP(A169,'The List'!B1:F671,5,FALSE)</f>
        <v>L.A</v>
      </c>
      <c r="E169" s="55" cm="1">
        <f t="array" ref="E169">VLOOKUP(A169,'The List'!B1:I671,8,FALSE)</f>
        <v>128.14429639506983</v>
      </c>
      <c r="F169" s="55" cm="1">
        <f t="array" ref="F169">IF(Settings!$E$15="POINTS",E169-VLOOKUP(B$2,C1:E210,3,FALSE),J169)</f>
        <v>-266.79916829848764</v>
      </c>
      <c r="G169" s="55"/>
      <c r="H169" s="167" cm="1">
        <f t="array" ref="H169">RANK(I169,I3:I210)</f>
        <v>143</v>
      </c>
      <c r="I169" s="168" cm="1">
        <f t="array" ref="I169">VLOOKUP(A169,'Standard Deviations'!A1:C672,3,FALSE)</f>
        <v>-2.4375964216287547</v>
      </c>
      <c r="J169" s="168" cm="1">
        <f t="array" ref="J169">I169-VLOOKUP(B$2,H1:J210,2,FALSE)</f>
        <v>-9.6088398334724143</v>
      </c>
    </row>
    <row r="170" spans="1:10" ht="21.25" customHeight="1" x14ac:dyDescent="0.15">
      <c r="A170" s="10" t="s">
        <v>711</v>
      </c>
      <c r="B170" s="97" t="str" cm="1">
        <f t="array" ref="B170">VLOOKUP(A170,'The List'!B1:D671,3,FALSE)</f>
        <v>C,RW</v>
      </c>
      <c r="C170" s="98" cm="1">
        <f t="array" ref="C170">IF(Settings!$E$15="POINTS",RANK(E170,E3:E210),H170)</f>
        <v>168</v>
      </c>
      <c r="D170" s="18" t="str" cm="1">
        <f t="array" ref="D170">VLOOKUP(A170,'The List'!B1:F671,5,FALSE)</f>
        <v>DAL</v>
      </c>
      <c r="E170" s="55" cm="1">
        <f t="array" ref="E170">VLOOKUP(A170,'The List'!B1:I671,8,FALSE)</f>
        <v>127.53005914238597</v>
      </c>
      <c r="F170" s="55" cm="1">
        <f t="array" ref="F170">IF(Settings!$E$15="POINTS",E170-VLOOKUP(B$2,C1:E210,3,FALSE),J170)</f>
        <v>-267.41340555117154</v>
      </c>
      <c r="G170" s="55"/>
      <c r="H170" s="167" cm="1">
        <f t="array" ref="H170">RANK(I170,I3:I210)</f>
        <v>167</v>
      </c>
      <c r="I170" s="168" cm="1">
        <f t="array" ref="I170">VLOOKUP(A170,'Standard Deviations'!A1:C672,3,FALSE)</f>
        <v>-3.9244146042314254</v>
      </c>
      <c r="J170" s="168" cm="1">
        <f t="array" ref="J170">I170-VLOOKUP(B$2,H1:J210,2,FALSE)</f>
        <v>-11.095658016075085</v>
      </c>
    </row>
    <row r="171" spans="1:10" ht="21.25" customHeight="1" x14ac:dyDescent="0.15">
      <c r="A171" s="10" t="s">
        <v>712</v>
      </c>
      <c r="B171" s="97" t="str" cm="1">
        <f t="array" ref="B171">VLOOKUP(A171,'The List'!B1:D671,3,FALSE)</f>
        <v>C,LW,RW</v>
      </c>
      <c r="C171" s="98" cm="1">
        <f t="array" ref="C171">IF(Settings!$E$15="POINTS",RANK(E171,E3:E210),H171)</f>
        <v>169</v>
      </c>
      <c r="D171" s="18" t="str" cm="1">
        <f t="array" ref="D171">VLOOKUP(A171,'The List'!B1:F671,5,FALSE)</f>
        <v>MIN</v>
      </c>
      <c r="E171" s="55" cm="1">
        <f t="array" ref="E171">VLOOKUP(A171,'The List'!B1:I671,8,FALSE)</f>
        <v>126.8320607710076</v>
      </c>
      <c r="F171" s="55" cm="1">
        <f t="array" ref="F171">IF(Settings!$E$15="POINTS",E171-VLOOKUP(B$2,C1:E210,3,FALSE),J171)</f>
        <v>-268.11140392254987</v>
      </c>
      <c r="G171" s="55"/>
      <c r="H171" s="167" cm="1">
        <f t="array" ref="H171">RANK(I171,I3:I210)</f>
        <v>149</v>
      </c>
      <c r="I171" s="168" cm="1">
        <f t="array" ref="I171">VLOOKUP(A171,'Standard Deviations'!A1:C672,3,FALSE)</f>
        <v>-2.7036632467316317</v>
      </c>
      <c r="J171" s="168" cm="1">
        <f t="array" ref="J171">I171-VLOOKUP(B$2,H1:J210,2,FALSE)</f>
        <v>-9.8749066585752914</v>
      </c>
    </row>
    <row r="172" spans="1:10" ht="21.25" customHeight="1" x14ac:dyDescent="0.15">
      <c r="A172" s="10" t="s">
        <v>713</v>
      </c>
      <c r="B172" s="97" t="str" cm="1">
        <f t="array" ref="B172">VLOOKUP(A172,'The List'!B1:D671,3,FALSE)</f>
        <v>C,RW</v>
      </c>
      <c r="C172" s="98" cm="1">
        <f t="array" ref="C172">IF(Settings!$E$15="POINTS",RANK(E172,E3:E210),H172)</f>
        <v>170</v>
      </c>
      <c r="D172" s="18" t="str" cm="1">
        <f t="array" ref="D172">VLOOKUP(A172,'The List'!B1:F671,5,FALSE)</f>
        <v>BOS</v>
      </c>
      <c r="E172" s="55" cm="1">
        <f t="array" ref="E172">VLOOKUP(A172,'The List'!B1:I671,8,FALSE)</f>
        <v>126.26256305905103</v>
      </c>
      <c r="F172" s="55" cm="1">
        <f t="array" ref="F172">IF(Settings!$E$15="POINTS",E172-VLOOKUP(B$2,C1:E210,3,FALSE),J172)</f>
        <v>-268.68090163450643</v>
      </c>
      <c r="G172" s="55"/>
      <c r="H172" s="167" cm="1">
        <f t="array" ref="H172">RANK(I172,I3:I210)</f>
        <v>168</v>
      </c>
      <c r="I172" s="168" cm="1">
        <f t="array" ref="I172">VLOOKUP(A172,'Standard Deviations'!A1:C672,3,FALSE)</f>
        <v>-3.9593178680919143</v>
      </c>
      <c r="J172" s="168" cm="1">
        <f t="array" ref="J172">I172-VLOOKUP(B$2,H1:J210,2,FALSE)</f>
        <v>-11.130561279935574</v>
      </c>
    </row>
    <row r="173" spans="1:10" ht="21.25" customHeight="1" x14ac:dyDescent="0.15">
      <c r="A173" s="10" t="s">
        <v>714</v>
      </c>
      <c r="B173" s="97" t="str" cm="1">
        <f t="array" ref="B173">VLOOKUP(A173,'The List'!B1:D671,3,FALSE)</f>
        <v>RW</v>
      </c>
      <c r="C173" s="98" cm="1">
        <f t="array" ref="C173">IF(Settings!$E$15="POINTS",RANK(E173,E3:E210),H173)</f>
        <v>171</v>
      </c>
      <c r="D173" s="18" t="str" cm="1">
        <f t="array" ref="D173">VLOOKUP(A173,'The List'!B1:F671,5,FALSE)</f>
        <v>L.A</v>
      </c>
      <c r="E173" s="55" cm="1">
        <f t="array" ref="E173">VLOOKUP(A173,'The List'!B1:I671,8,FALSE)</f>
        <v>125.548379842252</v>
      </c>
      <c r="F173" s="55" cm="1">
        <f t="array" ref="F173">IF(Settings!$E$15="POINTS",E173-VLOOKUP(B$2,C1:E210,3,FALSE),J173)</f>
        <v>-269.39508485130546</v>
      </c>
      <c r="G173" s="55"/>
      <c r="H173" s="167" cm="1">
        <f t="array" ref="H173">RANK(I173,I3:I210)</f>
        <v>182</v>
      </c>
      <c r="I173" s="168" cm="1">
        <f t="array" ref="I173">VLOOKUP(A173,'Standard Deviations'!A1:C672,3,FALSE)</f>
        <v>-4.6019503837009399</v>
      </c>
      <c r="J173" s="168" cm="1">
        <f t="array" ref="J173">I173-VLOOKUP(B$2,H1:J210,2,FALSE)</f>
        <v>-11.7731937955446</v>
      </c>
    </row>
    <row r="174" spans="1:10" ht="21.25" customHeight="1" x14ac:dyDescent="0.15">
      <c r="A174" s="10" t="s">
        <v>715</v>
      </c>
      <c r="B174" s="97" t="str" cm="1">
        <f t="array" ref="B174">VLOOKUP(A174,'The List'!B1:D671,3,FALSE)</f>
        <v>LW,RW</v>
      </c>
      <c r="C174" s="98" cm="1">
        <f t="array" ref="C174">IF(Settings!$E$15="POINTS",RANK(E174,E3:E210),H174)</f>
        <v>172</v>
      </c>
      <c r="D174" s="18" t="str" cm="1">
        <f t="array" ref="D174">VLOOKUP(A174,'The List'!B1:F671,5,FALSE)</f>
        <v>STL</v>
      </c>
      <c r="E174" s="55" cm="1">
        <f t="array" ref="E174">VLOOKUP(A174,'The List'!B1:I671,8,FALSE)</f>
        <v>125.29115204157866</v>
      </c>
      <c r="F174" s="55" cm="1">
        <f t="array" ref="F174">IF(Settings!$E$15="POINTS",E174-VLOOKUP(B$2,C1:E210,3,FALSE),J174)</f>
        <v>-269.65231265197883</v>
      </c>
      <c r="G174" s="55"/>
      <c r="H174" s="167" cm="1">
        <f t="array" ref="H174">RANK(I174,I3:I210)</f>
        <v>185</v>
      </c>
      <c r="I174" s="168" cm="1">
        <f t="array" ref="I174">VLOOKUP(A174,'Standard Deviations'!A1:C672,3,FALSE)</f>
        <v>-4.7708676708608806</v>
      </c>
      <c r="J174" s="168" cm="1">
        <f t="array" ref="J174">I174-VLOOKUP(B$2,H1:J210,2,FALSE)</f>
        <v>-11.942111082704539</v>
      </c>
    </row>
    <row r="175" spans="1:10" ht="21.25" customHeight="1" x14ac:dyDescent="0.15">
      <c r="A175" s="10" t="s">
        <v>716</v>
      </c>
      <c r="B175" s="97" t="str" cm="1">
        <f t="array" ref="B175">VLOOKUP(A175,'The List'!B1:D671,3,FALSE)</f>
        <v>RW</v>
      </c>
      <c r="C175" s="98" cm="1">
        <f t="array" ref="C175">IF(Settings!$E$15="POINTS",RANK(E175,E3:E210),H175)</f>
        <v>173</v>
      </c>
      <c r="D175" s="18" t="str" cm="1">
        <f t="array" ref="D175">VLOOKUP(A175,'The List'!B1:F671,5,FALSE)</f>
        <v>CGY</v>
      </c>
      <c r="E175" s="55" cm="1">
        <f t="array" ref="E175">VLOOKUP(A175,'The List'!B1:I671,8,FALSE)</f>
        <v>125.07327435720499</v>
      </c>
      <c r="F175" s="55" cm="1">
        <f t="array" ref="F175">IF(Settings!$E$15="POINTS",E175-VLOOKUP(B$2,C1:E210,3,FALSE),J175)</f>
        <v>-269.87019033635249</v>
      </c>
      <c r="G175" s="55"/>
      <c r="H175" s="167" cm="1">
        <f t="array" ref="H175">RANK(I175,I3:I210)</f>
        <v>156</v>
      </c>
      <c r="I175" s="168" cm="1">
        <f t="array" ref="I175">VLOOKUP(A175,'Standard Deviations'!A1:C672,3,FALSE)</f>
        <v>-3.3333013587965263</v>
      </c>
      <c r="J175" s="168" cm="1">
        <f t="array" ref="J175">I175-VLOOKUP(B$2,H1:J210,2,FALSE)</f>
        <v>-10.504544770640186</v>
      </c>
    </row>
    <row r="176" spans="1:10" ht="21.25" customHeight="1" x14ac:dyDescent="0.15">
      <c r="A176" s="10" t="s">
        <v>718</v>
      </c>
      <c r="B176" s="97" t="str" cm="1">
        <f t="array" ref="B176">VLOOKUP(A176,'The List'!B1:D671,3,FALSE)</f>
        <v>RW</v>
      </c>
      <c r="C176" s="98" cm="1">
        <f t="array" ref="C176">IF(Settings!$E$15="POINTS",RANK(E176,E3:E210),H176)</f>
        <v>174</v>
      </c>
      <c r="D176" s="18" t="str" cm="1">
        <f t="array" ref="D176">VLOOKUP(A176,'The List'!B1:F671,5,FALSE)</f>
        <v>WPG</v>
      </c>
      <c r="E176" s="55" cm="1">
        <f t="array" ref="E176">VLOOKUP(A176,'The List'!B1:I671,8,FALSE)</f>
        <v>123.69952644257792</v>
      </c>
      <c r="F176" s="55" cm="1">
        <f t="array" ref="F176">IF(Settings!$E$15="POINTS",E176-VLOOKUP(B$2,C1:E210,3,FALSE),J176)</f>
        <v>-271.24393825097957</v>
      </c>
      <c r="G176" s="55"/>
      <c r="H176" s="167" cm="1">
        <f t="array" ref="H176">RANK(I176,I3:I210)</f>
        <v>186</v>
      </c>
      <c r="I176" s="168" cm="1">
        <f t="array" ref="I176">VLOOKUP(A176,'Standard Deviations'!A1:C672,3,FALSE)</f>
        <v>-4.8565839778138322</v>
      </c>
      <c r="J176" s="168" cm="1">
        <f t="array" ref="J176">I176-VLOOKUP(B$2,H1:J210,2,FALSE)</f>
        <v>-12.027827389657492</v>
      </c>
    </row>
    <row r="177" spans="1:10" ht="21.25" customHeight="1" x14ac:dyDescent="0.15">
      <c r="A177" s="10" t="s">
        <v>719</v>
      </c>
      <c r="B177" s="97" t="str" cm="1">
        <f t="array" ref="B177">VLOOKUP(A177,'The List'!B1:D671,3,FALSE)</f>
        <v>C,RW</v>
      </c>
      <c r="C177" s="98" cm="1">
        <f t="array" ref="C177">IF(Settings!$E$15="POINTS",RANK(E177,E3:E210),H177)</f>
        <v>175</v>
      </c>
      <c r="D177" s="18" t="str" cm="1">
        <f t="array" ref="D177">VLOOKUP(A177,'The List'!B1:F671,5,FALSE)</f>
        <v>TOR</v>
      </c>
      <c r="E177" s="55" cm="1">
        <f t="array" ref="E177">VLOOKUP(A177,'The List'!B1:I671,8,FALSE)</f>
        <v>123.01295045181961</v>
      </c>
      <c r="F177" s="55" cm="1">
        <f t="array" ref="F177">IF(Settings!$E$15="POINTS",E177-VLOOKUP(B$2,C1:E210,3,FALSE),J177)</f>
        <v>-271.93051424173785</v>
      </c>
      <c r="G177" s="55"/>
      <c r="H177" s="167" cm="1">
        <f t="array" ref="H177">RANK(I177,I3:I210)</f>
        <v>164</v>
      </c>
      <c r="I177" s="168" cm="1">
        <f t="array" ref="I177">VLOOKUP(A177,'Standard Deviations'!A1:C672,3,FALSE)</f>
        <v>-3.7047737830328664</v>
      </c>
      <c r="J177" s="168" cm="1">
        <f t="array" ref="J177">I177-VLOOKUP(B$2,H1:J210,2,FALSE)</f>
        <v>-10.876017194876525</v>
      </c>
    </row>
    <row r="178" spans="1:10" ht="21.25" customHeight="1" x14ac:dyDescent="0.15">
      <c r="A178" s="10" t="s">
        <v>720</v>
      </c>
      <c r="B178" s="97" t="str" cm="1">
        <f t="array" ref="B178">VLOOKUP(A178,'The List'!B1:D671,3,FALSE)</f>
        <v>RW</v>
      </c>
      <c r="C178" s="98" cm="1">
        <f t="array" ref="C178">IF(Settings!$E$15="POINTS",RANK(E178,E3:E210),H178)</f>
        <v>176</v>
      </c>
      <c r="D178" s="18" t="str" cm="1">
        <f t="array" ref="D178">VLOOKUP(A178,'The List'!B1:F671,5,FALSE)</f>
        <v>DET</v>
      </c>
      <c r="E178" s="55" cm="1">
        <f t="array" ref="E178">VLOOKUP(A178,'The List'!B1:I671,8,FALSE)</f>
        <v>121.67407296624309</v>
      </c>
      <c r="F178" s="55" cm="1">
        <f t="array" ref="F178">IF(Settings!$E$15="POINTS",E178-VLOOKUP(B$2,C1:E210,3,FALSE),J178)</f>
        <v>-273.26939172731437</v>
      </c>
      <c r="G178" s="55"/>
      <c r="H178" s="167" cm="1">
        <f t="array" ref="H178">RANK(I178,I3:I210)</f>
        <v>163</v>
      </c>
      <c r="I178" s="168" cm="1">
        <f t="array" ref="I178">VLOOKUP(A178,'Standard Deviations'!A1:C672,3,FALSE)</f>
        <v>-3.6901113275943898</v>
      </c>
      <c r="J178" s="168" cm="1">
        <f t="array" ref="J178">I178-VLOOKUP(B$2,H1:J210,2,FALSE)</f>
        <v>-10.861354739438049</v>
      </c>
    </row>
    <row r="179" spans="1:10" ht="21.25" customHeight="1" x14ac:dyDescent="0.15">
      <c r="A179" s="10" t="s">
        <v>721</v>
      </c>
      <c r="B179" s="97" t="str" cm="1">
        <f t="array" ref="B179">VLOOKUP(A179,'The List'!B1:D671,3,FALSE)</f>
        <v>LW,RW</v>
      </c>
      <c r="C179" s="98" cm="1">
        <f t="array" ref="C179">IF(Settings!$E$15="POINTS",RANK(E179,E3:E210),H179)</f>
        <v>177</v>
      </c>
      <c r="D179" s="18" t="str" cm="1">
        <f t="array" ref="D179">VLOOKUP(A179,'The List'!B1:F671,5,FALSE)</f>
        <v>OTT</v>
      </c>
      <c r="E179" s="55" cm="1">
        <f t="array" ref="E179">VLOOKUP(A179,'The List'!B1:I671,8,FALSE)</f>
        <v>121.53642236478285</v>
      </c>
      <c r="F179" s="55" cm="1">
        <f t="array" ref="F179">IF(Settings!$E$15="POINTS",E179-VLOOKUP(B$2,C1:E210,3,FALSE),J179)</f>
        <v>-273.40704232877465</v>
      </c>
      <c r="G179" s="55"/>
      <c r="H179" s="167" cm="1">
        <f t="array" ref="H179">RANK(I179,I3:I210)</f>
        <v>187</v>
      </c>
      <c r="I179" s="168" cm="1">
        <f t="array" ref="I179">VLOOKUP(A179,'Standard Deviations'!A1:C672,3,FALSE)</f>
        <v>-4.9107477202721466</v>
      </c>
      <c r="J179" s="168" cm="1">
        <f t="array" ref="J179">I179-VLOOKUP(B$2,H1:J210,2,FALSE)</f>
        <v>-12.081991132115807</v>
      </c>
    </row>
    <row r="180" spans="1:10" ht="21.25" customHeight="1" x14ac:dyDescent="0.15">
      <c r="A180" s="10" t="s">
        <v>722</v>
      </c>
      <c r="B180" s="97" t="str" cm="1">
        <f t="array" ref="B180">VLOOKUP(A180,'The List'!B1:D671,3,FALSE)</f>
        <v>C,RW</v>
      </c>
      <c r="C180" s="98" cm="1">
        <f t="array" ref="C180">IF(Settings!$E$15="POINTS",RANK(E180,E3:E210),H180)</f>
        <v>178</v>
      </c>
      <c r="D180" s="18" t="str" cm="1">
        <f t="array" ref="D180">VLOOKUP(A180,'The List'!B1:F671,5,FALSE)</f>
        <v>S.J</v>
      </c>
      <c r="E180" s="55" cm="1">
        <f t="array" ref="E180">VLOOKUP(A180,'The List'!B1:I671,8,FALSE)</f>
        <v>120.93478281309424</v>
      </c>
      <c r="F180" s="55" cm="1">
        <f t="array" ref="F180">IF(Settings!$E$15="POINTS",E180-VLOOKUP(B$2,C1:E210,3,FALSE),J180)</f>
        <v>-274.0086818804632</v>
      </c>
      <c r="G180" s="55"/>
      <c r="H180" s="167" cm="1">
        <f t="array" ref="H180">RANK(I180,I3:I210)</f>
        <v>190</v>
      </c>
      <c r="I180" s="168" cm="1">
        <f t="array" ref="I180">VLOOKUP(A180,'Standard Deviations'!A1:C672,3,FALSE)</f>
        <v>-4.9675128032231193</v>
      </c>
      <c r="J180" s="168" cm="1">
        <f t="array" ref="J180">I180-VLOOKUP(B$2,H1:J210,2,FALSE)</f>
        <v>-12.138756215066778</v>
      </c>
    </row>
    <row r="181" spans="1:10" ht="21.25" customHeight="1" x14ac:dyDescent="0.15">
      <c r="A181" s="10" t="s">
        <v>725</v>
      </c>
      <c r="B181" s="97" t="str" cm="1">
        <f t="array" ref="B181">VLOOKUP(A181,'The List'!B1:D671,3,FALSE)</f>
        <v>LW,RW</v>
      </c>
      <c r="C181" s="98" cm="1">
        <f t="array" ref="C181">IF(Settings!$E$15="POINTS",RANK(E181,E3:E210),H181)</f>
        <v>179</v>
      </c>
      <c r="D181" s="18" t="str" cm="1">
        <f t="array" ref="D181">VLOOKUP(A181,'The List'!B1:F671,5,FALSE)</f>
        <v>BOS</v>
      </c>
      <c r="E181" s="55" cm="1">
        <f t="array" ref="E181">VLOOKUP(A181,'The List'!B1:I671,8,FALSE)</f>
        <v>119.50729062559837</v>
      </c>
      <c r="F181" s="55" cm="1">
        <f t="array" ref="F181">IF(Settings!$E$15="POINTS",E181-VLOOKUP(B$2,C1:E210,3,FALSE),J181)</f>
        <v>-275.43617406795909</v>
      </c>
      <c r="G181" s="55"/>
      <c r="H181" s="167" cm="1">
        <f t="array" ref="H181">RANK(I181,I3:I210)</f>
        <v>129</v>
      </c>
      <c r="I181" s="168" cm="1">
        <f t="array" ref="I181">VLOOKUP(A181,'Standard Deviations'!A1:C672,3,FALSE)</f>
        <v>-1.9019807645745574</v>
      </c>
      <c r="J181" s="168" cm="1">
        <f t="array" ref="J181">I181-VLOOKUP(B$2,H1:J210,2,FALSE)</f>
        <v>-9.0732241764182167</v>
      </c>
    </row>
    <row r="182" spans="1:10" ht="21.25" customHeight="1" x14ac:dyDescent="0.15">
      <c r="A182" s="10" t="s">
        <v>726</v>
      </c>
      <c r="B182" s="97" t="str" cm="1">
        <f t="array" ref="B182">VLOOKUP(A182,'The List'!B1:D671,3,FALSE)</f>
        <v>LW,RW</v>
      </c>
      <c r="C182" s="98" cm="1">
        <f t="array" ref="C182">IF(Settings!$E$15="POINTS",RANK(E182,E3:E210),H182)</f>
        <v>180</v>
      </c>
      <c r="D182" s="18" t="str" cm="1">
        <f t="array" ref="D182">VLOOKUP(A182,'The List'!B1:F671,5,FALSE)</f>
        <v>TOR</v>
      </c>
      <c r="E182" s="55" cm="1">
        <f t="array" ref="E182">VLOOKUP(A182,'The List'!B1:I671,8,FALSE)</f>
        <v>119.29140753677862</v>
      </c>
      <c r="F182" s="55" cm="1">
        <f t="array" ref="F182">IF(Settings!$E$15="POINTS",E182-VLOOKUP(B$2,C1:E210,3,FALSE),J182)</f>
        <v>-275.65205715677882</v>
      </c>
      <c r="G182" s="55"/>
      <c r="H182" s="167" cm="1">
        <f t="array" ref="H182">RANK(I182,I3:I210)</f>
        <v>189</v>
      </c>
      <c r="I182" s="168" cm="1">
        <f t="array" ref="I182">VLOOKUP(A182,'Standard Deviations'!A1:C672,3,FALSE)</f>
        <v>-4.9342018716550449</v>
      </c>
      <c r="J182" s="168" cm="1">
        <f t="array" ref="J182">I182-VLOOKUP(B$2,H1:J210,2,FALSE)</f>
        <v>-12.105445283498703</v>
      </c>
    </row>
    <row r="183" spans="1:10" ht="21.25" customHeight="1" x14ac:dyDescent="0.15">
      <c r="A183" s="10" t="s">
        <v>729</v>
      </c>
      <c r="B183" s="97" t="str" cm="1">
        <f t="array" ref="B183">VLOOKUP(A183,'The List'!B1:D671,3,FALSE)</f>
        <v>LW,RW</v>
      </c>
      <c r="C183" s="98" cm="1">
        <f t="array" ref="C183">IF(Settings!$E$15="POINTS",RANK(E183,E3:E210),H183)</f>
        <v>181</v>
      </c>
      <c r="D183" s="18" t="str" cm="1">
        <f t="array" ref="D183">VLOOKUP(A183,'The List'!B1:F671,5,FALSE)</f>
        <v>CHI</v>
      </c>
      <c r="E183" s="55" cm="1">
        <f t="array" ref="E183">VLOOKUP(A183,'The List'!B1:I671,8,FALSE)</f>
        <v>118.1046793419105</v>
      </c>
      <c r="F183" s="55" cm="1">
        <f t="array" ref="F183">IF(Settings!$E$15="POINTS",E183-VLOOKUP(B$2,C1:E210,3,FALSE),J183)</f>
        <v>-276.83878535164695</v>
      </c>
      <c r="G183" s="55"/>
      <c r="H183" s="167" cm="1">
        <f t="array" ref="H183">RANK(I183,I3:I210)</f>
        <v>201</v>
      </c>
      <c r="I183" s="168" cm="1">
        <f t="array" ref="I183">VLOOKUP(A183,'Standard Deviations'!A1:C672,3,FALSE)</f>
        <v>-6.028730439311019</v>
      </c>
      <c r="J183" s="168" cm="1">
        <f t="array" ref="J183">I183-VLOOKUP(B$2,H1:J210,2,FALSE)</f>
        <v>-13.199973851154677</v>
      </c>
    </row>
    <row r="184" spans="1:10" ht="21.25" customHeight="1" x14ac:dyDescent="0.15">
      <c r="A184" s="10" t="s">
        <v>730</v>
      </c>
      <c r="B184" s="97" t="str" cm="1">
        <f t="array" ref="B184">VLOOKUP(A184,'The List'!B1:D671,3,FALSE)</f>
        <v>RW</v>
      </c>
      <c r="C184" s="98" cm="1">
        <f t="array" ref="C184">IF(Settings!$E$15="POINTS",RANK(E184,E3:E210),H184)</f>
        <v>182</v>
      </c>
      <c r="D184" s="18" t="str" cm="1">
        <f t="array" ref="D184">VLOOKUP(A184,'The List'!B1:F671,5,FALSE)</f>
        <v>EDM</v>
      </c>
      <c r="E184" s="55" cm="1">
        <f t="array" ref="E184">VLOOKUP(A184,'The List'!B1:I671,8,FALSE)</f>
        <v>117.38007622424205</v>
      </c>
      <c r="F184" s="55" cm="1">
        <f t="array" ref="F184">IF(Settings!$E$15="POINTS",E184-VLOOKUP(B$2,C1:E210,3,FALSE),J184)</f>
        <v>-277.56338846931544</v>
      </c>
      <c r="G184" s="55"/>
      <c r="H184" s="167" cm="1">
        <f t="array" ref="H184">RANK(I184,I3:I210)</f>
        <v>175</v>
      </c>
      <c r="I184" s="168" cm="1">
        <f t="array" ref="I184">VLOOKUP(A184,'Standard Deviations'!A1:C672,3,FALSE)</f>
        <v>-4.2609000135624964</v>
      </c>
      <c r="J184" s="168" cm="1">
        <f t="array" ref="J184">I184-VLOOKUP(B$2,H1:J210,2,FALSE)</f>
        <v>-11.432143425406156</v>
      </c>
    </row>
    <row r="185" spans="1:10" ht="21.25" customHeight="1" x14ac:dyDescent="0.15">
      <c r="A185" s="10" t="s">
        <v>732</v>
      </c>
      <c r="B185" s="97" t="str" cm="1">
        <f t="array" ref="B185">VLOOKUP(A185,'The List'!B1:D671,3,FALSE)</f>
        <v>RW</v>
      </c>
      <c r="C185" s="98" cm="1">
        <f t="array" ref="C185">IF(Settings!$E$15="POINTS",RANK(E185,E3:E210),H185)</f>
        <v>183</v>
      </c>
      <c r="D185" s="18" t="str" cm="1">
        <f t="array" ref="D185">VLOOKUP(A185,'The List'!B1:F671,5,FALSE)</f>
        <v>NYR</v>
      </c>
      <c r="E185" s="55" cm="1">
        <f t="array" ref="E185">VLOOKUP(A185,'The List'!B1:I671,8,FALSE)</f>
        <v>116.88770948095132</v>
      </c>
      <c r="F185" s="55" cm="1">
        <f t="array" ref="F185">IF(Settings!$E$15="POINTS",E185-VLOOKUP(B$2,C1:E210,3,FALSE),J185)</f>
        <v>-278.05575521260619</v>
      </c>
      <c r="G185" s="55"/>
      <c r="H185" s="167" cm="1">
        <f t="array" ref="H185">RANK(I185,I3:I210)</f>
        <v>192</v>
      </c>
      <c r="I185" s="168" cm="1">
        <f t="array" ref="I185">VLOOKUP(A185,'Standard Deviations'!A1:C672,3,FALSE)</f>
        <v>-5.0824872624234443</v>
      </c>
      <c r="J185" s="168" cm="1">
        <f t="array" ref="J185">I185-VLOOKUP(B$2,H1:J210,2,FALSE)</f>
        <v>-12.253730674267103</v>
      </c>
    </row>
    <row r="186" spans="1:10" ht="21.25" customHeight="1" x14ac:dyDescent="0.15">
      <c r="A186" s="10" t="s">
        <v>733</v>
      </c>
      <c r="B186" s="97" t="str" cm="1">
        <f t="array" ref="B186">VLOOKUP(A186,'The List'!B1:D671,3,FALSE)</f>
        <v>LW,RW</v>
      </c>
      <c r="C186" s="98" cm="1">
        <f t="array" ref="C186">IF(Settings!$E$15="POINTS",RANK(E186,E3:E210),H186)</f>
        <v>184</v>
      </c>
      <c r="D186" s="18" t="str" cm="1">
        <f t="array" ref="D186">VLOOKUP(A186,'The List'!B1:F671,5,FALSE)</f>
        <v>UTA</v>
      </c>
      <c r="E186" s="55" cm="1">
        <f t="array" ref="E186">VLOOKUP(A186,'The List'!B1:I671,8,FALSE)</f>
        <v>116.60927490018494</v>
      </c>
      <c r="F186" s="55" cm="1">
        <f t="array" ref="F186">IF(Settings!$E$15="POINTS",E186-VLOOKUP(B$2,C1:E210,3,FALSE),J186)</f>
        <v>-278.3341897933725</v>
      </c>
      <c r="G186" s="55"/>
      <c r="H186" s="167" cm="1">
        <f t="array" ref="H186">RANK(I186,I3:I210)</f>
        <v>172</v>
      </c>
      <c r="I186" s="168" cm="1">
        <f t="array" ref="I186">VLOOKUP(A186,'Standard Deviations'!A1:C672,3,FALSE)</f>
        <v>-4.1856389345107781</v>
      </c>
      <c r="J186" s="168" cm="1">
        <f t="array" ref="J186">I186-VLOOKUP(B$2,H1:J210,2,FALSE)</f>
        <v>-11.356882346354437</v>
      </c>
    </row>
    <row r="187" spans="1:10" ht="21.25" customHeight="1" x14ac:dyDescent="0.15">
      <c r="A187" s="10" t="s">
        <v>734</v>
      </c>
      <c r="B187" s="97" t="str" cm="1">
        <f t="array" ref="B187">VLOOKUP(A187,'The List'!B1:D671,3,FALSE)</f>
        <v>LW,RW</v>
      </c>
      <c r="C187" s="98" cm="1">
        <f t="array" ref="C187">IF(Settings!$E$15="POINTS",RANK(E187,E3:E210),H187)</f>
        <v>185</v>
      </c>
      <c r="D187" s="18" t="str" cm="1">
        <f t="array" ref="D187">VLOOKUP(A187,'The List'!B1:F671,5,FALSE)</f>
        <v>CAR</v>
      </c>
      <c r="E187" s="55" cm="1">
        <f t="array" ref="E187">VLOOKUP(A187,'The List'!B1:I671,8,FALSE)</f>
        <v>116.59276381996756</v>
      </c>
      <c r="F187" s="55" cm="1">
        <f t="array" ref="F187">IF(Settings!$E$15="POINTS",E187-VLOOKUP(B$2,C1:E210,3,FALSE),J187)</f>
        <v>-278.35070087358991</v>
      </c>
      <c r="G187" s="55"/>
      <c r="H187" s="167" cm="1">
        <f t="array" ref="H187">RANK(I187,I3:I210)</f>
        <v>169</v>
      </c>
      <c r="I187" s="168" cm="1">
        <f t="array" ref="I187">VLOOKUP(A187,'Standard Deviations'!A1:C672,3,FALSE)</f>
        <v>-3.9996917108585679</v>
      </c>
      <c r="J187" s="168" cm="1">
        <f t="array" ref="J187">I187-VLOOKUP(B$2,H1:J210,2,FALSE)</f>
        <v>-11.170935122702227</v>
      </c>
    </row>
    <row r="188" spans="1:10" ht="21.25" customHeight="1" x14ac:dyDescent="0.15">
      <c r="A188" s="10" t="s">
        <v>736</v>
      </c>
      <c r="B188" s="97" t="str" cm="1">
        <f t="array" ref="B188">VLOOKUP(A188,'The List'!B1:D671,3,FALSE)</f>
        <v>RW</v>
      </c>
      <c r="C188" s="98" cm="1">
        <f t="array" ref="C188">IF(Settings!$E$15="POINTS",RANK(E188,E3:E210),H188)</f>
        <v>186</v>
      </c>
      <c r="D188" s="18" t="str" cm="1">
        <f t="array" ref="D188">VLOOKUP(A188,'The List'!B1:F671,5,FALSE)</f>
        <v>DET</v>
      </c>
      <c r="E188" s="55" cm="1">
        <f t="array" ref="E188">VLOOKUP(A188,'The List'!B1:I671,8,FALSE)</f>
        <v>115.43635360438415</v>
      </c>
      <c r="F188" s="55" cm="1">
        <f t="array" ref="F188">IF(Settings!$E$15="POINTS",E188-VLOOKUP(B$2,C1:E210,3,FALSE),J188)</f>
        <v>-279.50711108917335</v>
      </c>
      <c r="G188" s="55"/>
      <c r="H188" s="167" cm="1">
        <f t="array" ref="H188">RANK(I188,I3:I210)</f>
        <v>194</v>
      </c>
      <c r="I188" s="168" cm="1">
        <f t="array" ref="I188">VLOOKUP(A188,'Standard Deviations'!A1:C672,3,FALSE)</f>
        <v>-5.0997960193076119</v>
      </c>
      <c r="J188" s="168" cm="1">
        <f t="array" ref="J188">I188-VLOOKUP(B$2,H1:J210,2,FALSE)</f>
        <v>-12.271039431151271</v>
      </c>
    </row>
    <row r="189" spans="1:10" ht="21.25" customHeight="1" x14ac:dyDescent="0.15">
      <c r="A189" s="10" t="s">
        <v>739</v>
      </c>
      <c r="B189" s="97" t="str" cm="1">
        <f t="array" ref="B189">VLOOKUP(A189,'The List'!B1:D671,3,FALSE)</f>
        <v>C,RW</v>
      </c>
      <c r="C189" s="98" cm="1">
        <f t="array" ref="C189">IF(Settings!$E$15="POINTS",RANK(E189,E3:E210),H189)</f>
        <v>187</v>
      </c>
      <c r="D189" s="18" t="str" cm="1">
        <f t="array" ref="D189">VLOOKUP(A189,'The List'!B1:F671,5,FALSE)</f>
        <v>CGY</v>
      </c>
      <c r="E189" s="55" cm="1">
        <f t="array" ref="E189">VLOOKUP(A189,'The List'!B1:I671,8,FALSE)</f>
        <v>114.32798669813094</v>
      </c>
      <c r="F189" s="55" cm="1">
        <f t="array" ref="F189">IF(Settings!$E$15="POINTS",E189-VLOOKUP(B$2,C1:E210,3,FALSE),J189)</f>
        <v>-280.61547799542655</v>
      </c>
      <c r="G189" s="55"/>
      <c r="H189" s="167" cm="1">
        <f t="array" ref="H189">RANK(I189,I3:I210)</f>
        <v>176</v>
      </c>
      <c r="I189" s="168" cm="1">
        <f t="array" ref="I189">VLOOKUP(A189,'Standard Deviations'!A1:C672,3,FALSE)</f>
        <v>-4.2724494710469898</v>
      </c>
      <c r="J189" s="168" cm="1">
        <f t="array" ref="J189">I189-VLOOKUP(B$2,H1:J210,2,FALSE)</f>
        <v>-11.443692882890648</v>
      </c>
    </row>
    <row r="190" spans="1:10" ht="21.25" customHeight="1" x14ac:dyDescent="0.15">
      <c r="A190" s="10" t="s">
        <v>748</v>
      </c>
      <c r="B190" s="97" t="str" cm="1">
        <f t="array" ref="B190">VLOOKUP(A190,'The List'!B1:D671,3,FALSE)</f>
        <v>RW</v>
      </c>
      <c r="C190" s="98" cm="1">
        <f t="array" ref="C190">IF(Settings!$E$15="POINTS",RANK(E190,E3:E210),H190)</f>
        <v>188</v>
      </c>
      <c r="D190" s="18" t="str" cm="1">
        <f t="array" ref="D190">VLOOKUP(A190,'The List'!B1:F671,5,FALSE)</f>
        <v>N.J</v>
      </c>
      <c r="E190" s="55" cm="1">
        <f t="array" ref="E190">VLOOKUP(A190,'The List'!B1:I671,8,FALSE)</f>
        <v>111.18442735976301</v>
      </c>
      <c r="F190" s="55" cm="1">
        <f t="array" ref="F190">IF(Settings!$E$15="POINTS",E190-VLOOKUP(B$2,C1:E210,3,FALSE),J190)</f>
        <v>-283.75903733379448</v>
      </c>
      <c r="G190" s="55"/>
      <c r="H190" s="167" cm="1">
        <f t="array" ref="H190">RANK(I190,I3:I210)</f>
        <v>170</v>
      </c>
      <c r="I190" s="168" cm="1">
        <f t="array" ref="I190">VLOOKUP(A190,'Standard Deviations'!A1:C672,3,FALSE)</f>
        <v>-4.0451090685673234</v>
      </c>
      <c r="J190" s="168" cm="1">
        <f t="array" ref="J190">I190-VLOOKUP(B$2,H1:J210,2,FALSE)</f>
        <v>-11.216352480410983</v>
      </c>
    </row>
    <row r="191" spans="1:10" ht="21.25" customHeight="1" x14ac:dyDescent="0.15">
      <c r="A191" s="10" t="s">
        <v>749</v>
      </c>
      <c r="B191" s="97" t="str" cm="1">
        <f t="array" ref="B191">VLOOKUP(A191,'The List'!B1:D671,3,FALSE)</f>
        <v>RW</v>
      </c>
      <c r="C191" s="98" cm="1">
        <f t="array" ref="C191">IF(Settings!$E$15="POINTS",RANK(E191,E3:E210),H191)</f>
        <v>189</v>
      </c>
      <c r="D191" s="18" t="str" cm="1">
        <f t="array" ref="D191">VLOOKUP(A191,'The List'!B1:F671,5,FALSE)</f>
        <v>VAN</v>
      </c>
      <c r="E191" s="55" cm="1">
        <f t="array" ref="E191">VLOOKUP(A191,'The List'!B1:I671,8,FALSE)</f>
        <v>110.99075743511548</v>
      </c>
      <c r="F191" s="55" cm="1">
        <f t="array" ref="F191">IF(Settings!$E$15="POINTS",E191-VLOOKUP(B$2,C1:E210,3,FALSE),J191)</f>
        <v>-283.95270725844199</v>
      </c>
      <c r="G191" s="55"/>
      <c r="H191" s="167" cm="1">
        <f t="array" ref="H191">RANK(I191,I3:I210)</f>
        <v>205</v>
      </c>
      <c r="I191" s="168" cm="1">
        <f t="array" ref="I191">VLOOKUP(A191,'Standard Deviations'!A1:C672,3,FALSE)</f>
        <v>-6.7010017569354821</v>
      </c>
      <c r="J191" s="168" cm="1">
        <f t="array" ref="J191">I191-VLOOKUP(B$2,H1:J210,2,FALSE)</f>
        <v>-13.872245168779141</v>
      </c>
    </row>
    <row r="192" spans="1:10" ht="21.25" customHeight="1" x14ac:dyDescent="0.15">
      <c r="A192" s="10" t="s">
        <v>755</v>
      </c>
      <c r="B192" s="97" t="str" cm="1">
        <f t="array" ref="B192">VLOOKUP(A192,'The List'!B1:D671,3,FALSE)</f>
        <v>C,LW,RW</v>
      </c>
      <c r="C192" s="98" cm="1">
        <f t="array" ref="C192">IF(Settings!$E$15="POINTS",RANK(E192,E3:E210),H192)</f>
        <v>190</v>
      </c>
      <c r="D192" s="18" t="str" cm="1">
        <f t="array" ref="D192">VLOOKUP(A192,'The List'!B1:F671,5,FALSE)</f>
        <v>EDM</v>
      </c>
      <c r="E192" s="55" cm="1">
        <f t="array" ref="E192">VLOOKUP(A192,'The List'!B1:I671,8,FALSE)</f>
        <v>109.76021036564762</v>
      </c>
      <c r="F192" s="55" cm="1">
        <f t="array" ref="F192">IF(Settings!$E$15="POINTS",E192-VLOOKUP(B$2,C1:E210,3,FALSE),J192)</f>
        <v>-285.18325432790982</v>
      </c>
      <c r="G192" s="55"/>
      <c r="H192" s="167" cm="1">
        <f t="array" ref="H192">RANK(I192,I3:I210)</f>
        <v>142</v>
      </c>
      <c r="I192" s="168" cm="1">
        <f t="array" ref="I192">VLOOKUP(A192,'Standard Deviations'!A1:C672,3,FALSE)</f>
        <v>-2.4363596204547999</v>
      </c>
      <c r="J192" s="168" cm="1">
        <f t="array" ref="J192">I192-VLOOKUP(B$2,H1:J210,2,FALSE)</f>
        <v>-9.60760303229846</v>
      </c>
    </row>
    <row r="193" spans="1:10" ht="21.25" customHeight="1" x14ac:dyDescent="0.15">
      <c r="A193" s="10" t="s">
        <v>756</v>
      </c>
      <c r="B193" s="97" t="str" cm="1">
        <f t="array" ref="B193">VLOOKUP(A193,'The List'!B1:D671,3,FALSE)</f>
        <v>RW</v>
      </c>
      <c r="C193" s="98" cm="1">
        <f t="array" ref="C193">IF(Settings!$E$15="POINTS",RANK(E193,E3:E210),H193)</f>
        <v>191</v>
      </c>
      <c r="D193" s="18" t="str" cm="1">
        <f t="array" ref="D193">VLOOKUP(A193,'The List'!B1:F671,5,FALSE)</f>
        <v>STL</v>
      </c>
      <c r="E193" s="55" cm="1">
        <f t="array" ref="E193">VLOOKUP(A193,'The List'!B1:I671,8,FALSE)</f>
        <v>109.68725300149046</v>
      </c>
      <c r="F193" s="55" cm="1">
        <f t="array" ref="F193">IF(Settings!$E$15="POINTS",E193-VLOOKUP(B$2,C1:E210,3,FALSE),J193)</f>
        <v>-285.25621169206704</v>
      </c>
      <c r="G193" s="55"/>
      <c r="H193" s="167" cm="1">
        <f t="array" ref="H193">RANK(I193,I3:I210)</f>
        <v>200</v>
      </c>
      <c r="I193" s="168" cm="1">
        <f t="array" ref="I193">VLOOKUP(A193,'Standard Deviations'!A1:C672,3,FALSE)</f>
        <v>-5.9639057171416407</v>
      </c>
      <c r="J193" s="168" cm="1">
        <f t="array" ref="J193">I193-VLOOKUP(B$2,H1:J210,2,FALSE)</f>
        <v>-13.135149128985301</v>
      </c>
    </row>
    <row r="194" spans="1:10" ht="21.25" customHeight="1" x14ac:dyDescent="0.15">
      <c r="A194" s="10" t="s">
        <v>759</v>
      </c>
      <c r="B194" s="97" t="str" cm="1">
        <f t="array" ref="B194">VLOOKUP(A194,'The List'!B1:D671,3,FALSE)</f>
        <v>RW</v>
      </c>
      <c r="C194" s="98" cm="1">
        <f t="array" ref="C194">IF(Settings!$E$15="POINTS",RANK(E194,E3:E210),H194)</f>
        <v>192</v>
      </c>
      <c r="D194" s="18" t="str" cm="1">
        <f t="array" ref="D194">VLOOKUP(A194,'The List'!B1:F671,5,FALSE)</f>
        <v>N.J</v>
      </c>
      <c r="E194" s="55" cm="1">
        <f t="array" ref="E194">VLOOKUP(A194,'The List'!B1:I671,8,FALSE)</f>
        <v>108.83383264040141</v>
      </c>
      <c r="F194" s="55" cm="1">
        <f t="array" ref="F194">IF(Settings!$E$15="POINTS",E194-VLOOKUP(B$2,C1:E210,3,FALSE),J194)</f>
        <v>-286.10963205315608</v>
      </c>
      <c r="G194" s="55"/>
      <c r="H194" s="167" cm="1">
        <f t="array" ref="H194">RANK(I194,I3:I210)</f>
        <v>193</v>
      </c>
      <c r="I194" s="168" cm="1">
        <f t="array" ref="I194">VLOOKUP(A194,'Standard Deviations'!A1:C672,3,FALSE)</f>
        <v>-5.0973641452195189</v>
      </c>
      <c r="J194" s="168" cm="1">
        <f t="array" ref="J194">I194-VLOOKUP(B$2,H1:J210,2,FALSE)</f>
        <v>-12.268607557063177</v>
      </c>
    </row>
    <row r="195" spans="1:10" ht="21.25" customHeight="1" x14ac:dyDescent="0.15">
      <c r="A195" s="10" t="s">
        <v>762</v>
      </c>
      <c r="B195" s="97" t="str" cm="1">
        <f t="array" ref="B195">VLOOKUP(A195,'The List'!B1:D671,3,FALSE)</f>
        <v>LW,RW</v>
      </c>
      <c r="C195" s="98" cm="1">
        <f t="array" ref="C195">IF(Settings!$E$15="POINTS",RANK(E195,E3:E210),H195)</f>
        <v>193</v>
      </c>
      <c r="D195" s="18" t="str" cm="1">
        <f t="array" ref="D195">VLOOKUP(A195,'The List'!B1:F671,5,FALSE)</f>
        <v>PIT</v>
      </c>
      <c r="E195" s="55" cm="1">
        <f t="array" ref="E195">VLOOKUP(A195,'The List'!B1:I671,8,FALSE)</f>
        <v>107.00244650214873</v>
      </c>
      <c r="F195" s="55" cm="1">
        <f t="array" ref="F195">IF(Settings!$E$15="POINTS",E195-VLOOKUP(B$2,C1:E210,3,FALSE),J195)</f>
        <v>-287.94101819140872</v>
      </c>
      <c r="G195" s="55"/>
      <c r="H195" s="167" cm="1">
        <f t="array" ref="H195">RANK(I195,I3:I210)</f>
        <v>191</v>
      </c>
      <c r="I195" s="168" cm="1">
        <f t="array" ref="I195">VLOOKUP(A195,'Standard Deviations'!A1:C672,3,FALSE)</f>
        <v>-5.0496152625293593</v>
      </c>
      <c r="J195" s="168" cm="1">
        <f t="array" ref="J195">I195-VLOOKUP(B$2,H1:J210,2,FALSE)</f>
        <v>-12.220858674373019</v>
      </c>
    </row>
    <row r="196" spans="1:10" ht="21.25" customHeight="1" x14ac:dyDescent="0.15">
      <c r="A196" s="10" t="s">
        <v>764</v>
      </c>
      <c r="B196" s="97" t="str" cm="1">
        <f t="array" ref="B196">VLOOKUP(A196,'The List'!B1:D671,3,FALSE)</f>
        <v>RW</v>
      </c>
      <c r="C196" s="98" cm="1">
        <f t="array" ref="C196">IF(Settings!$E$15="POINTS",RANK(E196,E3:E210),H196)</f>
        <v>194</v>
      </c>
      <c r="D196" s="18" t="str" cm="1">
        <f t="array" ref="D196">VLOOKUP(A196,'The List'!B1:F671,5,FALSE)</f>
        <v>VGK</v>
      </c>
      <c r="E196" s="55" cm="1">
        <f t="array" ref="E196">VLOOKUP(A196,'The List'!B1:I671,8,FALSE)</f>
        <v>106.3754364317663</v>
      </c>
      <c r="F196" s="55" cm="1">
        <f t="array" ref="F196">IF(Settings!$E$15="POINTS",E196-VLOOKUP(B$2,C1:E210,3,FALSE),J196)</f>
        <v>-288.56802826179114</v>
      </c>
      <c r="G196" s="55"/>
      <c r="H196" s="167" cm="1">
        <f t="array" ref="H196">RANK(I196,I3:I210)</f>
        <v>188</v>
      </c>
      <c r="I196" s="168" cm="1">
        <f t="array" ref="I196">VLOOKUP(A196,'Standard Deviations'!A1:C672,3,FALSE)</f>
        <v>-4.9259587891896555</v>
      </c>
      <c r="J196" s="168" cm="1">
        <f t="array" ref="J196">I196-VLOOKUP(B$2,H1:J210,2,FALSE)</f>
        <v>-12.097202201033316</v>
      </c>
    </row>
    <row r="197" spans="1:10" ht="21.25" customHeight="1" x14ac:dyDescent="0.15">
      <c r="A197" s="10" t="s">
        <v>765</v>
      </c>
      <c r="B197" s="97" t="str" cm="1">
        <f t="array" ref="B197">VLOOKUP(A197,'The List'!B1:D671,3,FALSE)</f>
        <v>LW,RW</v>
      </c>
      <c r="C197" s="98" cm="1">
        <f t="array" ref="C197">IF(Settings!$E$15="POINTS",RANK(E197,E3:E210),H197)</f>
        <v>195</v>
      </c>
      <c r="D197" s="18" t="str" cm="1">
        <f t="array" ref="D197">VLOOKUP(A197,'The List'!B1:F671,5,FALSE)</f>
        <v>TOR</v>
      </c>
      <c r="E197" s="55" cm="1">
        <f t="array" ref="E197">VLOOKUP(A197,'The List'!B1:I671,8,FALSE)</f>
        <v>105.64097629165865</v>
      </c>
      <c r="F197" s="55" cm="1">
        <f t="array" ref="F197">IF(Settings!$E$15="POINTS",E197-VLOOKUP(B$2,C1:E210,3,FALSE),J197)</f>
        <v>-289.30248840189881</v>
      </c>
      <c r="G197" s="55"/>
      <c r="H197" s="167" cm="1">
        <f t="array" ref="H197">RANK(I197,I3:I210)</f>
        <v>126</v>
      </c>
      <c r="I197" s="168" cm="1">
        <f t="array" ref="I197">VLOOKUP(A197,'Standard Deviations'!A1:C672,3,FALSE)</f>
        <v>-1.8474287212977574</v>
      </c>
      <c r="J197" s="168" cm="1">
        <f t="array" ref="J197">I197-VLOOKUP(B$2,H1:J210,2,FALSE)</f>
        <v>-9.0186721331414166</v>
      </c>
    </row>
    <row r="198" spans="1:10" ht="21.25" customHeight="1" x14ac:dyDescent="0.15">
      <c r="A198" s="10" t="s">
        <v>766</v>
      </c>
      <c r="B198" s="97" t="str" cm="1">
        <f t="array" ref="B198">VLOOKUP(A198,'The List'!B1:D671,3,FALSE)</f>
        <v>LW,RW</v>
      </c>
      <c r="C198" s="98" cm="1">
        <f t="array" ref="C198">IF(Settings!$E$15="POINTS",RANK(E198,E3:E210),H198)</f>
        <v>196</v>
      </c>
      <c r="D198" s="18" t="str" cm="1">
        <f t="array" ref="D198">VLOOKUP(A198,'The List'!B1:F671,5,FALSE)</f>
        <v>CGY</v>
      </c>
      <c r="E198" s="55" cm="1">
        <f t="array" ref="E198">VLOOKUP(A198,'The List'!B1:I671,8,FALSE)</f>
        <v>104.1107377112792</v>
      </c>
      <c r="F198" s="55" cm="1">
        <f t="array" ref="F198">IF(Settings!$E$15="POINTS",E198-VLOOKUP(B$2,C1:E210,3,FALSE),J198)</f>
        <v>-290.83272698227825</v>
      </c>
      <c r="G198" s="55"/>
      <c r="H198" s="167" cm="1">
        <f t="array" ref="H198">RANK(I198,I3:I210)</f>
        <v>206</v>
      </c>
      <c r="I198" s="168" cm="1">
        <f t="array" ref="I198">VLOOKUP(A198,'Standard Deviations'!A1:C672,3,FALSE)</f>
        <v>-6.7907108660043427</v>
      </c>
      <c r="J198" s="168" cm="1">
        <f t="array" ref="J198">I198-VLOOKUP(B$2,H1:J210,2,FALSE)</f>
        <v>-13.961954277848001</v>
      </c>
    </row>
    <row r="199" spans="1:10" ht="21.25" customHeight="1" x14ac:dyDescent="0.15">
      <c r="A199" s="10" t="s">
        <v>772</v>
      </c>
      <c r="B199" s="97" t="str" cm="1">
        <f t="array" ref="B199">VLOOKUP(A199,'The List'!B1:D671,3,FALSE)</f>
        <v>C,RW</v>
      </c>
      <c r="C199" s="98" cm="1">
        <f t="array" ref="C199">IF(Settings!$E$15="POINTS",RANK(E199,E3:E210),H199)</f>
        <v>197</v>
      </c>
      <c r="D199" s="18" t="str" cm="1">
        <f t="array" ref="D199">VLOOKUP(A199,'The List'!B1:F671,5,FALSE)</f>
        <v>DAL</v>
      </c>
      <c r="E199" s="55" cm="1">
        <f t="array" ref="E199">VLOOKUP(A199,'The List'!B1:I671,8,FALSE)</f>
        <v>98.867701509882167</v>
      </c>
      <c r="F199" s="55" cm="1">
        <f t="array" ref="F199">IF(Settings!$E$15="POINTS",E199-VLOOKUP(B$2,C1:E210,3,FALSE),J199)</f>
        <v>-296.07576318367529</v>
      </c>
      <c r="G199" s="55"/>
      <c r="H199" s="167" cm="1">
        <f t="array" ref="H199">RANK(I199,I3:I210)</f>
        <v>178</v>
      </c>
      <c r="I199" s="168" cm="1">
        <f t="array" ref="I199">VLOOKUP(A199,'Standard Deviations'!A1:C672,3,FALSE)</f>
        <v>-4.3187752223507294</v>
      </c>
      <c r="J199" s="168" cm="1">
        <f t="array" ref="J199">I199-VLOOKUP(B$2,H1:J210,2,FALSE)</f>
        <v>-11.490018634194389</v>
      </c>
    </row>
    <row r="200" spans="1:10" ht="21.25" customHeight="1" x14ac:dyDescent="0.15">
      <c r="A200" s="10" t="s">
        <v>775</v>
      </c>
      <c r="B200" s="97" t="str" cm="1">
        <f t="array" ref="B200">VLOOKUP(A200,'The List'!B1:D671,3,FALSE)</f>
        <v>RW</v>
      </c>
      <c r="C200" s="98" cm="1">
        <f t="array" ref="C200">IF(Settings!$E$15="POINTS",RANK(E200,E3:E210),H200)</f>
        <v>198</v>
      </c>
      <c r="D200" s="18" t="str" cm="1">
        <f t="array" ref="D200">VLOOKUP(A200,'The List'!B1:F671,5,FALSE)</f>
        <v>COL</v>
      </c>
      <c r="E200" s="55" cm="1">
        <f t="array" ref="E200">VLOOKUP(A200,'The List'!B1:I671,8,FALSE)</f>
        <v>97.360152472533443</v>
      </c>
      <c r="F200" s="55" cm="1">
        <f t="array" ref="F200">IF(Settings!$E$15="POINTS",E200-VLOOKUP(B$2,C1:E210,3,FALSE),J200)</f>
        <v>-297.58331222102402</v>
      </c>
      <c r="G200" s="55"/>
      <c r="H200" s="167" cm="1">
        <f t="array" ref="H200">RANK(I200,I3:I210)</f>
        <v>173</v>
      </c>
      <c r="I200" s="168" cm="1">
        <f t="array" ref="I200">VLOOKUP(A200,'Standard Deviations'!A1:C672,3,FALSE)</f>
        <v>-4.1937719217042444</v>
      </c>
      <c r="J200" s="168" cm="1">
        <f t="array" ref="J200">I200-VLOOKUP(B$2,H1:J210,2,FALSE)</f>
        <v>-11.365015333547904</v>
      </c>
    </row>
    <row r="201" spans="1:10" ht="21.25" customHeight="1" x14ac:dyDescent="0.15">
      <c r="A201" s="10" t="s">
        <v>780</v>
      </c>
      <c r="B201" s="97" t="str" cm="1">
        <f t="array" ref="B201">VLOOKUP(A201,'The List'!B1:D671,3,FALSE)</f>
        <v>LW,RW</v>
      </c>
      <c r="C201" s="98" cm="1">
        <f t="array" ref="C201">IF(Settings!$E$15="POINTS",RANK(E201,E3:E210),H201)</f>
        <v>199</v>
      </c>
      <c r="D201" s="18" t="str" cm="1">
        <f t="array" ref="D201">VLOOKUP(A201,'The List'!B1:F671,5,FALSE)</f>
        <v>PHI</v>
      </c>
      <c r="E201" s="55" cm="1">
        <f t="array" ref="E201">VLOOKUP(A201,'The List'!B1:I671,8,FALSE)</f>
        <v>89.848339896251844</v>
      </c>
      <c r="F201" s="55" cm="1">
        <f t="array" ref="F201">IF(Settings!$E$15="POINTS",E201-VLOOKUP(B$2,C1:E210,3,FALSE),J201)</f>
        <v>-305.09512479730563</v>
      </c>
      <c r="G201" s="55"/>
      <c r="H201" s="167" cm="1">
        <f t="array" ref="H201">RANK(I201,I3:I210)</f>
        <v>199</v>
      </c>
      <c r="I201" s="168" cm="1">
        <f t="array" ref="I201">VLOOKUP(A201,'Standard Deviations'!A1:C672,3,FALSE)</f>
        <v>-5.5228479031111783</v>
      </c>
      <c r="J201" s="168" cm="1">
        <f t="array" ref="J201">I201-VLOOKUP(B$2,H1:J210,2,FALSE)</f>
        <v>-12.694091314954838</v>
      </c>
    </row>
    <row r="202" spans="1:10" ht="21.25" customHeight="1" x14ac:dyDescent="0.15">
      <c r="A202" s="10" t="s">
        <v>783</v>
      </c>
      <c r="B202" s="97" t="str" cm="1">
        <f t="array" ref="B202">VLOOKUP(A202,'The List'!B1:D671,3,FALSE)</f>
        <v>RW</v>
      </c>
      <c r="C202" s="98" cm="1">
        <f t="array" ref="C202">IF(Settings!$E$15="POINTS",RANK(E202,E3:E210),H202)</f>
        <v>200</v>
      </c>
      <c r="D202" s="18" t="str" cm="1">
        <f t="array" ref="D202">VLOOKUP(A202,'The List'!B1:F671,5,FALSE)</f>
        <v>SEA</v>
      </c>
      <c r="E202" s="55" cm="1">
        <f t="array" ref="E202">VLOOKUP(A202,'The List'!B1:I671,8,FALSE)</f>
        <v>87.253923362824779</v>
      </c>
      <c r="F202" s="55" cm="1">
        <f t="array" ref="F202">IF(Settings!$E$15="POINTS",E202-VLOOKUP(B$2,C1:E210,3,FALSE),J202)</f>
        <v>-307.68954133073271</v>
      </c>
      <c r="G202" s="55"/>
      <c r="H202" s="167" cm="1">
        <f t="array" ref="H202">RANK(I202,I3:I210)</f>
        <v>208</v>
      </c>
      <c r="I202" s="168" cm="1">
        <f t="array" ref="I202">VLOOKUP(A202,'Standard Deviations'!A1:C672,3,FALSE)</f>
        <v>-7.4134244957604958</v>
      </c>
      <c r="J202" s="168" cm="1">
        <f t="array" ref="J202">I202-VLOOKUP(B$2,H1:J210,2,FALSE)</f>
        <v>-14.584667907604155</v>
      </c>
    </row>
    <row r="203" spans="1:10" ht="21.25" customHeight="1" x14ac:dyDescent="0.15">
      <c r="A203" s="10" t="s">
        <v>785</v>
      </c>
      <c r="B203" s="97" t="str" cm="1">
        <f t="array" ref="B203">VLOOKUP(A203,'The List'!B1:D671,3,FALSE)</f>
        <v>LW,RW</v>
      </c>
      <c r="C203" s="98" cm="1">
        <f t="array" ref="C203">IF(Settings!$E$15="POINTS",RANK(E203,E3:E210),H203)</f>
        <v>201</v>
      </c>
      <c r="D203" s="18" t="str" cm="1">
        <f t="array" ref="D203">VLOOKUP(A203,'The List'!B1:F671,5,FALSE)</f>
        <v>UTA</v>
      </c>
      <c r="E203" s="55" cm="1">
        <f t="array" ref="E203">VLOOKUP(A203,'The List'!B1:I671,8,FALSE)</f>
        <v>85.185829378744657</v>
      </c>
      <c r="F203" s="55" cm="1">
        <f t="array" ref="F203">IF(Settings!$E$15="POINTS",E203-VLOOKUP(B$2,C1:E210,3,FALSE),J203)</f>
        <v>-309.75763531481283</v>
      </c>
      <c r="G203" s="55"/>
      <c r="H203" s="167" cm="1">
        <f t="array" ref="H203">RANK(I203,I3:I210)</f>
        <v>195</v>
      </c>
      <c r="I203" s="168" cm="1">
        <f t="array" ref="I203">VLOOKUP(A203,'Standard Deviations'!A1:C672,3,FALSE)</f>
        <v>-5.1728953654310335</v>
      </c>
      <c r="J203" s="168" cm="1">
        <f t="array" ref="J203">I203-VLOOKUP(B$2,H1:J210,2,FALSE)</f>
        <v>-12.344138777274694</v>
      </c>
    </row>
    <row r="204" spans="1:10" ht="21.25" customHeight="1" x14ac:dyDescent="0.15">
      <c r="A204" s="10" t="s">
        <v>787</v>
      </c>
      <c r="B204" s="97" t="str" cm="1">
        <f t="array" ref="B204">VLOOKUP(A204,'The List'!B1:D671,3,FALSE)</f>
        <v>RW</v>
      </c>
      <c r="C204" s="98" cm="1">
        <f t="array" ref="C204">IF(Settings!$E$15="POINTS",RANK(E204,E3:E210),H204)</f>
        <v>202</v>
      </c>
      <c r="D204" s="18" t="str" cm="1">
        <f t="array" ref="D204">VLOOKUP(A204,'The List'!B1:F671,5,FALSE)</f>
        <v>FLA</v>
      </c>
      <c r="E204" s="55" cm="1">
        <f t="array" ref="E204">VLOOKUP(A204,'The List'!B1:I671,8,FALSE)</f>
        <v>83.974675370085421</v>
      </c>
      <c r="F204" s="55" cm="1">
        <f t="array" ref="F204">IF(Settings!$E$15="POINTS",E204-VLOOKUP(B$2,C1:E210,3,FALSE),J204)</f>
        <v>-310.96878932347204</v>
      </c>
      <c r="G204" s="55"/>
      <c r="H204" s="167" cm="1">
        <f t="array" ref="H204">RANK(I204,I3:I210)</f>
        <v>153</v>
      </c>
      <c r="I204" s="168" cm="1">
        <f t="array" ref="I204">VLOOKUP(A204,'Standard Deviations'!A1:C672,3,FALSE)</f>
        <v>-3.0106263022803041</v>
      </c>
      <c r="J204" s="168" cm="1">
        <f t="array" ref="J204">I204-VLOOKUP(B$2,H1:J210,2,FALSE)</f>
        <v>-10.181869714123962</v>
      </c>
    </row>
    <row r="205" spans="1:10" ht="21.25" customHeight="1" x14ac:dyDescent="0.15">
      <c r="A205" s="10" t="s">
        <v>789</v>
      </c>
      <c r="B205" s="97" t="str" cm="1">
        <f t="array" ref="B205">VLOOKUP(A205,'The List'!B1:D671,3,FALSE)</f>
        <v>RW</v>
      </c>
      <c r="C205" s="98" cm="1">
        <f t="array" ref="C205">IF(Settings!$E$15="POINTS",RANK(E205,E3:E210),H205)</f>
        <v>203</v>
      </c>
      <c r="D205" s="18" t="str" cm="1">
        <f t="array" ref="D205">VLOOKUP(A205,'The List'!B1:F671,5,FALSE)</f>
        <v>NSH</v>
      </c>
      <c r="E205" s="55" cm="1">
        <f t="array" ref="E205">VLOOKUP(A205,'The List'!B1:I671,8,FALSE)</f>
        <v>82.338452064934572</v>
      </c>
      <c r="F205" s="55" cm="1">
        <f t="array" ref="F205">IF(Settings!$E$15="POINTS",E205-VLOOKUP(B$2,C1:E210,3,FALSE),J205)</f>
        <v>-312.60501262862289</v>
      </c>
      <c r="G205" s="55"/>
      <c r="H205" s="167" cm="1">
        <f t="array" ref="H205">RANK(I205,I3:I210)</f>
        <v>197</v>
      </c>
      <c r="I205" s="168" cm="1">
        <f t="array" ref="I205">VLOOKUP(A205,'Standard Deviations'!A1:C672,3,FALSE)</f>
        <v>-5.3011238474943108</v>
      </c>
      <c r="J205" s="168" cm="1">
        <f t="array" ref="J205">I205-VLOOKUP(B$2,H1:J210,2,FALSE)</f>
        <v>-12.47236725933797</v>
      </c>
    </row>
    <row r="206" spans="1:10" ht="21.25" customHeight="1" x14ac:dyDescent="0.15">
      <c r="A206" s="10" t="s">
        <v>790</v>
      </c>
      <c r="B206" s="97" t="str" cm="1">
        <f t="array" ref="B206">VLOOKUP(A206,'The List'!B1:D671,3,FALSE)</f>
        <v>LW,RW</v>
      </c>
      <c r="C206" s="98" cm="1">
        <f t="array" ref="C206">IF(Settings!$E$15="POINTS",RANK(E206,E3:E210),H206)</f>
        <v>204</v>
      </c>
      <c r="D206" s="18" t="str" cm="1">
        <f t="array" ref="D206">VLOOKUP(A206,'The List'!B1:F671,5,FALSE)</f>
        <v>CHI</v>
      </c>
      <c r="E206" s="55" cm="1">
        <f t="array" ref="E206">VLOOKUP(A206,'The List'!B1:I671,8,FALSE)</f>
        <v>80.670423351284825</v>
      </c>
      <c r="F206" s="55" cm="1">
        <f t="array" ref="F206">IF(Settings!$E$15="POINTS",E206-VLOOKUP(B$2,C1:E210,3,FALSE),J206)</f>
        <v>-314.27304134227268</v>
      </c>
      <c r="G206" s="55"/>
      <c r="H206" s="167" cm="1">
        <f t="array" ref="H206">RANK(I206,I3:I210)</f>
        <v>207</v>
      </c>
      <c r="I206" s="168" cm="1">
        <f t="array" ref="I206">VLOOKUP(A206,'Standard Deviations'!A1:C672,3,FALSE)</f>
        <v>-7.346393281881471</v>
      </c>
      <c r="J206" s="168" cm="1">
        <f t="array" ref="J206">I206-VLOOKUP(B$2,H1:J210,2,FALSE)</f>
        <v>-14.51763669372513</v>
      </c>
    </row>
    <row r="207" spans="1:10" ht="21.25" customHeight="1" x14ac:dyDescent="0.15">
      <c r="A207" s="10" t="s">
        <v>792</v>
      </c>
      <c r="B207" s="97" t="str" cm="1">
        <f t="array" ref="B207">VLOOKUP(A207,'The List'!B1:D671,3,FALSE)</f>
        <v>RW</v>
      </c>
      <c r="C207" s="98" cm="1">
        <f t="array" ref="C207">IF(Settings!$E$15="POINTS",RANK(E207,E3:E210),H207)</f>
        <v>205</v>
      </c>
      <c r="D207" s="18" t="str" cm="1">
        <f t="array" ref="D207">VLOOKUP(A207,'The List'!B1:F671,5,FALSE)</f>
        <v>NYR</v>
      </c>
      <c r="E207" s="55" cm="1">
        <f t="array" ref="E207">VLOOKUP(A207,'The List'!B1:I671,8,FALSE)</f>
        <v>76.063616497896092</v>
      </c>
      <c r="F207" s="55" cm="1">
        <f t="array" ref="F207">IF(Settings!$E$15="POINTS",E207-VLOOKUP(B$2,C1:E210,3,FALSE),J207)</f>
        <v>-318.8798481956614</v>
      </c>
      <c r="G207" s="55"/>
      <c r="H207" s="167" cm="1">
        <f t="array" ref="H207">RANK(I207,I3:I210)</f>
        <v>203</v>
      </c>
      <c r="I207" s="168" cm="1">
        <f t="array" ref="I207">VLOOKUP(A207,'Standard Deviations'!A1:C672,3,FALSE)</f>
        <v>-6.2455391651740584</v>
      </c>
      <c r="J207" s="168" cm="1">
        <f t="array" ref="J207">I207-VLOOKUP(B$2,H1:J210,2,FALSE)</f>
        <v>-13.416782577017717</v>
      </c>
    </row>
    <row r="208" spans="1:10" ht="21.25" customHeight="1" x14ac:dyDescent="0.15">
      <c r="A208" s="10" t="s">
        <v>793</v>
      </c>
      <c r="B208" s="97" t="str" cm="1">
        <f t="array" ref="B208">VLOOKUP(A208,'The List'!B1:D671,3,FALSE)</f>
        <v>RW</v>
      </c>
      <c r="C208" s="98" cm="1">
        <f t="array" ref="C208">IF(Settings!$E$15="POINTS",RANK(E208,E3:E210),H208)</f>
        <v>206</v>
      </c>
      <c r="D208" s="18" t="str" cm="1">
        <f t="array" ref="D208">VLOOKUP(A208,'The List'!B1:F671,5,FALSE)</f>
        <v>VGK</v>
      </c>
      <c r="E208" s="55" cm="1">
        <f t="array" ref="E208">VLOOKUP(A208,'The List'!B1:I671,8,FALSE)</f>
        <v>74.7099564277909</v>
      </c>
      <c r="F208" s="55" cm="1">
        <f t="array" ref="F208">IF(Settings!$E$15="POINTS",E208-VLOOKUP(B$2,C1:E210,3,FALSE),J208)</f>
        <v>-320.23350826576655</v>
      </c>
      <c r="G208" s="55"/>
      <c r="H208" s="167" cm="1">
        <f t="array" ref="H208">RANK(I208,I3:I210)</f>
        <v>204</v>
      </c>
      <c r="I208" s="168" cm="1">
        <f t="array" ref="I208">VLOOKUP(A208,'Standard Deviations'!A1:C672,3,FALSE)</f>
        <v>-6.3350738463253347</v>
      </c>
      <c r="J208" s="168" cm="1">
        <f t="array" ref="J208">I208-VLOOKUP(B$2,H1:J210,2,FALSE)</f>
        <v>-13.506317258168995</v>
      </c>
    </row>
    <row r="209" spans="1:10" ht="21.25" customHeight="1" x14ac:dyDescent="0.15">
      <c r="A209" s="10" t="s">
        <v>797</v>
      </c>
      <c r="B209" s="97" t="str" cm="1">
        <f t="array" ref="B209">VLOOKUP(A209,'The List'!B1:D671,3,FALSE)</f>
        <v>LW,RW</v>
      </c>
      <c r="C209" s="98" cm="1">
        <f t="array" ref="C209">IF(Settings!$E$15="POINTS",RANK(E209,E3:E210),H209)</f>
        <v>207</v>
      </c>
      <c r="D209" s="18" t="str" cm="1">
        <f t="array" ref="D209">VLOOKUP(A209,'The List'!B1:F671,5,FALSE)</f>
        <v>UTA</v>
      </c>
      <c r="E209" s="55" cm="1">
        <f t="array" ref="E209">VLOOKUP(A209,'The List'!B1:I671,8,FALSE)</f>
        <v>64.967174164465661</v>
      </c>
      <c r="F209" s="55" cm="1">
        <f t="array" ref="F209">IF(Settings!$E$15="POINTS",E209-VLOOKUP(B$2,C1:E210,3,FALSE),J209)</f>
        <v>-329.97629052909178</v>
      </c>
      <c r="G209" s="55"/>
      <c r="H209" s="167" cm="1">
        <f t="array" ref="H209">RANK(I209,I3:I210)</f>
        <v>180</v>
      </c>
      <c r="I209" s="168" cm="1">
        <f t="array" ref="I209">VLOOKUP(A209,'Standard Deviations'!A1:C672,3,FALSE)</f>
        <v>-4.4093214236581346</v>
      </c>
      <c r="J209" s="168" cm="1">
        <f t="array" ref="J209">I209-VLOOKUP(B$2,H1:J210,2,FALSE)</f>
        <v>-11.580564835501793</v>
      </c>
    </row>
    <row r="210" spans="1:10" ht="21.25" customHeight="1" x14ac:dyDescent="0.15">
      <c r="A210" s="10" t="s">
        <v>798</v>
      </c>
      <c r="B210" s="97" t="str" cm="1">
        <f t="array" ref="B210">VLOOKUP(A210,'The List'!B1:D671,3,FALSE)</f>
        <v>RW</v>
      </c>
      <c r="C210" s="98" cm="1">
        <f t="array" ref="C210">IF(Settings!$E$15="POINTS",RANK(E210,E3:E210),H210)</f>
        <v>208</v>
      </c>
      <c r="D210" s="18" t="str" cm="1">
        <f t="array" ref="D210">VLOOKUP(A210,'The List'!B1:F671,5,FALSE)</f>
        <v>NYR</v>
      </c>
      <c r="E210" s="55" cm="1">
        <f t="array" ref="E210">VLOOKUP(A210,'The List'!B1:I671,8,FALSE)</f>
        <v>58.45782072385839</v>
      </c>
      <c r="F210" s="55" cm="1">
        <f t="array" ref="F210">IF(Settings!$E$15="POINTS",E210-VLOOKUP(B$2,C1:E210,3,FALSE),J210)</f>
        <v>-336.48564396969908</v>
      </c>
      <c r="G210" s="55"/>
      <c r="H210" s="167" cm="1">
        <f t="array" ref="H210">RANK(I210,I3:I210)</f>
        <v>196</v>
      </c>
      <c r="I210" s="168" cm="1">
        <f t="array" ref="I210">VLOOKUP(A210,'Standard Deviations'!A1:C672,3,FALSE)</f>
        <v>-5.2225553884329639</v>
      </c>
      <c r="J210" s="168" cm="1">
        <f t="array" ref="J210">I210-VLOOKUP(B$2,H1:J210,2,FALSE)</f>
        <v>-12.393798800276624</v>
      </c>
    </row>
  </sheetData>
  <conditionalFormatting sqref="C3:C210 H3:H210">
    <cfRule type="containsText" dxfId="17" priority="1" stopIfTrue="1" operator="containsText" text="/">
      <formula>NOT(ISERROR(FIND(UPPER("/"),UPPER(C3))))</formula>
      <formula>"/"</formula>
    </cfRule>
    <cfRule type="containsText" dxfId="16" priority="2" stopIfTrue="1" operator="containsText" text="C">
      <formula>NOT(ISERROR(FIND(UPPER("C"),UPPER(C3))))</formula>
      <formula>"C"</formula>
    </cfRule>
    <cfRule type="containsText" dxfId="15" priority="3" stopIfTrue="1" operator="containsText" text="D">
      <formula>NOT(ISERROR(FIND(UPPER("D"),UPPER(C3))))</formula>
      <formula>"D"</formula>
    </cfRule>
    <cfRule type="containsText" dxfId="14" priority="4" stopIfTrue="1" operator="containsText" text="LW">
      <formula>NOT(ISERROR(FIND(UPPER("LW"),UPPER(C3))))</formula>
      <formula>"LW"</formula>
    </cfRule>
    <cfRule type="containsText" dxfId="13" priority="5" stopIfTrue="1" operator="containsText" text="RW">
      <formula>NOT(ISERROR(FIND(UPPER("RW"),UPPER(C3))))</formula>
      <formula>"RW"</formula>
    </cfRule>
    <cfRule type="containsText" dxfId="12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204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827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Settings!F5</f>
        <v>25</v>
      </c>
      <c r="C2" s="161"/>
      <c r="D2" s="162"/>
      <c r="E2" s="163"/>
      <c r="F2" s="163"/>
      <c r="G2" s="163"/>
      <c r="H2" s="169"/>
      <c r="I2" s="170"/>
      <c r="J2" s="170"/>
    </row>
    <row r="3" spans="1:10" ht="21.25" customHeight="1" x14ac:dyDescent="0.15">
      <c r="A3" s="10" t="s">
        <v>131</v>
      </c>
      <c r="B3" s="173" t="str" cm="1">
        <f t="array" ref="B3">VLOOKUP(A3,'The List'!B1:D671,3,FALSE)</f>
        <v>D</v>
      </c>
      <c r="C3" s="174" cm="1">
        <f t="array" ref="C3">IF(Settings!$E$15="POINTS",RANK(E3,E3:E204),H3)</f>
        <v>1</v>
      </c>
      <c r="D3" s="18" t="str" cm="1">
        <f t="array" ref="D3">VLOOKUP(A3,'The List'!B1:F671,5,FALSE)</f>
        <v>CBJ</v>
      </c>
      <c r="E3" s="55" cm="1">
        <f t="array" ref="E3">VLOOKUP(A3,'The List'!B1:I671,8,FALSE)</f>
        <v>473.7455756390317</v>
      </c>
      <c r="F3" s="55" cm="1">
        <f t="array" ref="F3">IF(Settings!$E$15="POINTS",E3-VLOOKUP(B$2,C1:E204,3,FALSE),J3)</f>
        <v>167.09170829443764</v>
      </c>
      <c r="G3" s="55"/>
      <c r="H3" s="171" cm="1">
        <f t="array" ref="H3">RANK(I3,I3:I204)</f>
        <v>5</v>
      </c>
      <c r="I3" s="172" cm="1">
        <f t="array" ref="I3">VLOOKUP(A3,'Standard Deviations'!A1:C672,3,FALSE)</f>
        <v>9.9781821989535899</v>
      </c>
      <c r="J3" s="172" cm="1">
        <f t="array" ref="J3">I3-VLOOKUP(B$2,H1:J204,2,FALSE)</f>
        <v>5.8854270194662215</v>
      </c>
    </row>
    <row r="4" spans="1:10" ht="21.25" customHeight="1" x14ac:dyDescent="0.15">
      <c r="A4" s="10" t="s">
        <v>132</v>
      </c>
      <c r="B4" s="173" t="str" cm="1">
        <f t="array" ref="B4">VLOOKUP(A4,'The List'!B1:D671,3,FALSE)</f>
        <v>D</v>
      </c>
      <c r="C4" s="174" cm="1">
        <f t="array" ref="C4">IF(Settings!$E$15="POINTS",RANK(E4,E3:E204),H4)</f>
        <v>2</v>
      </c>
      <c r="D4" s="18" t="str" cm="1">
        <f t="array" ref="D4">VLOOKUP(A4,'The List'!B1:F671,5,FALSE)</f>
        <v>COL</v>
      </c>
      <c r="E4" s="55" cm="1">
        <f t="array" ref="E4">VLOOKUP(A4,'The List'!B1:I671,8,FALSE)</f>
        <v>472.91509073890785</v>
      </c>
      <c r="F4" s="55" cm="1">
        <f t="array" ref="F4">IF(Settings!$E$15="POINTS",E4-VLOOKUP(B$2,C1:E204,3,FALSE),J4)</f>
        <v>166.26122339431379</v>
      </c>
      <c r="G4" s="55"/>
      <c r="H4" s="167" cm="1">
        <f t="array" ref="H4">RANK(I4,I3:I204)</f>
        <v>2</v>
      </c>
      <c r="I4" s="168" cm="1">
        <f t="array" ref="I4">VLOOKUP(A4,'Standard Deviations'!A1:C672,3,FALSE)</f>
        <v>11.183098642894779</v>
      </c>
      <c r="J4" s="168" cm="1">
        <f t="array" ref="J4">I4-VLOOKUP(B$2,H1:J204,2,FALSE)</f>
        <v>7.0903434634074101</v>
      </c>
    </row>
    <row r="5" spans="1:10" ht="21.25" customHeight="1" x14ac:dyDescent="0.15">
      <c r="A5" s="10" t="s">
        <v>133</v>
      </c>
      <c r="B5" s="173" t="str" cm="1">
        <f t="array" ref="B5">VLOOKUP(A5,'The List'!B1:D671,3,FALSE)</f>
        <v>D</v>
      </c>
      <c r="C5" s="174" cm="1">
        <f t="array" ref="C5">IF(Settings!$E$15="POINTS",RANK(E5,E3:E204),H5)</f>
        <v>3</v>
      </c>
      <c r="D5" s="18" t="str" cm="1">
        <f t="array" ref="D5">VLOOKUP(A5,'The List'!B1:F671,5,FALSE)</f>
        <v>MIN</v>
      </c>
      <c r="E5" s="55" cm="1">
        <f t="array" ref="E5">VLOOKUP(A5,'The List'!B1:I671,8,FALSE)</f>
        <v>467.76667831348607</v>
      </c>
      <c r="F5" s="55" cm="1">
        <f t="array" ref="F5">IF(Settings!$E$15="POINTS",E5-VLOOKUP(B$2,C1:E204,3,FALSE),J5)</f>
        <v>161.11281096889201</v>
      </c>
      <c r="G5" s="55"/>
      <c r="H5" s="167" cm="1">
        <f t="array" ref="H5">RANK(I5,I3:I204)</f>
        <v>3</v>
      </c>
      <c r="I5" s="168" cm="1">
        <f t="array" ref="I5">VLOOKUP(A5,'Standard Deviations'!A1:C672,3,FALSE)</f>
        <v>10.739839384597165</v>
      </c>
      <c r="J5" s="168" cm="1">
        <f t="array" ref="J5">I5-VLOOKUP(B$2,H1:J204,2,FALSE)</f>
        <v>6.6470842051097963</v>
      </c>
    </row>
    <row r="6" spans="1:10" ht="21.25" customHeight="1" x14ac:dyDescent="0.15">
      <c r="A6" s="10" t="s">
        <v>135</v>
      </c>
      <c r="B6" s="173" t="str" cm="1">
        <f t="array" ref="B6">VLOOKUP(A6,'The List'!B1:D671,3,FALSE)</f>
        <v>D</v>
      </c>
      <c r="C6" s="174" cm="1">
        <f t="array" ref="C6">IF(Settings!$E$15="POINTS",RANK(E6,E3:E204),H6)</f>
        <v>4</v>
      </c>
      <c r="D6" s="18" t="str" cm="1">
        <f t="array" ref="D6">VLOOKUP(A6,'The List'!B1:F671,5,FALSE)</f>
        <v>EDM</v>
      </c>
      <c r="E6" s="55" cm="1">
        <f t="array" ref="E6">VLOOKUP(A6,'The List'!B1:I671,8,FALSE)</f>
        <v>460.06211148130308</v>
      </c>
      <c r="F6" s="55" cm="1">
        <f t="array" ref="F6">IF(Settings!$E$15="POINTS",E6-VLOOKUP(B$2,C1:E204,3,FALSE),J6)</f>
        <v>153.40824413670902</v>
      </c>
      <c r="G6" s="55"/>
      <c r="H6" s="167" cm="1">
        <f t="array" ref="H6">RANK(I6,I3:I204)</f>
        <v>1</v>
      </c>
      <c r="I6" s="168" cm="1">
        <f t="array" ref="I6">VLOOKUP(A6,'Standard Deviations'!A1:C672,3,FALSE)</f>
        <v>11.35750143519083</v>
      </c>
      <c r="J6" s="168" cm="1">
        <f t="array" ref="J6">I6-VLOOKUP(B$2,H1:J204,2,FALSE)</f>
        <v>7.2647462557034617</v>
      </c>
    </row>
    <row r="7" spans="1:10" ht="21.25" customHeight="1" x14ac:dyDescent="0.15">
      <c r="A7" s="10" t="s">
        <v>137</v>
      </c>
      <c r="B7" s="173" t="str" cm="1">
        <f t="array" ref="B7">VLOOKUP(A7,'The List'!B1:D671,3,FALSE)</f>
        <v>D</v>
      </c>
      <c r="C7" s="174" cm="1">
        <f t="array" ref="C7">IF(Settings!$E$15="POINTS",RANK(E7,E3:E204),H7)</f>
        <v>5</v>
      </c>
      <c r="D7" s="18" t="str" cm="1">
        <f t="array" ref="D7">VLOOKUP(A7,'The List'!B1:F671,5,FALSE)</f>
        <v>BUF</v>
      </c>
      <c r="E7" s="55" cm="1">
        <f t="array" ref="E7">VLOOKUP(A7,'The List'!B1:I671,8,FALSE)</f>
        <v>417.35021706558393</v>
      </c>
      <c r="F7" s="55" cm="1">
        <f t="array" ref="F7">IF(Settings!$E$15="POINTS",E7-VLOOKUP(B$2,C1:E204,3,FALSE),J7)</f>
        <v>110.69634972098987</v>
      </c>
      <c r="G7" s="55"/>
      <c r="H7" s="167" cm="1">
        <f t="array" ref="H7">RANK(I7,I3:I204)</f>
        <v>4</v>
      </c>
      <c r="I7" s="168" cm="1">
        <f t="array" ref="I7">VLOOKUP(A7,'Standard Deviations'!A1:C672,3,FALSE)</f>
        <v>10.472300297298073</v>
      </c>
      <c r="J7" s="168" cm="1">
        <f t="array" ref="J7">I7-VLOOKUP(B$2,H1:J204,2,FALSE)</f>
        <v>6.3795451178107045</v>
      </c>
    </row>
    <row r="8" spans="1:10" ht="21.25" customHeight="1" x14ac:dyDescent="0.15">
      <c r="A8" s="10" t="s">
        <v>141</v>
      </c>
      <c r="B8" s="173" t="str" cm="1">
        <f t="array" ref="B8">VLOOKUP(A8,'The List'!B1:D671,3,FALSE)</f>
        <v>D</v>
      </c>
      <c r="C8" s="174" cm="1">
        <f t="array" ref="C8">IF(Settings!$E$15="POINTS",RANK(E8,E3:E204),H8)</f>
        <v>6</v>
      </c>
      <c r="D8" s="18" t="str" cm="1">
        <f t="array" ref="D8">VLOOKUP(A8,'The List'!B1:F671,5,FALSE)</f>
        <v>NYI</v>
      </c>
      <c r="E8" s="55" cm="1">
        <f t="array" ref="E8">VLOOKUP(A8,'The List'!B1:I671,8,FALSE)</f>
        <v>408.41381133718016</v>
      </c>
      <c r="F8" s="55" cm="1">
        <f t="array" ref="F8">IF(Settings!$E$15="POINTS",E8-VLOOKUP(B$2,C1:E204,3,FALSE),J8)</f>
        <v>101.7599439925861</v>
      </c>
      <c r="G8" s="55"/>
      <c r="H8" s="167" cm="1">
        <f t="array" ref="H8">RANK(I8,I3:I204)</f>
        <v>9</v>
      </c>
      <c r="I8" s="168" cm="1">
        <f t="array" ref="I8">VLOOKUP(A8,'Standard Deviations'!A1:C672,3,FALSE)</f>
        <v>7.8251101428660972</v>
      </c>
      <c r="J8" s="168" cm="1">
        <f t="array" ref="J8">I8-VLOOKUP(B$2,H1:J204,2,FALSE)</f>
        <v>3.7323549633787287</v>
      </c>
    </row>
    <row r="9" spans="1:10" ht="21.25" customHeight="1" x14ac:dyDescent="0.15">
      <c r="A9" s="10" t="s">
        <v>145</v>
      </c>
      <c r="B9" s="173" t="str" cm="1">
        <f t="array" ref="B9">VLOOKUP(A9,'The List'!B1:D671,3,FALSE)</f>
        <v>D</v>
      </c>
      <c r="C9" s="174" cm="1">
        <f t="array" ref="C9">IF(Settings!$E$15="POINTS",RANK(E9,E3:E204),H9)</f>
        <v>7</v>
      </c>
      <c r="D9" s="18" t="str" cm="1">
        <f t="array" ref="D9">VLOOKUP(A9,'The List'!B1:F671,5,FALSE)</f>
        <v>MTL</v>
      </c>
      <c r="E9" s="55" cm="1">
        <f t="array" ref="E9">VLOOKUP(A9,'The List'!B1:I671,8,FALSE)</f>
        <v>391.30278123349416</v>
      </c>
      <c r="F9" s="55" cm="1">
        <f t="array" ref="F9">IF(Settings!$E$15="POINTS",E9-VLOOKUP(B$2,C1:E204,3,FALSE),J9)</f>
        <v>84.648913888900097</v>
      </c>
      <c r="G9" s="55"/>
      <c r="H9" s="167" cm="1">
        <f t="array" ref="H9">RANK(I9,I3:I204)</f>
        <v>8</v>
      </c>
      <c r="I9" s="168" cm="1">
        <f t="array" ref="I9">VLOOKUP(A9,'Standard Deviations'!A1:C672,3,FALSE)</f>
        <v>8.6613480521617348</v>
      </c>
      <c r="J9" s="168" cm="1">
        <f t="array" ref="J9">I9-VLOOKUP(B$2,H1:J204,2,FALSE)</f>
        <v>4.5685928726743663</v>
      </c>
    </row>
    <row r="10" spans="1:10" ht="21.25" customHeight="1" x14ac:dyDescent="0.15">
      <c r="A10" s="10" t="s">
        <v>146</v>
      </c>
      <c r="B10" s="173" t="str" cm="1">
        <f t="array" ref="B10">VLOOKUP(A10,'The List'!B1:D671,3,FALSE)</f>
        <v>D</v>
      </c>
      <c r="C10" s="174" cm="1">
        <f t="array" ref="C10">IF(Settings!$E$15="POINTS",RANK(E10,E3:E204),H10)</f>
        <v>8</v>
      </c>
      <c r="D10" s="18" t="str" cm="1">
        <f t="array" ref="D10">VLOOKUP(A10,'The List'!B1:F671,5,FALSE)</f>
        <v>DET</v>
      </c>
      <c r="E10" s="55" cm="1">
        <f t="array" ref="E10">VLOOKUP(A10,'The List'!B1:I671,8,FALSE)</f>
        <v>389.04273976377107</v>
      </c>
      <c r="F10" s="55" cm="1">
        <f t="array" ref="F10">IF(Settings!$E$15="POINTS",E10-VLOOKUP(B$2,C1:E204,3,FALSE),J10)</f>
        <v>82.388872419177005</v>
      </c>
      <c r="G10" s="55"/>
      <c r="H10" s="167" cm="1">
        <f t="array" ref="H10">RANK(I10,I3:I204)</f>
        <v>6</v>
      </c>
      <c r="I10" s="168" cm="1">
        <f t="array" ref="I10">VLOOKUP(A10,'Standard Deviations'!A1:C672,3,FALSE)</f>
        <v>9.4065005582116044</v>
      </c>
      <c r="J10" s="168" cm="1">
        <f t="array" ref="J10">I10-VLOOKUP(B$2,H1:J204,2,FALSE)</f>
        <v>5.3137453787242359</v>
      </c>
    </row>
    <row r="11" spans="1:10" ht="21.25" customHeight="1" x14ac:dyDescent="0.15">
      <c r="A11" s="10" t="s">
        <v>150</v>
      </c>
      <c r="B11" s="173" t="str" cm="1">
        <f t="array" ref="B11">VLOOKUP(A11,'The List'!B1:D671,3,FALSE)</f>
        <v>D</v>
      </c>
      <c r="C11" s="174" cm="1">
        <f t="array" ref="C11">IF(Settings!$E$15="POINTS",RANK(E11,E3:E204),H11)</f>
        <v>9</v>
      </c>
      <c r="D11" s="18" t="str" cm="1">
        <f t="array" ref="D11">VLOOKUP(A11,'The List'!B1:F671,5,FALSE)</f>
        <v>NYR</v>
      </c>
      <c r="E11" s="55" cm="1">
        <f t="array" ref="E11">VLOOKUP(A11,'The List'!B1:I671,8,FALSE)</f>
        <v>368.71899216742719</v>
      </c>
      <c r="F11" s="55" cm="1">
        <f t="array" ref="F11">IF(Settings!$E$15="POINTS",E11-VLOOKUP(B$2,C1:E204,3,FALSE),J11)</f>
        <v>62.065124822833127</v>
      </c>
      <c r="G11" s="55"/>
      <c r="H11" s="167" cm="1">
        <f t="array" ref="H11">RANK(I11,I3:I204)</f>
        <v>11</v>
      </c>
      <c r="I11" s="168" cm="1">
        <f t="array" ref="I11">VLOOKUP(A11,'Standard Deviations'!A1:C672,3,FALSE)</f>
        <v>7.0415635560837746</v>
      </c>
      <c r="J11" s="168" cm="1">
        <f t="array" ref="J11">I11-VLOOKUP(B$2,H1:J204,2,FALSE)</f>
        <v>2.9488083765964062</v>
      </c>
    </row>
    <row r="12" spans="1:10" ht="21.25" customHeight="1" x14ac:dyDescent="0.15">
      <c r="A12" s="10" t="s">
        <v>152</v>
      </c>
      <c r="B12" s="173" t="str" cm="1">
        <f t="array" ref="B12">VLOOKUP(A12,'The List'!B1:D671,3,FALSE)</f>
        <v>D</v>
      </c>
      <c r="C12" s="174" cm="1">
        <f t="array" ref="C12">IF(Settings!$E$15="POINTS",RANK(E12,E3:E204),H12)</f>
        <v>10</v>
      </c>
      <c r="D12" s="18" t="str" cm="1">
        <f t="array" ref="D12">VLOOKUP(A12,'The List'!B1:F671,5,FALSE)</f>
        <v>OTT</v>
      </c>
      <c r="E12" s="55" cm="1">
        <f t="array" ref="E12">VLOOKUP(A12,'The List'!B1:I671,8,FALSE)</f>
        <v>363.51378942126706</v>
      </c>
      <c r="F12" s="55" cm="1">
        <f t="array" ref="F12">IF(Settings!$E$15="POINTS",E12-VLOOKUP(B$2,C1:E204,3,FALSE),J12)</f>
        <v>56.859922076673001</v>
      </c>
      <c r="G12" s="55"/>
      <c r="H12" s="167" cm="1">
        <f t="array" ref="H12">RANK(I12,I3:I204)</f>
        <v>14</v>
      </c>
      <c r="I12" s="168" cm="1">
        <f t="array" ref="I12">VLOOKUP(A12,'Standard Deviations'!A1:C672,3,FALSE)</f>
        <v>5.9101773133356552</v>
      </c>
      <c r="J12" s="168" cm="1">
        <f t="array" ref="J12">I12-VLOOKUP(B$2,H1:J204,2,FALSE)</f>
        <v>1.8174221338482868</v>
      </c>
    </row>
    <row r="13" spans="1:10" ht="21.25" customHeight="1" x14ac:dyDescent="0.15">
      <c r="A13" s="10" t="s">
        <v>157</v>
      </c>
      <c r="B13" s="173" t="str" cm="1">
        <f t="array" ref="B13">VLOOKUP(A13,'The List'!B1:D671,3,FALSE)</f>
        <v>D</v>
      </c>
      <c r="C13" s="174" cm="1">
        <f t="array" ref="C13">IF(Settings!$E$15="POINTS",RANK(E13,E3:E204),H13)</f>
        <v>11</v>
      </c>
      <c r="D13" s="18" t="str" cm="1">
        <f t="array" ref="D13">VLOOKUP(A13,'The List'!B1:F671,5,FALSE)</f>
        <v>NSH</v>
      </c>
      <c r="E13" s="55" cm="1">
        <f t="array" ref="E13">VLOOKUP(A13,'The List'!B1:I671,8,FALSE)</f>
        <v>354.12738717145731</v>
      </c>
      <c r="F13" s="55" cm="1">
        <f t="array" ref="F13">IF(Settings!$E$15="POINTS",E13-VLOOKUP(B$2,C1:E204,3,FALSE),J13)</f>
        <v>47.473519826863253</v>
      </c>
      <c r="G13" s="55"/>
      <c r="H13" s="167" cm="1">
        <f t="array" ref="H13">RANK(I13,I3:I204)</f>
        <v>19</v>
      </c>
      <c r="I13" s="168" cm="1">
        <f t="array" ref="I13">VLOOKUP(A13,'Standard Deviations'!A1:C672,3,FALSE)</f>
        <v>5.1844572971382537</v>
      </c>
      <c r="J13" s="168" cm="1">
        <f t="array" ref="J13">I13-VLOOKUP(B$2,H1:J204,2,FALSE)</f>
        <v>1.0917021176508852</v>
      </c>
    </row>
    <row r="14" spans="1:10" ht="21.25" customHeight="1" x14ac:dyDescent="0.15">
      <c r="A14" s="10" t="s">
        <v>158</v>
      </c>
      <c r="B14" s="173" t="str" cm="1">
        <f t="array" ref="B14">VLOOKUP(A14,'The List'!B1:D671,3,FALSE)</f>
        <v>D</v>
      </c>
      <c r="C14" s="174" cm="1">
        <f t="array" ref="C14">IF(Settings!$E$15="POINTS",RANK(E14,E3:E204),H14)</f>
        <v>12</v>
      </c>
      <c r="D14" s="18" t="str" cm="1">
        <f t="array" ref="D14">VLOOKUP(A14,'The List'!B1:F671,5,FALSE)</f>
        <v>TOR</v>
      </c>
      <c r="E14" s="55" cm="1">
        <f t="array" ref="E14">VLOOKUP(A14,'The List'!B1:I671,8,FALSE)</f>
        <v>352.2324361688689</v>
      </c>
      <c r="F14" s="55" cm="1">
        <f t="array" ref="F14">IF(Settings!$E$15="POINTS",E14-VLOOKUP(B$2,C1:E204,3,FALSE),J14)</f>
        <v>45.578568824274839</v>
      </c>
      <c r="G14" s="55"/>
      <c r="H14" s="167" cm="1">
        <f t="array" ref="H14">RANK(I14,I3:I204)</f>
        <v>13</v>
      </c>
      <c r="I14" s="168" cm="1">
        <f t="array" ref="I14">VLOOKUP(A14,'Standard Deviations'!A1:C672,3,FALSE)</f>
        <v>6.4417212978728262</v>
      </c>
      <c r="J14" s="168" cm="1">
        <f t="array" ref="J14">I14-VLOOKUP(B$2,H1:J204,2,FALSE)</f>
        <v>2.3489661183854578</v>
      </c>
    </row>
    <row r="15" spans="1:10" ht="21.25" customHeight="1" x14ac:dyDescent="0.15">
      <c r="A15" s="10" t="s">
        <v>160</v>
      </c>
      <c r="B15" s="173" t="str" cm="1">
        <f t="array" ref="B15">VLOOKUP(A15,'The List'!B1:D671,3,FALSE)</f>
        <v>D</v>
      </c>
      <c r="C15" s="174" cm="1">
        <f t="array" ref="C15">IF(Settings!$E$15="POINTS",RANK(E15,E3:E204),H15)</f>
        <v>13</v>
      </c>
      <c r="D15" s="18" t="str" cm="1">
        <f t="array" ref="D15">VLOOKUP(A15,'The List'!B1:F671,5,FALSE)</f>
        <v>WSH</v>
      </c>
      <c r="E15" s="55" cm="1">
        <f t="array" ref="E15">VLOOKUP(A15,'The List'!B1:I671,8,FALSE)</f>
        <v>350.9704064070591</v>
      </c>
      <c r="F15" s="55" cm="1">
        <f t="array" ref="F15">IF(Settings!$E$15="POINTS",E15-VLOOKUP(B$2,C1:E204,3,FALSE),J15)</f>
        <v>44.31653906246504</v>
      </c>
      <c r="G15" s="55"/>
      <c r="H15" s="167" cm="1">
        <f t="array" ref="H15">RANK(I15,I3:I204)</f>
        <v>7</v>
      </c>
      <c r="I15" s="168" cm="1">
        <f t="array" ref="I15">VLOOKUP(A15,'Standard Deviations'!A1:C672,3,FALSE)</f>
        <v>8.6771399649480987</v>
      </c>
      <c r="J15" s="168" cm="1">
        <f t="array" ref="J15">I15-VLOOKUP(B$2,H1:J204,2,FALSE)</f>
        <v>4.5843847854607302</v>
      </c>
    </row>
    <row r="16" spans="1:10" ht="21.25" customHeight="1" x14ac:dyDescent="0.15">
      <c r="A16" s="10" t="s">
        <v>161</v>
      </c>
      <c r="B16" s="173" t="str" cm="1">
        <f t="array" ref="B16">VLOOKUP(A16,'The List'!B1:D671,3,FALSE)</f>
        <v>D</v>
      </c>
      <c r="C16" s="174" cm="1">
        <f t="array" ref="C16">IF(Settings!$E$15="POINTS",RANK(E16,E3:E204),H16)</f>
        <v>14</v>
      </c>
      <c r="D16" s="18" t="str" cm="1">
        <f t="array" ref="D16">VLOOKUP(A16,'The List'!B1:F671,5,FALSE)</f>
        <v>ANA</v>
      </c>
      <c r="E16" s="55" cm="1">
        <f t="array" ref="E16">VLOOKUP(A16,'The List'!B1:I671,8,FALSE)</f>
        <v>344.30785147702034</v>
      </c>
      <c r="F16" s="55" cm="1">
        <f t="array" ref="F16">IF(Settings!$E$15="POINTS",E16-VLOOKUP(B$2,C1:E204,3,FALSE),J16)</f>
        <v>37.653984132426274</v>
      </c>
      <c r="G16" s="55"/>
      <c r="H16" s="167" cm="1">
        <f t="array" ref="H16">RANK(I16,I3:I204)</f>
        <v>23</v>
      </c>
      <c r="I16" s="168" cm="1">
        <f t="array" ref="I16">VLOOKUP(A16,'Standard Deviations'!A1:C672,3,FALSE)</f>
        <v>4.197492889464816</v>
      </c>
      <c r="J16" s="168" cm="1">
        <f t="array" ref="J16">I16-VLOOKUP(B$2,H1:J204,2,FALSE)</f>
        <v>0.10473770997744758</v>
      </c>
    </row>
    <row r="17" spans="1:10" ht="21.25" customHeight="1" x14ac:dyDescent="0.15">
      <c r="A17" s="10" t="s">
        <v>235</v>
      </c>
      <c r="B17" s="173" t="str" cm="1">
        <f t="array" ref="B17">VLOOKUP(A17,'The List'!B1:D671,3,FALSE)</f>
        <v>C</v>
      </c>
      <c r="C17" s="174" cm="1">
        <f t="array" ref="C17">IF(Settings!$E$15="POINTS",RANK(E17,E3:E204),H17)</f>
        <v>15</v>
      </c>
      <c r="D17" s="18" t="str" cm="1">
        <f t="array" ref="D17">VLOOKUP(A17,'The List'!B1:F671,5,FALSE)</f>
        <v>VAN</v>
      </c>
      <c r="E17" s="55" cm="1">
        <f t="array" ref="E17">VLOOKUP(A17,'The List'!B1:I671,8,FALSE)</f>
        <v>344.26707832414797</v>
      </c>
      <c r="F17" s="55" cm="1">
        <f t="array" ref="F17">IF(Settings!$E$15="POINTS",E17-VLOOKUP(B$2,C1:E204,3,FALSE),J17)</f>
        <v>37.613210979553912</v>
      </c>
      <c r="G17" s="55"/>
      <c r="H17" s="167" cm="1">
        <f t="array" ref="H17">RANK(I17,I3:I204)</f>
        <v>44</v>
      </c>
      <c r="I17" s="168" cm="1">
        <f t="array" ref="I17">VLOOKUP(A17,'Standard Deviations'!A1:C672,3,FALSE)</f>
        <v>2.3067304461602509</v>
      </c>
      <c r="J17" s="168" cm="1">
        <f t="array" ref="J17">I17-VLOOKUP(B$2,H1:J204,2,FALSE)</f>
        <v>-1.7860247333271175</v>
      </c>
    </row>
    <row r="18" spans="1:10" ht="21.25" customHeight="1" x14ac:dyDescent="0.15">
      <c r="A18" s="10" t="s">
        <v>163</v>
      </c>
      <c r="B18" s="173" t="str" cm="1">
        <f t="array" ref="B18">VLOOKUP(A18,'The List'!B1:D671,3,FALSE)</f>
        <v>D</v>
      </c>
      <c r="C18" s="174" cm="1">
        <f t="array" ref="C18">IF(Settings!$E$15="POINTS",RANK(E18,E3:E204),H18)</f>
        <v>16</v>
      </c>
      <c r="D18" s="18" t="str" cm="1">
        <f t="array" ref="D18">VLOOKUP(A18,'The List'!B1:F671,5,FALSE)</f>
        <v>WPG</v>
      </c>
      <c r="E18" s="55" cm="1">
        <f t="array" ref="E18">VLOOKUP(A18,'The List'!B1:I671,8,FALSE)</f>
        <v>341.37057752935198</v>
      </c>
      <c r="F18" s="55" cm="1">
        <f t="array" ref="F18">IF(Settings!$E$15="POINTS",E18-VLOOKUP(B$2,C1:E204,3,FALSE),J18)</f>
        <v>34.716710184757915</v>
      </c>
      <c r="G18" s="55"/>
      <c r="H18" s="167" cm="1">
        <f t="array" ref="H18">RANK(I18,I3:I204)</f>
        <v>15</v>
      </c>
      <c r="I18" s="168" cm="1">
        <f t="array" ref="I18">VLOOKUP(A18,'Standard Deviations'!A1:C672,3,FALSE)</f>
        <v>5.8224000203072332</v>
      </c>
      <c r="J18" s="168" cm="1">
        <f t="array" ref="J18">I18-VLOOKUP(B$2,H1:J204,2,FALSE)</f>
        <v>1.7296448408198648</v>
      </c>
    </row>
    <row r="19" spans="1:10" ht="21.25" customHeight="1" x14ac:dyDescent="0.15">
      <c r="A19" s="10" t="s">
        <v>167</v>
      </c>
      <c r="B19" s="173" t="str" cm="1">
        <f t="array" ref="B19">VLOOKUP(A19,'The List'!B1:D671,3,FALSE)</f>
        <v>D</v>
      </c>
      <c r="C19" s="174" cm="1">
        <f t="array" ref="C19">IF(Settings!$E$15="POINTS",RANK(E19,E3:E204),H19)</f>
        <v>17</v>
      </c>
      <c r="D19" s="18" t="str" cm="1">
        <f t="array" ref="D19">VLOOKUP(A19,'The List'!B1:F671,5,FALSE)</f>
        <v>L.A</v>
      </c>
      <c r="E19" s="55" cm="1">
        <f t="array" ref="E19">VLOOKUP(A19,'The List'!B1:I671,8,FALSE)</f>
        <v>337.53830085437869</v>
      </c>
      <c r="F19" s="55" cm="1">
        <f t="array" ref="F19">IF(Settings!$E$15="POINTS",E19-VLOOKUP(B$2,C1:E204,3,FALSE),J19)</f>
        <v>30.884433509784628</v>
      </c>
      <c r="G19" s="55"/>
      <c r="H19" s="167" cm="1">
        <f t="array" ref="H19">RANK(I19,I3:I204)</f>
        <v>10</v>
      </c>
      <c r="I19" s="168" cm="1">
        <f t="array" ref="I19">VLOOKUP(A19,'Standard Deviations'!A1:C672,3,FALSE)</f>
        <v>7.4219263999623184</v>
      </c>
      <c r="J19" s="168" cm="1">
        <f t="array" ref="J19">I19-VLOOKUP(B$2,H1:J204,2,FALSE)</f>
        <v>3.32917122047495</v>
      </c>
    </row>
    <row r="20" spans="1:10" ht="21.25" customHeight="1" x14ac:dyDescent="0.15">
      <c r="A20" s="10" t="s">
        <v>170</v>
      </c>
      <c r="B20" s="173" t="str" cm="1">
        <f t="array" ref="B20">VLOOKUP(A20,'The List'!B1:D671,3,FALSE)</f>
        <v>D</v>
      </c>
      <c r="C20" s="174" cm="1">
        <f t="array" ref="C20">IF(Settings!$E$15="POINTS",RANK(E20,E3:E204),H20)</f>
        <v>18</v>
      </c>
      <c r="D20" s="18" t="str" cm="1">
        <f t="array" ref="D20">VLOOKUP(A20,'The List'!B1:F671,5,FALSE)</f>
        <v>VGK</v>
      </c>
      <c r="E20" s="55" cm="1">
        <f t="array" ref="E20">VLOOKUP(A20,'The List'!B1:I671,8,FALSE)</f>
        <v>329.96109569840883</v>
      </c>
      <c r="F20" s="55" cm="1">
        <f t="array" ref="F20">IF(Settings!$E$15="POINTS",E20-VLOOKUP(B$2,C1:E204,3,FALSE),J20)</f>
        <v>23.307228353814764</v>
      </c>
      <c r="G20" s="55"/>
      <c r="H20" s="167" cm="1">
        <f t="array" ref="H20">RANK(I20,I3:I204)</f>
        <v>18</v>
      </c>
      <c r="I20" s="168" cm="1">
        <f t="array" ref="I20">VLOOKUP(A20,'Standard Deviations'!A1:C672,3,FALSE)</f>
        <v>5.4831074655242196</v>
      </c>
      <c r="J20" s="168" cm="1">
        <f t="array" ref="J20">I20-VLOOKUP(B$2,H1:J204,2,FALSE)</f>
        <v>1.3903522860368511</v>
      </c>
    </row>
    <row r="21" spans="1:10" ht="21.25" customHeight="1" x14ac:dyDescent="0.15">
      <c r="A21" s="10" t="s">
        <v>178</v>
      </c>
      <c r="B21" s="173" t="str" cm="1">
        <f t="array" ref="B21">VLOOKUP(A21,'The List'!B1:D671,3,FALSE)</f>
        <v>D</v>
      </c>
      <c r="C21" s="174" cm="1">
        <f t="array" ref="C21">IF(Settings!$E$15="POINTS",RANK(E21,E3:E204),H21)</f>
        <v>19</v>
      </c>
      <c r="D21" s="18" t="str" cm="1">
        <f t="array" ref="D21">VLOOKUP(A21,'The List'!B1:F671,5,FALSE)</f>
        <v>DAL</v>
      </c>
      <c r="E21" s="55" cm="1">
        <f t="array" ref="E21">VLOOKUP(A21,'The List'!B1:I671,8,FALSE)</f>
        <v>324.83459261307195</v>
      </c>
      <c r="F21" s="55" cm="1">
        <f t="array" ref="F21">IF(Settings!$E$15="POINTS",E21-VLOOKUP(B$2,C1:E204,3,FALSE),J21)</f>
        <v>18.180725268477886</v>
      </c>
      <c r="G21" s="55"/>
      <c r="H21" s="167" cm="1">
        <f t="array" ref="H21">RANK(I21,I3:I204)</f>
        <v>17</v>
      </c>
      <c r="I21" s="168" cm="1">
        <f t="array" ref="I21">VLOOKUP(A21,'Standard Deviations'!A1:C672,3,FALSE)</f>
        <v>5.6066010263390043</v>
      </c>
      <c r="J21" s="168" cm="1">
        <f t="array" ref="J21">I21-VLOOKUP(B$2,H1:J204,2,FALSE)</f>
        <v>1.5138458468516358</v>
      </c>
    </row>
    <row r="22" spans="1:10" ht="21.25" customHeight="1" x14ac:dyDescent="0.15">
      <c r="A22" s="10" t="s">
        <v>180</v>
      </c>
      <c r="B22" s="173" t="str" cm="1">
        <f t="array" ref="B22">VLOOKUP(A22,'The List'!B1:D671,3,FALSE)</f>
        <v>D</v>
      </c>
      <c r="C22" s="174" cm="1">
        <f t="array" ref="C22">IF(Settings!$E$15="POINTS",RANK(E22,E3:E204),H22)</f>
        <v>20</v>
      </c>
      <c r="D22" s="18" t="str" cm="1">
        <f t="array" ref="D22">VLOOKUP(A22,'The List'!B1:F671,5,FALSE)</f>
        <v>MTL</v>
      </c>
      <c r="E22" s="55" cm="1">
        <f t="array" ref="E22">VLOOKUP(A22,'The List'!B1:I671,8,FALSE)</f>
        <v>322.57084351596779</v>
      </c>
      <c r="F22" s="55" cm="1">
        <f t="array" ref="F22">IF(Settings!$E$15="POINTS",E22-VLOOKUP(B$2,C1:E204,3,FALSE),J22)</f>
        <v>15.916976171373733</v>
      </c>
      <c r="G22" s="55"/>
      <c r="H22" s="167" cm="1">
        <f t="array" ref="H22">RANK(I22,I3:I204)</f>
        <v>20</v>
      </c>
      <c r="I22" s="168" cm="1">
        <f t="array" ref="I22">VLOOKUP(A22,'Standard Deviations'!A1:C672,3,FALSE)</f>
        <v>5.0390654059082287</v>
      </c>
      <c r="J22" s="168" cm="1">
        <f t="array" ref="J22">I22-VLOOKUP(B$2,H1:J204,2,FALSE)</f>
        <v>0.94631022642086027</v>
      </c>
    </row>
    <row r="23" spans="1:10" ht="21.25" customHeight="1" x14ac:dyDescent="0.15">
      <c r="A23" s="10" t="s">
        <v>184</v>
      </c>
      <c r="B23" s="173" t="str" cm="1">
        <f t="array" ref="B23">VLOOKUP(A23,'The List'!B1:D671,3,FALSE)</f>
        <v>D</v>
      </c>
      <c r="C23" s="174" cm="1">
        <f t="array" ref="C23">IF(Settings!$E$15="POINTS",RANK(E23,E3:E204),H23)</f>
        <v>21</v>
      </c>
      <c r="D23" s="18" t="str" cm="1">
        <f t="array" ref="D23">VLOOKUP(A23,'The List'!B1:F671,5,FALSE)</f>
        <v>T.B</v>
      </c>
      <c r="E23" s="55" cm="1">
        <f t="array" ref="E23">VLOOKUP(A23,'The List'!B1:I671,8,FALSE)</f>
        <v>321.28859498377631</v>
      </c>
      <c r="F23" s="55" cm="1">
        <f t="array" ref="F23">IF(Settings!$E$15="POINTS",E23-VLOOKUP(B$2,C1:E204,3,FALSE),J23)</f>
        <v>14.634727639182245</v>
      </c>
      <c r="G23" s="55"/>
      <c r="H23" s="167" cm="1">
        <f t="array" ref="H23">RANK(I23,I3:I204)</f>
        <v>16</v>
      </c>
      <c r="I23" s="168" cm="1">
        <f t="array" ref="I23">VLOOKUP(A23,'Standard Deviations'!A1:C672,3,FALSE)</f>
        <v>5.7822446594244745</v>
      </c>
      <c r="J23" s="168" cm="1">
        <f t="array" ref="J23">I23-VLOOKUP(B$2,H1:J204,2,FALSE)</f>
        <v>1.6894894799371061</v>
      </c>
    </row>
    <row r="24" spans="1:10" ht="21.25" customHeight="1" x14ac:dyDescent="0.15">
      <c r="A24" s="10" t="s">
        <v>186</v>
      </c>
      <c r="B24" s="173" t="str" cm="1">
        <f t="array" ref="B24">VLOOKUP(A24,'The List'!B1:D671,3,FALSE)</f>
        <v>D</v>
      </c>
      <c r="C24" s="174" cm="1">
        <f t="array" ref="C24">IF(Settings!$E$15="POINTS",RANK(E24,E3:E204),H24)</f>
        <v>22</v>
      </c>
      <c r="D24" s="18" t="str" cm="1">
        <f t="array" ref="D24">VLOOKUP(A24,'The List'!B1:F671,5,FALSE)</f>
        <v>BOS</v>
      </c>
      <c r="E24" s="55" cm="1">
        <f t="array" ref="E24">VLOOKUP(A24,'The List'!B1:I671,8,FALSE)</f>
        <v>320.0721112128553</v>
      </c>
      <c r="F24" s="55" cm="1">
        <f t="array" ref="F24">IF(Settings!$E$15="POINTS",E24-VLOOKUP(B$2,C1:E204,3,FALSE),J24)</f>
        <v>13.418243868261243</v>
      </c>
      <c r="G24" s="55"/>
      <c r="H24" s="167" cm="1">
        <f t="array" ref="H24">RANK(I24,I3:I204)</f>
        <v>12</v>
      </c>
      <c r="I24" s="168" cm="1">
        <f t="array" ref="I24">VLOOKUP(A24,'Standard Deviations'!A1:C672,3,FALSE)</f>
        <v>6.7430455954945376</v>
      </c>
      <c r="J24" s="168" cm="1">
        <f t="array" ref="J24">I24-VLOOKUP(B$2,H1:J204,2,FALSE)</f>
        <v>2.6502904160071692</v>
      </c>
    </row>
    <row r="25" spans="1:10" ht="21.25" customHeight="1" x14ac:dyDescent="0.15">
      <c r="A25" s="10" t="s">
        <v>187</v>
      </c>
      <c r="B25" s="173" t="str" cm="1">
        <f t="array" ref="B25">VLOOKUP(A25,'The List'!B1:D671,3,FALSE)</f>
        <v>D</v>
      </c>
      <c r="C25" s="174" cm="1">
        <f t="array" ref="C25">IF(Settings!$E$15="POINTS",RANK(E25,E3:E204),H25)</f>
        <v>23</v>
      </c>
      <c r="D25" s="18" t="str" cm="1">
        <f t="array" ref="D25">VLOOKUP(A25,'The List'!B1:F671,5,FALSE)</f>
        <v>UTA</v>
      </c>
      <c r="E25" s="55" cm="1">
        <f t="array" ref="E25">VLOOKUP(A25,'The List'!B1:I671,8,FALSE)</f>
        <v>319.44286876672697</v>
      </c>
      <c r="F25" s="55" cm="1">
        <f t="array" ref="F25">IF(Settings!$E$15="POINTS",E25-VLOOKUP(B$2,C1:E204,3,FALSE),J25)</f>
        <v>12.789001422132912</v>
      </c>
      <c r="G25" s="55"/>
      <c r="H25" s="167" cm="1">
        <f t="array" ref="H25">RANK(I25,I3:I204)</f>
        <v>21</v>
      </c>
      <c r="I25" s="168" cm="1">
        <f t="array" ref="I25">VLOOKUP(A25,'Standard Deviations'!A1:C672,3,FALSE)</f>
        <v>5.0119384590766094</v>
      </c>
      <c r="J25" s="168" cm="1">
        <f t="array" ref="J25">I25-VLOOKUP(B$2,H1:J204,2,FALSE)</f>
        <v>0.91918327958924095</v>
      </c>
    </row>
    <row r="26" spans="1:10" ht="21.25" customHeight="1" x14ac:dyDescent="0.15">
      <c r="A26" s="10" t="s">
        <v>189</v>
      </c>
      <c r="B26" s="173" t="str" cm="1">
        <f t="array" ref="B26">VLOOKUP(A26,'The List'!B1:D671,3,FALSE)</f>
        <v>D</v>
      </c>
      <c r="C26" s="174" cm="1">
        <f t="array" ref="C26">IF(Settings!$E$15="POINTS",RANK(E26,E3:E204),H26)</f>
        <v>24</v>
      </c>
      <c r="D26" s="18" t="str" cm="1">
        <f t="array" ref="D26">VLOOKUP(A26,'The List'!B1:F671,5,FALSE)</f>
        <v>PIT</v>
      </c>
      <c r="E26" s="55" cm="1">
        <f t="array" ref="E26">VLOOKUP(A26,'The List'!B1:I671,8,FALSE)</f>
        <v>317.03617166051066</v>
      </c>
      <c r="F26" s="55" cm="1">
        <f t="array" ref="F26">IF(Settings!$E$15="POINTS",E26-VLOOKUP(B$2,C1:E204,3,FALSE),J26)</f>
        <v>10.382304315916599</v>
      </c>
      <c r="G26" s="55"/>
      <c r="H26" s="167" cm="1">
        <f t="array" ref="H26">RANK(I26,I3:I204)</f>
        <v>25</v>
      </c>
      <c r="I26" s="168" cm="1">
        <f t="array" ref="I26">VLOOKUP(A26,'Standard Deviations'!A1:C672,3,FALSE)</f>
        <v>4.0927551794873684</v>
      </c>
      <c r="J26" s="168" cm="1">
        <f t="array" ref="J26">I26-VLOOKUP(B$2,H1:J204,2,FALSE)</f>
        <v>0</v>
      </c>
    </row>
    <row r="27" spans="1:10" ht="21.25" customHeight="1" x14ac:dyDescent="0.15">
      <c r="A27" s="10" t="s">
        <v>200</v>
      </c>
      <c r="B27" s="173" t="str" cm="1">
        <f t="array" ref="B27">VLOOKUP(A27,'The List'!B1:D671,3,FALSE)</f>
        <v>D</v>
      </c>
      <c r="C27" s="174" cm="1">
        <f t="array" ref="C27">IF(Settings!$E$15="POINTS",RANK(E27,E3:E204),H27)</f>
        <v>25</v>
      </c>
      <c r="D27" s="18" t="str" cm="1">
        <f t="array" ref="D27">VLOOKUP(A27,'The List'!B1:F671,5,FALSE)</f>
        <v>DAL</v>
      </c>
      <c r="E27" s="55" cm="1">
        <f t="array" ref="E27">VLOOKUP(A27,'The List'!B1:I671,8,FALSE)</f>
        <v>306.65386734459406</v>
      </c>
      <c r="F27" s="55" cm="1">
        <f t="array" ref="F27">IF(Settings!$E$15="POINTS",E27-VLOOKUP(B$2,C1:E204,3,FALSE),J27)</f>
        <v>0</v>
      </c>
      <c r="G27" s="55"/>
      <c r="H27" s="167" cm="1">
        <f t="array" ref="H27">RANK(I27,I3:I204)</f>
        <v>22</v>
      </c>
      <c r="I27" s="168" cm="1">
        <f t="array" ref="I27">VLOOKUP(A27,'Standard Deviations'!A1:C672,3,FALSE)</f>
        <v>4.4602730606541972</v>
      </c>
      <c r="J27" s="168" cm="1">
        <f t="array" ref="J27">I27-VLOOKUP(B$2,H1:J204,2,FALSE)</f>
        <v>0.36751788116682871</v>
      </c>
    </row>
    <row r="28" spans="1:10" ht="21.25" customHeight="1" x14ac:dyDescent="0.15">
      <c r="A28" s="10" t="s">
        <v>202</v>
      </c>
      <c r="B28" s="173" t="str" cm="1">
        <f t="array" ref="B28">VLOOKUP(A28,'The List'!B1:D671,3,FALSE)</f>
        <v>D</v>
      </c>
      <c r="C28" s="174" cm="1">
        <f t="array" ref="C28">IF(Settings!$E$15="POINTS",RANK(E28,E3:E204),H28)</f>
        <v>26</v>
      </c>
      <c r="D28" s="18" t="str" cm="1">
        <f t="array" ref="D28">VLOOKUP(A28,'The List'!B1:F671,5,FALSE)</f>
        <v>CHI</v>
      </c>
      <c r="E28" s="55" cm="1">
        <f t="array" ref="E28">VLOOKUP(A28,'The List'!B1:I671,8,FALSE)</f>
        <v>301.21909601467479</v>
      </c>
      <c r="F28" s="55" cm="1">
        <f t="array" ref="F28">IF(Settings!$E$15="POINTS",E28-VLOOKUP(B$2,C1:E204,3,FALSE),J28)</f>
        <v>-5.4347713299192719</v>
      </c>
      <c r="G28" s="55"/>
      <c r="H28" s="167" cm="1">
        <f t="array" ref="H28">RANK(I28,I3:I204)</f>
        <v>40</v>
      </c>
      <c r="I28" s="168" cm="1">
        <f t="array" ref="I28">VLOOKUP(A28,'Standard Deviations'!A1:C672,3,FALSE)</f>
        <v>2.648473070238766</v>
      </c>
      <c r="J28" s="168" cm="1">
        <f t="array" ref="J28">I28-VLOOKUP(B$2,H1:J204,2,FALSE)</f>
        <v>-1.4442821092486025</v>
      </c>
    </row>
    <row r="29" spans="1:10" ht="21.25" customHeight="1" x14ac:dyDescent="0.15">
      <c r="A29" s="10" t="s">
        <v>206</v>
      </c>
      <c r="B29" s="173" t="str" cm="1">
        <f t="array" ref="B29">VLOOKUP(A29,'The List'!B1:D671,3,FALSE)</f>
        <v>D</v>
      </c>
      <c r="C29" s="174" cm="1">
        <f t="array" ref="C29">IF(Settings!$E$15="POINTS",RANK(E29,E3:E204),H29)</f>
        <v>27</v>
      </c>
      <c r="D29" s="18" t="str" cm="1">
        <f t="array" ref="D29">VLOOKUP(A29,'The List'!B1:F671,5,FALSE)</f>
        <v>MIN</v>
      </c>
      <c r="E29" s="55" cm="1">
        <f t="array" ref="E29">VLOOKUP(A29,'The List'!B1:I671,8,FALSE)</f>
        <v>298.21854846288124</v>
      </c>
      <c r="F29" s="55" cm="1">
        <f t="array" ref="F29">IF(Settings!$E$15="POINTS",E29-VLOOKUP(B$2,C1:E204,3,FALSE),J29)</f>
        <v>-8.4353188817128171</v>
      </c>
      <c r="G29" s="55"/>
      <c r="H29" s="167" cm="1">
        <f t="array" ref="H29">RANK(I29,I3:I204)</f>
        <v>27</v>
      </c>
      <c r="I29" s="168" cm="1">
        <f t="array" ref="I29">VLOOKUP(A29,'Standard Deviations'!A1:C672,3,FALSE)</f>
        <v>3.7653600529155455</v>
      </c>
      <c r="J29" s="168" cm="1">
        <f t="array" ref="J29">I29-VLOOKUP(B$2,H1:J204,2,FALSE)</f>
        <v>-0.3273951265718229</v>
      </c>
    </row>
    <row r="30" spans="1:10" ht="21.25" customHeight="1" x14ac:dyDescent="0.15">
      <c r="A30" s="10" t="s">
        <v>214</v>
      </c>
      <c r="B30" s="173" t="str" cm="1">
        <f t="array" ref="B30">VLOOKUP(A30,'The List'!B1:D671,3,FALSE)</f>
        <v>D</v>
      </c>
      <c r="C30" s="174" cm="1">
        <f t="array" ref="C30">IF(Settings!$E$15="POINTS",RANK(E30,E3:E204),H30)</f>
        <v>28</v>
      </c>
      <c r="D30" s="18" t="str" cm="1">
        <f t="array" ref="D30">VLOOKUP(A30,'The List'!B1:F671,5,FALSE)</f>
        <v>N.J</v>
      </c>
      <c r="E30" s="55" cm="1">
        <f t="array" ref="E30">VLOOKUP(A30,'The List'!B1:I671,8,FALSE)</f>
        <v>291.60595483247135</v>
      </c>
      <c r="F30" s="55" cm="1">
        <f t="array" ref="F30">IF(Settings!$E$15="POINTS",E30-VLOOKUP(B$2,C1:E204,3,FALSE),J30)</f>
        <v>-15.047912512122707</v>
      </c>
      <c r="G30" s="55"/>
      <c r="H30" s="167" cm="1">
        <f t="array" ref="H30">RANK(I30,I3:I204)</f>
        <v>39</v>
      </c>
      <c r="I30" s="168" cm="1">
        <f t="array" ref="I30">VLOOKUP(A30,'Standard Deviations'!A1:C672,3,FALSE)</f>
        <v>2.7157928462210394</v>
      </c>
      <c r="J30" s="168" cm="1">
        <f t="array" ref="J30">I30-VLOOKUP(B$2,H1:J204,2,FALSE)</f>
        <v>-1.376962333266329</v>
      </c>
    </row>
    <row r="31" spans="1:10" ht="21.25" customHeight="1" x14ac:dyDescent="0.15">
      <c r="A31" s="10" t="s">
        <v>217</v>
      </c>
      <c r="B31" s="173" t="str" cm="1">
        <f t="array" ref="B31">VLOOKUP(A31,'The List'!B1:D671,3,FALSE)</f>
        <v>D</v>
      </c>
      <c r="C31" s="174" cm="1">
        <f t="array" ref="C31">IF(Settings!$E$15="POINTS",RANK(E31,E3:E204),H31)</f>
        <v>29</v>
      </c>
      <c r="D31" s="18" t="str" cm="1">
        <f t="array" ref="D31">VLOOKUP(A31,'The List'!B1:F671,5,FALSE)</f>
        <v>CAR</v>
      </c>
      <c r="E31" s="55" cm="1">
        <f t="array" ref="E31">VLOOKUP(A31,'The List'!B1:I671,8,FALSE)</f>
        <v>285.13310663039476</v>
      </c>
      <c r="F31" s="55" cm="1">
        <f t="array" ref="F31">IF(Settings!$E$15="POINTS",E31-VLOOKUP(B$2,C1:E204,3,FALSE),J31)</f>
        <v>-21.520760714199298</v>
      </c>
      <c r="G31" s="55"/>
      <c r="H31" s="167" cm="1">
        <f t="array" ref="H31">RANK(I31,I3:I204)</f>
        <v>24</v>
      </c>
      <c r="I31" s="168" cm="1">
        <f t="array" ref="I31">VLOOKUP(A31,'Standard Deviations'!A1:C672,3,FALSE)</f>
        <v>4.172452258347608</v>
      </c>
      <c r="J31" s="168" cm="1">
        <f t="array" ref="J31">I31-VLOOKUP(B$2,H1:J204,2,FALSE)</f>
        <v>7.9697078860239579E-2</v>
      </c>
    </row>
    <row r="32" spans="1:10" ht="21.25" customHeight="1" x14ac:dyDescent="0.15">
      <c r="A32" s="10" t="s">
        <v>218</v>
      </c>
      <c r="B32" s="173" t="str" cm="1">
        <f t="array" ref="B32">VLOOKUP(A32,'The List'!B1:D671,3,FALSE)</f>
        <v>D</v>
      </c>
      <c r="C32" s="174" cm="1">
        <f t="array" ref="C32">IF(Settings!$E$15="POINTS",RANK(E32,E3:E204),H32)</f>
        <v>30</v>
      </c>
      <c r="D32" s="18" t="str" cm="1">
        <f t="array" ref="D32">VLOOKUP(A32,'The List'!B1:F671,5,FALSE)</f>
        <v>SEA</v>
      </c>
      <c r="E32" s="55" cm="1">
        <f t="array" ref="E32">VLOOKUP(A32,'The List'!B1:I671,8,FALSE)</f>
        <v>283.74186941613812</v>
      </c>
      <c r="F32" s="55" cm="1">
        <f t="array" ref="F32">IF(Settings!$E$15="POINTS",E32-VLOOKUP(B$2,C1:E204,3,FALSE),J32)</f>
        <v>-22.911997928455946</v>
      </c>
      <c r="G32" s="55"/>
      <c r="H32" s="167" cm="1">
        <f t="array" ref="H32">RANK(I32,I3:I204)</f>
        <v>41</v>
      </c>
      <c r="I32" s="168" cm="1">
        <f t="array" ref="I32">VLOOKUP(A32,'Standard Deviations'!A1:C672,3,FALSE)</f>
        <v>2.4961427910689751</v>
      </c>
      <c r="J32" s="168" cm="1">
        <f t="array" ref="J32">I32-VLOOKUP(B$2,H1:J204,2,FALSE)</f>
        <v>-1.5966123884183934</v>
      </c>
    </row>
    <row r="33" spans="1:10" ht="21.25" customHeight="1" x14ac:dyDescent="0.15">
      <c r="A33" s="10" t="s">
        <v>220</v>
      </c>
      <c r="B33" s="173" t="str" cm="1">
        <f t="array" ref="B33">VLOOKUP(A33,'The List'!B1:D671,3,FALSE)</f>
        <v>D</v>
      </c>
      <c r="C33" s="174" cm="1">
        <f t="array" ref="C33">IF(Settings!$E$15="POINTS",RANK(E33,E3:E204),H33)</f>
        <v>31</v>
      </c>
      <c r="D33" s="18" t="str" cm="1">
        <f t="array" ref="D33">VLOOKUP(A33,'The List'!B1:F671,5,FALSE)</f>
        <v>VAN</v>
      </c>
      <c r="E33" s="55" cm="1">
        <f t="array" ref="E33">VLOOKUP(A33,'The List'!B1:I671,8,FALSE)</f>
        <v>282.72109305361204</v>
      </c>
      <c r="F33" s="55" cm="1">
        <f t="array" ref="F33">IF(Settings!$E$15="POINTS",E33-VLOOKUP(B$2,C1:E204,3,FALSE),J33)</f>
        <v>-23.932774290982024</v>
      </c>
      <c r="G33" s="55"/>
      <c r="H33" s="167" cm="1">
        <f t="array" ref="H33">RANK(I33,I3:I204)</f>
        <v>60</v>
      </c>
      <c r="I33" s="168" cm="1">
        <f t="array" ref="I33">VLOOKUP(A33,'Standard Deviations'!A1:C672,3,FALSE)</f>
        <v>1.1681937689409878</v>
      </c>
      <c r="J33" s="168" cm="1">
        <f t="array" ref="J33">I33-VLOOKUP(B$2,H1:J204,2,FALSE)</f>
        <v>-2.9245614105463806</v>
      </c>
    </row>
    <row r="34" spans="1:10" ht="21.25" customHeight="1" x14ac:dyDescent="0.15">
      <c r="A34" s="10" t="s">
        <v>221</v>
      </c>
      <c r="B34" s="173" t="str" cm="1">
        <f t="array" ref="B34">VLOOKUP(A34,'The List'!B1:D671,3,FALSE)</f>
        <v>D</v>
      </c>
      <c r="C34" s="174" cm="1">
        <f t="array" ref="C34">IF(Settings!$E$15="POINTS",RANK(E34,E3:E204),H34)</f>
        <v>32</v>
      </c>
      <c r="D34" s="18" t="str" cm="1">
        <f t="array" ref="D34">VLOOKUP(A34,'The List'!B1:F671,5,FALSE)</f>
        <v>N.J</v>
      </c>
      <c r="E34" s="55" cm="1">
        <f t="array" ref="E34">VLOOKUP(A34,'The List'!B1:I671,8,FALSE)</f>
        <v>280.69871620062037</v>
      </c>
      <c r="F34" s="55" cm="1">
        <f t="array" ref="F34">IF(Settings!$E$15="POINTS",E34-VLOOKUP(B$2,C1:E204,3,FALSE),J34)</f>
        <v>-25.955151143973694</v>
      </c>
      <c r="G34" s="55"/>
      <c r="H34" s="167" cm="1">
        <f t="array" ref="H34">RANK(I34,I3:I204)</f>
        <v>26</v>
      </c>
      <c r="I34" s="168" cm="1">
        <f t="array" ref="I34">VLOOKUP(A34,'Standard Deviations'!A1:C672,3,FALSE)</f>
        <v>3.9613660254406886</v>
      </c>
      <c r="J34" s="168" cm="1">
        <f t="array" ref="J34">I34-VLOOKUP(B$2,H1:J204,2,FALSE)</f>
        <v>-0.13138915404667983</v>
      </c>
    </row>
    <row r="35" spans="1:10" ht="21.25" customHeight="1" x14ac:dyDescent="0.15">
      <c r="A35" s="10" t="s">
        <v>227</v>
      </c>
      <c r="B35" s="173" t="str" cm="1">
        <f t="array" ref="B35">VLOOKUP(A35,'The List'!B1:D671,3,FALSE)</f>
        <v>D</v>
      </c>
      <c r="C35" s="174" cm="1">
        <f t="array" ref="C35">IF(Settings!$E$15="POINTS",RANK(E35,E3:E204),H35)</f>
        <v>33</v>
      </c>
      <c r="D35" s="18" t="str" cm="1">
        <f t="array" ref="D35">VLOOKUP(A35,'The List'!B1:F671,5,FALSE)</f>
        <v>UTA</v>
      </c>
      <c r="E35" s="55" cm="1">
        <f t="array" ref="E35">VLOOKUP(A35,'The List'!B1:I671,8,FALSE)</f>
        <v>274.09767409747053</v>
      </c>
      <c r="F35" s="55" cm="1">
        <f t="array" ref="F35">IF(Settings!$E$15="POINTS",E35-VLOOKUP(B$2,C1:E204,3,FALSE),J35)</f>
        <v>-32.556193247123531</v>
      </c>
      <c r="G35" s="55"/>
      <c r="H35" s="167" cm="1">
        <f t="array" ref="H35">RANK(I35,I3:I204)</f>
        <v>28</v>
      </c>
      <c r="I35" s="168" cm="1">
        <f t="array" ref="I35">VLOOKUP(A35,'Standard Deviations'!A1:C672,3,FALSE)</f>
        <v>3.7423963701241139</v>
      </c>
      <c r="J35" s="168" cm="1">
        <f t="array" ref="J35">I35-VLOOKUP(B$2,H1:J204,2,FALSE)</f>
        <v>-0.35035880936325459</v>
      </c>
    </row>
    <row r="36" spans="1:10" ht="21.25" customHeight="1" x14ac:dyDescent="0.15">
      <c r="A36" s="10" t="s">
        <v>232</v>
      </c>
      <c r="B36" s="173" t="str" cm="1">
        <f t="array" ref="B36">VLOOKUP(A36,'The List'!B1:D671,3,FALSE)</f>
        <v>D</v>
      </c>
      <c r="C36" s="174" cm="1">
        <f t="array" ref="C36">IF(Settings!$E$15="POINTS",RANK(E36,E3:E204),H36)</f>
        <v>34</v>
      </c>
      <c r="D36" s="18" t="str" cm="1">
        <f t="array" ref="D36">VLOOKUP(A36,'The List'!B1:F671,5,FALSE)</f>
        <v>BUF</v>
      </c>
      <c r="E36" s="55" cm="1">
        <f t="array" ref="E36">VLOOKUP(A36,'The List'!B1:I671,8,FALSE)</f>
        <v>270.09076067369153</v>
      </c>
      <c r="F36" s="55" cm="1">
        <f t="array" ref="F36">IF(Settings!$E$15="POINTS",E36-VLOOKUP(B$2,C1:E204,3,FALSE),J36)</f>
        <v>-36.563106670902528</v>
      </c>
      <c r="G36" s="55"/>
      <c r="H36" s="167" cm="1">
        <f t="array" ref="H36">RANK(I36,I3:I204)</f>
        <v>58</v>
      </c>
      <c r="I36" s="168" cm="1">
        <f t="array" ref="I36">VLOOKUP(A36,'Standard Deviations'!A1:C672,3,FALSE)</f>
        <v>1.2623496422222169</v>
      </c>
      <c r="J36" s="168" cm="1">
        <f t="array" ref="J36">I36-VLOOKUP(B$2,H1:J204,2,FALSE)</f>
        <v>-2.8304055372651513</v>
      </c>
    </row>
    <row r="37" spans="1:10" ht="21.25" customHeight="1" x14ac:dyDescent="0.15">
      <c r="A37" s="10" t="s">
        <v>233</v>
      </c>
      <c r="B37" s="173" t="str" cm="1">
        <f t="array" ref="B37">VLOOKUP(A37,'The List'!B1:D671,3,FALSE)</f>
        <v>D</v>
      </c>
      <c r="C37" s="174" cm="1">
        <f t="array" ref="C37">IF(Settings!$E$15="POINTS",RANK(E37,E3:E204),H37)</f>
        <v>35</v>
      </c>
      <c r="D37" s="18" t="str" cm="1">
        <f t="array" ref="D37">VLOOKUP(A37,'The List'!B1:F671,5,FALSE)</f>
        <v>FLA</v>
      </c>
      <c r="E37" s="55" cm="1">
        <f t="array" ref="E37">VLOOKUP(A37,'The List'!B1:I671,8,FALSE)</f>
        <v>264.83671525154909</v>
      </c>
      <c r="F37" s="55" cm="1">
        <f t="array" ref="F37">IF(Settings!$E$15="POINTS",E37-VLOOKUP(B$2,C1:E204,3,FALSE),J37)</f>
        <v>-41.817152093044967</v>
      </c>
      <c r="G37" s="55"/>
      <c r="H37" s="167" cm="1">
        <f t="array" ref="H37">RANK(I37,I3:I204)</f>
        <v>34</v>
      </c>
      <c r="I37" s="168" cm="1">
        <f t="array" ref="I37">VLOOKUP(A37,'Standard Deviations'!A1:C672,3,FALSE)</f>
        <v>3.0153634323848117</v>
      </c>
      <c r="J37" s="168" cm="1">
        <f t="array" ref="J37">I37-VLOOKUP(B$2,H1:J204,2,FALSE)</f>
        <v>-1.0773917471025567</v>
      </c>
    </row>
    <row r="38" spans="1:10" ht="21.25" customHeight="1" x14ac:dyDescent="0.15">
      <c r="A38" s="10" t="s">
        <v>234</v>
      </c>
      <c r="B38" s="173" t="str" cm="1">
        <f t="array" ref="B38">VLOOKUP(A38,'The List'!B1:D671,3,FALSE)</f>
        <v>D</v>
      </c>
      <c r="C38" s="174" cm="1">
        <f t="array" ref="C38">IF(Settings!$E$15="POINTS",RANK(E38,E3:E204),H38)</f>
        <v>36</v>
      </c>
      <c r="D38" s="18" t="str" cm="1">
        <f t="array" ref="D38">VLOOKUP(A38,'The List'!B1:F671,5,FALSE)</f>
        <v>OTT</v>
      </c>
      <c r="E38" s="55" cm="1">
        <f t="array" ref="E38">VLOOKUP(A38,'The List'!B1:I671,8,FALSE)</f>
        <v>264.59663742979939</v>
      </c>
      <c r="F38" s="55" cm="1">
        <f t="array" ref="F38">IF(Settings!$E$15="POINTS",E38-VLOOKUP(B$2,C1:E204,3,FALSE),J38)</f>
        <v>-42.057229914794675</v>
      </c>
      <c r="G38" s="55"/>
      <c r="H38" s="167" cm="1">
        <f t="array" ref="H38">RANK(I38,I3:I204)</f>
        <v>43</v>
      </c>
      <c r="I38" s="168" cm="1">
        <f t="array" ref="I38">VLOOKUP(A38,'Standard Deviations'!A1:C672,3,FALSE)</f>
        <v>2.3249792020958839</v>
      </c>
      <c r="J38" s="168" cm="1">
        <f t="array" ref="J38">I38-VLOOKUP(B$2,H1:J204,2,FALSE)</f>
        <v>-1.7677759773914845</v>
      </c>
    </row>
    <row r="39" spans="1:10" ht="21.25" customHeight="1" x14ac:dyDescent="0.15">
      <c r="A39" s="10" t="s">
        <v>241</v>
      </c>
      <c r="B39" s="173" t="str" cm="1">
        <f t="array" ref="B39">VLOOKUP(A39,'The List'!B1:D671,3,FALSE)</f>
        <v>D</v>
      </c>
      <c r="C39" s="174" cm="1">
        <f t="array" ref="C39">IF(Settings!$E$15="POINTS",RANK(E39,E3:E204),H39)</f>
        <v>37</v>
      </c>
      <c r="D39" s="18" t="str" cm="1">
        <f t="array" ref="D39">VLOOKUP(A39,'The List'!B1:F671,5,FALSE)</f>
        <v>STL</v>
      </c>
      <c r="E39" s="55" cm="1">
        <f t="array" ref="E39">VLOOKUP(A39,'The List'!B1:I671,8,FALSE)</f>
        <v>260.83392947613936</v>
      </c>
      <c r="F39" s="55" cm="1">
        <f t="array" ref="F39">IF(Settings!$E$15="POINTS",E39-VLOOKUP(B$2,C1:E204,3,FALSE),J39)</f>
        <v>-45.819937868454701</v>
      </c>
      <c r="G39" s="55"/>
      <c r="H39" s="167" cm="1">
        <f t="array" ref="H39">RANK(I39,I3:I204)</f>
        <v>54</v>
      </c>
      <c r="I39" s="168" cm="1">
        <f t="array" ref="I39">VLOOKUP(A39,'Standard Deviations'!A1:C672,3,FALSE)</f>
        <v>1.4438346196372556</v>
      </c>
      <c r="J39" s="168" cm="1">
        <f t="array" ref="J39">I39-VLOOKUP(B$2,H1:J204,2,FALSE)</f>
        <v>-2.6489205598501129</v>
      </c>
    </row>
    <row r="40" spans="1:10" ht="21.25" customHeight="1" x14ac:dyDescent="0.15">
      <c r="A40" s="10" t="s">
        <v>242</v>
      </c>
      <c r="B40" s="173" t="str" cm="1">
        <f t="array" ref="B40">VLOOKUP(A40,'The List'!B1:D671,3,FALSE)</f>
        <v>D</v>
      </c>
      <c r="C40" s="174" cm="1">
        <f t="array" ref="C40">IF(Settings!$E$15="POINTS",RANK(E40,E3:E204),H40)</f>
        <v>38</v>
      </c>
      <c r="D40" s="18" t="str" cm="1">
        <f t="array" ref="D40">VLOOKUP(A40,'The List'!B1:F671,5,FALSE)</f>
        <v>WSH</v>
      </c>
      <c r="E40" s="55" cm="1">
        <f t="array" ref="E40">VLOOKUP(A40,'The List'!B1:I671,8,FALSE)</f>
        <v>260.32688156754858</v>
      </c>
      <c r="F40" s="55" cm="1">
        <f t="array" ref="F40">IF(Settings!$E$15="POINTS",E40-VLOOKUP(B$2,C1:E204,3,FALSE),J40)</f>
        <v>-46.326985777045479</v>
      </c>
      <c r="G40" s="55"/>
      <c r="H40" s="167" cm="1">
        <f t="array" ref="H40">RANK(I40,I3:I204)</f>
        <v>32</v>
      </c>
      <c r="I40" s="168" cm="1">
        <f t="array" ref="I40">VLOOKUP(A40,'Standard Deviations'!A1:C672,3,FALSE)</f>
        <v>3.2441186593239477</v>
      </c>
      <c r="J40" s="168" cm="1">
        <f t="array" ref="J40">I40-VLOOKUP(B$2,H1:J204,2,FALSE)</f>
        <v>-0.84863652016342073</v>
      </c>
    </row>
    <row r="41" spans="1:10" ht="21.25" customHeight="1" x14ac:dyDescent="0.15">
      <c r="A41" s="10" t="s">
        <v>244</v>
      </c>
      <c r="B41" s="173" t="str" cm="1">
        <f t="array" ref="B41">VLOOKUP(A41,'The List'!B1:D671,3,FALSE)</f>
        <v>D</v>
      </c>
      <c r="C41" s="174" cm="1">
        <f t="array" ref="C41">IF(Settings!$E$15="POINTS",RANK(E41,E3:E204),H41)</f>
        <v>39</v>
      </c>
      <c r="D41" s="18" t="str" cm="1">
        <f t="array" ref="D41">VLOOKUP(A41,'The List'!B1:F671,5,FALSE)</f>
        <v>SEA</v>
      </c>
      <c r="E41" s="55" cm="1">
        <f t="array" ref="E41">VLOOKUP(A41,'The List'!B1:I671,8,FALSE)</f>
        <v>258.39827017854134</v>
      </c>
      <c r="F41" s="55" cm="1">
        <f t="array" ref="F41">IF(Settings!$E$15="POINTS",E41-VLOOKUP(B$2,C1:E204,3,FALSE),J41)</f>
        <v>-48.255597166052723</v>
      </c>
      <c r="G41" s="55"/>
      <c r="H41" s="167" cm="1">
        <f t="array" ref="H41">RANK(I41,I3:I204)</f>
        <v>55</v>
      </c>
      <c r="I41" s="168" cm="1">
        <f t="array" ref="I41">VLOOKUP(A41,'Standard Deviations'!A1:C672,3,FALSE)</f>
        <v>1.3475538442110544</v>
      </c>
      <c r="J41" s="168" cm="1">
        <f t="array" ref="J41">I41-VLOOKUP(B$2,H1:J204,2,FALSE)</f>
        <v>-2.745201335276314</v>
      </c>
    </row>
    <row r="42" spans="1:10" ht="21.25" customHeight="1" x14ac:dyDescent="0.15">
      <c r="A42" s="10" t="s">
        <v>247</v>
      </c>
      <c r="B42" s="173" t="str" cm="1">
        <f t="array" ref="B42">VLOOKUP(A42,'The List'!B1:D671,3,FALSE)</f>
        <v>D</v>
      </c>
      <c r="C42" s="174" cm="1">
        <f t="array" ref="C42">IF(Settings!$E$15="POINTS",RANK(E42,E3:E204),H42)</f>
        <v>40</v>
      </c>
      <c r="D42" s="18" t="str" cm="1">
        <f t="array" ref="D42">VLOOKUP(A42,'The List'!B1:F671,5,FALSE)</f>
        <v>VGK</v>
      </c>
      <c r="E42" s="55" cm="1">
        <f t="array" ref="E42">VLOOKUP(A42,'The List'!B1:I671,8,FALSE)</f>
        <v>257.26235089014585</v>
      </c>
      <c r="F42" s="55" cm="1">
        <f t="array" ref="F42">IF(Settings!$E$15="POINTS",E42-VLOOKUP(B$2,C1:E204,3,FALSE),J42)</f>
        <v>-49.391516454448208</v>
      </c>
      <c r="G42" s="55"/>
      <c r="H42" s="167" cm="1">
        <f t="array" ref="H42">RANK(I42,I3:I204)</f>
        <v>30</v>
      </c>
      <c r="I42" s="168" cm="1">
        <f t="array" ref="I42">VLOOKUP(A42,'Standard Deviations'!A1:C672,3,FALSE)</f>
        <v>3.6242808712311554</v>
      </c>
      <c r="J42" s="168" cm="1">
        <f t="array" ref="J42">I42-VLOOKUP(B$2,H1:J204,2,FALSE)</f>
        <v>-0.46847430825621306</v>
      </c>
    </row>
    <row r="43" spans="1:10" ht="21.25" customHeight="1" x14ac:dyDescent="0.15">
      <c r="A43" s="10" t="s">
        <v>250</v>
      </c>
      <c r="B43" s="173" t="str" cm="1">
        <f t="array" ref="B43">VLOOKUP(A43,'The List'!B1:D671,3,FALSE)</f>
        <v>D</v>
      </c>
      <c r="C43" s="174" cm="1">
        <f t="array" ref="C43">IF(Settings!$E$15="POINTS",RANK(E43,E3:E204),H43)</f>
        <v>41</v>
      </c>
      <c r="D43" s="18" t="str" cm="1">
        <f t="array" ref="D43">VLOOKUP(A43,'The List'!B1:F671,5,FALSE)</f>
        <v>S.J</v>
      </c>
      <c r="E43" s="55" cm="1">
        <f t="array" ref="E43">VLOOKUP(A43,'The List'!B1:I671,8,FALSE)</f>
        <v>253.71477334724625</v>
      </c>
      <c r="F43" s="55" cm="1">
        <f t="array" ref="F43">IF(Settings!$E$15="POINTS",E43-VLOOKUP(B$2,C1:E204,3,FALSE),J43)</f>
        <v>-52.939093997347811</v>
      </c>
      <c r="G43" s="55"/>
      <c r="H43" s="167" cm="1">
        <f t="array" ref="H43">RANK(I43,I3:I204)</f>
        <v>49</v>
      </c>
      <c r="I43" s="168" cm="1">
        <f t="array" ref="I43">VLOOKUP(A43,'Standard Deviations'!A1:C672,3,FALSE)</f>
        <v>1.764273018664209</v>
      </c>
      <c r="J43" s="168" cm="1">
        <f t="array" ref="J43">I43-VLOOKUP(B$2,H1:J204,2,FALSE)</f>
        <v>-2.3284821608231594</v>
      </c>
    </row>
    <row r="44" spans="1:10" ht="21.25" customHeight="1" x14ac:dyDescent="0.15">
      <c r="A44" s="10" t="s">
        <v>255</v>
      </c>
      <c r="B44" s="173" t="str" cm="1">
        <f t="array" ref="B44">VLOOKUP(A44,'The List'!B1:D671,3,FALSE)</f>
        <v>D</v>
      </c>
      <c r="C44" s="174" cm="1">
        <f t="array" ref="C44">IF(Settings!$E$15="POINTS",RANK(E44,E3:E204),H44)</f>
        <v>42</v>
      </c>
      <c r="D44" s="18" t="str" cm="1">
        <f t="array" ref="D44">VLOOKUP(A44,'The List'!B1:F671,5,FALSE)</f>
        <v>VGK</v>
      </c>
      <c r="E44" s="55" cm="1">
        <f t="array" ref="E44">VLOOKUP(A44,'The List'!B1:I671,8,FALSE)</f>
        <v>252.75828190852346</v>
      </c>
      <c r="F44" s="55" cm="1">
        <f t="array" ref="F44">IF(Settings!$E$15="POINTS",E44-VLOOKUP(B$2,C1:E204,3,FALSE),J44)</f>
        <v>-53.895585436070604</v>
      </c>
      <c r="G44" s="55"/>
      <c r="H44" s="167" cm="1">
        <f t="array" ref="H44">RANK(I44,I3:I204)</f>
        <v>47</v>
      </c>
      <c r="I44" s="168" cm="1">
        <f t="array" ref="I44">VLOOKUP(A44,'Standard Deviations'!A1:C672,3,FALSE)</f>
        <v>2.0478262975492441</v>
      </c>
      <c r="J44" s="168" cm="1">
        <f t="array" ref="J44">I44-VLOOKUP(B$2,H1:J204,2,FALSE)</f>
        <v>-2.0449288819381244</v>
      </c>
    </row>
    <row r="45" spans="1:10" ht="21.25" customHeight="1" x14ac:dyDescent="0.15">
      <c r="A45" s="10" t="s">
        <v>256</v>
      </c>
      <c r="B45" s="173" t="str" cm="1">
        <f t="array" ref="B45">VLOOKUP(A45,'The List'!B1:D671,3,FALSE)</f>
        <v>D</v>
      </c>
      <c r="C45" s="174" cm="1">
        <f t="array" ref="C45">IF(Settings!$E$15="POINTS",RANK(E45,E3:E204),H45)</f>
        <v>43</v>
      </c>
      <c r="D45" s="18" t="str" cm="1">
        <f t="array" ref="D45">VLOOKUP(A45,'The List'!B1:F671,5,FALSE)</f>
        <v>CGY</v>
      </c>
      <c r="E45" s="55" cm="1">
        <f t="array" ref="E45">VLOOKUP(A45,'The List'!B1:I671,8,FALSE)</f>
        <v>252.58600272309661</v>
      </c>
      <c r="F45" s="55" cm="1">
        <f t="array" ref="F45">IF(Settings!$E$15="POINTS",E45-VLOOKUP(B$2,C1:E204,3,FALSE),J45)</f>
        <v>-54.067864621497449</v>
      </c>
      <c r="G45" s="55"/>
      <c r="H45" s="167" cm="1">
        <f t="array" ref="H45">RANK(I45,I3:I204)</f>
        <v>80</v>
      </c>
      <c r="I45" s="168" cm="1">
        <f t="array" ref="I45">VLOOKUP(A45,'Standard Deviations'!A1:C672,3,FALSE)</f>
        <v>0.3477188369227372</v>
      </c>
      <c r="J45" s="168" cm="1">
        <f t="array" ref="J45">I45-VLOOKUP(B$2,H1:J204,2,FALSE)</f>
        <v>-3.7450363425646311</v>
      </c>
    </row>
    <row r="46" spans="1:10" ht="21.25" customHeight="1" x14ac:dyDescent="0.15">
      <c r="A46" s="10" t="s">
        <v>259</v>
      </c>
      <c r="B46" s="173" t="str" cm="1">
        <f t="array" ref="B46">VLOOKUP(A46,'The List'!B1:D671,3,FALSE)</f>
        <v>D</v>
      </c>
      <c r="C46" s="174" cm="1">
        <f t="array" ref="C46">IF(Settings!$E$15="POINTS",RANK(E46,E3:E204),H46)</f>
        <v>44</v>
      </c>
      <c r="D46" s="18" t="str" cm="1">
        <f t="array" ref="D46">VLOOKUP(A46,'The List'!B1:F671,5,FALSE)</f>
        <v>S.J</v>
      </c>
      <c r="E46" s="55" cm="1">
        <f t="array" ref="E46">VLOOKUP(A46,'The List'!B1:I671,8,FALSE)</f>
        <v>251.72642091330835</v>
      </c>
      <c r="F46" s="55" cm="1">
        <f t="array" ref="F46">IF(Settings!$E$15="POINTS",E46-VLOOKUP(B$2,C1:E204,3,FALSE),J46)</f>
        <v>-54.927446431285716</v>
      </c>
      <c r="G46" s="55"/>
      <c r="H46" s="167" cm="1">
        <f t="array" ref="H46">RANK(I46,I3:I204)</f>
        <v>31</v>
      </c>
      <c r="I46" s="168" cm="1">
        <f t="array" ref="I46">VLOOKUP(A46,'Standard Deviations'!A1:C672,3,FALSE)</f>
        <v>3.5289338816069371</v>
      </c>
      <c r="J46" s="168" cm="1">
        <f t="array" ref="J46">I46-VLOOKUP(B$2,H1:J204,2,FALSE)</f>
        <v>-0.56382129788043134</v>
      </c>
    </row>
    <row r="47" spans="1:10" ht="21.25" customHeight="1" x14ac:dyDescent="0.15">
      <c r="A47" s="10" t="s">
        <v>268</v>
      </c>
      <c r="B47" s="173" t="str" cm="1">
        <f t="array" ref="B47">VLOOKUP(A47,'The List'!B1:D671,3,FALSE)</f>
        <v>D</v>
      </c>
      <c r="C47" s="174" cm="1">
        <f t="array" ref="C47">IF(Settings!$E$15="POINTS",RANK(E47,E3:E204),H47)</f>
        <v>45</v>
      </c>
      <c r="D47" s="18" t="str" cm="1">
        <f t="array" ref="D47">VLOOKUP(A47,'The List'!B1:F671,5,FALSE)</f>
        <v>VAN</v>
      </c>
      <c r="E47" s="55" cm="1">
        <f t="array" ref="E47">VLOOKUP(A47,'The List'!B1:I671,8,FALSE)</f>
        <v>248.41104682971672</v>
      </c>
      <c r="F47" s="55" cm="1">
        <f t="array" ref="F47">IF(Settings!$E$15="POINTS",E47-VLOOKUP(B$2,C1:E204,3,FALSE),J47)</f>
        <v>-58.242820514877337</v>
      </c>
      <c r="G47" s="55"/>
      <c r="H47" s="167" cm="1">
        <f t="array" ref="H47">RANK(I47,I3:I204)</f>
        <v>98</v>
      </c>
      <c r="I47" s="168" cm="1">
        <f t="array" ref="I47">VLOOKUP(A47,'Standard Deviations'!A1:C672,3,FALSE)</f>
        <v>-0.27789309216825175</v>
      </c>
      <c r="J47" s="168" cm="1">
        <f t="array" ref="J47">I47-VLOOKUP(B$2,H1:J204,2,FALSE)</f>
        <v>-4.3706482716556199</v>
      </c>
    </row>
    <row r="48" spans="1:10" ht="21.25" customHeight="1" x14ac:dyDescent="0.15">
      <c r="A48" s="10" t="s">
        <v>270</v>
      </c>
      <c r="B48" s="173" t="str" cm="1">
        <f t="array" ref="B48">VLOOKUP(A48,'The List'!B1:D671,3,FALSE)</f>
        <v>D</v>
      </c>
      <c r="C48" s="174" cm="1">
        <f t="array" ref="C48">IF(Settings!$E$15="POINTS",RANK(E48,E3:E204),H48)</f>
        <v>46</v>
      </c>
      <c r="D48" s="18" t="str" cm="1">
        <f t="array" ref="D48">VLOOKUP(A48,'The List'!B1:F671,5,FALSE)</f>
        <v>DET</v>
      </c>
      <c r="E48" s="55" cm="1">
        <f t="array" ref="E48">VLOOKUP(A48,'The List'!B1:I671,8,FALSE)</f>
        <v>246.04357017710609</v>
      </c>
      <c r="F48" s="55" cm="1">
        <f t="array" ref="F48">IF(Settings!$E$15="POINTS",E48-VLOOKUP(B$2,C1:E204,3,FALSE),J48)</f>
        <v>-60.610297167487971</v>
      </c>
      <c r="G48" s="55"/>
      <c r="H48" s="167" cm="1">
        <f t="array" ref="H48">RANK(I48,I3:I204)</f>
        <v>63</v>
      </c>
      <c r="I48" s="168" cm="1">
        <f t="array" ref="I48">VLOOKUP(A48,'Standard Deviations'!A1:C672,3,FALSE)</f>
        <v>1.0801835390119368</v>
      </c>
      <c r="J48" s="168" cm="1">
        <f t="array" ref="J48">I48-VLOOKUP(B$2,H1:J204,2,FALSE)</f>
        <v>-3.0125716404754317</v>
      </c>
    </row>
    <row r="49" spans="1:10" ht="21.25" customHeight="1" x14ac:dyDescent="0.15">
      <c r="A49" s="10" t="s">
        <v>272</v>
      </c>
      <c r="B49" s="173" t="str" cm="1">
        <f t="array" ref="B49">VLOOKUP(A49,'The List'!B1:D671,3,FALSE)</f>
        <v>D</v>
      </c>
      <c r="C49" s="174" cm="1">
        <f t="array" ref="C49">IF(Settings!$E$15="POINTS",RANK(E49,E3:E204),H49)</f>
        <v>47</v>
      </c>
      <c r="D49" s="18" t="str" cm="1">
        <f t="array" ref="D49">VLOOKUP(A49,'The List'!B1:F671,5,FALSE)</f>
        <v>T.B</v>
      </c>
      <c r="E49" s="55" cm="1">
        <f t="array" ref="E49">VLOOKUP(A49,'The List'!B1:I671,8,FALSE)</f>
        <v>242.30938287559204</v>
      </c>
      <c r="F49" s="55" cm="1">
        <f t="array" ref="F49">IF(Settings!$E$15="POINTS",E49-VLOOKUP(B$2,C1:E204,3,FALSE),J49)</f>
        <v>-64.344484469002026</v>
      </c>
      <c r="G49" s="55"/>
      <c r="H49" s="167" cm="1">
        <f t="array" ref="H49">RANK(I49,I3:I204)</f>
        <v>46</v>
      </c>
      <c r="I49" s="168" cm="1">
        <f t="array" ref="I49">VLOOKUP(A49,'Standard Deviations'!A1:C672,3,FALSE)</f>
        <v>2.2107252793900702</v>
      </c>
      <c r="J49" s="168" cm="1">
        <f t="array" ref="J49">I49-VLOOKUP(B$2,H1:J204,2,FALSE)</f>
        <v>-1.8820299000972982</v>
      </c>
    </row>
    <row r="50" spans="1:10" ht="21.25" customHeight="1" x14ac:dyDescent="0.15">
      <c r="A50" s="10" t="s">
        <v>273</v>
      </c>
      <c r="B50" s="173" t="str" cm="1">
        <f t="array" ref="B50">VLOOKUP(A50,'The List'!B1:D671,3,FALSE)</f>
        <v>D</v>
      </c>
      <c r="C50" s="174" cm="1">
        <f t="array" ref="C50">IF(Settings!$E$15="POINTS",RANK(E50,E3:E204),H50)</f>
        <v>48</v>
      </c>
      <c r="D50" s="18" t="str" cm="1">
        <f t="array" ref="D50">VLOOKUP(A50,'The List'!B1:F671,5,FALSE)</f>
        <v>ANA</v>
      </c>
      <c r="E50" s="55" cm="1">
        <f t="array" ref="E50">VLOOKUP(A50,'The List'!B1:I671,8,FALSE)</f>
        <v>241.94417273445006</v>
      </c>
      <c r="F50" s="55" cm="1">
        <f t="array" ref="F50">IF(Settings!$E$15="POINTS",E50-VLOOKUP(B$2,C1:E204,3,FALSE),J50)</f>
        <v>-64.709694610143998</v>
      </c>
      <c r="G50" s="55"/>
      <c r="H50" s="167" cm="1">
        <f t="array" ref="H50">RANK(I50,I3:I204)</f>
        <v>87</v>
      </c>
      <c r="I50" s="168" cm="1">
        <f t="array" ref="I50">VLOOKUP(A50,'Standard Deviations'!A1:C672,3,FALSE)</f>
        <v>-1.1943634509897383E-2</v>
      </c>
      <c r="J50" s="168" cm="1">
        <f t="array" ref="J50">I50-VLOOKUP(B$2,H1:J204,2,FALSE)</f>
        <v>-4.104698813997266</v>
      </c>
    </row>
    <row r="51" spans="1:10" ht="21.25" customHeight="1" x14ac:dyDescent="0.15">
      <c r="A51" s="10" t="s">
        <v>285</v>
      </c>
      <c r="B51" s="173" t="str" cm="1">
        <f t="array" ref="B51">VLOOKUP(A51,'The List'!B1:D671,3,FALSE)</f>
        <v>D</v>
      </c>
      <c r="C51" s="174" cm="1">
        <f t="array" ref="C51">IF(Settings!$E$15="POINTS",RANK(E51,E3:E204),H51)</f>
        <v>49</v>
      </c>
      <c r="D51" s="18" t="str" cm="1">
        <f t="array" ref="D51">VLOOKUP(A51,'The List'!B1:F671,5,FALSE)</f>
        <v>EDM</v>
      </c>
      <c r="E51" s="55" cm="1">
        <f t="array" ref="E51">VLOOKUP(A51,'The List'!B1:I671,8,FALSE)</f>
        <v>232.50981540421523</v>
      </c>
      <c r="F51" s="55" cm="1">
        <f t="array" ref="F51">IF(Settings!$E$15="POINTS",E51-VLOOKUP(B$2,C1:E204,3,FALSE),J51)</f>
        <v>-74.14405194037883</v>
      </c>
      <c r="G51" s="55"/>
      <c r="H51" s="167" cm="1">
        <f t="array" ref="H51">RANK(I51,I3:I204)</f>
        <v>37</v>
      </c>
      <c r="I51" s="168" cm="1">
        <f t="array" ref="I51">VLOOKUP(A51,'Standard Deviations'!A1:C672,3,FALSE)</f>
        <v>2.8132815705098659</v>
      </c>
      <c r="J51" s="168" cm="1">
        <f t="array" ref="J51">I51-VLOOKUP(B$2,H1:J204,2,FALSE)</f>
        <v>-1.2794736089775025</v>
      </c>
    </row>
    <row r="52" spans="1:10" ht="21.25" customHeight="1" x14ac:dyDescent="0.15">
      <c r="A52" s="10" t="s">
        <v>287</v>
      </c>
      <c r="B52" s="173" t="str" cm="1">
        <f t="array" ref="B52">VLOOKUP(A52,'The List'!B1:D671,3,FALSE)</f>
        <v>D</v>
      </c>
      <c r="C52" s="174" cm="1">
        <f t="array" ref="C52">IF(Settings!$E$15="POINTS",RANK(E52,E3:E204),H52)</f>
        <v>50</v>
      </c>
      <c r="D52" s="18" t="str" cm="1">
        <f t="array" ref="D52">VLOOKUP(A52,'The List'!B1:F671,5,FALSE)</f>
        <v>PHI</v>
      </c>
      <c r="E52" s="55" cm="1">
        <f t="array" ref="E52">VLOOKUP(A52,'The List'!B1:I671,8,FALSE)</f>
        <v>231.69336416819803</v>
      </c>
      <c r="F52" s="55" cm="1">
        <f t="array" ref="F52">IF(Settings!$E$15="POINTS",E52-VLOOKUP(B$2,C1:E204,3,FALSE),J52)</f>
        <v>-74.960503176396031</v>
      </c>
      <c r="G52" s="55"/>
      <c r="H52" s="167" cm="1">
        <f t="array" ref="H52">RANK(I52,I3:I204)</f>
        <v>71</v>
      </c>
      <c r="I52" s="168" cm="1">
        <f t="array" ref="I52">VLOOKUP(A52,'Standard Deviations'!A1:C672,3,FALSE)</f>
        <v>0.65153257203609172</v>
      </c>
      <c r="J52" s="168" cm="1">
        <f t="array" ref="J52">I52-VLOOKUP(B$2,H1:J204,2,FALSE)</f>
        <v>-3.4412226074512766</v>
      </c>
    </row>
    <row r="53" spans="1:10" ht="21.25" customHeight="1" x14ac:dyDescent="0.15">
      <c r="A53" s="10" t="s">
        <v>289</v>
      </c>
      <c r="B53" s="173" t="str" cm="1">
        <f t="array" ref="B53">VLOOKUP(A53,'The List'!B1:D671,3,FALSE)</f>
        <v>D</v>
      </c>
      <c r="C53" s="174" cm="1">
        <f t="array" ref="C53">IF(Settings!$E$15="POINTS",RANK(E53,E3:E204),H53)</f>
        <v>51</v>
      </c>
      <c r="D53" s="18" t="str" cm="1">
        <f t="array" ref="D53">VLOOKUP(A53,'The List'!B1:F671,5,FALSE)</f>
        <v>PHI</v>
      </c>
      <c r="E53" s="55" cm="1">
        <f t="array" ref="E53">VLOOKUP(A53,'The List'!B1:I671,8,FALSE)</f>
        <v>231.29657229995951</v>
      </c>
      <c r="F53" s="55" cm="1">
        <f t="array" ref="F53">IF(Settings!$E$15="POINTS",E53-VLOOKUP(B$2,C1:E204,3,FALSE),J53)</f>
        <v>-75.357295044634554</v>
      </c>
      <c r="G53" s="55"/>
      <c r="H53" s="167" cm="1">
        <f t="array" ref="H53">RANK(I53,I3:I204)</f>
        <v>61</v>
      </c>
      <c r="I53" s="168" cm="1">
        <f t="array" ref="I53">VLOOKUP(A53,'Standard Deviations'!A1:C672,3,FALSE)</f>
        <v>1.1484654511998873</v>
      </c>
      <c r="J53" s="168" cm="1">
        <f t="array" ref="J53">I53-VLOOKUP(B$2,H1:J204,2,FALSE)</f>
        <v>-2.9442897282874814</v>
      </c>
    </row>
    <row r="54" spans="1:10" ht="21.25" customHeight="1" x14ac:dyDescent="0.15">
      <c r="A54" s="10" t="s">
        <v>290</v>
      </c>
      <c r="B54" s="173" t="str" cm="1">
        <f t="array" ref="B54">VLOOKUP(A54,'The List'!B1:D671,3,FALSE)</f>
        <v>D</v>
      </c>
      <c r="C54" s="174" cm="1">
        <f t="array" ref="C54">IF(Settings!$E$15="POINTS",RANK(E54,E3:E204),H54)</f>
        <v>52</v>
      </c>
      <c r="D54" s="18" t="str" cm="1">
        <f t="array" ref="D54">VLOOKUP(A54,'The List'!B1:F671,5,FALSE)</f>
        <v>DET</v>
      </c>
      <c r="E54" s="55" cm="1">
        <f t="array" ref="E54">VLOOKUP(A54,'The List'!B1:I671,8,FALSE)</f>
        <v>231.27531901137024</v>
      </c>
      <c r="F54" s="55" cm="1">
        <f t="array" ref="F54">IF(Settings!$E$15="POINTS",E54-VLOOKUP(B$2,C1:E204,3,FALSE),J54)</f>
        <v>-75.378548333223819</v>
      </c>
      <c r="G54" s="55"/>
      <c r="H54" s="167" cm="1">
        <f t="array" ref="H54">RANK(I54,I3:I204)</f>
        <v>38</v>
      </c>
      <c r="I54" s="168" cm="1">
        <f t="array" ref="I54">VLOOKUP(A54,'Standard Deviations'!A1:C672,3,FALSE)</f>
        <v>2.7660003464473339</v>
      </c>
      <c r="J54" s="168" cm="1">
        <f t="array" ref="J54">I54-VLOOKUP(B$2,H1:J204,2,FALSE)</f>
        <v>-1.3267548330400345</v>
      </c>
    </row>
    <row r="55" spans="1:10" ht="21.25" customHeight="1" x14ac:dyDescent="0.15">
      <c r="A55" s="10" t="s">
        <v>291</v>
      </c>
      <c r="B55" s="173" t="str" cm="1">
        <f t="array" ref="B55">VLOOKUP(A55,'The List'!B1:D671,3,FALSE)</f>
        <v>D</v>
      </c>
      <c r="C55" s="174" cm="1">
        <f t="array" ref="C55">IF(Settings!$E$15="POINTS",RANK(E55,E3:E204),H55)</f>
        <v>53</v>
      </c>
      <c r="D55" s="18" t="str" cm="1">
        <f t="array" ref="D55">VLOOKUP(A55,'The List'!B1:F671,5,FALSE)</f>
        <v>CAR</v>
      </c>
      <c r="E55" s="55" cm="1">
        <f t="array" ref="E55">VLOOKUP(A55,'The List'!B1:I671,8,FALSE)</f>
        <v>231.20677357951885</v>
      </c>
      <c r="F55" s="55" cm="1">
        <f t="array" ref="F55">IF(Settings!$E$15="POINTS",E55-VLOOKUP(B$2,C1:E204,3,FALSE),J55)</f>
        <v>-75.447093765075209</v>
      </c>
      <c r="G55" s="55"/>
      <c r="H55" s="167" cm="1">
        <f t="array" ref="H55">RANK(I55,I3:I204)</f>
        <v>36</v>
      </c>
      <c r="I55" s="168" cm="1">
        <f t="array" ref="I55">VLOOKUP(A55,'Standard Deviations'!A1:C672,3,FALSE)</f>
        <v>2.8231588997523152</v>
      </c>
      <c r="J55" s="168" cm="1">
        <f t="array" ref="J55">I55-VLOOKUP(B$2,H1:J204,2,FALSE)</f>
        <v>-1.2695962797350533</v>
      </c>
    </row>
    <row r="56" spans="1:10" ht="21.25" customHeight="1" x14ac:dyDescent="0.15">
      <c r="A56" s="10" t="s">
        <v>292</v>
      </c>
      <c r="B56" s="173" t="str" cm="1">
        <f t="array" ref="B56">VLOOKUP(A56,'The List'!B1:D671,3,FALSE)</f>
        <v>D</v>
      </c>
      <c r="C56" s="174" cm="1">
        <f t="array" ref="C56">IF(Settings!$E$15="POINTS",RANK(E56,E3:E204),H56)</f>
        <v>54</v>
      </c>
      <c r="D56" s="18" t="str" cm="1">
        <f t="array" ref="D56">VLOOKUP(A56,'The List'!B1:F671,5,FALSE)</f>
        <v>CBJ</v>
      </c>
      <c r="E56" s="55" cm="1">
        <f t="array" ref="E56">VLOOKUP(A56,'The List'!B1:I671,8,FALSE)</f>
        <v>230.45568844020895</v>
      </c>
      <c r="F56" s="55" cm="1">
        <f t="array" ref="F56">IF(Settings!$E$15="POINTS",E56-VLOOKUP(B$2,C1:E204,3,FALSE),J56)</f>
        <v>-76.198178904385117</v>
      </c>
      <c r="G56" s="55"/>
      <c r="H56" s="167" cm="1">
        <f t="array" ref="H56">RANK(I56,I3:I204)</f>
        <v>62</v>
      </c>
      <c r="I56" s="168" cm="1">
        <f t="array" ref="I56">VLOOKUP(A56,'Standard Deviations'!A1:C672,3,FALSE)</f>
        <v>1.1056361226612426</v>
      </c>
      <c r="J56" s="168" cm="1">
        <f t="array" ref="J56">I56-VLOOKUP(B$2,H1:J204,2,FALSE)</f>
        <v>-2.9871190568261259</v>
      </c>
    </row>
    <row r="57" spans="1:10" ht="21.25" customHeight="1" x14ac:dyDescent="0.15">
      <c r="A57" s="10" t="s">
        <v>297</v>
      </c>
      <c r="B57" s="173" t="str" cm="1">
        <f t="array" ref="B57">VLOOKUP(A57,'The List'!B1:D671,3,FALSE)</f>
        <v>D</v>
      </c>
      <c r="C57" s="174" cm="1">
        <f t="array" ref="C57">IF(Settings!$E$15="POINTS",RANK(E57,E3:E204),H57)</f>
        <v>55</v>
      </c>
      <c r="D57" s="18" t="str" cm="1">
        <f t="array" ref="D57">VLOOKUP(A57,'The List'!B1:F671,5,FALSE)</f>
        <v>CAR</v>
      </c>
      <c r="E57" s="55" cm="1">
        <f t="array" ref="E57">VLOOKUP(A57,'The List'!B1:I671,8,FALSE)</f>
        <v>228.92366545856788</v>
      </c>
      <c r="F57" s="55" cm="1">
        <f t="array" ref="F57">IF(Settings!$E$15="POINTS",E57-VLOOKUP(B$2,C1:E204,3,FALSE),J57)</f>
        <v>-77.73020188602618</v>
      </c>
      <c r="G57" s="55"/>
      <c r="H57" s="167" cm="1">
        <f t="array" ref="H57">RANK(I57,I3:I204)</f>
        <v>42</v>
      </c>
      <c r="I57" s="168" cm="1">
        <f t="array" ref="I57">VLOOKUP(A57,'Standard Deviations'!A1:C672,3,FALSE)</f>
        <v>2.3562467453415912</v>
      </c>
      <c r="J57" s="168" cm="1">
        <f t="array" ref="J57">I57-VLOOKUP(B$2,H1:J204,2,FALSE)</f>
        <v>-1.7365084341457773</v>
      </c>
    </row>
    <row r="58" spans="1:10" ht="21.25" customHeight="1" x14ac:dyDescent="0.15">
      <c r="A58" s="10" t="s">
        <v>302</v>
      </c>
      <c r="B58" s="173" t="str" cm="1">
        <f t="array" ref="B58">VLOOKUP(A58,'The List'!B1:D671,3,FALSE)</f>
        <v>D</v>
      </c>
      <c r="C58" s="174" cm="1">
        <f t="array" ref="C58">IF(Settings!$E$15="POINTS",RANK(E58,E3:E204),H58)</f>
        <v>56</v>
      </c>
      <c r="D58" s="18" t="str" cm="1">
        <f t="array" ref="D58">VLOOKUP(A58,'The List'!B1:F671,5,FALSE)</f>
        <v>S.J</v>
      </c>
      <c r="E58" s="55" cm="1">
        <f t="array" ref="E58">VLOOKUP(A58,'The List'!B1:I671,8,FALSE)</f>
        <v>223.2081003755213</v>
      </c>
      <c r="F58" s="55" cm="1">
        <f t="array" ref="F58">IF(Settings!$E$15="POINTS",E58-VLOOKUP(B$2,C1:E204,3,FALSE),J58)</f>
        <v>-83.445766969072764</v>
      </c>
      <c r="G58" s="55"/>
      <c r="H58" s="167" cm="1">
        <f t="array" ref="H58">RANK(I58,I3:I204)</f>
        <v>56</v>
      </c>
      <c r="I58" s="168" cm="1">
        <f t="array" ref="I58">VLOOKUP(A58,'Standard Deviations'!A1:C672,3,FALSE)</f>
        <v>1.2985981812927823</v>
      </c>
      <c r="J58" s="168" cm="1">
        <f t="array" ref="J58">I58-VLOOKUP(B$2,H1:J204,2,FALSE)</f>
        <v>-2.7941569981945862</v>
      </c>
    </row>
    <row r="59" spans="1:10" ht="21.25" customHeight="1" x14ac:dyDescent="0.15">
      <c r="A59" s="10" t="s">
        <v>303</v>
      </c>
      <c r="B59" s="173" t="str" cm="1">
        <f t="array" ref="B59">VLOOKUP(A59,'The List'!B1:D671,3,FALSE)</f>
        <v>D</v>
      </c>
      <c r="C59" s="174" cm="1">
        <f t="array" ref="C59">IF(Settings!$E$15="POINTS",RANK(E59,E3:E204),H59)</f>
        <v>57</v>
      </c>
      <c r="D59" s="18" t="str" cm="1">
        <f t="array" ref="D59">VLOOKUP(A59,'The List'!B1:F671,5,FALSE)</f>
        <v>FLA</v>
      </c>
      <c r="E59" s="55" cm="1">
        <f t="array" ref="E59">VLOOKUP(A59,'The List'!B1:I671,8,FALSE)</f>
        <v>222.77215611815311</v>
      </c>
      <c r="F59" s="55" cm="1">
        <f t="array" ref="F59">IF(Settings!$E$15="POINTS",E59-VLOOKUP(B$2,C1:E204,3,FALSE),J59)</f>
        <v>-83.881711226440956</v>
      </c>
      <c r="G59" s="55"/>
      <c r="H59" s="167" cm="1">
        <f t="array" ref="H59">RANK(I59,I3:I204)</f>
        <v>57</v>
      </c>
      <c r="I59" s="168" cm="1">
        <f t="array" ref="I59">VLOOKUP(A59,'Standard Deviations'!A1:C672,3,FALSE)</f>
        <v>1.269185617575316</v>
      </c>
      <c r="J59" s="168" cm="1">
        <f t="array" ref="J59">I59-VLOOKUP(B$2,H1:J204,2,FALSE)</f>
        <v>-2.8235695619120524</v>
      </c>
    </row>
    <row r="60" spans="1:10" ht="21.25" customHeight="1" x14ac:dyDescent="0.15">
      <c r="A60" s="10" t="s">
        <v>305</v>
      </c>
      <c r="B60" s="173" t="str" cm="1">
        <f t="array" ref="B60">VLOOKUP(A60,'The List'!B1:D671,3,FALSE)</f>
        <v>D</v>
      </c>
      <c r="C60" s="174" cm="1">
        <f t="array" ref="C60">IF(Settings!$E$15="POINTS",RANK(E60,E3:E204),H60)</f>
        <v>58</v>
      </c>
      <c r="D60" s="18" t="str" cm="1">
        <f t="array" ref="D60">VLOOKUP(A60,'The List'!B1:F671,5,FALSE)</f>
        <v>TOR</v>
      </c>
      <c r="E60" s="55" cm="1">
        <f t="array" ref="E60">VLOOKUP(A60,'The List'!B1:I671,8,FALSE)</f>
        <v>221.59152833045579</v>
      </c>
      <c r="F60" s="55" cm="1">
        <f t="array" ref="F60">IF(Settings!$E$15="POINTS",E60-VLOOKUP(B$2,C1:E204,3,FALSE),J60)</f>
        <v>-85.062339014138274</v>
      </c>
      <c r="G60" s="55"/>
      <c r="H60" s="167" cm="1">
        <f t="array" ref="H60">RANK(I60,I3:I204)</f>
        <v>93</v>
      </c>
      <c r="I60" s="168" cm="1">
        <f t="array" ref="I60">VLOOKUP(A60,'Standard Deviations'!A1:C672,3,FALSE)</f>
        <v>-0.18694372461341163</v>
      </c>
      <c r="J60" s="168" cm="1">
        <f t="array" ref="J60">I60-VLOOKUP(B$2,H1:J204,2,FALSE)</f>
        <v>-4.2796989041007798</v>
      </c>
    </row>
    <row r="61" spans="1:10" ht="21.25" customHeight="1" x14ac:dyDescent="0.15">
      <c r="A61" s="10" t="s">
        <v>306</v>
      </c>
      <c r="B61" s="173" t="str" cm="1">
        <f t="array" ref="B61">VLOOKUP(A61,'The List'!B1:D671,3,FALSE)</f>
        <v>D</v>
      </c>
      <c r="C61" s="174" cm="1">
        <f t="array" ref="C61">IF(Settings!$E$15="POINTS",RANK(E61,E3:E204),H61)</f>
        <v>59</v>
      </c>
      <c r="D61" s="18" t="str" cm="1">
        <f t="array" ref="D61">VLOOKUP(A61,'The List'!B1:F671,5,FALSE)</f>
        <v>PHI</v>
      </c>
      <c r="E61" s="55" cm="1">
        <f t="array" ref="E61">VLOOKUP(A61,'The List'!B1:I671,8,FALSE)</f>
        <v>221.53659605143395</v>
      </c>
      <c r="F61" s="55" cm="1">
        <f t="array" ref="F61">IF(Settings!$E$15="POINTS",E61-VLOOKUP(B$2,C1:E204,3,FALSE),J61)</f>
        <v>-85.117271293160115</v>
      </c>
      <c r="G61" s="55"/>
      <c r="H61" s="167" cm="1">
        <f t="array" ref="H61">RANK(I61,I3:I204)</f>
        <v>59</v>
      </c>
      <c r="I61" s="168" cm="1">
        <f t="array" ref="I61">VLOOKUP(A61,'Standard Deviations'!A1:C672,3,FALSE)</f>
        <v>1.1809046032225925</v>
      </c>
      <c r="J61" s="168" cm="1">
        <f t="array" ref="J61">I61-VLOOKUP(B$2,H1:J204,2,FALSE)</f>
        <v>-2.9118505762647757</v>
      </c>
    </row>
    <row r="62" spans="1:10" ht="21.25" customHeight="1" x14ac:dyDescent="0.15">
      <c r="A62" s="10" t="s">
        <v>307</v>
      </c>
      <c r="B62" s="173" t="str" cm="1">
        <f t="array" ref="B62">VLOOKUP(A62,'The List'!B1:D671,3,FALSE)</f>
        <v>D</v>
      </c>
      <c r="C62" s="174" cm="1">
        <f t="array" ref="C62">IF(Settings!$E$15="POINTS",RANK(E62,E3:E204),H62)</f>
        <v>60</v>
      </c>
      <c r="D62" s="18" t="str" cm="1">
        <f t="array" ref="D62">VLOOKUP(A62,'The List'!B1:F671,5,FALSE)</f>
        <v>NSH</v>
      </c>
      <c r="E62" s="55" cm="1">
        <f t="array" ref="E62">VLOOKUP(A62,'The List'!B1:I671,8,FALSE)</f>
        <v>220.74736470877309</v>
      </c>
      <c r="F62" s="55" cm="1">
        <f t="array" ref="F62">IF(Settings!$E$15="POINTS",E62-VLOOKUP(B$2,C1:E204,3,FALSE),J62)</f>
        <v>-85.906502635820971</v>
      </c>
      <c r="G62" s="55"/>
      <c r="H62" s="167" cm="1">
        <f t="array" ref="H62">RANK(I62,I3:I204)</f>
        <v>83</v>
      </c>
      <c r="I62" s="168" cm="1">
        <f t="array" ref="I62">VLOOKUP(A62,'Standard Deviations'!A1:C672,3,FALSE)</f>
        <v>0.18600601212750145</v>
      </c>
      <c r="J62" s="168" cm="1">
        <f t="array" ref="J62">I62-VLOOKUP(B$2,H1:J204,2,FALSE)</f>
        <v>-3.9067491673598669</v>
      </c>
    </row>
    <row r="63" spans="1:10" ht="21.25" customHeight="1" x14ac:dyDescent="0.15">
      <c r="A63" s="10" t="s">
        <v>310</v>
      </c>
      <c r="B63" s="173" t="str" cm="1">
        <f t="array" ref="B63">VLOOKUP(A63,'The List'!B1:D671,3,FALSE)</f>
        <v>D</v>
      </c>
      <c r="C63" s="174" cm="1">
        <f t="array" ref="C63">IF(Settings!$E$15="POINTS",RANK(E63,E3:E204),H63)</f>
        <v>61</v>
      </c>
      <c r="D63" s="18" t="str" cm="1">
        <f t="array" ref="D63">VLOOKUP(A63,'The List'!B1:F671,5,FALSE)</f>
        <v>COL</v>
      </c>
      <c r="E63" s="55" cm="1">
        <f t="array" ref="E63">VLOOKUP(A63,'The List'!B1:I671,8,FALSE)</f>
        <v>216.99720779713971</v>
      </c>
      <c r="F63" s="55" cm="1">
        <f t="array" ref="F63">IF(Settings!$E$15="POINTS",E63-VLOOKUP(B$2,C1:E204,3,FALSE),J63)</f>
        <v>-89.656659547454353</v>
      </c>
      <c r="G63" s="55"/>
      <c r="H63" s="167" cm="1">
        <f t="array" ref="H63">RANK(I63,I3:I204)</f>
        <v>50</v>
      </c>
      <c r="I63" s="168" cm="1">
        <f t="array" ref="I63">VLOOKUP(A63,'Standard Deviations'!A1:C672,3,FALSE)</f>
        <v>1.7171581271685505</v>
      </c>
      <c r="J63" s="168" cm="1">
        <f t="array" ref="J63">I63-VLOOKUP(B$2,H1:J204,2,FALSE)</f>
        <v>-2.3755970523188177</v>
      </c>
    </row>
    <row r="64" spans="1:10" ht="21.25" customHeight="1" x14ac:dyDescent="0.15">
      <c r="A64" s="10" t="s">
        <v>312</v>
      </c>
      <c r="B64" s="173" t="str" cm="1">
        <f t="array" ref="B64">VLOOKUP(A64,'The List'!B1:D671,3,FALSE)</f>
        <v>D</v>
      </c>
      <c r="C64" s="174" cm="1">
        <f t="array" ref="C64">IF(Settings!$E$15="POINTS",RANK(E64,E3:E204),H64)</f>
        <v>62</v>
      </c>
      <c r="D64" s="18" t="str" cm="1">
        <f t="array" ref="D64">VLOOKUP(A64,'The List'!B1:F671,5,FALSE)</f>
        <v>BUF</v>
      </c>
      <c r="E64" s="55" cm="1">
        <f t="array" ref="E64">VLOOKUP(A64,'The List'!B1:I671,8,FALSE)</f>
        <v>216.86527822269292</v>
      </c>
      <c r="F64" s="55" cm="1">
        <f t="array" ref="F64">IF(Settings!$E$15="POINTS",E64-VLOOKUP(B$2,C1:E204,3,FALSE),J64)</f>
        <v>-89.78858912190114</v>
      </c>
      <c r="G64" s="55"/>
      <c r="H64" s="167" cm="1">
        <f t="array" ref="H64">RANK(I64,I3:I204)</f>
        <v>75</v>
      </c>
      <c r="I64" s="168" cm="1">
        <f t="array" ref="I64">VLOOKUP(A64,'Standard Deviations'!A1:C672,3,FALSE)</f>
        <v>0.56861858931909703</v>
      </c>
      <c r="J64" s="168" cm="1">
        <f t="array" ref="J64">I64-VLOOKUP(B$2,H1:J204,2,FALSE)</f>
        <v>-3.5241365901682715</v>
      </c>
    </row>
    <row r="65" spans="1:10" ht="21.25" customHeight="1" x14ac:dyDescent="0.15">
      <c r="A65" s="10" t="s">
        <v>314</v>
      </c>
      <c r="B65" s="173" t="str" cm="1">
        <f t="array" ref="B65">VLOOKUP(A65,'The List'!B1:D671,3,FALSE)</f>
        <v>D</v>
      </c>
      <c r="C65" s="174" cm="1">
        <f t="array" ref="C65">IF(Settings!$E$15="POINTS",RANK(E65,E3:E204),H65)</f>
        <v>63</v>
      </c>
      <c r="D65" s="18" t="str" cm="1">
        <f t="array" ref="D65">VLOOKUP(A65,'The List'!B1:F671,5,FALSE)</f>
        <v>PIT</v>
      </c>
      <c r="E65" s="55" cm="1">
        <f t="array" ref="E65">VLOOKUP(A65,'The List'!B1:I671,8,FALSE)</f>
        <v>216.35083305140631</v>
      </c>
      <c r="F65" s="55" cm="1">
        <f t="array" ref="F65">IF(Settings!$E$15="POINTS",E65-VLOOKUP(B$2,C1:E204,3,FALSE),J65)</f>
        <v>-90.30303429318775</v>
      </c>
      <c r="G65" s="55"/>
      <c r="H65" s="167" cm="1">
        <f t="array" ref="H65">RANK(I65,I3:I204)</f>
        <v>68</v>
      </c>
      <c r="I65" s="168" cm="1">
        <f t="array" ref="I65">VLOOKUP(A65,'Standard Deviations'!A1:C672,3,FALSE)</f>
        <v>0.84372005395397709</v>
      </c>
      <c r="J65" s="168" cm="1">
        <f t="array" ref="J65">I65-VLOOKUP(B$2,H1:J204,2,FALSE)</f>
        <v>-3.2490351255333914</v>
      </c>
    </row>
    <row r="66" spans="1:10" ht="21.25" customHeight="1" x14ac:dyDescent="0.15">
      <c r="A66" s="10" t="s">
        <v>317</v>
      </c>
      <c r="B66" s="173" t="str" cm="1">
        <f t="array" ref="B66">VLOOKUP(A66,'The List'!B1:D671,3,FALSE)</f>
        <v>D</v>
      </c>
      <c r="C66" s="174" cm="1">
        <f t="array" ref="C66">IF(Settings!$E$15="POINTS",RANK(E66,E3:E204),H66)</f>
        <v>64</v>
      </c>
      <c r="D66" s="18" t="str" cm="1">
        <f t="array" ref="D66">VLOOKUP(A66,'The List'!B1:F671,5,FALSE)</f>
        <v>MTL</v>
      </c>
      <c r="E66" s="55" cm="1">
        <f t="array" ref="E66">VLOOKUP(A66,'The List'!B1:I671,8,FALSE)</f>
        <v>214.46205997988471</v>
      </c>
      <c r="F66" s="55" cm="1">
        <f t="array" ref="F66">IF(Settings!$E$15="POINTS",E66-VLOOKUP(B$2,C1:E204,3,FALSE),J66)</f>
        <v>-92.191807364709348</v>
      </c>
      <c r="G66" s="55"/>
      <c r="H66" s="167" cm="1">
        <f t="array" ref="H66">RANK(I66,I3:I204)</f>
        <v>66</v>
      </c>
      <c r="I66" s="168" cm="1">
        <f t="array" ref="I66">VLOOKUP(A66,'Standard Deviations'!A1:C672,3,FALSE)</f>
        <v>0.90784396540328904</v>
      </c>
      <c r="J66" s="168" cm="1">
        <f t="array" ref="J66">I66-VLOOKUP(B$2,H1:J204,2,FALSE)</f>
        <v>-3.1849112140840794</v>
      </c>
    </row>
    <row r="67" spans="1:10" ht="21.25" customHeight="1" x14ac:dyDescent="0.15">
      <c r="A67" s="10" t="s">
        <v>323</v>
      </c>
      <c r="B67" s="173" t="str" cm="1">
        <f t="array" ref="B67">VLOOKUP(A67,'The List'!B1:D671,3,FALSE)</f>
        <v>D</v>
      </c>
      <c r="C67" s="174" cm="1">
        <f t="array" ref="C67">IF(Settings!$E$15="POINTS",RANK(E67,E3:E204),H67)</f>
        <v>65</v>
      </c>
      <c r="D67" s="18" t="str" cm="1">
        <f t="array" ref="D67">VLOOKUP(A67,'The List'!B1:F671,5,FALSE)</f>
        <v>STL</v>
      </c>
      <c r="E67" s="55" cm="1">
        <f t="array" ref="E67">VLOOKUP(A67,'The List'!B1:I671,8,FALSE)</f>
        <v>211.51759850586421</v>
      </c>
      <c r="F67" s="55" cm="1">
        <f t="array" ref="F67">IF(Settings!$E$15="POINTS",E67-VLOOKUP(B$2,C1:E204,3,FALSE),J67)</f>
        <v>-95.136268838729848</v>
      </c>
      <c r="G67" s="55"/>
      <c r="H67" s="167" cm="1">
        <f t="array" ref="H67">RANK(I67,I3:I204)</f>
        <v>107</v>
      </c>
      <c r="I67" s="168" cm="1">
        <f t="array" ref="I67">VLOOKUP(A67,'Standard Deviations'!A1:C672,3,FALSE)</f>
        <v>-0.63298831935189792</v>
      </c>
      <c r="J67" s="168" cm="1">
        <f t="array" ref="J67">I67-VLOOKUP(B$2,H1:J204,2,FALSE)</f>
        <v>-4.7257434988392664</v>
      </c>
    </row>
    <row r="68" spans="1:10" ht="21.25" customHeight="1" x14ac:dyDescent="0.15">
      <c r="A68" s="10" t="s">
        <v>324</v>
      </c>
      <c r="B68" s="173" t="str" cm="1">
        <f t="array" ref="B68">VLOOKUP(A68,'The List'!B1:D671,3,FALSE)</f>
        <v>D</v>
      </c>
      <c r="C68" s="174" cm="1">
        <f t="array" ref="C68">IF(Settings!$E$15="POINTS",RANK(E68,E3:E204),H68)</f>
        <v>66</v>
      </c>
      <c r="D68" s="18" t="str" cm="1">
        <f t="array" ref="D68">VLOOKUP(A68,'The List'!B1:F671,5,FALSE)</f>
        <v>EDM</v>
      </c>
      <c r="E68" s="55" cm="1">
        <f t="array" ref="E68">VLOOKUP(A68,'The List'!B1:I671,8,FALSE)</f>
        <v>210.74270527275525</v>
      </c>
      <c r="F68" s="55" cm="1">
        <f t="array" ref="F68">IF(Settings!$E$15="POINTS",E68-VLOOKUP(B$2,C1:E204,3,FALSE),J68)</f>
        <v>-95.911162071838817</v>
      </c>
      <c r="G68" s="55"/>
      <c r="H68" s="167" cm="1">
        <f t="array" ref="H68">RANK(I68,I3:I204)</f>
        <v>76</v>
      </c>
      <c r="I68" s="168" cm="1">
        <f t="array" ref="I68">VLOOKUP(A68,'Standard Deviations'!A1:C672,3,FALSE)</f>
        <v>0.52328593616335761</v>
      </c>
      <c r="J68" s="168" cm="1">
        <f t="array" ref="J68">I68-VLOOKUP(B$2,H1:J204,2,FALSE)</f>
        <v>-3.5694692433240109</v>
      </c>
    </row>
    <row r="69" spans="1:10" ht="21.25" customHeight="1" x14ac:dyDescent="0.15">
      <c r="A69" s="10" t="s">
        <v>325</v>
      </c>
      <c r="B69" s="173" t="str" cm="1">
        <f t="array" ref="B69">VLOOKUP(A69,'The List'!B1:D671,3,FALSE)</f>
        <v>D</v>
      </c>
      <c r="C69" s="174" cm="1">
        <f t="array" ref="C69">IF(Settings!$E$15="POINTS",RANK(E69,E3:E204),H69)</f>
        <v>67</v>
      </c>
      <c r="D69" s="18" t="str" cm="1">
        <f t="array" ref="D69">VLOOKUP(A69,'The List'!B1:F671,5,FALSE)</f>
        <v>CBJ</v>
      </c>
      <c r="E69" s="55" cm="1">
        <f t="array" ref="E69">VLOOKUP(A69,'The List'!B1:I671,8,FALSE)</f>
        <v>209.77088302058536</v>
      </c>
      <c r="F69" s="55" cm="1">
        <f t="array" ref="F69">IF(Settings!$E$15="POINTS",E69-VLOOKUP(B$2,C1:E204,3,FALSE),J69)</f>
        <v>-96.882984324008703</v>
      </c>
      <c r="G69" s="55"/>
      <c r="H69" s="167" cm="1">
        <f t="array" ref="H69">RANK(I69,I3:I204)</f>
        <v>102</v>
      </c>
      <c r="I69" s="168" cm="1">
        <f t="array" ref="I69">VLOOKUP(A69,'Standard Deviations'!A1:C672,3,FALSE)</f>
        <v>-0.41143254407102597</v>
      </c>
      <c r="J69" s="168" cm="1">
        <f t="array" ref="J69">I69-VLOOKUP(B$2,H1:J204,2,FALSE)</f>
        <v>-4.5041877235583945</v>
      </c>
    </row>
    <row r="70" spans="1:10" ht="21.25" customHeight="1" x14ac:dyDescent="0.15">
      <c r="A70" s="10" t="s">
        <v>326</v>
      </c>
      <c r="B70" s="173" t="str" cm="1">
        <f t="array" ref="B70">VLOOKUP(A70,'The List'!B1:D671,3,FALSE)</f>
        <v>D</v>
      </c>
      <c r="C70" s="174" cm="1">
        <f t="array" ref="C70">IF(Settings!$E$15="POINTS",RANK(E70,E3:E204),H70)</f>
        <v>68</v>
      </c>
      <c r="D70" s="18" t="str" cm="1">
        <f t="array" ref="D70">VLOOKUP(A70,'The List'!B1:F671,5,FALSE)</f>
        <v>CHI</v>
      </c>
      <c r="E70" s="55" cm="1">
        <f t="array" ref="E70">VLOOKUP(A70,'The List'!B1:I671,8,FALSE)</f>
        <v>209.55266742852132</v>
      </c>
      <c r="F70" s="55" cm="1">
        <f t="array" ref="F70">IF(Settings!$E$15="POINTS",E70-VLOOKUP(B$2,C1:E204,3,FALSE),J70)</f>
        <v>-97.101199916072744</v>
      </c>
      <c r="G70" s="55"/>
      <c r="H70" s="167" cm="1">
        <f t="array" ref="H70">RANK(I70,I3:I204)</f>
        <v>120</v>
      </c>
      <c r="I70" s="168" cm="1">
        <f t="array" ref="I70">VLOOKUP(A70,'Standard Deviations'!A1:C672,3,FALSE)</f>
        <v>-1.424691544589173</v>
      </c>
      <c r="J70" s="168" cm="1">
        <f t="array" ref="J70">I70-VLOOKUP(B$2,H1:J204,2,FALSE)</f>
        <v>-5.5174467240765415</v>
      </c>
    </row>
    <row r="71" spans="1:10" ht="21.25" customHeight="1" x14ac:dyDescent="0.15">
      <c r="A71" s="10" t="s">
        <v>329</v>
      </c>
      <c r="B71" s="173" t="str" cm="1">
        <f t="array" ref="B71">VLOOKUP(A71,'The List'!B1:D671,3,FALSE)</f>
        <v>D</v>
      </c>
      <c r="C71" s="174" cm="1">
        <f t="array" ref="C71">IF(Settings!$E$15="POINTS",RANK(E71,E3:E204),H71)</f>
        <v>69</v>
      </c>
      <c r="D71" s="18" t="str" cm="1">
        <f t="array" ref="D71">VLOOKUP(A71,'The List'!B1:F671,5,FALSE)</f>
        <v>CAR</v>
      </c>
      <c r="E71" s="55" cm="1">
        <f t="array" ref="E71">VLOOKUP(A71,'The List'!B1:I671,8,FALSE)</f>
        <v>208.35539778682423</v>
      </c>
      <c r="F71" s="55" cm="1">
        <f t="array" ref="F71">IF(Settings!$E$15="POINTS",E71-VLOOKUP(B$2,C1:E204,3,FALSE),J71)</f>
        <v>-98.298469557769835</v>
      </c>
      <c r="G71" s="55"/>
      <c r="H71" s="167" cm="1">
        <f t="array" ref="H71">RANK(I71,I3:I204)</f>
        <v>35</v>
      </c>
      <c r="I71" s="168" cm="1">
        <f t="array" ref="I71">VLOOKUP(A71,'Standard Deviations'!A1:C672,3,FALSE)</f>
        <v>2.8255359505237925</v>
      </c>
      <c r="J71" s="168" cm="1">
        <f t="array" ref="J71">I71-VLOOKUP(B$2,H1:J204,2,FALSE)</f>
        <v>-1.267219228963576</v>
      </c>
    </row>
    <row r="72" spans="1:10" ht="21.25" customHeight="1" x14ac:dyDescent="0.15">
      <c r="A72" s="10" t="s">
        <v>331</v>
      </c>
      <c r="B72" s="173" t="str" cm="1">
        <f t="array" ref="B72">VLOOKUP(A72,'The List'!B1:D671,3,FALSE)</f>
        <v>D</v>
      </c>
      <c r="C72" s="174" cm="1">
        <f t="array" ref="C72">IF(Settings!$E$15="POINTS",RANK(E72,E3:E204),H72)</f>
        <v>70</v>
      </c>
      <c r="D72" s="18" t="str" cm="1">
        <f t="array" ref="D72">VLOOKUP(A72,'The List'!B1:F671,5,FALSE)</f>
        <v>DAL</v>
      </c>
      <c r="E72" s="55" cm="1">
        <f t="array" ref="E72">VLOOKUP(A72,'The List'!B1:I671,8,FALSE)</f>
        <v>207.59243281584691</v>
      </c>
      <c r="F72" s="55" cm="1">
        <f t="array" ref="F72">IF(Settings!$E$15="POINTS",E72-VLOOKUP(B$2,C1:E204,3,FALSE),J72)</f>
        <v>-99.061434528747156</v>
      </c>
      <c r="G72" s="55"/>
      <c r="H72" s="167" cm="1">
        <f t="array" ref="H72">RANK(I72,I3:I204)</f>
        <v>64</v>
      </c>
      <c r="I72" s="168" cm="1">
        <f t="array" ref="I72">VLOOKUP(A72,'Standard Deviations'!A1:C672,3,FALSE)</f>
        <v>1.0738088874285912</v>
      </c>
      <c r="J72" s="168" cm="1">
        <f t="array" ref="J72">I72-VLOOKUP(B$2,H1:J204,2,FALSE)</f>
        <v>-3.0189462920587773</v>
      </c>
    </row>
    <row r="73" spans="1:10" ht="21.25" customHeight="1" x14ac:dyDescent="0.15">
      <c r="A73" s="10" t="s">
        <v>337</v>
      </c>
      <c r="B73" s="173" t="str" cm="1">
        <f t="array" ref="B73">VLOOKUP(A73,'The List'!B1:D671,3,FALSE)</f>
        <v>D</v>
      </c>
      <c r="C73" s="174" cm="1">
        <f t="array" ref="C73">IF(Settings!$E$15="POINTS",RANK(E73,E3:E204),H73)</f>
        <v>71</v>
      </c>
      <c r="D73" s="18" t="str" cm="1">
        <f t="array" ref="D73">VLOOKUP(A73,'The List'!B1:F671,5,FALSE)</f>
        <v>S.J</v>
      </c>
      <c r="E73" s="55" cm="1">
        <f t="array" ref="E73">VLOOKUP(A73,'The List'!B1:I671,8,FALSE)</f>
        <v>205.61894054230964</v>
      </c>
      <c r="F73" s="55" cm="1">
        <f t="array" ref="F73">IF(Settings!$E$15="POINTS",E73-VLOOKUP(B$2,C1:E204,3,FALSE),J73)</f>
        <v>-101.03492680228442</v>
      </c>
      <c r="G73" s="55"/>
      <c r="H73" s="167" cm="1">
        <f t="array" ref="H73">RANK(I73,I3:I204)</f>
        <v>100</v>
      </c>
      <c r="I73" s="168" cm="1">
        <f t="array" ref="I73">VLOOKUP(A73,'Standard Deviations'!A1:C672,3,FALSE)</f>
        <v>-0.30358004572998254</v>
      </c>
      <c r="J73" s="168" cm="1">
        <f t="array" ref="J73">I73-VLOOKUP(B$2,H1:J204,2,FALSE)</f>
        <v>-4.3963352252173511</v>
      </c>
    </row>
    <row r="74" spans="1:10" ht="21.25" customHeight="1" x14ac:dyDescent="0.15">
      <c r="A74" s="10" t="s">
        <v>339</v>
      </c>
      <c r="B74" s="173" t="str" cm="1">
        <f t="array" ref="B74">VLOOKUP(A74,'The List'!B1:D671,3,FALSE)</f>
        <v>D</v>
      </c>
      <c r="C74" s="174" cm="1">
        <f t="array" ref="C74">IF(Settings!$E$15="POINTS",RANK(E74,E3:E204),H74)</f>
        <v>72</v>
      </c>
      <c r="D74" s="18" t="str" cm="1">
        <f t="array" ref="D74">VLOOKUP(A74,'The List'!B1:F671,5,FALSE)</f>
        <v>CAR</v>
      </c>
      <c r="E74" s="55" cm="1">
        <f t="array" ref="E74">VLOOKUP(A74,'The List'!B1:I671,8,FALSE)</f>
        <v>203.29074957025395</v>
      </c>
      <c r="F74" s="55" cm="1">
        <f t="array" ref="F74">IF(Settings!$E$15="POINTS",E74-VLOOKUP(B$2,C1:E204,3,FALSE),J74)</f>
        <v>-103.36311777434011</v>
      </c>
      <c r="G74" s="55"/>
      <c r="H74" s="167" cm="1">
        <f t="array" ref="H74">RANK(I74,I3:I204)</f>
        <v>97</v>
      </c>
      <c r="I74" s="168" cm="1">
        <f t="array" ref="I74">VLOOKUP(A74,'Standard Deviations'!A1:C672,3,FALSE)</f>
        <v>-0.26582422089484181</v>
      </c>
      <c r="J74" s="168" cm="1">
        <f t="array" ref="J74">I74-VLOOKUP(B$2,H1:J204,2,FALSE)</f>
        <v>-4.3585794003822098</v>
      </c>
    </row>
    <row r="75" spans="1:10" ht="21.25" customHeight="1" x14ac:dyDescent="0.15">
      <c r="A75" s="10" t="s">
        <v>343</v>
      </c>
      <c r="B75" s="173" t="str" cm="1">
        <f t="array" ref="B75">VLOOKUP(A75,'The List'!B1:D671,3,FALSE)</f>
        <v>D</v>
      </c>
      <c r="C75" s="174" cm="1">
        <f t="array" ref="C75">IF(Settings!$E$15="POINTS",RANK(E75,E3:E204),H75)</f>
        <v>73</v>
      </c>
      <c r="D75" s="18" t="str" cm="1">
        <f t="array" ref="D75">VLOOKUP(A75,'The List'!B1:F671,5,FALSE)</f>
        <v>S.J</v>
      </c>
      <c r="E75" s="55" cm="1">
        <f t="array" ref="E75">VLOOKUP(A75,'The List'!B1:I671,8,FALSE)</f>
        <v>201.88159090798899</v>
      </c>
      <c r="F75" s="55" cm="1">
        <f t="array" ref="F75">IF(Settings!$E$15="POINTS",E75-VLOOKUP(B$2,C1:E204,3,FALSE),J75)</f>
        <v>-104.77227643660507</v>
      </c>
      <c r="G75" s="55"/>
      <c r="H75" s="167" cm="1">
        <f t="array" ref="H75">RANK(I75,I3:I204)</f>
        <v>111</v>
      </c>
      <c r="I75" s="168" cm="1">
        <f t="array" ref="I75">VLOOKUP(A75,'Standard Deviations'!A1:C672,3,FALSE)</f>
        <v>-1.0271691094477446</v>
      </c>
      <c r="J75" s="168" cm="1">
        <f t="array" ref="J75">I75-VLOOKUP(B$2,H1:J204,2,FALSE)</f>
        <v>-5.1199242889351133</v>
      </c>
    </row>
    <row r="76" spans="1:10" ht="21.25" customHeight="1" x14ac:dyDescent="0.15">
      <c r="A76" s="10" t="s">
        <v>344</v>
      </c>
      <c r="B76" s="173" t="str" cm="1">
        <f t="array" ref="B76">VLOOKUP(A76,'The List'!B1:D671,3,FALSE)</f>
        <v>D</v>
      </c>
      <c r="C76" s="174" cm="1">
        <f t="array" ref="C76">IF(Settings!$E$15="POINTS",RANK(E76,E3:E204),H76)</f>
        <v>74</v>
      </c>
      <c r="D76" s="18" t="str" cm="1">
        <f t="array" ref="D76">VLOOKUP(A76,'The List'!B1:F671,5,FALSE)</f>
        <v>NYR</v>
      </c>
      <c r="E76" s="55" cm="1">
        <f t="array" ref="E76">VLOOKUP(A76,'The List'!B1:I671,8,FALSE)</f>
        <v>201.70043235956507</v>
      </c>
      <c r="F76" s="55" cm="1">
        <f t="array" ref="F76">IF(Settings!$E$15="POINTS",E76-VLOOKUP(B$2,C1:E204,3,FALSE),J76)</f>
        <v>-104.95343498502899</v>
      </c>
      <c r="G76" s="55"/>
      <c r="H76" s="167" cm="1">
        <f t="array" ref="H76">RANK(I76,I3:I204)</f>
        <v>89</v>
      </c>
      <c r="I76" s="168" cm="1">
        <f t="array" ref="I76">VLOOKUP(A76,'Standard Deviations'!A1:C672,3,FALSE)</f>
        <v>-3.8651555675218441E-2</v>
      </c>
      <c r="J76" s="168" cm="1">
        <f t="array" ref="J76">I76-VLOOKUP(B$2,H1:J204,2,FALSE)</f>
        <v>-4.1314067351625869</v>
      </c>
    </row>
    <row r="77" spans="1:10" ht="21.25" customHeight="1" x14ac:dyDescent="0.15">
      <c r="A77" s="10" t="s">
        <v>346</v>
      </c>
      <c r="B77" s="173" t="str" cm="1">
        <f t="array" ref="B77">VLOOKUP(A77,'The List'!B1:D671,3,FALSE)</f>
        <v>D</v>
      </c>
      <c r="C77" s="174" cm="1">
        <f t="array" ref="C77">IF(Settings!$E$15="POINTS",RANK(E77,E3:E204),H77)</f>
        <v>75</v>
      </c>
      <c r="D77" s="18" t="str" cm="1">
        <f t="array" ref="D77">VLOOKUP(A77,'The List'!B1:F671,5,FALSE)</f>
        <v>NYR</v>
      </c>
      <c r="E77" s="55" cm="1">
        <f t="array" ref="E77">VLOOKUP(A77,'The List'!B1:I671,8,FALSE)</f>
        <v>200.51633252408757</v>
      </c>
      <c r="F77" s="55" cm="1">
        <f t="array" ref="F77">IF(Settings!$E$15="POINTS",E77-VLOOKUP(B$2,C1:E204,3,FALSE),J77)</f>
        <v>-106.13753482050649</v>
      </c>
      <c r="G77" s="55"/>
      <c r="H77" s="167" cm="1">
        <f t="array" ref="H77">RANK(I77,I3:I204)</f>
        <v>88</v>
      </c>
      <c r="I77" s="168" cm="1">
        <f t="array" ref="I77">VLOOKUP(A77,'Standard Deviations'!A1:C672,3,FALSE)</f>
        <v>-2.6383493994686313E-2</v>
      </c>
      <c r="J77" s="168" cm="1">
        <f t="array" ref="J77">I77-VLOOKUP(B$2,H1:J204,2,FALSE)</f>
        <v>-4.1191386734820545</v>
      </c>
    </row>
    <row r="78" spans="1:10" ht="21.25" customHeight="1" x14ac:dyDescent="0.15">
      <c r="A78" s="10" t="s">
        <v>348</v>
      </c>
      <c r="B78" s="173" t="str" cm="1">
        <f t="array" ref="B78">VLOOKUP(A78,'The List'!B1:D671,3,FALSE)</f>
        <v>D</v>
      </c>
      <c r="C78" s="174" cm="1">
        <f t="array" ref="C78">IF(Settings!$E$15="POINTS",RANK(E78,E3:E204),H78)</f>
        <v>76</v>
      </c>
      <c r="D78" s="18" t="str" cm="1">
        <f t="array" ref="D78">VLOOKUP(A78,'The List'!B1:F671,5,FALSE)</f>
        <v>COL</v>
      </c>
      <c r="E78" s="55" cm="1">
        <f t="array" ref="E78">VLOOKUP(A78,'The List'!B1:I671,8,FALSE)</f>
        <v>200.30386929659952</v>
      </c>
      <c r="F78" s="55" cm="1">
        <f t="array" ref="F78">IF(Settings!$E$15="POINTS",E78-VLOOKUP(B$2,C1:E204,3,FALSE),J78)</f>
        <v>-106.34999804799455</v>
      </c>
      <c r="G78" s="55"/>
      <c r="H78" s="167" cm="1">
        <f t="array" ref="H78">RANK(I78,I3:I204)</f>
        <v>69</v>
      </c>
      <c r="I78" s="168" cm="1">
        <f t="array" ref="I78">VLOOKUP(A78,'Standard Deviations'!A1:C672,3,FALSE)</f>
        <v>0.83805153389996379</v>
      </c>
      <c r="J78" s="168" cm="1">
        <f t="array" ref="J78">I78-VLOOKUP(B$2,H1:J204,2,FALSE)</f>
        <v>-3.2547036455874045</v>
      </c>
    </row>
    <row r="79" spans="1:10" ht="21.25" customHeight="1" x14ac:dyDescent="0.15">
      <c r="A79" s="10" t="s">
        <v>349</v>
      </c>
      <c r="B79" s="173" t="str" cm="1">
        <f t="array" ref="B79">VLOOKUP(A79,'The List'!B1:D671,3,FALSE)</f>
        <v>D</v>
      </c>
      <c r="C79" s="174" cm="1">
        <f t="array" ref="C79">IF(Settings!$E$15="POINTS",RANK(E79,E3:E204),H79)</f>
        <v>77</v>
      </c>
      <c r="D79" s="18" t="str" cm="1">
        <f t="array" ref="D79">VLOOKUP(A79,'The List'!B1:F671,5,FALSE)</f>
        <v>WPG</v>
      </c>
      <c r="E79" s="55" cm="1">
        <f t="array" ref="E79">VLOOKUP(A79,'The List'!B1:I671,8,FALSE)</f>
        <v>200.08070629182069</v>
      </c>
      <c r="F79" s="55" cm="1">
        <f t="array" ref="F79">IF(Settings!$E$15="POINTS",E79-VLOOKUP(B$2,C1:E204,3,FALSE),J79)</f>
        <v>-106.57316105277337</v>
      </c>
      <c r="G79" s="55"/>
      <c r="H79" s="167" cm="1">
        <f t="array" ref="H79">RANK(I79,I3:I204)</f>
        <v>73</v>
      </c>
      <c r="I79" s="168" cm="1">
        <f t="array" ref="I79">VLOOKUP(A79,'Standard Deviations'!A1:C672,3,FALSE)</f>
        <v>0.6254311902712405</v>
      </c>
      <c r="J79" s="168" cm="1">
        <f t="array" ref="J79">I79-VLOOKUP(B$2,H1:J204,2,FALSE)</f>
        <v>-3.4673239892161281</v>
      </c>
    </row>
    <row r="80" spans="1:10" ht="21.25" customHeight="1" x14ac:dyDescent="0.15">
      <c r="A80" s="10" t="s">
        <v>351</v>
      </c>
      <c r="B80" s="173" t="str" cm="1">
        <f t="array" ref="B80">VLOOKUP(A80,'The List'!B1:D671,3,FALSE)</f>
        <v>D</v>
      </c>
      <c r="C80" s="174" cm="1">
        <f t="array" ref="C80">IF(Settings!$E$15="POINTS",RANK(E80,E3:E204),H80)</f>
        <v>78</v>
      </c>
      <c r="D80" s="18" t="str" cm="1">
        <f t="array" ref="D80">VLOOKUP(A80,'The List'!B1:F671,5,FALSE)</f>
        <v>TOR</v>
      </c>
      <c r="E80" s="55" cm="1">
        <f t="array" ref="E80">VLOOKUP(A80,'The List'!B1:I671,8,FALSE)</f>
        <v>195.31691349546242</v>
      </c>
      <c r="F80" s="55" cm="1">
        <f t="array" ref="F80">IF(Settings!$E$15="POINTS",E80-VLOOKUP(B$2,C1:E204,3,FALSE),J80)</f>
        <v>-111.33695384913165</v>
      </c>
      <c r="G80" s="55"/>
      <c r="H80" s="167" cm="1">
        <f t="array" ref="H80">RANK(I80,I3:I204)</f>
        <v>51</v>
      </c>
      <c r="I80" s="168" cm="1">
        <f t="array" ref="I80">VLOOKUP(A80,'Standard Deviations'!A1:C672,3,FALSE)</f>
        <v>1.5187039868158583</v>
      </c>
      <c r="J80" s="168" cm="1">
        <f t="array" ref="J80">I80-VLOOKUP(B$2,H1:J204,2,FALSE)</f>
        <v>-2.5740511926715102</v>
      </c>
    </row>
    <row r="81" spans="1:10" ht="21.25" customHeight="1" x14ac:dyDescent="0.15">
      <c r="A81" s="10" t="s">
        <v>352</v>
      </c>
      <c r="B81" s="173" t="str" cm="1">
        <f t="array" ref="B81">VLOOKUP(A81,'The List'!B1:D671,3,FALSE)</f>
        <v>D</v>
      </c>
      <c r="C81" s="174" cm="1">
        <f t="array" ref="C81">IF(Settings!$E$15="POINTS",RANK(E81,E3:E204),H81)</f>
        <v>79</v>
      </c>
      <c r="D81" s="18" t="str" cm="1">
        <f t="array" ref="D81">VLOOKUP(A81,'The List'!B1:F671,5,FALSE)</f>
        <v>BUF</v>
      </c>
      <c r="E81" s="55" cm="1">
        <f t="array" ref="E81">VLOOKUP(A81,'The List'!B1:I671,8,FALSE)</f>
        <v>195.28514879752919</v>
      </c>
      <c r="F81" s="55" cm="1">
        <f t="array" ref="F81">IF(Settings!$E$15="POINTS",E81-VLOOKUP(B$2,C1:E204,3,FALSE),J81)</f>
        <v>-111.36871854706487</v>
      </c>
      <c r="G81" s="55"/>
      <c r="H81" s="167" cm="1">
        <f t="array" ref="H81">RANK(I81,I3:I204)</f>
        <v>91</v>
      </c>
      <c r="I81" s="168" cm="1">
        <f t="array" ref="I81">VLOOKUP(A81,'Standard Deviations'!A1:C672,3,FALSE)</f>
        <v>-4.9708812154178716E-2</v>
      </c>
      <c r="J81" s="168" cm="1">
        <f t="array" ref="J81">I81-VLOOKUP(B$2,H1:J204,2,FALSE)</f>
        <v>-4.1424639916415469</v>
      </c>
    </row>
    <row r="82" spans="1:10" ht="21.25" customHeight="1" x14ac:dyDescent="0.15">
      <c r="A82" s="10" t="s">
        <v>353</v>
      </c>
      <c r="B82" s="173" t="str" cm="1">
        <f t="array" ref="B82">VLOOKUP(A82,'The List'!B1:D671,3,FALSE)</f>
        <v>D</v>
      </c>
      <c r="C82" s="174" cm="1">
        <f t="array" ref="C82">IF(Settings!$E$15="POINTS",RANK(E82,E3:E204),H82)</f>
        <v>80</v>
      </c>
      <c r="D82" s="18" t="str" cm="1">
        <f t="array" ref="D82">VLOOKUP(A82,'The List'!B1:F671,5,FALSE)</f>
        <v>WPG</v>
      </c>
      <c r="E82" s="55" cm="1">
        <f t="array" ref="E82">VLOOKUP(A82,'The List'!B1:I671,8,FALSE)</f>
        <v>194.6484059800932</v>
      </c>
      <c r="F82" s="55" cm="1">
        <f t="array" ref="F82">IF(Settings!$E$15="POINTS",E82-VLOOKUP(B$2,C1:E204,3,FALSE),J82)</f>
        <v>-112.00546136450086</v>
      </c>
      <c r="G82" s="55"/>
      <c r="H82" s="167" cm="1">
        <f t="array" ref="H82">RANK(I82,I3:I204)</f>
        <v>95</v>
      </c>
      <c r="I82" s="168" cm="1">
        <f t="array" ref="I82">VLOOKUP(A82,'Standard Deviations'!A1:C672,3,FALSE)</f>
        <v>-0.25354125258463567</v>
      </c>
      <c r="J82" s="168" cm="1">
        <f t="array" ref="J82">I82-VLOOKUP(B$2,H1:J204,2,FALSE)</f>
        <v>-4.3462964320720037</v>
      </c>
    </row>
    <row r="83" spans="1:10" ht="21.25" customHeight="1" x14ac:dyDescent="0.15">
      <c r="A83" s="10" t="s">
        <v>354</v>
      </c>
      <c r="B83" s="173" t="str" cm="1">
        <f t="array" ref="B83">VLOOKUP(A83,'The List'!B1:D671,3,FALSE)</f>
        <v>D</v>
      </c>
      <c r="C83" s="174" cm="1">
        <f t="array" ref="C83">IF(Settings!$E$15="POINTS",RANK(E83,E3:E204),H83)</f>
        <v>81</v>
      </c>
      <c r="D83" s="18" t="str" cm="1">
        <f t="array" ref="D83">VLOOKUP(A83,'The List'!B1:F671,5,FALSE)</f>
        <v>WSH</v>
      </c>
      <c r="E83" s="55" cm="1">
        <f t="array" ref="E83">VLOOKUP(A83,'The List'!B1:I671,8,FALSE)</f>
        <v>194.63923210887128</v>
      </c>
      <c r="F83" s="55" cm="1">
        <f t="array" ref="F83">IF(Settings!$E$15="POINTS",E83-VLOOKUP(B$2,C1:E204,3,FALSE),J83)</f>
        <v>-112.01463523572278</v>
      </c>
      <c r="G83" s="55"/>
      <c r="H83" s="167" cm="1">
        <f t="array" ref="H83">RANK(I83,I3:I204)</f>
        <v>86</v>
      </c>
      <c r="I83" s="168" cm="1">
        <f t="array" ref="I83">VLOOKUP(A83,'Standard Deviations'!A1:C672,3,FALSE)</f>
        <v>0.12803516352293742</v>
      </c>
      <c r="J83" s="168" cm="1">
        <f t="array" ref="J83">I83-VLOOKUP(B$2,H1:J204,2,FALSE)</f>
        <v>-3.9647200159644309</v>
      </c>
    </row>
    <row r="84" spans="1:10" ht="21.25" customHeight="1" x14ac:dyDescent="0.15">
      <c r="A84" s="10" t="s">
        <v>355</v>
      </c>
      <c r="B84" s="173" t="str" cm="1">
        <f t="array" ref="B84">VLOOKUP(A84,'The List'!B1:D671,3,FALSE)</f>
        <v>D</v>
      </c>
      <c r="C84" s="174" cm="1">
        <f t="array" ref="C84">IF(Settings!$E$15="POINTS",RANK(E84,E3:E204),H84)</f>
        <v>82</v>
      </c>
      <c r="D84" s="18" t="str" cm="1">
        <f t="array" ref="D84">VLOOKUP(A84,'The List'!B1:F671,5,FALSE)</f>
        <v>FLA</v>
      </c>
      <c r="E84" s="55" cm="1">
        <f t="array" ref="E84">VLOOKUP(A84,'The List'!B1:I671,8,FALSE)</f>
        <v>194.48676751140962</v>
      </c>
      <c r="F84" s="55" cm="1">
        <f t="array" ref="F84">IF(Settings!$E$15="POINTS",E84-VLOOKUP(B$2,C1:E204,3,FALSE),J84)</f>
        <v>-112.16709983318444</v>
      </c>
      <c r="G84" s="55"/>
      <c r="H84" s="167" cm="1">
        <f t="array" ref="H84">RANK(I84,I3:I204)</f>
        <v>48</v>
      </c>
      <c r="I84" s="168" cm="1">
        <f t="array" ref="I84">VLOOKUP(A84,'Standard Deviations'!A1:C672,3,FALSE)</f>
        <v>1.8807862469308883</v>
      </c>
      <c r="J84" s="168" cm="1">
        <f t="array" ref="J84">I84-VLOOKUP(B$2,H1:J204,2,FALSE)</f>
        <v>-2.2119689325564802</v>
      </c>
    </row>
    <row r="85" spans="1:10" ht="21.25" customHeight="1" x14ac:dyDescent="0.15">
      <c r="A85" s="10" t="s">
        <v>358</v>
      </c>
      <c r="B85" s="173" t="str" cm="1">
        <f t="array" ref="B85">VLOOKUP(A85,'The List'!B1:D671,3,FALSE)</f>
        <v>D</v>
      </c>
      <c r="C85" s="174" cm="1">
        <f t="array" ref="C85">IF(Settings!$E$15="POINTS",RANK(E85,E3:E204),H85)</f>
        <v>83</v>
      </c>
      <c r="D85" s="18" t="str" cm="1">
        <f t="array" ref="D85">VLOOKUP(A85,'The List'!B1:F671,5,FALSE)</f>
        <v>COL</v>
      </c>
      <c r="E85" s="55" cm="1">
        <f t="array" ref="E85">VLOOKUP(A85,'The List'!B1:I671,8,FALSE)</f>
        <v>193.18634205698606</v>
      </c>
      <c r="F85" s="55" cm="1">
        <f t="array" ref="F85">IF(Settings!$E$15="POINTS",E85-VLOOKUP(B$2,C1:E204,3,FALSE),J85)</f>
        <v>-113.467525287608</v>
      </c>
      <c r="G85" s="55"/>
      <c r="H85" s="167" cm="1">
        <f t="array" ref="H85">RANK(I85,I3:I204)</f>
        <v>70</v>
      </c>
      <c r="I85" s="168" cm="1">
        <f t="array" ref="I85">VLOOKUP(A85,'Standard Deviations'!A1:C672,3,FALSE)</f>
        <v>0.80025197559024053</v>
      </c>
      <c r="J85" s="168" cm="1">
        <f t="array" ref="J85">I85-VLOOKUP(B$2,H1:J204,2,FALSE)</f>
        <v>-3.292503203897128</v>
      </c>
    </row>
    <row r="86" spans="1:10" ht="21.25" customHeight="1" x14ac:dyDescent="0.15">
      <c r="A86" s="10" t="s">
        <v>360</v>
      </c>
      <c r="B86" s="173" t="str" cm="1">
        <f t="array" ref="B86">VLOOKUP(A86,'The List'!B1:D671,3,FALSE)</f>
        <v>D</v>
      </c>
      <c r="C86" s="174" cm="1">
        <f t="array" ref="C86">IF(Settings!$E$15="POINTS",RANK(E86,E3:E204),H86)</f>
        <v>84</v>
      </c>
      <c r="D86" s="18" t="str" cm="1">
        <f t="array" ref="D86">VLOOKUP(A86,'The List'!B1:F671,5,FALSE)</f>
        <v>WSH</v>
      </c>
      <c r="E86" s="55" cm="1">
        <f t="array" ref="E86">VLOOKUP(A86,'The List'!B1:I671,8,FALSE)</f>
        <v>191.48861055357702</v>
      </c>
      <c r="F86" s="55" cm="1">
        <f t="array" ref="F86">IF(Settings!$E$15="POINTS",E86-VLOOKUP(B$2,C1:E204,3,FALSE),J86)</f>
        <v>-115.16525679101704</v>
      </c>
      <c r="G86" s="55"/>
      <c r="H86" s="167" cm="1">
        <f t="array" ref="H86">RANK(I86,I3:I204)</f>
        <v>92</v>
      </c>
      <c r="I86" s="168" cm="1">
        <f t="array" ref="I86">VLOOKUP(A86,'Standard Deviations'!A1:C672,3,FALSE)</f>
        <v>-0.16829324905157012</v>
      </c>
      <c r="J86" s="168" cm="1">
        <f t="array" ref="J86">I86-VLOOKUP(B$2,H1:J204,2,FALSE)</f>
        <v>-4.2610484285389383</v>
      </c>
    </row>
    <row r="87" spans="1:10" ht="21.25" customHeight="1" x14ac:dyDescent="0.15">
      <c r="A87" s="10" t="s">
        <v>361</v>
      </c>
      <c r="B87" s="173" t="str" cm="1">
        <f t="array" ref="B87">VLOOKUP(A87,'The List'!B1:D671,3,FALSE)</f>
        <v>D</v>
      </c>
      <c r="C87" s="174" cm="1">
        <f t="array" ref="C87">IF(Settings!$E$15="POINTS",RANK(E87,E3:E204),H87)</f>
        <v>85</v>
      </c>
      <c r="D87" s="18" t="str" cm="1">
        <f t="array" ref="D87">VLOOKUP(A87,'The List'!B1:F671,5,FALSE)</f>
        <v>OTT</v>
      </c>
      <c r="E87" s="55" cm="1">
        <f t="array" ref="E87">VLOOKUP(A87,'The List'!B1:I671,8,FALSE)</f>
        <v>190.8408081594992</v>
      </c>
      <c r="F87" s="55" cm="1">
        <f t="array" ref="F87">IF(Settings!$E$15="POINTS",E87-VLOOKUP(B$2,C1:E204,3,FALSE),J87)</f>
        <v>-115.81305918509486</v>
      </c>
      <c r="G87" s="55"/>
      <c r="H87" s="167" cm="1">
        <f t="array" ref="H87">RANK(I87,I3:I204)</f>
        <v>104</v>
      </c>
      <c r="I87" s="168" cm="1">
        <f t="array" ref="I87">VLOOKUP(A87,'Standard Deviations'!A1:C672,3,FALSE)</f>
        <v>-0.59130079674554248</v>
      </c>
      <c r="J87" s="168" cm="1">
        <f t="array" ref="J87">I87-VLOOKUP(B$2,H1:J204,2,FALSE)</f>
        <v>-4.6840559762329113</v>
      </c>
    </row>
    <row r="88" spans="1:10" ht="21.25" customHeight="1" x14ac:dyDescent="0.15">
      <c r="A88" s="10" t="s">
        <v>362</v>
      </c>
      <c r="B88" s="173" t="str" cm="1">
        <f t="array" ref="B88">VLOOKUP(A88,'The List'!B1:D671,3,FALSE)</f>
        <v>D</v>
      </c>
      <c r="C88" s="174" cm="1">
        <f t="array" ref="C88">IF(Settings!$E$15="POINTS",RANK(E88,E3:E204),H88)</f>
        <v>86</v>
      </c>
      <c r="D88" s="18" t="str" cm="1">
        <f t="array" ref="D88">VLOOKUP(A88,'The List'!B1:F671,5,FALSE)</f>
        <v>COL</v>
      </c>
      <c r="E88" s="55" cm="1">
        <f t="array" ref="E88">VLOOKUP(A88,'The List'!B1:I671,8,FALSE)</f>
        <v>190.44581648431992</v>
      </c>
      <c r="F88" s="55" cm="1">
        <f t="array" ref="F88">IF(Settings!$E$15="POINTS",E88-VLOOKUP(B$2,C1:E204,3,FALSE),J88)</f>
        <v>-116.20805086027414</v>
      </c>
      <c r="G88" s="55"/>
      <c r="H88" s="167" cm="1">
        <f t="array" ref="H88">RANK(I88,I3:I204)</f>
        <v>29</v>
      </c>
      <c r="I88" s="168" cm="1">
        <f t="array" ref="I88">VLOOKUP(A88,'Standard Deviations'!A1:C672,3,FALSE)</f>
        <v>3.7000098232622225</v>
      </c>
      <c r="J88" s="168" cm="1">
        <f t="array" ref="J88">I88-VLOOKUP(B$2,H1:J204,2,FALSE)</f>
        <v>-0.39274535622514595</v>
      </c>
    </row>
    <row r="89" spans="1:10" ht="21.25" customHeight="1" x14ac:dyDescent="0.15">
      <c r="A89" s="10" t="s">
        <v>364</v>
      </c>
      <c r="B89" s="173" t="str" cm="1">
        <f t="array" ref="B89">VLOOKUP(A89,'The List'!B1:D671,3,FALSE)</f>
        <v>D</v>
      </c>
      <c r="C89" s="174" cm="1">
        <f t="array" ref="C89">IF(Settings!$E$15="POINTS",RANK(E89,E3:E204),H89)</f>
        <v>87</v>
      </c>
      <c r="D89" s="18" t="str" cm="1">
        <f t="array" ref="D89">VLOOKUP(A89,'The List'!B1:F671,5,FALSE)</f>
        <v>CBJ</v>
      </c>
      <c r="E89" s="55" cm="1">
        <f t="array" ref="E89">VLOOKUP(A89,'The List'!B1:I671,8,FALSE)</f>
        <v>188.96714892846592</v>
      </c>
      <c r="F89" s="55" cm="1">
        <f t="array" ref="F89">IF(Settings!$E$15="POINTS",E89-VLOOKUP(B$2,C1:E204,3,FALSE),J89)</f>
        <v>-117.68671841612814</v>
      </c>
      <c r="G89" s="55"/>
      <c r="H89" s="167" cm="1">
        <f t="array" ref="H89">RANK(I89,I3:I204)</f>
        <v>67</v>
      </c>
      <c r="I89" s="168" cm="1">
        <f t="array" ref="I89">VLOOKUP(A89,'Standard Deviations'!A1:C672,3,FALSE)</f>
        <v>0.89025317303236584</v>
      </c>
      <c r="J89" s="168" cm="1">
        <f t="array" ref="J89">I89-VLOOKUP(B$2,H1:J204,2,FALSE)</f>
        <v>-3.2025020064550027</v>
      </c>
    </row>
    <row r="90" spans="1:10" ht="21.25" customHeight="1" x14ac:dyDescent="0.15">
      <c r="A90" s="10" t="s">
        <v>368</v>
      </c>
      <c r="B90" s="173" t="str" cm="1">
        <f t="array" ref="B90">VLOOKUP(A90,'The List'!B1:D671,3,FALSE)</f>
        <v>D</v>
      </c>
      <c r="C90" s="174" cm="1">
        <f t="array" ref="C90">IF(Settings!$E$15="POINTS",RANK(E90,E3:E204),H90)</f>
        <v>88</v>
      </c>
      <c r="D90" s="18" t="str" cm="1">
        <f t="array" ref="D90">VLOOKUP(A90,'The List'!B1:F671,5,FALSE)</f>
        <v>VGK</v>
      </c>
      <c r="E90" s="55" cm="1">
        <f t="array" ref="E90">VLOOKUP(A90,'The List'!B1:I671,8,FALSE)</f>
        <v>187.23646222237869</v>
      </c>
      <c r="F90" s="55" cm="1">
        <f t="array" ref="F90">IF(Settings!$E$15="POINTS",E90-VLOOKUP(B$2,C1:E204,3,FALSE),J90)</f>
        <v>-119.41740512221537</v>
      </c>
      <c r="G90" s="55"/>
      <c r="H90" s="167" cm="1">
        <f t="array" ref="H90">RANK(I90,I3:I204)</f>
        <v>65</v>
      </c>
      <c r="I90" s="168" cm="1">
        <f t="array" ref="I90">VLOOKUP(A90,'Standard Deviations'!A1:C672,3,FALSE)</f>
        <v>0.94885667280666075</v>
      </c>
      <c r="J90" s="168" cm="1">
        <f t="array" ref="J90">I90-VLOOKUP(B$2,H1:J204,2,FALSE)</f>
        <v>-3.1438985066807077</v>
      </c>
    </row>
    <row r="91" spans="1:10" ht="21.25" customHeight="1" x14ac:dyDescent="0.15">
      <c r="A91" s="10" t="s">
        <v>370</v>
      </c>
      <c r="B91" s="173" t="str" cm="1">
        <f t="array" ref="B91">VLOOKUP(A91,'The List'!B1:D671,3,FALSE)</f>
        <v>D</v>
      </c>
      <c r="C91" s="174" cm="1">
        <f t="array" ref="C91">IF(Settings!$E$15="POINTS",RANK(E91,E3:E204),H91)</f>
        <v>89</v>
      </c>
      <c r="D91" s="18" t="str" cm="1">
        <f t="array" ref="D91">VLOOKUP(A91,'The List'!B1:F671,5,FALSE)</f>
        <v>CHI</v>
      </c>
      <c r="E91" s="55" cm="1">
        <f t="array" ref="E91">VLOOKUP(A91,'The List'!B1:I671,8,FALSE)</f>
        <v>186.18240575199161</v>
      </c>
      <c r="F91" s="55" cm="1">
        <f t="array" ref="F91">IF(Settings!$E$15="POINTS",E91-VLOOKUP(B$2,C1:E204,3,FALSE),J91)</f>
        <v>-120.47146159260245</v>
      </c>
      <c r="G91" s="55"/>
      <c r="H91" s="167" cm="1">
        <f t="array" ref="H91">RANK(I91,I3:I204)</f>
        <v>180</v>
      </c>
      <c r="I91" s="168" cm="1">
        <f t="array" ref="I91">VLOOKUP(A91,'Standard Deviations'!A1:C672,3,FALSE)</f>
        <v>-3.8711760178168415</v>
      </c>
      <c r="J91" s="168" cm="1">
        <f t="array" ref="J91">I91-VLOOKUP(B$2,H1:J204,2,FALSE)</f>
        <v>-7.96393119730421</v>
      </c>
    </row>
    <row r="92" spans="1:10" ht="21.25" customHeight="1" x14ac:dyDescent="0.15">
      <c r="A92" s="10" t="s">
        <v>371</v>
      </c>
      <c r="B92" s="173" t="str" cm="1">
        <f t="array" ref="B92">VLOOKUP(A92,'The List'!B1:D671,3,FALSE)</f>
        <v>D</v>
      </c>
      <c r="C92" s="174" cm="1">
        <f t="array" ref="C92">IF(Settings!$E$15="POINTS",RANK(E92,E3:E204),H92)</f>
        <v>90</v>
      </c>
      <c r="D92" s="18" t="str" cm="1">
        <f t="array" ref="D92">VLOOKUP(A92,'The List'!B1:F671,5,FALSE)</f>
        <v>T.B</v>
      </c>
      <c r="E92" s="55" cm="1">
        <f t="array" ref="E92">VLOOKUP(A92,'The List'!B1:I671,8,FALSE)</f>
        <v>185.81244141047875</v>
      </c>
      <c r="F92" s="55" cm="1">
        <f t="array" ref="F92">IF(Settings!$E$15="POINTS",E92-VLOOKUP(B$2,C1:E204,3,FALSE),J92)</f>
        <v>-120.84142593411531</v>
      </c>
      <c r="G92" s="55"/>
      <c r="H92" s="167" cm="1">
        <f t="array" ref="H92">RANK(I92,I3:I204)</f>
        <v>53</v>
      </c>
      <c r="I92" s="168" cm="1">
        <f t="array" ref="I92">VLOOKUP(A92,'Standard Deviations'!A1:C672,3,FALSE)</f>
        <v>1.4509329311643757</v>
      </c>
      <c r="J92" s="168" cm="1">
        <f t="array" ref="J92">I92-VLOOKUP(B$2,H1:J204,2,FALSE)</f>
        <v>-2.6418222483229927</v>
      </c>
    </row>
    <row r="93" spans="1:10" ht="21.25" customHeight="1" x14ac:dyDescent="0.15">
      <c r="A93" s="10" t="s">
        <v>376</v>
      </c>
      <c r="B93" s="173" t="str" cm="1">
        <f t="array" ref="B93">VLOOKUP(A93,'The List'!B1:D671,3,FALSE)</f>
        <v>D</v>
      </c>
      <c r="C93" s="174" cm="1">
        <f t="array" ref="C93">IF(Settings!$E$15="POINTS",RANK(E93,E3:E204),H93)</f>
        <v>91</v>
      </c>
      <c r="D93" s="18" t="str" cm="1">
        <f t="array" ref="D93">VLOOKUP(A93,'The List'!B1:F671,5,FALSE)</f>
        <v>SEA</v>
      </c>
      <c r="E93" s="55" cm="1">
        <f t="array" ref="E93">VLOOKUP(A93,'The List'!B1:I671,8,FALSE)</f>
        <v>183.89209987904329</v>
      </c>
      <c r="F93" s="55" cm="1">
        <f t="array" ref="F93">IF(Settings!$E$15="POINTS",E93-VLOOKUP(B$2,C1:E204,3,FALSE),J93)</f>
        <v>-122.76176746555078</v>
      </c>
      <c r="G93" s="55"/>
      <c r="H93" s="167" cm="1">
        <f t="array" ref="H93">RANK(I93,I3:I204)</f>
        <v>131</v>
      </c>
      <c r="I93" s="168" cm="1">
        <f t="array" ref="I93">VLOOKUP(A93,'Standard Deviations'!A1:C672,3,FALSE)</f>
        <v>-2.0441128533344757</v>
      </c>
      <c r="J93" s="168" cm="1">
        <f t="array" ref="J93">I93-VLOOKUP(B$2,H1:J204,2,FALSE)</f>
        <v>-6.1368680328218446</v>
      </c>
    </row>
    <row r="94" spans="1:10" ht="21.25" customHeight="1" x14ac:dyDescent="0.15">
      <c r="A94" s="10" t="s">
        <v>377</v>
      </c>
      <c r="B94" s="173" t="str" cm="1">
        <f t="array" ref="B94">VLOOKUP(A94,'The List'!B1:D671,3,FALSE)</f>
        <v>D</v>
      </c>
      <c r="C94" s="174" cm="1">
        <f t="array" ref="C94">IF(Settings!$E$15="POINTS",RANK(E94,E3:E204),H94)</f>
        <v>92</v>
      </c>
      <c r="D94" s="18" t="str" cm="1">
        <f t="array" ref="D94">VLOOKUP(A94,'The List'!B1:F671,5,FALSE)</f>
        <v>BOS</v>
      </c>
      <c r="E94" s="55" cm="1">
        <f t="array" ref="E94">VLOOKUP(A94,'The List'!B1:I671,8,FALSE)</f>
        <v>183.539895769525</v>
      </c>
      <c r="F94" s="55" cm="1">
        <f t="array" ref="F94">IF(Settings!$E$15="POINTS",E94-VLOOKUP(B$2,C1:E204,3,FALSE),J94)</f>
        <v>-123.11397157506906</v>
      </c>
      <c r="G94" s="55"/>
      <c r="H94" s="167" cm="1">
        <f t="array" ref="H94">RANK(I94,I3:I204)</f>
        <v>84</v>
      </c>
      <c r="I94" s="168" cm="1">
        <f t="array" ref="I94">VLOOKUP(A94,'Standard Deviations'!A1:C672,3,FALSE)</f>
        <v>0.16502641885959912</v>
      </c>
      <c r="J94" s="168" cm="1">
        <f t="array" ref="J94">I94-VLOOKUP(B$2,H1:J204,2,FALSE)</f>
        <v>-3.9277287606277693</v>
      </c>
    </row>
    <row r="95" spans="1:10" ht="21.25" customHeight="1" x14ac:dyDescent="0.15">
      <c r="A95" s="10" t="s">
        <v>378</v>
      </c>
      <c r="B95" s="173" t="str" cm="1">
        <f t="array" ref="B95">VLOOKUP(A95,'The List'!B1:D671,3,FALSE)</f>
        <v>D</v>
      </c>
      <c r="C95" s="174" cm="1">
        <f t="array" ref="C95">IF(Settings!$E$15="POINTS",RANK(E95,E3:E204),H95)</f>
        <v>93</v>
      </c>
      <c r="D95" s="18" t="str" cm="1">
        <f t="array" ref="D95">VLOOKUP(A95,'The List'!B1:F671,5,FALSE)</f>
        <v>STL</v>
      </c>
      <c r="E95" s="55" cm="1">
        <f t="array" ref="E95">VLOOKUP(A95,'The List'!B1:I671,8,FALSE)</f>
        <v>183.28245515354573</v>
      </c>
      <c r="F95" s="55" cm="1">
        <f t="array" ref="F95">IF(Settings!$E$15="POINTS",E95-VLOOKUP(B$2,C1:E204,3,FALSE),J95)</f>
        <v>-123.37141219104834</v>
      </c>
      <c r="G95" s="55"/>
      <c r="H95" s="167" cm="1">
        <f t="array" ref="H95">RANK(I95,I3:I204)</f>
        <v>150</v>
      </c>
      <c r="I95" s="168" cm="1">
        <f t="array" ref="I95">VLOOKUP(A95,'Standard Deviations'!A1:C672,3,FALSE)</f>
        <v>-2.5977987243833525</v>
      </c>
      <c r="J95" s="168" cm="1">
        <f t="array" ref="J95">I95-VLOOKUP(B$2,H1:J204,2,FALSE)</f>
        <v>-6.6905539038707209</v>
      </c>
    </row>
    <row r="96" spans="1:10" ht="21.25" customHeight="1" x14ac:dyDescent="0.15">
      <c r="A96" s="10" t="s">
        <v>379</v>
      </c>
      <c r="B96" s="173" t="str" cm="1">
        <f t="array" ref="B96">VLOOKUP(A96,'The List'!B1:D671,3,FALSE)</f>
        <v>D</v>
      </c>
      <c r="C96" s="174" cm="1">
        <f t="array" ref="C96">IF(Settings!$E$15="POINTS",RANK(E96,E3:E204),H96)</f>
        <v>94</v>
      </c>
      <c r="D96" s="18" t="str" cm="1">
        <f t="array" ref="D96">VLOOKUP(A96,'The List'!B1:F671,5,FALSE)</f>
        <v>VAN</v>
      </c>
      <c r="E96" s="55" cm="1">
        <f t="array" ref="E96">VLOOKUP(A96,'The List'!B1:I671,8,FALSE)</f>
        <v>182.01223569635729</v>
      </c>
      <c r="F96" s="55" cm="1">
        <f t="array" ref="F96">IF(Settings!$E$15="POINTS",E96-VLOOKUP(B$2,C1:E204,3,FALSE),J96)</f>
        <v>-124.64163164823677</v>
      </c>
      <c r="G96" s="55"/>
      <c r="H96" s="167" cm="1">
        <f t="array" ref="H96">RANK(I96,I3:I204)</f>
        <v>182</v>
      </c>
      <c r="I96" s="168" cm="1">
        <f t="array" ref="I96">VLOOKUP(A96,'Standard Deviations'!A1:C672,3,FALSE)</f>
        <v>-4.0516027751070558</v>
      </c>
      <c r="J96" s="168" cm="1">
        <f t="array" ref="J96">I96-VLOOKUP(B$2,H1:J204,2,FALSE)</f>
        <v>-8.1443579545944242</v>
      </c>
    </row>
    <row r="97" spans="1:10" ht="21.25" customHeight="1" x14ac:dyDescent="0.15">
      <c r="A97" s="10" t="s">
        <v>381</v>
      </c>
      <c r="B97" s="173" t="str" cm="1">
        <f t="array" ref="B97">VLOOKUP(A97,'The List'!B1:D671,3,FALSE)</f>
        <v>D</v>
      </c>
      <c r="C97" s="174" cm="1">
        <f t="array" ref="C97">IF(Settings!$E$15="POINTS",RANK(E97,E3:E204),H97)</f>
        <v>95</v>
      </c>
      <c r="D97" s="18" t="str" cm="1">
        <f t="array" ref="D97">VLOOKUP(A97,'The List'!B1:F671,5,FALSE)</f>
        <v>TOR</v>
      </c>
      <c r="E97" s="55" cm="1">
        <f t="array" ref="E97">VLOOKUP(A97,'The List'!B1:I671,8,FALSE)</f>
        <v>180.73777738596004</v>
      </c>
      <c r="F97" s="55" cm="1">
        <f t="array" ref="F97">IF(Settings!$E$15="POINTS",E97-VLOOKUP(B$2,C1:E204,3,FALSE),J97)</f>
        <v>-125.91608995863402</v>
      </c>
      <c r="G97" s="55"/>
      <c r="H97" s="167" cm="1">
        <f t="array" ref="H97">RANK(I97,I3:I204)</f>
        <v>81</v>
      </c>
      <c r="I97" s="168" cm="1">
        <f t="array" ref="I97">VLOOKUP(A97,'Standard Deviations'!A1:C672,3,FALSE)</f>
        <v>0.34642942349990857</v>
      </c>
      <c r="J97" s="168" cm="1">
        <f t="array" ref="J97">I97-VLOOKUP(B$2,H1:J204,2,FALSE)</f>
        <v>-3.7463257559874599</v>
      </c>
    </row>
    <row r="98" spans="1:10" ht="21.25" customHeight="1" x14ac:dyDescent="0.15">
      <c r="A98" s="10" t="s">
        <v>382</v>
      </c>
      <c r="B98" s="173" t="str" cm="1">
        <f t="array" ref="B98">VLOOKUP(A98,'The List'!B1:D671,3,FALSE)</f>
        <v>D</v>
      </c>
      <c r="C98" s="174" cm="1">
        <f t="array" ref="C98">IF(Settings!$E$15="POINTS",RANK(E98,E3:E204),H98)</f>
        <v>96</v>
      </c>
      <c r="D98" s="18" t="str" cm="1">
        <f t="array" ref="D98">VLOOKUP(A98,'The List'!B1:F671,5,FALSE)</f>
        <v>NYI</v>
      </c>
      <c r="E98" s="55" cm="1">
        <f t="array" ref="E98">VLOOKUP(A98,'The List'!B1:I671,8,FALSE)</f>
        <v>180.61236240214524</v>
      </c>
      <c r="F98" s="55" cm="1">
        <f t="array" ref="F98">IF(Settings!$E$15="POINTS",E98-VLOOKUP(B$2,C1:E204,3,FALSE),J98)</f>
        <v>-126.04150494244882</v>
      </c>
      <c r="G98" s="55"/>
      <c r="H98" s="167" cm="1">
        <f t="array" ref="H98">RANK(I98,I3:I204)</f>
        <v>145</v>
      </c>
      <c r="I98" s="168" cm="1">
        <f t="array" ref="I98">VLOOKUP(A98,'Standard Deviations'!A1:C672,3,FALSE)</f>
        <v>-2.5051712781080728</v>
      </c>
      <c r="J98" s="168" cm="1">
        <f t="array" ref="J98">I98-VLOOKUP(B$2,H1:J204,2,FALSE)</f>
        <v>-6.5979264575954417</v>
      </c>
    </row>
    <row r="99" spans="1:10" ht="21.25" customHeight="1" x14ac:dyDescent="0.15">
      <c r="A99" s="10" t="s">
        <v>383</v>
      </c>
      <c r="B99" s="173" t="str" cm="1">
        <f t="array" ref="B99">VLOOKUP(A99,'The List'!B1:D671,3,FALSE)</f>
        <v>D</v>
      </c>
      <c r="C99" s="174" cm="1">
        <f t="array" ref="C99">IF(Settings!$E$15="POINTS",RANK(E99,E3:E204),H99)</f>
        <v>97</v>
      </c>
      <c r="D99" s="18" t="str" cm="1">
        <f t="array" ref="D99">VLOOKUP(A99,'The List'!B1:F671,5,FALSE)</f>
        <v>L.A</v>
      </c>
      <c r="E99" s="55" cm="1">
        <f t="array" ref="E99">VLOOKUP(A99,'The List'!B1:I671,8,FALSE)</f>
        <v>180.51277047800846</v>
      </c>
      <c r="F99" s="55" cm="1">
        <f t="array" ref="F99">IF(Settings!$E$15="POINTS",E99-VLOOKUP(B$2,C1:E204,3,FALSE),J99)</f>
        <v>-126.1410968665856</v>
      </c>
      <c r="G99" s="55"/>
      <c r="H99" s="167" cm="1">
        <f t="array" ref="H99">RANK(I99,I3:I204)</f>
        <v>99</v>
      </c>
      <c r="I99" s="168" cm="1">
        <f t="array" ref="I99">VLOOKUP(A99,'Standard Deviations'!A1:C672,3,FALSE)</f>
        <v>-0.28615743920942227</v>
      </c>
      <c r="J99" s="168" cm="1">
        <f t="array" ref="J99">I99-VLOOKUP(B$2,H1:J204,2,FALSE)</f>
        <v>-4.3789126186967904</v>
      </c>
    </row>
    <row r="100" spans="1:10" ht="21.25" customHeight="1" x14ac:dyDescent="0.15">
      <c r="A100" s="10" t="s">
        <v>384</v>
      </c>
      <c r="B100" s="173" t="str" cm="1">
        <f t="array" ref="B100">VLOOKUP(A100,'The List'!B1:D671,3,FALSE)</f>
        <v>D</v>
      </c>
      <c r="C100" s="174" cm="1">
        <f t="array" ref="C100">IF(Settings!$E$15="POINTS",RANK(E100,E3:E204),H100)</f>
        <v>98</v>
      </c>
      <c r="D100" s="18" t="str" cm="1">
        <f t="array" ref="D100">VLOOKUP(A100,'The List'!B1:F671,5,FALSE)</f>
        <v>T.B</v>
      </c>
      <c r="E100" s="55" cm="1">
        <f t="array" ref="E100">VLOOKUP(A100,'The List'!B1:I671,8,FALSE)</f>
        <v>179.55130070452128</v>
      </c>
      <c r="F100" s="55" cm="1">
        <f t="array" ref="F100">IF(Settings!$E$15="POINTS",E100-VLOOKUP(B$2,C1:E204,3,FALSE),J100)</f>
        <v>-127.10256664007278</v>
      </c>
      <c r="G100" s="55"/>
      <c r="H100" s="167" cm="1">
        <f t="array" ref="H100">RANK(I100,I3:I204)</f>
        <v>94</v>
      </c>
      <c r="I100" s="168" cm="1">
        <f t="array" ref="I100">VLOOKUP(A100,'Standard Deviations'!A1:C672,3,FALSE)</f>
        <v>-0.22114157156690373</v>
      </c>
      <c r="J100" s="168" cm="1">
        <f t="array" ref="J100">I100-VLOOKUP(B$2,H1:J204,2,FALSE)</f>
        <v>-4.3138967510542718</v>
      </c>
    </row>
    <row r="101" spans="1:10" ht="21.25" customHeight="1" x14ac:dyDescent="0.15">
      <c r="A101" s="10" t="s">
        <v>385</v>
      </c>
      <c r="B101" s="173" t="str" cm="1">
        <f t="array" ref="B101">VLOOKUP(A101,'The List'!B1:D671,3,FALSE)</f>
        <v>D</v>
      </c>
      <c r="C101" s="174" cm="1">
        <f t="array" ref="C101">IF(Settings!$E$15="POINTS",RANK(E101,E3:E204),H101)</f>
        <v>99</v>
      </c>
      <c r="D101" s="18" t="str" cm="1">
        <f t="array" ref="D101">VLOOKUP(A101,'The List'!B1:F671,5,FALSE)</f>
        <v>MIN</v>
      </c>
      <c r="E101" s="55" cm="1">
        <f t="array" ref="E101">VLOOKUP(A101,'The List'!B1:I671,8,FALSE)</f>
        <v>178.24815911214796</v>
      </c>
      <c r="F101" s="55" cm="1">
        <f t="array" ref="F101">IF(Settings!$E$15="POINTS",E101-VLOOKUP(B$2,C1:E204,3,FALSE),J101)</f>
        <v>-128.4057082324461</v>
      </c>
      <c r="G101" s="55"/>
      <c r="H101" s="167" cm="1">
        <f t="array" ref="H101">RANK(I101,I3:I204)</f>
        <v>106</v>
      </c>
      <c r="I101" s="168" cm="1">
        <f t="array" ref="I101">VLOOKUP(A101,'Standard Deviations'!A1:C672,3,FALSE)</f>
        <v>-0.62918790397418867</v>
      </c>
      <c r="J101" s="168" cm="1">
        <f t="array" ref="J101">I101-VLOOKUP(B$2,H1:J204,2,FALSE)</f>
        <v>-4.7219430834615572</v>
      </c>
    </row>
    <row r="102" spans="1:10" ht="21.25" customHeight="1" x14ac:dyDescent="0.15">
      <c r="A102" s="10" t="s">
        <v>387</v>
      </c>
      <c r="B102" s="173" t="str" cm="1">
        <f t="array" ref="B102">VLOOKUP(A102,'The List'!B1:D671,3,FALSE)</f>
        <v>D</v>
      </c>
      <c r="C102" s="174" cm="1">
        <f t="array" ref="C102">IF(Settings!$E$15="POINTS",RANK(E102,E3:E204),H102)</f>
        <v>100</v>
      </c>
      <c r="D102" s="18" t="str" cm="1">
        <f t="array" ref="D102">VLOOKUP(A102,'The List'!B1:F671,5,FALSE)</f>
        <v>NYR</v>
      </c>
      <c r="E102" s="55" cm="1">
        <f t="array" ref="E102">VLOOKUP(A102,'The List'!B1:I671,8,FALSE)</f>
        <v>177.74978230329586</v>
      </c>
      <c r="F102" s="55" cm="1">
        <f t="array" ref="F102">IF(Settings!$E$15="POINTS",E102-VLOOKUP(B$2,C1:E204,3,FALSE),J102)</f>
        <v>-128.9040850412982</v>
      </c>
      <c r="G102" s="55"/>
      <c r="H102" s="167" cm="1">
        <f t="array" ref="H102">RANK(I102,I3:I204)</f>
        <v>85</v>
      </c>
      <c r="I102" s="168" cm="1">
        <f t="array" ref="I102">VLOOKUP(A102,'Standard Deviations'!A1:C672,3,FALSE)</f>
        <v>0.14063279560282727</v>
      </c>
      <c r="J102" s="168" cm="1">
        <f t="array" ref="J102">I102-VLOOKUP(B$2,H1:J204,2,FALSE)</f>
        <v>-3.9521223838845412</v>
      </c>
    </row>
    <row r="103" spans="1:10" ht="21.25" customHeight="1" x14ac:dyDescent="0.15">
      <c r="A103" s="10" t="s">
        <v>390</v>
      </c>
      <c r="B103" s="173" t="str" cm="1">
        <f t="array" ref="B103">VLOOKUP(A103,'The List'!B1:D671,3,FALSE)</f>
        <v>D</v>
      </c>
      <c r="C103" s="174" cm="1">
        <f t="array" ref="C103">IF(Settings!$E$15="POINTS",RANK(E103,E3:E204),H103)</f>
        <v>101</v>
      </c>
      <c r="D103" s="18" t="str" cm="1">
        <f t="array" ref="D103">VLOOKUP(A103,'The List'!B1:F671,5,FALSE)</f>
        <v>WSH</v>
      </c>
      <c r="E103" s="55" cm="1">
        <f t="array" ref="E103">VLOOKUP(A103,'The List'!B1:I671,8,FALSE)</f>
        <v>176.9386023886313</v>
      </c>
      <c r="F103" s="55" cm="1">
        <f t="array" ref="F103">IF(Settings!$E$15="POINTS",E103-VLOOKUP(B$2,C1:E204,3,FALSE),J103)</f>
        <v>-129.71526495596277</v>
      </c>
      <c r="G103" s="55"/>
      <c r="H103" s="167" cm="1">
        <f t="array" ref="H103">RANK(I103,I3:I204)</f>
        <v>118</v>
      </c>
      <c r="I103" s="168" cm="1">
        <f t="array" ref="I103">VLOOKUP(A103,'Standard Deviations'!A1:C672,3,FALSE)</f>
        <v>-1.334443278977322</v>
      </c>
      <c r="J103" s="168" cm="1">
        <f t="array" ref="J103">I103-VLOOKUP(B$2,H1:J204,2,FALSE)</f>
        <v>-5.4271984584646908</v>
      </c>
    </row>
    <row r="104" spans="1:10" ht="21.25" customHeight="1" x14ac:dyDescent="0.15">
      <c r="A104" s="10" t="s">
        <v>392</v>
      </c>
      <c r="B104" s="173" t="str" cm="1">
        <f t="array" ref="B104">VLOOKUP(A104,'The List'!B1:D671,3,FALSE)</f>
        <v>D</v>
      </c>
      <c r="C104" s="174" cm="1">
        <f t="array" ref="C104">IF(Settings!$E$15="POINTS",RANK(E104,E3:E204),H104)</f>
        <v>102</v>
      </c>
      <c r="D104" s="18" t="str" cm="1">
        <f t="array" ref="D104">VLOOKUP(A104,'The List'!B1:F671,5,FALSE)</f>
        <v>NYI</v>
      </c>
      <c r="E104" s="55" cm="1">
        <f t="array" ref="E104">VLOOKUP(A104,'The List'!B1:I671,8,FALSE)</f>
        <v>175.12042991549231</v>
      </c>
      <c r="F104" s="55" cm="1">
        <f t="array" ref="F104">IF(Settings!$E$15="POINTS",E104-VLOOKUP(B$2,C1:E204,3,FALSE),J104)</f>
        <v>-131.53343742910175</v>
      </c>
      <c r="G104" s="55"/>
      <c r="H104" s="167" cm="1">
        <f t="array" ref="H104">RANK(I104,I3:I204)</f>
        <v>155</v>
      </c>
      <c r="I104" s="168" cm="1">
        <f t="array" ref="I104">VLOOKUP(A104,'Standard Deviations'!A1:C672,3,FALSE)</f>
        <v>-2.7330035922063463</v>
      </c>
      <c r="J104" s="168" cm="1">
        <f t="array" ref="J104">I104-VLOOKUP(B$2,H1:J204,2,FALSE)</f>
        <v>-6.8257587716937147</v>
      </c>
    </row>
    <row r="105" spans="1:10" ht="21.25" customHeight="1" x14ac:dyDescent="0.15">
      <c r="A105" s="10" t="s">
        <v>394</v>
      </c>
      <c r="B105" s="173" t="str" cm="1">
        <f t="array" ref="B105">VLOOKUP(A105,'The List'!B1:D671,3,FALSE)</f>
        <v>D</v>
      </c>
      <c r="C105" s="174" cm="1">
        <f t="array" ref="C105">IF(Settings!$E$15="POINTS",RANK(E105,E3:E204),H105)</f>
        <v>103</v>
      </c>
      <c r="D105" s="18" t="str" cm="1">
        <f t="array" ref="D105">VLOOKUP(A105,'The List'!B1:F671,5,FALSE)</f>
        <v>NYR</v>
      </c>
      <c r="E105" s="55" cm="1">
        <f t="array" ref="E105">VLOOKUP(A105,'The List'!B1:I671,8,FALSE)</f>
        <v>174.47457573325346</v>
      </c>
      <c r="F105" s="55" cm="1">
        <f t="array" ref="F105">IF(Settings!$E$15="POINTS",E105-VLOOKUP(B$2,C1:E204,3,FALSE),J105)</f>
        <v>-132.1792916113406</v>
      </c>
      <c r="G105" s="55"/>
      <c r="H105" s="167" cm="1">
        <f t="array" ref="H105">RANK(I105,I3:I204)</f>
        <v>141</v>
      </c>
      <c r="I105" s="168" cm="1">
        <f t="array" ref="I105">VLOOKUP(A105,'Standard Deviations'!A1:C672,3,FALSE)</f>
        <v>-2.3583386476075616</v>
      </c>
      <c r="J105" s="168" cm="1">
        <f t="array" ref="J105">I105-VLOOKUP(B$2,H1:J204,2,FALSE)</f>
        <v>-6.4510938270949296</v>
      </c>
    </row>
    <row r="106" spans="1:10" ht="21.25" customHeight="1" x14ac:dyDescent="0.15">
      <c r="A106" s="10" t="s">
        <v>396</v>
      </c>
      <c r="B106" s="173" t="str" cm="1">
        <f t="array" ref="B106">VLOOKUP(A106,'The List'!B1:D671,3,FALSE)</f>
        <v>D</v>
      </c>
      <c r="C106" s="174" cm="1">
        <f t="array" ref="C106">IF(Settings!$E$15="POINTS",RANK(E106,E3:E204),H106)</f>
        <v>104</v>
      </c>
      <c r="D106" s="18" t="str" cm="1">
        <f t="array" ref="D106">VLOOKUP(A106,'The List'!B1:F671,5,FALSE)</f>
        <v>OTT</v>
      </c>
      <c r="E106" s="55" cm="1">
        <f t="array" ref="E106">VLOOKUP(A106,'The List'!B1:I671,8,FALSE)</f>
        <v>173.67702278457185</v>
      </c>
      <c r="F106" s="55" cm="1">
        <f t="array" ref="F106">IF(Settings!$E$15="POINTS",E106-VLOOKUP(B$2,C1:E204,3,FALSE),J106)</f>
        <v>-132.97684456002222</v>
      </c>
      <c r="G106" s="55"/>
      <c r="H106" s="167" cm="1">
        <f t="array" ref="H106">RANK(I106,I3:I204)</f>
        <v>79</v>
      </c>
      <c r="I106" s="168" cm="1">
        <f t="array" ref="I106">VLOOKUP(A106,'Standard Deviations'!A1:C672,3,FALSE)</f>
        <v>0.35834857926197417</v>
      </c>
      <c r="J106" s="168" cm="1">
        <f t="array" ref="J106">I106-VLOOKUP(B$2,H1:J204,2,FALSE)</f>
        <v>-3.7344066002253942</v>
      </c>
    </row>
    <row r="107" spans="1:10" ht="21.25" customHeight="1" x14ac:dyDescent="0.15">
      <c r="A107" s="10" t="s">
        <v>397</v>
      </c>
      <c r="B107" s="173" t="str" cm="1">
        <f t="array" ref="B107">VLOOKUP(A107,'The List'!B1:D671,3,FALSE)</f>
        <v>D</v>
      </c>
      <c r="C107" s="174" cm="1">
        <f t="array" ref="C107">IF(Settings!$E$15="POINTS",RANK(E107,E3:E204),H107)</f>
        <v>105</v>
      </c>
      <c r="D107" s="18" t="str" cm="1">
        <f t="array" ref="D107">VLOOKUP(A107,'The List'!B1:F671,5,FALSE)</f>
        <v>MTL</v>
      </c>
      <c r="E107" s="55" cm="1">
        <f t="array" ref="E107">VLOOKUP(A107,'The List'!B1:I671,8,FALSE)</f>
        <v>172.28358248190048</v>
      </c>
      <c r="F107" s="55" cm="1">
        <f t="array" ref="F107">IF(Settings!$E$15="POINTS",E107-VLOOKUP(B$2,C1:E204,3,FALSE),J107)</f>
        <v>-134.37028486269358</v>
      </c>
      <c r="G107" s="55"/>
      <c r="H107" s="167" cm="1">
        <f t="array" ref="H107">RANK(I107,I3:I204)</f>
        <v>90</v>
      </c>
      <c r="I107" s="168" cm="1">
        <f t="array" ref="I107">VLOOKUP(A107,'Standard Deviations'!A1:C672,3,FALSE)</f>
        <v>-4.5904706231772008E-2</v>
      </c>
      <c r="J107" s="168" cm="1">
        <f t="array" ref="J107">I107-VLOOKUP(B$2,H1:J204,2,FALSE)</f>
        <v>-4.1386598857191403</v>
      </c>
    </row>
    <row r="108" spans="1:10" ht="21.25" customHeight="1" x14ac:dyDescent="0.15">
      <c r="A108" s="10" t="s">
        <v>398</v>
      </c>
      <c r="B108" s="173" t="str" cm="1">
        <f t="array" ref="B108">VLOOKUP(A108,'The List'!B1:D671,3,FALSE)</f>
        <v>D</v>
      </c>
      <c r="C108" s="174" cm="1">
        <f t="array" ref="C108">IF(Settings!$E$15="POINTS",RANK(E108,E3:E204),H108)</f>
        <v>106</v>
      </c>
      <c r="D108" s="18" t="str" cm="1">
        <f t="array" ref="D108">VLOOKUP(A108,'The List'!B1:F671,5,FALSE)</f>
        <v>NYI</v>
      </c>
      <c r="E108" s="55" cm="1">
        <f t="array" ref="E108">VLOOKUP(A108,'The List'!B1:I671,8,FALSE)</f>
        <v>172.04700088062171</v>
      </c>
      <c r="F108" s="55" cm="1">
        <f t="array" ref="F108">IF(Settings!$E$15="POINTS",E108-VLOOKUP(B$2,C1:E204,3,FALSE),J108)</f>
        <v>-134.60686646397235</v>
      </c>
      <c r="G108" s="55"/>
      <c r="H108" s="167" cm="1">
        <f t="array" ref="H108">RANK(I108,I3:I204)</f>
        <v>161</v>
      </c>
      <c r="I108" s="168" cm="1">
        <f t="array" ref="I108">VLOOKUP(A108,'Standard Deviations'!A1:C672,3,FALSE)</f>
        <v>-3.0992831672398427</v>
      </c>
      <c r="J108" s="168" cm="1">
        <f t="array" ref="J108">I108-VLOOKUP(B$2,H1:J204,2,FALSE)</f>
        <v>-7.1920383467272107</v>
      </c>
    </row>
    <row r="109" spans="1:10" ht="21.25" customHeight="1" x14ac:dyDescent="0.15">
      <c r="A109" s="10" t="s">
        <v>400</v>
      </c>
      <c r="B109" s="173" t="str" cm="1">
        <f t="array" ref="B109">VLOOKUP(A109,'The List'!B1:D671,3,FALSE)</f>
        <v>D</v>
      </c>
      <c r="C109" s="174" cm="1">
        <f t="array" ref="C109">IF(Settings!$E$15="POINTS",RANK(E109,E3:E204),H109)</f>
        <v>107</v>
      </c>
      <c r="D109" s="18" t="str" cm="1">
        <f t="array" ref="D109">VLOOKUP(A109,'The List'!B1:F671,5,FALSE)</f>
        <v>CHI</v>
      </c>
      <c r="E109" s="55" cm="1">
        <f t="array" ref="E109">VLOOKUP(A109,'The List'!B1:I671,8,FALSE)</f>
        <v>171.5168999472082</v>
      </c>
      <c r="F109" s="55" cm="1">
        <f t="array" ref="F109">IF(Settings!$E$15="POINTS",E109-VLOOKUP(B$2,C1:E204,3,FALSE),J109)</f>
        <v>-135.13696739738586</v>
      </c>
      <c r="G109" s="55"/>
      <c r="H109" s="167" cm="1">
        <f t="array" ref="H109">RANK(I109,I3:I204)</f>
        <v>152</v>
      </c>
      <c r="I109" s="168" cm="1">
        <f t="array" ref="I109">VLOOKUP(A109,'Standard Deviations'!A1:C672,3,FALSE)</f>
        <v>-2.6740209738997649</v>
      </c>
      <c r="J109" s="168" cm="1">
        <f t="array" ref="J109">I109-VLOOKUP(B$2,H1:J204,2,FALSE)</f>
        <v>-6.7667761533871333</v>
      </c>
    </row>
    <row r="110" spans="1:10" ht="21.25" customHeight="1" x14ac:dyDescent="0.15">
      <c r="A110" s="10" t="s">
        <v>402</v>
      </c>
      <c r="B110" s="173" t="str" cm="1">
        <f t="array" ref="B110">VLOOKUP(A110,'The List'!B1:D671,3,FALSE)</f>
        <v>D</v>
      </c>
      <c r="C110" s="174" cm="1">
        <f t="array" ref="C110">IF(Settings!$E$15="POINTS",RANK(E110,E3:E204),H110)</f>
        <v>108</v>
      </c>
      <c r="D110" s="18" t="str" cm="1">
        <f t="array" ref="D110">VLOOKUP(A110,'The List'!B1:F671,5,FALSE)</f>
        <v>L.A</v>
      </c>
      <c r="E110" s="55" cm="1">
        <f t="array" ref="E110">VLOOKUP(A110,'The List'!B1:I671,8,FALSE)</f>
        <v>170.60220100227559</v>
      </c>
      <c r="F110" s="55" cm="1">
        <f t="array" ref="F110">IF(Settings!$E$15="POINTS",E110-VLOOKUP(B$2,C1:E204,3,FALSE),J110)</f>
        <v>-136.05166634231847</v>
      </c>
      <c r="G110" s="55"/>
      <c r="H110" s="167" cm="1">
        <f t="array" ref="H110">RANK(I110,I3:I204)</f>
        <v>126</v>
      </c>
      <c r="I110" s="168" cm="1">
        <f t="array" ref="I110">VLOOKUP(A110,'Standard Deviations'!A1:C672,3,FALSE)</f>
        <v>-1.7525353945431037</v>
      </c>
      <c r="J110" s="168" cm="1">
        <f t="array" ref="J110">I110-VLOOKUP(B$2,H1:J204,2,FALSE)</f>
        <v>-5.8452905740304724</v>
      </c>
    </row>
    <row r="111" spans="1:10" ht="21.25" customHeight="1" x14ac:dyDescent="0.15">
      <c r="A111" s="10" t="s">
        <v>403</v>
      </c>
      <c r="B111" s="173" t="str" cm="1">
        <f t="array" ref="B111">VLOOKUP(A111,'The List'!B1:D671,3,FALSE)</f>
        <v>D</v>
      </c>
      <c r="C111" s="174" cm="1">
        <f t="array" ref="C111">IF(Settings!$E$15="POINTS",RANK(E111,E3:E204),H111)</f>
        <v>109</v>
      </c>
      <c r="D111" s="18" t="str" cm="1">
        <f t="array" ref="D111">VLOOKUP(A111,'The List'!B1:F671,5,FALSE)</f>
        <v>T.B</v>
      </c>
      <c r="E111" s="55" cm="1">
        <f t="array" ref="E111">VLOOKUP(A111,'The List'!B1:I671,8,FALSE)</f>
        <v>169.60785253004434</v>
      </c>
      <c r="F111" s="55" cm="1">
        <f t="array" ref="F111">IF(Settings!$E$15="POINTS",E111-VLOOKUP(B$2,C1:E204,3,FALSE),J111)</f>
        <v>-137.04601481454972</v>
      </c>
      <c r="G111" s="55"/>
      <c r="H111" s="167" cm="1">
        <f t="array" ref="H111">RANK(I111,I3:I204)</f>
        <v>45</v>
      </c>
      <c r="I111" s="168" cm="1">
        <f t="array" ref="I111">VLOOKUP(A111,'Standard Deviations'!A1:C672,3,FALSE)</f>
        <v>2.2988914632263509</v>
      </c>
      <c r="J111" s="168" cm="1">
        <f t="array" ref="J111">I111-VLOOKUP(B$2,H1:J204,2,FALSE)</f>
        <v>-1.7938637162610176</v>
      </c>
    </row>
    <row r="112" spans="1:10" ht="21.25" customHeight="1" x14ac:dyDescent="0.15">
      <c r="A112" s="10" t="s">
        <v>405</v>
      </c>
      <c r="B112" s="173" t="str" cm="1">
        <f t="array" ref="B112">VLOOKUP(A112,'The List'!B1:D671,3,FALSE)</f>
        <v>D</v>
      </c>
      <c r="C112" s="174" cm="1">
        <f t="array" ref="C112">IF(Settings!$E$15="POINTS",RANK(E112,E3:E204),H112)</f>
        <v>110</v>
      </c>
      <c r="D112" s="18" t="str" cm="1">
        <f t="array" ref="D112">VLOOKUP(A112,'The List'!B1:F671,5,FALSE)</f>
        <v>S.J</v>
      </c>
      <c r="E112" s="55" cm="1">
        <f t="array" ref="E112">VLOOKUP(A112,'The List'!B1:I671,8,FALSE)</f>
        <v>168.07512639651034</v>
      </c>
      <c r="F112" s="55" cm="1">
        <f t="array" ref="F112">IF(Settings!$E$15="POINTS",E112-VLOOKUP(B$2,C1:E204,3,FALSE),J112)</f>
        <v>-138.57874094808372</v>
      </c>
      <c r="G112" s="55"/>
      <c r="H112" s="167" cm="1">
        <f t="array" ref="H112">RANK(I112,I3:I204)</f>
        <v>72</v>
      </c>
      <c r="I112" s="168" cm="1">
        <f t="array" ref="I112">VLOOKUP(A112,'Standard Deviations'!A1:C672,3,FALSE)</f>
        <v>0.64861355252489927</v>
      </c>
      <c r="J112" s="168" cm="1">
        <f t="array" ref="J112">I112-VLOOKUP(B$2,H1:J204,2,FALSE)</f>
        <v>-3.4441416269624692</v>
      </c>
    </row>
    <row r="113" spans="1:10" ht="21.25" customHeight="1" x14ac:dyDescent="0.15">
      <c r="A113" s="10" t="s">
        <v>407</v>
      </c>
      <c r="B113" s="173" t="str" cm="1">
        <f t="array" ref="B113">VLOOKUP(A113,'The List'!B1:D671,3,FALSE)</f>
        <v>D</v>
      </c>
      <c r="C113" s="174" cm="1">
        <f t="array" ref="C113">IF(Settings!$E$15="POINTS",RANK(E113,E3:E204),H113)</f>
        <v>111</v>
      </c>
      <c r="D113" s="18" t="str" cm="1">
        <f t="array" ref="D113">VLOOKUP(A113,'The List'!B1:F671,5,FALSE)</f>
        <v>BOS</v>
      </c>
      <c r="E113" s="55" cm="1">
        <f t="array" ref="E113">VLOOKUP(A113,'The List'!B1:I671,8,FALSE)</f>
        <v>167.69615604831961</v>
      </c>
      <c r="F113" s="55" cm="1">
        <f t="array" ref="F113">IF(Settings!$E$15="POINTS",E113-VLOOKUP(B$2,C1:E204,3,FALSE),J113)</f>
        <v>-138.95771129627445</v>
      </c>
      <c r="G113" s="55"/>
      <c r="H113" s="167" cm="1">
        <f t="array" ref="H113">RANK(I113,I3:I204)</f>
        <v>146</v>
      </c>
      <c r="I113" s="168" cm="1">
        <f t="array" ref="I113">VLOOKUP(A113,'Standard Deviations'!A1:C672,3,FALSE)</f>
        <v>-2.5504761819990693</v>
      </c>
      <c r="J113" s="168" cm="1">
        <f t="array" ref="J113">I113-VLOOKUP(B$2,H1:J204,2,FALSE)</f>
        <v>-6.6432313614864373</v>
      </c>
    </row>
    <row r="114" spans="1:10" ht="21.25" customHeight="1" x14ac:dyDescent="0.15">
      <c r="A114" s="10" t="s">
        <v>409</v>
      </c>
      <c r="B114" s="173" t="str" cm="1">
        <f t="array" ref="B114">VLOOKUP(A114,'The List'!B1:D671,3,FALSE)</f>
        <v>D</v>
      </c>
      <c r="C114" s="174" cm="1">
        <f t="array" ref="C114">IF(Settings!$E$15="POINTS",RANK(E114,E3:E204),H114)</f>
        <v>112</v>
      </c>
      <c r="D114" s="18" t="str" cm="1">
        <f t="array" ref="D114">VLOOKUP(A114,'The List'!B1:F671,5,FALSE)</f>
        <v>CGY</v>
      </c>
      <c r="E114" s="55" cm="1">
        <f t="array" ref="E114">VLOOKUP(A114,'The List'!B1:I671,8,FALSE)</f>
        <v>167.01420778565125</v>
      </c>
      <c r="F114" s="55" cm="1">
        <f t="array" ref="F114">IF(Settings!$E$15="POINTS",E114-VLOOKUP(B$2,C1:E204,3,FALSE),J114)</f>
        <v>-139.63965955894281</v>
      </c>
      <c r="G114" s="55"/>
      <c r="H114" s="167" cm="1">
        <f t="array" ref="H114">RANK(I114,I3:I204)</f>
        <v>109</v>
      </c>
      <c r="I114" s="168" cm="1">
        <f t="array" ref="I114">VLOOKUP(A114,'Standard Deviations'!A1:C672,3,FALSE)</f>
        <v>-0.96744941189707001</v>
      </c>
      <c r="J114" s="168" cm="1">
        <f t="array" ref="J114">I114-VLOOKUP(B$2,H1:J204,2,FALSE)</f>
        <v>-5.0602045913844389</v>
      </c>
    </row>
    <row r="115" spans="1:10" ht="21.25" customHeight="1" x14ac:dyDescent="0.15">
      <c r="A115" s="10" t="s">
        <v>410</v>
      </c>
      <c r="B115" s="173" t="str" cm="1">
        <f t="array" ref="B115">VLOOKUP(A115,'The List'!B1:D671,3,FALSE)</f>
        <v>D</v>
      </c>
      <c r="C115" s="174" cm="1">
        <f t="array" ref="C115">IF(Settings!$E$15="POINTS",RANK(E115,E3:E204),H115)</f>
        <v>113</v>
      </c>
      <c r="D115" s="18" t="str" cm="1">
        <f t="array" ref="D115">VLOOKUP(A115,'The List'!B1:F671,5,FALSE)</f>
        <v>CGY</v>
      </c>
      <c r="E115" s="55" cm="1">
        <f t="array" ref="E115">VLOOKUP(A115,'The List'!B1:I671,8,FALSE)</f>
        <v>166.77867968268023</v>
      </c>
      <c r="F115" s="55" cm="1">
        <f t="array" ref="F115">IF(Settings!$E$15="POINTS",E115-VLOOKUP(B$2,C1:E204,3,FALSE),J115)</f>
        <v>-139.87518766191383</v>
      </c>
      <c r="G115" s="55"/>
      <c r="H115" s="167" cm="1">
        <f t="array" ref="H115">RANK(I115,I3:I204)</f>
        <v>137</v>
      </c>
      <c r="I115" s="168" cm="1">
        <f t="array" ref="I115">VLOOKUP(A115,'Standard Deviations'!A1:C672,3,FALSE)</f>
        <v>-2.1981649768718095</v>
      </c>
      <c r="J115" s="168" cm="1">
        <f t="array" ref="J115">I115-VLOOKUP(B$2,H1:J204,2,FALSE)</f>
        <v>-6.2909201563591779</v>
      </c>
    </row>
    <row r="116" spans="1:10" ht="21.25" customHeight="1" x14ac:dyDescent="0.15">
      <c r="A116" s="10" t="s">
        <v>411</v>
      </c>
      <c r="B116" s="173" t="str" cm="1">
        <f t="array" ref="B116">VLOOKUP(A116,'The List'!B1:D671,3,FALSE)</f>
        <v>D</v>
      </c>
      <c r="C116" s="174" cm="1">
        <f t="array" ref="C116">IF(Settings!$E$15="POINTS",RANK(E116,E3:E204),H116)</f>
        <v>114</v>
      </c>
      <c r="D116" s="18" t="str" cm="1">
        <f t="array" ref="D116">VLOOKUP(A116,'The List'!B1:F671,5,FALSE)</f>
        <v>NYI</v>
      </c>
      <c r="E116" s="55" cm="1">
        <f t="array" ref="E116">VLOOKUP(A116,'The List'!B1:I671,8,FALSE)</f>
        <v>165.83571881318983</v>
      </c>
      <c r="F116" s="55" cm="1">
        <f t="array" ref="F116">IF(Settings!$E$15="POINTS",E116-VLOOKUP(B$2,C1:E204,3,FALSE),J116)</f>
        <v>-140.81814853140423</v>
      </c>
      <c r="G116" s="55"/>
      <c r="H116" s="167" cm="1">
        <f t="array" ref="H116">RANK(I116,I3:I204)</f>
        <v>119</v>
      </c>
      <c r="I116" s="168" cm="1">
        <f t="array" ref="I116">VLOOKUP(A116,'Standard Deviations'!A1:C672,3,FALSE)</f>
        <v>-1.3853743049946048</v>
      </c>
      <c r="J116" s="168" cm="1">
        <f t="array" ref="J116">I116-VLOOKUP(B$2,H1:J204,2,FALSE)</f>
        <v>-5.4781294844819737</v>
      </c>
    </row>
    <row r="117" spans="1:10" ht="21.25" customHeight="1" x14ac:dyDescent="0.15">
      <c r="A117" s="10" t="s">
        <v>414</v>
      </c>
      <c r="B117" s="173" t="str" cm="1">
        <f t="array" ref="B117">VLOOKUP(A117,'The List'!B1:D671,3,FALSE)</f>
        <v>D</v>
      </c>
      <c r="C117" s="174" cm="1">
        <f t="array" ref="C117">IF(Settings!$E$15="POINTS",RANK(E117,E3:E204),H117)</f>
        <v>115</v>
      </c>
      <c r="D117" s="18" t="str" cm="1">
        <f t="array" ref="D117">VLOOKUP(A117,'The List'!B1:F671,5,FALSE)</f>
        <v>VAN</v>
      </c>
      <c r="E117" s="55" cm="1">
        <f t="array" ref="E117">VLOOKUP(A117,'The List'!B1:I671,8,FALSE)</f>
        <v>165.03077410248275</v>
      </c>
      <c r="F117" s="55" cm="1">
        <f t="array" ref="F117">IF(Settings!$E$15="POINTS",E117-VLOOKUP(B$2,C1:E204,3,FALSE),J117)</f>
        <v>-141.62309324211131</v>
      </c>
      <c r="G117" s="55"/>
      <c r="H117" s="167" cm="1">
        <f t="array" ref="H117">RANK(I117,I3:I204)</f>
        <v>154</v>
      </c>
      <c r="I117" s="168" cm="1">
        <f t="array" ref="I117">VLOOKUP(A117,'Standard Deviations'!A1:C672,3,FALSE)</f>
        <v>-2.732817916178897</v>
      </c>
      <c r="J117" s="168" cm="1">
        <f t="array" ref="J117">I117-VLOOKUP(B$2,H1:J204,2,FALSE)</f>
        <v>-6.8255730956662655</v>
      </c>
    </row>
    <row r="118" spans="1:10" ht="21.25" customHeight="1" x14ac:dyDescent="0.15">
      <c r="A118" s="10" t="s">
        <v>416</v>
      </c>
      <c r="B118" s="173" t="str" cm="1">
        <f t="array" ref="B118">VLOOKUP(A118,'The List'!B1:D671,3,FALSE)</f>
        <v>D</v>
      </c>
      <c r="C118" s="174" cm="1">
        <f t="array" ref="C118">IF(Settings!$E$15="POINTS",RANK(E118,E3:E204),H118)</f>
        <v>116</v>
      </c>
      <c r="D118" s="18" t="str" cm="1">
        <f t="array" ref="D118">VLOOKUP(A118,'The List'!B1:F671,5,FALSE)</f>
        <v>BOS</v>
      </c>
      <c r="E118" s="55" cm="1">
        <f t="array" ref="E118">VLOOKUP(A118,'The List'!B1:I671,8,FALSE)</f>
        <v>164.93049305113647</v>
      </c>
      <c r="F118" s="55" cm="1">
        <f t="array" ref="F118">IF(Settings!$E$15="POINTS",E118-VLOOKUP(B$2,C1:E204,3,FALSE),J118)</f>
        <v>-141.7233742934576</v>
      </c>
      <c r="G118" s="55"/>
      <c r="H118" s="167" cm="1">
        <f t="array" ref="H118">RANK(I118,I3:I204)</f>
        <v>33</v>
      </c>
      <c r="I118" s="168" cm="1">
        <f t="array" ref="I118">VLOOKUP(A118,'Standard Deviations'!A1:C672,3,FALSE)</f>
        <v>3.1514149192997332</v>
      </c>
      <c r="J118" s="168" cm="1">
        <f t="array" ref="J118">I118-VLOOKUP(B$2,H1:J204,2,FALSE)</f>
        <v>-0.94134026018763528</v>
      </c>
    </row>
    <row r="119" spans="1:10" ht="21.25" customHeight="1" x14ac:dyDescent="0.15">
      <c r="A119" s="10" t="s">
        <v>420</v>
      </c>
      <c r="B119" s="173" t="str" cm="1">
        <f t="array" ref="B119">VLOOKUP(A119,'The List'!B1:D671,3,FALSE)</f>
        <v>D</v>
      </c>
      <c r="C119" s="174" cm="1">
        <f t="array" ref="C119">IF(Settings!$E$15="POINTS",RANK(E119,E3:E204),H119)</f>
        <v>117</v>
      </c>
      <c r="D119" s="18" t="str" cm="1">
        <f t="array" ref="D119">VLOOKUP(A119,'The List'!B1:F671,5,FALSE)</f>
        <v>BOS</v>
      </c>
      <c r="E119" s="55" cm="1">
        <f t="array" ref="E119">VLOOKUP(A119,'The List'!B1:I671,8,FALSE)</f>
        <v>163.74891626600154</v>
      </c>
      <c r="F119" s="55" cm="1">
        <f t="array" ref="F119">IF(Settings!$E$15="POINTS",E119-VLOOKUP(B$2,C1:E204,3,FALSE),J119)</f>
        <v>-142.90495107859252</v>
      </c>
      <c r="G119" s="55"/>
      <c r="H119" s="167" cm="1">
        <f t="array" ref="H119">RANK(I119,I3:I204)</f>
        <v>116</v>
      </c>
      <c r="I119" s="168" cm="1">
        <f t="array" ref="I119">VLOOKUP(A119,'Standard Deviations'!A1:C672,3,FALSE)</f>
        <v>-1.286359088337059</v>
      </c>
      <c r="J119" s="168" cm="1">
        <f t="array" ref="J119">I119-VLOOKUP(B$2,H1:J204,2,FALSE)</f>
        <v>-5.379114267824427</v>
      </c>
    </row>
    <row r="120" spans="1:10" ht="21.25" customHeight="1" x14ac:dyDescent="0.15">
      <c r="A120" s="10" t="s">
        <v>424</v>
      </c>
      <c r="B120" s="173" t="str" cm="1">
        <f t="array" ref="B120">VLOOKUP(A120,'The List'!B1:D671,3,FALSE)</f>
        <v>D</v>
      </c>
      <c r="C120" s="174" cm="1">
        <f t="array" ref="C120">IF(Settings!$E$15="POINTS",RANK(E120,E3:E204),H120)</f>
        <v>118</v>
      </c>
      <c r="D120" s="18" t="str" cm="1">
        <f t="array" ref="D120">VLOOKUP(A120,'The List'!B1:F671,5,FALSE)</f>
        <v>CGY</v>
      </c>
      <c r="E120" s="55" cm="1">
        <f t="array" ref="E120">VLOOKUP(A120,'The List'!B1:I671,8,FALSE)</f>
        <v>161.70296134999384</v>
      </c>
      <c r="F120" s="55" cm="1">
        <f t="array" ref="F120">IF(Settings!$E$15="POINTS",E120-VLOOKUP(B$2,C1:E204,3,FALSE),J120)</f>
        <v>-144.95090599460022</v>
      </c>
      <c r="G120" s="55"/>
      <c r="H120" s="167" cm="1">
        <f t="array" ref="H120">RANK(I120,I3:I204)</f>
        <v>171</v>
      </c>
      <c r="I120" s="168" cm="1">
        <f t="array" ref="I120">VLOOKUP(A120,'Standard Deviations'!A1:C672,3,FALSE)</f>
        <v>-3.5517050297996962</v>
      </c>
      <c r="J120" s="168" cm="1">
        <f t="array" ref="J120">I120-VLOOKUP(B$2,H1:J204,2,FALSE)</f>
        <v>-7.6444602092870646</v>
      </c>
    </row>
    <row r="121" spans="1:10" ht="21.25" customHeight="1" x14ac:dyDescent="0.15">
      <c r="A121" s="10" t="s">
        <v>425</v>
      </c>
      <c r="B121" s="173" t="str" cm="1">
        <f t="array" ref="B121">VLOOKUP(A121,'The List'!B1:D671,3,FALSE)</f>
        <v>D</v>
      </c>
      <c r="C121" s="174" cm="1">
        <f t="array" ref="C121">IF(Settings!$E$15="POINTS",RANK(E121,E3:E204),H121)</f>
        <v>119</v>
      </c>
      <c r="D121" s="18" t="str" cm="1">
        <f t="array" ref="D121">VLOOKUP(A121,'The List'!B1:F671,5,FALSE)</f>
        <v>UTA</v>
      </c>
      <c r="E121" s="55" cm="1">
        <f t="array" ref="E121">VLOOKUP(A121,'The List'!B1:I671,8,FALSE)</f>
        <v>161.70129457702038</v>
      </c>
      <c r="F121" s="55" cm="1">
        <f t="array" ref="F121">IF(Settings!$E$15="POINTS",E121-VLOOKUP(B$2,C1:E204,3,FALSE),J121)</f>
        <v>-144.95257276757368</v>
      </c>
      <c r="G121" s="55"/>
      <c r="H121" s="167" cm="1">
        <f t="array" ref="H121">RANK(I121,I3:I204)</f>
        <v>140</v>
      </c>
      <c r="I121" s="168" cm="1">
        <f t="array" ref="I121">VLOOKUP(A121,'Standard Deviations'!A1:C672,3,FALSE)</f>
        <v>-2.3339342153424827</v>
      </c>
      <c r="J121" s="168" cm="1">
        <f t="array" ref="J121">I121-VLOOKUP(B$2,H1:J204,2,FALSE)</f>
        <v>-6.4266893948298511</v>
      </c>
    </row>
    <row r="122" spans="1:10" ht="21.25" customHeight="1" x14ac:dyDescent="0.15">
      <c r="A122" s="10" t="s">
        <v>426</v>
      </c>
      <c r="B122" s="173" t="str" cm="1">
        <f t="array" ref="B122">VLOOKUP(A122,'The List'!B1:D671,3,FALSE)</f>
        <v>D</v>
      </c>
      <c r="C122" s="174" cm="1">
        <f t="array" ref="C122">IF(Settings!$E$15="POINTS",RANK(E122,E3:E204),H122)</f>
        <v>120</v>
      </c>
      <c r="D122" s="18" t="str" cm="1">
        <f t="array" ref="D122">VLOOKUP(A122,'The List'!B1:F671,5,FALSE)</f>
        <v>N.J</v>
      </c>
      <c r="E122" s="55" cm="1">
        <f t="array" ref="E122">VLOOKUP(A122,'The List'!B1:I671,8,FALSE)</f>
        <v>161.47358982685577</v>
      </c>
      <c r="F122" s="55" cm="1">
        <f t="array" ref="F122">IF(Settings!$E$15="POINTS",E122-VLOOKUP(B$2,C1:E204,3,FALSE),J122)</f>
        <v>-145.18027751773829</v>
      </c>
      <c r="G122" s="55"/>
      <c r="H122" s="167" cm="1">
        <f t="array" ref="H122">RANK(I122,I3:I204)</f>
        <v>138</v>
      </c>
      <c r="I122" s="168" cm="1">
        <f t="array" ref="I122">VLOOKUP(A122,'Standard Deviations'!A1:C672,3,FALSE)</f>
        <v>-2.2502411853813218</v>
      </c>
      <c r="J122" s="168" cm="1">
        <f t="array" ref="J122">I122-VLOOKUP(B$2,H1:J204,2,FALSE)</f>
        <v>-6.3429963648686902</v>
      </c>
    </row>
    <row r="123" spans="1:10" ht="21.25" customHeight="1" x14ac:dyDescent="0.15">
      <c r="A123" s="10" t="s">
        <v>430</v>
      </c>
      <c r="B123" s="173" t="str" cm="1">
        <f t="array" ref="B123">VLOOKUP(A123,'The List'!B1:D671,3,FALSE)</f>
        <v>D</v>
      </c>
      <c r="C123" s="174" cm="1">
        <f t="array" ref="C123">IF(Settings!$E$15="POINTS",RANK(E123,E3:E204),H123)</f>
        <v>121</v>
      </c>
      <c r="D123" s="18" t="str" cm="1">
        <f t="array" ref="D123">VLOOKUP(A123,'The List'!B1:F671,5,FALSE)</f>
        <v>MTL</v>
      </c>
      <c r="E123" s="55" cm="1">
        <f t="array" ref="E123">VLOOKUP(A123,'The List'!B1:I671,8,FALSE)</f>
        <v>160.30537505021019</v>
      </c>
      <c r="F123" s="55" cm="1">
        <f t="array" ref="F123">IF(Settings!$E$15="POINTS",E123-VLOOKUP(B$2,C1:E204,3,FALSE),J123)</f>
        <v>-146.34849229438387</v>
      </c>
      <c r="G123" s="55"/>
      <c r="H123" s="167" cm="1">
        <f t="array" ref="H123">RANK(I123,I3:I204)</f>
        <v>103</v>
      </c>
      <c r="I123" s="168" cm="1">
        <f t="array" ref="I123">VLOOKUP(A123,'Standard Deviations'!A1:C672,3,FALSE)</f>
        <v>-0.41637259859938025</v>
      </c>
      <c r="J123" s="168" cm="1">
        <f t="array" ref="J123">I123-VLOOKUP(B$2,H1:J204,2,FALSE)</f>
        <v>-4.5091277780867483</v>
      </c>
    </row>
    <row r="124" spans="1:10" ht="21.25" customHeight="1" x14ac:dyDescent="0.15">
      <c r="A124" s="10" t="s">
        <v>432</v>
      </c>
      <c r="B124" s="173" t="str" cm="1">
        <f t="array" ref="B124">VLOOKUP(A124,'The List'!B1:D671,3,FALSE)</f>
        <v>D</v>
      </c>
      <c r="C124" s="174" cm="1">
        <f t="array" ref="C124">IF(Settings!$E$15="POINTS",RANK(E124,E3:E204),H124)</f>
        <v>122</v>
      </c>
      <c r="D124" s="18" t="str" cm="1">
        <f t="array" ref="D124">VLOOKUP(A124,'The List'!B1:F671,5,FALSE)</f>
        <v>OTT</v>
      </c>
      <c r="E124" s="55" cm="1">
        <f t="array" ref="E124">VLOOKUP(A124,'The List'!B1:I671,8,FALSE)</f>
        <v>159.64928622164089</v>
      </c>
      <c r="F124" s="55" cm="1">
        <f t="array" ref="F124">IF(Settings!$E$15="POINTS",E124-VLOOKUP(B$2,C1:E204,3,FALSE),J124)</f>
        <v>-147.00458112295317</v>
      </c>
      <c r="G124" s="55"/>
      <c r="H124" s="167" cm="1">
        <f t="array" ref="H124">RANK(I124,I3:I204)</f>
        <v>110</v>
      </c>
      <c r="I124" s="168" cm="1">
        <f t="array" ref="I124">VLOOKUP(A124,'Standard Deviations'!A1:C672,3,FALSE)</f>
        <v>-0.96871587478411192</v>
      </c>
      <c r="J124" s="168" cm="1">
        <f t="array" ref="J124">I124-VLOOKUP(B$2,H1:J204,2,FALSE)</f>
        <v>-5.0614710542714807</v>
      </c>
    </row>
    <row r="125" spans="1:10" ht="21.25" customHeight="1" x14ac:dyDescent="0.15">
      <c r="A125" s="10" t="s">
        <v>435</v>
      </c>
      <c r="B125" s="173" t="str" cm="1">
        <f t="array" ref="B125">VLOOKUP(A125,'The List'!B1:D671,3,FALSE)</f>
        <v>D</v>
      </c>
      <c r="C125" s="174" cm="1">
        <f t="array" ref="C125">IF(Settings!$E$15="POINTS",RANK(E125,E3:E204),H125)</f>
        <v>123</v>
      </c>
      <c r="D125" s="18" t="str" cm="1">
        <f t="array" ref="D125">VLOOKUP(A125,'The List'!B1:F671,5,FALSE)</f>
        <v>MIN</v>
      </c>
      <c r="E125" s="55" cm="1">
        <f t="array" ref="E125">VLOOKUP(A125,'The List'!B1:I671,8,FALSE)</f>
        <v>159.09895757540025</v>
      </c>
      <c r="F125" s="55" cm="1">
        <f t="array" ref="F125">IF(Settings!$E$15="POINTS",E125-VLOOKUP(B$2,C1:E204,3,FALSE),J125)</f>
        <v>-147.55490976919381</v>
      </c>
      <c r="G125" s="55"/>
      <c r="H125" s="167" cm="1">
        <f t="array" ref="H125">RANK(I125,I3:I204)</f>
        <v>129</v>
      </c>
      <c r="I125" s="168" cm="1">
        <f t="array" ref="I125">VLOOKUP(A125,'Standard Deviations'!A1:C672,3,FALSE)</f>
        <v>-1.9519565867347746</v>
      </c>
      <c r="J125" s="168" cm="1">
        <f t="array" ref="J125">I125-VLOOKUP(B$2,H1:J204,2,FALSE)</f>
        <v>-6.044711766222143</v>
      </c>
    </row>
    <row r="126" spans="1:10" ht="21.25" customHeight="1" x14ac:dyDescent="0.15">
      <c r="A126" s="10" t="s">
        <v>436</v>
      </c>
      <c r="B126" s="173" t="str" cm="1">
        <f t="array" ref="B126">VLOOKUP(A126,'The List'!B1:D671,3,FALSE)</f>
        <v>D</v>
      </c>
      <c r="C126" s="174" cm="1">
        <f t="array" ref="C126">IF(Settings!$E$15="POINTS",RANK(E126,E3:E204),H126)</f>
        <v>124</v>
      </c>
      <c r="D126" s="18" t="str" cm="1">
        <f t="array" ref="D126">VLOOKUP(A126,'The List'!B1:F671,5,FALSE)</f>
        <v>NSH</v>
      </c>
      <c r="E126" s="55" cm="1">
        <f t="array" ref="E126">VLOOKUP(A126,'The List'!B1:I671,8,FALSE)</f>
        <v>158.91058147526866</v>
      </c>
      <c r="F126" s="55" cm="1">
        <f t="array" ref="F126">IF(Settings!$E$15="POINTS",E126-VLOOKUP(B$2,C1:E204,3,FALSE),J126)</f>
        <v>-147.7432858693254</v>
      </c>
      <c r="G126" s="55"/>
      <c r="H126" s="167" cm="1">
        <f t="array" ref="H126">RANK(I126,I3:I204)</f>
        <v>172</v>
      </c>
      <c r="I126" s="168" cm="1">
        <f t="array" ref="I126">VLOOKUP(A126,'Standard Deviations'!A1:C672,3,FALSE)</f>
        <v>-3.6145240207147014</v>
      </c>
      <c r="J126" s="168" cm="1">
        <f t="array" ref="J126">I126-VLOOKUP(B$2,H1:J204,2,FALSE)</f>
        <v>-7.7072792002020698</v>
      </c>
    </row>
    <row r="127" spans="1:10" ht="21.25" customHeight="1" x14ac:dyDescent="0.15">
      <c r="A127" s="10" t="s">
        <v>437</v>
      </c>
      <c r="B127" s="173" t="str" cm="1">
        <f t="array" ref="B127">VLOOKUP(A127,'The List'!B1:D671,3,FALSE)</f>
        <v>D</v>
      </c>
      <c r="C127" s="174" cm="1">
        <f t="array" ref="C127">IF(Settings!$E$15="POINTS",RANK(E127,E3:E204),H127)</f>
        <v>125</v>
      </c>
      <c r="D127" s="18" t="str" cm="1">
        <f t="array" ref="D127">VLOOKUP(A127,'The List'!B1:F671,5,FALSE)</f>
        <v>ANA</v>
      </c>
      <c r="E127" s="55" cm="1">
        <f t="array" ref="E127">VLOOKUP(A127,'The List'!B1:I671,8,FALSE)</f>
        <v>158.82192591505088</v>
      </c>
      <c r="F127" s="55" cm="1">
        <f t="array" ref="F127">IF(Settings!$E$15="POINTS",E127-VLOOKUP(B$2,C1:E204,3,FALSE),J127)</f>
        <v>-147.83194142954318</v>
      </c>
      <c r="G127" s="55"/>
      <c r="H127" s="167" cm="1">
        <f t="array" ref="H127">RANK(I127,I3:I204)</f>
        <v>151</v>
      </c>
      <c r="I127" s="168" cm="1">
        <f t="array" ref="I127">VLOOKUP(A127,'Standard Deviations'!A1:C672,3,FALSE)</f>
        <v>-2.6336404467990016</v>
      </c>
      <c r="J127" s="168" cm="1">
        <f t="array" ref="J127">I127-VLOOKUP(B$2,H1:J204,2,FALSE)</f>
        <v>-6.7263956262863704</v>
      </c>
    </row>
    <row r="128" spans="1:10" ht="21.25" customHeight="1" x14ac:dyDescent="0.15">
      <c r="A128" s="10" t="s">
        <v>439</v>
      </c>
      <c r="B128" s="173" t="str" cm="1">
        <f t="array" ref="B128">VLOOKUP(A128,'The List'!B1:D671,3,FALSE)</f>
        <v>D</v>
      </c>
      <c r="C128" s="174" cm="1">
        <f t="array" ref="C128">IF(Settings!$E$15="POINTS",RANK(E128,E3:E204),H128)</f>
        <v>126</v>
      </c>
      <c r="D128" s="18" t="str" cm="1">
        <f t="array" ref="D128">VLOOKUP(A128,'The List'!B1:F671,5,FALSE)</f>
        <v>PHI</v>
      </c>
      <c r="E128" s="55" cm="1">
        <f t="array" ref="E128">VLOOKUP(A128,'The List'!B1:I671,8,FALSE)</f>
        <v>158.21346002805137</v>
      </c>
      <c r="F128" s="55" cm="1">
        <f t="array" ref="F128">IF(Settings!$E$15="POINTS",E128-VLOOKUP(B$2,C1:E204,3,FALSE),J128)</f>
        <v>-148.44040731654269</v>
      </c>
      <c r="G128" s="55"/>
      <c r="H128" s="167" cm="1">
        <f t="array" ref="H128">RANK(I128,I3:I204)</f>
        <v>105</v>
      </c>
      <c r="I128" s="168" cm="1">
        <f t="array" ref="I128">VLOOKUP(A128,'Standard Deviations'!A1:C672,3,FALSE)</f>
        <v>-0.5921442104030642</v>
      </c>
      <c r="J128" s="168" cm="1">
        <f t="array" ref="J128">I128-VLOOKUP(B$2,H1:J204,2,FALSE)</f>
        <v>-4.6848993898904325</v>
      </c>
    </row>
    <row r="129" spans="1:10" ht="21.25" customHeight="1" x14ac:dyDescent="0.15">
      <c r="A129" s="10" t="s">
        <v>440</v>
      </c>
      <c r="B129" s="173" t="str" cm="1">
        <f t="array" ref="B129">VLOOKUP(A129,'The List'!B1:D671,3,FALSE)</f>
        <v>D</v>
      </c>
      <c r="C129" s="174" cm="1">
        <f t="array" ref="C129">IF(Settings!$E$15="POINTS",RANK(E129,E3:E204),H129)</f>
        <v>127</v>
      </c>
      <c r="D129" s="18" t="str" cm="1">
        <f t="array" ref="D129">VLOOKUP(A129,'The List'!B1:F671,5,FALSE)</f>
        <v>CGY</v>
      </c>
      <c r="E129" s="55" cm="1">
        <f t="array" ref="E129">VLOOKUP(A129,'The List'!B1:I671,8,FALSE)</f>
        <v>158.04035840014936</v>
      </c>
      <c r="F129" s="55" cm="1">
        <f t="array" ref="F129">IF(Settings!$E$15="POINTS",E129-VLOOKUP(B$2,C1:E204,3,FALSE),J129)</f>
        <v>-148.6135089444447</v>
      </c>
      <c r="G129" s="55"/>
      <c r="H129" s="167" cm="1">
        <f t="array" ref="H129">RANK(I129,I3:I204)</f>
        <v>165</v>
      </c>
      <c r="I129" s="168" cm="1">
        <f t="array" ref="I129">VLOOKUP(A129,'Standard Deviations'!A1:C672,3,FALSE)</f>
        <v>-3.2623744684160676</v>
      </c>
      <c r="J129" s="168" cm="1">
        <f t="array" ref="J129">I129-VLOOKUP(B$2,H1:J204,2,FALSE)</f>
        <v>-7.3551296479034356</v>
      </c>
    </row>
    <row r="130" spans="1:10" ht="21.25" customHeight="1" x14ac:dyDescent="0.15">
      <c r="A130" s="10" t="s">
        <v>442</v>
      </c>
      <c r="B130" s="173" t="str" cm="1">
        <f t="array" ref="B130">VLOOKUP(A130,'The List'!B1:D671,3,FALSE)</f>
        <v>D</v>
      </c>
      <c r="C130" s="174" cm="1">
        <f t="array" ref="C130">IF(Settings!$E$15="POINTS",RANK(E130,E3:E204),H130)</f>
        <v>128</v>
      </c>
      <c r="D130" s="18" t="str" cm="1">
        <f t="array" ref="D130">VLOOKUP(A130,'The List'!B1:F671,5,FALSE)</f>
        <v>CBJ</v>
      </c>
      <c r="E130" s="55" cm="1">
        <f t="array" ref="E130">VLOOKUP(A130,'The List'!B1:I671,8,FALSE)</f>
        <v>157.58477644777065</v>
      </c>
      <c r="F130" s="55" cm="1">
        <f t="array" ref="F130">IF(Settings!$E$15="POINTS",E130-VLOOKUP(B$2,C1:E204,3,FALSE),J130)</f>
        <v>-149.06909089682341</v>
      </c>
      <c r="G130" s="55"/>
      <c r="H130" s="167" cm="1">
        <f t="array" ref="H130">RANK(I130,I3:I204)</f>
        <v>117</v>
      </c>
      <c r="I130" s="168" cm="1">
        <f t="array" ref="I130">VLOOKUP(A130,'Standard Deviations'!A1:C672,3,FALSE)</f>
        <v>-1.3234775117539985</v>
      </c>
      <c r="J130" s="168" cm="1">
        <f t="array" ref="J130">I130-VLOOKUP(B$2,H1:J204,2,FALSE)</f>
        <v>-5.4162326912413672</v>
      </c>
    </row>
    <row r="131" spans="1:10" ht="21.25" customHeight="1" x14ac:dyDescent="0.15">
      <c r="A131" s="10" t="s">
        <v>447</v>
      </c>
      <c r="B131" s="173" t="str" cm="1">
        <f t="array" ref="B131">VLOOKUP(A131,'The List'!B1:D671,3,FALSE)</f>
        <v>D</v>
      </c>
      <c r="C131" s="174" cm="1">
        <f t="array" ref="C131">IF(Settings!$E$15="POINTS",RANK(E131,E3:E204),H131)</f>
        <v>129</v>
      </c>
      <c r="D131" s="18" t="str" cm="1">
        <f t="array" ref="D131">VLOOKUP(A131,'The List'!B1:F671,5,FALSE)</f>
        <v>DET</v>
      </c>
      <c r="E131" s="55" cm="1">
        <f t="array" ref="E131">VLOOKUP(A131,'The List'!B1:I671,8,FALSE)</f>
        <v>155.62713361750153</v>
      </c>
      <c r="F131" s="55" cm="1">
        <f t="array" ref="F131">IF(Settings!$E$15="POINTS",E131-VLOOKUP(B$2,C1:E204,3,FALSE),J131)</f>
        <v>-151.02673372709253</v>
      </c>
      <c r="G131" s="55"/>
      <c r="H131" s="167" cm="1">
        <f t="array" ref="H131">RANK(I131,I3:I204)</f>
        <v>108</v>
      </c>
      <c r="I131" s="168" cm="1">
        <f t="array" ref="I131">VLOOKUP(A131,'Standard Deviations'!A1:C672,3,FALSE)</f>
        <v>-0.69587189614164635</v>
      </c>
      <c r="J131" s="168" cm="1">
        <f t="array" ref="J131">I131-VLOOKUP(B$2,H1:J204,2,FALSE)</f>
        <v>-4.788627075629015</v>
      </c>
    </row>
    <row r="132" spans="1:10" ht="21.25" customHeight="1" x14ac:dyDescent="0.15">
      <c r="A132" s="10" t="s">
        <v>448</v>
      </c>
      <c r="B132" s="173" t="str" cm="1">
        <f t="array" ref="B132">VLOOKUP(A132,'The List'!B1:D671,3,FALSE)</f>
        <v>D</v>
      </c>
      <c r="C132" s="174" cm="1">
        <f t="array" ref="C132">IF(Settings!$E$15="POINTS",RANK(E132,E3:E204),H132)</f>
        <v>130</v>
      </c>
      <c r="D132" s="18" t="str" cm="1">
        <f t="array" ref="D132">VLOOKUP(A132,'The List'!B1:F671,5,FALSE)</f>
        <v>WPG</v>
      </c>
      <c r="E132" s="55" cm="1">
        <f t="array" ref="E132">VLOOKUP(A132,'The List'!B1:I671,8,FALSE)</f>
        <v>155.1090770014591</v>
      </c>
      <c r="F132" s="55" cm="1">
        <f t="array" ref="F132">IF(Settings!$E$15="POINTS",E132-VLOOKUP(B$2,C1:E204,3,FALSE),J132)</f>
        <v>-151.54479034313496</v>
      </c>
      <c r="G132" s="55"/>
      <c r="H132" s="167" cm="1">
        <f t="array" ref="H132">RANK(I132,I3:I204)</f>
        <v>123</v>
      </c>
      <c r="I132" s="168" cm="1">
        <f t="array" ref="I132">VLOOKUP(A132,'Standard Deviations'!A1:C672,3,FALSE)</f>
        <v>-1.453600166364317</v>
      </c>
      <c r="J132" s="168" cm="1">
        <f t="array" ref="J132">I132-VLOOKUP(B$2,H1:J204,2,FALSE)</f>
        <v>-5.5463553458516852</v>
      </c>
    </row>
    <row r="133" spans="1:10" ht="21.25" customHeight="1" x14ac:dyDescent="0.15">
      <c r="A133" s="10" t="s">
        <v>450</v>
      </c>
      <c r="B133" s="173" t="str" cm="1">
        <f t="array" ref="B133">VLOOKUP(A133,'The List'!B1:D671,3,FALSE)</f>
        <v>D</v>
      </c>
      <c r="C133" s="174" cm="1">
        <f t="array" ref="C133">IF(Settings!$E$15="POINTS",RANK(E133,E3:E204),H133)</f>
        <v>131</v>
      </c>
      <c r="D133" s="18" t="str" cm="1">
        <f t="array" ref="D133">VLOOKUP(A133,'The List'!B1:F671,5,FALSE)</f>
        <v>DAL</v>
      </c>
      <c r="E133" s="55" cm="1">
        <f t="array" ref="E133">VLOOKUP(A133,'The List'!B1:I671,8,FALSE)</f>
        <v>154.11410230519593</v>
      </c>
      <c r="F133" s="55" cm="1">
        <f t="array" ref="F133">IF(Settings!$E$15="POINTS",E133-VLOOKUP(B$2,C1:E204,3,FALSE),J133)</f>
        <v>-152.53976503939813</v>
      </c>
      <c r="G133" s="55"/>
      <c r="H133" s="167" cm="1">
        <f t="array" ref="H133">RANK(I133,I3:I204)</f>
        <v>78</v>
      </c>
      <c r="I133" s="168" cm="1">
        <f t="array" ref="I133">VLOOKUP(A133,'Standard Deviations'!A1:C672,3,FALSE)</f>
        <v>0.4138395054437336</v>
      </c>
      <c r="J133" s="168" cm="1">
        <f t="array" ref="J133">I133-VLOOKUP(B$2,H1:J204,2,FALSE)</f>
        <v>-3.6789156740436351</v>
      </c>
    </row>
    <row r="134" spans="1:10" ht="21.25" customHeight="1" x14ac:dyDescent="0.15">
      <c r="A134" s="10" t="s">
        <v>456</v>
      </c>
      <c r="B134" s="173" t="str" cm="1">
        <f t="array" ref="B134">VLOOKUP(A134,'The List'!B1:D671,3,FALSE)</f>
        <v>D</v>
      </c>
      <c r="C134" s="174" cm="1">
        <f t="array" ref="C134">IF(Settings!$E$15="POINTS",RANK(E134,E3:E204),H134)</f>
        <v>132</v>
      </c>
      <c r="D134" s="18" t="str" cm="1">
        <f t="array" ref="D134">VLOOKUP(A134,'The List'!B1:F671,5,FALSE)</f>
        <v>EDM</v>
      </c>
      <c r="E134" s="55" cm="1">
        <f t="array" ref="E134">VLOOKUP(A134,'The List'!B1:I671,8,FALSE)</f>
        <v>153.20643313502731</v>
      </c>
      <c r="F134" s="55" cm="1">
        <f t="array" ref="F134">IF(Settings!$E$15="POINTS",E134-VLOOKUP(B$2,C1:E204,3,FALSE),J134)</f>
        <v>-153.44743420956675</v>
      </c>
      <c r="G134" s="55"/>
      <c r="H134" s="167" cm="1">
        <f t="array" ref="H134">RANK(I134,I3:I204)</f>
        <v>52</v>
      </c>
      <c r="I134" s="168" cm="1">
        <f t="array" ref="I134">VLOOKUP(A134,'Standard Deviations'!A1:C672,3,FALSE)</f>
        <v>1.5140638802582824</v>
      </c>
      <c r="J134" s="168" cm="1">
        <f t="array" ref="J134">I134-VLOOKUP(B$2,H1:J204,2,FALSE)</f>
        <v>-2.578691299229086</v>
      </c>
    </row>
    <row r="135" spans="1:10" ht="21.25" customHeight="1" x14ac:dyDescent="0.15">
      <c r="A135" s="10" t="s">
        <v>457</v>
      </c>
      <c r="B135" s="173" t="str" cm="1">
        <f t="array" ref="B135">VLOOKUP(A135,'The List'!B1:D671,3,FALSE)</f>
        <v>D</v>
      </c>
      <c r="C135" s="174" cm="1">
        <f t="array" ref="C135">IF(Settings!$E$15="POINTS",RANK(E135,E3:E204),H135)</f>
        <v>133</v>
      </c>
      <c r="D135" s="18" t="str" cm="1">
        <f t="array" ref="D135">VLOOKUP(A135,'The List'!B1:F671,5,FALSE)</f>
        <v>PHI</v>
      </c>
      <c r="E135" s="55" cm="1">
        <f t="array" ref="E135">VLOOKUP(A135,'The List'!B1:I671,8,FALSE)</f>
        <v>153.0583300216752</v>
      </c>
      <c r="F135" s="55" cm="1">
        <f t="array" ref="F135">IF(Settings!$E$15="POINTS",E135-VLOOKUP(B$2,C1:E204,3,FALSE),J135)</f>
        <v>-153.59553732291886</v>
      </c>
      <c r="G135" s="55"/>
      <c r="H135" s="167" cm="1">
        <f t="array" ref="H135">RANK(I135,I3:I204)</f>
        <v>142</v>
      </c>
      <c r="I135" s="168" cm="1">
        <f t="array" ref="I135">VLOOKUP(A135,'Standard Deviations'!A1:C672,3,FALSE)</f>
        <v>-2.4367263100477707</v>
      </c>
      <c r="J135" s="168" cm="1">
        <f t="array" ref="J135">I135-VLOOKUP(B$2,H1:J204,2,FALSE)</f>
        <v>-6.5294814895351392</v>
      </c>
    </row>
    <row r="136" spans="1:10" ht="21.25" customHeight="1" x14ac:dyDescent="0.15">
      <c r="A136" s="10" t="s">
        <v>459</v>
      </c>
      <c r="B136" s="173" t="str" cm="1">
        <f t="array" ref="B136">VLOOKUP(A136,'The List'!B1:D671,3,FALSE)</f>
        <v>D</v>
      </c>
      <c r="C136" s="174" cm="1">
        <f t="array" ref="C136">IF(Settings!$E$15="POINTS",RANK(E136,E3:E204),H136)</f>
        <v>134</v>
      </c>
      <c r="D136" s="18" t="str" cm="1">
        <f t="array" ref="D136">VLOOKUP(A136,'The List'!B1:F671,5,FALSE)</f>
        <v>COL</v>
      </c>
      <c r="E136" s="55" cm="1">
        <f t="array" ref="E136">VLOOKUP(A136,'The List'!B1:I671,8,FALSE)</f>
        <v>151.13376031051044</v>
      </c>
      <c r="F136" s="55" cm="1">
        <f t="array" ref="F136">IF(Settings!$E$15="POINTS",E136-VLOOKUP(B$2,C1:E204,3,FALSE),J136)</f>
        <v>-155.52010703408362</v>
      </c>
      <c r="G136" s="55"/>
      <c r="H136" s="167" cm="1">
        <f t="array" ref="H136">RANK(I136,I3:I204)</f>
        <v>115</v>
      </c>
      <c r="I136" s="168" cm="1">
        <f t="array" ref="I136">VLOOKUP(A136,'Standard Deviations'!A1:C672,3,FALSE)</f>
        <v>-1.1933309303735684</v>
      </c>
      <c r="J136" s="168" cm="1">
        <f t="array" ref="J136">I136-VLOOKUP(B$2,H1:J204,2,FALSE)</f>
        <v>-5.2860861098609373</v>
      </c>
    </row>
    <row r="137" spans="1:10" ht="21.25" customHeight="1" x14ac:dyDescent="0.15">
      <c r="A137" s="10" t="s">
        <v>460</v>
      </c>
      <c r="B137" s="173" t="str" cm="1">
        <f t="array" ref="B137">VLOOKUP(A137,'The List'!B1:D671,3,FALSE)</f>
        <v>D</v>
      </c>
      <c r="C137" s="174" cm="1">
        <f t="array" ref="C137">IF(Settings!$E$15="POINTS",RANK(E137,E3:E204),H137)</f>
        <v>135</v>
      </c>
      <c r="D137" s="18" t="str" cm="1">
        <f t="array" ref="D137">VLOOKUP(A137,'The List'!B1:F671,5,FALSE)</f>
        <v>BUF</v>
      </c>
      <c r="E137" s="55" cm="1">
        <f t="array" ref="E137">VLOOKUP(A137,'The List'!B1:I671,8,FALSE)</f>
        <v>150.8945185510409</v>
      </c>
      <c r="F137" s="55" cm="1">
        <f t="array" ref="F137">IF(Settings!$E$15="POINTS",E137-VLOOKUP(B$2,C1:E204,3,FALSE),J137)</f>
        <v>-155.75934879355316</v>
      </c>
      <c r="G137" s="55"/>
      <c r="H137" s="167" cm="1">
        <f t="array" ref="H137">RANK(I137,I3:I204)</f>
        <v>134</v>
      </c>
      <c r="I137" s="168" cm="1">
        <f t="array" ref="I137">VLOOKUP(A137,'Standard Deviations'!A1:C672,3,FALSE)</f>
        <v>-2.1162871544093278</v>
      </c>
      <c r="J137" s="168" cm="1">
        <f t="array" ref="J137">I137-VLOOKUP(B$2,H1:J204,2,FALSE)</f>
        <v>-6.2090423338966962</v>
      </c>
    </row>
    <row r="138" spans="1:10" ht="21.25" customHeight="1" x14ac:dyDescent="0.15">
      <c r="A138" s="10" t="s">
        <v>462</v>
      </c>
      <c r="B138" s="173" t="str" cm="1">
        <f t="array" ref="B138">VLOOKUP(A138,'The List'!B1:D671,3,FALSE)</f>
        <v>D</v>
      </c>
      <c r="C138" s="174" cm="1">
        <f t="array" ref="C138">IF(Settings!$E$15="POINTS",RANK(E138,E3:E204),H138)</f>
        <v>136</v>
      </c>
      <c r="D138" s="18" t="str" cm="1">
        <f t="array" ref="D138">VLOOKUP(A138,'The List'!B1:F671,5,FALSE)</f>
        <v>PIT</v>
      </c>
      <c r="E138" s="55" cm="1">
        <f t="array" ref="E138">VLOOKUP(A138,'The List'!B1:I671,8,FALSE)</f>
        <v>150.28323953847669</v>
      </c>
      <c r="F138" s="55" cm="1">
        <f t="array" ref="F138">IF(Settings!$E$15="POINTS",E138-VLOOKUP(B$2,C1:E204,3,FALSE),J138)</f>
        <v>-156.37062780611737</v>
      </c>
      <c r="G138" s="55"/>
      <c r="H138" s="167" cm="1">
        <f t="array" ref="H138">RANK(I138,I3:I204)</f>
        <v>143</v>
      </c>
      <c r="I138" s="168" cm="1">
        <f t="array" ref="I138">VLOOKUP(A138,'Standard Deviations'!A1:C672,3,FALSE)</f>
        <v>-2.4478041234300423</v>
      </c>
      <c r="J138" s="168" cm="1">
        <f t="array" ref="J138">I138-VLOOKUP(B$2,H1:J204,2,FALSE)</f>
        <v>-6.5405593029174103</v>
      </c>
    </row>
    <row r="139" spans="1:10" ht="21.25" customHeight="1" x14ac:dyDescent="0.15">
      <c r="A139" s="10" t="s">
        <v>464</v>
      </c>
      <c r="B139" s="173" t="str" cm="1">
        <f t="array" ref="B139">VLOOKUP(A139,'The List'!B1:D671,3,FALSE)</f>
        <v>D</v>
      </c>
      <c r="C139" s="174" cm="1">
        <f t="array" ref="C139">IF(Settings!$E$15="POINTS",RANK(E139,E3:E204),H139)</f>
        <v>137</v>
      </c>
      <c r="D139" s="18" t="str" cm="1">
        <f t="array" ref="D139">VLOOKUP(A139,'The List'!B1:F671,5,FALSE)</f>
        <v>NYR</v>
      </c>
      <c r="E139" s="55" cm="1">
        <f t="array" ref="E139">VLOOKUP(A139,'The List'!B1:I671,8,FALSE)</f>
        <v>149.9112766758868</v>
      </c>
      <c r="F139" s="55" cm="1">
        <f t="array" ref="F139">IF(Settings!$E$15="POINTS",E139-VLOOKUP(B$2,C1:E204,3,FALSE),J139)</f>
        <v>-156.74259066870727</v>
      </c>
      <c r="G139" s="55"/>
      <c r="H139" s="167" cm="1">
        <f t="array" ref="H139">RANK(I139,I3:I204)</f>
        <v>130</v>
      </c>
      <c r="I139" s="168" cm="1">
        <f t="array" ref="I139">VLOOKUP(A139,'Standard Deviations'!A1:C672,3,FALSE)</f>
        <v>-2.0033746863174375</v>
      </c>
      <c r="J139" s="168" cm="1">
        <f t="array" ref="J139">I139-VLOOKUP(B$2,H1:J204,2,FALSE)</f>
        <v>-6.096129865804806</v>
      </c>
    </row>
    <row r="140" spans="1:10" ht="21.25" customHeight="1" x14ac:dyDescent="0.15">
      <c r="A140" s="10" t="s">
        <v>466</v>
      </c>
      <c r="B140" s="173" t="str" cm="1">
        <f t="array" ref="B140">VLOOKUP(A140,'The List'!B1:D671,3,FALSE)</f>
        <v>D</v>
      </c>
      <c r="C140" s="174" cm="1">
        <f t="array" ref="C140">IF(Settings!$E$15="POINTS",RANK(E140,E3:E204),H140)</f>
        <v>138</v>
      </c>
      <c r="D140" s="18" t="str" cm="1">
        <f t="array" ref="D140">VLOOKUP(A140,'The List'!B1:F671,5,FALSE)</f>
        <v>CAR</v>
      </c>
      <c r="E140" s="55" cm="1">
        <f t="array" ref="E140">VLOOKUP(A140,'The List'!B1:I671,8,FALSE)</f>
        <v>148.72865400801359</v>
      </c>
      <c r="F140" s="55" cm="1">
        <f t="array" ref="F140">IF(Settings!$E$15="POINTS",E140-VLOOKUP(B$2,C1:E204,3,FALSE),J140)</f>
        <v>-157.92521333658047</v>
      </c>
      <c r="G140" s="55"/>
      <c r="H140" s="167" cm="1">
        <f t="array" ref="H140">RANK(I140,I3:I204)</f>
        <v>114</v>
      </c>
      <c r="I140" s="168" cm="1">
        <f t="array" ref="I140">VLOOKUP(A140,'Standard Deviations'!A1:C672,3,FALSE)</f>
        <v>-1.1240937254164403</v>
      </c>
      <c r="J140" s="168" cm="1">
        <f t="array" ref="J140">I140-VLOOKUP(B$2,H1:J204,2,FALSE)</f>
        <v>-5.2168489049038085</v>
      </c>
    </row>
    <row r="141" spans="1:10" ht="21.25" customHeight="1" x14ac:dyDescent="0.15">
      <c r="A141" s="10" t="s">
        <v>467</v>
      </c>
      <c r="B141" s="173" t="str" cm="1">
        <f t="array" ref="B141">VLOOKUP(A141,'The List'!B1:D671,3,FALSE)</f>
        <v>D</v>
      </c>
      <c r="C141" s="174" cm="1">
        <f t="array" ref="C141">IF(Settings!$E$15="POINTS",RANK(E141,E3:E204),H141)</f>
        <v>139</v>
      </c>
      <c r="D141" s="18" t="str" cm="1">
        <f t="array" ref="D141">VLOOKUP(A141,'The List'!B1:F671,5,FALSE)</f>
        <v>WPG</v>
      </c>
      <c r="E141" s="55" cm="1">
        <f t="array" ref="E141">VLOOKUP(A141,'The List'!B1:I671,8,FALSE)</f>
        <v>148.22185214323531</v>
      </c>
      <c r="F141" s="55" cm="1">
        <f t="array" ref="F141">IF(Settings!$E$15="POINTS",E141-VLOOKUP(B$2,C1:E204,3,FALSE),J141)</f>
        <v>-158.43201520135875</v>
      </c>
      <c r="G141" s="55"/>
      <c r="H141" s="167" cm="1">
        <f t="array" ref="H141">RANK(I141,I3:I204)</f>
        <v>112</v>
      </c>
      <c r="I141" s="168" cm="1">
        <f t="array" ref="I141">VLOOKUP(A141,'Standard Deviations'!A1:C672,3,FALSE)</f>
        <v>-1.0512708399657003</v>
      </c>
      <c r="J141" s="168" cm="1">
        <f t="array" ref="J141">I141-VLOOKUP(B$2,H1:J204,2,FALSE)</f>
        <v>-5.1440260194530687</v>
      </c>
    </row>
    <row r="142" spans="1:10" ht="21.25" customHeight="1" x14ac:dyDescent="0.15">
      <c r="A142" s="10" t="s">
        <v>468</v>
      </c>
      <c r="B142" s="173" t="str" cm="1">
        <f t="array" ref="B142">VLOOKUP(A142,'The List'!B1:D671,3,FALSE)</f>
        <v>D</v>
      </c>
      <c r="C142" s="174" cm="1">
        <f t="array" ref="C142">IF(Settings!$E$15="POINTS",RANK(E142,E3:E204),H142)</f>
        <v>140</v>
      </c>
      <c r="D142" s="18" t="str" cm="1">
        <f t="array" ref="D142">VLOOKUP(A142,'The List'!B1:F671,5,FALSE)</f>
        <v>ANA</v>
      </c>
      <c r="E142" s="55" cm="1">
        <f t="array" ref="E142">VLOOKUP(A142,'The List'!B1:I671,8,FALSE)</f>
        <v>147.74213638014885</v>
      </c>
      <c r="F142" s="55" cm="1">
        <f t="array" ref="F142">IF(Settings!$E$15="POINTS",E142-VLOOKUP(B$2,C1:E204,3,FALSE),J142)</f>
        <v>-158.91173096444521</v>
      </c>
      <c r="G142" s="55"/>
      <c r="H142" s="167" cm="1">
        <f t="array" ref="H142">RANK(I142,I3:I204)</f>
        <v>162</v>
      </c>
      <c r="I142" s="168" cm="1">
        <f t="array" ref="I142">VLOOKUP(A142,'Standard Deviations'!A1:C672,3,FALSE)</f>
        <v>-3.1771045817778583</v>
      </c>
      <c r="J142" s="168" cm="1">
        <f t="array" ref="J142">I142-VLOOKUP(B$2,H1:J204,2,FALSE)</f>
        <v>-7.2698597612652271</v>
      </c>
    </row>
    <row r="143" spans="1:10" ht="21.25" customHeight="1" x14ac:dyDescent="0.15">
      <c r="A143" s="10" t="s">
        <v>469</v>
      </c>
      <c r="B143" s="173" t="str" cm="1">
        <f t="array" ref="B143">VLOOKUP(A143,'The List'!B1:D671,3,FALSE)</f>
        <v>D</v>
      </c>
      <c r="C143" s="174" cm="1">
        <f t="array" ref="C143">IF(Settings!$E$15="POINTS",RANK(E143,E3:E204),H143)</f>
        <v>141</v>
      </c>
      <c r="D143" s="18" t="str" cm="1">
        <f t="array" ref="D143">VLOOKUP(A143,'The List'!B1:F671,5,FALSE)</f>
        <v>EDM</v>
      </c>
      <c r="E143" s="55" cm="1">
        <f t="array" ref="E143">VLOOKUP(A143,'The List'!B1:I671,8,FALSE)</f>
        <v>146.97874719219143</v>
      </c>
      <c r="F143" s="55" cm="1">
        <f t="array" ref="F143">IF(Settings!$E$15="POINTS",E143-VLOOKUP(B$2,C1:E204,3,FALSE),J143)</f>
        <v>-159.67512015240263</v>
      </c>
      <c r="G143" s="55"/>
      <c r="H143" s="167" cm="1">
        <f t="array" ref="H143">RANK(I143,I3:I204)</f>
        <v>124</v>
      </c>
      <c r="I143" s="168" cm="1">
        <f t="array" ref="I143">VLOOKUP(A143,'Standard Deviations'!A1:C672,3,FALSE)</f>
        <v>-1.5458392393873697</v>
      </c>
      <c r="J143" s="168" cm="1">
        <f t="array" ref="J143">I143-VLOOKUP(B$2,H1:J204,2,FALSE)</f>
        <v>-5.6385944188747379</v>
      </c>
    </row>
    <row r="144" spans="1:10" ht="21.25" customHeight="1" x14ac:dyDescent="0.15">
      <c r="A144" s="10" t="s">
        <v>470</v>
      </c>
      <c r="B144" s="173" t="str" cm="1">
        <f t="array" ref="B144">VLOOKUP(A144,'The List'!B1:D671,3,FALSE)</f>
        <v>D</v>
      </c>
      <c r="C144" s="174" cm="1">
        <f t="array" ref="C144">IF(Settings!$E$15="POINTS",RANK(E144,E3:E204),H144)</f>
        <v>142</v>
      </c>
      <c r="D144" s="18" t="str" cm="1">
        <f t="array" ref="D144">VLOOKUP(A144,'The List'!B1:F671,5,FALSE)</f>
        <v>PIT</v>
      </c>
      <c r="E144" s="55" cm="1">
        <f t="array" ref="E144">VLOOKUP(A144,'The List'!B1:I671,8,FALSE)</f>
        <v>146.44767816990642</v>
      </c>
      <c r="F144" s="55" cm="1">
        <f t="array" ref="F144">IF(Settings!$E$15="POINTS",E144-VLOOKUP(B$2,C1:E204,3,FALSE),J144)</f>
        <v>-160.20618917468764</v>
      </c>
      <c r="G144" s="55"/>
      <c r="H144" s="167" cm="1">
        <f t="array" ref="H144">RANK(I144,I3:I204)</f>
        <v>164</v>
      </c>
      <c r="I144" s="168" cm="1">
        <f t="array" ref="I144">VLOOKUP(A144,'Standard Deviations'!A1:C672,3,FALSE)</f>
        <v>-3.2492753116802024</v>
      </c>
      <c r="J144" s="168" cm="1">
        <f t="array" ref="J144">I144-VLOOKUP(B$2,H1:J204,2,FALSE)</f>
        <v>-7.3420304911675709</v>
      </c>
    </row>
    <row r="145" spans="1:10" ht="21.25" customHeight="1" x14ac:dyDescent="0.15">
      <c r="A145" s="10" t="s">
        <v>474</v>
      </c>
      <c r="B145" s="173" t="str" cm="1">
        <f t="array" ref="B145">VLOOKUP(A145,'The List'!B1:D671,3,FALSE)</f>
        <v>D</v>
      </c>
      <c r="C145" s="174" cm="1">
        <f t="array" ref="C145">IF(Settings!$E$15="POINTS",RANK(E145,E3:E204),H145)</f>
        <v>143</v>
      </c>
      <c r="D145" s="18" t="str" cm="1">
        <f t="array" ref="D145">VLOOKUP(A145,'The List'!B1:F671,5,FALSE)</f>
        <v>UTA</v>
      </c>
      <c r="E145" s="55" cm="1">
        <f t="array" ref="E145">VLOOKUP(A145,'The List'!B1:I671,8,FALSE)</f>
        <v>145.45647243133436</v>
      </c>
      <c r="F145" s="55" cm="1">
        <f t="array" ref="F145">IF(Settings!$E$15="POINTS",E145-VLOOKUP(B$2,C1:E204,3,FALSE),J145)</f>
        <v>-161.1973949132597</v>
      </c>
      <c r="G145" s="55"/>
      <c r="H145" s="167" cm="1">
        <f t="array" ref="H145">RANK(I145,I3:I204)</f>
        <v>127</v>
      </c>
      <c r="I145" s="168" cm="1">
        <f t="array" ref="I145">VLOOKUP(A145,'Standard Deviations'!A1:C672,3,FALSE)</f>
        <v>-1.8108368808661286</v>
      </c>
      <c r="J145" s="168" cm="1">
        <f t="array" ref="J145">I145-VLOOKUP(B$2,H1:J204,2,FALSE)</f>
        <v>-5.903592060353497</v>
      </c>
    </row>
    <row r="146" spans="1:10" ht="21.25" customHeight="1" x14ac:dyDescent="0.15">
      <c r="A146" s="10" t="s">
        <v>477</v>
      </c>
      <c r="B146" s="173" t="str" cm="1">
        <f t="array" ref="B146">VLOOKUP(A146,'The List'!B1:D671,3,FALSE)</f>
        <v>D</v>
      </c>
      <c r="C146" s="174" cm="1">
        <f t="array" ref="C146">IF(Settings!$E$15="POINTS",RANK(E146,E3:E204),H146)</f>
        <v>144</v>
      </c>
      <c r="D146" s="18" t="str" cm="1">
        <f t="array" ref="D146">VLOOKUP(A146,'The List'!B1:F671,5,FALSE)</f>
        <v>N.J</v>
      </c>
      <c r="E146" s="55" cm="1">
        <f t="array" ref="E146">VLOOKUP(A146,'The List'!B1:I671,8,FALSE)</f>
        <v>144.12428474459983</v>
      </c>
      <c r="F146" s="55" cm="1">
        <f t="array" ref="F146">IF(Settings!$E$15="POINTS",E146-VLOOKUP(B$2,C1:E204,3,FALSE),J146)</f>
        <v>-162.52958259999423</v>
      </c>
      <c r="G146" s="55"/>
      <c r="H146" s="167" cm="1">
        <f t="array" ref="H146">RANK(I146,I3:I204)</f>
        <v>136</v>
      </c>
      <c r="I146" s="168" cm="1">
        <f t="array" ref="I146">VLOOKUP(A146,'Standard Deviations'!A1:C672,3,FALSE)</f>
        <v>-2.1615375443180995</v>
      </c>
      <c r="J146" s="168" cm="1">
        <f t="array" ref="J146">I146-VLOOKUP(B$2,H1:J204,2,FALSE)</f>
        <v>-6.2542927238054684</v>
      </c>
    </row>
    <row r="147" spans="1:10" ht="21.25" customHeight="1" x14ac:dyDescent="0.15">
      <c r="A147" s="10" t="s">
        <v>479</v>
      </c>
      <c r="B147" s="173" t="str" cm="1">
        <f t="array" ref="B147">VLOOKUP(A147,'The List'!B1:D671,3,FALSE)</f>
        <v>D</v>
      </c>
      <c r="C147" s="174" cm="1">
        <f t="array" ref="C147">IF(Settings!$E$15="POINTS",RANK(E147,E3:E204),H147)</f>
        <v>145</v>
      </c>
      <c r="D147" s="18" t="str" cm="1">
        <f t="array" ref="D147">VLOOKUP(A147,'The List'!B1:F671,5,FALSE)</f>
        <v>SEA</v>
      </c>
      <c r="E147" s="55" cm="1">
        <f t="array" ref="E147">VLOOKUP(A147,'The List'!B1:I671,8,FALSE)</f>
        <v>143.00060082291617</v>
      </c>
      <c r="F147" s="55" cm="1">
        <f t="array" ref="F147">IF(Settings!$E$15="POINTS",E147-VLOOKUP(B$2,C1:E204,3,FALSE),J147)</f>
        <v>-163.65326652167789</v>
      </c>
      <c r="G147" s="55"/>
      <c r="H147" s="167" cm="1">
        <f t="array" ref="H147">RANK(I147,I3:I204)</f>
        <v>168</v>
      </c>
      <c r="I147" s="168" cm="1">
        <f t="array" ref="I147">VLOOKUP(A147,'Standard Deviations'!A1:C672,3,FALSE)</f>
        <v>-3.4740831452437129</v>
      </c>
      <c r="J147" s="168" cm="1">
        <f t="array" ref="J147">I147-VLOOKUP(B$2,H1:J204,2,FALSE)</f>
        <v>-7.5668383247310818</v>
      </c>
    </row>
    <row r="148" spans="1:10" ht="21.25" customHeight="1" x14ac:dyDescent="0.15">
      <c r="A148" s="10" t="s">
        <v>480</v>
      </c>
      <c r="B148" s="173" t="str" cm="1">
        <f t="array" ref="B148">VLOOKUP(A148,'The List'!B1:D671,3,FALSE)</f>
        <v>D</v>
      </c>
      <c r="C148" s="174" cm="1">
        <f t="array" ref="C148">IF(Settings!$E$15="POINTS",RANK(E148,E3:E204),H148)</f>
        <v>146</v>
      </c>
      <c r="D148" s="18" t="str" cm="1">
        <f t="array" ref="D148">VLOOKUP(A148,'The List'!B1:F671,5,FALSE)</f>
        <v>FLA</v>
      </c>
      <c r="E148" s="55" cm="1">
        <f t="array" ref="E148">VLOOKUP(A148,'The List'!B1:I671,8,FALSE)</f>
        <v>142.89431006073769</v>
      </c>
      <c r="F148" s="55" cm="1">
        <f t="array" ref="F148">IF(Settings!$E$15="POINTS",E148-VLOOKUP(B$2,C1:E204,3,FALSE),J148)</f>
        <v>-163.75955728385637</v>
      </c>
      <c r="G148" s="55"/>
      <c r="H148" s="167" cm="1">
        <f t="array" ref="H148">RANK(I148,I3:I204)</f>
        <v>101</v>
      </c>
      <c r="I148" s="168" cm="1">
        <f t="array" ref="I148">VLOOKUP(A148,'Standard Deviations'!A1:C672,3,FALSE)</f>
        <v>-0.31817479432763984</v>
      </c>
      <c r="J148" s="168" cm="1">
        <f t="array" ref="J148">I148-VLOOKUP(B$2,H1:J204,2,FALSE)</f>
        <v>-4.4109299738150085</v>
      </c>
    </row>
    <row r="149" spans="1:10" ht="21.25" customHeight="1" x14ac:dyDescent="0.15">
      <c r="A149" s="10" t="s">
        <v>481</v>
      </c>
      <c r="B149" s="173" t="str" cm="1">
        <f t="array" ref="B149">VLOOKUP(A149,'The List'!B1:D671,3,FALSE)</f>
        <v>D</v>
      </c>
      <c r="C149" s="174" cm="1">
        <f t="array" ref="C149">IF(Settings!$E$15="POINTS",RANK(E149,E3:E204),H149)</f>
        <v>147</v>
      </c>
      <c r="D149" s="18" t="str" cm="1">
        <f t="array" ref="D149">VLOOKUP(A149,'The List'!B1:F671,5,FALSE)</f>
        <v>CHI</v>
      </c>
      <c r="E149" s="55" cm="1">
        <f t="array" ref="E149">VLOOKUP(A149,'The List'!B1:I671,8,FALSE)</f>
        <v>142.88400130384966</v>
      </c>
      <c r="F149" s="55" cm="1">
        <f t="array" ref="F149">IF(Settings!$E$15="POINTS",E149-VLOOKUP(B$2,C1:E204,3,FALSE),J149)</f>
        <v>-163.7698660407444</v>
      </c>
      <c r="G149" s="55"/>
      <c r="H149" s="167" cm="1">
        <f t="array" ref="H149">RANK(I149,I3:I204)</f>
        <v>185</v>
      </c>
      <c r="I149" s="168" cm="1">
        <f t="array" ref="I149">VLOOKUP(A149,'Standard Deviations'!A1:C672,3,FALSE)</f>
        <v>-4.2617787434954444</v>
      </c>
      <c r="J149" s="168" cm="1">
        <f t="array" ref="J149">I149-VLOOKUP(B$2,H1:J204,2,FALSE)</f>
        <v>-8.3545339229828137</v>
      </c>
    </row>
    <row r="150" spans="1:10" ht="21.25" customHeight="1" x14ac:dyDescent="0.15">
      <c r="A150" s="10" t="s">
        <v>482</v>
      </c>
      <c r="B150" s="173" t="str" cm="1">
        <f t="array" ref="B150">VLOOKUP(A150,'The List'!B1:D671,3,FALSE)</f>
        <v>D</v>
      </c>
      <c r="C150" s="174" cm="1">
        <f t="array" ref="C150">IF(Settings!$E$15="POINTS",RANK(E150,E3:E204),H150)</f>
        <v>148</v>
      </c>
      <c r="D150" s="18" t="str" cm="1">
        <f t="array" ref="D150">VLOOKUP(A150,'The List'!B1:F671,5,FALSE)</f>
        <v>STL</v>
      </c>
      <c r="E150" s="55" cm="1">
        <f t="array" ref="E150">VLOOKUP(A150,'The List'!B1:I671,8,FALSE)</f>
        <v>142.74476855708286</v>
      </c>
      <c r="F150" s="55" cm="1">
        <f t="array" ref="F150">IF(Settings!$E$15="POINTS",E150-VLOOKUP(B$2,C1:E204,3,FALSE),J150)</f>
        <v>-163.9090987875112</v>
      </c>
      <c r="G150" s="55"/>
      <c r="H150" s="167" cm="1">
        <f t="array" ref="H150">RANK(I150,I3:I204)</f>
        <v>160</v>
      </c>
      <c r="I150" s="168" cm="1">
        <f t="array" ref="I150">VLOOKUP(A150,'Standard Deviations'!A1:C672,3,FALSE)</f>
        <v>-3.0952308651896394</v>
      </c>
      <c r="J150" s="168" cm="1">
        <f t="array" ref="J150">I150-VLOOKUP(B$2,H1:J204,2,FALSE)</f>
        <v>-7.1879860446770074</v>
      </c>
    </row>
    <row r="151" spans="1:10" ht="21.25" customHeight="1" x14ac:dyDescent="0.15">
      <c r="A151" s="10" t="s">
        <v>484</v>
      </c>
      <c r="B151" s="173" t="str" cm="1">
        <f t="array" ref="B151">VLOOKUP(A151,'The List'!B1:D671,3,FALSE)</f>
        <v>D</v>
      </c>
      <c r="C151" s="174" cm="1">
        <f t="array" ref="C151">IF(Settings!$E$15="POINTS",RANK(E151,E3:E204),H151)</f>
        <v>149</v>
      </c>
      <c r="D151" s="18" t="str" cm="1">
        <f t="array" ref="D151">VLOOKUP(A151,'The List'!B1:F671,5,FALSE)</f>
        <v>ANA</v>
      </c>
      <c r="E151" s="55" cm="1">
        <f t="array" ref="E151">VLOOKUP(A151,'The List'!B1:I671,8,FALSE)</f>
        <v>142.06619194247139</v>
      </c>
      <c r="F151" s="55" cm="1">
        <f t="array" ref="F151">IF(Settings!$E$15="POINTS",E151-VLOOKUP(B$2,C1:E204,3,FALSE),J151)</f>
        <v>-164.58767540212267</v>
      </c>
      <c r="G151" s="55"/>
      <c r="H151" s="167" cm="1">
        <f t="array" ref="H151">RANK(I151,I3:I204)</f>
        <v>175</v>
      </c>
      <c r="I151" s="168" cm="1">
        <f t="array" ref="I151">VLOOKUP(A151,'Standard Deviations'!A1:C672,3,FALSE)</f>
        <v>-3.6919974411562135</v>
      </c>
      <c r="J151" s="168" cm="1">
        <f t="array" ref="J151">I151-VLOOKUP(B$2,H1:J204,2,FALSE)</f>
        <v>-7.784752620643582</v>
      </c>
    </row>
    <row r="152" spans="1:10" ht="21.25" customHeight="1" x14ac:dyDescent="0.15">
      <c r="A152" s="10" t="s">
        <v>486</v>
      </c>
      <c r="B152" s="173" t="str" cm="1">
        <f t="array" ref="B152">VLOOKUP(A152,'The List'!B1:D671,3,FALSE)</f>
        <v>D</v>
      </c>
      <c r="C152" s="174" cm="1">
        <f t="array" ref="C152">IF(Settings!$E$15="POINTS",RANK(E152,E3:E204),H152)</f>
        <v>150</v>
      </c>
      <c r="D152" s="18" t="str" cm="1">
        <f t="array" ref="D152">VLOOKUP(A152,'The List'!B1:F671,5,FALSE)</f>
        <v>L.A</v>
      </c>
      <c r="E152" s="55" cm="1">
        <f t="array" ref="E152">VLOOKUP(A152,'The List'!B1:I671,8,FALSE)</f>
        <v>141.61942019883307</v>
      </c>
      <c r="F152" s="55" cm="1">
        <f t="array" ref="F152">IF(Settings!$E$15="POINTS",E152-VLOOKUP(B$2,C1:E204,3,FALSE),J152)</f>
        <v>-165.03444714576099</v>
      </c>
      <c r="G152" s="55"/>
      <c r="H152" s="167" cm="1">
        <f t="array" ref="H152">RANK(I152,I3:I204)</f>
        <v>178</v>
      </c>
      <c r="I152" s="168" cm="1">
        <f t="array" ref="I152">VLOOKUP(A152,'Standard Deviations'!A1:C672,3,FALSE)</f>
        <v>-3.7932250294028256</v>
      </c>
      <c r="J152" s="168" cm="1">
        <f t="array" ref="J152">I152-VLOOKUP(B$2,H1:J204,2,FALSE)</f>
        <v>-7.885980208890194</v>
      </c>
    </row>
    <row r="153" spans="1:10" ht="21.25" customHeight="1" x14ac:dyDescent="0.15">
      <c r="A153" s="10" t="s">
        <v>487</v>
      </c>
      <c r="B153" s="173" t="str" cm="1">
        <f t="array" ref="B153">VLOOKUP(A153,'The List'!B1:D671,3,FALSE)</f>
        <v>D</v>
      </c>
      <c r="C153" s="174" cm="1">
        <f t="array" ref="C153">IF(Settings!$E$15="POINTS",RANK(E153,E3:E204),H153)</f>
        <v>151</v>
      </c>
      <c r="D153" s="18" t="str" cm="1">
        <f t="array" ref="D153">VLOOKUP(A153,'The List'!B1:F671,5,FALSE)</f>
        <v>T.B</v>
      </c>
      <c r="E153" s="55" cm="1">
        <f t="array" ref="E153">VLOOKUP(A153,'The List'!B1:I671,8,FALSE)</f>
        <v>140.82094090719301</v>
      </c>
      <c r="F153" s="55" cm="1">
        <f t="array" ref="F153">IF(Settings!$E$15="POINTS",E153-VLOOKUP(B$2,C1:E204,3,FALSE),J153)</f>
        <v>-165.83292643740106</v>
      </c>
      <c r="G153" s="55"/>
      <c r="H153" s="167" cm="1">
        <f t="array" ref="H153">RANK(I153,I3:I204)</f>
        <v>74</v>
      </c>
      <c r="I153" s="168" cm="1">
        <f t="array" ref="I153">VLOOKUP(A153,'Standard Deviations'!A1:C672,3,FALSE)</f>
        <v>0.57822822295456255</v>
      </c>
      <c r="J153" s="168" cm="1">
        <f t="array" ref="J153">I153-VLOOKUP(B$2,H1:J204,2,FALSE)</f>
        <v>-3.5145269565328059</v>
      </c>
    </row>
    <row r="154" spans="1:10" ht="21.25" customHeight="1" x14ac:dyDescent="0.15">
      <c r="A154" s="10" t="s">
        <v>489</v>
      </c>
      <c r="B154" s="173" t="str" cm="1">
        <f t="array" ref="B154">VLOOKUP(A154,'The List'!B1:D671,3,FALSE)</f>
        <v>D</v>
      </c>
      <c r="C154" s="174" cm="1">
        <f t="array" ref="C154">IF(Settings!$E$15="POINTS",RANK(E154,E3:E204),H154)</f>
        <v>152</v>
      </c>
      <c r="D154" s="18" t="str" cm="1">
        <f t="array" ref="D154">VLOOKUP(A154,'The List'!B1:F671,5,FALSE)</f>
        <v>L.A</v>
      </c>
      <c r="E154" s="55" cm="1">
        <f t="array" ref="E154">VLOOKUP(A154,'The List'!B1:I671,8,FALSE)</f>
        <v>138.99613749161415</v>
      </c>
      <c r="F154" s="55" cm="1">
        <f t="array" ref="F154">IF(Settings!$E$15="POINTS",E154-VLOOKUP(B$2,C1:E204,3,FALSE),J154)</f>
        <v>-167.65772985297991</v>
      </c>
      <c r="G154" s="55"/>
      <c r="H154" s="167" cm="1">
        <f t="array" ref="H154">RANK(I154,I3:I204)</f>
        <v>156</v>
      </c>
      <c r="I154" s="168" cm="1">
        <f t="array" ref="I154">VLOOKUP(A154,'Standard Deviations'!A1:C672,3,FALSE)</f>
        <v>-2.7398059247853359</v>
      </c>
      <c r="J154" s="168" cm="1">
        <f t="array" ref="J154">I154-VLOOKUP(B$2,H1:J204,2,FALSE)</f>
        <v>-6.8325611042727044</v>
      </c>
    </row>
    <row r="155" spans="1:10" ht="21.25" customHeight="1" x14ac:dyDescent="0.15">
      <c r="A155" s="10" t="s">
        <v>490</v>
      </c>
      <c r="B155" s="173" t="str" cm="1">
        <f t="array" ref="B155">VLOOKUP(A155,'The List'!B1:D671,3,FALSE)</f>
        <v>D</v>
      </c>
      <c r="C155" s="174" cm="1">
        <f t="array" ref="C155">IF(Settings!$E$15="POINTS",RANK(E155,E3:E204),H155)</f>
        <v>153</v>
      </c>
      <c r="D155" s="18" t="str" cm="1">
        <f t="array" ref="D155">VLOOKUP(A155,'The List'!B1:F671,5,FALSE)</f>
        <v>SEA</v>
      </c>
      <c r="E155" s="55" cm="1">
        <f t="array" ref="E155">VLOOKUP(A155,'The List'!B1:I671,8,FALSE)</f>
        <v>138.69019352870248</v>
      </c>
      <c r="F155" s="55" cm="1">
        <f t="array" ref="F155">IF(Settings!$E$15="POINTS",E155-VLOOKUP(B$2,C1:E204,3,FALSE),J155)</f>
        <v>-167.96367381589158</v>
      </c>
      <c r="G155" s="55"/>
      <c r="H155" s="167" cm="1">
        <f t="array" ref="H155">RANK(I155,I3:I204)</f>
        <v>167</v>
      </c>
      <c r="I155" s="168" cm="1">
        <f t="array" ref="I155">VLOOKUP(A155,'Standard Deviations'!A1:C672,3,FALSE)</f>
        <v>-3.4499646701322551</v>
      </c>
      <c r="J155" s="168" cm="1">
        <f t="array" ref="J155">I155-VLOOKUP(B$2,H1:J204,2,FALSE)</f>
        <v>-7.5427198496196235</v>
      </c>
    </row>
    <row r="156" spans="1:10" ht="21.25" customHeight="1" x14ac:dyDescent="0.15">
      <c r="A156" s="10" t="s">
        <v>491</v>
      </c>
      <c r="B156" s="173" t="str" cm="1">
        <f t="array" ref="B156">VLOOKUP(A156,'The List'!B1:D671,3,FALSE)</f>
        <v>D</v>
      </c>
      <c r="C156" s="174" cm="1">
        <f t="array" ref="C156">IF(Settings!$E$15="POINTS",RANK(E156,E3:E204),H156)</f>
        <v>154</v>
      </c>
      <c r="D156" s="18" t="str" cm="1">
        <f t="array" ref="D156">VLOOKUP(A156,'The List'!B1:F671,5,FALSE)</f>
        <v>WSH</v>
      </c>
      <c r="E156" s="55" cm="1">
        <f t="array" ref="E156">VLOOKUP(A156,'The List'!B1:I671,8,FALSE)</f>
        <v>138.67750271293619</v>
      </c>
      <c r="F156" s="55" cm="1">
        <f t="array" ref="F156">IF(Settings!$E$15="POINTS",E156-VLOOKUP(B$2,C1:E204,3,FALSE),J156)</f>
        <v>-167.97636463165787</v>
      </c>
      <c r="G156" s="55"/>
      <c r="H156" s="167" cm="1">
        <f t="array" ref="H156">RANK(I156,I3:I204)</f>
        <v>125</v>
      </c>
      <c r="I156" s="168" cm="1">
        <f t="array" ref="I156">VLOOKUP(A156,'Standard Deviations'!A1:C672,3,FALSE)</f>
        <v>-1.6447463583735455</v>
      </c>
      <c r="J156" s="168" cm="1">
        <f t="array" ref="J156">I156-VLOOKUP(B$2,H1:J204,2,FALSE)</f>
        <v>-5.737501537860914</v>
      </c>
    </row>
    <row r="157" spans="1:10" ht="21.25" customHeight="1" x14ac:dyDescent="0.15">
      <c r="A157" s="10" t="s">
        <v>494</v>
      </c>
      <c r="B157" s="173" t="str" cm="1">
        <f t="array" ref="B157">VLOOKUP(A157,'The List'!B1:D671,3,FALSE)</f>
        <v>D</v>
      </c>
      <c r="C157" s="174" cm="1">
        <f t="array" ref="C157">IF(Settings!$E$15="POINTS",RANK(E157,E3:E204),H157)</f>
        <v>155</v>
      </c>
      <c r="D157" s="18" t="str" cm="1">
        <f t="array" ref="D157">VLOOKUP(A157,'The List'!B1:F671,5,FALSE)</f>
        <v>NSH</v>
      </c>
      <c r="E157" s="55" cm="1">
        <f t="array" ref="E157">VLOOKUP(A157,'The List'!B1:I671,8,FALSE)</f>
        <v>137.91695455712866</v>
      </c>
      <c r="F157" s="55" cm="1">
        <f t="array" ref="F157">IF(Settings!$E$15="POINTS",E157-VLOOKUP(B$2,C1:E204,3,FALSE),J157)</f>
        <v>-168.7369127874654</v>
      </c>
      <c r="G157" s="55"/>
      <c r="H157" s="167" cm="1">
        <f t="array" ref="H157">RANK(I157,I3:I204)</f>
        <v>139</v>
      </c>
      <c r="I157" s="168" cm="1">
        <f t="array" ref="I157">VLOOKUP(A157,'Standard Deviations'!A1:C672,3,FALSE)</f>
        <v>-2.2701317951156277</v>
      </c>
      <c r="J157" s="168" cm="1">
        <f t="array" ref="J157">I157-VLOOKUP(B$2,H1:J204,2,FALSE)</f>
        <v>-6.3628869746029961</v>
      </c>
    </row>
    <row r="158" spans="1:10" ht="21.25" customHeight="1" x14ac:dyDescent="0.15">
      <c r="A158" s="10" t="s">
        <v>495</v>
      </c>
      <c r="B158" s="173" t="str" cm="1">
        <f t="array" ref="B158">VLOOKUP(A158,'The List'!B1:D671,3,FALSE)</f>
        <v>D</v>
      </c>
      <c r="C158" s="174" cm="1">
        <f t="array" ref="C158">IF(Settings!$E$15="POINTS",RANK(E158,E3:E204),H158)</f>
        <v>156</v>
      </c>
      <c r="D158" s="18" t="str" cm="1">
        <f t="array" ref="D158">VLOOKUP(A158,'The List'!B1:F671,5,FALSE)</f>
        <v>FLA</v>
      </c>
      <c r="E158" s="55" cm="1">
        <f t="array" ref="E158">VLOOKUP(A158,'The List'!B1:I671,8,FALSE)</f>
        <v>137.43862924022318</v>
      </c>
      <c r="F158" s="55" cm="1">
        <f t="array" ref="F158">IF(Settings!$E$15="POINTS",E158-VLOOKUP(B$2,C1:E204,3,FALSE),J158)</f>
        <v>-169.21523810437088</v>
      </c>
      <c r="G158" s="55"/>
      <c r="H158" s="167" cm="1">
        <f t="array" ref="H158">RANK(I158,I3:I204)</f>
        <v>77</v>
      </c>
      <c r="I158" s="168" cm="1">
        <f t="array" ref="I158">VLOOKUP(A158,'Standard Deviations'!A1:C672,3,FALSE)</f>
        <v>0.46926075089123076</v>
      </c>
      <c r="J158" s="168" cm="1">
        <f t="array" ref="J158">I158-VLOOKUP(B$2,H1:J204,2,FALSE)</f>
        <v>-3.6234944285961377</v>
      </c>
    </row>
    <row r="159" spans="1:10" ht="21.25" customHeight="1" x14ac:dyDescent="0.15">
      <c r="A159" s="10" t="s">
        <v>503</v>
      </c>
      <c r="B159" s="173" t="str" cm="1">
        <f t="array" ref="B159">VLOOKUP(A159,'The List'!B1:D671,3,FALSE)</f>
        <v>D</v>
      </c>
      <c r="C159" s="174" cm="1">
        <f t="array" ref="C159">IF(Settings!$E$15="POINTS",RANK(E159,E3:E204),H159)</f>
        <v>157</v>
      </c>
      <c r="D159" s="18" t="str" cm="1">
        <f t="array" ref="D159">VLOOKUP(A159,'The List'!B1:F671,5,FALSE)</f>
        <v>NSH</v>
      </c>
      <c r="E159" s="55" cm="1">
        <f t="array" ref="E159">VLOOKUP(A159,'The List'!B1:I671,8,FALSE)</f>
        <v>134.64353207216749</v>
      </c>
      <c r="F159" s="55" cm="1">
        <f t="array" ref="F159">IF(Settings!$E$15="POINTS",E159-VLOOKUP(B$2,C1:E204,3,FALSE),J159)</f>
        <v>-172.01033527242657</v>
      </c>
      <c r="G159" s="55"/>
      <c r="H159" s="167" cm="1">
        <f t="array" ref="H159">RANK(I159,I3:I204)</f>
        <v>170</v>
      </c>
      <c r="I159" s="168" cm="1">
        <f t="array" ref="I159">VLOOKUP(A159,'Standard Deviations'!A1:C672,3,FALSE)</f>
        <v>-3.4974670541777693</v>
      </c>
      <c r="J159" s="168" cm="1">
        <f t="array" ref="J159">I159-VLOOKUP(B$2,H1:J204,2,FALSE)</f>
        <v>-7.5902222336651377</v>
      </c>
    </row>
    <row r="160" spans="1:10" ht="21.25" customHeight="1" x14ac:dyDescent="0.15">
      <c r="A160" s="10" t="s">
        <v>504</v>
      </c>
      <c r="B160" s="173" t="str" cm="1">
        <f t="array" ref="B160">VLOOKUP(A160,'The List'!B1:D671,3,FALSE)</f>
        <v>D</v>
      </c>
      <c r="C160" s="174" cm="1">
        <f t="array" ref="C160">IF(Settings!$E$15="POINTS",RANK(E160,E3:E204),H160)</f>
        <v>158</v>
      </c>
      <c r="D160" s="18" t="str" cm="1">
        <f t="array" ref="D160">VLOOKUP(A160,'The List'!B1:F671,5,FALSE)</f>
        <v>BUF</v>
      </c>
      <c r="E160" s="55" cm="1">
        <f t="array" ref="E160">VLOOKUP(A160,'The List'!B1:I671,8,FALSE)</f>
        <v>134.38717348300656</v>
      </c>
      <c r="F160" s="55" cm="1">
        <f t="array" ref="F160">IF(Settings!$E$15="POINTS",E160-VLOOKUP(B$2,C1:E204,3,FALSE),J160)</f>
        <v>-172.2666938615875</v>
      </c>
      <c r="G160" s="55"/>
      <c r="H160" s="167" cm="1">
        <f t="array" ref="H160">RANK(I160,I3:I204)</f>
        <v>144</v>
      </c>
      <c r="I160" s="168" cm="1">
        <f t="array" ref="I160">VLOOKUP(A160,'Standard Deviations'!A1:C672,3,FALSE)</f>
        <v>-2.4578185079506727</v>
      </c>
      <c r="J160" s="168" cm="1">
        <f t="array" ref="J160">I160-VLOOKUP(B$2,H1:J204,2,FALSE)</f>
        <v>-6.5505736874380407</v>
      </c>
    </row>
    <row r="161" spans="1:10" ht="21.25" customHeight="1" x14ac:dyDescent="0.15">
      <c r="A161" s="10" t="s">
        <v>508</v>
      </c>
      <c r="B161" s="173" t="str" cm="1">
        <f t="array" ref="B161">VLOOKUP(A161,'The List'!B1:D671,3,FALSE)</f>
        <v>D</v>
      </c>
      <c r="C161" s="174" cm="1">
        <f t="array" ref="C161">IF(Settings!$E$15="POINTS",RANK(E161,E3:E204),H161)</f>
        <v>159</v>
      </c>
      <c r="D161" s="18" t="str" cm="1">
        <f t="array" ref="D161">VLOOKUP(A161,'The List'!B1:F671,5,FALSE)</f>
        <v>VAN</v>
      </c>
      <c r="E161" s="55" cm="1">
        <f t="array" ref="E161">VLOOKUP(A161,'The List'!B1:I671,8,FALSE)</f>
        <v>133.29937859436828</v>
      </c>
      <c r="F161" s="55" cm="1">
        <f t="array" ref="F161">IF(Settings!$E$15="POINTS",E161-VLOOKUP(B$2,C1:E204,3,FALSE),J161)</f>
        <v>-173.35448875022578</v>
      </c>
      <c r="G161" s="55"/>
      <c r="H161" s="167" cm="1">
        <f t="array" ref="H161">RANK(I161,I3:I204)</f>
        <v>192</v>
      </c>
      <c r="I161" s="168" cm="1">
        <f t="array" ref="I161">VLOOKUP(A161,'Standard Deviations'!A1:C672,3,FALSE)</f>
        <v>-4.7740589617095255</v>
      </c>
      <c r="J161" s="168" cm="1">
        <f t="array" ref="J161">I161-VLOOKUP(B$2,H1:J204,2,FALSE)</f>
        <v>-8.8668141411968939</v>
      </c>
    </row>
    <row r="162" spans="1:10" ht="21.25" customHeight="1" x14ac:dyDescent="0.15">
      <c r="A162" s="10" t="s">
        <v>510</v>
      </c>
      <c r="B162" s="173" t="str" cm="1">
        <f t="array" ref="B162">VLOOKUP(A162,'The List'!B1:D671,3,FALSE)</f>
        <v>D</v>
      </c>
      <c r="C162" s="174" cm="1">
        <f t="array" ref="C162">IF(Settings!$E$15="POINTS",RANK(E162,E3:E204),H162)</f>
        <v>160</v>
      </c>
      <c r="D162" s="18" t="str" cm="1">
        <f t="array" ref="D162">VLOOKUP(A162,'The List'!B1:F671,5,FALSE)</f>
        <v>L.A</v>
      </c>
      <c r="E162" s="55" cm="1">
        <f t="array" ref="E162">VLOOKUP(A162,'The List'!B1:I671,8,FALSE)</f>
        <v>132.95144001556832</v>
      </c>
      <c r="F162" s="55" cm="1">
        <f t="array" ref="F162">IF(Settings!$E$15="POINTS",E162-VLOOKUP(B$2,C1:E204,3,FALSE),J162)</f>
        <v>-173.70242732902574</v>
      </c>
      <c r="G162" s="55"/>
      <c r="H162" s="167" cm="1">
        <f t="array" ref="H162">RANK(I162,I3:I204)</f>
        <v>181</v>
      </c>
      <c r="I162" s="168" cm="1">
        <f t="array" ref="I162">VLOOKUP(A162,'Standard Deviations'!A1:C672,3,FALSE)</f>
        <v>-4.0205473554538154</v>
      </c>
      <c r="J162" s="168" cm="1">
        <f t="array" ref="J162">I162-VLOOKUP(B$2,H1:J204,2,FALSE)</f>
        <v>-8.1133025349411838</v>
      </c>
    </row>
    <row r="163" spans="1:10" ht="21.25" customHeight="1" x14ac:dyDescent="0.15">
      <c r="A163" s="10" t="s">
        <v>512</v>
      </c>
      <c r="B163" s="173" t="str" cm="1">
        <f t="array" ref="B163">VLOOKUP(A163,'The List'!B1:D671,3,FALSE)</f>
        <v>D</v>
      </c>
      <c r="C163" s="174" cm="1">
        <f t="array" ref="C163">IF(Settings!$E$15="POINTS",RANK(E163,E3:E204),H163)</f>
        <v>161</v>
      </c>
      <c r="D163" s="18" t="str" cm="1">
        <f t="array" ref="D163">VLOOKUP(A163,'The List'!B1:F671,5,FALSE)</f>
        <v>CHI</v>
      </c>
      <c r="E163" s="55" cm="1">
        <f t="array" ref="E163">VLOOKUP(A163,'The List'!B1:I671,8,FALSE)</f>
        <v>132.5593506329925</v>
      </c>
      <c r="F163" s="55" cm="1">
        <f t="array" ref="F163">IF(Settings!$E$15="POINTS",E163-VLOOKUP(B$2,C1:E204,3,FALSE),J163)</f>
        <v>-174.09451671160156</v>
      </c>
      <c r="G163" s="55"/>
      <c r="H163" s="167" cm="1">
        <f t="array" ref="H163">RANK(I163,I3:I204)</f>
        <v>128</v>
      </c>
      <c r="I163" s="168" cm="1">
        <f t="array" ref="I163">VLOOKUP(A163,'Standard Deviations'!A1:C672,3,FALSE)</f>
        <v>-1.9095142599882911</v>
      </c>
      <c r="J163" s="168" cm="1">
        <f t="array" ref="J163">I163-VLOOKUP(B$2,H1:J204,2,FALSE)</f>
        <v>-6.0022694394756595</v>
      </c>
    </row>
    <row r="164" spans="1:10" ht="21.25" customHeight="1" x14ac:dyDescent="0.15">
      <c r="A164" s="10" t="s">
        <v>515</v>
      </c>
      <c r="B164" s="173" t="str" cm="1">
        <f t="array" ref="B164">VLOOKUP(A164,'The List'!B1:D671,3,FALSE)</f>
        <v>D</v>
      </c>
      <c r="C164" s="174" cm="1">
        <f t="array" ref="C164">IF(Settings!$E$15="POINTS",RANK(E164,E3:E204),H164)</f>
        <v>162</v>
      </c>
      <c r="D164" s="18" t="str" cm="1">
        <f t="array" ref="D164">VLOOKUP(A164,'The List'!B1:F671,5,FALSE)</f>
        <v>ANA</v>
      </c>
      <c r="E164" s="55" cm="1">
        <f t="array" ref="E164">VLOOKUP(A164,'The List'!B1:I671,8,FALSE)</f>
        <v>132.08721908632936</v>
      </c>
      <c r="F164" s="55" cm="1">
        <f t="array" ref="F164">IF(Settings!$E$15="POINTS",E164-VLOOKUP(B$2,C1:E204,3,FALSE),J164)</f>
        <v>-174.56664825826471</v>
      </c>
      <c r="G164" s="55"/>
      <c r="H164" s="167" cm="1">
        <f t="array" ref="H164">RANK(I164,I3:I204)</f>
        <v>193</v>
      </c>
      <c r="I164" s="168" cm="1">
        <f t="array" ref="I164">VLOOKUP(A164,'Standard Deviations'!A1:C672,3,FALSE)</f>
        <v>-4.7951639596266027</v>
      </c>
      <c r="J164" s="168" cm="1">
        <f t="array" ref="J164">I164-VLOOKUP(B$2,H1:J204,2,FALSE)</f>
        <v>-8.887919139113972</v>
      </c>
    </row>
    <row r="165" spans="1:10" ht="21.25" customHeight="1" x14ac:dyDescent="0.15">
      <c r="A165" s="10" t="s">
        <v>516</v>
      </c>
      <c r="B165" s="173" t="str" cm="1">
        <f t="array" ref="B165">VLOOKUP(A165,'The List'!B1:D671,3,FALSE)</f>
        <v>D</v>
      </c>
      <c r="C165" s="174" cm="1">
        <f t="array" ref="C165">IF(Settings!$E$15="POINTS",RANK(E165,E3:E204),H165)</f>
        <v>163</v>
      </c>
      <c r="D165" s="18" t="str" cm="1">
        <f t="array" ref="D165">VLOOKUP(A165,'The List'!B1:F671,5,FALSE)</f>
        <v>UTA</v>
      </c>
      <c r="E165" s="55" cm="1">
        <f t="array" ref="E165">VLOOKUP(A165,'The List'!B1:I671,8,FALSE)</f>
        <v>131.48073644925358</v>
      </c>
      <c r="F165" s="55" cm="1">
        <f t="array" ref="F165">IF(Settings!$E$15="POINTS",E165-VLOOKUP(B$2,C1:E204,3,FALSE),J165)</f>
        <v>-175.17313089534048</v>
      </c>
      <c r="G165" s="55"/>
      <c r="H165" s="167" cm="1">
        <f t="array" ref="H165">RANK(I165,I3:I204)</f>
        <v>121</v>
      </c>
      <c r="I165" s="168" cm="1">
        <f t="array" ref="I165">VLOOKUP(A165,'Standard Deviations'!A1:C672,3,FALSE)</f>
        <v>-1.4334046858568252</v>
      </c>
      <c r="J165" s="168" cm="1">
        <f t="array" ref="J165">I165-VLOOKUP(B$2,H1:J204,2,FALSE)</f>
        <v>-5.5261598653441935</v>
      </c>
    </row>
    <row r="166" spans="1:10" ht="21.25" customHeight="1" x14ac:dyDescent="0.15">
      <c r="A166" s="10" t="s">
        <v>518</v>
      </c>
      <c r="B166" s="173" t="str" cm="1">
        <f t="array" ref="B166">VLOOKUP(A166,'The List'!B1:D671,3,FALSE)</f>
        <v>D</v>
      </c>
      <c r="C166" s="174" cm="1">
        <f t="array" ref="C166">IF(Settings!$E$15="POINTS",RANK(E166,E3:E204),H166)</f>
        <v>164</v>
      </c>
      <c r="D166" s="18" t="str" cm="1">
        <f t="array" ref="D166">VLOOKUP(A166,'The List'!B1:F671,5,FALSE)</f>
        <v>N.J</v>
      </c>
      <c r="E166" s="55" cm="1">
        <f t="array" ref="E166">VLOOKUP(A166,'The List'!B1:I671,8,FALSE)</f>
        <v>131.1842591290827</v>
      </c>
      <c r="F166" s="55" cm="1">
        <f t="array" ref="F166">IF(Settings!$E$15="POINTS",E166-VLOOKUP(B$2,C1:E204,3,FALSE),J166)</f>
        <v>-175.46960821551136</v>
      </c>
      <c r="G166" s="55"/>
      <c r="H166" s="167" cm="1">
        <f t="array" ref="H166">RANK(I166,I3:I204)</f>
        <v>113</v>
      </c>
      <c r="I166" s="168" cm="1">
        <f t="array" ref="I166">VLOOKUP(A166,'Standard Deviations'!A1:C672,3,FALSE)</f>
        <v>-1.1209226445324476</v>
      </c>
      <c r="J166" s="168" cm="1">
        <f t="array" ref="J166">I166-VLOOKUP(B$2,H1:J204,2,FALSE)</f>
        <v>-5.2136778240198165</v>
      </c>
    </row>
    <row r="167" spans="1:10" ht="21.25" customHeight="1" x14ac:dyDescent="0.15">
      <c r="A167" s="10" t="s">
        <v>520</v>
      </c>
      <c r="B167" s="173" t="str" cm="1">
        <f t="array" ref="B167">VLOOKUP(A167,'The List'!B1:D671,3,FALSE)</f>
        <v>D</v>
      </c>
      <c r="C167" s="174" cm="1">
        <f t="array" ref="C167">IF(Settings!$E$15="POINTS",RANK(E167,E3:E204),H167)</f>
        <v>165</v>
      </c>
      <c r="D167" s="18" t="str" cm="1">
        <f t="array" ref="D167">VLOOKUP(A167,'The List'!B1:F671,5,FALSE)</f>
        <v>STL</v>
      </c>
      <c r="E167" s="55" cm="1">
        <f t="array" ref="E167">VLOOKUP(A167,'The List'!B1:I671,8,FALSE)</f>
        <v>128.12926466305098</v>
      </c>
      <c r="F167" s="55" cm="1">
        <f t="array" ref="F167">IF(Settings!$E$15="POINTS",E167-VLOOKUP(B$2,C1:E204,3,FALSE),J167)</f>
        <v>-178.52460268154309</v>
      </c>
      <c r="G167" s="55"/>
      <c r="H167" s="167" cm="1">
        <f t="array" ref="H167">RANK(I167,I3:I204)</f>
        <v>157</v>
      </c>
      <c r="I167" s="168" cm="1">
        <f t="array" ref="I167">VLOOKUP(A167,'Standard Deviations'!A1:C672,3,FALSE)</f>
        <v>-2.7425775852804226</v>
      </c>
      <c r="J167" s="168" cm="1">
        <f t="array" ref="J167">I167-VLOOKUP(B$2,H1:J204,2,FALSE)</f>
        <v>-6.8353327647677915</v>
      </c>
    </row>
    <row r="168" spans="1:10" ht="21.25" customHeight="1" x14ac:dyDescent="0.15">
      <c r="A168" s="10" t="s">
        <v>523</v>
      </c>
      <c r="B168" s="173" t="str" cm="1">
        <f t="array" ref="B168">VLOOKUP(A168,'The List'!B1:D671,3,FALSE)</f>
        <v>D</v>
      </c>
      <c r="C168" s="174" cm="1">
        <f t="array" ref="C168">IF(Settings!$E$15="POINTS",RANK(E168,E3:E204),H168)</f>
        <v>166</v>
      </c>
      <c r="D168" s="18" t="str" cm="1">
        <f t="array" ref="D168">VLOOKUP(A168,'The List'!B1:F671,5,FALSE)</f>
        <v>TOR</v>
      </c>
      <c r="E168" s="55" cm="1">
        <f t="array" ref="E168">VLOOKUP(A168,'The List'!B1:I671,8,FALSE)</f>
        <v>126.4712231577904</v>
      </c>
      <c r="F168" s="55" cm="1">
        <f t="array" ref="F168">IF(Settings!$E$15="POINTS",E168-VLOOKUP(B$2,C1:E204,3,FALSE),J168)</f>
        <v>-180.18264418680366</v>
      </c>
      <c r="G168" s="55"/>
      <c r="H168" s="167" cm="1">
        <f t="array" ref="H168">RANK(I168,I3:I204)</f>
        <v>158</v>
      </c>
      <c r="I168" s="168" cm="1">
        <f t="array" ref="I168">VLOOKUP(A168,'Standard Deviations'!A1:C672,3,FALSE)</f>
        <v>-2.8303706152009203</v>
      </c>
      <c r="J168" s="168" cm="1">
        <f t="array" ref="J168">I168-VLOOKUP(B$2,H1:J204,2,FALSE)</f>
        <v>-6.9231257946882891</v>
      </c>
    </row>
    <row r="169" spans="1:10" ht="21.25" customHeight="1" x14ac:dyDescent="0.15">
      <c r="A169" s="10" t="s">
        <v>525</v>
      </c>
      <c r="B169" s="173" t="str" cm="1">
        <f t="array" ref="B169">VLOOKUP(A169,'The List'!B1:D671,3,FALSE)</f>
        <v>D</v>
      </c>
      <c r="C169" s="174" cm="1">
        <f t="array" ref="C169">IF(Settings!$E$15="POINTS",RANK(E169,E3:E204),H169)</f>
        <v>167</v>
      </c>
      <c r="D169" s="18" t="str" cm="1">
        <f t="array" ref="D169">VLOOKUP(A169,'The List'!B1:F671,5,FALSE)</f>
        <v>BOS</v>
      </c>
      <c r="E169" s="55" cm="1">
        <f t="array" ref="E169">VLOOKUP(A169,'The List'!B1:I671,8,FALSE)</f>
        <v>126.32110268990287</v>
      </c>
      <c r="F169" s="55" cm="1">
        <f t="array" ref="F169">IF(Settings!$E$15="POINTS",E169-VLOOKUP(B$2,C1:E204,3,FALSE),J169)</f>
        <v>-180.33276465469118</v>
      </c>
      <c r="G169" s="55"/>
      <c r="H169" s="167" cm="1">
        <f t="array" ref="H169">RANK(I169,I3:I204)</f>
        <v>132</v>
      </c>
      <c r="I169" s="168" cm="1">
        <f t="array" ref="I169">VLOOKUP(A169,'Standard Deviations'!A1:C672,3,FALSE)</f>
        <v>-2.0977127682570766</v>
      </c>
      <c r="J169" s="168" cm="1">
        <f t="array" ref="J169">I169-VLOOKUP(B$2,H1:J204,2,FALSE)</f>
        <v>-6.1904679477444446</v>
      </c>
    </row>
    <row r="170" spans="1:10" ht="21.25" customHeight="1" x14ac:dyDescent="0.15">
      <c r="A170" s="10" t="s">
        <v>526</v>
      </c>
      <c r="B170" s="173" t="str" cm="1">
        <f t="array" ref="B170">VLOOKUP(A170,'The List'!B1:D671,3,FALSE)</f>
        <v>D</v>
      </c>
      <c r="C170" s="174" cm="1">
        <f t="array" ref="C170">IF(Settings!$E$15="POINTS",RANK(E170,E3:E204),H170)</f>
        <v>168</v>
      </c>
      <c r="D170" s="18" t="str" cm="1">
        <f t="array" ref="D170">VLOOKUP(A170,'The List'!B1:F671,5,FALSE)</f>
        <v>EDM</v>
      </c>
      <c r="E170" s="55" cm="1">
        <f t="array" ref="E170">VLOOKUP(A170,'The List'!B1:I671,8,FALSE)</f>
        <v>125.64494572109678</v>
      </c>
      <c r="F170" s="55" cm="1">
        <f t="array" ref="F170">IF(Settings!$E$15="POINTS",E170-VLOOKUP(B$2,C1:E204,3,FALSE),J170)</f>
        <v>-181.00892162349729</v>
      </c>
      <c r="G170" s="55"/>
      <c r="H170" s="167" cm="1">
        <f t="array" ref="H170">RANK(I170,I3:I204)</f>
        <v>159</v>
      </c>
      <c r="I170" s="168" cm="1">
        <f t="array" ref="I170">VLOOKUP(A170,'Standard Deviations'!A1:C672,3,FALSE)</f>
        <v>-3.043722904249742</v>
      </c>
      <c r="J170" s="168" cm="1">
        <f t="array" ref="J170">I170-VLOOKUP(B$2,H1:J204,2,FALSE)</f>
        <v>-7.13647808373711</v>
      </c>
    </row>
    <row r="171" spans="1:10" ht="21.25" customHeight="1" x14ac:dyDescent="0.15">
      <c r="A171" s="10" t="s">
        <v>528</v>
      </c>
      <c r="B171" s="173" t="str" cm="1">
        <f t="array" ref="B171">VLOOKUP(A171,'The List'!B1:D671,3,FALSE)</f>
        <v>D</v>
      </c>
      <c r="C171" s="174" cm="1">
        <f t="array" ref="C171">IF(Settings!$E$15="POINTS",RANK(E171,E3:E204),H171)</f>
        <v>169</v>
      </c>
      <c r="D171" s="18" t="str" cm="1">
        <f t="array" ref="D171">VLOOKUP(A171,'The List'!B1:F671,5,FALSE)</f>
        <v>DAL</v>
      </c>
      <c r="E171" s="55" cm="1">
        <f t="array" ref="E171">VLOOKUP(A171,'The List'!B1:I671,8,FALSE)</f>
        <v>124.56785813828463</v>
      </c>
      <c r="F171" s="55" cm="1">
        <f t="array" ref="F171">IF(Settings!$E$15="POINTS",E171-VLOOKUP(B$2,C1:E204,3,FALSE),J171)</f>
        <v>-182.08600920630943</v>
      </c>
      <c r="G171" s="55"/>
      <c r="H171" s="167" cm="1">
        <f t="array" ref="H171">RANK(I171,I3:I204)</f>
        <v>147</v>
      </c>
      <c r="I171" s="168" cm="1">
        <f t="array" ref="I171">VLOOKUP(A171,'Standard Deviations'!A1:C672,3,FALSE)</f>
        <v>-2.5542877833648934</v>
      </c>
      <c r="J171" s="168" cm="1">
        <f t="array" ref="J171">I171-VLOOKUP(B$2,H1:J204,2,FALSE)</f>
        <v>-6.6470429628522618</v>
      </c>
    </row>
    <row r="172" spans="1:10" ht="21.25" customHeight="1" x14ac:dyDescent="0.15">
      <c r="A172" s="10" t="s">
        <v>529</v>
      </c>
      <c r="B172" s="173" t="str" cm="1">
        <f t="array" ref="B172">VLOOKUP(A172,'The List'!B1:D671,3,FALSE)</f>
        <v>D</v>
      </c>
      <c r="C172" s="174" cm="1">
        <f t="array" ref="C172">IF(Settings!$E$15="POINTS",RANK(E172,E3:E204),H172)</f>
        <v>170</v>
      </c>
      <c r="D172" s="18" t="str" cm="1">
        <f t="array" ref="D172">VLOOKUP(A172,'The List'!B1:F671,5,FALSE)</f>
        <v>PIT</v>
      </c>
      <c r="E172" s="55" cm="1">
        <f t="array" ref="E172">VLOOKUP(A172,'The List'!B1:I671,8,FALSE)</f>
        <v>124.45795464795697</v>
      </c>
      <c r="F172" s="55" cm="1">
        <f t="array" ref="F172">IF(Settings!$E$15="POINTS",E172-VLOOKUP(B$2,C1:E204,3,FALSE),J172)</f>
        <v>-182.19591269663709</v>
      </c>
      <c r="G172" s="55"/>
      <c r="H172" s="167" cm="1">
        <f t="array" ref="H172">RANK(I172,I3:I204)</f>
        <v>166</v>
      </c>
      <c r="I172" s="168" cm="1">
        <f t="array" ref="I172">VLOOKUP(A172,'Standard Deviations'!A1:C672,3,FALSE)</f>
        <v>-3.4054776580845996</v>
      </c>
      <c r="J172" s="168" cm="1">
        <f t="array" ref="J172">I172-VLOOKUP(B$2,H1:J204,2,FALSE)</f>
        <v>-7.498232837571968</v>
      </c>
    </row>
    <row r="173" spans="1:10" ht="21.25" customHeight="1" x14ac:dyDescent="0.15">
      <c r="A173" s="10" t="s">
        <v>537</v>
      </c>
      <c r="B173" s="173" t="str" cm="1">
        <f t="array" ref="B173">VLOOKUP(A173,'The List'!B1:D671,3,FALSE)</f>
        <v>D</v>
      </c>
      <c r="C173" s="174" cm="1">
        <f t="array" ref="C173">IF(Settings!$E$15="POINTS",RANK(E173,E3:E204),H173)</f>
        <v>171</v>
      </c>
      <c r="D173" s="18" t="str" cm="1">
        <f t="array" ref="D173">VLOOKUP(A173,'The List'!B1:F671,5,FALSE)</f>
        <v>VGK</v>
      </c>
      <c r="E173" s="55" cm="1">
        <f t="array" ref="E173">VLOOKUP(A173,'The List'!B1:I671,8,FALSE)</f>
        <v>121.61063443806469</v>
      </c>
      <c r="F173" s="55" cm="1">
        <f t="array" ref="F173">IF(Settings!$E$15="POINTS",E173-VLOOKUP(B$2,C1:E204,3,FALSE),J173)</f>
        <v>-185.04323290652937</v>
      </c>
      <c r="G173" s="55"/>
      <c r="H173" s="167" cm="1">
        <f t="array" ref="H173">RANK(I173,I3:I204)</f>
        <v>149</v>
      </c>
      <c r="I173" s="168" cm="1">
        <f t="array" ref="I173">VLOOKUP(A173,'Standard Deviations'!A1:C672,3,FALSE)</f>
        <v>-2.5786097305878943</v>
      </c>
      <c r="J173" s="168" cm="1">
        <f t="array" ref="J173">I173-VLOOKUP(B$2,H1:J204,2,FALSE)</f>
        <v>-6.6713649100752628</v>
      </c>
    </row>
    <row r="174" spans="1:10" ht="21.25" customHeight="1" x14ac:dyDescent="0.15">
      <c r="A174" s="10" t="s">
        <v>539</v>
      </c>
      <c r="B174" s="173" t="str" cm="1">
        <f t="array" ref="B174">VLOOKUP(A174,'The List'!B1:D671,3,FALSE)</f>
        <v>D</v>
      </c>
      <c r="C174" s="174" cm="1">
        <f t="array" ref="C174">IF(Settings!$E$15="POINTS",RANK(E174,E3:E204),H174)</f>
        <v>172</v>
      </c>
      <c r="D174" s="18" t="str" cm="1">
        <f t="array" ref="D174">VLOOKUP(A174,'The List'!B1:F671,5,FALSE)</f>
        <v>SEA</v>
      </c>
      <c r="E174" s="55" cm="1">
        <f t="array" ref="E174">VLOOKUP(A174,'The List'!B1:I671,8,FALSE)</f>
        <v>120.37656415675117</v>
      </c>
      <c r="F174" s="55" cm="1">
        <f t="array" ref="F174">IF(Settings!$E$15="POINTS",E174-VLOOKUP(B$2,C1:E204,3,FALSE),J174)</f>
        <v>-186.2773031878429</v>
      </c>
      <c r="G174" s="55"/>
      <c r="H174" s="167" cm="1">
        <f t="array" ref="H174">RANK(I174,I3:I204)</f>
        <v>189</v>
      </c>
      <c r="I174" s="168" cm="1">
        <f t="array" ref="I174">VLOOKUP(A174,'Standard Deviations'!A1:C672,3,FALSE)</f>
        <v>-4.5703677760221133</v>
      </c>
      <c r="J174" s="168" cm="1">
        <f t="array" ref="J174">I174-VLOOKUP(B$2,H1:J204,2,FALSE)</f>
        <v>-8.6631229555094826</v>
      </c>
    </row>
    <row r="175" spans="1:10" ht="21.25" customHeight="1" x14ac:dyDescent="0.15">
      <c r="A175" s="10" t="s">
        <v>546</v>
      </c>
      <c r="B175" s="173" t="str" cm="1">
        <f t="array" ref="B175">VLOOKUP(A175,'The List'!B1:D671,3,FALSE)</f>
        <v>D</v>
      </c>
      <c r="C175" s="174" cm="1">
        <f t="array" ref="C175">IF(Settings!$E$15="POINTS",RANK(E175,E3:E204),H175)</f>
        <v>173</v>
      </c>
      <c r="D175" s="18" t="str" cm="1">
        <f t="array" ref="D175">VLOOKUP(A175,'The List'!B1:F671,5,FALSE)</f>
        <v>VGK</v>
      </c>
      <c r="E175" s="55" cm="1">
        <f t="array" ref="E175">VLOOKUP(A175,'The List'!B1:I671,8,FALSE)</f>
        <v>118.11283201371484</v>
      </c>
      <c r="F175" s="55" cm="1">
        <f t="array" ref="F175">IF(Settings!$E$15="POINTS",E175-VLOOKUP(B$2,C1:E204,3,FALSE),J175)</f>
        <v>-188.54103533087923</v>
      </c>
      <c r="G175" s="55"/>
      <c r="H175" s="167" cm="1">
        <f t="array" ref="H175">RANK(I175,I3:I204)</f>
        <v>82</v>
      </c>
      <c r="I175" s="168" cm="1">
        <f t="array" ref="I175">VLOOKUP(A175,'Standard Deviations'!A1:C672,3,FALSE)</f>
        <v>0.19564325489523027</v>
      </c>
      <c r="J175" s="168" cm="1">
        <f t="array" ref="J175">I175-VLOOKUP(B$2,H1:J204,2,FALSE)</f>
        <v>-3.8971119245921382</v>
      </c>
    </row>
    <row r="176" spans="1:10" ht="21.25" customHeight="1" x14ac:dyDescent="0.15">
      <c r="A176" s="10" t="s">
        <v>547</v>
      </c>
      <c r="B176" s="173" t="str" cm="1">
        <f t="array" ref="B176">VLOOKUP(A176,'The List'!B1:D671,3,FALSE)</f>
        <v>D</v>
      </c>
      <c r="C176" s="174" cm="1">
        <f t="array" ref="C176">IF(Settings!$E$15="POINTS",RANK(E176,E3:E204),H176)</f>
        <v>174</v>
      </c>
      <c r="D176" s="18" t="str" cm="1">
        <f t="array" ref="D176">VLOOKUP(A176,'The List'!B1:F671,5,FALSE)</f>
        <v>MIN</v>
      </c>
      <c r="E176" s="55" cm="1">
        <f t="array" ref="E176">VLOOKUP(A176,'The List'!B1:I671,8,FALSE)</f>
        <v>117.72229123455921</v>
      </c>
      <c r="F176" s="55" cm="1">
        <f t="array" ref="F176">IF(Settings!$E$15="POINTS",E176-VLOOKUP(B$2,C1:E204,3,FALSE),J176)</f>
        <v>-188.93157611003485</v>
      </c>
      <c r="G176" s="55"/>
      <c r="H176" s="167" cm="1">
        <f t="array" ref="H176">RANK(I176,I3:I204)</f>
        <v>184</v>
      </c>
      <c r="I176" s="168" cm="1">
        <f t="array" ref="I176">VLOOKUP(A176,'Standard Deviations'!A1:C672,3,FALSE)</f>
        <v>-4.1905592888926879</v>
      </c>
      <c r="J176" s="168" cm="1">
        <f t="array" ref="J176">I176-VLOOKUP(B$2,H1:J204,2,FALSE)</f>
        <v>-8.2833144683800555</v>
      </c>
    </row>
    <row r="177" spans="1:10" ht="21.25" customHeight="1" x14ac:dyDescent="0.15">
      <c r="A177" s="10" t="s">
        <v>549</v>
      </c>
      <c r="B177" s="173" t="str" cm="1">
        <f t="array" ref="B177">VLOOKUP(A177,'The List'!B1:D671,3,FALSE)</f>
        <v>D</v>
      </c>
      <c r="C177" s="174" cm="1">
        <f t="array" ref="C177">IF(Settings!$E$15="POINTS",RANK(E177,E3:E204),H177)</f>
        <v>175</v>
      </c>
      <c r="D177" s="18" t="str" cm="1">
        <f t="array" ref="D177">VLOOKUP(A177,'The List'!B1:F671,5,FALSE)</f>
        <v>WPG</v>
      </c>
      <c r="E177" s="55" cm="1">
        <f t="array" ref="E177">VLOOKUP(A177,'The List'!B1:I671,8,FALSE)</f>
        <v>116.11972026790505</v>
      </c>
      <c r="F177" s="55" cm="1">
        <f t="array" ref="F177">IF(Settings!$E$15="POINTS",E177-VLOOKUP(B$2,C1:E204,3,FALSE),J177)</f>
        <v>-190.53414707668901</v>
      </c>
      <c r="G177" s="55"/>
      <c r="H177" s="167" cm="1">
        <f t="array" ref="H177">RANK(I177,I3:I204)</f>
        <v>173</v>
      </c>
      <c r="I177" s="168" cm="1">
        <f t="array" ref="I177">VLOOKUP(A177,'Standard Deviations'!A1:C672,3,FALSE)</f>
        <v>-3.6198040376971328</v>
      </c>
      <c r="J177" s="168" cm="1">
        <f t="array" ref="J177">I177-VLOOKUP(B$2,H1:J204,2,FALSE)</f>
        <v>-7.7125592171845012</v>
      </c>
    </row>
    <row r="178" spans="1:10" ht="21.25" customHeight="1" x14ac:dyDescent="0.15">
      <c r="A178" s="10" t="s">
        <v>551</v>
      </c>
      <c r="B178" s="173" t="str" cm="1">
        <f t="array" ref="B178">VLOOKUP(A178,'The List'!B1:D671,3,FALSE)</f>
        <v>D</v>
      </c>
      <c r="C178" s="174" cm="1">
        <f t="array" ref="C178">IF(Settings!$E$15="POINTS",RANK(E178,E3:E204),H178)</f>
        <v>176</v>
      </c>
      <c r="D178" s="18" t="str" cm="1">
        <f t="array" ref="D178">VLOOKUP(A178,'The List'!B1:F671,5,FALSE)</f>
        <v>CGY</v>
      </c>
      <c r="E178" s="55" cm="1">
        <f t="array" ref="E178">VLOOKUP(A178,'The List'!B1:I671,8,FALSE)</f>
        <v>115.57260611906064</v>
      </c>
      <c r="F178" s="55" cm="1">
        <f t="array" ref="F178">IF(Settings!$E$15="POINTS",E178-VLOOKUP(B$2,C1:E204,3,FALSE),J178)</f>
        <v>-191.08126122553341</v>
      </c>
      <c r="G178" s="55"/>
      <c r="H178" s="167" cm="1">
        <f t="array" ref="H178">RANK(I178,I3:I204)</f>
        <v>200</v>
      </c>
      <c r="I178" s="168" cm="1">
        <f t="array" ref="I178">VLOOKUP(A178,'Standard Deviations'!A1:C672,3,FALSE)</f>
        <v>-5.6406281449927427</v>
      </c>
      <c r="J178" s="168" cm="1">
        <f t="array" ref="J178">I178-VLOOKUP(B$2,H1:J204,2,FALSE)</f>
        <v>-9.733383324480112</v>
      </c>
    </row>
    <row r="179" spans="1:10" ht="21.25" customHeight="1" x14ac:dyDescent="0.15">
      <c r="A179" s="10" t="s">
        <v>552</v>
      </c>
      <c r="B179" s="173" t="str" cm="1">
        <f t="array" ref="B179">VLOOKUP(A179,'The List'!B1:D671,3,FALSE)</f>
        <v>D</v>
      </c>
      <c r="C179" s="174" cm="1">
        <f t="array" ref="C179">IF(Settings!$E$15="POINTS",RANK(E179,E3:E204),H179)</f>
        <v>177</v>
      </c>
      <c r="D179" s="18" t="str" cm="1">
        <f t="array" ref="D179">VLOOKUP(A179,'The List'!B1:F671,5,FALSE)</f>
        <v>FLA</v>
      </c>
      <c r="E179" s="55" cm="1">
        <f t="array" ref="E179">VLOOKUP(A179,'The List'!B1:I671,8,FALSE)</f>
        <v>115.40063185752027</v>
      </c>
      <c r="F179" s="55" cm="1">
        <f t="array" ref="F179">IF(Settings!$E$15="POINTS",E179-VLOOKUP(B$2,C1:E204,3,FALSE),J179)</f>
        <v>-191.25323548707379</v>
      </c>
      <c r="G179" s="55"/>
      <c r="H179" s="167" cm="1">
        <f t="array" ref="H179">RANK(I179,I3:I204)</f>
        <v>148</v>
      </c>
      <c r="I179" s="168" cm="1">
        <f t="array" ref="I179">VLOOKUP(A179,'Standard Deviations'!A1:C672,3,FALSE)</f>
        <v>-2.5672458916548346</v>
      </c>
      <c r="J179" s="168" cm="1">
        <f t="array" ref="J179">I179-VLOOKUP(B$2,H1:J204,2,FALSE)</f>
        <v>-6.6600010711422026</v>
      </c>
    </row>
    <row r="180" spans="1:10" ht="21.25" customHeight="1" x14ac:dyDescent="0.15">
      <c r="A180" s="10" t="s">
        <v>553</v>
      </c>
      <c r="B180" s="173" t="str" cm="1">
        <f t="array" ref="B180">VLOOKUP(A180,'The List'!B1:D671,3,FALSE)</f>
        <v>D</v>
      </c>
      <c r="C180" s="174" cm="1">
        <f t="array" ref="C180">IF(Settings!$E$15="POINTS",RANK(E180,E3:E204),H180)</f>
        <v>178</v>
      </c>
      <c r="D180" s="18" t="str" cm="1">
        <f t="array" ref="D180">VLOOKUP(A180,'The List'!B1:F671,5,FALSE)</f>
        <v>BOS</v>
      </c>
      <c r="E180" s="55" cm="1">
        <f t="array" ref="E180">VLOOKUP(A180,'The List'!B1:I671,8,FALSE)</f>
        <v>115.22663819379456</v>
      </c>
      <c r="F180" s="55" cm="1">
        <f t="array" ref="F180">IF(Settings!$E$15="POINTS",E180-VLOOKUP(B$2,C1:E204,3,FALSE),J180)</f>
        <v>-191.42722915079952</v>
      </c>
      <c r="G180" s="55"/>
      <c r="H180" s="167" cm="1">
        <f t="array" ref="H180">RANK(I180,I3:I204)</f>
        <v>191</v>
      </c>
      <c r="I180" s="168" cm="1">
        <f t="array" ref="I180">VLOOKUP(A180,'Standard Deviations'!A1:C672,3,FALSE)</f>
        <v>-4.73045801297837</v>
      </c>
      <c r="J180" s="168" cm="1">
        <f t="array" ref="J180">I180-VLOOKUP(B$2,H1:J204,2,FALSE)</f>
        <v>-8.8232131924657384</v>
      </c>
    </row>
    <row r="181" spans="1:10" ht="21.25" customHeight="1" x14ac:dyDescent="0.15">
      <c r="A181" s="10" t="s">
        <v>557</v>
      </c>
      <c r="B181" s="173" t="str" cm="1">
        <f t="array" ref="B181">VLOOKUP(A181,'The List'!B1:D671,3,FALSE)</f>
        <v>D</v>
      </c>
      <c r="C181" s="174" cm="1">
        <f t="array" ref="C181">IF(Settings!$E$15="POINTS",RANK(E181,E3:E204),H181)</f>
        <v>179</v>
      </c>
      <c r="D181" s="18" t="str" cm="1">
        <f t="array" ref="D181">VLOOKUP(A181,'The List'!B1:F671,5,FALSE)</f>
        <v>STL</v>
      </c>
      <c r="E181" s="55" cm="1">
        <f t="array" ref="E181">VLOOKUP(A181,'The List'!B1:I671,8,FALSE)</f>
        <v>112.51761653790835</v>
      </c>
      <c r="F181" s="55" cm="1">
        <f t="array" ref="F181">IF(Settings!$E$15="POINTS",E181-VLOOKUP(B$2,C1:E204,3,FALSE),J181)</f>
        <v>-194.13625080668572</v>
      </c>
      <c r="G181" s="55"/>
      <c r="H181" s="167" cm="1">
        <f t="array" ref="H181">RANK(I181,I3:I204)</f>
        <v>183</v>
      </c>
      <c r="I181" s="168" cm="1">
        <f t="array" ref="I181">VLOOKUP(A181,'Standard Deviations'!A1:C672,3,FALSE)</f>
        <v>-4.0543697204036775</v>
      </c>
      <c r="J181" s="168" cm="1">
        <f t="array" ref="J181">I181-VLOOKUP(B$2,H1:J204,2,FALSE)</f>
        <v>-8.1471248998910468</v>
      </c>
    </row>
    <row r="182" spans="1:10" ht="21.25" customHeight="1" x14ac:dyDescent="0.15">
      <c r="A182" s="10" t="s">
        <v>559</v>
      </c>
      <c r="B182" s="173" t="str" cm="1">
        <f t="array" ref="B182">VLOOKUP(A182,'The List'!B1:D671,3,FALSE)</f>
        <v>D</v>
      </c>
      <c r="C182" s="174" cm="1">
        <f t="array" ref="C182">IF(Settings!$E$15="POINTS",RANK(E182,E3:E204),H182)</f>
        <v>180</v>
      </c>
      <c r="D182" s="18" t="str" cm="1">
        <f t="array" ref="D182">VLOOKUP(A182,'The List'!B1:F671,5,FALSE)</f>
        <v>DET</v>
      </c>
      <c r="E182" s="55" cm="1">
        <f t="array" ref="E182">VLOOKUP(A182,'The List'!B1:I671,8,FALSE)</f>
        <v>112.12730742254092</v>
      </c>
      <c r="F182" s="55" cm="1">
        <f t="array" ref="F182">IF(Settings!$E$15="POINTS",E182-VLOOKUP(B$2,C1:E204,3,FALSE),J182)</f>
        <v>-194.52655992205314</v>
      </c>
      <c r="G182" s="55"/>
      <c r="H182" s="167" cm="1">
        <f t="array" ref="H182">RANK(I182,I3:I204)</f>
        <v>196</v>
      </c>
      <c r="I182" s="168" cm="1">
        <f t="array" ref="I182">VLOOKUP(A182,'Standard Deviations'!A1:C672,3,FALSE)</f>
        <v>-5.020355195879449</v>
      </c>
      <c r="J182" s="168" cm="1">
        <f t="array" ref="J182">I182-VLOOKUP(B$2,H1:J204,2,FALSE)</f>
        <v>-9.1131103753668175</v>
      </c>
    </row>
    <row r="183" spans="1:10" ht="21.25" customHeight="1" x14ac:dyDescent="0.15">
      <c r="A183" s="10" t="s">
        <v>560</v>
      </c>
      <c r="B183" s="173" t="str" cm="1">
        <f t="array" ref="B183">VLOOKUP(A183,'The List'!B1:D671,3,FALSE)</f>
        <v>D</v>
      </c>
      <c r="C183" s="174" cm="1">
        <f t="array" ref="C183">IF(Settings!$E$15="POINTS",RANK(E183,E3:E204),H183)</f>
        <v>181</v>
      </c>
      <c r="D183" s="18" t="str" cm="1">
        <f t="array" ref="D183">VLOOKUP(A183,'The List'!B1:F671,5,FALSE)</f>
        <v>T.B</v>
      </c>
      <c r="E183" s="55" cm="1">
        <f t="array" ref="E183">VLOOKUP(A183,'The List'!B1:I671,8,FALSE)</f>
        <v>112.12429114976052</v>
      </c>
      <c r="F183" s="55" cm="1">
        <f t="array" ref="F183">IF(Settings!$E$15="POINTS",E183-VLOOKUP(B$2,C1:E204,3,FALSE),J183)</f>
        <v>-194.52957619483354</v>
      </c>
      <c r="G183" s="55"/>
      <c r="H183" s="167" cm="1">
        <f t="array" ref="H183">RANK(I183,I3:I204)</f>
        <v>96</v>
      </c>
      <c r="I183" s="168" cm="1">
        <f t="array" ref="I183">VLOOKUP(A183,'Standard Deviations'!A1:C672,3,FALSE)</f>
        <v>-0.25891186031801228</v>
      </c>
      <c r="J183" s="168" cm="1">
        <f t="array" ref="J183">I183-VLOOKUP(B$2,H1:J204,2,FALSE)</f>
        <v>-4.3516670398053812</v>
      </c>
    </row>
    <row r="184" spans="1:10" ht="21.25" customHeight="1" x14ac:dyDescent="0.15">
      <c r="A184" s="10" t="s">
        <v>563</v>
      </c>
      <c r="B184" s="173" t="str" cm="1">
        <f t="array" ref="B184">VLOOKUP(A184,'The List'!B1:D671,3,FALSE)</f>
        <v>D</v>
      </c>
      <c r="C184" s="174" cm="1">
        <f t="array" ref="C184">IF(Settings!$E$15="POINTS",RANK(E184,E3:E204),H184)</f>
        <v>182</v>
      </c>
      <c r="D184" s="18" t="str" cm="1">
        <f t="array" ref="D184">VLOOKUP(A184,'The List'!B1:F671,5,FALSE)</f>
        <v>EDM</v>
      </c>
      <c r="E184" s="55" cm="1">
        <f t="array" ref="E184">VLOOKUP(A184,'The List'!B1:I671,8,FALSE)</f>
        <v>110.88315520645803</v>
      </c>
      <c r="F184" s="55" cm="1">
        <f t="array" ref="F184">IF(Settings!$E$15="POINTS",E184-VLOOKUP(B$2,C1:E204,3,FALSE),J184)</f>
        <v>-195.77071213813605</v>
      </c>
      <c r="G184" s="55"/>
      <c r="H184" s="167" cm="1">
        <f t="array" ref="H184">RANK(I184,I3:I204)</f>
        <v>169</v>
      </c>
      <c r="I184" s="168" cm="1">
        <f t="array" ref="I184">VLOOKUP(A184,'Standard Deviations'!A1:C672,3,FALSE)</f>
        <v>-3.4840271202481548</v>
      </c>
      <c r="J184" s="168" cm="1">
        <f t="array" ref="J184">I184-VLOOKUP(B$2,H1:J204,2,FALSE)</f>
        <v>-7.5767822997355232</v>
      </c>
    </row>
    <row r="185" spans="1:10" ht="21.25" customHeight="1" x14ac:dyDescent="0.15">
      <c r="A185" s="10" t="s">
        <v>564</v>
      </c>
      <c r="B185" s="173" t="str" cm="1">
        <f t="array" ref="B185">VLOOKUP(A185,'The List'!B1:D671,3,FALSE)</f>
        <v>D</v>
      </c>
      <c r="C185" s="174" cm="1">
        <f t="array" ref="C185">IF(Settings!$E$15="POINTS",RANK(E185,E3:E204),H185)</f>
        <v>183</v>
      </c>
      <c r="D185" s="18" t="str" cm="1">
        <f t="array" ref="D185">VLOOKUP(A185,'The List'!B1:F671,5,FALSE)</f>
        <v>TOR</v>
      </c>
      <c r="E185" s="55" cm="1">
        <f t="array" ref="E185">VLOOKUP(A185,'The List'!B1:I671,8,FALSE)</f>
        <v>110.81943600492859</v>
      </c>
      <c r="F185" s="55" cm="1">
        <f t="array" ref="F185">IF(Settings!$E$15="POINTS",E185-VLOOKUP(B$2,C1:E204,3,FALSE),J185)</f>
        <v>-195.83443133966546</v>
      </c>
      <c r="G185" s="55"/>
      <c r="H185" s="167" cm="1">
        <f t="array" ref="H185">RANK(I185,I3:I204)</f>
        <v>174</v>
      </c>
      <c r="I185" s="168" cm="1">
        <f t="array" ref="I185">VLOOKUP(A185,'Standard Deviations'!A1:C672,3,FALSE)</f>
        <v>-3.6324576311738448</v>
      </c>
      <c r="J185" s="168" cm="1">
        <f t="array" ref="J185">I185-VLOOKUP(B$2,H1:J204,2,FALSE)</f>
        <v>-7.7252128106612137</v>
      </c>
    </row>
    <row r="186" spans="1:10" ht="21.25" customHeight="1" x14ac:dyDescent="0.15">
      <c r="A186" s="10" t="s">
        <v>565</v>
      </c>
      <c r="B186" s="173" t="str" cm="1">
        <f t="array" ref="B186">VLOOKUP(A186,'The List'!B1:D671,3,FALSE)</f>
        <v>D</v>
      </c>
      <c r="C186" s="174" cm="1">
        <f t="array" ref="C186">IF(Settings!$E$15="POINTS",RANK(E186,E3:E204),H186)</f>
        <v>184</v>
      </c>
      <c r="D186" s="18" t="str" cm="1">
        <f t="array" ref="D186">VLOOKUP(A186,'The List'!B1:F671,5,FALSE)</f>
        <v>NSH</v>
      </c>
      <c r="E186" s="55" cm="1">
        <f t="array" ref="E186">VLOOKUP(A186,'The List'!B1:I671,8,FALSE)</f>
        <v>110.79314620319644</v>
      </c>
      <c r="F186" s="55" cm="1">
        <f t="array" ref="F186">IF(Settings!$E$15="POINTS",E186-VLOOKUP(B$2,C1:E204,3,FALSE),J186)</f>
        <v>-195.86072114139762</v>
      </c>
      <c r="G186" s="55"/>
      <c r="H186" s="167" cm="1">
        <f t="array" ref="H186">RANK(I186,I3:I204)</f>
        <v>194</v>
      </c>
      <c r="I186" s="168" cm="1">
        <f t="array" ref="I186">VLOOKUP(A186,'Standard Deviations'!A1:C672,3,FALSE)</f>
        <v>-4.8542342522438284</v>
      </c>
      <c r="J186" s="168" cm="1">
        <f t="array" ref="J186">I186-VLOOKUP(B$2,H1:J204,2,FALSE)</f>
        <v>-8.9469894317311969</v>
      </c>
    </row>
    <row r="187" spans="1:10" ht="21.25" customHeight="1" x14ac:dyDescent="0.15">
      <c r="A187" s="10" t="s">
        <v>568</v>
      </c>
      <c r="B187" s="173" t="str" cm="1">
        <f t="array" ref="B187">VLOOKUP(A187,'The List'!B1:D671,3,FALSE)</f>
        <v>D</v>
      </c>
      <c r="C187" s="174" cm="1">
        <f t="array" ref="C187">IF(Settings!$E$15="POINTS",RANK(E187,E3:E204),H187)</f>
        <v>185</v>
      </c>
      <c r="D187" s="18" t="str" cm="1">
        <f t="array" ref="D187">VLOOKUP(A187,'The List'!B1:F671,5,FALSE)</f>
        <v>PHI</v>
      </c>
      <c r="E187" s="55" cm="1">
        <f t="array" ref="E187">VLOOKUP(A187,'The List'!B1:I671,8,FALSE)</f>
        <v>109.76682313288046</v>
      </c>
      <c r="F187" s="55" cm="1">
        <f t="array" ref="F187">IF(Settings!$E$15="POINTS",E187-VLOOKUP(B$2,C1:E204,3,FALSE),J187)</f>
        <v>-196.8870442117136</v>
      </c>
      <c r="G187" s="55"/>
      <c r="H187" s="167" cm="1">
        <f t="array" ref="H187">RANK(I187,I3:I204)</f>
        <v>153</v>
      </c>
      <c r="I187" s="168" cm="1">
        <f t="array" ref="I187">VLOOKUP(A187,'Standard Deviations'!A1:C672,3,FALSE)</f>
        <v>-2.6959709086489037</v>
      </c>
      <c r="J187" s="168" cm="1">
        <f t="array" ref="J187">I187-VLOOKUP(B$2,H1:J204,2,FALSE)</f>
        <v>-6.7887260881362721</v>
      </c>
    </row>
    <row r="188" spans="1:10" ht="21.25" customHeight="1" x14ac:dyDescent="0.15">
      <c r="A188" s="10" t="s">
        <v>575</v>
      </c>
      <c r="B188" s="173" t="str" cm="1">
        <f t="array" ref="B188">VLOOKUP(A188,'The List'!B1:D671,3,FALSE)</f>
        <v>D</v>
      </c>
      <c r="C188" s="174" cm="1">
        <f t="array" ref="C188">IF(Settings!$E$15="POINTS",RANK(E188,E3:E204),H188)</f>
        <v>186</v>
      </c>
      <c r="D188" s="18" t="str" cm="1">
        <f t="array" ref="D188">VLOOKUP(A188,'The List'!B1:F671,5,FALSE)</f>
        <v>DET</v>
      </c>
      <c r="E188" s="55" cm="1">
        <f t="array" ref="E188">VLOOKUP(A188,'The List'!B1:I671,8,FALSE)</f>
        <v>106.05043303310484</v>
      </c>
      <c r="F188" s="55" cm="1">
        <f t="array" ref="F188">IF(Settings!$E$15="POINTS",E188-VLOOKUP(B$2,C1:E204,3,FALSE),J188)</f>
        <v>-200.60343431148922</v>
      </c>
      <c r="G188" s="55"/>
      <c r="H188" s="167" cm="1">
        <f t="array" ref="H188">RANK(I188,I3:I204)</f>
        <v>186</v>
      </c>
      <c r="I188" s="168" cm="1">
        <f t="array" ref="I188">VLOOKUP(A188,'Standard Deviations'!A1:C672,3,FALSE)</f>
        <v>-4.2675520836376926</v>
      </c>
      <c r="J188" s="168" cm="1">
        <f t="array" ref="J188">I188-VLOOKUP(B$2,H1:J204,2,FALSE)</f>
        <v>-8.3603072631250619</v>
      </c>
    </row>
    <row r="189" spans="1:10" ht="21.25" customHeight="1" x14ac:dyDescent="0.15">
      <c r="A189" s="10" t="s">
        <v>580</v>
      </c>
      <c r="B189" s="173" t="str" cm="1">
        <f t="array" ref="B189">VLOOKUP(A189,'The List'!B1:D671,3,FALSE)</f>
        <v>D</v>
      </c>
      <c r="C189" s="174" cm="1">
        <f t="array" ref="C189">IF(Settings!$E$15="POINTS",RANK(E189,E3:E204),H189)</f>
        <v>187</v>
      </c>
      <c r="D189" s="18" t="str" cm="1">
        <f t="array" ref="D189">VLOOKUP(A189,'The List'!B1:F671,5,FALSE)</f>
        <v>FLA</v>
      </c>
      <c r="E189" s="55" cm="1">
        <f t="array" ref="E189">VLOOKUP(A189,'The List'!B1:I671,8,FALSE)</f>
        <v>104.85829803764729</v>
      </c>
      <c r="F189" s="55" cm="1">
        <f t="array" ref="F189">IF(Settings!$E$15="POINTS",E189-VLOOKUP(B$2,C1:E204,3,FALSE),J189)</f>
        <v>-201.79556930694679</v>
      </c>
      <c r="G189" s="55"/>
      <c r="H189" s="167" cm="1">
        <f t="array" ref="H189">RANK(I189,I3:I204)</f>
        <v>177</v>
      </c>
      <c r="I189" s="168" cm="1">
        <f t="array" ref="I189">VLOOKUP(A189,'Standard Deviations'!A1:C672,3,FALSE)</f>
        <v>-3.7814656059895757</v>
      </c>
      <c r="J189" s="168" cm="1">
        <f t="array" ref="J189">I189-VLOOKUP(B$2,H1:J204,2,FALSE)</f>
        <v>-7.8742207854769442</v>
      </c>
    </row>
    <row r="190" spans="1:10" ht="21.25" customHeight="1" x14ac:dyDescent="0.15">
      <c r="A190" s="10" t="s">
        <v>584</v>
      </c>
      <c r="B190" s="173" t="str" cm="1">
        <f t="array" ref="B190">VLOOKUP(A190,'The List'!B1:D671,3,FALSE)</f>
        <v>D</v>
      </c>
      <c r="C190" s="174" cm="1">
        <f t="array" ref="C190">IF(Settings!$E$15="POINTS",RANK(E190,E3:E204),H190)</f>
        <v>188</v>
      </c>
      <c r="D190" s="18" t="str" cm="1">
        <f t="array" ref="D190">VLOOKUP(A190,'The List'!B1:F671,5,FALSE)</f>
        <v>DAL</v>
      </c>
      <c r="E190" s="55" cm="1">
        <f t="array" ref="E190">VLOOKUP(A190,'The List'!B1:I671,8,FALSE)</f>
        <v>102.68437360132889</v>
      </c>
      <c r="F190" s="55" cm="1">
        <f t="array" ref="F190">IF(Settings!$E$15="POINTS",E190-VLOOKUP(B$2,C1:E204,3,FALSE),J190)</f>
        <v>-203.96949374326516</v>
      </c>
      <c r="G190" s="55"/>
      <c r="H190" s="167" cm="1">
        <f t="array" ref="H190">RANK(I190,I3:I204)</f>
        <v>135</v>
      </c>
      <c r="I190" s="168" cm="1">
        <f t="array" ref="I190">VLOOKUP(A190,'Standard Deviations'!A1:C672,3,FALSE)</f>
        <v>-2.1591338206790462</v>
      </c>
      <c r="J190" s="168" cm="1">
        <f t="array" ref="J190">I190-VLOOKUP(B$2,H1:J204,2,FALSE)</f>
        <v>-6.2518890001664147</v>
      </c>
    </row>
    <row r="191" spans="1:10" ht="21.25" customHeight="1" x14ac:dyDescent="0.15">
      <c r="A191" s="10" t="s">
        <v>586</v>
      </c>
      <c r="B191" s="173" t="str" cm="1">
        <f t="array" ref="B191">VLOOKUP(A191,'The List'!B1:D671,3,FALSE)</f>
        <v>D</v>
      </c>
      <c r="C191" s="174" cm="1">
        <f t="array" ref="C191">IF(Settings!$E$15="POINTS",RANK(E191,E3:E204),H191)</f>
        <v>189</v>
      </c>
      <c r="D191" s="18" t="str" cm="1">
        <f t="array" ref="D191">VLOOKUP(A191,'The List'!B1:F671,5,FALSE)</f>
        <v>STL</v>
      </c>
      <c r="E191" s="55" cm="1">
        <f t="array" ref="E191">VLOOKUP(A191,'The List'!B1:I671,8,FALSE)</f>
        <v>102.49788989516772</v>
      </c>
      <c r="F191" s="55" cm="1">
        <f t="array" ref="F191">IF(Settings!$E$15="POINTS",E191-VLOOKUP(B$2,C1:E204,3,FALSE),J191)</f>
        <v>-204.15597744942636</v>
      </c>
      <c r="G191" s="55"/>
      <c r="H191" s="167" cm="1">
        <f t="array" ref="H191">RANK(I191,I3:I204)</f>
        <v>133</v>
      </c>
      <c r="I191" s="168" cm="1">
        <f t="array" ref="I191">VLOOKUP(A191,'Standard Deviations'!A1:C672,3,FALSE)</f>
        <v>-2.1025220410363357</v>
      </c>
      <c r="J191" s="168" cm="1">
        <f t="array" ref="J191">I191-VLOOKUP(B$2,H1:J204,2,FALSE)</f>
        <v>-6.1952772205237041</v>
      </c>
    </row>
    <row r="192" spans="1:10" ht="21.25" customHeight="1" x14ac:dyDescent="0.15">
      <c r="A192" s="10" t="s">
        <v>589</v>
      </c>
      <c r="B192" s="173" t="str" cm="1">
        <f t="array" ref="B192">VLOOKUP(A192,'The List'!B1:D671,3,FALSE)</f>
        <v>D</v>
      </c>
      <c r="C192" s="174" cm="1">
        <f t="array" ref="C192">IF(Settings!$E$15="POINTS",RANK(E192,E3:E204),H192)</f>
        <v>190</v>
      </c>
      <c r="D192" s="18" t="str" cm="1">
        <f t="array" ref="D192">VLOOKUP(A192,'The List'!B1:F671,5,FALSE)</f>
        <v>N.J</v>
      </c>
      <c r="E192" s="55" cm="1">
        <f t="array" ref="E192">VLOOKUP(A192,'The List'!B1:I671,8,FALSE)</f>
        <v>101.91669225230497</v>
      </c>
      <c r="F192" s="55" cm="1">
        <f t="array" ref="F192">IF(Settings!$E$15="POINTS",E192-VLOOKUP(B$2,C1:E204,3,FALSE),J192)</f>
        <v>-204.73717509228908</v>
      </c>
      <c r="G192" s="55"/>
      <c r="H192" s="167" cm="1">
        <f t="array" ref="H192">RANK(I192,I3:I204)</f>
        <v>197</v>
      </c>
      <c r="I192" s="168" cm="1">
        <f t="array" ref="I192">VLOOKUP(A192,'Standard Deviations'!A1:C672,3,FALSE)</f>
        <v>-5.2693291855264333</v>
      </c>
      <c r="J192" s="168" cm="1">
        <f t="array" ref="J192">I192-VLOOKUP(B$2,H1:J204,2,FALSE)</f>
        <v>-9.3620843650138017</v>
      </c>
    </row>
    <row r="193" spans="1:10" ht="21.25" customHeight="1" x14ac:dyDescent="0.15">
      <c r="A193" s="10" t="s">
        <v>593</v>
      </c>
      <c r="B193" s="173" t="str" cm="1">
        <f t="array" ref="B193">VLOOKUP(A193,'The List'!B1:D671,3,FALSE)</f>
        <v>D</v>
      </c>
      <c r="C193" s="174" cm="1">
        <f t="array" ref="C193">IF(Settings!$E$15="POINTS",RANK(E193,E3:E204),H193)</f>
        <v>191</v>
      </c>
      <c r="D193" s="18" t="str" cm="1">
        <f t="array" ref="D193">VLOOKUP(A193,'The List'!B1:F671,5,FALSE)</f>
        <v>NYI</v>
      </c>
      <c r="E193" s="55" cm="1">
        <f t="array" ref="E193">VLOOKUP(A193,'The List'!B1:I671,8,FALSE)</f>
        <v>99.505355789997679</v>
      </c>
      <c r="F193" s="55" cm="1">
        <f t="array" ref="F193">IF(Settings!$E$15="POINTS",E193-VLOOKUP(B$2,C1:E204,3,FALSE),J193)</f>
        <v>-207.14851155459638</v>
      </c>
      <c r="G193" s="55"/>
      <c r="H193" s="167" cm="1">
        <f t="array" ref="H193">RANK(I193,I3:I204)</f>
        <v>179</v>
      </c>
      <c r="I193" s="168" cm="1">
        <f t="array" ref="I193">VLOOKUP(A193,'Standard Deviations'!A1:C672,3,FALSE)</f>
        <v>-3.8060455526114967</v>
      </c>
      <c r="J193" s="168" cm="1">
        <f t="array" ref="J193">I193-VLOOKUP(B$2,H1:J204,2,FALSE)</f>
        <v>-7.8988007320988647</v>
      </c>
    </row>
    <row r="194" spans="1:10" ht="21.25" customHeight="1" x14ac:dyDescent="0.15">
      <c r="A194" s="10" t="s">
        <v>595</v>
      </c>
      <c r="B194" s="173" t="str" cm="1">
        <f t="array" ref="B194">VLOOKUP(A194,'The List'!B1:D671,3,FALSE)</f>
        <v>D</v>
      </c>
      <c r="C194" s="174" cm="1">
        <f t="array" ref="C194">IF(Settings!$E$15="POINTS",RANK(E194,E3:E204),H194)</f>
        <v>192</v>
      </c>
      <c r="D194" s="18" t="str" cm="1">
        <f t="array" ref="D194">VLOOKUP(A194,'The List'!B1:F671,5,FALSE)</f>
        <v>WSH</v>
      </c>
      <c r="E194" s="55" cm="1">
        <f t="array" ref="E194">VLOOKUP(A194,'The List'!B1:I671,8,FALSE)</f>
        <v>98.678774378127287</v>
      </c>
      <c r="F194" s="55" cm="1">
        <f t="array" ref="F194">IF(Settings!$E$15="POINTS",E194-VLOOKUP(B$2,C1:E204,3,FALSE),J194)</f>
        <v>-207.97509296646678</v>
      </c>
      <c r="G194" s="55"/>
      <c r="H194" s="167" cm="1">
        <f t="array" ref="H194">RANK(I194,I3:I204)</f>
        <v>122</v>
      </c>
      <c r="I194" s="168" cm="1">
        <f t="array" ref="I194">VLOOKUP(A194,'Standard Deviations'!A1:C672,3,FALSE)</f>
        <v>-1.4476158949070221</v>
      </c>
      <c r="J194" s="168" cm="1">
        <f t="array" ref="J194">I194-VLOOKUP(B$2,H1:J204,2,FALSE)</f>
        <v>-5.5403710743943906</v>
      </c>
    </row>
    <row r="195" spans="1:10" ht="21.25" customHeight="1" x14ac:dyDescent="0.15">
      <c r="A195" s="10" t="s">
        <v>602</v>
      </c>
      <c r="B195" s="173" t="str" cm="1">
        <f t="array" ref="B195">VLOOKUP(A195,'The List'!B1:D671,3,FALSE)</f>
        <v>D</v>
      </c>
      <c r="C195" s="174" cm="1">
        <f t="array" ref="C195">IF(Settings!$E$15="POINTS",RANK(E195,E3:E204),H195)</f>
        <v>193</v>
      </c>
      <c r="D195" s="18" t="str" cm="1">
        <f t="array" ref="D195">VLOOKUP(A195,'The List'!B1:F671,5,FALSE)</f>
        <v>PIT</v>
      </c>
      <c r="E195" s="55" cm="1">
        <f t="array" ref="E195">VLOOKUP(A195,'The List'!B1:I671,8,FALSE)</f>
        <v>97.364097281064545</v>
      </c>
      <c r="F195" s="55" cm="1">
        <f t="array" ref="F195">IF(Settings!$E$15="POINTS",E195-VLOOKUP(B$2,C1:E204,3,FALSE),J195)</f>
        <v>-209.28977006352952</v>
      </c>
      <c r="G195" s="55"/>
      <c r="H195" s="167" cm="1">
        <f t="array" ref="H195">RANK(I195,I3:I204)</f>
        <v>188</v>
      </c>
      <c r="I195" s="168" cm="1">
        <f t="array" ref="I195">VLOOKUP(A195,'Standard Deviations'!A1:C672,3,FALSE)</f>
        <v>-4.3910182992476967</v>
      </c>
      <c r="J195" s="168" cm="1">
        <f t="array" ref="J195">I195-VLOOKUP(B$2,H1:J204,2,FALSE)</f>
        <v>-8.4837734787350652</v>
      </c>
    </row>
    <row r="196" spans="1:10" ht="21.25" customHeight="1" x14ac:dyDescent="0.15">
      <c r="A196" s="10" t="s">
        <v>608</v>
      </c>
      <c r="B196" s="173" t="str" cm="1">
        <f t="array" ref="B196">VLOOKUP(A196,'The List'!B1:D671,3,FALSE)</f>
        <v>D</v>
      </c>
      <c r="C196" s="174" cm="1">
        <f t="array" ref="C196">IF(Settings!$E$15="POINTS",RANK(E196,E3:E204),H196)</f>
        <v>194</v>
      </c>
      <c r="D196" s="18" t="str" cm="1">
        <f t="array" ref="D196">VLOOKUP(A196,'The List'!B1:F671,5,FALSE)</f>
        <v>MTL</v>
      </c>
      <c r="E196" s="55" cm="1">
        <f t="array" ref="E196">VLOOKUP(A196,'The List'!B1:I671,8,FALSE)</f>
        <v>96.443270882992024</v>
      </c>
      <c r="F196" s="55" cm="1">
        <f t="array" ref="F196">IF(Settings!$E$15="POINTS",E196-VLOOKUP(B$2,C1:E204,3,FALSE),J196)</f>
        <v>-210.21059646160205</v>
      </c>
      <c r="G196" s="55"/>
      <c r="H196" s="167" cm="1">
        <f t="array" ref="H196">RANK(I196,I3:I204)</f>
        <v>163</v>
      </c>
      <c r="I196" s="168" cm="1">
        <f t="array" ref="I196">VLOOKUP(A196,'Standard Deviations'!A1:C672,3,FALSE)</f>
        <v>-3.1998404678843566</v>
      </c>
      <c r="J196" s="168" cm="1">
        <f t="array" ref="J196">I196-VLOOKUP(B$2,H1:J204,2,FALSE)</f>
        <v>-7.2925956473717246</v>
      </c>
    </row>
    <row r="197" spans="1:10" ht="21.25" customHeight="1" x14ac:dyDescent="0.15">
      <c r="A197" s="10" t="s">
        <v>610</v>
      </c>
      <c r="B197" s="173" t="str" cm="1">
        <f t="array" ref="B197">VLOOKUP(A197,'The List'!B1:D671,3,FALSE)</f>
        <v>D</v>
      </c>
      <c r="C197" s="174" cm="1">
        <f t="array" ref="C197">IF(Settings!$E$15="POINTS",RANK(E197,E3:E204),H197)</f>
        <v>195</v>
      </c>
      <c r="D197" s="18" t="str" cm="1">
        <f t="array" ref="D197">VLOOKUP(A197,'The List'!B1:F671,5,FALSE)</f>
        <v>UTA</v>
      </c>
      <c r="E197" s="55" cm="1">
        <f t="array" ref="E197">VLOOKUP(A197,'The List'!B1:I671,8,FALSE)</f>
        <v>96.106473327734008</v>
      </c>
      <c r="F197" s="55" cm="1">
        <f t="array" ref="F197">IF(Settings!$E$15="POINTS",E197-VLOOKUP(B$2,C1:E204,3,FALSE),J197)</f>
        <v>-210.54739401686004</v>
      </c>
      <c r="G197" s="55"/>
      <c r="H197" s="167" cm="1">
        <f t="array" ref="H197">RANK(I197,I3:I204)</f>
        <v>195</v>
      </c>
      <c r="I197" s="168" cm="1">
        <f t="array" ref="I197">VLOOKUP(A197,'Standard Deviations'!A1:C672,3,FALSE)</f>
        <v>-4.9395466828475962</v>
      </c>
      <c r="J197" s="168" cm="1">
        <f t="array" ref="J197">I197-VLOOKUP(B$2,H1:J204,2,FALSE)</f>
        <v>-9.0323018623349647</v>
      </c>
    </row>
    <row r="198" spans="1:10" ht="21.25" customHeight="1" x14ac:dyDescent="0.15">
      <c r="A198" s="10" t="s">
        <v>614</v>
      </c>
      <c r="B198" s="173" t="str" cm="1">
        <f t="array" ref="B198">VLOOKUP(A198,'The List'!B1:D671,3,FALSE)</f>
        <v>D</v>
      </c>
      <c r="C198" s="174" cm="1">
        <f t="array" ref="C198">IF(Settings!$E$15="POINTS",RANK(E198,E3:E204),H198)</f>
        <v>196</v>
      </c>
      <c r="D198" s="18" t="str" cm="1">
        <f t="array" ref="D198">VLOOKUP(A198,'The List'!B1:F671,5,FALSE)</f>
        <v>EDM</v>
      </c>
      <c r="E198" s="55" cm="1">
        <f t="array" ref="E198">VLOOKUP(A198,'The List'!B1:I671,8,FALSE)</f>
        <v>93.744763036008251</v>
      </c>
      <c r="F198" s="55" cm="1">
        <f t="array" ref="F198">IF(Settings!$E$15="POINTS",E198-VLOOKUP(B$2,C1:E204,3,FALSE),J198)</f>
        <v>-212.90910430858582</v>
      </c>
      <c r="G198" s="55"/>
      <c r="H198" s="167" cm="1">
        <f t="array" ref="H198">RANK(I198,I3:I204)</f>
        <v>187</v>
      </c>
      <c r="I198" s="168" cm="1">
        <f t="array" ref="I198">VLOOKUP(A198,'Standard Deviations'!A1:C672,3,FALSE)</f>
        <v>-4.3574293589952129</v>
      </c>
      <c r="J198" s="168" cm="1">
        <f t="array" ref="J198">I198-VLOOKUP(B$2,H1:J204,2,FALSE)</f>
        <v>-8.4501845384825813</v>
      </c>
    </row>
    <row r="199" spans="1:10" ht="21.25" customHeight="1" x14ac:dyDescent="0.15">
      <c r="A199" s="10" t="s">
        <v>622</v>
      </c>
      <c r="B199" s="173" t="str" cm="1">
        <f t="array" ref="B199">VLOOKUP(A199,'The List'!B1:D671,3,FALSE)</f>
        <v>D</v>
      </c>
      <c r="C199" s="174" cm="1">
        <f t="array" ref="C199">IF(Settings!$E$15="POINTS",RANK(E199,E3:E204),H199)</f>
        <v>197</v>
      </c>
      <c r="D199" s="18" t="str" cm="1">
        <f t="array" ref="D199">VLOOKUP(A199,'The List'!B1:F671,5,FALSE)</f>
        <v>MIN</v>
      </c>
      <c r="E199" s="55" cm="1">
        <f t="array" ref="E199">VLOOKUP(A199,'The List'!B1:I671,8,FALSE)</f>
        <v>90.271594687059832</v>
      </c>
      <c r="F199" s="55" cm="1">
        <f t="array" ref="F199">IF(Settings!$E$15="POINTS",E199-VLOOKUP(B$2,C1:E204,3,FALSE),J199)</f>
        <v>-216.38227265753423</v>
      </c>
      <c r="G199" s="55"/>
      <c r="H199" s="167" cm="1">
        <f t="array" ref="H199">RANK(I199,I3:I204)</f>
        <v>176</v>
      </c>
      <c r="I199" s="168" cm="1">
        <f t="array" ref="I199">VLOOKUP(A199,'Standard Deviations'!A1:C672,3,FALSE)</f>
        <v>-3.7719554461103066</v>
      </c>
      <c r="J199" s="168" cm="1">
        <f t="array" ref="J199">I199-VLOOKUP(B$2,H1:J204,2,FALSE)</f>
        <v>-7.8647106255976755</v>
      </c>
    </row>
    <row r="200" spans="1:10" ht="21.25" customHeight="1" x14ac:dyDescent="0.15">
      <c r="A200" s="10" t="s">
        <v>623</v>
      </c>
      <c r="B200" s="173" t="str" cm="1">
        <f t="array" ref="B200">VLOOKUP(A200,'The List'!B1:D671,3,FALSE)</f>
        <v>D</v>
      </c>
      <c r="C200" s="174" cm="1">
        <f t="array" ref="C200">IF(Settings!$E$15="POINTS",RANK(E200,E3:E204),H200)</f>
        <v>198</v>
      </c>
      <c r="D200" s="18" t="str" cm="1">
        <f t="array" ref="D200">VLOOKUP(A200,'The List'!B1:F671,5,FALSE)</f>
        <v>OTT</v>
      </c>
      <c r="E200" s="55" cm="1">
        <f t="array" ref="E200">VLOOKUP(A200,'The List'!B1:I671,8,FALSE)</f>
        <v>88.66868179873633</v>
      </c>
      <c r="F200" s="55" cm="1">
        <f t="array" ref="F200">IF(Settings!$E$15="POINTS",E200-VLOOKUP(B$2,C1:E204,3,FALSE),J200)</f>
        <v>-217.98518554585775</v>
      </c>
      <c r="G200" s="55"/>
      <c r="H200" s="167" cm="1">
        <f t="array" ref="H200">RANK(I200,I3:I204)</f>
        <v>190</v>
      </c>
      <c r="I200" s="168" cm="1">
        <f t="array" ref="I200">VLOOKUP(A200,'Standard Deviations'!A1:C672,3,FALSE)</f>
        <v>-4.6529292627948937</v>
      </c>
      <c r="J200" s="168" cm="1">
        <f t="array" ref="J200">I200-VLOOKUP(B$2,H1:J204,2,FALSE)</f>
        <v>-8.7456844422822613</v>
      </c>
    </row>
    <row r="201" spans="1:10" ht="21.25" customHeight="1" x14ac:dyDescent="0.15">
      <c r="A201" s="10" t="s">
        <v>626</v>
      </c>
      <c r="B201" s="173" t="str" cm="1">
        <f t="array" ref="B201">VLOOKUP(A201,'The List'!B1:D671,3,FALSE)</f>
        <v>D</v>
      </c>
      <c r="C201" s="174" cm="1">
        <f t="array" ref="C201">IF(Settings!$E$15="POINTS",RANK(E201,E3:E204),H201)</f>
        <v>199</v>
      </c>
      <c r="D201" s="18" t="str" cm="1">
        <f t="array" ref="D201">VLOOKUP(A201,'The List'!B1:F671,5,FALSE)</f>
        <v>NYR</v>
      </c>
      <c r="E201" s="55" cm="1">
        <f t="array" ref="E201">VLOOKUP(A201,'The List'!B1:I671,8,FALSE)</f>
        <v>84.549569121578926</v>
      </c>
      <c r="F201" s="55" cm="1">
        <f t="array" ref="F201">IF(Settings!$E$15="POINTS",E201-VLOOKUP(B$2,C1:E204,3,FALSE),J201)</f>
        <v>-222.10429822301512</v>
      </c>
      <c r="G201" s="55"/>
      <c r="H201" s="167" cm="1">
        <f t="array" ref="H201">RANK(I201,I3:I204)</f>
        <v>199</v>
      </c>
      <c r="I201" s="168" cm="1">
        <f t="array" ref="I201">VLOOKUP(A201,'Standard Deviations'!A1:C672,3,FALSE)</f>
        <v>-5.565756545037396</v>
      </c>
      <c r="J201" s="168" cm="1">
        <f t="array" ref="J201">I201-VLOOKUP(B$2,H1:J204,2,FALSE)</f>
        <v>-9.6585117245247645</v>
      </c>
    </row>
    <row r="202" spans="1:10" ht="21.25" customHeight="1" x14ac:dyDescent="0.15">
      <c r="A202" s="10" t="s">
        <v>632</v>
      </c>
      <c r="B202" s="173" t="str" cm="1">
        <f t="array" ref="B202">VLOOKUP(A202,'The List'!B1:D671,3,FALSE)</f>
        <v>D</v>
      </c>
      <c r="C202" s="174" cm="1">
        <f t="array" ref="C202">IF(Settings!$E$15="POINTS",RANK(E202,E3:E204),H202)</f>
        <v>200</v>
      </c>
      <c r="D202" s="18" t="str" cm="1">
        <f t="array" ref="D202">VLOOKUP(A202,'The List'!B1:F671,5,FALSE)</f>
        <v>NYI</v>
      </c>
      <c r="E202" s="55" cm="1">
        <f t="array" ref="E202">VLOOKUP(A202,'The List'!B1:I671,8,FALSE)</f>
        <v>82.678372928208063</v>
      </c>
      <c r="F202" s="55" cm="1">
        <f t="array" ref="F202">IF(Settings!$E$15="POINTS",E202-VLOOKUP(B$2,C1:E204,3,FALSE),J202)</f>
        <v>-223.975494416386</v>
      </c>
      <c r="G202" s="55"/>
      <c r="H202" s="167" cm="1">
        <f t="array" ref="H202">RANK(I202,I3:I204)</f>
        <v>201</v>
      </c>
      <c r="I202" s="168" cm="1">
        <f t="array" ref="I202">VLOOKUP(A202,'Standard Deviations'!A1:C672,3,FALSE)</f>
        <v>-6.7434518573790898</v>
      </c>
      <c r="J202" s="168" cm="1">
        <f t="array" ref="J202">I202-VLOOKUP(B$2,H1:J204,2,FALSE)</f>
        <v>-10.836207036866458</v>
      </c>
    </row>
    <row r="203" spans="1:10" ht="21.25" customHeight="1" x14ac:dyDescent="0.15">
      <c r="A203" s="10" t="s">
        <v>633</v>
      </c>
      <c r="B203" s="173" t="str" cm="1">
        <f t="array" ref="B203">VLOOKUP(A203,'The List'!B1:D671,3,FALSE)</f>
        <v>D</v>
      </c>
      <c r="C203" s="174" cm="1">
        <f t="array" ref="C203">IF(Settings!$E$15="POINTS",RANK(E203,E3:E204),H203)</f>
        <v>201</v>
      </c>
      <c r="D203" s="18" t="str" cm="1">
        <f t="array" ref="D203">VLOOKUP(A203,'The List'!B1:F671,5,FALSE)</f>
        <v>CGY</v>
      </c>
      <c r="E203" s="55" cm="1">
        <f t="array" ref="E203">VLOOKUP(A203,'The List'!B1:I671,8,FALSE)</f>
        <v>82.04541074720791</v>
      </c>
      <c r="F203" s="55" cm="1">
        <f t="array" ref="F203">IF(Settings!$E$15="POINTS",E203-VLOOKUP(B$2,C1:E204,3,FALSE),J203)</f>
        <v>-224.60845659738615</v>
      </c>
      <c r="G203" s="55"/>
      <c r="H203" s="167" cm="1">
        <f t="array" ref="H203">RANK(I203,I3:I204)</f>
        <v>198</v>
      </c>
      <c r="I203" s="168" cm="1">
        <f t="array" ref="I203">VLOOKUP(A203,'Standard Deviations'!A1:C672,3,FALSE)</f>
        <v>-5.5016414508952467</v>
      </c>
      <c r="J203" s="168" cm="1">
        <f t="array" ref="J203">I203-VLOOKUP(B$2,H1:J204,2,FALSE)</f>
        <v>-9.5943966303826151</v>
      </c>
    </row>
    <row r="204" spans="1:10" ht="21.25" customHeight="1" x14ac:dyDescent="0.15">
      <c r="A204" s="10" t="s">
        <v>670</v>
      </c>
      <c r="B204" s="173" t="str" cm="1">
        <f t="array" ref="B204">VLOOKUP(A204,'The List'!B1:D671,3,FALSE)</f>
        <v>D</v>
      </c>
      <c r="C204" s="174" cm="1">
        <f t="array" ref="C204">IF(Settings!$E$15="POINTS",RANK(E204,E3:E204),H204)</f>
        <v>202</v>
      </c>
      <c r="D204" s="18" t="str" cm="1">
        <f t="array" ref="D204">VLOOKUP(A204,'The List'!B1:F671,5,FALSE)</f>
        <v>CBJ</v>
      </c>
      <c r="E204" s="55" cm="1">
        <f t="array" ref="E204">VLOOKUP(A204,'The List'!B1:I671,8,FALSE)</f>
        <v>60.810087270103402</v>
      </c>
      <c r="F204" s="55" cm="1">
        <f t="array" ref="F204">IF(Settings!$E$15="POINTS",E204-VLOOKUP(B$2,C1:E204,3,FALSE),J204)</f>
        <v>-245.84378007449067</v>
      </c>
      <c r="G204" s="55"/>
      <c r="H204" s="167" cm="1">
        <f t="array" ref="H204">RANK(I204,I3:I204)</f>
        <v>202</v>
      </c>
      <c r="I204" s="168" cm="1">
        <f t="array" ref="I204">VLOOKUP(A204,'Standard Deviations'!A1:C672,3,FALSE)</f>
        <v>-6.8075353845937148</v>
      </c>
      <c r="J204" s="168" cm="1">
        <f t="array" ref="J204">I204-VLOOKUP(B$2,H1:J204,2,FALSE)</f>
        <v>-10.900290564081082</v>
      </c>
    </row>
  </sheetData>
  <conditionalFormatting sqref="C3:C204 H3:H204">
    <cfRule type="containsText" dxfId="11" priority="1" stopIfTrue="1" operator="containsText" text="/">
      <formula>NOT(ISERROR(FIND(UPPER("/"),UPPER(C3))))</formula>
      <formula>"/"</formula>
    </cfRule>
    <cfRule type="containsText" dxfId="10" priority="2" stopIfTrue="1" operator="containsText" text="C">
      <formula>NOT(ISERROR(FIND(UPPER("C"),UPPER(C3))))</formula>
      <formula>"C"</formula>
    </cfRule>
    <cfRule type="containsText" dxfId="9" priority="3" stopIfTrue="1" operator="containsText" text="D">
      <formula>NOT(ISERROR(FIND(UPPER("D"),UPPER(C3))))</formula>
      <formula>"D"</formula>
    </cfRule>
    <cfRule type="containsText" dxfId="8" priority="4" stopIfTrue="1" operator="containsText" text="LW">
      <formula>NOT(ISERROR(FIND(UPPER("LW"),UPPER(C3))))</formula>
      <formula>"LW"</formula>
    </cfRule>
    <cfRule type="containsText" dxfId="7" priority="5" stopIfTrue="1" operator="containsText" text="RW">
      <formula>NOT(ISERROR(FIND(UPPER("RW"),UPPER(C3))))</formula>
      <formula>"RW"</formula>
    </cfRule>
    <cfRule type="containsText" dxfId="6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66"/>
  <sheetViews>
    <sheetView showGridLines="0" workbookViewId="0">
      <pane ySplit="2" topLeftCell="A3" activePane="bottomLeft" state="frozen"/>
      <selection pane="bottomLeft"/>
    </sheetView>
  </sheetViews>
  <sheetFormatPr baseColWidth="10" defaultColWidth="8" defaultRowHeight="16.25" customHeight="1" x14ac:dyDescent="0.15"/>
  <cols>
    <col min="1" max="1" width="33" style="1" customWidth="1"/>
    <col min="2" max="2" width="7.1640625" style="1" customWidth="1"/>
    <col min="3" max="3" width="6" style="1" customWidth="1"/>
    <col min="4" max="6" width="8.33203125" style="1" customWidth="1"/>
    <col min="7" max="10" width="1.33203125" style="1" customWidth="1"/>
    <col min="11" max="11" width="8" style="1" customWidth="1"/>
    <col min="12" max="16384" width="8" style="1"/>
  </cols>
  <sheetData>
    <row r="1" spans="1:10" ht="28.25" customHeight="1" x14ac:dyDescent="0.15">
      <c r="A1" s="151" t="s">
        <v>820</v>
      </c>
      <c r="B1" s="152" t="s">
        <v>105</v>
      </c>
      <c r="C1" s="153"/>
      <c r="D1" s="4" t="s">
        <v>13</v>
      </c>
      <c r="E1" s="154" t="s">
        <v>822</v>
      </c>
      <c r="F1" s="152" t="s">
        <v>99</v>
      </c>
      <c r="G1" s="155"/>
      <c r="H1" s="156"/>
      <c r="I1" s="157" t="s">
        <v>823</v>
      </c>
      <c r="J1" s="158" t="s">
        <v>99</v>
      </c>
    </row>
    <row r="2" spans="1:10" ht="28.25" customHeight="1" x14ac:dyDescent="0.15">
      <c r="A2" s="159" t="s">
        <v>62</v>
      </c>
      <c r="B2" s="160" cm="1">
        <f t="array" ref="B2">Settings!F6</f>
        <v>9</v>
      </c>
      <c r="C2" s="161"/>
      <c r="D2" s="162"/>
      <c r="E2" s="163"/>
      <c r="F2" s="163"/>
      <c r="G2" s="163"/>
      <c r="H2" s="169"/>
      <c r="I2" s="170"/>
      <c r="J2" s="170"/>
    </row>
    <row r="3" spans="1:10" ht="21.25" customHeight="1" x14ac:dyDescent="0.15">
      <c r="A3" s="10" t="s">
        <v>151</v>
      </c>
      <c r="B3" s="141" t="str" cm="1">
        <f t="array" ref="B3">VLOOKUP(A3,'The List'!B1:D671,3,FALSE)</f>
        <v>G</v>
      </c>
      <c r="C3" s="175" cm="1">
        <f t="array" ref="C3">RANK(E3,E3:E66)</f>
        <v>1</v>
      </c>
      <c r="D3" s="18" t="str" cm="1">
        <f t="array" ref="D3">VLOOKUP(A3,'The List'!B1:F671,5,FALSE)</f>
        <v>WPG</v>
      </c>
      <c r="E3" s="55" cm="1">
        <f t="array" ref="E3">VLOOKUP(A3,'The List'!B1:I671,8,FALSE)</f>
        <v>418.6365837347945</v>
      </c>
      <c r="F3" s="55" cm="1">
        <f t="array" ref="F3">IF(Settings!$E$15="POINTS",E3-VLOOKUP(B$2,C1:E66,3,FALSE),J3)</f>
        <v>59.478675804556474</v>
      </c>
      <c r="G3" s="55"/>
      <c r="H3" s="171" cm="1">
        <f t="array" ref="H3">RANK(I3,I3:I66)</f>
        <v>2</v>
      </c>
      <c r="I3" s="172" cm="1">
        <f t="array" ref="I3">VLOOKUP(A3,'Standard Deviations'!A1:C672,3,FALSE)</f>
        <v>5.1009732452020753</v>
      </c>
      <c r="J3" s="172" cm="1">
        <f t="array" ref="J3">I3-VLOOKUP(B$2,H1:J66,2,FALSE)</f>
        <v>1.9486251906322858</v>
      </c>
    </row>
    <row r="4" spans="1:10" ht="21.25" customHeight="1" x14ac:dyDescent="0.15">
      <c r="A4" s="10" t="s">
        <v>153</v>
      </c>
      <c r="B4" s="141" t="str" cm="1">
        <f t="array" ref="B4">VLOOKUP(A4,'The List'!B1:D671,3,FALSE)</f>
        <v>G</v>
      </c>
      <c r="C4" s="175" cm="1">
        <f t="array" ref="C4">RANK(E4,E3:E66)</f>
        <v>2</v>
      </c>
      <c r="D4" s="18" t="str" cm="1">
        <f t="array" ref="D4">VLOOKUP(A4,'The List'!B1:F671,5,FALSE)</f>
        <v>T.B</v>
      </c>
      <c r="E4" s="55" cm="1">
        <f t="array" ref="E4">VLOOKUP(A4,'The List'!B1:I671,8,FALSE)</f>
        <v>413.79943334192842</v>
      </c>
      <c r="F4" s="55" cm="1">
        <f t="array" ref="F4">IF(Settings!$E$15="POINTS",E4-VLOOKUP(B$2,C1:E66,3,FALSE),J4)</f>
        <v>54.641525411690395</v>
      </c>
      <c r="G4" s="55"/>
      <c r="H4" s="167" cm="1">
        <f t="array" ref="H4">RANK(I4,I3:I66)</f>
        <v>1</v>
      </c>
      <c r="I4" s="168" cm="1">
        <f t="array" ref="I4">VLOOKUP(A4,'Standard Deviations'!A1:C672,3,FALSE)</f>
        <v>5.9338194267083386</v>
      </c>
      <c r="J4" s="168" cm="1">
        <f t="array" ref="J4">I4-VLOOKUP(B$2,H1:J66,2,FALSE)</f>
        <v>2.7814713721385491</v>
      </c>
    </row>
    <row r="5" spans="1:10" ht="21.25" customHeight="1" x14ac:dyDescent="0.15">
      <c r="A5" s="10" t="s">
        <v>166</v>
      </c>
      <c r="B5" s="141" t="str" cm="1">
        <f t="array" ref="B5">VLOOKUP(A5,'The List'!B1:D671,3,FALSE)</f>
        <v>G</v>
      </c>
      <c r="C5" s="175" cm="1">
        <f t="array" ref="C5">RANK(E5,E3:E66)</f>
        <v>3</v>
      </c>
      <c r="D5" s="18" t="str" cm="1">
        <f t="array" ref="D5">VLOOKUP(A5,'The List'!B1:F671,5,FALSE)</f>
        <v>WSH</v>
      </c>
      <c r="E5" s="55" cm="1">
        <f t="array" ref="E5">VLOOKUP(A5,'The List'!B1:I671,8,FALSE)</f>
        <v>390.26315187875048</v>
      </c>
      <c r="F5" s="55" cm="1">
        <f t="array" ref="F5">IF(Settings!$E$15="POINTS",E5-VLOOKUP(B$2,C1:E66,3,FALSE),J5)</f>
        <v>31.105243948512452</v>
      </c>
      <c r="G5" s="55"/>
      <c r="H5" s="167" cm="1">
        <f t="array" ref="H5">RANK(I5,I3:I66)</f>
        <v>3</v>
      </c>
      <c r="I5" s="168" cm="1">
        <f t="array" ref="I5">VLOOKUP(A5,'Standard Deviations'!A1:C672,3,FALSE)</f>
        <v>4.7189683964750806</v>
      </c>
      <c r="J5" s="168" cm="1">
        <f t="array" ref="J5">I5-VLOOKUP(B$2,H1:J66,2,FALSE)</f>
        <v>1.5666203419052911</v>
      </c>
    </row>
    <row r="6" spans="1:10" ht="21.25" customHeight="1" x14ac:dyDescent="0.15">
      <c r="A6" s="10" t="s">
        <v>172</v>
      </c>
      <c r="B6" s="141" t="str" cm="1">
        <f t="array" ref="B6">VLOOKUP(A6,'The List'!B1:D671,3,FALSE)</f>
        <v>G</v>
      </c>
      <c r="C6" s="175" cm="1">
        <f t="array" ref="C6">RANK(E6,E3:E66)</f>
        <v>4</v>
      </c>
      <c r="D6" s="18" t="str" cm="1">
        <f t="array" ref="D6">VLOOKUP(A6,'The List'!B1:F671,5,FALSE)</f>
        <v>CBJ</v>
      </c>
      <c r="E6" s="55" cm="1">
        <f t="array" ref="E6">VLOOKUP(A6,'The List'!B1:I671,8,FALSE)</f>
        <v>381.46020176335037</v>
      </c>
      <c r="F6" s="55" cm="1">
        <f t="array" ref="F6">IF(Settings!$E$15="POINTS",E6-VLOOKUP(B$2,C1:E66,3,FALSE),J6)</f>
        <v>22.302293833112344</v>
      </c>
      <c r="G6" s="55"/>
      <c r="H6" s="167" cm="1">
        <f t="array" ref="H6">RANK(I6,I3:I66)</f>
        <v>5</v>
      </c>
      <c r="I6" s="168" cm="1">
        <f t="array" ref="I6">VLOOKUP(A6,'Standard Deviations'!A1:C672,3,FALSE)</f>
        <v>3.9636271379962293</v>
      </c>
      <c r="J6" s="168" cm="1">
        <f t="array" ref="J6">I6-VLOOKUP(B$2,H1:J66,2,FALSE)</f>
        <v>0.81127908342643984</v>
      </c>
    </row>
    <row r="7" spans="1:10" ht="21.25" customHeight="1" x14ac:dyDescent="0.15">
      <c r="A7" s="10" t="s">
        <v>174</v>
      </c>
      <c r="B7" s="141" t="str" cm="1">
        <f t="array" ref="B7">VLOOKUP(A7,'The List'!B1:D671,3,FALSE)</f>
        <v>G</v>
      </c>
      <c r="C7" s="175" cm="1">
        <f t="array" ref="C7">RANK(E7,E3:E66)</f>
        <v>5</v>
      </c>
      <c r="D7" s="18" t="str" cm="1">
        <f t="array" ref="D7">VLOOKUP(A7,'The List'!B1:F671,5,FALSE)</f>
        <v>NYI</v>
      </c>
      <c r="E7" s="55" cm="1">
        <f t="array" ref="E7">VLOOKUP(A7,'The List'!B1:I671,8,FALSE)</f>
        <v>380.2504566321536</v>
      </c>
      <c r="F7" s="55" cm="1">
        <f t="array" ref="F7">IF(Settings!$E$15="POINTS",E7-VLOOKUP(B$2,C1:E66,3,FALSE),J7)</f>
        <v>21.092548701915575</v>
      </c>
      <c r="G7" s="55"/>
      <c r="H7" s="167" cm="1">
        <f t="array" ref="H7">RANK(I7,I3:I66)</f>
        <v>13</v>
      </c>
      <c r="I7" s="168" cm="1">
        <f t="array" ref="I7">VLOOKUP(A7,'Standard Deviations'!A1:C672,3,FALSE)</f>
        <v>2.0745347367645124</v>
      </c>
      <c r="J7" s="168" cm="1">
        <f t="array" ref="J7">I7-VLOOKUP(B$2,H1:J66,2,FALSE)</f>
        <v>-1.0778133178052771</v>
      </c>
    </row>
    <row r="8" spans="1:10" ht="21.25" customHeight="1" x14ac:dyDescent="0.15">
      <c r="A8" s="10" t="s">
        <v>177</v>
      </c>
      <c r="B8" s="141" t="str" cm="1">
        <f t="array" ref="B8">VLOOKUP(A8,'The List'!B1:D671,3,FALSE)</f>
        <v>G</v>
      </c>
      <c r="C8" s="175" cm="1">
        <f t="array" ref="C8">RANK(E8,E3:E66)</f>
        <v>6</v>
      </c>
      <c r="D8" s="18" t="str" cm="1">
        <f t="array" ref="D8">VLOOKUP(A8,'The List'!B1:F671,5,FALSE)</f>
        <v>NYR</v>
      </c>
      <c r="E8" s="55" cm="1">
        <f t="array" ref="E8">VLOOKUP(A8,'The List'!B1:I671,8,FALSE)</f>
        <v>378.63333418824033</v>
      </c>
      <c r="F8" s="55" cm="1">
        <f t="array" ref="F8">IF(Settings!$E$15="POINTS",E8-VLOOKUP(B$2,C1:E66,3,FALSE),J8)</f>
        <v>19.475426258002301</v>
      </c>
      <c r="G8" s="55"/>
      <c r="H8" s="167" cm="1">
        <f t="array" ref="H8">RANK(I8,I3:I66)</f>
        <v>7</v>
      </c>
      <c r="I8" s="168" cm="1">
        <f t="array" ref="I8">VLOOKUP(A8,'Standard Deviations'!A1:C672,3,FALSE)</f>
        <v>3.7698372408426848</v>
      </c>
      <c r="J8" s="168" cm="1">
        <f t="array" ref="J8">I8-VLOOKUP(B$2,H1:J66,2,FALSE)</f>
        <v>0.61748918627289529</v>
      </c>
    </row>
    <row r="9" spans="1:10" ht="21.25" customHeight="1" x14ac:dyDescent="0.15">
      <c r="A9" s="10" t="s">
        <v>191</v>
      </c>
      <c r="B9" s="141" t="str" cm="1">
        <f t="array" ref="B9">VLOOKUP(A9,'The List'!B1:D671,3,FALSE)</f>
        <v>G</v>
      </c>
      <c r="C9" s="175" cm="1">
        <f t="array" ref="C9">RANK(E9,E3:E66)</f>
        <v>7</v>
      </c>
      <c r="D9" s="18" t="str" cm="1">
        <f t="array" ref="D9">VLOOKUP(A9,'The List'!B1:F671,5,FALSE)</f>
        <v>NSH</v>
      </c>
      <c r="E9" s="55" cm="1">
        <f t="array" ref="E9">VLOOKUP(A9,'The List'!B1:I671,8,FALSE)</f>
        <v>366.15130898540065</v>
      </c>
      <c r="F9" s="55" cm="1">
        <f t="array" ref="F9">IF(Settings!$E$15="POINTS",E9-VLOOKUP(B$2,C1:E66,3,FALSE),J9)</f>
        <v>6.9934010551626216</v>
      </c>
      <c r="G9" s="55"/>
      <c r="H9" s="167" cm="1">
        <f t="array" ref="H9">RANK(I9,I3:I66)</f>
        <v>23</v>
      </c>
      <c r="I9" s="168" cm="1">
        <f t="array" ref="I9">VLOOKUP(A9,'Standard Deviations'!A1:C672,3,FALSE)</f>
        <v>1.1119402750363698</v>
      </c>
      <c r="J9" s="168" cm="1">
        <f t="array" ref="J9">I9-VLOOKUP(B$2,H1:J66,2,FALSE)</f>
        <v>-2.0404077795334197</v>
      </c>
    </row>
    <row r="10" spans="1:10" ht="21.25" customHeight="1" x14ac:dyDescent="0.15">
      <c r="A10" s="10" t="s">
        <v>194</v>
      </c>
      <c r="B10" s="141" t="str" cm="1">
        <f t="array" ref="B10">VLOOKUP(A10,'The List'!B1:D671,3,FALSE)</f>
        <v>G</v>
      </c>
      <c r="C10" s="175" cm="1">
        <f t="array" ref="C10">RANK(E10,E3:E66)</f>
        <v>8</v>
      </c>
      <c r="D10" s="18" t="str" cm="1">
        <f t="array" ref="D10">VLOOKUP(A10,'The List'!B1:F671,5,FALSE)</f>
        <v>DAL</v>
      </c>
      <c r="E10" s="55" cm="1">
        <f t="array" ref="E10">VLOOKUP(A10,'The List'!B1:I671,8,FALSE)</f>
        <v>361.82324020738679</v>
      </c>
      <c r="F10" s="55" cm="1">
        <f t="array" ref="F10">IF(Settings!$E$15="POINTS",E10-VLOOKUP(B$2,C1:E66,3,FALSE),J10)</f>
        <v>2.6653322771487638</v>
      </c>
      <c r="G10" s="55"/>
      <c r="H10" s="167" cm="1">
        <f t="array" ref="H10">RANK(I10,I3:I66)</f>
        <v>4</v>
      </c>
      <c r="I10" s="168" cm="1">
        <f t="array" ref="I10">VLOOKUP(A10,'Standard Deviations'!A1:C672,3,FALSE)</f>
        <v>4.2489510901467948</v>
      </c>
      <c r="J10" s="168" cm="1">
        <f t="array" ref="J10">I10-VLOOKUP(B$2,H1:J66,2,FALSE)</f>
        <v>1.0966030355770053</v>
      </c>
    </row>
    <row r="11" spans="1:10" ht="21.25" customHeight="1" x14ac:dyDescent="0.15">
      <c r="A11" s="10" t="s">
        <v>199</v>
      </c>
      <c r="B11" s="141" t="str" cm="1">
        <f t="array" ref="B11">VLOOKUP(A11,'The List'!B1:D671,3,FALSE)</f>
        <v>G</v>
      </c>
      <c r="C11" s="175" cm="1">
        <f t="array" ref="C11">RANK(E11,E3:E66)</f>
        <v>9</v>
      </c>
      <c r="D11" s="18" t="str" cm="1">
        <f t="array" ref="D11">VLOOKUP(A11,'The List'!B1:F671,5,FALSE)</f>
        <v>CHI</v>
      </c>
      <c r="E11" s="55" cm="1">
        <f t="array" ref="E11">VLOOKUP(A11,'The List'!B1:I671,8,FALSE)</f>
        <v>359.15790793023803</v>
      </c>
      <c r="F11" s="55" cm="1">
        <f t="array" ref="F11">IF(Settings!$E$15="POINTS",E11-VLOOKUP(B$2,C1:E66,3,FALSE),J11)</f>
        <v>0</v>
      </c>
      <c r="G11" s="55"/>
      <c r="H11" s="167" cm="1">
        <f t="array" ref="H11">RANK(I11,I3:I66)</f>
        <v>36</v>
      </c>
      <c r="I11" s="168" cm="1">
        <f t="array" ref="I11">VLOOKUP(A11,'Standard Deviations'!A1:C672,3,FALSE)</f>
        <v>-0.36270500786075988</v>
      </c>
      <c r="J11" s="168" cm="1">
        <f t="array" ref="J11">I11-VLOOKUP(B$2,H1:J66,2,FALSE)</f>
        <v>-3.5150530624305496</v>
      </c>
    </row>
    <row r="12" spans="1:10" ht="21.25" customHeight="1" x14ac:dyDescent="0.15">
      <c r="A12" s="10" t="s">
        <v>205</v>
      </c>
      <c r="B12" s="141" t="str" cm="1">
        <f t="array" ref="B12">VLOOKUP(A12,'The List'!B1:D671,3,FALSE)</f>
        <v>G</v>
      </c>
      <c r="C12" s="175" cm="1">
        <f t="array" ref="C12">RANK(E12,E3:E66)</f>
        <v>10</v>
      </c>
      <c r="D12" s="18" t="str" cm="1">
        <f t="array" ref="D12">VLOOKUP(A12,'The List'!B1:F671,5,FALSE)</f>
        <v>CGY</v>
      </c>
      <c r="E12" s="55" cm="1">
        <f t="array" ref="E12">VLOOKUP(A12,'The List'!B1:I671,8,FALSE)</f>
        <v>351.52208793321063</v>
      </c>
      <c r="F12" s="55" cm="1">
        <f t="array" ref="F12">IF(Settings!$E$15="POINTS",E12-VLOOKUP(B$2,C1:E66,3,FALSE),J12)</f>
        <v>-7.6358199970273972</v>
      </c>
      <c r="G12" s="55"/>
      <c r="H12" s="167" cm="1">
        <f t="array" ref="H12">RANK(I12,I3:I66)</f>
        <v>31</v>
      </c>
      <c r="I12" s="168" cm="1">
        <f t="array" ref="I12">VLOOKUP(A12,'Standard Deviations'!A1:C672,3,FALSE)</f>
        <v>0.32145819714177515</v>
      </c>
      <c r="J12" s="168" cm="1">
        <f t="array" ref="J12">I12-VLOOKUP(B$2,H1:J66,2,FALSE)</f>
        <v>-2.8308898574280144</v>
      </c>
    </row>
    <row r="13" spans="1:10" ht="21.25" customHeight="1" x14ac:dyDescent="0.15">
      <c r="A13" s="10" t="s">
        <v>208</v>
      </c>
      <c r="B13" s="141" t="str" cm="1">
        <f t="array" ref="B13">VLOOKUP(A13,'The List'!B1:D671,3,FALSE)</f>
        <v>G</v>
      </c>
      <c r="C13" s="175" cm="1">
        <f t="array" ref="C13">RANK(E13,E3:E66)</f>
        <v>11</v>
      </c>
      <c r="D13" s="18" t="str" cm="1">
        <f t="array" ref="D13">VLOOKUP(A13,'The List'!B1:F671,5,FALSE)</f>
        <v>BOS</v>
      </c>
      <c r="E13" s="55" cm="1">
        <f t="array" ref="E13">VLOOKUP(A13,'The List'!B1:I671,8,FALSE)</f>
        <v>348.59762629330135</v>
      </c>
      <c r="F13" s="55" cm="1">
        <f t="array" ref="F13">IF(Settings!$E$15="POINTS",E13-VLOOKUP(B$2,C1:E66,3,FALSE),J13)</f>
        <v>-10.560281636936679</v>
      </c>
      <c r="G13" s="55"/>
      <c r="H13" s="167" cm="1">
        <f t="array" ref="H13">RANK(I13,I3:I66)</f>
        <v>16</v>
      </c>
      <c r="I13" s="168" cm="1">
        <f t="array" ref="I13">VLOOKUP(A13,'Standard Deviations'!A1:C672,3,FALSE)</f>
        <v>1.8147480990050213</v>
      </c>
      <c r="J13" s="168" cm="1">
        <f t="array" ref="J13">I13-VLOOKUP(B$2,H1:J66,2,FALSE)</f>
        <v>-1.3375999555647682</v>
      </c>
    </row>
    <row r="14" spans="1:10" ht="21.25" customHeight="1" x14ac:dyDescent="0.15">
      <c r="A14" s="10" t="s">
        <v>209</v>
      </c>
      <c r="B14" s="141" t="str" cm="1">
        <f t="array" ref="B14">VLOOKUP(A14,'The List'!B1:D671,3,FALSE)</f>
        <v>G</v>
      </c>
      <c r="C14" s="175" cm="1">
        <f t="array" ref="C14">RANK(E14,E3:E66)</f>
        <v>12</v>
      </c>
      <c r="D14" s="18" t="str" cm="1">
        <f t="array" ref="D14">VLOOKUP(A14,'The List'!B1:F671,5,FALSE)</f>
        <v>DET</v>
      </c>
      <c r="E14" s="55" cm="1">
        <f t="array" ref="E14">VLOOKUP(A14,'The List'!B1:I671,8,FALSE)</f>
        <v>348.42785409839871</v>
      </c>
      <c r="F14" s="55" cm="1">
        <f t="array" ref="F14">IF(Settings!$E$15="POINTS",E14-VLOOKUP(B$2,C1:E66,3,FALSE),J14)</f>
        <v>-10.730053831839314</v>
      </c>
      <c r="G14" s="55"/>
      <c r="H14" s="167" cm="1">
        <f t="array" ref="H14">RANK(I14,I3:I66)</f>
        <v>12</v>
      </c>
      <c r="I14" s="168" cm="1">
        <f t="array" ref="I14">VLOOKUP(A14,'Standard Deviations'!A1:C672,3,FALSE)</f>
        <v>2.1360162689990396</v>
      </c>
      <c r="J14" s="168" cm="1">
        <f t="array" ref="J14">I14-VLOOKUP(B$2,H1:J66,2,FALSE)</f>
        <v>-1.0163317855707499</v>
      </c>
    </row>
    <row r="15" spans="1:10" ht="21.25" customHeight="1" x14ac:dyDescent="0.15">
      <c r="A15" s="10" t="s">
        <v>219</v>
      </c>
      <c r="B15" s="141" t="str" cm="1">
        <f t="array" ref="B15">VLOOKUP(A15,'The List'!B1:D671,3,FALSE)</f>
        <v>G</v>
      </c>
      <c r="C15" s="175" cm="1">
        <f t="array" ref="C15">RANK(E15,E3:E66)</f>
        <v>13</v>
      </c>
      <c r="D15" s="18" t="str" cm="1">
        <f t="array" ref="D15">VLOOKUP(A15,'The List'!B1:F671,5,FALSE)</f>
        <v>UTA</v>
      </c>
      <c r="E15" s="55" cm="1">
        <f t="array" ref="E15">VLOOKUP(A15,'The List'!B1:I671,8,FALSE)</f>
        <v>335.41368392520599</v>
      </c>
      <c r="F15" s="55" cm="1">
        <f t="array" ref="F15">IF(Settings!$E$15="POINTS",E15-VLOOKUP(B$2,C1:E66,3,FALSE),J15)</f>
        <v>-23.744224005032038</v>
      </c>
      <c r="G15" s="55"/>
      <c r="H15" s="167" cm="1">
        <f t="array" ref="H15">RANK(I15,I3:I66)</f>
        <v>15</v>
      </c>
      <c r="I15" s="168" cm="1">
        <f t="array" ref="I15">VLOOKUP(A15,'Standard Deviations'!A1:C672,3,FALSE)</f>
        <v>1.8655104188385123</v>
      </c>
      <c r="J15" s="168" cm="1">
        <f t="array" ref="J15">I15-VLOOKUP(B$2,H1:J66,2,FALSE)</f>
        <v>-1.2868376357312772</v>
      </c>
    </row>
    <row r="16" spans="1:10" ht="21.25" customHeight="1" x14ac:dyDescent="0.15">
      <c r="A16" s="10" t="s">
        <v>225</v>
      </c>
      <c r="B16" s="141" t="str" cm="1">
        <f t="array" ref="B16">VLOOKUP(A16,'The List'!B1:D671,3,FALSE)</f>
        <v>G</v>
      </c>
      <c r="C16" s="175" cm="1">
        <f t="array" ref="C16">RANK(E16,E3:E66)</f>
        <v>14</v>
      </c>
      <c r="D16" s="18" t="str" cm="1">
        <f t="array" ref="D16">VLOOKUP(A16,'The List'!B1:F671,5,FALSE)</f>
        <v>ANA</v>
      </c>
      <c r="E16" s="55" cm="1">
        <f t="array" ref="E16">VLOOKUP(A16,'The List'!B1:I671,8,FALSE)</f>
        <v>327.42227493822185</v>
      </c>
      <c r="F16" s="55" cm="1">
        <f t="array" ref="F16">IF(Settings!$E$15="POINTS",E16-VLOOKUP(B$2,C1:E66,3,FALSE),J16)</f>
        <v>-31.735632992016178</v>
      </c>
      <c r="G16" s="55"/>
      <c r="H16" s="167" cm="1">
        <f t="array" ref="H16">RANK(I16,I3:I66)</f>
        <v>32</v>
      </c>
      <c r="I16" s="168" cm="1">
        <f t="array" ref="I16">VLOOKUP(A16,'Standard Deviations'!A1:C672,3,FALSE)</f>
        <v>-0.19158711635679837</v>
      </c>
      <c r="J16" s="168" cm="1">
        <f t="array" ref="J16">I16-VLOOKUP(B$2,H1:J66,2,FALSE)</f>
        <v>-3.3439351709265877</v>
      </c>
    </row>
    <row r="17" spans="1:10" ht="21.25" customHeight="1" x14ac:dyDescent="0.15">
      <c r="A17" s="10" t="s">
        <v>236</v>
      </c>
      <c r="B17" s="141" t="str" cm="1">
        <f t="array" ref="B17">VLOOKUP(A17,'The List'!B1:D671,3,FALSE)</f>
        <v>G</v>
      </c>
      <c r="C17" s="175" cm="1">
        <f t="array" ref="C17">RANK(E17,E3:E66)</f>
        <v>15</v>
      </c>
      <c r="D17" s="18" t="str" cm="1">
        <f t="array" ref="D17">VLOOKUP(A17,'The List'!B1:F671,5,FALSE)</f>
        <v>MTL</v>
      </c>
      <c r="E17" s="55" cm="1">
        <f t="array" ref="E17">VLOOKUP(A17,'The List'!B1:I671,8,FALSE)</f>
        <v>316.6119647756837</v>
      </c>
      <c r="F17" s="55" cm="1">
        <f t="array" ref="F17">IF(Settings!$E$15="POINTS",E17-VLOOKUP(B$2,C1:E66,3,FALSE),J17)</f>
        <v>-42.545943154554323</v>
      </c>
      <c r="G17" s="55"/>
      <c r="H17" s="167" cm="1">
        <f t="array" ref="H17">RANK(I17,I3:I66)</f>
        <v>11</v>
      </c>
      <c r="I17" s="168" cm="1">
        <f t="array" ref="I17">VLOOKUP(A17,'Standard Deviations'!A1:C672,3,FALSE)</f>
        <v>2.1409871690103124</v>
      </c>
      <c r="J17" s="168" cm="1">
        <f t="array" ref="J17">I17-VLOOKUP(B$2,H1:J66,2,FALSE)</f>
        <v>-1.0113608855594771</v>
      </c>
    </row>
    <row r="18" spans="1:10" ht="21.25" customHeight="1" x14ac:dyDescent="0.15">
      <c r="A18" s="10" t="s">
        <v>237</v>
      </c>
      <c r="B18" s="141" t="str" cm="1">
        <f t="array" ref="B18">VLOOKUP(A18,'The List'!B1:D671,3,FALSE)</f>
        <v>G</v>
      </c>
      <c r="C18" s="175" cm="1">
        <f t="array" ref="C18">RANK(E18,E3:E66)</f>
        <v>16</v>
      </c>
      <c r="D18" s="18" t="str" cm="1">
        <f t="array" ref="D18">VLOOKUP(A18,'The List'!B1:F671,5,FALSE)</f>
        <v>COL</v>
      </c>
      <c r="E18" s="55" cm="1">
        <f t="array" ref="E18">VLOOKUP(A18,'The List'!B1:I671,8,FALSE)</f>
        <v>316.30041083866593</v>
      </c>
      <c r="F18" s="55" cm="1">
        <f t="array" ref="F18">IF(Settings!$E$15="POINTS",E18-VLOOKUP(B$2,C1:E66,3,FALSE),J18)</f>
        <v>-42.8574970915721</v>
      </c>
      <c r="G18" s="55"/>
      <c r="H18" s="167" cm="1">
        <f t="array" ref="H18">RANK(I18,I3:I66)</f>
        <v>6</v>
      </c>
      <c r="I18" s="168" cm="1">
        <f t="array" ref="I18">VLOOKUP(A18,'Standard Deviations'!A1:C672,3,FALSE)</f>
        <v>3.8421897123534583</v>
      </c>
      <c r="J18" s="168" cm="1">
        <f t="array" ref="J18">I18-VLOOKUP(B$2,H1:J66,2,FALSE)</f>
        <v>0.68984165778366879</v>
      </c>
    </row>
    <row r="19" spans="1:10" ht="21.25" customHeight="1" x14ac:dyDescent="0.15">
      <c r="A19" s="10" t="s">
        <v>245</v>
      </c>
      <c r="B19" s="141" t="str" cm="1">
        <f t="array" ref="B19">VLOOKUP(A19,'The List'!B1:D671,3,FALSE)</f>
        <v>G</v>
      </c>
      <c r="C19" s="175" cm="1">
        <f t="array" ref="C19">RANK(E19,E3:E66)</f>
        <v>17</v>
      </c>
      <c r="D19" s="18" t="str" cm="1">
        <f t="array" ref="D19">VLOOKUP(A19,'The List'!B1:F671,5,FALSE)</f>
        <v>TOR</v>
      </c>
      <c r="E19" s="55" cm="1">
        <f t="array" ref="E19">VLOOKUP(A19,'The List'!B1:I671,8,FALSE)</f>
        <v>310.6194397055109</v>
      </c>
      <c r="F19" s="55" cm="1">
        <f t="array" ref="F19">IF(Settings!$E$15="POINTS",E19-VLOOKUP(B$2,C1:E66,3,FALSE),J19)</f>
        <v>-48.538468224727126</v>
      </c>
      <c r="G19" s="55"/>
      <c r="H19" s="167" cm="1">
        <f t="array" ref="H19">RANK(I19,I3:I66)</f>
        <v>24</v>
      </c>
      <c r="I19" s="168" cm="1">
        <f t="array" ref="I19">VLOOKUP(A19,'Standard Deviations'!A1:C672,3,FALSE)</f>
        <v>1.1087582070740072</v>
      </c>
      <c r="J19" s="168" cm="1">
        <f t="array" ref="J19">I19-VLOOKUP(B$2,H1:J66,2,FALSE)</f>
        <v>-2.0435898474957823</v>
      </c>
    </row>
    <row r="20" spans="1:10" ht="21.25" customHeight="1" x14ac:dyDescent="0.15">
      <c r="A20" s="10" t="s">
        <v>263</v>
      </c>
      <c r="B20" s="141" t="str" cm="1">
        <f t="array" ref="B20">VLOOKUP(A20,'The List'!B1:D671,3,FALSE)</f>
        <v>G</v>
      </c>
      <c r="C20" s="175" cm="1">
        <f t="array" ref="C20">RANK(E20,E3:E66)</f>
        <v>18</v>
      </c>
      <c r="D20" s="18" t="str" cm="1">
        <f t="array" ref="D20">VLOOKUP(A20,'The List'!B1:F671,5,FALSE)</f>
        <v>MIN</v>
      </c>
      <c r="E20" s="55" cm="1">
        <f t="array" ref="E20">VLOOKUP(A20,'The List'!B1:I671,8,FALSE)</f>
        <v>302.52879292178943</v>
      </c>
      <c r="F20" s="55" cm="1">
        <f t="array" ref="F20">IF(Settings!$E$15="POINTS",E20-VLOOKUP(B$2,C1:E66,3,FALSE),J20)</f>
        <v>-56.629115008448593</v>
      </c>
      <c r="G20" s="55"/>
      <c r="H20" s="167" cm="1">
        <f t="array" ref="H20">RANK(I20,I3:I66)</f>
        <v>8</v>
      </c>
      <c r="I20" s="168" cm="1">
        <f t="array" ref="I20">VLOOKUP(A20,'Standard Deviations'!A1:C672,3,FALSE)</f>
        <v>3.2960792130597847</v>
      </c>
      <c r="J20" s="168" cm="1">
        <f t="array" ref="J20">I20-VLOOKUP(B$2,H1:J66,2,FALSE)</f>
        <v>0.14373115848999518</v>
      </c>
    </row>
    <row r="21" spans="1:10" ht="21.25" customHeight="1" x14ac:dyDescent="0.15">
      <c r="A21" s="10" t="s">
        <v>264</v>
      </c>
      <c r="B21" s="141" t="str" cm="1">
        <f t="array" ref="B21">VLOOKUP(A21,'The List'!B1:D671,3,FALSE)</f>
        <v>G</v>
      </c>
      <c r="C21" s="175" cm="1">
        <f t="array" ref="C21">RANK(E21,E3:E66)</f>
        <v>19</v>
      </c>
      <c r="D21" s="18" t="str" cm="1">
        <f t="array" ref="D21">VLOOKUP(A21,'The List'!B1:F671,5,FALSE)</f>
        <v>OTT</v>
      </c>
      <c r="E21" s="55" cm="1">
        <f t="array" ref="E21">VLOOKUP(A21,'The List'!B1:I671,8,FALSE)</f>
        <v>302.52274488591956</v>
      </c>
      <c r="F21" s="55" cm="1">
        <f t="array" ref="F21">IF(Settings!$E$15="POINTS",E21-VLOOKUP(B$2,C1:E66,3,FALSE),J21)</f>
        <v>-56.63516304431846</v>
      </c>
      <c r="G21" s="55"/>
      <c r="H21" s="167" cm="1">
        <f t="array" ref="H21">RANK(I21,I3:I66)</f>
        <v>9</v>
      </c>
      <c r="I21" s="168" cm="1">
        <f t="array" ref="I21">VLOOKUP(A21,'Standard Deviations'!A1:C672,3,FALSE)</f>
        <v>3.1523480545697895</v>
      </c>
      <c r="J21" s="168" cm="1">
        <f t="array" ref="J21">I21-VLOOKUP(B$2,H1:J66,2,FALSE)</f>
        <v>0</v>
      </c>
    </row>
    <row r="22" spans="1:10" ht="21.25" customHeight="1" x14ac:dyDescent="0.15">
      <c r="A22" s="10" t="s">
        <v>274</v>
      </c>
      <c r="B22" s="141" t="str" cm="1">
        <f t="array" ref="B22">VLOOKUP(A22,'The List'!B1:D671,3,FALSE)</f>
        <v>G</v>
      </c>
      <c r="C22" s="175" cm="1">
        <f t="array" ref="C22">RANK(E22,E3:E66)</f>
        <v>20</v>
      </c>
      <c r="D22" s="18" t="str" cm="1">
        <f t="array" ref="D22">VLOOKUP(A22,'The List'!B1:F671,5,FALSE)</f>
        <v>FLA</v>
      </c>
      <c r="E22" s="55" cm="1">
        <f t="array" ref="E22">VLOOKUP(A22,'The List'!B1:I671,8,FALSE)</f>
        <v>293.77449346189644</v>
      </c>
      <c r="F22" s="55" cm="1">
        <f t="array" ref="F22">IF(Settings!$E$15="POINTS",E22-VLOOKUP(B$2,C1:E66,3,FALSE),J22)</f>
        <v>-65.383414468341584</v>
      </c>
      <c r="G22" s="55"/>
      <c r="H22" s="167" cm="1">
        <f t="array" ref="H22">RANK(I22,I3:I66)</f>
        <v>18</v>
      </c>
      <c r="I22" s="168" cm="1">
        <f t="array" ref="I22">VLOOKUP(A22,'Standard Deviations'!A1:C672,3,FALSE)</f>
        <v>1.6770584791441667</v>
      </c>
      <c r="J22" s="168" cm="1">
        <f t="array" ref="J22">I22-VLOOKUP(B$2,H1:J66,2,FALSE)</f>
        <v>-1.4752895754256228</v>
      </c>
    </row>
    <row r="23" spans="1:10" ht="21.25" customHeight="1" x14ac:dyDescent="0.15">
      <c r="A23" s="10" t="s">
        <v>281</v>
      </c>
      <c r="B23" s="141" t="str" cm="1">
        <f t="array" ref="B23">VLOOKUP(A23,'The List'!B1:D671,3,FALSE)</f>
        <v>G</v>
      </c>
      <c r="C23" s="175" cm="1">
        <f t="array" ref="C23">RANK(E23,E3:E66)</f>
        <v>21</v>
      </c>
      <c r="D23" s="18" t="str" cm="1">
        <f t="array" ref="D23">VLOOKUP(A23,'The List'!B1:F671,5,FALSE)</f>
        <v>STL</v>
      </c>
      <c r="E23" s="55" cm="1">
        <f t="array" ref="E23">VLOOKUP(A23,'The List'!B1:I671,8,FALSE)</f>
        <v>289.81305822626155</v>
      </c>
      <c r="F23" s="55" cm="1">
        <f t="array" ref="F23">IF(Settings!$E$15="POINTS",E23-VLOOKUP(B$2,C1:E66,3,FALSE),J23)</f>
        <v>-69.344849703976479</v>
      </c>
      <c r="G23" s="55"/>
      <c r="H23" s="167" cm="1">
        <f t="array" ref="H23">RANK(I23,I3:I66)</f>
        <v>22</v>
      </c>
      <c r="I23" s="168" cm="1">
        <f t="array" ref="I23">VLOOKUP(A23,'Standard Deviations'!A1:C672,3,FALSE)</f>
        <v>1.1577331547969023</v>
      </c>
      <c r="J23" s="168" cm="1">
        <f t="array" ref="J23">I23-VLOOKUP(B$2,H1:J66,2,FALSE)</f>
        <v>-1.9946148997728872</v>
      </c>
    </row>
    <row r="24" spans="1:10" ht="21.25" customHeight="1" x14ac:dyDescent="0.15">
      <c r="A24" s="10" t="s">
        <v>298</v>
      </c>
      <c r="B24" s="141" t="str" cm="1">
        <f t="array" ref="B24">VLOOKUP(A24,'The List'!B1:D671,3,FALSE)</f>
        <v>G</v>
      </c>
      <c r="C24" s="175" cm="1">
        <f t="array" ref="C24">RANK(E24,E3:E66)</f>
        <v>22</v>
      </c>
      <c r="D24" s="18" t="str" cm="1">
        <f t="array" ref="D24">VLOOKUP(A24,'The List'!B1:F671,5,FALSE)</f>
        <v>L.A</v>
      </c>
      <c r="E24" s="55" cm="1">
        <f t="array" ref="E24">VLOOKUP(A24,'The List'!B1:I671,8,FALSE)</f>
        <v>280.569170639839</v>
      </c>
      <c r="F24" s="55" cm="1">
        <f t="array" ref="F24">IF(Settings!$E$15="POINTS",E24-VLOOKUP(B$2,C1:E66,3,FALSE),J24)</f>
        <v>-78.588737290399024</v>
      </c>
      <c r="G24" s="55"/>
      <c r="H24" s="167" cm="1">
        <f t="array" ref="H24">RANK(I24,I3:I66)</f>
        <v>19</v>
      </c>
      <c r="I24" s="168" cm="1">
        <f t="array" ref="I24">VLOOKUP(A24,'Standard Deviations'!A1:C672,3,FALSE)</f>
        <v>1.5543555290151745</v>
      </c>
      <c r="J24" s="168" cm="1">
        <f t="array" ref="J24">I24-VLOOKUP(B$2,H1:J66,2,FALSE)</f>
        <v>-1.597992525554615</v>
      </c>
    </row>
    <row r="25" spans="1:10" ht="21.25" customHeight="1" x14ac:dyDescent="0.15">
      <c r="A25" s="10" t="s">
        <v>308</v>
      </c>
      <c r="B25" s="141" t="str" cm="1">
        <f t="array" ref="B25">VLOOKUP(A25,'The List'!B1:D671,3,FALSE)</f>
        <v>G</v>
      </c>
      <c r="C25" s="175" cm="1">
        <f t="array" ref="C25">RANK(E25,E3:E66)</f>
        <v>23</v>
      </c>
      <c r="D25" s="18" t="str" cm="1">
        <f t="array" ref="D25">VLOOKUP(A25,'The List'!B1:F671,5,FALSE)</f>
        <v>N.J</v>
      </c>
      <c r="E25" s="55" cm="1">
        <f t="array" ref="E25">VLOOKUP(A25,'The List'!B1:I671,8,FALSE)</f>
        <v>272.84098791053702</v>
      </c>
      <c r="F25" s="55" cm="1">
        <f t="array" ref="F25">IF(Settings!$E$15="POINTS",E25-VLOOKUP(B$2,C1:E66,3,FALSE),J25)</f>
        <v>-86.316920019701001</v>
      </c>
      <c r="G25" s="55"/>
      <c r="H25" s="167" cm="1">
        <f t="array" ref="H25">RANK(I25,I3:I66)</f>
        <v>20</v>
      </c>
      <c r="I25" s="168" cm="1">
        <f t="array" ref="I25">VLOOKUP(A25,'Standard Deviations'!A1:C672,3,FALSE)</f>
        <v>1.4439105730477855</v>
      </c>
      <c r="J25" s="168" cm="1">
        <f t="array" ref="J25">I25-VLOOKUP(B$2,H1:J66,2,FALSE)</f>
        <v>-1.708437481522004</v>
      </c>
    </row>
    <row r="26" spans="1:10" ht="21.25" customHeight="1" x14ac:dyDescent="0.15">
      <c r="A26" s="10" t="s">
        <v>311</v>
      </c>
      <c r="B26" s="141" t="str" cm="1">
        <f t="array" ref="B26">VLOOKUP(A26,'The List'!B1:D671,3,FALSE)</f>
        <v>G</v>
      </c>
      <c r="C26" s="175" cm="1">
        <f t="array" ref="C26">RANK(E26,E3:E66)</f>
        <v>24</v>
      </c>
      <c r="D26" s="18" t="str" cm="1">
        <f t="array" ref="D26">VLOOKUP(A26,'The List'!B1:F671,5,FALSE)</f>
        <v>SEA</v>
      </c>
      <c r="E26" s="55" cm="1">
        <f t="array" ref="E26">VLOOKUP(A26,'The List'!B1:I671,8,FALSE)</f>
        <v>269.46537950276235</v>
      </c>
      <c r="F26" s="55" cm="1">
        <f t="array" ref="F26">IF(Settings!$E$15="POINTS",E26-VLOOKUP(B$2,C1:E66,3,FALSE),J26)</f>
        <v>-89.692528427475679</v>
      </c>
      <c r="G26" s="55"/>
      <c r="H26" s="167" cm="1">
        <f t="array" ref="H26">RANK(I26,I3:I66)</f>
        <v>41</v>
      </c>
      <c r="I26" s="168" cm="1">
        <f t="array" ref="I26">VLOOKUP(A26,'Standard Deviations'!A1:C672,3,FALSE)</f>
        <v>-0.89879675252568825</v>
      </c>
      <c r="J26" s="168" cm="1">
        <f t="array" ref="J26">I26-VLOOKUP(B$2,H1:J66,2,FALSE)</f>
        <v>-4.0511448070954774</v>
      </c>
    </row>
    <row r="27" spans="1:10" ht="21.25" customHeight="1" x14ac:dyDescent="0.15">
      <c r="A27" s="10" t="s">
        <v>318</v>
      </c>
      <c r="B27" s="141" t="str" cm="1">
        <f t="array" ref="B27">VLOOKUP(A27,'The List'!B1:D671,3,FALSE)</f>
        <v>G</v>
      </c>
      <c r="C27" s="175" cm="1">
        <f t="array" ref="C27">RANK(E27,E3:E66)</f>
        <v>25</v>
      </c>
      <c r="D27" s="18" t="str" cm="1">
        <f t="array" ref="D27">VLOOKUP(A27,'The List'!B1:F671,5,FALSE)</f>
        <v>PHI</v>
      </c>
      <c r="E27" s="55" cm="1">
        <f t="array" ref="E27">VLOOKUP(A27,'The List'!B1:I671,8,FALSE)</f>
        <v>266.70201510405201</v>
      </c>
      <c r="F27" s="55" cm="1">
        <f t="array" ref="F27">IF(Settings!$E$15="POINTS",E27-VLOOKUP(B$2,C1:E66,3,FALSE),J27)</f>
        <v>-92.455892826186016</v>
      </c>
      <c r="G27" s="55"/>
      <c r="H27" s="167" cm="1">
        <f t="array" ref="H27">RANK(I27,I3:I66)</f>
        <v>14</v>
      </c>
      <c r="I27" s="168" cm="1">
        <f t="array" ref="I27">VLOOKUP(A27,'Standard Deviations'!A1:C672,3,FALSE)</f>
        <v>1.9014436781483814</v>
      </c>
      <c r="J27" s="168" cm="1">
        <f t="array" ref="J27">I27-VLOOKUP(B$2,H1:J66,2,FALSE)</f>
        <v>-1.2509043764214081</v>
      </c>
    </row>
    <row r="28" spans="1:10" ht="21.25" customHeight="1" x14ac:dyDescent="0.15">
      <c r="A28" s="10" t="s">
        <v>327</v>
      </c>
      <c r="B28" s="141" t="str" cm="1">
        <f t="array" ref="B28">VLOOKUP(A28,'The List'!B1:D671,3,FALSE)</f>
        <v>G</v>
      </c>
      <c r="C28" s="175" cm="1">
        <f t="array" ref="C28">RANK(E28,E3:E66)</f>
        <v>26</v>
      </c>
      <c r="D28" s="18" t="str" cm="1">
        <f t="array" ref="D28">VLOOKUP(A28,'The List'!B1:F671,5,FALSE)</f>
        <v>VAN</v>
      </c>
      <c r="E28" s="55" cm="1">
        <f t="array" ref="E28">VLOOKUP(A28,'The List'!B1:I671,8,FALSE)</f>
        <v>261.9174031086194</v>
      </c>
      <c r="F28" s="55" cm="1">
        <f t="array" ref="F28">IF(Settings!$E$15="POINTS",E28-VLOOKUP(B$2,C1:E66,3,FALSE),J28)</f>
        <v>-97.240504821618629</v>
      </c>
      <c r="G28" s="55"/>
      <c r="H28" s="167" cm="1">
        <f t="array" ref="H28">RANK(I28,I3:I66)</f>
        <v>51</v>
      </c>
      <c r="I28" s="168" cm="1">
        <f t="array" ref="I28">VLOOKUP(A28,'Standard Deviations'!A1:C672,3,FALSE)</f>
        <v>-2.3482748325218097</v>
      </c>
      <c r="J28" s="168" cm="1">
        <f t="array" ref="J28">I28-VLOOKUP(B$2,H1:J66,2,FALSE)</f>
        <v>-5.5006228870915992</v>
      </c>
    </row>
    <row r="29" spans="1:10" ht="21.25" customHeight="1" x14ac:dyDescent="0.15">
      <c r="A29" s="10" t="s">
        <v>340</v>
      </c>
      <c r="B29" s="141" t="str" cm="1">
        <f t="array" ref="B29">VLOOKUP(A29,'The List'!B1:D671,3,FALSE)</f>
        <v>G</v>
      </c>
      <c r="C29" s="175" cm="1">
        <f t="array" ref="C29">RANK(E29,E3:E66)</f>
        <v>27</v>
      </c>
      <c r="D29" s="18" t="str" cm="1">
        <f t="array" ref="D29">VLOOKUP(A29,'The List'!B1:F671,5,FALSE)</f>
        <v>BUF</v>
      </c>
      <c r="E29" s="55" cm="1">
        <f t="array" ref="E29">VLOOKUP(A29,'The List'!B1:I671,8,FALSE)</f>
        <v>255.41003090599168</v>
      </c>
      <c r="F29" s="55" cm="1">
        <f t="array" ref="F29">IF(Settings!$E$15="POINTS",E29-VLOOKUP(B$2,C1:E66,3,FALSE),J29)</f>
        <v>-103.74787702424635</v>
      </c>
      <c r="G29" s="55"/>
      <c r="H29" s="167" cm="1">
        <f t="array" ref="H29">RANK(I29,I3:I66)</f>
        <v>30</v>
      </c>
      <c r="I29" s="168" cm="1">
        <f t="array" ref="I29">VLOOKUP(A29,'Standard Deviations'!A1:C672,3,FALSE)</f>
        <v>0.34289191579165051</v>
      </c>
      <c r="J29" s="168" cm="1">
        <f t="array" ref="J29">I29-VLOOKUP(B$2,H1:J66,2,FALSE)</f>
        <v>-2.8094561387781392</v>
      </c>
    </row>
    <row r="30" spans="1:10" ht="21.25" customHeight="1" x14ac:dyDescent="0.15">
      <c r="A30" s="10" t="s">
        <v>342</v>
      </c>
      <c r="B30" s="141" t="str" cm="1">
        <f t="array" ref="B30">VLOOKUP(A30,'The List'!B1:D671,3,FALSE)</f>
        <v>G</v>
      </c>
      <c r="C30" s="175" cm="1">
        <f t="array" ref="C30">RANK(E30,E3:E66)</f>
        <v>28</v>
      </c>
      <c r="D30" s="18" t="str" cm="1">
        <f t="array" ref="D30">VLOOKUP(A30,'The List'!B1:F671,5,FALSE)</f>
        <v>VGK</v>
      </c>
      <c r="E30" s="55" cm="1">
        <f t="array" ref="E30">VLOOKUP(A30,'The List'!B1:I671,8,FALSE)</f>
        <v>254.49793449693647</v>
      </c>
      <c r="F30" s="55" cm="1">
        <f t="array" ref="F30">IF(Settings!$E$15="POINTS",E30-VLOOKUP(B$2,C1:E66,3,FALSE),J30)</f>
        <v>-104.65997343330156</v>
      </c>
      <c r="G30" s="55"/>
      <c r="H30" s="167" cm="1">
        <f t="array" ref="H30">RANK(I30,I3:I66)</f>
        <v>10</v>
      </c>
      <c r="I30" s="168" cm="1">
        <f t="array" ref="I30">VLOOKUP(A30,'Standard Deviations'!A1:C672,3,FALSE)</f>
        <v>2.3069556863723735</v>
      </c>
      <c r="J30" s="168" cm="1">
        <f t="array" ref="J30">I30-VLOOKUP(B$2,H1:J66,2,FALSE)</f>
        <v>-0.84539236819741603</v>
      </c>
    </row>
    <row r="31" spans="1:10" ht="21.25" customHeight="1" x14ac:dyDescent="0.15">
      <c r="A31" s="10" t="s">
        <v>388</v>
      </c>
      <c r="B31" s="141" t="str" cm="1">
        <f t="array" ref="B31">VLOOKUP(A31,'The List'!B1:D671,3,FALSE)</f>
        <v>G</v>
      </c>
      <c r="C31" s="175" cm="1">
        <f t="array" ref="C31">RANK(E31,E3:E66)</f>
        <v>29</v>
      </c>
      <c r="D31" s="18" t="str" cm="1">
        <f t="array" ref="D31">VLOOKUP(A31,'The List'!B1:F671,5,FALSE)</f>
        <v>S.J</v>
      </c>
      <c r="E31" s="55" cm="1">
        <f t="array" ref="E31">VLOOKUP(A31,'The List'!B1:I671,8,FALSE)</f>
        <v>230.13812154426728</v>
      </c>
      <c r="F31" s="55" cm="1">
        <f t="array" ref="F31">IF(Settings!$E$15="POINTS",E31-VLOOKUP(B$2,C1:E66,3,FALSE),J31)</f>
        <v>-129.01978638597075</v>
      </c>
      <c r="G31" s="55"/>
      <c r="H31" s="167" cm="1">
        <f t="array" ref="H31">RANK(I31,I3:I66)</f>
        <v>49</v>
      </c>
      <c r="I31" s="168" cm="1">
        <f t="array" ref="I31">VLOOKUP(A31,'Standard Deviations'!A1:C672,3,FALSE)</f>
        <v>-2.2317617588501011</v>
      </c>
      <c r="J31" s="168" cm="1">
        <f t="array" ref="J31">I31-VLOOKUP(B$2,H1:J66,2,FALSE)</f>
        <v>-5.3841098134198901</v>
      </c>
    </row>
    <row r="32" spans="1:10" ht="21.25" customHeight="1" x14ac:dyDescent="0.15">
      <c r="A32" s="10" t="s">
        <v>393</v>
      </c>
      <c r="B32" s="141" t="str" cm="1">
        <f t="array" ref="B32">VLOOKUP(A32,'The List'!B1:D671,3,FALSE)</f>
        <v>G</v>
      </c>
      <c r="C32" s="175" cm="1">
        <f t="array" ref="C32">RANK(E32,E3:E66)</f>
        <v>30</v>
      </c>
      <c r="D32" s="18" t="str" cm="1">
        <f t="array" ref="D32">VLOOKUP(A32,'The List'!B1:F671,5,FALSE)</f>
        <v>PIT</v>
      </c>
      <c r="E32" s="55" cm="1">
        <f t="array" ref="E32">VLOOKUP(A32,'The List'!B1:I671,8,FALSE)</f>
        <v>227.26676165410112</v>
      </c>
      <c r="F32" s="55" cm="1">
        <f t="array" ref="F32">IF(Settings!$E$15="POINTS",E32-VLOOKUP(B$2,C1:E66,3,FALSE),J32)</f>
        <v>-131.89114627613691</v>
      </c>
      <c r="G32" s="55"/>
      <c r="H32" s="167" cm="1">
        <f t="array" ref="H32">RANK(I32,I3:I66)</f>
        <v>44</v>
      </c>
      <c r="I32" s="168" cm="1">
        <f t="array" ref="I32">VLOOKUP(A32,'Standard Deviations'!A1:C672,3,FALSE)</f>
        <v>-1.4081503260853927</v>
      </c>
      <c r="J32" s="168" cm="1">
        <f t="array" ref="J32">I32-VLOOKUP(B$2,H1:J66,2,FALSE)</f>
        <v>-4.560498380655182</v>
      </c>
    </row>
    <row r="33" spans="1:10" ht="21.25" customHeight="1" x14ac:dyDescent="0.15">
      <c r="A33" s="10" t="s">
        <v>399</v>
      </c>
      <c r="B33" s="141" t="str" cm="1">
        <f t="array" ref="B33">VLOOKUP(A33,'The List'!B1:D671,3,FALSE)</f>
        <v>G</v>
      </c>
      <c r="C33" s="175" cm="1">
        <f t="array" ref="C33">RANK(E33,E3:E66)</f>
        <v>31</v>
      </c>
      <c r="D33" s="18" t="str" cm="1">
        <f t="array" ref="D33">VLOOKUP(A33,'The List'!B1:F671,5,FALSE)</f>
        <v>CAR</v>
      </c>
      <c r="E33" s="55" cm="1">
        <f t="array" ref="E33">VLOOKUP(A33,'The List'!B1:I671,8,FALSE)</f>
        <v>224.31034783471875</v>
      </c>
      <c r="F33" s="55" cm="1">
        <f t="array" ref="F33">IF(Settings!$E$15="POINTS",E33-VLOOKUP(B$2,C1:E66,3,FALSE),J33)</f>
        <v>-134.84756009551927</v>
      </c>
      <c r="G33" s="55"/>
      <c r="H33" s="167" cm="1">
        <f t="array" ref="H33">RANK(I33,I3:I66)</f>
        <v>21</v>
      </c>
      <c r="I33" s="168" cm="1">
        <f t="array" ref="I33">VLOOKUP(A33,'Standard Deviations'!A1:C672,3,FALSE)</f>
        <v>1.3882457032188209</v>
      </c>
      <c r="J33" s="168" cm="1">
        <f t="array" ref="J33">I33-VLOOKUP(B$2,H1:J66,2,FALSE)</f>
        <v>-1.7641023513509686</v>
      </c>
    </row>
    <row r="34" spans="1:10" ht="21.25" customHeight="1" x14ac:dyDescent="0.15">
      <c r="A34" s="10" t="s">
        <v>417</v>
      </c>
      <c r="B34" s="141" t="str" cm="1">
        <f t="array" ref="B34">VLOOKUP(A34,'The List'!B1:D671,3,FALSE)</f>
        <v>G</v>
      </c>
      <c r="C34" s="175" cm="1">
        <f t="array" ref="C34">RANK(E34,E3:E66)</f>
        <v>32</v>
      </c>
      <c r="D34" s="18" t="str" cm="1">
        <f t="array" ref="D34">VLOOKUP(A34,'The List'!B1:F671,5,FALSE)</f>
        <v>COL</v>
      </c>
      <c r="E34" s="55" cm="1">
        <f t="array" ref="E34">VLOOKUP(A34,'The List'!B1:I671,8,FALSE)</f>
        <v>217.01400875810191</v>
      </c>
      <c r="F34" s="55" cm="1">
        <f t="array" ref="F34">IF(Settings!$E$15="POINTS",E34-VLOOKUP(B$2,C1:E66,3,FALSE),J34)</f>
        <v>-142.14389917213612</v>
      </c>
      <c r="G34" s="55"/>
      <c r="H34" s="167" cm="1">
        <f t="array" ref="H34">RANK(I34,I3:I66)</f>
        <v>17</v>
      </c>
      <c r="I34" s="168" cm="1">
        <f t="array" ref="I34">VLOOKUP(A34,'Standard Deviations'!A1:C672,3,FALSE)</f>
        <v>1.7739401506953845</v>
      </c>
      <c r="J34" s="168" cm="1">
        <f t="array" ref="J34">I34-VLOOKUP(B$2,H1:J66,2,FALSE)</f>
        <v>-1.378407903874405</v>
      </c>
    </row>
    <row r="35" spans="1:10" ht="21.25" customHeight="1" x14ac:dyDescent="0.15">
      <c r="A35" s="10" t="s">
        <v>427</v>
      </c>
      <c r="B35" s="141" t="str" cm="1">
        <f t="array" ref="B35">VLOOKUP(A35,'The List'!B1:D671,3,FALSE)</f>
        <v>G</v>
      </c>
      <c r="C35" s="175" cm="1">
        <f t="array" ref="C35">RANK(E35,E3:E66)</f>
        <v>33</v>
      </c>
      <c r="D35" s="18" t="str" cm="1">
        <f t="array" ref="D35">VLOOKUP(A35,'The List'!B1:F671,5,FALSE)</f>
        <v>MIN</v>
      </c>
      <c r="E35" s="55" cm="1">
        <f t="array" ref="E35">VLOOKUP(A35,'The List'!B1:I671,8,FALSE)</f>
        <v>213.43280466692636</v>
      </c>
      <c r="F35" s="55" cm="1">
        <f t="array" ref="F35">IF(Settings!$E$15="POINTS",E35-VLOOKUP(B$2,C1:E66,3,FALSE),J35)</f>
        <v>-145.72510326331167</v>
      </c>
      <c r="G35" s="55"/>
      <c r="H35" s="167" cm="1">
        <f t="array" ref="H35">RANK(I35,I3:I66)</f>
        <v>27</v>
      </c>
      <c r="I35" s="168" cm="1">
        <f t="array" ref="I35">VLOOKUP(A35,'Standard Deviations'!A1:C672,3,FALSE)</f>
        <v>0.76927176581307755</v>
      </c>
      <c r="J35" s="168" cm="1">
        <f t="array" ref="J35">I35-VLOOKUP(B$2,H1:J66,2,FALSE)</f>
        <v>-2.3830762887567118</v>
      </c>
    </row>
    <row r="36" spans="1:10" ht="21.25" customHeight="1" x14ac:dyDescent="0.15">
      <c r="A36" s="10" t="s">
        <v>431</v>
      </c>
      <c r="B36" s="141" t="str" cm="1">
        <f t="array" ref="B36">VLOOKUP(A36,'The List'!B1:D671,3,FALSE)</f>
        <v>G</v>
      </c>
      <c r="C36" s="175" cm="1">
        <f t="array" ref="C36">RANK(E36,E3:E66)</f>
        <v>34</v>
      </c>
      <c r="D36" s="18" t="str" cm="1">
        <f t="array" ref="D36">VLOOKUP(A36,'The List'!B1:F671,5,FALSE)</f>
        <v>CAR</v>
      </c>
      <c r="E36" s="55" cm="1">
        <f t="array" ref="E36">VLOOKUP(A36,'The List'!B1:I671,8,FALSE)</f>
        <v>212.6331284422622</v>
      </c>
      <c r="F36" s="55" cm="1">
        <f t="array" ref="F36">IF(Settings!$E$15="POINTS",E36-VLOOKUP(B$2,C1:E66,3,FALSE),J36)</f>
        <v>-146.52477948797582</v>
      </c>
      <c r="G36" s="55"/>
      <c r="H36" s="167" cm="1">
        <f t="array" ref="H36">RANK(I36,I3:I66)</f>
        <v>25</v>
      </c>
      <c r="I36" s="168" cm="1">
        <f t="array" ref="I36">VLOOKUP(A36,'Standard Deviations'!A1:C672,3,FALSE)</f>
        <v>0.85884732746221759</v>
      </c>
      <c r="J36" s="168" cm="1">
        <f t="array" ref="J36">I36-VLOOKUP(B$2,H1:J66,2,FALSE)</f>
        <v>-2.2935007271075718</v>
      </c>
    </row>
    <row r="37" spans="1:10" ht="21.25" customHeight="1" x14ac:dyDescent="0.15">
      <c r="A37" s="10" t="s">
        <v>434</v>
      </c>
      <c r="B37" s="141" t="str" cm="1">
        <f t="array" ref="B37">VLOOKUP(A37,'The List'!B1:D671,3,FALSE)</f>
        <v>G</v>
      </c>
      <c r="C37" s="175" cm="1">
        <f t="array" ref="C37">RANK(E37,E3:E66)</f>
        <v>35</v>
      </c>
      <c r="D37" s="18" t="str" cm="1">
        <f t="array" ref="D37">VLOOKUP(A37,'The List'!B1:F671,5,FALSE)</f>
        <v>L.A</v>
      </c>
      <c r="E37" s="55" cm="1">
        <f t="array" ref="E37">VLOOKUP(A37,'The List'!B1:I671,8,FALSE)</f>
        <v>212.00890325552507</v>
      </c>
      <c r="F37" s="55" cm="1">
        <f t="array" ref="F37">IF(Settings!$E$15="POINTS",E37-VLOOKUP(B$2,C1:E66,3,FALSE),J37)</f>
        <v>-147.14900467471296</v>
      </c>
      <c r="G37" s="55"/>
      <c r="H37" s="167" cm="1">
        <f t="array" ref="H37">RANK(I37,I3:I66)</f>
        <v>29</v>
      </c>
      <c r="I37" s="168" cm="1">
        <f t="array" ref="I37">VLOOKUP(A37,'Standard Deviations'!A1:C672,3,FALSE)</f>
        <v>0.35380400086220631</v>
      </c>
      <c r="J37" s="168" cm="1">
        <f t="array" ref="J37">I37-VLOOKUP(B$2,H1:J66,2,FALSE)</f>
        <v>-2.798544053707583</v>
      </c>
    </row>
    <row r="38" spans="1:10" ht="21.25" customHeight="1" x14ac:dyDescent="0.15">
      <c r="A38" s="10" t="s">
        <v>452</v>
      </c>
      <c r="B38" s="141" t="str" cm="1">
        <f t="array" ref="B38">VLOOKUP(A38,'The List'!B1:D671,3,FALSE)</f>
        <v>G</v>
      </c>
      <c r="C38" s="175" cm="1">
        <f t="array" ref="C38">RANK(E38,E3:E66)</f>
        <v>36</v>
      </c>
      <c r="D38" s="18" t="str" cm="1">
        <f t="array" ref="D38">VLOOKUP(A38,'The List'!B1:F671,5,FALSE)</f>
        <v>BUF</v>
      </c>
      <c r="E38" s="55" cm="1">
        <f t="array" ref="E38">VLOOKUP(A38,'The List'!B1:I671,8,FALSE)</f>
        <v>206.45173256723405</v>
      </c>
      <c r="F38" s="55" cm="1">
        <f t="array" ref="F38">IF(Settings!$E$15="POINTS",E38-VLOOKUP(B$2,C1:E66,3,FALSE),J38)</f>
        <v>-152.70617536300398</v>
      </c>
      <c r="G38" s="55"/>
      <c r="H38" s="167" cm="1">
        <f t="array" ref="H38">RANK(I38,I3:I66)</f>
        <v>35</v>
      </c>
      <c r="I38" s="168" cm="1">
        <f t="array" ref="I38">VLOOKUP(A38,'Standard Deviations'!A1:C672,3,FALSE)</f>
        <v>-0.27457118912136874</v>
      </c>
      <c r="J38" s="168" cm="1">
        <f t="array" ref="J38">I38-VLOOKUP(B$2,H1:J66,2,FALSE)</f>
        <v>-3.4269192436911582</v>
      </c>
    </row>
    <row r="39" spans="1:10" ht="21.25" customHeight="1" x14ac:dyDescent="0.15">
      <c r="A39" s="10" t="s">
        <v>461</v>
      </c>
      <c r="B39" s="141" t="str" cm="1">
        <f t="array" ref="B39">VLOOKUP(A39,'The List'!B1:D671,3,FALSE)</f>
        <v>G</v>
      </c>
      <c r="C39" s="175" cm="1">
        <f t="array" ref="C39">RANK(E39,E3:E66)</f>
        <v>37</v>
      </c>
      <c r="D39" s="18" t="str" cm="1">
        <f t="array" ref="D39">VLOOKUP(A39,'The List'!B1:F671,5,FALSE)</f>
        <v>PHI</v>
      </c>
      <c r="E39" s="55" cm="1">
        <f t="array" ref="E39">VLOOKUP(A39,'The List'!B1:I671,8,FALSE)</f>
        <v>202.86790487137984</v>
      </c>
      <c r="F39" s="55" cm="1">
        <f t="array" ref="F39">IF(Settings!$E$15="POINTS",E39-VLOOKUP(B$2,C1:E66,3,FALSE),J39)</f>
        <v>-156.29000305885819</v>
      </c>
      <c r="G39" s="55"/>
      <c r="H39" s="167" cm="1">
        <f t="array" ref="H39">RANK(I39,I3:I66)</f>
        <v>26</v>
      </c>
      <c r="I39" s="168" cm="1">
        <f t="array" ref="I39">VLOOKUP(A39,'Standard Deviations'!A1:C672,3,FALSE)</f>
        <v>0.78750772496888821</v>
      </c>
      <c r="J39" s="168" cm="1">
        <f t="array" ref="J39">I39-VLOOKUP(B$2,H1:J66,2,FALSE)</f>
        <v>-2.3648403296009013</v>
      </c>
    </row>
    <row r="40" spans="1:10" ht="21.25" customHeight="1" x14ac:dyDescent="0.15">
      <c r="A40" s="10" t="s">
        <v>483</v>
      </c>
      <c r="B40" s="141" t="str" cm="1">
        <f t="array" ref="B40">VLOOKUP(A40,'The List'!B1:D671,3,FALSE)</f>
        <v>G</v>
      </c>
      <c r="C40" s="175" cm="1">
        <f t="array" ref="C40">RANK(E40,E3:E66)</f>
        <v>38</v>
      </c>
      <c r="D40" s="18" t="str" cm="1">
        <f t="array" ref="D40">VLOOKUP(A40,'The List'!B1:F671,5,FALSE)</f>
        <v>S.J</v>
      </c>
      <c r="E40" s="55" cm="1">
        <f t="array" ref="E40">VLOOKUP(A40,'The List'!B1:I671,8,FALSE)</f>
        <v>195.03524604538813</v>
      </c>
      <c r="F40" s="55" cm="1">
        <f t="array" ref="F40">IF(Settings!$E$15="POINTS",E40-VLOOKUP(B$2,C1:E66,3,FALSE),J40)</f>
        <v>-164.12266188484989</v>
      </c>
      <c r="G40" s="55"/>
      <c r="H40" s="167" cm="1">
        <f t="array" ref="H40">RANK(I40,I3:I66)</f>
        <v>54</v>
      </c>
      <c r="I40" s="168" cm="1">
        <f t="array" ref="I40">VLOOKUP(A40,'Standard Deviations'!A1:C672,3,FALSE)</f>
        <v>-2.4297241807967289</v>
      </c>
      <c r="J40" s="168" cm="1">
        <f t="array" ref="J40">I40-VLOOKUP(B$2,H1:J66,2,FALSE)</f>
        <v>-5.5820722353665184</v>
      </c>
    </row>
    <row r="41" spans="1:10" ht="21.25" customHeight="1" x14ac:dyDescent="0.15">
      <c r="A41" s="10" t="s">
        <v>496</v>
      </c>
      <c r="B41" s="141" t="str" cm="1">
        <f t="array" ref="B41">VLOOKUP(A41,'The List'!B1:D671,3,FALSE)</f>
        <v>G</v>
      </c>
      <c r="C41" s="175" cm="1">
        <f t="array" ref="C41">RANK(E41,E3:E66)</f>
        <v>39</v>
      </c>
      <c r="D41" s="18" t="str" cm="1">
        <f t="array" ref="D41">VLOOKUP(A41,'The List'!B1:F671,5,FALSE)</f>
        <v>N.J</v>
      </c>
      <c r="E41" s="55" cm="1">
        <f t="array" ref="E41">VLOOKUP(A41,'The List'!B1:I671,8,FALSE)</f>
        <v>189.92241176772387</v>
      </c>
      <c r="F41" s="55" cm="1">
        <f t="array" ref="F41">IF(Settings!$E$15="POINTS",E41-VLOOKUP(B$2,C1:E66,3,FALSE),J41)</f>
        <v>-169.23549616251415</v>
      </c>
      <c r="G41" s="55"/>
      <c r="H41" s="167" cm="1">
        <f t="array" ref="H41">RANK(I41,I3:I66)</f>
        <v>37</v>
      </c>
      <c r="I41" s="168" cm="1">
        <f t="array" ref="I41">VLOOKUP(A41,'Standard Deviations'!A1:C672,3,FALSE)</f>
        <v>-0.48573038545543323</v>
      </c>
      <c r="J41" s="168" cm="1">
        <f t="array" ref="J41">I41-VLOOKUP(B$2,H1:J66,2,FALSE)</f>
        <v>-3.6380784400252226</v>
      </c>
    </row>
    <row r="42" spans="1:10" ht="21.25" customHeight="1" x14ac:dyDescent="0.15">
      <c r="A42" s="10" t="s">
        <v>505</v>
      </c>
      <c r="B42" s="141" t="str" cm="1">
        <f t="array" ref="B42">VLOOKUP(A42,'The List'!B1:D671,3,FALSE)</f>
        <v>G</v>
      </c>
      <c r="C42" s="175" cm="1">
        <f t="array" ref="C42">RANK(E42,E3:E66)</f>
        <v>40</v>
      </c>
      <c r="D42" s="18" t="str" cm="1">
        <f t="array" ref="D42">VLOOKUP(A42,'The List'!B1:F671,5,FALSE)</f>
        <v>SEA</v>
      </c>
      <c r="E42" s="55" cm="1">
        <f t="array" ref="E42">VLOOKUP(A42,'The List'!B1:I671,8,FALSE)</f>
        <v>186.82106189484944</v>
      </c>
      <c r="F42" s="55" cm="1">
        <f t="array" ref="F42">IF(Settings!$E$15="POINTS",E42-VLOOKUP(B$2,C1:E66,3,FALSE),J42)</f>
        <v>-172.33684603538859</v>
      </c>
      <c r="G42" s="55"/>
      <c r="H42" s="167" cm="1">
        <f t="array" ref="H42">RANK(I42,I3:I66)</f>
        <v>57</v>
      </c>
      <c r="I42" s="168" cm="1">
        <f t="array" ref="I42">VLOOKUP(A42,'Standard Deviations'!A1:C672,3,FALSE)</f>
        <v>-2.8282219966441176</v>
      </c>
      <c r="J42" s="168" cm="1">
        <f t="array" ref="J42">I42-VLOOKUP(B$2,H1:J66,2,FALSE)</f>
        <v>-5.9805700512139071</v>
      </c>
    </row>
    <row r="43" spans="1:10" ht="21.25" customHeight="1" x14ac:dyDescent="0.15">
      <c r="A43" s="10" t="s">
        <v>507</v>
      </c>
      <c r="B43" s="141" t="str" cm="1">
        <f t="array" ref="B43">VLOOKUP(A43,'The List'!B1:D671,3,FALSE)</f>
        <v>G</v>
      </c>
      <c r="C43" s="175" cm="1">
        <f t="array" ref="C43">RANK(E43,E3:E66)</f>
        <v>41</v>
      </c>
      <c r="D43" s="18" t="str" cm="1">
        <f t="array" ref="D43">VLOOKUP(A43,'The List'!B1:F671,5,FALSE)</f>
        <v>PIT</v>
      </c>
      <c r="E43" s="55" cm="1">
        <f t="array" ref="E43">VLOOKUP(A43,'The List'!B1:I671,8,FALSE)</f>
        <v>186.12684858046248</v>
      </c>
      <c r="F43" s="55" cm="1">
        <f t="array" ref="F43">IF(Settings!$E$15="POINTS",E43-VLOOKUP(B$2,C1:E66,3,FALSE),J43)</f>
        <v>-173.03105934977555</v>
      </c>
      <c r="G43" s="55"/>
      <c r="H43" s="167" cm="1">
        <f t="array" ref="H43">RANK(I43,I3:I66)</f>
        <v>46</v>
      </c>
      <c r="I43" s="168" cm="1">
        <f t="array" ref="I43">VLOOKUP(A43,'Standard Deviations'!A1:C672,3,FALSE)</f>
        <v>-1.8209808839183461</v>
      </c>
      <c r="J43" s="168" cm="1">
        <f t="array" ref="J43">I43-VLOOKUP(B$2,H1:J66,2,FALSE)</f>
        <v>-4.9733289384881356</v>
      </c>
    </row>
    <row r="44" spans="1:10" ht="21.25" customHeight="1" x14ac:dyDescent="0.15">
      <c r="A44" s="10" t="s">
        <v>509</v>
      </c>
      <c r="B44" s="141" t="str" cm="1">
        <f t="array" ref="B44">VLOOKUP(A44,'The List'!B1:D671,3,FALSE)</f>
        <v>G</v>
      </c>
      <c r="C44" s="175" cm="1">
        <f t="array" ref="C44">RANK(E44,E3:E66)</f>
        <v>42</v>
      </c>
      <c r="D44" s="18" t="str" cm="1">
        <f t="array" ref="D44">VLOOKUP(A44,'The List'!B1:F671,5,FALSE)</f>
        <v>EDM</v>
      </c>
      <c r="E44" s="55" cm="1">
        <f t="array" ref="E44">VLOOKUP(A44,'The List'!B1:I671,8,FALSE)</f>
        <v>185.63667271843957</v>
      </c>
      <c r="F44" s="55" cm="1">
        <f t="array" ref="F44">IF(Settings!$E$15="POINTS",E44-VLOOKUP(B$2,C1:E66,3,FALSE),J44)</f>
        <v>-173.52123521179846</v>
      </c>
      <c r="G44" s="55"/>
      <c r="H44" s="167" cm="1">
        <f t="array" ref="H44">RANK(I44,I3:I66)</f>
        <v>39</v>
      </c>
      <c r="I44" s="168" cm="1">
        <f t="array" ref="I44">VLOOKUP(A44,'Standard Deviations'!A1:C672,3,FALSE)</f>
        <v>-0.65492953374268381</v>
      </c>
      <c r="J44" s="168" cm="1">
        <f t="array" ref="J44">I44-VLOOKUP(B$2,H1:J66,2,FALSE)</f>
        <v>-3.8072775883124734</v>
      </c>
    </row>
    <row r="45" spans="1:10" ht="21.25" customHeight="1" x14ac:dyDescent="0.15">
      <c r="A45" s="10" t="s">
        <v>513</v>
      </c>
      <c r="B45" s="141" t="str" cm="1">
        <f t="array" ref="B45">VLOOKUP(A45,'The List'!B1:D671,3,FALSE)</f>
        <v>G</v>
      </c>
      <c r="C45" s="175" cm="1">
        <f t="array" ref="C45">RANK(E45,E3:E66)</f>
        <v>43</v>
      </c>
      <c r="D45" s="18" t="str" cm="1">
        <f t="array" ref="D45">VLOOKUP(A45,'The List'!B1:F671,5,FALSE)</f>
        <v>EDM</v>
      </c>
      <c r="E45" s="55" cm="1">
        <f t="array" ref="E45">VLOOKUP(A45,'The List'!B1:I671,8,FALSE)</f>
        <v>185.00574041988654</v>
      </c>
      <c r="F45" s="55" cm="1">
        <f t="array" ref="F45">IF(Settings!$E$15="POINTS",E45-VLOOKUP(B$2,C1:E66,3,FALSE),J45)</f>
        <v>-174.15216751035149</v>
      </c>
      <c r="G45" s="55"/>
      <c r="H45" s="167" cm="1">
        <f t="array" ref="H45">RANK(I45,I3:I66)</f>
        <v>34</v>
      </c>
      <c r="I45" s="168" cm="1">
        <f t="array" ref="I45">VLOOKUP(A45,'Standard Deviations'!A1:C672,3,FALSE)</f>
        <v>-0.25262425897227075</v>
      </c>
      <c r="J45" s="168" cm="1">
        <f t="array" ref="J45">I45-VLOOKUP(B$2,H1:J66,2,FALSE)</f>
        <v>-3.4049723135420602</v>
      </c>
    </row>
    <row r="46" spans="1:10" ht="21.25" customHeight="1" x14ac:dyDescent="0.15">
      <c r="A46" s="10" t="s">
        <v>517</v>
      </c>
      <c r="B46" s="141" t="str" cm="1">
        <f t="array" ref="B46">VLOOKUP(A46,'The List'!B1:D671,3,FALSE)</f>
        <v>G</v>
      </c>
      <c r="C46" s="175" cm="1">
        <f t="array" ref="C46">RANK(E46,E3:E66)</f>
        <v>44</v>
      </c>
      <c r="D46" s="18" t="str" cm="1">
        <f t="array" ref="D46">VLOOKUP(A46,'The List'!B1:F671,5,FALSE)</f>
        <v>VGK</v>
      </c>
      <c r="E46" s="55" cm="1">
        <f t="array" ref="E46">VLOOKUP(A46,'The List'!B1:I671,8,FALSE)</f>
        <v>183.8588213075858</v>
      </c>
      <c r="F46" s="55" cm="1">
        <f t="array" ref="F46">IF(Settings!$E$15="POINTS",E46-VLOOKUP(B$2,C1:E66,3,FALSE),J46)</f>
        <v>-175.29908662265223</v>
      </c>
      <c r="G46" s="55"/>
      <c r="H46" s="167" cm="1">
        <f t="array" ref="H46">RANK(I46,I3:I66)</f>
        <v>28</v>
      </c>
      <c r="I46" s="168" cm="1">
        <f t="array" ref="I46">VLOOKUP(A46,'Standard Deviations'!A1:C672,3,FALSE)</f>
        <v>0.47443178856569834</v>
      </c>
      <c r="J46" s="168" cm="1">
        <f t="array" ref="J46">I46-VLOOKUP(B$2,H1:J66,2,FALSE)</f>
        <v>-2.6779162660040914</v>
      </c>
    </row>
    <row r="47" spans="1:10" ht="21.25" customHeight="1" x14ac:dyDescent="0.15">
      <c r="A47" s="10" t="s">
        <v>533</v>
      </c>
      <c r="B47" s="141" t="str" cm="1">
        <f t="array" ref="B47">VLOOKUP(A47,'The List'!B1:D671,3,FALSE)</f>
        <v>G</v>
      </c>
      <c r="C47" s="175" cm="1">
        <f t="array" ref="C47">RANK(E47,E3:E66)</f>
        <v>45</v>
      </c>
      <c r="D47" s="18" t="str" cm="1">
        <f t="array" ref="D47">VLOOKUP(A47,'The List'!B1:F671,5,FALSE)</f>
        <v>TOR</v>
      </c>
      <c r="E47" s="55" cm="1">
        <f t="array" ref="E47">VLOOKUP(A47,'The List'!B1:I671,8,FALSE)</f>
        <v>175.67717839193824</v>
      </c>
      <c r="F47" s="55" cm="1">
        <f t="array" ref="F47">IF(Settings!$E$15="POINTS",E47-VLOOKUP(B$2,C1:E66,3,FALSE),J47)</f>
        <v>-183.48072953829978</v>
      </c>
      <c r="G47" s="55"/>
      <c r="H47" s="167" cm="1">
        <f t="array" ref="H47">RANK(I47,I3:I66)</f>
        <v>38</v>
      </c>
      <c r="I47" s="168" cm="1">
        <f t="array" ref="I47">VLOOKUP(A47,'Standard Deviations'!A1:C672,3,FALSE)</f>
        <v>-0.57698991224104224</v>
      </c>
      <c r="J47" s="168" cm="1">
        <f t="array" ref="J47">I47-VLOOKUP(B$2,H1:J66,2,FALSE)</f>
        <v>-3.7293379668108315</v>
      </c>
    </row>
    <row r="48" spans="1:10" ht="21.25" customHeight="1" x14ac:dyDescent="0.15">
      <c r="A48" s="10" t="s">
        <v>538</v>
      </c>
      <c r="B48" s="141" t="str" cm="1">
        <f t="array" ref="B48">VLOOKUP(A48,'The List'!B1:D671,3,FALSE)</f>
        <v>G</v>
      </c>
      <c r="C48" s="175" cm="1">
        <f t="array" ref="C48">RANK(E48,E3:E66)</f>
        <v>46</v>
      </c>
      <c r="D48" s="18" t="str" cm="1">
        <f t="array" ref="D48">VLOOKUP(A48,'The List'!B1:F671,5,FALSE)</f>
        <v>STL</v>
      </c>
      <c r="E48" s="55" cm="1">
        <f t="array" ref="E48">VLOOKUP(A48,'The List'!B1:I671,8,FALSE)</f>
        <v>173.31174041511747</v>
      </c>
      <c r="F48" s="55" cm="1">
        <f t="array" ref="F48">IF(Settings!$E$15="POINTS",E48-VLOOKUP(B$2,C1:E66,3,FALSE),J48)</f>
        <v>-185.84616751512056</v>
      </c>
      <c r="G48" s="55"/>
      <c r="H48" s="167" cm="1">
        <f t="array" ref="H48">RANK(I48,I3:I66)</f>
        <v>50</v>
      </c>
      <c r="I48" s="168" cm="1">
        <f t="array" ref="I48">VLOOKUP(A48,'Standard Deviations'!A1:C672,3,FALSE)</f>
        <v>-2.3204833911690712</v>
      </c>
      <c r="J48" s="168" cm="1">
        <f t="array" ref="J48">I48-VLOOKUP(B$2,H1:J66,2,FALSE)</f>
        <v>-5.4728314457388603</v>
      </c>
    </row>
    <row r="49" spans="1:10" ht="21.25" customHeight="1" x14ac:dyDescent="0.15">
      <c r="A49" s="10" t="s">
        <v>555</v>
      </c>
      <c r="B49" s="141" t="str" cm="1">
        <f t="array" ref="B49">VLOOKUP(A49,'The List'!B1:D671,3,FALSE)</f>
        <v>G</v>
      </c>
      <c r="C49" s="175" cm="1">
        <f t="array" ref="C49">RANK(E49,E3:E66)</f>
        <v>47</v>
      </c>
      <c r="D49" s="18" t="str" cm="1">
        <f t="array" ref="D49">VLOOKUP(A49,'The List'!B1:F671,5,FALSE)</f>
        <v>VAN</v>
      </c>
      <c r="E49" s="55" cm="1">
        <f t="array" ref="E49">VLOOKUP(A49,'The List'!B1:I671,8,FALSE)</f>
        <v>167.20882991999639</v>
      </c>
      <c r="F49" s="55" cm="1">
        <f t="array" ref="F49">IF(Settings!$E$15="POINTS",E49-VLOOKUP(B$2,C1:E66,3,FALSE),J49)</f>
        <v>-191.94907801024164</v>
      </c>
      <c r="G49" s="55"/>
      <c r="H49" s="167" cm="1">
        <f t="array" ref="H49">RANK(I49,I3:I66)</f>
        <v>63</v>
      </c>
      <c r="I49" s="168" cm="1">
        <f t="array" ref="I49">VLOOKUP(A49,'Standard Deviations'!A1:C672,3,FALSE)</f>
        <v>-4.8012320868857099</v>
      </c>
      <c r="J49" s="168" cm="1">
        <f t="array" ref="J49">I49-VLOOKUP(B$2,H1:J66,2,FALSE)</f>
        <v>-7.9535801414554994</v>
      </c>
    </row>
    <row r="50" spans="1:10" ht="21.25" customHeight="1" x14ac:dyDescent="0.15">
      <c r="A50" s="10" t="s">
        <v>561</v>
      </c>
      <c r="B50" s="141" t="str" cm="1">
        <f t="array" ref="B50">VLOOKUP(A50,'The List'!B1:D671,3,FALSE)</f>
        <v>G</v>
      </c>
      <c r="C50" s="175" cm="1">
        <f t="array" ref="C50">RANK(E50,E3:E66)</f>
        <v>48</v>
      </c>
      <c r="D50" s="18" t="str" cm="1">
        <f t="array" ref="D50">VLOOKUP(A50,'The List'!B1:F671,5,FALSE)</f>
        <v>MTL</v>
      </c>
      <c r="E50" s="55" cm="1">
        <f t="array" ref="E50">VLOOKUP(A50,'The List'!B1:I671,8,FALSE)</f>
        <v>163.76008212014096</v>
      </c>
      <c r="F50" s="55" cm="1">
        <f t="array" ref="F50">IF(Settings!$E$15="POINTS",E50-VLOOKUP(B$2,C1:E66,3,FALSE),J50)</f>
        <v>-195.39782581009706</v>
      </c>
      <c r="G50" s="55"/>
      <c r="H50" s="167" cm="1">
        <f t="array" ref="H50">RANK(I50,I3:I66)</f>
        <v>45</v>
      </c>
      <c r="I50" s="168" cm="1">
        <f t="array" ref="I50">VLOOKUP(A50,'Standard Deviations'!A1:C672,3,FALSE)</f>
        <v>-1.6543671618504954</v>
      </c>
      <c r="J50" s="168" cm="1">
        <f t="array" ref="J50">I50-VLOOKUP(B$2,H1:J66,2,FALSE)</f>
        <v>-4.8067152164202849</v>
      </c>
    </row>
    <row r="51" spans="1:10" ht="21.25" customHeight="1" x14ac:dyDescent="0.15">
      <c r="A51" s="10" t="s">
        <v>607</v>
      </c>
      <c r="B51" s="141" t="str" cm="1">
        <f t="array" ref="B51">VLOOKUP(A51,'The List'!B1:D671,3,FALSE)</f>
        <v>G</v>
      </c>
      <c r="C51" s="175" cm="1">
        <f t="array" ref="C51">RANK(E51,E3:E66)</f>
        <v>49</v>
      </c>
      <c r="D51" s="18" t="str" cm="1">
        <f t="array" ref="D51">VLOOKUP(A51,'The List'!B1:F671,5,FALSE)</f>
        <v>UTA</v>
      </c>
      <c r="E51" s="55" cm="1">
        <f t="array" ref="E51">VLOOKUP(A51,'The List'!B1:I671,8,FALSE)</f>
        <v>149.39557451323867</v>
      </c>
      <c r="F51" s="55" cm="1">
        <f t="array" ref="F51">IF(Settings!$E$15="POINTS",E51-VLOOKUP(B$2,C1:E66,3,FALSE),J51)</f>
        <v>-209.76233341699935</v>
      </c>
      <c r="G51" s="55"/>
      <c r="H51" s="167" cm="1">
        <f t="array" ref="H51">RANK(I51,I3:I66)</f>
        <v>43</v>
      </c>
      <c r="I51" s="168" cm="1">
        <f t="array" ref="I51">VLOOKUP(A51,'Standard Deviations'!A1:C672,3,FALSE)</f>
        <v>-1.1278224170055009</v>
      </c>
      <c r="J51" s="168" cm="1">
        <f t="array" ref="J51">I51-VLOOKUP(B$2,H1:J66,2,FALSE)</f>
        <v>-4.2801704715752908</v>
      </c>
    </row>
    <row r="52" spans="1:10" ht="21.25" customHeight="1" x14ac:dyDescent="0.15">
      <c r="A52" s="10" t="s">
        <v>613</v>
      </c>
      <c r="B52" s="141" t="str" cm="1">
        <f t="array" ref="B52">VLOOKUP(A52,'The List'!B1:D671,3,FALSE)</f>
        <v>G</v>
      </c>
      <c r="C52" s="175" cm="1">
        <f t="array" ref="C52">RANK(E52,E3:E66)</f>
        <v>50</v>
      </c>
      <c r="D52" s="18" t="str" cm="1">
        <f t="array" ref="D52">VLOOKUP(A52,'The List'!B1:F671,5,FALSE)</f>
        <v>DAL</v>
      </c>
      <c r="E52" s="55" cm="1">
        <f t="array" ref="E52">VLOOKUP(A52,'The List'!B1:I671,8,FALSE)</f>
        <v>147.12134082180484</v>
      </c>
      <c r="F52" s="55" cm="1">
        <f t="array" ref="F52">IF(Settings!$E$15="POINTS",E52-VLOOKUP(B$2,C1:E66,3,FALSE),J52)</f>
        <v>-212.03656710843319</v>
      </c>
      <c r="G52" s="55"/>
      <c r="H52" s="167" cm="1">
        <f t="array" ref="H52">RANK(I52,I3:I66)</f>
        <v>33</v>
      </c>
      <c r="I52" s="168" cm="1">
        <f t="array" ref="I52">VLOOKUP(A52,'Standard Deviations'!A1:C672,3,FALSE)</f>
        <v>-0.25059708088020327</v>
      </c>
      <c r="J52" s="168" cm="1">
        <f t="array" ref="J52">I52-VLOOKUP(B$2,H1:J66,2,FALSE)</f>
        <v>-3.4029451354499929</v>
      </c>
    </row>
    <row r="53" spans="1:10" ht="21.25" customHeight="1" x14ac:dyDescent="0.15">
      <c r="A53" s="10" t="s">
        <v>617</v>
      </c>
      <c r="B53" s="141" t="str" cm="1">
        <f t="array" ref="B53">VLOOKUP(A53,'The List'!B1:D671,3,FALSE)</f>
        <v>G</v>
      </c>
      <c r="C53" s="175" cm="1">
        <f t="array" ref="C53">RANK(E53,E3:E66)</f>
        <v>51</v>
      </c>
      <c r="D53" s="18" t="str" cm="1">
        <f t="array" ref="D53">VLOOKUP(A53,'The List'!B1:F671,5,FALSE)</f>
        <v>FLA</v>
      </c>
      <c r="E53" s="55" cm="1">
        <f t="array" ref="E53">VLOOKUP(A53,'The List'!B1:I671,8,FALSE)</f>
        <v>145.79047738212643</v>
      </c>
      <c r="F53" s="55" cm="1">
        <f t="array" ref="F53">IF(Settings!$E$15="POINTS",E53-VLOOKUP(B$2,C1:E66,3,FALSE),J53)</f>
        <v>-213.3674305481116</v>
      </c>
      <c r="G53" s="55"/>
      <c r="H53" s="167" cm="1">
        <f t="array" ref="H53">RANK(I53,I3:I66)</f>
        <v>42</v>
      </c>
      <c r="I53" s="168" cm="1">
        <f t="array" ref="I53">VLOOKUP(A53,'Standard Deviations'!A1:C672,3,FALSE)</f>
        <v>-1.0119602342246987</v>
      </c>
      <c r="J53" s="168" cm="1">
        <f t="array" ref="J53">I53-VLOOKUP(B$2,H1:J66,2,FALSE)</f>
        <v>-4.164308288794488</v>
      </c>
    </row>
    <row r="54" spans="1:10" ht="21.25" customHeight="1" x14ac:dyDescent="0.15">
      <c r="A54" s="10" t="s">
        <v>618</v>
      </c>
      <c r="B54" s="141" t="str" cm="1">
        <f t="array" ref="B54">VLOOKUP(A54,'The List'!B1:D671,3,FALSE)</f>
        <v>G</v>
      </c>
      <c r="C54" s="175" cm="1">
        <f t="array" ref="C54">RANK(E54,E3:E66)</f>
        <v>52</v>
      </c>
      <c r="D54" s="18" t="str" cm="1">
        <f t="array" ref="D54">VLOOKUP(A54,'The List'!B1:F671,5,FALSE)</f>
        <v>BOS</v>
      </c>
      <c r="E54" s="55" cm="1">
        <f t="array" ref="E54">VLOOKUP(A54,'The List'!B1:I671,8,FALSE)</f>
        <v>144.47069179767911</v>
      </c>
      <c r="F54" s="55" cm="1">
        <f t="array" ref="F54">IF(Settings!$E$15="POINTS",E54-VLOOKUP(B$2,C1:E66,3,FALSE),J54)</f>
        <v>-214.68721613255892</v>
      </c>
      <c r="G54" s="55"/>
      <c r="H54" s="167" cm="1">
        <f t="array" ref="H54">RANK(I54,I3:I66)</f>
        <v>47</v>
      </c>
      <c r="I54" s="168" cm="1">
        <f t="array" ref="I54">VLOOKUP(A54,'Standard Deviations'!A1:C672,3,FALSE)</f>
        <v>-2.0315864042744058</v>
      </c>
      <c r="J54" s="168" cm="1">
        <f t="array" ref="J54">I54-VLOOKUP(B$2,H1:J66,2,FALSE)</f>
        <v>-5.1839344588441953</v>
      </c>
    </row>
    <row r="55" spans="1:10" ht="21.25" customHeight="1" x14ac:dyDescent="0.15">
      <c r="A55" s="10" t="s">
        <v>635</v>
      </c>
      <c r="B55" s="141" t="str" cm="1">
        <f t="array" ref="B55">VLOOKUP(A55,'The List'!B1:D671,3,FALSE)</f>
        <v>G</v>
      </c>
      <c r="C55" s="175" cm="1">
        <f t="array" ref="C55">RANK(E55,E3:E66)</f>
        <v>53</v>
      </c>
      <c r="D55" s="18" t="str" cm="1">
        <f t="array" ref="D55">VLOOKUP(A55,'The List'!B1:F671,5,FALSE)</f>
        <v>T.B</v>
      </c>
      <c r="E55" s="55" cm="1">
        <f t="array" ref="E55">VLOOKUP(A55,'The List'!B1:I671,8,FALSE)</f>
        <v>133.88494644045161</v>
      </c>
      <c r="F55" s="55" cm="1">
        <f t="array" ref="F55">IF(Settings!$E$15="POINTS",E55-VLOOKUP(B$2,C1:E66,3,FALSE),J55)</f>
        <v>-225.27296148978641</v>
      </c>
      <c r="G55" s="55"/>
      <c r="H55" s="167" cm="1">
        <f t="array" ref="H55">RANK(I55,I3:I66)</f>
        <v>40</v>
      </c>
      <c r="I55" s="168" cm="1">
        <f t="array" ref="I55">VLOOKUP(A55,'Standard Deviations'!A1:C672,3,FALSE)</f>
        <v>-0.68346053211146141</v>
      </c>
      <c r="J55" s="168" cm="1">
        <f t="array" ref="J55">I55-VLOOKUP(B$2,H1:J66,2,FALSE)</f>
        <v>-3.8358085866812508</v>
      </c>
    </row>
    <row r="56" spans="1:10" ht="21.25" customHeight="1" x14ac:dyDescent="0.15">
      <c r="A56" s="10" t="s">
        <v>638</v>
      </c>
      <c r="B56" s="141" t="str" cm="1">
        <f t="array" ref="B56">VLOOKUP(A56,'The List'!B1:D671,3,FALSE)</f>
        <v>G</v>
      </c>
      <c r="C56" s="175" cm="1">
        <f t="array" ref="C56">RANK(E56,E3:E66)</f>
        <v>54</v>
      </c>
      <c r="D56" s="18" t="str" cm="1">
        <f t="array" ref="D56">VLOOKUP(A56,'The List'!B1:F671,5,FALSE)</f>
        <v>CGY</v>
      </c>
      <c r="E56" s="55" cm="1">
        <f t="array" ref="E56">VLOOKUP(A56,'The List'!B1:I671,8,FALSE)</f>
        <v>132.24772165567026</v>
      </c>
      <c r="F56" s="55" cm="1">
        <f t="array" ref="F56">IF(Settings!$E$15="POINTS",E56-VLOOKUP(B$2,C1:E66,3,FALSE),J56)</f>
        <v>-226.91018627456776</v>
      </c>
      <c r="G56" s="55"/>
      <c r="H56" s="167" cm="1">
        <f t="array" ref="H56">RANK(I56,I3:I66)</f>
        <v>59</v>
      </c>
      <c r="I56" s="168" cm="1">
        <f t="array" ref="I56">VLOOKUP(A56,'Standard Deviations'!A1:C672,3,FALSE)</f>
        <v>-3.4177941623139456</v>
      </c>
      <c r="J56" s="168" cm="1">
        <f t="array" ref="J56">I56-VLOOKUP(B$2,H1:J66,2,FALSE)</f>
        <v>-6.5701422168837347</v>
      </c>
    </row>
    <row r="57" spans="1:10" ht="21.25" customHeight="1" x14ac:dyDescent="0.15">
      <c r="A57" s="10" t="s">
        <v>651</v>
      </c>
      <c r="B57" s="141" t="str" cm="1">
        <f t="array" ref="B57">VLOOKUP(A57,'The List'!B1:D671,3,FALSE)</f>
        <v>G</v>
      </c>
      <c r="C57" s="175" cm="1">
        <f t="array" ref="C57">RANK(E57,E3:E66)</f>
        <v>55</v>
      </c>
      <c r="D57" s="18" t="str" cm="1">
        <f t="array" ref="D57">VLOOKUP(A57,'The List'!B1:F671,5,FALSE)</f>
        <v>NYR</v>
      </c>
      <c r="E57" s="55" cm="1">
        <f t="array" ref="E57">VLOOKUP(A57,'The List'!B1:I671,8,FALSE)</f>
        <v>123.0991796813837</v>
      </c>
      <c r="F57" s="55" cm="1">
        <f t="array" ref="F57">IF(Settings!$E$15="POINTS",E57-VLOOKUP(B$2,C1:E66,3,FALSE),J57)</f>
        <v>-236.05872824885432</v>
      </c>
      <c r="G57" s="55"/>
      <c r="H57" s="167" cm="1">
        <f t="array" ref="H57">RANK(I57,I3:I66)</f>
        <v>53</v>
      </c>
      <c r="I57" s="168" cm="1">
        <f t="array" ref="I57">VLOOKUP(A57,'Standard Deviations'!A1:C672,3,FALSE)</f>
        <v>-2.3922975904748172</v>
      </c>
      <c r="J57" s="168" cm="1">
        <f t="array" ref="J57">I57-VLOOKUP(B$2,H1:J66,2,FALSE)</f>
        <v>-5.5446456450446071</v>
      </c>
    </row>
    <row r="58" spans="1:10" ht="21.25" customHeight="1" x14ac:dyDescent="0.15">
      <c r="A58" s="10" t="s">
        <v>653</v>
      </c>
      <c r="B58" s="141" t="str" cm="1">
        <f t="array" ref="B58">VLOOKUP(A58,'The List'!B1:D671,3,FALSE)</f>
        <v>G</v>
      </c>
      <c r="C58" s="175" cm="1">
        <f t="array" ref="C58">RANK(E58,E3:E66)</f>
        <v>56</v>
      </c>
      <c r="D58" s="18" t="str" cm="1">
        <f t="array" ref="D58">VLOOKUP(A58,'The List'!B1:F671,5,FALSE)</f>
        <v>WSH</v>
      </c>
      <c r="E58" s="55" cm="1">
        <f t="array" ref="E58">VLOOKUP(A58,'The List'!B1:I671,8,FALSE)</f>
        <v>122.49419122114853</v>
      </c>
      <c r="F58" s="55" cm="1">
        <f t="array" ref="F58">IF(Settings!$E$15="POINTS",E58-VLOOKUP(B$2,C1:E66,3,FALSE),J58)</f>
        <v>-236.6637167090895</v>
      </c>
      <c r="G58" s="55"/>
      <c r="H58" s="167" cm="1">
        <f t="array" ref="H58">RANK(I58,I3:I66)</f>
        <v>55</v>
      </c>
      <c r="I58" s="168" cm="1">
        <f t="array" ref="I58">VLOOKUP(A58,'Standard Deviations'!A1:C672,3,FALSE)</f>
        <v>-2.5778406187589251</v>
      </c>
      <c r="J58" s="168" cm="1">
        <f t="array" ref="J58">I58-VLOOKUP(B$2,H1:J66,2,FALSE)</f>
        <v>-5.7301886733287146</v>
      </c>
    </row>
    <row r="59" spans="1:10" ht="21.25" customHeight="1" x14ac:dyDescent="0.15">
      <c r="A59" s="10" t="s">
        <v>654</v>
      </c>
      <c r="B59" s="141" t="str" cm="1">
        <f t="array" ref="B59">VLOOKUP(A59,'The List'!B1:D671,3,FALSE)</f>
        <v>G</v>
      </c>
      <c r="C59" s="175" cm="1">
        <f t="array" ref="C59">RANK(E59,E3:E66)</f>
        <v>57</v>
      </c>
      <c r="D59" s="18" t="str" cm="1">
        <f t="array" ref="D59">VLOOKUP(A59,'The List'!B1:F671,5,FALSE)</f>
        <v>OTT</v>
      </c>
      <c r="E59" s="55" cm="1">
        <f t="array" ref="E59">VLOOKUP(A59,'The List'!B1:I671,8,FALSE)</f>
        <v>122.28448775918787</v>
      </c>
      <c r="F59" s="55" cm="1">
        <f t="array" ref="F59">IF(Settings!$E$15="POINTS",E59-VLOOKUP(B$2,C1:E66,3,FALSE),J59)</f>
        <v>-236.87342017105016</v>
      </c>
      <c r="G59" s="55"/>
      <c r="H59" s="167" cm="1">
        <f t="array" ref="H59">RANK(I59,I3:I66)</f>
        <v>48</v>
      </c>
      <c r="I59" s="168" cm="1">
        <f t="array" ref="I59">VLOOKUP(A59,'Standard Deviations'!A1:C672,3,FALSE)</f>
        <v>-2.15128119936344</v>
      </c>
      <c r="J59" s="168" cm="1">
        <f t="array" ref="J59">I59-VLOOKUP(B$2,H1:J66,2,FALSE)</f>
        <v>-5.303629253933229</v>
      </c>
    </row>
    <row r="60" spans="1:10" ht="21.25" customHeight="1" x14ac:dyDescent="0.15">
      <c r="A60" s="10" t="s">
        <v>655</v>
      </c>
      <c r="B60" s="141" t="str" cm="1">
        <f t="array" ref="B60">VLOOKUP(A60,'The List'!B1:D671,3,FALSE)</f>
        <v>G</v>
      </c>
      <c r="C60" s="175" cm="1">
        <f t="array" ref="C60">RANK(E60,E3:E66)</f>
        <v>58</v>
      </c>
      <c r="D60" s="18" t="str" cm="1">
        <f t="array" ref="D60">VLOOKUP(A60,'The List'!B1:F671,5,FALSE)</f>
        <v>ANA</v>
      </c>
      <c r="E60" s="55" cm="1">
        <f t="array" ref="E60">VLOOKUP(A60,'The List'!B1:I671,8,FALSE)</f>
        <v>122.20375003317528</v>
      </c>
      <c r="F60" s="55" cm="1">
        <f t="array" ref="F60">IF(Settings!$E$15="POINTS",E60-VLOOKUP(B$2,C1:E66,3,FALSE),J60)</f>
        <v>-236.95415789706274</v>
      </c>
      <c r="G60" s="55"/>
      <c r="H60" s="167" cm="1">
        <f t="array" ref="H60">RANK(I60,I3:I66)</f>
        <v>62</v>
      </c>
      <c r="I60" s="168" cm="1">
        <f t="array" ref="I60">VLOOKUP(A60,'Standard Deviations'!A1:C672,3,FALSE)</f>
        <v>-4.7927880398739511</v>
      </c>
      <c r="J60" s="168" cm="1">
        <f t="array" ref="J60">I60-VLOOKUP(B$2,H1:J66,2,FALSE)</f>
        <v>-7.9451360944437406</v>
      </c>
    </row>
    <row r="61" spans="1:10" ht="21.25" customHeight="1" x14ac:dyDescent="0.15">
      <c r="A61" s="10" t="s">
        <v>658</v>
      </c>
      <c r="B61" s="141" t="str" cm="1">
        <f t="array" ref="B61">VLOOKUP(A61,'The List'!B1:D671,3,FALSE)</f>
        <v>G</v>
      </c>
      <c r="C61" s="175" cm="1">
        <f t="array" ref="C61">RANK(E61,E3:E66)</f>
        <v>59</v>
      </c>
      <c r="D61" s="18" t="str" cm="1">
        <f t="array" ref="D61">VLOOKUP(A61,'The List'!B1:F671,5,FALSE)</f>
        <v>DET</v>
      </c>
      <c r="E61" s="55" cm="1">
        <f t="array" ref="E61">VLOOKUP(A61,'The List'!B1:I671,8,FALSE)</f>
        <v>120.3609823520722</v>
      </c>
      <c r="F61" s="55" cm="1">
        <f t="array" ref="F61">IF(Settings!$E$15="POINTS",E61-VLOOKUP(B$2,C1:E66,3,FALSE),J61)</f>
        <v>-238.79692557816583</v>
      </c>
      <c r="G61" s="55"/>
      <c r="H61" s="167" cm="1">
        <f t="array" ref="H61">RANK(I61,I3:I66)</f>
        <v>56</v>
      </c>
      <c r="I61" s="168" cm="1">
        <f t="array" ref="I61">VLOOKUP(A61,'Standard Deviations'!A1:C672,3,FALSE)</f>
        <v>-2.7674955087987909</v>
      </c>
      <c r="J61" s="168" cm="1">
        <f t="array" ref="J61">I61-VLOOKUP(B$2,H1:J66,2,FALSE)</f>
        <v>-5.9198435633685804</v>
      </c>
    </row>
    <row r="62" spans="1:10" ht="21.25" customHeight="1" x14ac:dyDescent="0.15">
      <c r="A62" s="10" t="s">
        <v>662</v>
      </c>
      <c r="B62" s="141" t="str" cm="1">
        <f t="array" ref="B62">VLOOKUP(A62,'The List'!B1:D671,3,FALSE)</f>
        <v>G</v>
      </c>
      <c r="C62" s="175" cm="1">
        <f t="array" ref="C62">RANK(E62,E3:E66)</f>
        <v>60</v>
      </c>
      <c r="D62" s="18" t="str" cm="1">
        <f t="array" ref="D62">VLOOKUP(A62,'The List'!B1:F671,5,FALSE)</f>
        <v>CBJ</v>
      </c>
      <c r="E62" s="55" cm="1">
        <f t="array" ref="E62">VLOOKUP(A62,'The List'!B1:I671,8,FALSE)</f>
        <v>118.31103986836717</v>
      </c>
      <c r="F62" s="55" cm="1">
        <f t="array" ref="F62">IF(Settings!$E$15="POINTS",E62-VLOOKUP(B$2,C1:E66,3,FALSE),J62)</f>
        <v>-240.84686806187085</v>
      </c>
      <c r="G62" s="55"/>
      <c r="H62" s="167" cm="1">
        <f t="array" ref="H62">RANK(I62,I3:I66)</f>
        <v>58</v>
      </c>
      <c r="I62" s="168" cm="1">
        <f t="array" ref="I62">VLOOKUP(A62,'Standard Deviations'!A1:C672,3,FALSE)</f>
        <v>-2.8893554805299377</v>
      </c>
      <c r="J62" s="168" cm="1">
        <f t="array" ref="J62">I62-VLOOKUP(B$2,H1:J66,2,FALSE)</f>
        <v>-6.0417035350997272</v>
      </c>
    </row>
    <row r="63" spans="1:10" ht="21.25" customHeight="1" x14ac:dyDescent="0.15">
      <c r="A63" s="10" t="s">
        <v>663</v>
      </c>
      <c r="B63" s="141" t="str" cm="1">
        <f t="array" ref="B63">VLOOKUP(A63,'The List'!B1:D671,3,FALSE)</f>
        <v>G</v>
      </c>
      <c r="C63" s="175" cm="1">
        <f t="array" ref="C63">RANK(E63,E3:E66)</f>
        <v>61</v>
      </c>
      <c r="D63" s="18" t="str" cm="1">
        <f t="array" ref="D63">VLOOKUP(A63,'The List'!B1:F671,5,FALSE)</f>
        <v>NYI</v>
      </c>
      <c r="E63" s="55" cm="1">
        <f t="array" ref="E63">VLOOKUP(A63,'The List'!B1:I671,8,FALSE)</f>
        <v>118.24718157967101</v>
      </c>
      <c r="F63" s="55" cm="1">
        <f t="array" ref="F63">IF(Settings!$E$15="POINTS",E63-VLOOKUP(B$2,C1:E66,3,FALSE),J63)</f>
        <v>-240.91072635056702</v>
      </c>
      <c r="G63" s="55"/>
      <c r="H63" s="167" cm="1">
        <f t="array" ref="H63">RANK(I63,I3:I66)</f>
        <v>61</v>
      </c>
      <c r="I63" s="168" cm="1">
        <f t="array" ref="I63">VLOOKUP(A63,'Standard Deviations'!A1:C672,3,FALSE)</f>
        <v>-4.1118030735978994</v>
      </c>
      <c r="J63" s="168" cm="1">
        <f t="array" ref="J63">I63-VLOOKUP(B$2,H1:J66,2,FALSE)</f>
        <v>-7.2641511281676889</v>
      </c>
    </row>
    <row r="64" spans="1:10" ht="21.25" customHeight="1" x14ac:dyDescent="0.15">
      <c r="A64" s="10" t="s">
        <v>665</v>
      </c>
      <c r="B64" s="141" t="str" cm="1">
        <f t="array" ref="B64">VLOOKUP(A64,'The List'!B1:D671,3,FALSE)</f>
        <v>G</v>
      </c>
      <c r="C64" s="175" cm="1">
        <f t="array" ref="C64">RANK(E64,E3:E66)</f>
        <v>62</v>
      </c>
      <c r="D64" s="18" t="str" cm="1">
        <f t="array" ref="D64">VLOOKUP(A64,'The List'!B1:F671,5,FALSE)</f>
        <v>CHI</v>
      </c>
      <c r="E64" s="55" cm="1">
        <f t="array" ref="E64">VLOOKUP(A64,'The List'!B1:I671,8,FALSE)</f>
        <v>116.7666194716017</v>
      </c>
      <c r="F64" s="55" cm="1">
        <f t="array" ref="F64">IF(Settings!$E$15="POINTS",E64-VLOOKUP(B$2,C1:E66,3,FALSE),J64)</f>
        <v>-242.39128845863632</v>
      </c>
      <c r="G64" s="55"/>
      <c r="H64" s="167" cm="1">
        <f t="array" ref="H64">RANK(I64,I3:I66)</f>
        <v>64</v>
      </c>
      <c r="I64" s="168" cm="1">
        <f t="array" ref="I64">VLOOKUP(A64,'Standard Deviations'!A1:C672,3,FALSE)</f>
        <v>-5.5964307675491582</v>
      </c>
      <c r="J64" s="168" cm="1">
        <f t="array" ref="J64">I64-VLOOKUP(B$2,H1:J66,2,FALSE)</f>
        <v>-8.7487788221189469</v>
      </c>
    </row>
    <row r="65" spans="1:10" ht="21.25" customHeight="1" x14ac:dyDescent="0.15">
      <c r="A65" s="10" t="s">
        <v>704</v>
      </c>
      <c r="B65" s="141" t="str" cm="1">
        <f t="array" ref="B65">VLOOKUP(A65,'The List'!B1:D671,3,FALSE)</f>
        <v>G</v>
      </c>
      <c r="C65" s="175" cm="1">
        <f t="array" ref="C65">RANK(E65,E3:E66)</f>
        <v>63</v>
      </c>
      <c r="D65" s="18" t="str" cm="1">
        <f t="array" ref="D65">VLOOKUP(A65,'The List'!B1:F671,5,FALSE)</f>
        <v>NSH</v>
      </c>
      <c r="E65" s="55" cm="1">
        <f t="array" ref="E65">VLOOKUP(A65,'The List'!B1:I671,8,FALSE)</f>
        <v>96.355659479106578</v>
      </c>
      <c r="F65" s="55" cm="1">
        <f t="array" ref="F65">IF(Settings!$E$15="POINTS",E65-VLOOKUP(B$2,C1:E66,3,FALSE),J65)</f>
        <v>-262.80224845113145</v>
      </c>
      <c r="G65" s="55"/>
      <c r="H65" s="167" cm="1">
        <f t="array" ref="H65">RANK(I65,I3:I66)</f>
        <v>60</v>
      </c>
      <c r="I65" s="168" cm="1">
        <f t="array" ref="I65">VLOOKUP(A65,'Standard Deviations'!A1:C672,3,FALSE)</f>
        <v>-3.6887715267931052</v>
      </c>
      <c r="J65" s="168" cm="1">
        <f t="array" ref="J65">I65-VLOOKUP(B$2,H1:J66,2,FALSE)</f>
        <v>-6.8411195813628947</v>
      </c>
    </row>
    <row r="66" spans="1:10" ht="21.25" customHeight="1" x14ac:dyDescent="0.15">
      <c r="A66" s="10" t="s">
        <v>708</v>
      </c>
      <c r="B66" s="141" t="str" cm="1">
        <f t="array" ref="B66">VLOOKUP(A66,'The List'!B1:D671,3,FALSE)</f>
        <v>G</v>
      </c>
      <c r="C66" s="175" cm="1">
        <f t="array" ref="C66">RANK(E66,E3:E66)</f>
        <v>64</v>
      </c>
      <c r="D66" s="18" t="str" cm="1">
        <f t="array" ref="D66">VLOOKUP(A66,'The List'!B1:F671,5,FALSE)</f>
        <v>WPG</v>
      </c>
      <c r="E66" s="55" cm="1">
        <f t="array" ref="E66">VLOOKUP(A66,'The List'!B1:I671,8,FALSE)</f>
        <v>93.402829422582045</v>
      </c>
      <c r="F66" s="55" cm="1">
        <f t="array" ref="F66">IF(Settings!$E$15="POINTS",E66-VLOOKUP(B$2,C1:E66,3,FALSE),J66)</f>
        <v>-265.75507850765598</v>
      </c>
      <c r="G66" s="55"/>
      <c r="H66" s="167" cm="1">
        <f t="array" ref="H66">RANK(I66,I3:I66)</f>
        <v>52</v>
      </c>
      <c r="I66" s="168" cm="1">
        <f t="array" ref="I66">VLOOKUP(A66,'Standard Deviations'!A1:C672,3,FALSE)</f>
        <v>-2.3587289555774245</v>
      </c>
      <c r="J66" s="168" cm="1">
        <f t="array" ref="J66">I66-VLOOKUP(B$2,H1:J66,2,FALSE)</f>
        <v>-5.511077010147214</v>
      </c>
    </row>
  </sheetData>
  <conditionalFormatting sqref="C3:C66 H3:H66">
    <cfRule type="containsText" dxfId="5" priority="1" stopIfTrue="1" operator="containsText" text="/">
      <formula>NOT(ISERROR(FIND(UPPER("/"),UPPER(C3))))</formula>
      <formula>"/"</formula>
    </cfRule>
    <cfRule type="containsText" dxfId="4" priority="2" stopIfTrue="1" operator="containsText" text="C">
      <formula>NOT(ISERROR(FIND(UPPER("C"),UPPER(C3))))</formula>
      <formula>"C"</formula>
    </cfRule>
    <cfRule type="containsText" dxfId="3" priority="3" stopIfTrue="1" operator="containsText" text="D">
      <formula>NOT(ISERROR(FIND(UPPER("D"),UPPER(C3))))</formula>
      <formula>"D"</formula>
    </cfRule>
    <cfRule type="containsText" dxfId="2" priority="4" stopIfTrue="1" operator="containsText" text="LW">
      <formula>NOT(ISERROR(FIND(UPPER("LW"),UPPER(C3))))</formula>
      <formula>"LW"</formula>
    </cfRule>
    <cfRule type="containsText" dxfId="1" priority="5" stopIfTrue="1" operator="containsText" text="RW">
      <formula>NOT(ISERROR(FIND(UPPER("RW"),UPPER(C3))))</formula>
      <formula>"RW"</formula>
    </cfRule>
    <cfRule type="containsText" dxfId="0" priority="6" stopIfTrue="1" operator="containsText" text="G">
      <formula>NOT(ISERROR(FIND(UPPER("G"),UPPER(C3))))</formula>
      <formula>"G"</formula>
    </cfRule>
  </conditionalFormatting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671"/>
  <sheetViews>
    <sheetView showGridLines="0" workbookViewId="0">
      <pane ySplit="1" topLeftCell="A2" activePane="bottomLeft" state="frozen"/>
      <selection pane="bottomLeft"/>
    </sheetView>
  </sheetViews>
  <sheetFormatPr baseColWidth="10" defaultColWidth="8" defaultRowHeight="16.25" customHeight="1" x14ac:dyDescent="0.15"/>
  <cols>
    <col min="1" max="1" width="28.33203125" style="1" customWidth="1"/>
    <col min="2" max="5" width="9.5" style="1" customWidth="1"/>
    <col min="6" max="7" width="11.83203125" style="1" customWidth="1"/>
    <col min="8" max="8" width="8" style="1" customWidth="1"/>
    <col min="9" max="16384" width="8" style="1"/>
  </cols>
  <sheetData>
    <row r="1" spans="1:7" ht="42.5" customHeight="1" x14ac:dyDescent="0.15">
      <c r="A1" s="2" t="s">
        <v>91</v>
      </c>
      <c r="B1" s="176" t="s">
        <v>828</v>
      </c>
      <c r="C1" s="176" t="s">
        <v>829</v>
      </c>
      <c r="D1" s="176" t="s">
        <v>830</v>
      </c>
      <c r="E1" s="177"/>
      <c r="F1" s="176" t="s">
        <v>96</v>
      </c>
      <c r="G1" s="176" t="s">
        <v>831</v>
      </c>
    </row>
    <row r="2" spans="1:7" ht="21.25" customHeight="1" x14ac:dyDescent="0.15">
      <c r="A2" s="10" t="s">
        <v>129</v>
      </c>
      <c r="B2" s="178">
        <v>1.5</v>
      </c>
      <c r="C2" s="178">
        <v>1.8</v>
      </c>
      <c r="D2" s="178" cm="1">
        <f t="array" ref="D2">IFERROR(AVERAGE(B2:C2),"—")</f>
        <v>1.65</v>
      </c>
      <c r="E2" s="85"/>
      <c r="F2" s="179">
        <v>12500000</v>
      </c>
      <c r="G2" s="180" t="s">
        <v>802</v>
      </c>
    </row>
    <row r="3" spans="1:7" ht="21.25" customHeight="1" x14ac:dyDescent="0.15">
      <c r="A3" s="10" t="s">
        <v>127</v>
      </c>
      <c r="B3" s="178">
        <v>2.4</v>
      </c>
      <c r="C3" s="178">
        <v>1.3</v>
      </c>
      <c r="D3" s="178" cm="1">
        <f t="array" ref="D3">IFERROR(AVERAGE(B3:C3),"—")</f>
        <v>1.85</v>
      </c>
      <c r="E3" s="85"/>
      <c r="F3" s="179">
        <v>12600000</v>
      </c>
      <c r="G3" s="180" t="s">
        <v>802</v>
      </c>
    </row>
    <row r="4" spans="1:7" ht="21.25" customHeight="1" x14ac:dyDescent="0.15">
      <c r="A4" s="10" t="s">
        <v>130</v>
      </c>
      <c r="B4" s="178">
        <v>4.0999999999999996</v>
      </c>
      <c r="C4" s="178">
        <v>3.2</v>
      </c>
      <c r="D4" s="178" cm="1">
        <f t="array" ref="D4">IFERROR(AVERAGE(B4:C4),"—")</f>
        <v>3.65</v>
      </c>
      <c r="E4" s="85"/>
      <c r="F4" s="179">
        <v>9500000</v>
      </c>
      <c r="G4" s="180" t="s">
        <v>802</v>
      </c>
    </row>
    <row r="5" spans="1:7" ht="21.25" customHeight="1" x14ac:dyDescent="0.15">
      <c r="A5" s="10" t="s">
        <v>138</v>
      </c>
      <c r="B5" s="178">
        <v>6.6</v>
      </c>
      <c r="C5" s="178">
        <v>4.9000000000000004</v>
      </c>
      <c r="D5" s="178" cm="1">
        <f t="array" ref="D5">IFERROR(AVERAGE(B5:C5),"—")</f>
        <v>5.75</v>
      </c>
      <c r="E5" s="85"/>
      <c r="F5" s="179">
        <v>14000000</v>
      </c>
      <c r="G5" s="180" t="s">
        <v>802</v>
      </c>
    </row>
    <row r="6" spans="1:7" ht="21.25" customHeight="1" x14ac:dyDescent="0.15">
      <c r="A6" s="10" t="s">
        <v>134</v>
      </c>
      <c r="B6" s="178">
        <v>7.4</v>
      </c>
      <c r="C6" s="178">
        <v>4.2</v>
      </c>
      <c r="D6" s="178" cm="1">
        <f t="array" ref="D6">IFERROR(AVERAGE(B6:C6),"—")</f>
        <v>5.8000000000000007</v>
      </c>
      <c r="E6" s="85"/>
      <c r="F6" s="179">
        <v>975000</v>
      </c>
      <c r="G6" s="180" t="s">
        <v>85</v>
      </c>
    </row>
    <row r="7" spans="1:7" ht="21.25" customHeight="1" x14ac:dyDescent="0.15">
      <c r="A7" s="10" t="s">
        <v>132</v>
      </c>
      <c r="B7" s="178">
        <v>7.3</v>
      </c>
      <c r="C7" s="178">
        <v>7.5</v>
      </c>
      <c r="D7" s="178" cm="1">
        <f t="array" ref="D7">IFERROR(AVERAGE(B7:C7),"—")</f>
        <v>7.4</v>
      </c>
      <c r="E7" s="85"/>
      <c r="F7" s="179">
        <v>9000000</v>
      </c>
      <c r="G7" s="180" t="s">
        <v>802</v>
      </c>
    </row>
    <row r="8" spans="1:7" ht="21.25" customHeight="1" x14ac:dyDescent="0.15">
      <c r="A8" s="10" t="s">
        <v>136</v>
      </c>
      <c r="B8" s="178">
        <v>9.5</v>
      </c>
      <c r="C8" s="178">
        <v>6.8</v>
      </c>
      <c r="D8" s="178" cm="1">
        <f t="array" ref="D8">IFERROR(AVERAGE(B8:C8),"—")</f>
        <v>8.15</v>
      </c>
      <c r="E8" s="85"/>
      <c r="F8" s="179">
        <v>11250000</v>
      </c>
      <c r="G8" s="180" t="s">
        <v>802</v>
      </c>
    </row>
    <row r="9" spans="1:7" ht="21.25" customHeight="1" x14ac:dyDescent="0.15">
      <c r="A9" s="10" t="s">
        <v>148</v>
      </c>
      <c r="B9" s="178">
        <v>10.9</v>
      </c>
      <c r="C9" s="178">
        <v>7.2</v>
      </c>
      <c r="D9" s="178" cm="1">
        <f t="array" ref="D9">IFERROR(AVERAGE(B9:C9),"—")</f>
        <v>9.0500000000000007</v>
      </c>
      <c r="E9" s="85"/>
      <c r="F9" s="179">
        <v>17000000</v>
      </c>
      <c r="G9" s="180" t="s">
        <v>85</v>
      </c>
    </row>
    <row r="10" spans="1:7" ht="21.25" customHeight="1" x14ac:dyDescent="0.15">
      <c r="A10" s="10" t="s">
        <v>144</v>
      </c>
      <c r="B10" s="178">
        <v>13.3</v>
      </c>
      <c r="C10" s="178">
        <v>12.8</v>
      </c>
      <c r="D10" s="178" cm="1">
        <f t="array" ref="D10">IFERROR(AVERAGE(B10:C10),"—")</f>
        <v>13.05</v>
      </c>
      <c r="E10" s="85"/>
      <c r="F10" s="179">
        <v>12000000</v>
      </c>
      <c r="G10" s="180" t="s">
        <v>802</v>
      </c>
    </row>
    <row r="11" spans="1:7" ht="21.25" customHeight="1" x14ac:dyDescent="0.15">
      <c r="A11" s="10" t="s">
        <v>140</v>
      </c>
      <c r="B11" s="178">
        <v>17.100000000000001</v>
      </c>
      <c r="C11" s="178">
        <v>10.199999999999999</v>
      </c>
      <c r="D11" s="178" cm="1">
        <f t="array" ref="D11">IFERROR(AVERAGE(B11:C11),"—")</f>
        <v>13.65</v>
      </c>
      <c r="E11" s="85"/>
      <c r="F11" s="179">
        <v>13250000</v>
      </c>
      <c r="G11" s="180" t="s">
        <v>85</v>
      </c>
    </row>
    <row r="12" spans="1:7" ht="21.25" customHeight="1" x14ac:dyDescent="0.15">
      <c r="A12" s="10" t="s">
        <v>131</v>
      </c>
      <c r="B12" s="178">
        <v>17.100000000000001</v>
      </c>
      <c r="C12" s="178">
        <v>11.8</v>
      </c>
      <c r="D12" s="178" cm="1">
        <f t="array" ref="D12">IFERROR(AVERAGE(B12:C12),"—")</f>
        <v>14.450000000000001</v>
      </c>
      <c r="E12" s="85"/>
      <c r="F12" s="179">
        <v>9583000</v>
      </c>
      <c r="G12" s="180" t="s">
        <v>802</v>
      </c>
    </row>
    <row r="13" spans="1:7" ht="21.25" customHeight="1" x14ac:dyDescent="0.15">
      <c r="A13" s="10" t="s">
        <v>133</v>
      </c>
      <c r="B13" s="178">
        <v>14.1</v>
      </c>
      <c r="C13" s="178">
        <v>15.2</v>
      </c>
      <c r="D13" s="178" cm="1">
        <f t="array" ref="D13">IFERROR(AVERAGE(B13:C13),"—")</f>
        <v>14.649999999999999</v>
      </c>
      <c r="E13" s="85"/>
      <c r="F13" s="179">
        <v>7850000</v>
      </c>
      <c r="G13" s="180" t="s">
        <v>802</v>
      </c>
    </row>
    <row r="14" spans="1:7" ht="21.25" customHeight="1" x14ac:dyDescent="0.15">
      <c r="A14" s="10" t="s">
        <v>142</v>
      </c>
      <c r="B14" s="178">
        <v>18.8</v>
      </c>
      <c r="C14" s="178">
        <v>11.8</v>
      </c>
      <c r="D14" s="178" cm="1">
        <f t="array" ref="D14">IFERROR(AVERAGE(B14:C14),"—")</f>
        <v>15.3</v>
      </c>
      <c r="E14" s="85"/>
      <c r="F14" s="179">
        <v>8000000</v>
      </c>
      <c r="G14" s="180" t="s">
        <v>85</v>
      </c>
    </row>
    <row r="15" spans="1:7" ht="21.25" customHeight="1" x14ac:dyDescent="0.15">
      <c r="A15" s="10" t="s">
        <v>154</v>
      </c>
      <c r="B15" s="178">
        <v>14.8</v>
      </c>
      <c r="C15" s="178">
        <v>17</v>
      </c>
      <c r="D15" s="178" cm="1">
        <f t="array" ref="D15">IFERROR(AVERAGE(B15:C15),"—")</f>
        <v>15.9</v>
      </c>
      <c r="E15" s="85"/>
      <c r="F15" s="179">
        <v>11500000</v>
      </c>
      <c r="G15" s="180" t="s">
        <v>802</v>
      </c>
    </row>
    <row r="16" spans="1:7" ht="21.25" customHeight="1" x14ac:dyDescent="0.15">
      <c r="A16" s="10" t="s">
        <v>135</v>
      </c>
      <c r="B16" s="178">
        <v>18.899999999999999</v>
      </c>
      <c r="C16" s="178">
        <v>14.2</v>
      </c>
      <c r="D16" s="178" cm="1">
        <f t="array" ref="D16">IFERROR(AVERAGE(B16:C16),"—")</f>
        <v>16.549999999999997</v>
      </c>
      <c r="E16" s="85"/>
      <c r="F16" s="179">
        <v>10500000</v>
      </c>
      <c r="G16" s="180" t="s">
        <v>802</v>
      </c>
    </row>
    <row r="17" spans="1:7" ht="21.25" customHeight="1" x14ac:dyDescent="0.15">
      <c r="A17" s="10" t="s">
        <v>149</v>
      </c>
      <c r="B17" s="178">
        <v>12.1</v>
      </c>
      <c r="C17" s="178">
        <v>22.2</v>
      </c>
      <c r="D17" s="178" cm="1">
        <f t="array" ref="D17">IFERROR(AVERAGE(B17:C17),"—")</f>
        <v>17.149999999999999</v>
      </c>
      <c r="E17" s="85"/>
      <c r="F17" s="179">
        <v>7875000</v>
      </c>
      <c r="G17" s="180" t="s">
        <v>802</v>
      </c>
    </row>
    <row r="18" spans="1:7" ht="21.25" customHeight="1" x14ac:dyDescent="0.15">
      <c r="A18" s="10" t="s">
        <v>143</v>
      </c>
      <c r="B18" s="178">
        <v>20.9</v>
      </c>
      <c r="C18" s="178">
        <v>16.600000000000001</v>
      </c>
      <c r="D18" s="178" cm="1">
        <f t="array" ref="D18">IFERROR(AVERAGE(B18:C18),"—")</f>
        <v>18.75</v>
      </c>
      <c r="E18" s="85"/>
      <c r="F18" s="179">
        <v>7000000</v>
      </c>
      <c r="G18" s="180" t="s">
        <v>85</v>
      </c>
    </row>
    <row r="19" spans="1:7" ht="21.25" customHeight="1" x14ac:dyDescent="0.15">
      <c r="A19" s="10" t="s">
        <v>139</v>
      </c>
      <c r="B19" s="178">
        <v>23</v>
      </c>
      <c r="C19" s="178">
        <v>15</v>
      </c>
      <c r="D19" s="178" cm="1">
        <f t="array" ref="D19">IFERROR(AVERAGE(B19:C19),"—")</f>
        <v>19</v>
      </c>
      <c r="E19" s="85"/>
      <c r="F19" s="179">
        <v>13500000</v>
      </c>
      <c r="G19" s="180" t="s">
        <v>802</v>
      </c>
    </row>
    <row r="20" spans="1:7" ht="21.25" customHeight="1" x14ac:dyDescent="0.15">
      <c r="A20" s="10" t="s">
        <v>164</v>
      </c>
      <c r="B20" s="178">
        <v>24.9</v>
      </c>
      <c r="C20" s="178">
        <v>18.8</v>
      </c>
      <c r="D20" s="178" cm="1">
        <f t="array" ref="D20">IFERROR(AVERAGE(B20:C20),"—")</f>
        <v>21.85</v>
      </c>
      <c r="E20" s="85"/>
      <c r="F20" s="179">
        <v>12000000</v>
      </c>
      <c r="G20" s="180" t="s">
        <v>802</v>
      </c>
    </row>
    <row r="21" spans="1:7" ht="21.25" customHeight="1" x14ac:dyDescent="0.15">
      <c r="A21" s="10" t="s">
        <v>229</v>
      </c>
      <c r="B21" s="178">
        <v>24</v>
      </c>
      <c r="C21" s="178">
        <v>22.1</v>
      </c>
      <c r="D21" s="178" cm="1">
        <f t="array" ref="D21">IFERROR(AVERAGE(B21:C21),"—")</f>
        <v>23.05</v>
      </c>
      <c r="E21" s="85"/>
      <c r="F21" s="179">
        <v>8205000</v>
      </c>
      <c r="G21" s="180" t="s">
        <v>802</v>
      </c>
    </row>
    <row r="22" spans="1:7" ht="21.25" customHeight="1" x14ac:dyDescent="0.15">
      <c r="A22" s="10" t="s">
        <v>156</v>
      </c>
      <c r="B22" s="178">
        <v>18.600000000000001</v>
      </c>
      <c r="C22" s="178">
        <v>27.6</v>
      </c>
      <c r="D22" s="178" cm="1">
        <f t="array" ref="D22">IFERROR(AVERAGE(B22:C22),"—")</f>
        <v>23.1</v>
      </c>
      <c r="E22" s="85"/>
      <c r="F22" s="179">
        <v>8400000</v>
      </c>
      <c r="G22" s="180" t="s">
        <v>802</v>
      </c>
    </row>
    <row r="23" spans="1:7" ht="21.25" customHeight="1" x14ac:dyDescent="0.15">
      <c r="A23" s="10" t="s">
        <v>179</v>
      </c>
      <c r="B23" s="178">
        <v>18.600000000000001</v>
      </c>
      <c r="C23" s="178">
        <v>27.6</v>
      </c>
      <c r="D23" s="178" cm="1">
        <f t="array" ref="D23">IFERROR(AVERAGE(B23:C23),"—")</f>
        <v>23.1</v>
      </c>
      <c r="E23" s="85"/>
      <c r="F23" s="179">
        <v>7850000</v>
      </c>
      <c r="G23" s="180" t="s">
        <v>802</v>
      </c>
    </row>
    <row r="24" spans="1:7" ht="21.25" customHeight="1" x14ac:dyDescent="0.15">
      <c r="A24" s="10" t="s">
        <v>155</v>
      </c>
      <c r="B24" s="178">
        <v>29</v>
      </c>
      <c r="C24" s="178">
        <v>24.6</v>
      </c>
      <c r="D24" s="178" cm="1">
        <f t="array" ref="D24">IFERROR(AVERAGE(B24:C24),"—")</f>
        <v>26.8</v>
      </c>
      <c r="E24" s="85"/>
      <c r="F24" s="179">
        <v>12000000</v>
      </c>
      <c r="G24" s="180" t="s">
        <v>802</v>
      </c>
    </row>
    <row r="25" spans="1:7" ht="21.25" customHeight="1" x14ac:dyDescent="0.15">
      <c r="A25" s="10" t="s">
        <v>145</v>
      </c>
      <c r="B25" s="178">
        <v>20</v>
      </c>
      <c r="C25" s="178">
        <v>33.700000000000003</v>
      </c>
      <c r="D25" s="178" cm="1">
        <f t="array" ref="D25">IFERROR(AVERAGE(B25:C25),"—")</f>
        <v>26.85</v>
      </c>
      <c r="E25" s="85"/>
      <c r="F25" s="179">
        <v>8850000</v>
      </c>
      <c r="G25" s="180" t="s">
        <v>802</v>
      </c>
    </row>
    <row r="26" spans="1:7" ht="21.25" customHeight="1" x14ac:dyDescent="0.15">
      <c r="A26" s="10" t="s">
        <v>171</v>
      </c>
      <c r="B26" s="178">
        <v>29.7</v>
      </c>
      <c r="C26" s="178">
        <v>24.2</v>
      </c>
      <c r="D26" s="178" cm="1">
        <f t="array" ref="D26">IFERROR(AVERAGE(B26:C26),"—")</f>
        <v>26.95</v>
      </c>
      <c r="E26" s="85"/>
      <c r="F26" s="179">
        <v>7142000</v>
      </c>
      <c r="G26" s="180" t="s">
        <v>802</v>
      </c>
    </row>
    <row r="27" spans="1:7" ht="21.25" customHeight="1" x14ac:dyDescent="0.15">
      <c r="A27" s="10" t="s">
        <v>137</v>
      </c>
      <c r="B27" s="178">
        <v>35.799999999999997</v>
      </c>
      <c r="C27" s="178">
        <v>20.3</v>
      </c>
      <c r="D27" s="178" cm="1">
        <f t="array" ref="D27">IFERROR(AVERAGE(B27:C27),"—")</f>
        <v>28.049999999999997</v>
      </c>
      <c r="E27" s="85"/>
      <c r="F27" s="179">
        <v>11000000</v>
      </c>
      <c r="G27" s="180" t="s">
        <v>84</v>
      </c>
    </row>
    <row r="28" spans="1:7" ht="21.25" customHeight="1" x14ac:dyDescent="0.15">
      <c r="A28" s="10" t="s">
        <v>185</v>
      </c>
      <c r="B28" s="178">
        <v>33.299999999999997</v>
      </c>
      <c r="C28" s="178">
        <v>23.1</v>
      </c>
      <c r="D28" s="178" cm="1">
        <f t="array" ref="D28">IFERROR(AVERAGE(B28:C28),"—")</f>
        <v>28.2</v>
      </c>
      <c r="E28" s="85"/>
      <c r="F28" s="179">
        <v>9500000</v>
      </c>
      <c r="G28" s="180" t="s">
        <v>802</v>
      </c>
    </row>
    <row r="29" spans="1:7" ht="21.25" customHeight="1" x14ac:dyDescent="0.15">
      <c r="A29" s="10" t="s">
        <v>141</v>
      </c>
      <c r="B29" s="178">
        <v>34.200000000000003</v>
      </c>
      <c r="C29" s="178">
        <v>24.4</v>
      </c>
      <c r="D29" s="178" cm="1">
        <f t="array" ref="D29">IFERROR(AVERAGE(B29:C29),"—")</f>
        <v>29.3</v>
      </c>
      <c r="E29" s="85"/>
      <c r="F29" s="179">
        <v>975000</v>
      </c>
      <c r="G29" s="180" t="s">
        <v>85</v>
      </c>
    </row>
    <row r="30" spans="1:7" ht="21.25" customHeight="1" x14ac:dyDescent="0.15">
      <c r="A30" s="10" t="s">
        <v>192</v>
      </c>
      <c r="B30" s="178">
        <v>33.700000000000003</v>
      </c>
      <c r="C30" s="178">
        <v>30.1</v>
      </c>
      <c r="D30" s="178" cm="1">
        <f t="array" ref="D30">IFERROR(AVERAGE(B30:C30),"—")</f>
        <v>31.900000000000002</v>
      </c>
      <c r="E30" s="85"/>
      <c r="F30" s="179">
        <v>9000000</v>
      </c>
      <c r="G30" s="180" t="s">
        <v>802</v>
      </c>
    </row>
    <row r="31" spans="1:7" ht="21.25" customHeight="1" x14ac:dyDescent="0.15">
      <c r="A31" s="10" t="s">
        <v>159</v>
      </c>
      <c r="B31" s="178">
        <v>42.8</v>
      </c>
      <c r="C31" s="178">
        <v>26.2</v>
      </c>
      <c r="D31" s="178" cm="1">
        <f t="array" ref="D31">IFERROR(AVERAGE(B31:C31),"—")</f>
        <v>34.5</v>
      </c>
      <c r="E31" s="85"/>
      <c r="F31" s="179">
        <v>11500000</v>
      </c>
      <c r="G31" s="180" t="s">
        <v>802</v>
      </c>
    </row>
    <row r="32" spans="1:7" ht="21.25" customHeight="1" x14ac:dyDescent="0.15">
      <c r="A32" s="10" t="s">
        <v>162</v>
      </c>
      <c r="B32" s="178">
        <v>33.6</v>
      </c>
      <c r="C32" s="178">
        <v>36</v>
      </c>
      <c r="D32" s="178" cm="1">
        <f t="array" ref="D32">IFERROR(AVERAGE(B32:C32),"—")</f>
        <v>34.799999999999997</v>
      </c>
      <c r="E32" s="85"/>
      <c r="F32" s="179"/>
      <c r="G32" s="180" t="s">
        <v>802</v>
      </c>
    </row>
    <row r="33" spans="1:7" ht="21.25" customHeight="1" x14ac:dyDescent="0.15">
      <c r="A33" s="10" t="s">
        <v>181</v>
      </c>
      <c r="B33" s="178">
        <v>35.200000000000003</v>
      </c>
      <c r="C33" s="178">
        <v>40.299999999999997</v>
      </c>
      <c r="D33" s="178" cm="1">
        <f t="array" ref="D33">IFERROR(AVERAGE(B33:C33),"—")</f>
        <v>37.75</v>
      </c>
      <c r="E33" s="85"/>
      <c r="F33" s="179">
        <v>8500000</v>
      </c>
      <c r="G33" s="180" t="s">
        <v>87</v>
      </c>
    </row>
    <row r="34" spans="1:7" ht="21.25" customHeight="1" x14ac:dyDescent="0.15">
      <c r="A34" s="10" t="s">
        <v>188</v>
      </c>
      <c r="B34" s="178">
        <v>44.6</v>
      </c>
      <c r="C34" s="178">
        <v>33</v>
      </c>
      <c r="D34" s="178" cm="1">
        <f t="array" ref="D34">IFERROR(AVERAGE(B34:C34),"—")</f>
        <v>38.799999999999997</v>
      </c>
      <c r="E34" s="85"/>
      <c r="F34" s="179">
        <v>12000000</v>
      </c>
      <c r="G34" s="180" t="s">
        <v>802</v>
      </c>
    </row>
    <row r="35" spans="1:7" ht="21.25" customHeight="1" x14ac:dyDescent="0.15">
      <c r="A35" s="10" t="s">
        <v>195</v>
      </c>
      <c r="B35" s="178">
        <v>37.200000000000003</v>
      </c>
      <c r="C35" s="178">
        <v>40.6</v>
      </c>
      <c r="D35" s="178" cm="1">
        <f t="array" ref="D35">IFERROR(AVERAGE(B35:C35),"—")</f>
        <v>38.900000000000006</v>
      </c>
      <c r="E35" s="85"/>
      <c r="F35" s="179">
        <v>6500000</v>
      </c>
      <c r="G35" s="180" t="s">
        <v>802</v>
      </c>
    </row>
    <row r="36" spans="1:7" ht="21.25" customHeight="1" x14ac:dyDescent="0.15">
      <c r="A36" s="10" t="s">
        <v>201</v>
      </c>
      <c r="B36" s="178">
        <v>43.1</v>
      </c>
      <c r="C36" s="178">
        <v>36.299999999999997</v>
      </c>
      <c r="D36" s="178" cm="1">
        <f t="array" ref="D36">IFERROR(AVERAGE(B36:C36),"—")</f>
        <v>39.700000000000003</v>
      </c>
      <c r="E36" s="85"/>
      <c r="F36" s="179">
        <v>8625000</v>
      </c>
      <c r="G36" s="180" t="s">
        <v>802</v>
      </c>
    </row>
    <row r="37" spans="1:7" ht="21.25" customHeight="1" x14ac:dyDescent="0.15">
      <c r="A37" s="10" t="s">
        <v>168</v>
      </c>
      <c r="B37" s="178">
        <v>39.6</v>
      </c>
      <c r="C37" s="178">
        <v>42</v>
      </c>
      <c r="D37" s="178" cm="1">
        <f t="array" ref="D37">IFERROR(AVERAGE(B37:C37),"—")</f>
        <v>40.799999999999997</v>
      </c>
      <c r="E37" s="85"/>
      <c r="F37" s="179">
        <v>7142000</v>
      </c>
      <c r="G37" s="180" t="s">
        <v>84</v>
      </c>
    </row>
    <row r="38" spans="1:7" ht="21.25" customHeight="1" x14ac:dyDescent="0.15">
      <c r="A38" s="10" t="s">
        <v>182</v>
      </c>
      <c r="B38" s="178">
        <v>49.7</v>
      </c>
      <c r="C38" s="178">
        <v>34.4</v>
      </c>
      <c r="D38" s="178" cm="1">
        <f t="array" ref="D38">IFERROR(AVERAGE(B38:C38),"—")</f>
        <v>42.05</v>
      </c>
      <c r="E38" s="85"/>
      <c r="F38" s="179">
        <v>11000000</v>
      </c>
      <c r="G38" s="180" t="s">
        <v>88</v>
      </c>
    </row>
    <row r="39" spans="1:7" ht="21.25" customHeight="1" x14ac:dyDescent="0.15">
      <c r="A39" s="10" t="s">
        <v>211</v>
      </c>
      <c r="B39" s="178">
        <v>47.2</v>
      </c>
      <c r="C39" s="178">
        <v>37.200000000000003</v>
      </c>
      <c r="D39" s="178" cm="1">
        <f t="array" ref="D39">IFERROR(AVERAGE(B39:C39),"—")</f>
        <v>42.2</v>
      </c>
      <c r="E39" s="85"/>
      <c r="F39" s="179">
        <v>8350000</v>
      </c>
      <c r="G39" s="180" t="s">
        <v>802</v>
      </c>
    </row>
    <row r="40" spans="1:7" ht="21.25" customHeight="1" x14ac:dyDescent="0.15">
      <c r="A40" s="10" t="s">
        <v>169</v>
      </c>
      <c r="B40" s="178">
        <v>45.1</v>
      </c>
      <c r="C40" s="178">
        <v>40</v>
      </c>
      <c r="D40" s="178" cm="1">
        <f t="array" ref="D40">IFERROR(AVERAGE(B40:C40),"—")</f>
        <v>42.55</v>
      </c>
      <c r="E40" s="85"/>
      <c r="F40" s="179">
        <v>7150000</v>
      </c>
      <c r="G40" s="180" t="s">
        <v>802</v>
      </c>
    </row>
    <row r="41" spans="1:7" ht="21.25" customHeight="1" x14ac:dyDescent="0.15">
      <c r="A41" s="10" t="s">
        <v>165</v>
      </c>
      <c r="B41" s="178">
        <v>43.3</v>
      </c>
      <c r="C41" s="178">
        <v>44.3</v>
      </c>
      <c r="D41" s="178" cm="1">
        <f t="array" ref="D41">IFERROR(AVERAGE(B41:C41),"—")</f>
        <v>43.8</v>
      </c>
      <c r="E41" s="85"/>
      <c r="F41" s="179">
        <v>18000000</v>
      </c>
      <c r="G41" s="180" t="s">
        <v>84</v>
      </c>
    </row>
    <row r="42" spans="1:7" ht="21.25" customHeight="1" x14ac:dyDescent="0.15">
      <c r="A42" s="10" t="s">
        <v>190</v>
      </c>
      <c r="B42" s="178">
        <v>56.1</v>
      </c>
      <c r="C42" s="178">
        <v>32.1</v>
      </c>
      <c r="D42" s="178" cm="1">
        <f t="array" ref="D42">IFERROR(AVERAGE(B42:C42),"—")</f>
        <v>44.1</v>
      </c>
      <c r="E42" s="85"/>
      <c r="F42" s="179">
        <v>8500000</v>
      </c>
      <c r="G42" s="180" t="s">
        <v>802</v>
      </c>
    </row>
    <row r="43" spans="1:7" ht="21.25" customHeight="1" x14ac:dyDescent="0.15">
      <c r="A43" s="10" t="s">
        <v>176</v>
      </c>
      <c r="B43" s="178">
        <v>42.1</v>
      </c>
      <c r="C43" s="178">
        <v>46.7</v>
      </c>
      <c r="D43" s="178" cm="1">
        <f t="array" ref="D43">IFERROR(AVERAGE(B43:C43),"—")</f>
        <v>44.400000000000006</v>
      </c>
      <c r="E43" s="85"/>
      <c r="F43" s="179">
        <v>7875000</v>
      </c>
      <c r="G43" s="180" t="s">
        <v>802</v>
      </c>
    </row>
    <row r="44" spans="1:7" ht="21.25" customHeight="1" x14ac:dyDescent="0.15">
      <c r="A44" s="10" t="s">
        <v>146</v>
      </c>
      <c r="B44" s="178">
        <v>55.9</v>
      </c>
      <c r="C44" s="178">
        <v>39</v>
      </c>
      <c r="D44" s="178" cm="1">
        <f t="array" ref="D44">IFERROR(AVERAGE(B44:C44),"—")</f>
        <v>47.45</v>
      </c>
      <c r="E44" s="85"/>
      <c r="F44" s="179">
        <v>8550000</v>
      </c>
      <c r="G44" s="180" t="s">
        <v>802</v>
      </c>
    </row>
    <row r="45" spans="1:7" ht="21.25" customHeight="1" x14ac:dyDescent="0.15">
      <c r="A45" s="10" t="s">
        <v>153</v>
      </c>
      <c r="B45" s="178">
        <v>11.9</v>
      </c>
      <c r="C45" s="178">
        <v>83.5</v>
      </c>
      <c r="D45" s="178" cm="1">
        <f t="array" ref="D45">IFERROR(AVERAGE(B45:C45),"—")</f>
        <v>47.7</v>
      </c>
      <c r="E45" s="85"/>
      <c r="F45" s="179">
        <v>9500000</v>
      </c>
      <c r="G45" s="180" t="s">
        <v>802</v>
      </c>
    </row>
    <row r="46" spans="1:7" ht="21.25" customHeight="1" x14ac:dyDescent="0.15">
      <c r="A46" s="10" t="s">
        <v>150</v>
      </c>
      <c r="B46" s="178">
        <v>58</v>
      </c>
      <c r="C46" s="178">
        <v>40.5</v>
      </c>
      <c r="D46" s="178" cm="1">
        <f t="array" ref="D46">IFERROR(AVERAGE(B46:C46),"—")</f>
        <v>49.25</v>
      </c>
      <c r="E46" s="85"/>
      <c r="F46" s="179">
        <v>9500000</v>
      </c>
      <c r="G46" s="180" t="s">
        <v>802</v>
      </c>
    </row>
    <row r="47" spans="1:7" ht="21.25" customHeight="1" x14ac:dyDescent="0.15">
      <c r="A47" s="10" t="s">
        <v>213</v>
      </c>
      <c r="B47" s="178">
        <v>52.7</v>
      </c>
      <c r="C47" s="178">
        <v>48.2</v>
      </c>
      <c r="D47" s="178" cm="1">
        <f t="array" ref="D47">IFERROR(AVERAGE(B47:C47),"—")</f>
        <v>50.45</v>
      </c>
      <c r="E47" s="85"/>
      <c r="F47" s="179">
        <v>10625000</v>
      </c>
      <c r="G47" s="180" t="s">
        <v>802</v>
      </c>
    </row>
    <row r="48" spans="1:7" ht="21.25" customHeight="1" x14ac:dyDescent="0.15">
      <c r="A48" s="10" t="s">
        <v>160</v>
      </c>
      <c r="B48" s="178">
        <v>54.7</v>
      </c>
      <c r="C48" s="178">
        <v>47.1</v>
      </c>
      <c r="D48" s="178" cm="1">
        <f t="array" ref="D48">IFERROR(AVERAGE(B48:C48),"—")</f>
        <v>50.900000000000006</v>
      </c>
      <c r="E48" s="85"/>
      <c r="F48" s="179">
        <v>9000000</v>
      </c>
      <c r="G48" s="180" t="s">
        <v>802</v>
      </c>
    </row>
    <row r="49" spans="1:7" ht="21.25" customHeight="1" x14ac:dyDescent="0.15">
      <c r="A49" s="10" t="s">
        <v>173</v>
      </c>
      <c r="B49" s="178">
        <v>52.4</v>
      </c>
      <c r="C49" s="178">
        <v>50.3</v>
      </c>
      <c r="D49" s="178" cm="1">
        <f t="array" ref="D49">IFERROR(AVERAGE(B49:C49),"—")</f>
        <v>51.349999999999994</v>
      </c>
      <c r="E49" s="85"/>
      <c r="F49" s="179">
        <v>10000000</v>
      </c>
      <c r="G49" s="180" t="s">
        <v>802</v>
      </c>
    </row>
    <row r="50" spans="1:7" ht="21.25" customHeight="1" x14ac:dyDescent="0.15">
      <c r="A50" s="10" t="s">
        <v>175</v>
      </c>
      <c r="B50" s="178">
        <v>52.6</v>
      </c>
      <c r="C50" s="178">
        <v>50.4</v>
      </c>
      <c r="D50" s="178" cm="1">
        <f t="array" ref="D50">IFERROR(AVERAGE(B50:C50),"—")</f>
        <v>51.5</v>
      </c>
      <c r="E50" s="85"/>
      <c r="F50" s="179">
        <v>8700000</v>
      </c>
      <c r="G50" s="180" t="s">
        <v>802</v>
      </c>
    </row>
    <row r="51" spans="1:7" ht="21.25" customHeight="1" x14ac:dyDescent="0.15">
      <c r="A51" s="10" t="s">
        <v>158</v>
      </c>
      <c r="B51" s="178">
        <v>50.4</v>
      </c>
      <c r="C51" s="178">
        <v>53.1</v>
      </c>
      <c r="D51" s="178" cm="1">
        <f t="array" ref="D51">IFERROR(AVERAGE(B51:C51),"—")</f>
        <v>51.75</v>
      </c>
      <c r="E51" s="85"/>
      <c r="F51" s="179">
        <v>8500000</v>
      </c>
      <c r="G51" s="180" t="s">
        <v>802</v>
      </c>
    </row>
    <row r="52" spans="1:7" ht="21.25" customHeight="1" x14ac:dyDescent="0.15">
      <c r="A52" s="10" t="s">
        <v>231</v>
      </c>
      <c r="B52" s="178">
        <v>52.7</v>
      </c>
      <c r="C52" s="178">
        <v>52.6</v>
      </c>
      <c r="D52" s="178" cm="1">
        <f t="array" ref="D52">IFERROR(AVERAGE(B52:C52),"—")</f>
        <v>52.650000000000006</v>
      </c>
      <c r="E52" s="85"/>
      <c r="F52" s="179">
        <v>7600000</v>
      </c>
      <c r="G52" s="180" t="s">
        <v>802</v>
      </c>
    </row>
    <row r="53" spans="1:7" ht="21.25" customHeight="1" x14ac:dyDescent="0.15">
      <c r="A53" s="10" t="s">
        <v>215</v>
      </c>
      <c r="B53" s="178">
        <v>62.5</v>
      </c>
      <c r="C53" s="178">
        <v>45.4</v>
      </c>
      <c r="D53" s="178" cm="1">
        <f t="array" ref="D53">IFERROR(AVERAGE(B53:C53),"—")</f>
        <v>53.95</v>
      </c>
      <c r="E53" s="85"/>
      <c r="F53" s="179">
        <v>15000000</v>
      </c>
      <c r="G53" s="180" t="s">
        <v>84</v>
      </c>
    </row>
    <row r="54" spans="1:7" ht="21.25" customHeight="1" x14ac:dyDescent="0.15">
      <c r="A54" s="10" t="s">
        <v>152</v>
      </c>
      <c r="B54" s="178">
        <v>63.7</v>
      </c>
      <c r="C54" s="178">
        <v>50</v>
      </c>
      <c r="D54" s="178" cm="1">
        <f t="array" ref="D54">IFERROR(AVERAGE(B54:C54),"—")</f>
        <v>56.85</v>
      </c>
      <c r="E54" s="85"/>
      <c r="F54" s="179">
        <v>8050000</v>
      </c>
      <c r="G54" s="180" t="s">
        <v>802</v>
      </c>
    </row>
    <row r="55" spans="1:7" ht="21.25" customHeight="1" x14ac:dyDescent="0.15">
      <c r="A55" s="10" t="s">
        <v>207</v>
      </c>
      <c r="B55" s="178">
        <v>60.4</v>
      </c>
      <c r="C55" s="178">
        <v>65</v>
      </c>
      <c r="D55" s="178" cm="1">
        <f t="array" ref="D55">IFERROR(AVERAGE(B55:C55),"—")</f>
        <v>62.7</v>
      </c>
      <c r="E55" s="85"/>
      <c r="F55" s="179">
        <v>3850000</v>
      </c>
      <c r="G55" s="180" t="s">
        <v>802</v>
      </c>
    </row>
    <row r="56" spans="1:7" ht="21.25" customHeight="1" x14ac:dyDescent="0.15">
      <c r="A56" s="10" t="s">
        <v>151</v>
      </c>
      <c r="B56" s="178">
        <v>26.6</v>
      </c>
      <c r="C56" s="178">
        <v>105.9</v>
      </c>
      <c r="D56" s="178" cm="1">
        <f t="array" ref="D56">IFERROR(AVERAGE(B56:C56),"—")</f>
        <v>66.25</v>
      </c>
      <c r="E56" s="85"/>
      <c r="F56" s="179">
        <v>8500000</v>
      </c>
      <c r="G56" s="180" t="s">
        <v>802</v>
      </c>
    </row>
    <row r="57" spans="1:7" ht="21.25" customHeight="1" x14ac:dyDescent="0.15">
      <c r="A57" s="10" t="s">
        <v>157</v>
      </c>
      <c r="B57" s="178">
        <v>79.900000000000006</v>
      </c>
      <c r="C57" s="178">
        <v>53.4</v>
      </c>
      <c r="D57" s="178" cm="1">
        <f t="array" ref="D57">IFERROR(AVERAGE(B57:C57),"—")</f>
        <v>66.650000000000006</v>
      </c>
      <c r="E57" s="85"/>
      <c r="F57" s="179">
        <v>9059000</v>
      </c>
      <c r="G57" s="180" t="s">
        <v>802</v>
      </c>
    </row>
    <row r="58" spans="1:7" ht="21.25" customHeight="1" x14ac:dyDescent="0.15">
      <c r="A58" s="10" t="s">
        <v>178</v>
      </c>
      <c r="B58" s="178">
        <v>72.599999999999994</v>
      </c>
      <c r="C58" s="178">
        <v>61</v>
      </c>
      <c r="D58" s="178" cm="1">
        <f t="array" ref="D58">IFERROR(AVERAGE(B58:C58),"—")</f>
        <v>66.8</v>
      </c>
      <c r="E58" s="85"/>
      <c r="F58" s="179">
        <v>8450000</v>
      </c>
      <c r="G58" s="180" t="s">
        <v>802</v>
      </c>
    </row>
    <row r="59" spans="1:7" ht="21.25" customHeight="1" x14ac:dyDescent="0.15">
      <c r="A59" s="10" t="s">
        <v>210</v>
      </c>
      <c r="B59" s="178">
        <v>75</v>
      </c>
      <c r="C59" s="178">
        <v>59.4</v>
      </c>
      <c r="D59" s="178" cm="1">
        <f t="array" ref="D59">IFERROR(AVERAGE(B59:C59),"—")</f>
        <v>67.2</v>
      </c>
      <c r="E59" s="85"/>
      <c r="F59" s="179">
        <v>7875000</v>
      </c>
      <c r="G59" s="180" t="s">
        <v>802</v>
      </c>
    </row>
    <row r="60" spans="1:7" ht="21.25" customHeight="1" x14ac:dyDescent="0.15">
      <c r="A60" s="10" t="s">
        <v>197</v>
      </c>
      <c r="B60" s="178">
        <v>81.400000000000006</v>
      </c>
      <c r="C60" s="178">
        <v>57.8</v>
      </c>
      <c r="D60" s="178" cm="1">
        <f t="array" ref="D60">IFERROR(AVERAGE(B60:C60),"—")</f>
        <v>69.599999999999994</v>
      </c>
      <c r="E60" s="85"/>
      <c r="F60" s="179">
        <v>9750000</v>
      </c>
      <c r="G60" s="180" t="s">
        <v>802</v>
      </c>
    </row>
    <row r="61" spans="1:7" ht="21.25" customHeight="1" x14ac:dyDescent="0.15">
      <c r="A61" s="10" t="s">
        <v>193</v>
      </c>
      <c r="B61" s="178">
        <v>69.5</v>
      </c>
      <c r="C61" s="178">
        <v>71</v>
      </c>
      <c r="D61" s="178" cm="1">
        <f t="array" ref="D61">IFERROR(AVERAGE(B61:C61),"—")</f>
        <v>70.25</v>
      </c>
      <c r="E61" s="85"/>
      <c r="F61" s="179">
        <v>8075000</v>
      </c>
      <c r="G61" s="180" t="s">
        <v>85</v>
      </c>
    </row>
    <row r="62" spans="1:7" ht="21.25" customHeight="1" x14ac:dyDescent="0.15">
      <c r="A62" s="10" t="s">
        <v>166</v>
      </c>
      <c r="B62" s="178">
        <v>28.6</v>
      </c>
      <c r="C62" s="178">
        <v>112.2</v>
      </c>
      <c r="D62" s="178" cm="1">
        <f t="array" ref="D62">IFERROR(AVERAGE(B62:C62),"—")</f>
        <v>70.400000000000006</v>
      </c>
      <c r="E62" s="85"/>
      <c r="F62" s="179">
        <v>5850000</v>
      </c>
      <c r="G62" s="180" t="s">
        <v>802</v>
      </c>
    </row>
    <row r="63" spans="1:7" ht="21.25" customHeight="1" x14ac:dyDescent="0.15">
      <c r="A63" s="10" t="s">
        <v>161</v>
      </c>
      <c r="B63" s="178">
        <v>79.5</v>
      </c>
      <c r="C63" s="178">
        <v>61.5</v>
      </c>
      <c r="D63" s="178" cm="1">
        <f t="array" ref="D63">IFERROR(AVERAGE(B63:C63),"—")</f>
        <v>70.5</v>
      </c>
      <c r="E63" s="85"/>
      <c r="F63" s="179">
        <v>9000000</v>
      </c>
      <c r="G63" s="180" t="s">
        <v>85</v>
      </c>
    </row>
    <row r="64" spans="1:7" ht="21.25" customHeight="1" x14ac:dyDescent="0.15">
      <c r="A64" s="10" t="s">
        <v>194</v>
      </c>
      <c r="B64" s="178">
        <v>24.6</v>
      </c>
      <c r="C64" s="178">
        <v>120.1</v>
      </c>
      <c r="D64" s="178" cm="1">
        <f t="array" ref="D64">IFERROR(AVERAGE(B64:C64),"—")</f>
        <v>72.349999999999994</v>
      </c>
      <c r="E64" s="85"/>
      <c r="F64" s="179">
        <v>8250000</v>
      </c>
      <c r="G64" s="180" t="s">
        <v>802</v>
      </c>
    </row>
    <row r="65" spans="1:7" ht="21.25" customHeight="1" x14ac:dyDescent="0.15">
      <c r="A65" s="10" t="s">
        <v>295</v>
      </c>
      <c r="B65" s="178">
        <v>69.099999999999994</v>
      </c>
      <c r="C65" s="178">
        <v>76.2</v>
      </c>
      <c r="D65" s="178" cm="1">
        <f t="array" ref="D65">IFERROR(AVERAGE(B65:C65),"—")</f>
        <v>72.650000000000006</v>
      </c>
      <c r="E65" s="85"/>
      <c r="F65" s="179">
        <v>966667</v>
      </c>
      <c r="G65" s="180" t="s">
        <v>88</v>
      </c>
    </row>
    <row r="66" spans="1:7" ht="21.25" customHeight="1" x14ac:dyDescent="0.15">
      <c r="A66" s="10" t="s">
        <v>184</v>
      </c>
      <c r="B66" s="178">
        <v>85.1</v>
      </c>
      <c r="C66" s="178">
        <v>60.4</v>
      </c>
      <c r="D66" s="178" cm="1">
        <f t="array" ref="D66">IFERROR(AVERAGE(B66:C66),"—")</f>
        <v>72.75</v>
      </c>
      <c r="E66" s="85"/>
      <c r="F66" s="179">
        <v>8500000</v>
      </c>
      <c r="G66" s="180" t="s">
        <v>85</v>
      </c>
    </row>
    <row r="67" spans="1:7" ht="21.25" customHeight="1" x14ac:dyDescent="0.15">
      <c r="A67" s="10" t="s">
        <v>228</v>
      </c>
      <c r="B67" s="178">
        <v>84.1</v>
      </c>
      <c r="C67" s="178">
        <v>62.2</v>
      </c>
      <c r="D67" s="178" cm="1">
        <f t="array" ref="D67">IFERROR(AVERAGE(B67:C67),"—")</f>
        <v>73.150000000000006</v>
      </c>
      <c r="E67" s="85"/>
      <c r="F67" s="179">
        <v>9500000</v>
      </c>
      <c r="G67" s="180" t="s">
        <v>85</v>
      </c>
    </row>
    <row r="68" spans="1:7" ht="21.25" customHeight="1" x14ac:dyDescent="0.15">
      <c r="A68" s="10" t="s">
        <v>163</v>
      </c>
      <c r="B68" s="178">
        <v>86.6</v>
      </c>
      <c r="C68" s="178">
        <v>63.1</v>
      </c>
      <c r="D68" s="178" cm="1">
        <f t="array" ref="D68">IFERROR(AVERAGE(B68:C68),"—")</f>
        <v>74.849999999999994</v>
      </c>
      <c r="E68" s="85"/>
      <c r="F68" s="179">
        <v>6250000</v>
      </c>
      <c r="G68" s="180" t="s">
        <v>802</v>
      </c>
    </row>
    <row r="69" spans="1:7" ht="21.25" customHeight="1" x14ac:dyDescent="0.15">
      <c r="A69" s="10" t="s">
        <v>189</v>
      </c>
      <c r="B69" s="178">
        <v>75.099999999999994</v>
      </c>
      <c r="C69" s="178">
        <v>76.400000000000006</v>
      </c>
      <c r="D69" s="178" cm="1">
        <f t="array" ref="D69">IFERROR(AVERAGE(B69:C69),"—")</f>
        <v>75.75</v>
      </c>
      <c r="E69" s="85"/>
      <c r="F69" s="179">
        <v>10000000</v>
      </c>
      <c r="G69" s="180" t="s">
        <v>802</v>
      </c>
    </row>
    <row r="70" spans="1:7" ht="21.25" customHeight="1" x14ac:dyDescent="0.15">
      <c r="A70" s="10" t="s">
        <v>240</v>
      </c>
      <c r="B70" s="178">
        <v>70.599999999999994</v>
      </c>
      <c r="C70" s="178">
        <v>81.599999999999994</v>
      </c>
      <c r="D70" s="178" cm="1">
        <f t="array" ref="D70">IFERROR(AVERAGE(B70:C70),"—")</f>
        <v>76.099999999999994</v>
      </c>
      <c r="E70" s="85"/>
      <c r="F70" s="179">
        <v>11000000</v>
      </c>
      <c r="G70" s="180" t="s">
        <v>802</v>
      </c>
    </row>
    <row r="71" spans="1:7" ht="21.25" customHeight="1" x14ac:dyDescent="0.15">
      <c r="A71" s="10" t="s">
        <v>198</v>
      </c>
      <c r="B71" s="178">
        <v>91.9</v>
      </c>
      <c r="C71" s="178">
        <v>60.6</v>
      </c>
      <c r="D71" s="178" cm="1">
        <f t="array" ref="D71">IFERROR(AVERAGE(B71:C71),"—")</f>
        <v>76.25</v>
      </c>
      <c r="E71" s="85"/>
      <c r="F71" s="179">
        <v>8500000</v>
      </c>
      <c r="G71" s="180" t="s">
        <v>802</v>
      </c>
    </row>
    <row r="72" spans="1:7" ht="21.25" customHeight="1" x14ac:dyDescent="0.15">
      <c r="A72" s="10" t="s">
        <v>222</v>
      </c>
      <c r="B72" s="178">
        <v>74</v>
      </c>
      <c r="C72" s="178">
        <v>81.5</v>
      </c>
      <c r="D72" s="178" cm="1">
        <f t="array" ref="D72">IFERROR(AVERAGE(B72:C72),"—")</f>
        <v>77.75</v>
      </c>
      <c r="E72" s="85"/>
      <c r="F72" s="179">
        <v>8125000</v>
      </c>
      <c r="G72" s="180" t="s">
        <v>802</v>
      </c>
    </row>
    <row r="73" spans="1:7" ht="21.25" customHeight="1" x14ac:dyDescent="0.15">
      <c r="A73" s="10" t="s">
        <v>282</v>
      </c>
      <c r="B73" s="178">
        <v>81.099999999999994</v>
      </c>
      <c r="C73" s="178">
        <v>75.8</v>
      </c>
      <c r="D73" s="178" cm="1">
        <f t="array" ref="D73">IFERROR(AVERAGE(B73:C73),"—")</f>
        <v>78.449999999999989</v>
      </c>
      <c r="E73" s="85"/>
      <c r="F73" s="179">
        <v>4975000</v>
      </c>
      <c r="G73" s="180" t="s">
        <v>802</v>
      </c>
    </row>
    <row r="74" spans="1:7" ht="21.25" customHeight="1" x14ac:dyDescent="0.15">
      <c r="A74" s="10" t="s">
        <v>174</v>
      </c>
      <c r="B74" s="178">
        <v>35.6</v>
      </c>
      <c r="C74" s="178">
        <v>123.4</v>
      </c>
      <c r="D74" s="178" cm="1">
        <f t="array" ref="D74">IFERROR(AVERAGE(B74:C74),"—")</f>
        <v>79.5</v>
      </c>
      <c r="E74" s="85"/>
      <c r="F74" s="179">
        <v>8250000</v>
      </c>
      <c r="G74" s="180" t="s">
        <v>802</v>
      </c>
    </row>
    <row r="75" spans="1:7" ht="21.25" customHeight="1" x14ac:dyDescent="0.15">
      <c r="A75" s="10" t="s">
        <v>224</v>
      </c>
      <c r="B75" s="178">
        <v>63.4</v>
      </c>
      <c r="C75" s="178">
        <v>98</v>
      </c>
      <c r="D75" s="178" cm="1">
        <f t="array" ref="D75">IFERROR(AVERAGE(B75:C75),"—")</f>
        <v>80.7</v>
      </c>
      <c r="E75" s="85"/>
      <c r="F75" s="179">
        <v>950000</v>
      </c>
      <c r="G75" s="180" t="s">
        <v>84</v>
      </c>
    </row>
    <row r="76" spans="1:7" ht="21.25" customHeight="1" x14ac:dyDescent="0.15">
      <c r="A76" s="10" t="s">
        <v>187</v>
      </c>
      <c r="B76" s="178">
        <v>93</v>
      </c>
      <c r="C76" s="178">
        <v>69.400000000000006</v>
      </c>
      <c r="D76" s="178" cm="1">
        <f t="array" ref="D76">IFERROR(AVERAGE(B76:C76),"—")</f>
        <v>81.2</v>
      </c>
      <c r="E76" s="85"/>
      <c r="F76" s="179">
        <v>8500000</v>
      </c>
      <c r="G76" s="180" t="s">
        <v>802</v>
      </c>
    </row>
    <row r="77" spans="1:7" ht="21.25" customHeight="1" x14ac:dyDescent="0.15">
      <c r="A77" s="10" t="s">
        <v>243</v>
      </c>
      <c r="B77" s="178">
        <v>105.6</v>
      </c>
      <c r="C77" s="178">
        <v>58.2</v>
      </c>
      <c r="D77" s="178" cm="1">
        <f t="array" ref="D77">IFERROR(AVERAGE(B77:C77),"—")</f>
        <v>81.900000000000006</v>
      </c>
      <c r="E77" s="85"/>
      <c r="F77" s="179">
        <v>7750000</v>
      </c>
      <c r="G77" s="180" t="s">
        <v>802</v>
      </c>
    </row>
    <row r="78" spans="1:7" ht="21.25" customHeight="1" x14ac:dyDescent="0.15">
      <c r="A78" s="10" t="s">
        <v>186</v>
      </c>
      <c r="B78" s="178">
        <v>99.6</v>
      </c>
      <c r="C78" s="178">
        <v>65.8</v>
      </c>
      <c r="D78" s="178" cm="1">
        <f t="array" ref="D78">IFERROR(AVERAGE(B78:C78),"—")</f>
        <v>82.699999999999989</v>
      </c>
      <c r="E78" s="85"/>
      <c r="F78" s="179">
        <v>9500000</v>
      </c>
      <c r="G78" s="180" t="s">
        <v>802</v>
      </c>
    </row>
    <row r="79" spans="1:7" ht="21.25" customHeight="1" x14ac:dyDescent="0.15">
      <c r="A79" s="10" t="s">
        <v>177</v>
      </c>
      <c r="B79" s="178">
        <v>39.6</v>
      </c>
      <c r="C79" s="178">
        <v>126.3</v>
      </c>
      <c r="D79" s="178" cm="1">
        <f t="array" ref="D79">IFERROR(AVERAGE(B79:C79),"—")</f>
        <v>82.95</v>
      </c>
      <c r="E79" s="85"/>
      <c r="F79" s="179">
        <v>11503000</v>
      </c>
      <c r="G79" s="180" t="s">
        <v>802</v>
      </c>
    </row>
    <row r="80" spans="1:7" ht="21.25" customHeight="1" x14ac:dyDescent="0.15">
      <c r="A80" s="10" t="s">
        <v>203</v>
      </c>
      <c r="B80" s="178">
        <v>93.3</v>
      </c>
      <c r="C80" s="178">
        <v>74.400000000000006</v>
      </c>
      <c r="D80" s="178" cm="1">
        <f t="array" ref="D80">IFERROR(AVERAGE(B80:C80),"—")</f>
        <v>83.85</v>
      </c>
      <c r="E80" s="85"/>
      <c r="F80" s="179">
        <v>8700000</v>
      </c>
      <c r="G80" s="180" t="s">
        <v>802</v>
      </c>
    </row>
    <row r="81" spans="1:7" ht="21.25" customHeight="1" x14ac:dyDescent="0.15">
      <c r="A81" s="10" t="s">
        <v>271</v>
      </c>
      <c r="B81" s="178">
        <v>99</v>
      </c>
      <c r="C81" s="178">
        <v>74.7</v>
      </c>
      <c r="D81" s="178" cm="1">
        <f t="array" ref="D81">IFERROR(AVERAGE(B81:C81),"—")</f>
        <v>86.85</v>
      </c>
      <c r="E81" s="85"/>
      <c r="F81" s="179">
        <v>5500000</v>
      </c>
      <c r="G81" s="180" t="s">
        <v>802</v>
      </c>
    </row>
    <row r="82" spans="1:7" ht="21.25" customHeight="1" x14ac:dyDescent="0.15">
      <c r="A82" s="10" t="s">
        <v>252</v>
      </c>
      <c r="B82" s="178">
        <v>101.3</v>
      </c>
      <c r="C82" s="178">
        <v>75.5</v>
      </c>
      <c r="D82" s="178" cm="1">
        <f t="array" ref="D82">IFERROR(AVERAGE(B82:C82),"—")</f>
        <v>88.4</v>
      </c>
      <c r="E82" s="85"/>
      <c r="F82" s="179">
        <v>10500000</v>
      </c>
      <c r="G82" s="180" t="s">
        <v>802</v>
      </c>
    </row>
    <row r="83" spans="1:7" ht="21.25" customHeight="1" x14ac:dyDescent="0.15">
      <c r="A83" s="10" t="s">
        <v>257</v>
      </c>
      <c r="B83" s="178">
        <v>84.8</v>
      </c>
      <c r="C83" s="178">
        <v>93</v>
      </c>
      <c r="D83" s="178" cm="1">
        <f t="array" ref="D83">IFERROR(AVERAGE(B83:C83),"—")</f>
        <v>88.9</v>
      </c>
      <c r="E83" s="85"/>
      <c r="F83" s="179">
        <v>940833</v>
      </c>
      <c r="G83" s="180" t="s">
        <v>85</v>
      </c>
    </row>
    <row r="84" spans="1:7" ht="21.25" customHeight="1" x14ac:dyDescent="0.15">
      <c r="A84" s="10" t="s">
        <v>359</v>
      </c>
      <c r="B84" s="178">
        <v>94</v>
      </c>
      <c r="C84" s="178">
        <v>85.5</v>
      </c>
      <c r="D84" s="178" cm="1">
        <f t="array" ref="D84">IFERROR(AVERAGE(B84:C84),"—")</f>
        <v>89.75</v>
      </c>
      <c r="E84" s="85"/>
      <c r="F84" s="179">
        <v>4250000</v>
      </c>
      <c r="G84" s="180" t="s">
        <v>802</v>
      </c>
    </row>
    <row r="85" spans="1:7" ht="21.25" customHeight="1" x14ac:dyDescent="0.15">
      <c r="A85" s="10" t="s">
        <v>167</v>
      </c>
      <c r="B85" s="178">
        <v>104.6</v>
      </c>
      <c r="C85" s="178">
        <v>75.2</v>
      </c>
      <c r="D85" s="178" cm="1">
        <f t="array" ref="D85">IFERROR(AVERAGE(B85:C85),"—")</f>
        <v>89.9</v>
      </c>
      <c r="E85" s="85"/>
      <c r="F85" s="179">
        <v>7400000</v>
      </c>
      <c r="G85" s="180" t="s">
        <v>85</v>
      </c>
    </row>
    <row r="86" spans="1:7" ht="21.25" customHeight="1" x14ac:dyDescent="0.15">
      <c r="A86" s="10" t="s">
        <v>258</v>
      </c>
      <c r="B86" s="178">
        <v>112.2</v>
      </c>
      <c r="C86" s="178">
        <v>71.5</v>
      </c>
      <c r="D86" s="178" cm="1">
        <f t="array" ref="D86">IFERROR(AVERAGE(B86:C86),"—")</f>
        <v>91.85</v>
      </c>
      <c r="E86" s="85"/>
      <c r="F86" s="179">
        <v>8000000</v>
      </c>
      <c r="G86" s="180" t="s">
        <v>802</v>
      </c>
    </row>
    <row r="87" spans="1:7" ht="21.25" customHeight="1" x14ac:dyDescent="0.15">
      <c r="A87" s="10" t="s">
        <v>217</v>
      </c>
      <c r="B87" s="178">
        <v>97.2</v>
      </c>
      <c r="C87" s="178">
        <v>89.8</v>
      </c>
      <c r="D87" s="178" cm="1">
        <f t="array" ref="D87">IFERROR(AVERAGE(B87:C87),"—")</f>
        <v>93.5</v>
      </c>
      <c r="E87" s="85"/>
      <c r="F87" s="179">
        <v>3200000</v>
      </c>
      <c r="G87" s="180" t="s">
        <v>802</v>
      </c>
    </row>
    <row r="88" spans="1:7" ht="21.25" customHeight="1" x14ac:dyDescent="0.15">
      <c r="A88" s="10" t="s">
        <v>216</v>
      </c>
      <c r="B88" s="178">
        <v>93.9</v>
      </c>
      <c r="C88" s="178">
        <v>93.2</v>
      </c>
      <c r="D88" s="178" cm="1">
        <f t="array" ref="D88">IFERROR(AVERAGE(B88:C88),"—")</f>
        <v>93.550000000000011</v>
      </c>
      <c r="E88" s="85"/>
      <c r="F88" s="179"/>
      <c r="G88" s="180" t="s">
        <v>85</v>
      </c>
    </row>
    <row r="89" spans="1:7" ht="21.25" customHeight="1" x14ac:dyDescent="0.15">
      <c r="A89" s="10" t="s">
        <v>261</v>
      </c>
      <c r="B89" s="178">
        <v>118.9</v>
      </c>
      <c r="C89" s="178">
        <v>68.400000000000006</v>
      </c>
      <c r="D89" s="178" cm="1">
        <f t="array" ref="D89">IFERROR(AVERAGE(B89:C89),"—")</f>
        <v>93.65</v>
      </c>
      <c r="E89" s="85"/>
      <c r="F89" s="179">
        <v>7750000</v>
      </c>
      <c r="G89" s="180" t="s">
        <v>802</v>
      </c>
    </row>
    <row r="90" spans="1:7" ht="21.25" customHeight="1" x14ac:dyDescent="0.15">
      <c r="A90" s="10" t="s">
        <v>277</v>
      </c>
      <c r="B90" s="178">
        <v>96.8</v>
      </c>
      <c r="C90" s="178">
        <v>90.5</v>
      </c>
      <c r="D90" s="178" cm="1">
        <f t="array" ref="D90">IFERROR(AVERAGE(B90:C90),"—")</f>
        <v>93.65</v>
      </c>
      <c r="E90" s="85"/>
      <c r="F90" s="179">
        <v>8800000</v>
      </c>
      <c r="G90" s="180" t="s">
        <v>802</v>
      </c>
    </row>
    <row r="91" spans="1:7" ht="21.25" customHeight="1" x14ac:dyDescent="0.15">
      <c r="A91" s="10" t="s">
        <v>180</v>
      </c>
      <c r="B91" s="178">
        <v>96.3</v>
      </c>
      <c r="C91" s="178">
        <v>97.3</v>
      </c>
      <c r="D91" s="178" cm="1">
        <f t="array" ref="D91">IFERROR(AVERAGE(B91:C91),"—")</f>
        <v>96.8</v>
      </c>
      <c r="E91" s="85"/>
      <c r="F91" s="179">
        <v>9500000</v>
      </c>
      <c r="G91" s="180" t="s">
        <v>802</v>
      </c>
    </row>
    <row r="92" spans="1:7" ht="21.25" customHeight="1" x14ac:dyDescent="0.15">
      <c r="A92" s="10" t="s">
        <v>206</v>
      </c>
      <c r="B92" s="178">
        <v>83.5</v>
      </c>
      <c r="C92" s="178">
        <v>111</v>
      </c>
      <c r="D92" s="178" cm="1">
        <f t="array" ref="D92">IFERROR(AVERAGE(B92:C92),"—")</f>
        <v>97.25</v>
      </c>
      <c r="E92" s="85"/>
      <c r="F92" s="179">
        <v>8500000</v>
      </c>
      <c r="G92" s="180" t="s">
        <v>802</v>
      </c>
    </row>
    <row r="93" spans="1:7" ht="21.25" customHeight="1" x14ac:dyDescent="0.15">
      <c r="A93" s="10" t="s">
        <v>260</v>
      </c>
      <c r="B93" s="178">
        <v>106.1</v>
      </c>
      <c r="C93" s="178">
        <v>89</v>
      </c>
      <c r="D93" s="178" cm="1">
        <f t="array" ref="D93">IFERROR(AVERAGE(B93:C93),"—")</f>
        <v>97.55</v>
      </c>
      <c r="E93" s="85"/>
      <c r="F93" s="179">
        <v>9500000</v>
      </c>
      <c r="G93" s="180" t="s">
        <v>802</v>
      </c>
    </row>
    <row r="94" spans="1:7" ht="21.25" customHeight="1" x14ac:dyDescent="0.15">
      <c r="A94" s="10" t="s">
        <v>170</v>
      </c>
      <c r="B94" s="178">
        <v>100.7</v>
      </c>
      <c r="C94" s="178">
        <v>96.3</v>
      </c>
      <c r="D94" s="178" cm="1">
        <f t="array" ref="D94">IFERROR(AVERAGE(B94:C94),"—")</f>
        <v>98.5</v>
      </c>
      <c r="E94" s="85"/>
      <c r="F94" s="179">
        <v>7425000</v>
      </c>
      <c r="G94" s="180" t="s">
        <v>802</v>
      </c>
    </row>
    <row r="95" spans="1:7" ht="21.25" customHeight="1" x14ac:dyDescent="0.15">
      <c r="A95" s="10" t="s">
        <v>272</v>
      </c>
      <c r="B95" s="178">
        <v>89.2</v>
      </c>
      <c r="C95" s="178">
        <v>109.8</v>
      </c>
      <c r="D95" s="178" cm="1">
        <f t="array" ref="D95">IFERROR(AVERAGE(B95:C95),"—")</f>
        <v>99.5</v>
      </c>
      <c r="E95" s="85"/>
      <c r="F95" s="179">
        <v>8000000</v>
      </c>
      <c r="G95" s="180" t="s">
        <v>802</v>
      </c>
    </row>
    <row r="96" spans="1:7" ht="21.25" customHeight="1" x14ac:dyDescent="0.15">
      <c r="A96" s="10" t="s">
        <v>223</v>
      </c>
      <c r="B96" s="178">
        <v>120.3</v>
      </c>
      <c r="C96" s="178">
        <v>79</v>
      </c>
      <c r="D96" s="178" cm="1">
        <f t="array" ref="D96">IFERROR(AVERAGE(B96:C96),"—")</f>
        <v>99.65</v>
      </c>
      <c r="E96" s="85"/>
      <c r="F96" s="179">
        <v>8500000</v>
      </c>
      <c r="G96" s="180" t="s">
        <v>802</v>
      </c>
    </row>
    <row r="97" spans="1:7" ht="21.25" customHeight="1" x14ac:dyDescent="0.15">
      <c r="A97" s="10" t="s">
        <v>208</v>
      </c>
      <c r="B97" s="178">
        <v>64.900000000000006</v>
      </c>
      <c r="C97" s="178">
        <v>137.1</v>
      </c>
      <c r="D97" s="178" cm="1">
        <f t="array" ref="D97">IFERROR(AVERAGE(B97:C97),"—")</f>
        <v>101</v>
      </c>
      <c r="E97" s="85"/>
      <c r="F97" s="179">
        <v>8250000</v>
      </c>
      <c r="G97" s="180" t="s">
        <v>802</v>
      </c>
    </row>
    <row r="98" spans="1:7" ht="21.25" customHeight="1" x14ac:dyDescent="0.15">
      <c r="A98" s="10" t="s">
        <v>319</v>
      </c>
      <c r="B98" s="178">
        <v>125.6</v>
      </c>
      <c r="C98" s="178">
        <v>79.8</v>
      </c>
      <c r="D98" s="178" cm="1">
        <f t="array" ref="D98">IFERROR(AVERAGE(B98:C98),"—")</f>
        <v>102.69999999999999</v>
      </c>
      <c r="E98" s="85"/>
      <c r="F98" s="179">
        <v>7420000</v>
      </c>
      <c r="G98" s="180" t="s">
        <v>85</v>
      </c>
    </row>
    <row r="99" spans="1:7" ht="21.25" customHeight="1" x14ac:dyDescent="0.15">
      <c r="A99" s="10" t="s">
        <v>300</v>
      </c>
      <c r="B99" s="178">
        <v>93.6</v>
      </c>
      <c r="C99" s="178">
        <v>112.7</v>
      </c>
      <c r="D99" s="178" cm="1">
        <f t="array" ref="D99">IFERROR(AVERAGE(B99:C99),"—")</f>
        <v>103.15</v>
      </c>
      <c r="E99" s="85"/>
      <c r="F99" s="179">
        <v>1075000</v>
      </c>
      <c r="G99" s="180" t="s">
        <v>88</v>
      </c>
    </row>
    <row r="100" spans="1:7" ht="21.25" customHeight="1" x14ac:dyDescent="0.15">
      <c r="A100" s="10" t="s">
        <v>246</v>
      </c>
      <c r="B100" s="178">
        <v>102</v>
      </c>
      <c r="C100" s="178">
        <v>104.7</v>
      </c>
      <c r="D100" s="178" cm="1">
        <f t="array" ref="D100">IFERROR(AVERAGE(B100:C100),"—")</f>
        <v>103.35</v>
      </c>
      <c r="E100" s="85"/>
      <c r="F100" s="179">
        <v>8000000</v>
      </c>
      <c r="G100" s="180" t="s">
        <v>85</v>
      </c>
    </row>
    <row r="101" spans="1:7" ht="21.25" customHeight="1" x14ac:dyDescent="0.15">
      <c r="A101" s="10" t="s">
        <v>212</v>
      </c>
      <c r="B101" s="178">
        <v>118.2</v>
      </c>
      <c r="C101" s="178">
        <v>89.5</v>
      </c>
      <c r="D101" s="178" cm="1">
        <f t="array" ref="D101">IFERROR(AVERAGE(B101:C101),"—")</f>
        <v>103.85</v>
      </c>
      <c r="E101" s="85"/>
      <c r="F101" s="179">
        <v>10000000</v>
      </c>
      <c r="G101" s="180" t="s">
        <v>84</v>
      </c>
    </row>
    <row r="102" spans="1:7" ht="21.25" customHeight="1" x14ac:dyDescent="0.15">
      <c r="A102" s="10" t="s">
        <v>280</v>
      </c>
      <c r="B102" s="178">
        <v>119</v>
      </c>
      <c r="C102" s="178">
        <v>88.9</v>
      </c>
      <c r="D102" s="178" cm="1">
        <f t="array" ref="D102">IFERROR(AVERAGE(B102:C102),"—")</f>
        <v>103.95</v>
      </c>
      <c r="E102" s="85"/>
      <c r="F102" s="179">
        <v>7750000</v>
      </c>
      <c r="G102" s="180" t="s">
        <v>802</v>
      </c>
    </row>
    <row r="103" spans="1:7" ht="21.25" customHeight="1" x14ac:dyDescent="0.15">
      <c r="A103" s="10" t="s">
        <v>233</v>
      </c>
      <c r="B103" s="178">
        <v>122.8</v>
      </c>
      <c r="C103" s="178">
        <v>86.5</v>
      </c>
      <c r="D103" s="178" cm="1">
        <f t="array" ref="D103">IFERROR(AVERAGE(B103:C103),"—")</f>
        <v>104.65</v>
      </c>
      <c r="E103" s="85"/>
      <c r="F103" s="179">
        <v>7000000</v>
      </c>
      <c r="G103" s="180" t="s">
        <v>802</v>
      </c>
    </row>
    <row r="104" spans="1:7" ht="21.25" customHeight="1" x14ac:dyDescent="0.15">
      <c r="A104" s="10" t="s">
        <v>294</v>
      </c>
      <c r="B104" s="178">
        <v>126.1</v>
      </c>
      <c r="C104" s="178">
        <v>83.8</v>
      </c>
      <c r="D104" s="178" cm="1">
        <f t="array" ref="D104">IFERROR(AVERAGE(B104:C104),"—")</f>
        <v>104.94999999999999</v>
      </c>
      <c r="E104" s="85"/>
      <c r="F104" s="179">
        <v>6500000</v>
      </c>
      <c r="G104" s="180" t="s">
        <v>802</v>
      </c>
    </row>
    <row r="105" spans="1:7" ht="21.25" customHeight="1" x14ac:dyDescent="0.15">
      <c r="A105" s="10" t="s">
        <v>219</v>
      </c>
      <c r="B105" s="178">
        <v>69.2</v>
      </c>
      <c r="C105" s="178">
        <v>141.6</v>
      </c>
      <c r="D105" s="178" cm="1">
        <f t="array" ref="D105">IFERROR(AVERAGE(B105:C105),"—")</f>
        <v>105.4</v>
      </c>
      <c r="E105" s="85"/>
      <c r="F105" s="179">
        <v>4750000</v>
      </c>
      <c r="G105" s="180" t="s">
        <v>802</v>
      </c>
    </row>
    <row r="106" spans="1:7" ht="21.25" customHeight="1" x14ac:dyDescent="0.15">
      <c r="A106" s="10" t="s">
        <v>239</v>
      </c>
      <c r="B106" s="178">
        <v>103</v>
      </c>
      <c r="C106" s="178">
        <v>108.1</v>
      </c>
      <c r="D106" s="178" cm="1">
        <f t="array" ref="D106">IFERROR(AVERAGE(B106:C106),"—")</f>
        <v>105.55</v>
      </c>
      <c r="E106" s="85"/>
      <c r="F106" s="179">
        <v>953750</v>
      </c>
      <c r="G106" s="180" t="s">
        <v>85</v>
      </c>
    </row>
    <row r="107" spans="1:7" ht="21.25" customHeight="1" x14ac:dyDescent="0.15">
      <c r="A107" s="10" t="s">
        <v>202</v>
      </c>
      <c r="B107" s="178">
        <v>112</v>
      </c>
      <c r="C107" s="178">
        <v>99.8</v>
      </c>
      <c r="D107" s="178" cm="1">
        <f t="array" ref="D107">IFERROR(AVERAGE(B107:C107),"—")</f>
        <v>105.9</v>
      </c>
      <c r="E107" s="85"/>
      <c r="F107" s="179">
        <v>6250000</v>
      </c>
      <c r="G107" s="180" t="s">
        <v>85</v>
      </c>
    </row>
    <row r="108" spans="1:7" ht="21.25" customHeight="1" x14ac:dyDescent="0.15">
      <c r="A108" s="10" t="s">
        <v>242</v>
      </c>
      <c r="B108" s="178">
        <v>90</v>
      </c>
      <c r="C108" s="178">
        <v>122</v>
      </c>
      <c r="D108" s="178" cm="1">
        <f t="array" ref="D108">IFERROR(AVERAGE(B108:C108),"—")</f>
        <v>106</v>
      </c>
      <c r="E108" s="85"/>
      <c r="F108" s="179">
        <v>940833</v>
      </c>
      <c r="G108" s="180" t="s">
        <v>802</v>
      </c>
    </row>
    <row r="109" spans="1:7" ht="21.25" customHeight="1" x14ac:dyDescent="0.15">
      <c r="A109" s="10" t="s">
        <v>196</v>
      </c>
      <c r="B109" s="178">
        <v>131.19999999999999</v>
      </c>
      <c r="C109" s="178">
        <v>81.900000000000006</v>
      </c>
      <c r="D109" s="178" cm="1">
        <f t="array" ref="D109">IFERROR(AVERAGE(B109:C109),"—")</f>
        <v>106.55</v>
      </c>
      <c r="E109" s="85"/>
      <c r="F109" s="179">
        <v>7250000</v>
      </c>
      <c r="G109" s="180" t="s">
        <v>802</v>
      </c>
    </row>
    <row r="110" spans="1:7" ht="21.25" customHeight="1" x14ac:dyDescent="0.15">
      <c r="A110" s="10" t="s">
        <v>265</v>
      </c>
      <c r="B110" s="178">
        <v>132.19999999999999</v>
      </c>
      <c r="C110" s="178">
        <v>84</v>
      </c>
      <c r="D110" s="178" cm="1">
        <f t="array" ref="D110">IFERROR(AVERAGE(B110:C110),"—")</f>
        <v>108.1</v>
      </c>
      <c r="E110" s="85"/>
      <c r="F110" s="179">
        <v>8750000</v>
      </c>
      <c r="G110" s="180" t="s">
        <v>802</v>
      </c>
    </row>
    <row r="111" spans="1:7" ht="21.25" customHeight="1" x14ac:dyDescent="0.15">
      <c r="A111" s="10" t="s">
        <v>221</v>
      </c>
      <c r="B111" s="178">
        <v>108.3</v>
      </c>
      <c r="C111" s="178">
        <v>112.8</v>
      </c>
      <c r="D111" s="178" cm="1">
        <f t="array" ref="D111">IFERROR(AVERAGE(B111:C111),"—")</f>
        <v>110.55</v>
      </c>
      <c r="E111" s="85"/>
      <c r="F111" s="179">
        <v>9000000</v>
      </c>
      <c r="G111" s="180" t="s">
        <v>802</v>
      </c>
    </row>
    <row r="112" spans="1:7" ht="21.25" customHeight="1" x14ac:dyDescent="0.15">
      <c r="A112" s="10" t="s">
        <v>278</v>
      </c>
      <c r="B112" s="178">
        <v>118.6</v>
      </c>
      <c r="C112" s="178">
        <v>103.3</v>
      </c>
      <c r="D112" s="178" cm="1">
        <f t="array" ref="D112">IFERROR(AVERAGE(B112:C112),"—")</f>
        <v>110.94999999999999</v>
      </c>
      <c r="E112" s="85"/>
      <c r="F112" s="179">
        <v>5500000</v>
      </c>
      <c r="G112" s="180" t="s">
        <v>802</v>
      </c>
    </row>
    <row r="113" spans="1:7" ht="21.25" customHeight="1" x14ac:dyDescent="0.15">
      <c r="A113" s="10" t="s">
        <v>226</v>
      </c>
      <c r="B113" s="178">
        <v>123.6</v>
      </c>
      <c r="C113" s="178">
        <v>102.3</v>
      </c>
      <c r="D113" s="178" cm="1">
        <f t="array" ref="D113">IFERROR(AVERAGE(B113:C113),"—")</f>
        <v>112.94999999999999</v>
      </c>
      <c r="E113" s="85"/>
      <c r="F113" s="179">
        <v>5125000</v>
      </c>
      <c r="G113" s="180" t="s">
        <v>802</v>
      </c>
    </row>
    <row r="114" spans="1:7" ht="21.25" customHeight="1" x14ac:dyDescent="0.15">
      <c r="A114" s="10" t="s">
        <v>204</v>
      </c>
      <c r="B114" s="178">
        <v>126.1</v>
      </c>
      <c r="C114" s="178">
        <v>105.4</v>
      </c>
      <c r="D114" s="178" cm="1">
        <f t="array" ref="D114">IFERROR(AVERAGE(B114:C114),"—")</f>
        <v>115.75</v>
      </c>
      <c r="E114" s="85"/>
      <c r="F114" s="179">
        <v>8500000</v>
      </c>
      <c r="G114" s="180" t="s">
        <v>802</v>
      </c>
    </row>
    <row r="115" spans="1:7" ht="21.25" customHeight="1" x14ac:dyDescent="0.15">
      <c r="A115" s="10" t="s">
        <v>227</v>
      </c>
      <c r="B115" s="178">
        <v>110.3</v>
      </c>
      <c r="C115" s="178">
        <v>122.5</v>
      </c>
      <c r="D115" s="178" cm="1">
        <f t="array" ref="D115">IFERROR(AVERAGE(B115:C115),"—")</f>
        <v>116.4</v>
      </c>
      <c r="E115" s="85"/>
      <c r="F115" s="179">
        <v>6250000</v>
      </c>
      <c r="G115" s="180" t="s">
        <v>802</v>
      </c>
    </row>
    <row r="116" spans="1:7" ht="21.25" customHeight="1" x14ac:dyDescent="0.15">
      <c r="A116" s="10" t="s">
        <v>266</v>
      </c>
      <c r="B116" s="178">
        <v>125.8</v>
      </c>
      <c r="C116" s="178">
        <v>107.5</v>
      </c>
      <c r="D116" s="178" cm="1">
        <f t="array" ref="D116">IFERROR(AVERAGE(B116:C116),"—")</f>
        <v>116.65</v>
      </c>
      <c r="E116" s="85"/>
      <c r="F116" s="179">
        <v>8000000</v>
      </c>
      <c r="G116" s="180" t="s">
        <v>802</v>
      </c>
    </row>
    <row r="117" spans="1:7" ht="21.25" customHeight="1" x14ac:dyDescent="0.15">
      <c r="A117" s="10" t="s">
        <v>200</v>
      </c>
      <c r="B117" s="178">
        <v>115</v>
      </c>
      <c r="C117" s="178">
        <v>121</v>
      </c>
      <c r="D117" s="178" cm="1">
        <f t="array" ref="D117">IFERROR(AVERAGE(B117:C117),"—")</f>
        <v>118</v>
      </c>
      <c r="E117" s="85"/>
      <c r="F117" s="179">
        <v>10857000</v>
      </c>
      <c r="G117" s="180" t="s">
        <v>85</v>
      </c>
    </row>
    <row r="118" spans="1:7" ht="21.25" customHeight="1" x14ac:dyDescent="0.15">
      <c r="A118" s="10" t="s">
        <v>269</v>
      </c>
      <c r="B118" s="178">
        <v>128.5</v>
      </c>
      <c r="C118" s="178">
        <v>107.9</v>
      </c>
      <c r="D118" s="178" cm="1">
        <f t="array" ref="D118">IFERROR(AVERAGE(B118:C118),"—")</f>
        <v>118.2</v>
      </c>
      <c r="E118" s="85"/>
      <c r="F118" s="179">
        <v>4380000</v>
      </c>
      <c r="G118" s="180" t="s">
        <v>802</v>
      </c>
    </row>
    <row r="119" spans="1:7" ht="21.25" customHeight="1" x14ac:dyDescent="0.15">
      <c r="A119" s="10" t="s">
        <v>236</v>
      </c>
      <c r="B119" s="178">
        <v>81.099999999999994</v>
      </c>
      <c r="C119" s="178">
        <v>157.6</v>
      </c>
      <c r="D119" s="178" cm="1">
        <f t="array" ref="D119">IFERROR(AVERAGE(B119:C119),"—")</f>
        <v>119.35</v>
      </c>
      <c r="E119" s="85"/>
      <c r="F119" s="179">
        <v>950000</v>
      </c>
      <c r="G119" s="180" t="s">
        <v>802</v>
      </c>
    </row>
    <row r="120" spans="1:7" ht="21.25" customHeight="1" x14ac:dyDescent="0.15">
      <c r="A120" s="10" t="s">
        <v>253</v>
      </c>
      <c r="B120" s="178">
        <v>144.1</v>
      </c>
      <c r="C120" s="178">
        <v>97.3</v>
      </c>
      <c r="D120" s="178" cm="1">
        <f t="array" ref="D120">IFERROR(AVERAGE(B120:C120),"—")</f>
        <v>120.69999999999999</v>
      </c>
      <c r="E120" s="85"/>
      <c r="F120" s="179">
        <v>9150000</v>
      </c>
      <c r="G120" s="180" t="s">
        <v>802</v>
      </c>
    </row>
    <row r="121" spans="1:7" ht="21.25" customHeight="1" x14ac:dyDescent="0.15">
      <c r="A121" s="10" t="s">
        <v>230</v>
      </c>
      <c r="B121" s="178">
        <v>116.2</v>
      </c>
      <c r="C121" s="178">
        <v>125.8</v>
      </c>
      <c r="D121" s="178" cm="1">
        <f t="array" ref="D121">IFERROR(AVERAGE(B121:C121),"—")</f>
        <v>121</v>
      </c>
      <c r="E121" s="85"/>
      <c r="F121" s="179">
        <v>8450000</v>
      </c>
      <c r="G121" s="180" t="s">
        <v>802</v>
      </c>
    </row>
    <row r="122" spans="1:7" ht="21.25" customHeight="1" x14ac:dyDescent="0.15">
      <c r="A122" s="10" t="s">
        <v>274</v>
      </c>
      <c r="B122" s="178">
        <v>72.5</v>
      </c>
      <c r="C122" s="178">
        <v>170.4</v>
      </c>
      <c r="D122" s="178" cm="1">
        <f t="array" ref="D122">IFERROR(AVERAGE(B122:C122),"—")</f>
        <v>121.45</v>
      </c>
      <c r="E122" s="85"/>
      <c r="F122" s="179">
        <v>6000000</v>
      </c>
      <c r="G122" s="180" t="s">
        <v>802</v>
      </c>
    </row>
    <row r="123" spans="1:7" ht="21.25" customHeight="1" x14ac:dyDescent="0.15">
      <c r="A123" s="10" t="s">
        <v>263</v>
      </c>
      <c r="B123" s="178">
        <v>58.3</v>
      </c>
      <c r="C123" s="178">
        <v>186.4</v>
      </c>
      <c r="D123" s="178" cm="1">
        <f t="array" ref="D123">IFERROR(AVERAGE(B123:C123),"—")</f>
        <v>122.35</v>
      </c>
      <c r="E123" s="85"/>
      <c r="F123" s="179">
        <v>2200000</v>
      </c>
      <c r="G123" s="180" t="s">
        <v>85</v>
      </c>
    </row>
    <row r="124" spans="1:7" ht="21.25" customHeight="1" x14ac:dyDescent="0.15">
      <c r="A124" s="10" t="s">
        <v>315</v>
      </c>
      <c r="B124" s="178">
        <v>146.1</v>
      </c>
      <c r="C124" s="178">
        <v>99.7</v>
      </c>
      <c r="D124" s="178" cm="1">
        <f t="array" ref="D124">IFERROR(AVERAGE(B124:C124),"—")</f>
        <v>122.9</v>
      </c>
      <c r="E124" s="85"/>
      <c r="F124" s="179">
        <v>7875000</v>
      </c>
      <c r="G124" s="180" t="s">
        <v>85</v>
      </c>
    </row>
    <row r="125" spans="1:7" ht="21.25" customHeight="1" x14ac:dyDescent="0.15">
      <c r="A125" s="10" t="s">
        <v>244</v>
      </c>
      <c r="B125" s="178">
        <v>114.8</v>
      </c>
      <c r="C125" s="178">
        <v>131.19999999999999</v>
      </c>
      <c r="D125" s="178" cm="1">
        <f t="array" ref="D125">IFERROR(AVERAGE(B125:C125),"—")</f>
        <v>123</v>
      </c>
      <c r="E125" s="85"/>
      <c r="F125" s="179">
        <v>7142000</v>
      </c>
      <c r="G125" s="180" t="s">
        <v>802</v>
      </c>
    </row>
    <row r="126" spans="1:7" ht="21.25" customHeight="1" x14ac:dyDescent="0.15">
      <c r="A126" s="10" t="s">
        <v>267</v>
      </c>
      <c r="B126" s="178">
        <v>133.4</v>
      </c>
      <c r="C126" s="178">
        <v>113.7</v>
      </c>
      <c r="D126" s="178" cm="1">
        <f t="array" ref="D126">IFERROR(AVERAGE(B126:C126),"—")</f>
        <v>123.55000000000001</v>
      </c>
      <c r="E126" s="85"/>
      <c r="F126" s="179">
        <v>5000000</v>
      </c>
      <c r="G126" s="180" t="s">
        <v>802</v>
      </c>
    </row>
    <row r="127" spans="1:7" ht="21.25" customHeight="1" x14ac:dyDescent="0.15">
      <c r="A127" s="10" t="s">
        <v>275</v>
      </c>
      <c r="B127" s="178">
        <v>136.9</v>
      </c>
      <c r="C127" s="178">
        <v>110.3</v>
      </c>
      <c r="D127" s="178" cm="1">
        <f t="array" ref="D127">IFERROR(AVERAGE(B127:C127),"—")</f>
        <v>123.6</v>
      </c>
      <c r="E127" s="85"/>
      <c r="F127" s="179">
        <v>950000</v>
      </c>
      <c r="G127" s="180" t="s">
        <v>802</v>
      </c>
    </row>
    <row r="128" spans="1:7" ht="21.25" customHeight="1" x14ac:dyDescent="0.15">
      <c r="A128" s="10" t="s">
        <v>293</v>
      </c>
      <c r="B128" s="178">
        <v>135.9</v>
      </c>
      <c r="C128" s="178">
        <v>113.1</v>
      </c>
      <c r="D128" s="178" cm="1">
        <f t="array" ref="D128">IFERROR(AVERAGE(B128:C128),"—")</f>
        <v>124.5</v>
      </c>
      <c r="E128" s="85"/>
      <c r="F128" s="179">
        <v>7100000</v>
      </c>
      <c r="G128" s="180" t="s">
        <v>802</v>
      </c>
    </row>
    <row r="129" spans="1:7" ht="21.25" customHeight="1" x14ac:dyDescent="0.15">
      <c r="A129" s="10" t="s">
        <v>494</v>
      </c>
      <c r="B129" s="178">
        <v>126.9</v>
      </c>
      <c r="C129" s="180" t="s">
        <v>87</v>
      </c>
      <c r="D129" s="178" cm="1">
        <f t="array" ref="D129">IFERROR(AVERAGE(B129:C129),"—")</f>
        <v>126.9</v>
      </c>
      <c r="E129" s="85"/>
      <c r="F129" s="179">
        <v>5500000</v>
      </c>
      <c r="G129" s="180" t="s">
        <v>802</v>
      </c>
    </row>
    <row r="130" spans="1:7" ht="21.25" customHeight="1" x14ac:dyDescent="0.15">
      <c r="A130" s="10" t="s">
        <v>330</v>
      </c>
      <c r="B130" s="178">
        <v>136.19999999999999</v>
      </c>
      <c r="C130" s="178">
        <v>120.6</v>
      </c>
      <c r="D130" s="178" cm="1">
        <f t="array" ref="D130">IFERROR(AVERAGE(B130:C130),"—")</f>
        <v>128.39999999999998</v>
      </c>
      <c r="E130" s="85"/>
      <c r="F130" s="179">
        <v>9125000</v>
      </c>
      <c r="G130" s="180" t="s">
        <v>85</v>
      </c>
    </row>
    <row r="131" spans="1:7" ht="21.25" customHeight="1" x14ac:dyDescent="0.15">
      <c r="A131" s="10" t="s">
        <v>235</v>
      </c>
      <c r="B131" s="178">
        <v>141.19999999999999</v>
      </c>
      <c r="C131" s="178">
        <v>116.8</v>
      </c>
      <c r="D131" s="178" cm="1">
        <f t="array" ref="D131">IFERROR(AVERAGE(B131:C131),"—")</f>
        <v>129</v>
      </c>
      <c r="E131" s="85"/>
      <c r="F131" s="179">
        <v>11600000</v>
      </c>
      <c r="G131" s="180" t="s">
        <v>87</v>
      </c>
    </row>
    <row r="132" spans="1:7" ht="21.25" customHeight="1" x14ac:dyDescent="0.15">
      <c r="A132" s="10" t="s">
        <v>247</v>
      </c>
      <c r="B132" s="178">
        <v>111.8</v>
      </c>
      <c r="C132" s="178">
        <v>146.30000000000001</v>
      </c>
      <c r="D132" s="178" cm="1">
        <f t="array" ref="D132">IFERROR(AVERAGE(B132:C132),"—")</f>
        <v>129.05000000000001</v>
      </c>
      <c r="E132" s="85"/>
      <c r="F132" s="179">
        <v>8500000</v>
      </c>
      <c r="G132" s="180" t="s">
        <v>802</v>
      </c>
    </row>
    <row r="133" spans="1:7" ht="21.25" customHeight="1" x14ac:dyDescent="0.15">
      <c r="A133" s="10" t="s">
        <v>218</v>
      </c>
      <c r="B133" s="178">
        <v>125.4</v>
      </c>
      <c r="C133" s="178">
        <v>137.30000000000001</v>
      </c>
      <c r="D133" s="178" cm="1">
        <f t="array" ref="D133">IFERROR(AVERAGE(B133:C133),"—")</f>
        <v>131.35000000000002</v>
      </c>
      <c r="E133" s="85"/>
      <c r="F133" s="179">
        <v>7350000</v>
      </c>
      <c r="G133" s="180" t="s">
        <v>802</v>
      </c>
    </row>
    <row r="134" spans="1:7" ht="21.25" customHeight="1" x14ac:dyDescent="0.15">
      <c r="A134" s="10" t="s">
        <v>262</v>
      </c>
      <c r="B134" s="178">
        <v>132.6</v>
      </c>
      <c r="C134" s="178">
        <v>132.69999999999999</v>
      </c>
      <c r="D134" s="178" cm="1">
        <f t="array" ref="D134">IFERROR(AVERAGE(B134:C134),"—")</f>
        <v>132.64999999999998</v>
      </c>
      <c r="E134" s="85"/>
      <c r="F134" s="179">
        <v>6250000</v>
      </c>
      <c r="G134" s="180" t="s">
        <v>802</v>
      </c>
    </row>
    <row r="135" spans="1:7" ht="21.25" customHeight="1" x14ac:dyDescent="0.15">
      <c r="A135" s="10" t="s">
        <v>283</v>
      </c>
      <c r="B135" s="178">
        <v>145.30000000000001</v>
      </c>
      <c r="C135" s="178">
        <v>121</v>
      </c>
      <c r="D135" s="178" cm="1">
        <f t="array" ref="D135">IFERROR(AVERAGE(B135:C135),"—")</f>
        <v>133.15</v>
      </c>
      <c r="E135" s="85"/>
      <c r="F135" s="179">
        <v>6750000</v>
      </c>
      <c r="G135" s="180" t="s">
        <v>802</v>
      </c>
    </row>
    <row r="136" spans="1:7" ht="21.25" customHeight="1" x14ac:dyDescent="0.15">
      <c r="A136" s="10" t="s">
        <v>276</v>
      </c>
      <c r="B136" s="178">
        <v>144.5</v>
      </c>
      <c r="C136" s="178">
        <v>122.4</v>
      </c>
      <c r="D136" s="178" cm="1">
        <f t="array" ref="D136">IFERROR(AVERAGE(B136:C136),"—")</f>
        <v>133.44999999999999</v>
      </c>
      <c r="E136" s="85"/>
      <c r="F136" s="179">
        <v>8125000</v>
      </c>
      <c r="G136" s="180" t="s">
        <v>84</v>
      </c>
    </row>
    <row r="137" spans="1:7" ht="21.25" customHeight="1" x14ac:dyDescent="0.15">
      <c r="A137" s="10" t="s">
        <v>191</v>
      </c>
      <c r="B137" s="178">
        <v>113.7</v>
      </c>
      <c r="C137" s="178">
        <v>153.9</v>
      </c>
      <c r="D137" s="178" cm="1">
        <f t="array" ref="D137">IFERROR(AVERAGE(B137:C137),"—")</f>
        <v>133.80000000000001</v>
      </c>
      <c r="E137" s="85"/>
      <c r="F137" s="179">
        <v>7740000</v>
      </c>
      <c r="G137" s="180" t="s">
        <v>802</v>
      </c>
    </row>
    <row r="138" spans="1:7" ht="21.25" customHeight="1" x14ac:dyDescent="0.15">
      <c r="A138" s="10" t="s">
        <v>389</v>
      </c>
      <c r="B138" s="178">
        <v>147.4</v>
      </c>
      <c r="C138" s="178">
        <v>120.5</v>
      </c>
      <c r="D138" s="178" cm="1">
        <f t="array" ref="D138">IFERROR(AVERAGE(B138:C138),"—")</f>
        <v>133.94999999999999</v>
      </c>
      <c r="E138" s="85"/>
      <c r="F138" s="179">
        <v>5625000</v>
      </c>
      <c r="G138" s="180" t="s">
        <v>802</v>
      </c>
    </row>
    <row r="139" spans="1:7" ht="21.25" customHeight="1" x14ac:dyDescent="0.15">
      <c r="A139" s="10" t="s">
        <v>214</v>
      </c>
      <c r="B139" s="178">
        <v>135.19999999999999</v>
      </c>
      <c r="C139" s="178">
        <v>133.80000000000001</v>
      </c>
      <c r="D139" s="178" cm="1">
        <f t="array" ref="D139">IFERROR(AVERAGE(B139:C139),"—")</f>
        <v>134.5</v>
      </c>
      <c r="E139" s="85"/>
      <c r="F139" s="179">
        <v>9000000</v>
      </c>
      <c r="G139" s="180" t="s">
        <v>84</v>
      </c>
    </row>
    <row r="140" spans="1:7" ht="21.25" customHeight="1" x14ac:dyDescent="0.15">
      <c r="A140" s="10" t="s">
        <v>237</v>
      </c>
      <c r="B140" s="178">
        <v>52.4</v>
      </c>
      <c r="C140" s="178">
        <v>216.6</v>
      </c>
      <c r="D140" s="178" cm="1">
        <f t="array" ref="D140">IFERROR(AVERAGE(B140:C140),"—")</f>
        <v>134.5</v>
      </c>
      <c r="E140" s="85"/>
      <c r="F140" s="179">
        <v>2500000</v>
      </c>
      <c r="G140" s="180" t="s">
        <v>802</v>
      </c>
    </row>
    <row r="141" spans="1:7" ht="21.25" customHeight="1" x14ac:dyDescent="0.15">
      <c r="A141" s="10" t="s">
        <v>347</v>
      </c>
      <c r="B141" s="180" t="s">
        <v>832</v>
      </c>
      <c r="C141" s="178">
        <v>136.1</v>
      </c>
      <c r="D141" s="178" cm="1">
        <f t="array" ref="D141">IFERROR(AVERAGE(B141:C141),"—")</f>
        <v>136.1</v>
      </c>
      <c r="E141" s="85"/>
      <c r="F141" s="179">
        <v>6200000</v>
      </c>
      <c r="G141" s="180" t="s">
        <v>802</v>
      </c>
    </row>
    <row r="142" spans="1:7" ht="21.25" customHeight="1" x14ac:dyDescent="0.15">
      <c r="A142" s="10" t="s">
        <v>417</v>
      </c>
      <c r="B142" s="178">
        <v>92.5</v>
      </c>
      <c r="C142" s="178">
        <v>180.9</v>
      </c>
      <c r="D142" s="178" cm="1">
        <f t="array" ref="D142">IFERROR(AVERAGE(B142:C142),"—")</f>
        <v>136.69999999999999</v>
      </c>
      <c r="E142" s="85"/>
      <c r="F142" s="179">
        <v>5250000</v>
      </c>
      <c r="G142" s="180" t="s">
        <v>802</v>
      </c>
    </row>
    <row r="143" spans="1:7" ht="21.25" customHeight="1" x14ac:dyDescent="0.15">
      <c r="A143" s="10" t="s">
        <v>245</v>
      </c>
      <c r="B143" s="178">
        <v>90.6</v>
      </c>
      <c r="C143" s="178">
        <v>183</v>
      </c>
      <c r="D143" s="178" cm="1">
        <f t="array" ref="D143">IFERROR(AVERAGE(B143:C143),"—")</f>
        <v>136.80000000000001</v>
      </c>
      <c r="E143" s="85"/>
      <c r="F143" s="179">
        <v>7000000</v>
      </c>
      <c r="G143" s="180" t="s">
        <v>85</v>
      </c>
    </row>
    <row r="144" spans="1:7" ht="21.25" customHeight="1" x14ac:dyDescent="0.15">
      <c r="A144" s="10" t="s">
        <v>248</v>
      </c>
      <c r="B144" s="178">
        <v>141.80000000000001</v>
      </c>
      <c r="C144" s="178">
        <v>132.6</v>
      </c>
      <c r="D144" s="178" cm="1">
        <f t="array" ref="D144">IFERROR(AVERAGE(B144:C144),"—")</f>
        <v>137.19999999999999</v>
      </c>
      <c r="E144" s="85"/>
      <c r="F144" s="179">
        <v>5250000</v>
      </c>
      <c r="G144" s="180" t="s">
        <v>85</v>
      </c>
    </row>
    <row r="145" spans="1:7" ht="21.25" customHeight="1" x14ac:dyDescent="0.15">
      <c r="A145" s="10" t="s">
        <v>296</v>
      </c>
      <c r="B145" s="178">
        <v>142.1</v>
      </c>
      <c r="C145" s="178">
        <v>132.4</v>
      </c>
      <c r="D145" s="178" cm="1">
        <f t="array" ref="D145">IFERROR(AVERAGE(B145:C145),"—")</f>
        <v>137.25</v>
      </c>
      <c r="E145" s="85"/>
      <c r="F145" s="179">
        <v>5600000</v>
      </c>
      <c r="G145" s="180" t="s">
        <v>85</v>
      </c>
    </row>
    <row r="146" spans="1:7" ht="21.25" customHeight="1" x14ac:dyDescent="0.15">
      <c r="A146" s="10" t="s">
        <v>299</v>
      </c>
      <c r="B146" s="178">
        <v>139.4</v>
      </c>
      <c r="C146" s="178">
        <v>136.30000000000001</v>
      </c>
      <c r="D146" s="178" cm="1">
        <f t="array" ref="D146">IFERROR(AVERAGE(B146:C146),"—")</f>
        <v>137.85000000000002</v>
      </c>
      <c r="E146" s="85"/>
      <c r="F146" s="179">
        <v>7700000</v>
      </c>
      <c r="G146" s="180" t="s">
        <v>85</v>
      </c>
    </row>
    <row r="147" spans="1:7" ht="21.25" customHeight="1" x14ac:dyDescent="0.15">
      <c r="A147" s="10" t="s">
        <v>220</v>
      </c>
      <c r="B147" s="178">
        <v>138.5</v>
      </c>
      <c r="C147" s="178">
        <v>138.6</v>
      </c>
      <c r="D147" s="178" cm="1">
        <f t="array" ref="D147">IFERROR(AVERAGE(B147:C147),"—")</f>
        <v>138.55000000000001</v>
      </c>
      <c r="E147" s="85"/>
      <c r="F147" s="179">
        <v>7250000</v>
      </c>
      <c r="G147" s="180" t="s">
        <v>802</v>
      </c>
    </row>
    <row r="148" spans="1:7" ht="21.25" customHeight="1" x14ac:dyDescent="0.15">
      <c r="A148" s="10" t="s">
        <v>279</v>
      </c>
      <c r="B148" s="178">
        <v>141.69999999999999</v>
      </c>
      <c r="C148" s="178">
        <v>136.4</v>
      </c>
      <c r="D148" s="178" cm="1">
        <f t="array" ref="D148">IFERROR(AVERAGE(B148:C148),"—")</f>
        <v>139.05000000000001</v>
      </c>
      <c r="E148" s="85"/>
      <c r="F148" s="179">
        <v>5500000</v>
      </c>
      <c r="G148" s="180" t="s">
        <v>802</v>
      </c>
    </row>
    <row r="149" spans="1:7" ht="21.25" customHeight="1" x14ac:dyDescent="0.15">
      <c r="A149" s="10" t="s">
        <v>249</v>
      </c>
      <c r="B149" s="178">
        <v>141.69999999999999</v>
      </c>
      <c r="C149" s="178">
        <v>137.6</v>
      </c>
      <c r="D149" s="178" cm="1">
        <f t="array" ref="D149">IFERROR(AVERAGE(B149:C149),"—")</f>
        <v>139.64999999999998</v>
      </c>
      <c r="E149" s="85"/>
      <c r="F149" s="179">
        <v>7450000</v>
      </c>
      <c r="G149" s="180" t="s">
        <v>85</v>
      </c>
    </row>
    <row r="150" spans="1:7" ht="21.25" customHeight="1" x14ac:dyDescent="0.15">
      <c r="A150" s="10" t="s">
        <v>286</v>
      </c>
      <c r="B150" s="178">
        <v>136.30000000000001</v>
      </c>
      <c r="C150" s="178">
        <v>144.69999999999999</v>
      </c>
      <c r="D150" s="178" cm="1">
        <f t="array" ref="D150">IFERROR(AVERAGE(B150:C150),"—")</f>
        <v>140.5</v>
      </c>
      <c r="E150" s="85"/>
      <c r="F150" s="179">
        <v>7500000</v>
      </c>
      <c r="G150" s="180" t="s">
        <v>802</v>
      </c>
    </row>
    <row r="151" spans="1:7" ht="21.25" customHeight="1" x14ac:dyDescent="0.15">
      <c r="A151" s="10" t="s">
        <v>335</v>
      </c>
      <c r="B151" s="178">
        <v>147.1</v>
      </c>
      <c r="C151" s="178">
        <v>135.19999999999999</v>
      </c>
      <c r="D151" s="178" cm="1">
        <f t="array" ref="D151">IFERROR(AVERAGE(B151:C151),"—")</f>
        <v>141.14999999999998</v>
      </c>
      <c r="E151" s="85"/>
      <c r="F151" s="179">
        <v>5250000</v>
      </c>
      <c r="G151" s="180" t="s">
        <v>802</v>
      </c>
    </row>
    <row r="152" spans="1:7" ht="21.25" customHeight="1" x14ac:dyDescent="0.15">
      <c r="A152" s="10" t="s">
        <v>304</v>
      </c>
      <c r="B152" s="178">
        <v>146</v>
      </c>
      <c r="C152" s="178">
        <v>136.6</v>
      </c>
      <c r="D152" s="178" cm="1">
        <f t="array" ref="D152">IFERROR(AVERAGE(B152:C152),"—")</f>
        <v>141.30000000000001</v>
      </c>
      <c r="E152" s="85"/>
      <c r="F152" s="179">
        <v>7500000</v>
      </c>
      <c r="G152" s="180" t="s">
        <v>87</v>
      </c>
    </row>
    <row r="153" spans="1:7" ht="21.25" customHeight="1" x14ac:dyDescent="0.15">
      <c r="A153" s="10" t="s">
        <v>172</v>
      </c>
      <c r="B153" s="178">
        <v>123.9</v>
      </c>
      <c r="C153" s="178">
        <v>160.4</v>
      </c>
      <c r="D153" s="178" cm="1">
        <f t="array" ref="D153">IFERROR(AVERAGE(B153:C153),"—")</f>
        <v>142.15</v>
      </c>
      <c r="E153" s="85"/>
      <c r="F153" s="179">
        <v>5000000</v>
      </c>
      <c r="G153" s="180" t="s">
        <v>802</v>
      </c>
    </row>
    <row r="154" spans="1:7" ht="21.25" customHeight="1" x14ac:dyDescent="0.15">
      <c r="A154" s="10" t="s">
        <v>336</v>
      </c>
      <c r="B154" s="178">
        <v>139.9</v>
      </c>
      <c r="C154" s="178">
        <v>145</v>
      </c>
      <c r="D154" s="178" cm="1">
        <f t="array" ref="D154">IFERROR(AVERAGE(B154:C154),"—")</f>
        <v>142.44999999999999</v>
      </c>
      <c r="E154" s="85"/>
      <c r="F154" s="179">
        <v>950000</v>
      </c>
      <c r="G154" s="180" t="s">
        <v>802</v>
      </c>
    </row>
    <row r="155" spans="1:7" ht="21.25" customHeight="1" x14ac:dyDescent="0.15">
      <c r="A155" s="10" t="s">
        <v>341</v>
      </c>
      <c r="B155" s="178">
        <v>138.80000000000001</v>
      </c>
      <c r="C155" s="178">
        <v>147.69999999999999</v>
      </c>
      <c r="D155" s="178" cm="1">
        <f t="array" ref="D155">IFERROR(AVERAGE(B155:C155),"—")</f>
        <v>143.25</v>
      </c>
      <c r="E155" s="85"/>
      <c r="F155" s="179">
        <v>5125000</v>
      </c>
      <c r="G155" s="180" t="s">
        <v>802</v>
      </c>
    </row>
    <row r="156" spans="1:7" ht="21.25" customHeight="1" x14ac:dyDescent="0.15">
      <c r="A156" s="10" t="s">
        <v>302</v>
      </c>
      <c r="B156" s="178">
        <v>138.6</v>
      </c>
      <c r="C156" s="178">
        <v>149.5</v>
      </c>
      <c r="D156" s="178" cm="1">
        <f t="array" ref="D156">IFERROR(AVERAGE(B156:C156),"—")</f>
        <v>144.05000000000001</v>
      </c>
      <c r="E156" s="85"/>
      <c r="F156" s="179">
        <v>8250000</v>
      </c>
      <c r="G156" s="180" t="s">
        <v>802</v>
      </c>
    </row>
    <row r="157" spans="1:7" ht="21.25" customHeight="1" x14ac:dyDescent="0.15">
      <c r="A157" s="10" t="s">
        <v>431</v>
      </c>
      <c r="B157" s="178">
        <v>73.900000000000006</v>
      </c>
      <c r="C157" s="178">
        <v>215.1</v>
      </c>
      <c r="D157" s="178" cm="1">
        <f t="array" ref="D157">IFERROR(AVERAGE(B157:C157),"—")</f>
        <v>144.5</v>
      </c>
      <c r="E157" s="85"/>
      <c r="F157" s="179">
        <v>1900000</v>
      </c>
      <c r="G157" s="180" t="s">
        <v>802</v>
      </c>
    </row>
    <row r="158" spans="1:7" ht="21.25" customHeight="1" x14ac:dyDescent="0.15">
      <c r="A158" s="10" t="s">
        <v>333</v>
      </c>
      <c r="B158" s="178">
        <v>132</v>
      </c>
      <c r="C158" s="178">
        <v>157.69999999999999</v>
      </c>
      <c r="D158" s="178" cm="1">
        <f t="array" ref="D158">IFERROR(AVERAGE(B158:C158),"—")</f>
        <v>144.85</v>
      </c>
      <c r="E158" s="85"/>
      <c r="F158" s="179">
        <v>8000000</v>
      </c>
      <c r="G158" s="180" t="s">
        <v>802</v>
      </c>
    </row>
    <row r="159" spans="1:7" ht="21.25" customHeight="1" x14ac:dyDescent="0.15">
      <c r="A159" s="10" t="s">
        <v>345</v>
      </c>
      <c r="B159" s="178">
        <v>135.19999999999999</v>
      </c>
      <c r="C159" s="178">
        <v>155.9</v>
      </c>
      <c r="D159" s="178" cm="1">
        <f t="array" ref="D159">IFERROR(AVERAGE(B159:C159),"—")</f>
        <v>145.55000000000001</v>
      </c>
      <c r="E159" s="85"/>
      <c r="F159" s="179">
        <v>8000000</v>
      </c>
      <c r="G159" s="180" t="s">
        <v>802</v>
      </c>
    </row>
    <row r="160" spans="1:7" ht="21.25" customHeight="1" x14ac:dyDescent="0.15">
      <c r="A160" s="10" t="s">
        <v>366</v>
      </c>
      <c r="B160" s="178">
        <v>142.9</v>
      </c>
      <c r="C160" s="178">
        <v>148.80000000000001</v>
      </c>
      <c r="D160" s="178" cm="1">
        <f t="array" ref="D160">IFERROR(AVERAGE(B160:C160),"—")</f>
        <v>145.85000000000002</v>
      </c>
      <c r="E160" s="85"/>
      <c r="F160" s="179">
        <v>6125000</v>
      </c>
      <c r="G160" s="180" t="s">
        <v>802</v>
      </c>
    </row>
    <row r="161" spans="1:7" ht="21.25" customHeight="1" x14ac:dyDescent="0.15">
      <c r="A161" s="10" t="s">
        <v>234</v>
      </c>
      <c r="B161" s="178">
        <v>144.1</v>
      </c>
      <c r="C161" s="178">
        <v>152.69999999999999</v>
      </c>
      <c r="D161" s="178" cm="1">
        <f t="array" ref="D161">IFERROR(AVERAGE(B161:C161),"—")</f>
        <v>148.39999999999998</v>
      </c>
      <c r="E161" s="85"/>
      <c r="F161" s="179">
        <v>8000000</v>
      </c>
      <c r="G161" s="180" t="s">
        <v>802</v>
      </c>
    </row>
    <row r="162" spans="1:7" ht="21.25" customHeight="1" x14ac:dyDescent="0.15">
      <c r="A162" s="10" t="s">
        <v>321</v>
      </c>
      <c r="B162" s="180" t="s">
        <v>832</v>
      </c>
      <c r="C162" s="178">
        <v>149.1</v>
      </c>
      <c r="D162" s="178" cm="1">
        <f t="array" ref="D162">IFERROR(AVERAGE(B162:C162),"—")</f>
        <v>149.1</v>
      </c>
      <c r="E162" s="85"/>
      <c r="F162" s="179">
        <v>5000000</v>
      </c>
      <c r="G162" s="180" t="s">
        <v>802</v>
      </c>
    </row>
    <row r="163" spans="1:7" ht="21.25" customHeight="1" x14ac:dyDescent="0.15">
      <c r="A163" s="10" t="s">
        <v>256</v>
      </c>
      <c r="B163" s="178">
        <v>143.19999999999999</v>
      </c>
      <c r="C163" s="178">
        <v>155</v>
      </c>
      <c r="D163" s="178" cm="1">
        <f t="array" ref="D163">IFERROR(AVERAGE(B163:C163),"—")</f>
        <v>149.1</v>
      </c>
      <c r="E163" s="85"/>
      <c r="F163" s="179">
        <v>7250000</v>
      </c>
      <c r="G163" s="180" t="s">
        <v>85</v>
      </c>
    </row>
    <row r="164" spans="1:7" ht="21.25" customHeight="1" x14ac:dyDescent="0.15">
      <c r="A164" s="10" t="s">
        <v>312</v>
      </c>
      <c r="B164" s="178">
        <v>127.9</v>
      </c>
      <c r="C164" s="178">
        <v>172.8</v>
      </c>
      <c r="D164" s="178" cm="1">
        <f t="array" ref="D164">IFERROR(AVERAGE(B164:C164),"—")</f>
        <v>150.35000000000002</v>
      </c>
      <c r="E164" s="85"/>
      <c r="F164" s="179">
        <v>4285000</v>
      </c>
      <c r="G164" s="180" t="s">
        <v>802</v>
      </c>
    </row>
    <row r="165" spans="1:7" ht="21.25" customHeight="1" x14ac:dyDescent="0.15">
      <c r="A165" s="10" t="s">
        <v>241</v>
      </c>
      <c r="B165" s="178">
        <v>133.4</v>
      </c>
      <c r="C165" s="178">
        <v>167.7</v>
      </c>
      <c r="D165" s="178" cm="1">
        <f t="array" ref="D165">IFERROR(AVERAGE(B165:C165),"—")</f>
        <v>150.55000000000001</v>
      </c>
      <c r="E165" s="85"/>
      <c r="F165" s="179">
        <v>8000000</v>
      </c>
      <c r="G165" s="180" t="s">
        <v>802</v>
      </c>
    </row>
    <row r="166" spans="1:7" ht="21.25" customHeight="1" x14ac:dyDescent="0.15">
      <c r="A166" s="10" t="s">
        <v>225</v>
      </c>
      <c r="B166" s="178">
        <v>139.30000000000001</v>
      </c>
      <c r="C166" s="178">
        <v>162.19999999999999</v>
      </c>
      <c r="D166" s="178" cm="1">
        <f t="array" ref="D166">IFERROR(AVERAGE(B166:C166),"—")</f>
        <v>150.75</v>
      </c>
      <c r="E166" s="85"/>
      <c r="F166" s="179">
        <v>6500000</v>
      </c>
      <c r="G166" s="180" t="s">
        <v>802</v>
      </c>
    </row>
    <row r="167" spans="1:7" ht="21.25" customHeight="1" x14ac:dyDescent="0.15">
      <c r="A167" s="10" t="s">
        <v>251</v>
      </c>
      <c r="B167" s="178">
        <v>144.9</v>
      </c>
      <c r="C167" s="178">
        <v>157.1</v>
      </c>
      <c r="D167" s="178" cm="1">
        <f t="array" ref="D167">IFERROR(AVERAGE(B167:C167),"—")</f>
        <v>151</v>
      </c>
      <c r="E167" s="85"/>
      <c r="F167" s="179">
        <v>5000000</v>
      </c>
      <c r="G167" s="180" t="s">
        <v>802</v>
      </c>
    </row>
    <row r="168" spans="1:7" ht="21.25" customHeight="1" x14ac:dyDescent="0.15">
      <c r="A168" s="10" t="s">
        <v>259</v>
      </c>
      <c r="B168" s="178">
        <v>130.1</v>
      </c>
      <c r="C168" s="178">
        <v>172.4</v>
      </c>
      <c r="D168" s="178" cm="1">
        <f t="array" ref="D168">IFERROR(AVERAGE(B168:C168),"—")</f>
        <v>151.25</v>
      </c>
      <c r="E168" s="85"/>
      <c r="F168" s="179">
        <v>9250000</v>
      </c>
      <c r="G168" s="180" t="s">
        <v>802</v>
      </c>
    </row>
    <row r="169" spans="1:7" ht="21.25" customHeight="1" x14ac:dyDescent="0.15">
      <c r="A169" s="10" t="s">
        <v>415</v>
      </c>
      <c r="B169" s="178">
        <v>148.1</v>
      </c>
      <c r="C169" s="178">
        <v>155.4</v>
      </c>
      <c r="D169" s="178" cm="1">
        <f t="array" ref="D169">IFERROR(AVERAGE(B169:C169),"—")</f>
        <v>151.75</v>
      </c>
      <c r="E169" s="85"/>
      <c r="F169" s="179">
        <v>4100000</v>
      </c>
      <c r="G169" s="180" t="s">
        <v>802</v>
      </c>
    </row>
    <row r="170" spans="1:7" ht="21.25" customHeight="1" x14ac:dyDescent="0.15">
      <c r="A170" s="10" t="s">
        <v>254</v>
      </c>
      <c r="B170" s="178">
        <v>144.4</v>
      </c>
      <c r="C170" s="178">
        <v>159.4</v>
      </c>
      <c r="D170" s="178" cm="1">
        <f t="array" ref="D170">IFERROR(AVERAGE(B170:C170),"—")</f>
        <v>151.9</v>
      </c>
      <c r="E170" s="85"/>
      <c r="F170" s="179">
        <v>4500000</v>
      </c>
      <c r="G170" s="180" t="s">
        <v>802</v>
      </c>
    </row>
    <row r="171" spans="1:7" ht="21.25" customHeight="1" x14ac:dyDescent="0.15">
      <c r="A171" s="10" t="s">
        <v>332</v>
      </c>
      <c r="B171" s="178">
        <v>141.69999999999999</v>
      </c>
      <c r="C171" s="178">
        <v>162.1</v>
      </c>
      <c r="D171" s="178" cm="1">
        <f t="array" ref="D171">IFERROR(AVERAGE(B171:C171),"—")</f>
        <v>151.89999999999998</v>
      </c>
      <c r="E171" s="85"/>
      <c r="F171" s="179">
        <v>5100000</v>
      </c>
      <c r="G171" s="180" t="s">
        <v>84</v>
      </c>
    </row>
    <row r="172" spans="1:7" ht="21.25" customHeight="1" x14ac:dyDescent="0.15">
      <c r="A172" s="10" t="s">
        <v>421</v>
      </c>
      <c r="B172" s="178">
        <v>136.69999999999999</v>
      </c>
      <c r="C172" s="178">
        <v>167.4</v>
      </c>
      <c r="D172" s="178" cm="1">
        <f t="array" ref="D172">IFERROR(AVERAGE(B172:C172),"—")</f>
        <v>152.05000000000001</v>
      </c>
      <c r="E172" s="85"/>
      <c r="F172" s="179">
        <v>1075000</v>
      </c>
      <c r="G172" s="180" t="s">
        <v>85</v>
      </c>
    </row>
    <row r="173" spans="1:7" ht="21.25" customHeight="1" x14ac:dyDescent="0.15">
      <c r="A173" s="10" t="s">
        <v>599</v>
      </c>
      <c r="B173" s="178">
        <v>132.6</v>
      </c>
      <c r="C173" s="178">
        <v>171.8</v>
      </c>
      <c r="D173" s="178" cm="1">
        <f t="array" ref="D173">IFERROR(AVERAGE(B173:C173),"—")</f>
        <v>152.19999999999999</v>
      </c>
      <c r="E173" s="85"/>
      <c r="F173" s="179">
        <v>7000000</v>
      </c>
      <c r="G173" s="180" t="s">
        <v>802</v>
      </c>
    </row>
    <row r="174" spans="1:7" ht="21.25" customHeight="1" x14ac:dyDescent="0.15">
      <c r="A174" s="10" t="s">
        <v>281</v>
      </c>
      <c r="B174" s="178">
        <v>123.8</v>
      </c>
      <c r="C174" s="178">
        <v>181.1</v>
      </c>
      <c r="D174" s="178" cm="1">
        <f t="array" ref="D174">IFERROR(AVERAGE(B174:C174),"—")</f>
        <v>152.44999999999999</v>
      </c>
      <c r="E174" s="85"/>
      <c r="F174" s="179">
        <v>3400000</v>
      </c>
      <c r="G174" s="180" t="s">
        <v>802</v>
      </c>
    </row>
    <row r="175" spans="1:7" ht="21.25" customHeight="1" x14ac:dyDescent="0.15">
      <c r="A175" s="10" t="s">
        <v>373</v>
      </c>
      <c r="B175" s="178">
        <v>134.69999999999999</v>
      </c>
      <c r="C175" s="178">
        <v>170.4</v>
      </c>
      <c r="D175" s="178" cm="1">
        <f t="array" ref="D175">IFERROR(AVERAGE(B175:C175),"—")</f>
        <v>152.55000000000001</v>
      </c>
      <c r="E175" s="85"/>
      <c r="F175" s="179">
        <v>6950000</v>
      </c>
      <c r="G175" s="180" t="s">
        <v>85</v>
      </c>
    </row>
    <row r="176" spans="1:7" ht="21.25" customHeight="1" x14ac:dyDescent="0.15">
      <c r="A176" s="10" t="s">
        <v>372</v>
      </c>
      <c r="B176" s="178">
        <v>139.6</v>
      </c>
      <c r="C176" s="178">
        <v>167.1</v>
      </c>
      <c r="D176" s="178" cm="1">
        <f t="array" ref="D176">IFERROR(AVERAGE(B176:C176),"—")</f>
        <v>153.35</v>
      </c>
      <c r="E176" s="85"/>
      <c r="F176" s="179">
        <v>3375000</v>
      </c>
      <c r="G176" s="180" t="s">
        <v>85</v>
      </c>
    </row>
    <row r="177" spans="1:7" ht="21.25" customHeight="1" x14ac:dyDescent="0.15">
      <c r="A177" s="10" t="s">
        <v>268</v>
      </c>
      <c r="B177" s="178">
        <v>132.4</v>
      </c>
      <c r="C177" s="178">
        <v>175</v>
      </c>
      <c r="D177" s="178" cm="1">
        <f t="array" ref="D177">IFERROR(AVERAGE(B177:C177),"—")</f>
        <v>153.69999999999999</v>
      </c>
      <c r="E177" s="85"/>
      <c r="F177" s="179">
        <v>966500</v>
      </c>
      <c r="G177" s="180" t="s">
        <v>802</v>
      </c>
    </row>
    <row r="178" spans="1:7" ht="21.25" customHeight="1" x14ac:dyDescent="0.15">
      <c r="A178" s="10" t="s">
        <v>500</v>
      </c>
      <c r="B178" s="178">
        <v>129.69999999999999</v>
      </c>
      <c r="C178" s="178">
        <v>181.2</v>
      </c>
      <c r="D178" s="178" cm="1">
        <f t="array" ref="D178">IFERROR(AVERAGE(B178:C178),"—")</f>
        <v>155.44999999999999</v>
      </c>
      <c r="E178" s="85"/>
      <c r="F178" s="179">
        <v>6250000</v>
      </c>
      <c r="G178" s="180" t="s">
        <v>802</v>
      </c>
    </row>
    <row r="179" spans="1:7" ht="21.25" customHeight="1" x14ac:dyDescent="0.15">
      <c r="A179" s="10" t="s">
        <v>386</v>
      </c>
      <c r="B179" s="178">
        <v>152.69999999999999</v>
      </c>
      <c r="C179" s="178">
        <v>158.30000000000001</v>
      </c>
      <c r="D179" s="178" cm="1">
        <f t="array" ref="D179">IFERROR(AVERAGE(B179:C179),"—")</f>
        <v>155.5</v>
      </c>
      <c r="E179" s="85"/>
      <c r="F179" s="179">
        <v>7000000</v>
      </c>
      <c r="G179" s="180" t="s">
        <v>802</v>
      </c>
    </row>
    <row r="180" spans="1:7" ht="21.25" customHeight="1" x14ac:dyDescent="0.15">
      <c r="A180" s="10" t="s">
        <v>451</v>
      </c>
      <c r="B180" s="178">
        <v>136.6</v>
      </c>
      <c r="C180" s="178">
        <v>177.4</v>
      </c>
      <c r="D180" s="178" cm="1">
        <f t="array" ref="D180">IFERROR(AVERAGE(B180:C180),"—")</f>
        <v>157</v>
      </c>
      <c r="E180" s="85"/>
      <c r="F180" s="179">
        <v>4500000</v>
      </c>
      <c r="G180" s="180" t="s">
        <v>802</v>
      </c>
    </row>
    <row r="181" spans="1:7" ht="21.25" customHeight="1" x14ac:dyDescent="0.15">
      <c r="A181" s="10" t="s">
        <v>238</v>
      </c>
      <c r="B181" s="178">
        <v>140.4</v>
      </c>
      <c r="C181" s="178">
        <v>175.2</v>
      </c>
      <c r="D181" s="178" cm="1">
        <f t="array" ref="D181">IFERROR(AVERAGE(B181:C181),"—")</f>
        <v>157.80000000000001</v>
      </c>
      <c r="E181" s="85"/>
      <c r="F181" s="179">
        <v>975000</v>
      </c>
      <c r="G181" s="180" t="s">
        <v>87</v>
      </c>
    </row>
    <row r="182" spans="1:7" ht="21.25" customHeight="1" x14ac:dyDescent="0.15">
      <c r="A182" s="10" t="s">
        <v>264</v>
      </c>
      <c r="B182" s="178">
        <v>132.5</v>
      </c>
      <c r="C182" s="178">
        <v>184.4</v>
      </c>
      <c r="D182" s="178" cm="1">
        <f t="array" ref="D182">IFERROR(AVERAGE(B182:C182),"—")</f>
        <v>158.44999999999999</v>
      </c>
      <c r="E182" s="85"/>
      <c r="F182" s="179">
        <v>8250000</v>
      </c>
      <c r="G182" s="180" t="s">
        <v>802</v>
      </c>
    </row>
    <row r="183" spans="1:7" ht="21.25" customHeight="1" x14ac:dyDescent="0.15">
      <c r="A183" s="10" t="s">
        <v>369</v>
      </c>
      <c r="B183" s="178">
        <v>145</v>
      </c>
      <c r="C183" s="178">
        <v>172.1</v>
      </c>
      <c r="D183" s="178" cm="1">
        <f t="array" ref="D183">IFERROR(AVERAGE(B183:C183),"—")</f>
        <v>158.55000000000001</v>
      </c>
      <c r="E183" s="85"/>
      <c r="F183" s="179">
        <v>4750000</v>
      </c>
      <c r="G183" s="180" t="s">
        <v>802</v>
      </c>
    </row>
    <row r="184" spans="1:7" ht="21.25" customHeight="1" x14ac:dyDescent="0.15">
      <c r="A184" s="10" t="s">
        <v>475</v>
      </c>
      <c r="B184" s="178">
        <v>138.4</v>
      </c>
      <c r="C184" s="178">
        <v>181.2</v>
      </c>
      <c r="D184" s="178" cm="1">
        <f t="array" ref="D184">IFERROR(AVERAGE(B184:C184),"—")</f>
        <v>159.80000000000001</v>
      </c>
      <c r="E184" s="85"/>
      <c r="F184" s="179">
        <v>5750000</v>
      </c>
      <c r="G184" s="180" t="s">
        <v>802</v>
      </c>
    </row>
    <row r="185" spans="1:7" ht="21.25" customHeight="1" x14ac:dyDescent="0.15">
      <c r="A185" s="10" t="s">
        <v>388</v>
      </c>
      <c r="B185" s="178">
        <v>131.4</v>
      </c>
      <c r="C185" s="178">
        <v>188.3</v>
      </c>
      <c r="D185" s="178" cm="1">
        <f t="array" ref="D185">IFERROR(AVERAGE(B185:C185),"—")</f>
        <v>159.85000000000002</v>
      </c>
      <c r="E185" s="85"/>
      <c r="F185" s="179">
        <v>2000000</v>
      </c>
      <c r="G185" s="180" t="s">
        <v>802</v>
      </c>
    </row>
    <row r="186" spans="1:7" ht="21.25" customHeight="1" x14ac:dyDescent="0.15">
      <c r="A186" s="10" t="s">
        <v>199</v>
      </c>
      <c r="B186" s="178">
        <v>135.4</v>
      </c>
      <c r="C186" s="178">
        <v>184.7</v>
      </c>
      <c r="D186" s="178" cm="1">
        <f t="array" ref="D186">IFERROR(AVERAGE(B186:C186),"—")</f>
        <v>160.05000000000001</v>
      </c>
      <c r="E186" s="85"/>
      <c r="F186" s="179">
        <v>5833000</v>
      </c>
      <c r="G186" s="180" t="s">
        <v>802</v>
      </c>
    </row>
    <row r="187" spans="1:7" ht="21.25" customHeight="1" x14ac:dyDescent="0.15">
      <c r="A187" s="10" t="s">
        <v>301</v>
      </c>
      <c r="B187" s="178">
        <v>145.9</v>
      </c>
      <c r="C187" s="178">
        <v>175.5</v>
      </c>
      <c r="D187" s="178" cm="1">
        <f t="array" ref="D187">IFERROR(AVERAGE(B187:C187),"—")</f>
        <v>160.69999999999999</v>
      </c>
      <c r="E187" s="85"/>
      <c r="F187" s="179">
        <v>5600000</v>
      </c>
      <c r="G187" s="180" t="s">
        <v>802</v>
      </c>
    </row>
    <row r="188" spans="1:7" ht="21.25" customHeight="1" x14ac:dyDescent="0.15">
      <c r="A188" s="10" t="s">
        <v>458</v>
      </c>
      <c r="B188" s="178">
        <v>146.6</v>
      </c>
      <c r="C188" s="178">
        <v>177.9</v>
      </c>
      <c r="D188" s="178" cm="1">
        <f t="array" ref="D188">IFERROR(AVERAGE(B188:C188),"—")</f>
        <v>162.25</v>
      </c>
      <c r="E188" s="85"/>
      <c r="F188" s="179">
        <v>5000000</v>
      </c>
      <c r="G188" s="180" t="s">
        <v>802</v>
      </c>
    </row>
    <row r="189" spans="1:7" ht="21.25" customHeight="1" x14ac:dyDescent="0.15">
      <c r="A189" s="10" t="s">
        <v>317</v>
      </c>
      <c r="B189" s="178">
        <v>135.4</v>
      </c>
      <c r="C189" s="178">
        <v>189.3</v>
      </c>
      <c r="D189" s="178" cm="1">
        <f t="array" ref="D189">IFERROR(AVERAGE(B189:C189),"—")</f>
        <v>162.35000000000002</v>
      </c>
      <c r="E189" s="85"/>
      <c r="F189" s="179">
        <v>6000000</v>
      </c>
      <c r="G189" s="180" t="s">
        <v>802</v>
      </c>
    </row>
    <row r="190" spans="1:7" ht="21.25" customHeight="1" x14ac:dyDescent="0.15">
      <c r="A190" s="10" t="s">
        <v>465</v>
      </c>
      <c r="B190" s="178">
        <v>135.9</v>
      </c>
      <c r="C190" s="178">
        <v>191.1</v>
      </c>
      <c r="D190" s="178" cm="1">
        <f t="array" ref="D190">IFERROR(AVERAGE(B190:C190),"—")</f>
        <v>163.5</v>
      </c>
      <c r="E190" s="85"/>
      <c r="F190" s="179">
        <v>4500000</v>
      </c>
      <c r="G190" s="180" t="s">
        <v>802</v>
      </c>
    </row>
    <row r="191" spans="1:7" ht="21.25" customHeight="1" x14ac:dyDescent="0.15">
      <c r="A191" s="10" t="s">
        <v>446</v>
      </c>
      <c r="B191" s="178">
        <v>132.69999999999999</v>
      </c>
      <c r="C191" s="178">
        <v>194.7</v>
      </c>
      <c r="D191" s="178" cm="1">
        <f t="array" ref="D191">IFERROR(AVERAGE(B191:C191),"—")</f>
        <v>163.69999999999999</v>
      </c>
      <c r="E191" s="85"/>
      <c r="F191" s="179">
        <v>3750000</v>
      </c>
      <c r="G191" s="180" t="s">
        <v>85</v>
      </c>
    </row>
    <row r="192" spans="1:7" ht="21.25" customHeight="1" x14ac:dyDescent="0.15">
      <c r="A192" s="10" t="s">
        <v>536</v>
      </c>
      <c r="B192" s="180" t="s">
        <v>832</v>
      </c>
      <c r="C192" s="178">
        <v>165.4</v>
      </c>
      <c r="D192" s="178" cm="1">
        <f t="array" ref="D192">IFERROR(AVERAGE(B192:C192),"—")</f>
        <v>165.4</v>
      </c>
      <c r="E192" s="85"/>
      <c r="F192" s="179">
        <v>7000000</v>
      </c>
      <c r="G192" s="180" t="s">
        <v>802</v>
      </c>
    </row>
    <row r="193" spans="1:7" ht="21.25" customHeight="1" x14ac:dyDescent="0.15">
      <c r="A193" s="10" t="s">
        <v>424</v>
      </c>
      <c r="B193" s="178">
        <v>136</v>
      </c>
      <c r="C193" s="178">
        <v>195.1</v>
      </c>
      <c r="D193" s="178" cm="1">
        <f t="array" ref="D193">IFERROR(AVERAGE(B193:C193),"—")</f>
        <v>165.55</v>
      </c>
      <c r="E193" s="85"/>
      <c r="F193" s="179">
        <v>953750</v>
      </c>
      <c r="G193" s="180" t="s">
        <v>802</v>
      </c>
    </row>
    <row r="194" spans="1:7" ht="21.25" customHeight="1" x14ac:dyDescent="0.15">
      <c r="A194" s="10" t="s">
        <v>284</v>
      </c>
      <c r="B194" s="178">
        <v>147.69999999999999</v>
      </c>
      <c r="C194" s="178">
        <v>185.4</v>
      </c>
      <c r="D194" s="178" cm="1">
        <f t="array" ref="D194">IFERROR(AVERAGE(B194:C194),"—")</f>
        <v>166.55</v>
      </c>
      <c r="E194" s="85"/>
      <c r="F194" s="179">
        <v>7500000</v>
      </c>
      <c r="G194" s="180" t="s">
        <v>81</v>
      </c>
    </row>
    <row r="195" spans="1:7" ht="21.25" customHeight="1" x14ac:dyDescent="0.15">
      <c r="A195" s="10" t="s">
        <v>391</v>
      </c>
      <c r="B195" s="178">
        <v>131.1</v>
      </c>
      <c r="C195" s="178">
        <v>203.9</v>
      </c>
      <c r="D195" s="178" cm="1">
        <f t="array" ref="D195">IFERROR(AVERAGE(B195:C195),"—")</f>
        <v>167.5</v>
      </c>
      <c r="E195" s="85"/>
      <c r="F195" s="179">
        <v>950000</v>
      </c>
      <c r="G195" s="180" t="s">
        <v>85</v>
      </c>
    </row>
    <row r="196" spans="1:7" ht="21.25" customHeight="1" x14ac:dyDescent="0.15">
      <c r="A196" s="10" t="s">
        <v>318</v>
      </c>
      <c r="B196" s="178">
        <v>137.30000000000001</v>
      </c>
      <c r="C196" s="178">
        <v>198.3</v>
      </c>
      <c r="D196" s="178" cm="1">
        <f t="array" ref="D196">IFERROR(AVERAGE(B196:C196),"—")</f>
        <v>167.8</v>
      </c>
      <c r="E196" s="85"/>
      <c r="F196" s="179">
        <v>3350000</v>
      </c>
      <c r="G196" s="180" t="s">
        <v>802</v>
      </c>
    </row>
    <row r="197" spans="1:7" ht="21.25" customHeight="1" x14ac:dyDescent="0.15">
      <c r="A197" s="10" t="s">
        <v>205</v>
      </c>
      <c r="B197" s="178">
        <v>139.9</v>
      </c>
      <c r="C197" s="178">
        <v>199.1</v>
      </c>
      <c r="D197" s="178" cm="1">
        <f t="array" ref="D197">IFERROR(AVERAGE(B197:C197),"—")</f>
        <v>169.5</v>
      </c>
      <c r="E197" s="85"/>
      <c r="F197" s="179">
        <v>7500000</v>
      </c>
      <c r="G197" s="180" t="s">
        <v>802</v>
      </c>
    </row>
    <row r="198" spans="1:7" ht="21.25" customHeight="1" x14ac:dyDescent="0.15">
      <c r="A198" s="10" t="s">
        <v>522</v>
      </c>
      <c r="B198" s="178">
        <v>138.80000000000001</v>
      </c>
      <c r="C198" s="178">
        <v>202.6</v>
      </c>
      <c r="D198" s="178" cm="1">
        <f t="array" ref="D198">IFERROR(AVERAGE(B198:C198),"—")</f>
        <v>170.7</v>
      </c>
      <c r="E198" s="85"/>
      <c r="F198" s="179">
        <v>4750000</v>
      </c>
      <c r="G198" s="180" t="s">
        <v>802</v>
      </c>
    </row>
    <row r="199" spans="1:7" ht="21.25" customHeight="1" x14ac:dyDescent="0.15">
      <c r="A199" s="10" t="s">
        <v>438</v>
      </c>
      <c r="B199" s="178">
        <v>132.19999999999999</v>
      </c>
      <c r="C199" s="178">
        <v>210.6</v>
      </c>
      <c r="D199" s="178" cm="1">
        <f t="array" ref="D199">IFERROR(AVERAGE(B199:C199),"—")</f>
        <v>171.39999999999998</v>
      </c>
      <c r="E199" s="85"/>
      <c r="F199" s="179">
        <v>5750000</v>
      </c>
      <c r="G199" s="180" t="s">
        <v>802</v>
      </c>
    </row>
    <row r="200" spans="1:7" ht="21.25" customHeight="1" x14ac:dyDescent="0.15">
      <c r="A200" s="10" t="s">
        <v>427</v>
      </c>
      <c r="B200" s="178">
        <v>127.5</v>
      </c>
      <c r="C200" s="178">
        <v>216.3</v>
      </c>
      <c r="D200" s="178" cm="1">
        <f t="array" ref="D200">IFERROR(AVERAGE(B200:C200),"—")</f>
        <v>171.9</v>
      </c>
      <c r="E200" s="85"/>
      <c r="F200" s="179">
        <v>6800000</v>
      </c>
      <c r="G200" s="180" t="s">
        <v>87</v>
      </c>
    </row>
    <row r="201" spans="1:7" ht="21.25" customHeight="1" x14ac:dyDescent="0.15">
      <c r="A201" s="10" t="s">
        <v>340</v>
      </c>
      <c r="B201" s="178">
        <v>109.7</v>
      </c>
      <c r="C201" s="178">
        <v>235.8</v>
      </c>
      <c r="D201" s="178" cm="1">
        <f t="array" ref="D201">IFERROR(AVERAGE(B201:C201),"—")</f>
        <v>172.75</v>
      </c>
      <c r="E201" s="85"/>
      <c r="F201" s="179">
        <v>4750000</v>
      </c>
      <c r="G201" s="180" t="s">
        <v>802</v>
      </c>
    </row>
    <row r="202" spans="1:7" ht="21.25" customHeight="1" x14ac:dyDescent="0.15">
      <c r="A202" s="10" t="s">
        <v>356</v>
      </c>
      <c r="B202" s="178">
        <v>141.6</v>
      </c>
      <c r="C202" s="178">
        <v>204.2</v>
      </c>
      <c r="D202" s="178" cm="1">
        <f t="array" ref="D202">IFERROR(AVERAGE(B202:C202),"—")</f>
        <v>172.89999999999998</v>
      </c>
      <c r="E202" s="85"/>
      <c r="F202" s="179">
        <v>6000000</v>
      </c>
      <c r="G202" s="180" t="s">
        <v>85</v>
      </c>
    </row>
    <row r="203" spans="1:7" ht="21.25" customHeight="1" x14ac:dyDescent="0.15">
      <c r="A203" s="10" t="s">
        <v>324</v>
      </c>
      <c r="B203" s="178">
        <v>127.6</v>
      </c>
      <c r="C203" s="178">
        <v>220.7</v>
      </c>
      <c r="D203" s="178" cm="1">
        <f t="array" ref="D203">IFERROR(AVERAGE(B203:C203),"—")</f>
        <v>174.14999999999998</v>
      </c>
      <c r="E203" s="85"/>
      <c r="F203" s="179">
        <v>7000000</v>
      </c>
      <c r="G203" s="180" t="s">
        <v>802</v>
      </c>
    </row>
    <row r="204" spans="1:7" ht="21.25" customHeight="1" x14ac:dyDescent="0.15">
      <c r="A204" s="10" t="s">
        <v>454</v>
      </c>
      <c r="B204" s="178">
        <v>132.19999999999999</v>
      </c>
      <c r="C204" s="178">
        <v>216.8</v>
      </c>
      <c r="D204" s="178" cm="1">
        <f t="array" ref="D204">IFERROR(AVERAGE(B204:C204),"—")</f>
        <v>174.5</v>
      </c>
      <c r="E204" s="85"/>
      <c r="F204" s="179">
        <v>6750000</v>
      </c>
      <c r="G204" s="180" t="s">
        <v>802</v>
      </c>
    </row>
    <row r="205" spans="1:7" ht="21.25" customHeight="1" x14ac:dyDescent="0.15">
      <c r="A205" s="10" t="s">
        <v>357</v>
      </c>
      <c r="B205" s="178">
        <v>136.4</v>
      </c>
      <c r="C205" s="178">
        <v>213.4</v>
      </c>
      <c r="D205" s="178" cm="1">
        <f t="array" ref="D205">IFERROR(AVERAGE(B205:C205),"—")</f>
        <v>174.9</v>
      </c>
      <c r="E205" s="85"/>
      <c r="F205" s="179">
        <v>5500000</v>
      </c>
      <c r="G205" s="180" t="s">
        <v>802</v>
      </c>
    </row>
    <row r="206" spans="1:7" ht="21.25" customHeight="1" x14ac:dyDescent="0.15">
      <c r="A206" s="10" t="s">
        <v>316</v>
      </c>
      <c r="B206" s="178">
        <v>140.19999999999999</v>
      </c>
      <c r="C206" s="178">
        <v>210.2</v>
      </c>
      <c r="D206" s="178" cm="1">
        <f t="array" ref="D206">IFERROR(AVERAGE(B206:C206),"—")</f>
        <v>175.2</v>
      </c>
      <c r="E206" s="85"/>
      <c r="F206" s="179">
        <v>7250000</v>
      </c>
      <c r="G206" s="180" t="s">
        <v>802</v>
      </c>
    </row>
    <row r="207" spans="1:7" ht="21.25" customHeight="1" x14ac:dyDescent="0.15">
      <c r="A207" s="10" t="s">
        <v>334</v>
      </c>
      <c r="B207" s="178">
        <v>135.30000000000001</v>
      </c>
      <c r="C207" s="178">
        <v>217</v>
      </c>
      <c r="D207" s="178" cm="1">
        <f t="array" ref="D207">IFERROR(AVERAGE(B207:C207),"—")</f>
        <v>176.15</v>
      </c>
      <c r="E207" s="85"/>
      <c r="F207" s="179">
        <v>7000000</v>
      </c>
      <c r="G207" s="180" t="s">
        <v>802</v>
      </c>
    </row>
    <row r="208" spans="1:7" ht="21.25" customHeight="1" x14ac:dyDescent="0.15">
      <c r="A208" s="10" t="s">
        <v>348</v>
      </c>
      <c r="B208" s="178">
        <v>140.19999999999999</v>
      </c>
      <c r="C208" s="178">
        <v>212.3</v>
      </c>
      <c r="D208" s="178" cm="1">
        <f t="array" ref="D208">IFERROR(AVERAGE(B208:C208),"—")</f>
        <v>176.25</v>
      </c>
      <c r="E208" s="85"/>
      <c r="F208" s="179">
        <v>4750000</v>
      </c>
      <c r="G208" s="180" t="s">
        <v>802</v>
      </c>
    </row>
    <row r="209" spans="1:7" ht="21.25" customHeight="1" x14ac:dyDescent="0.15">
      <c r="A209" s="10" t="s">
        <v>288</v>
      </c>
      <c r="B209" s="178">
        <v>138.69999999999999</v>
      </c>
      <c r="C209" s="178">
        <v>218.1</v>
      </c>
      <c r="D209" s="178" cm="1">
        <f t="array" ref="D209">IFERROR(AVERAGE(B209:C209),"—")</f>
        <v>178.39999999999998</v>
      </c>
      <c r="E209" s="85"/>
      <c r="F209" s="179">
        <v>975000</v>
      </c>
      <c r="G209" s="180" t="s">
        <v>84</v>
      </c>
    </row>
    <row r="210" spans="1:7" ht="21.25" customHeight="1" x14ac:dyDescent="0.15">
      <c r="A210" s="10" t="s">
        <v>342</v>
      </c>
      <c r="B210" s="178">
        <v>131.5</v>
      </c>
      <c r="C210" s="178">
        <v>235.8</v>
      </c>
      <c r="D210" s="178" cm="1">
        <f t="array" ref="D210">IFERROR(AVERAGE(B210:C210),"—")</f>
        <v>183.65</v>
      </c>
      <c r="E210" s="85"/>
      <c r="F210" s="179">
        <v>2000000</v>
      </c>
      <c r="G210" s="180" t="s">
        <v>802</v>
      </c>
    </row>
    <row r="211" spans="1:7" ht="21.25" customHeight="1" x14ac:dyDescent="0.15">
      <c r="A211" s="10" t="s">
        <v>285</v>
      </c>
      <c r="B211" s="178">
        <v>130.1</v>
      </c>
      <c r="C211" s="178">
        <v>237.9</v>
      </c>
      <c r="D211" s="178" cm="1">
        <f t="array" ref="D211">IFERROR(AVERAGE(B211:C211),"—")</f>
        <v>184</v>
      </c>
      <c r="E211" s="85"/>
      <c r="F211" s="179">
        <v>4000000</v>
      </c>
      <c r="G211" s="180" t="s">
        <v>87</v>
      </c>
    </row>
    <row r="212" spans="1:7" ht="21.25" customHeight="1" x14ac:dyDescent="0.15">
      <c r="A212" s="10" t="s">
        <v>418</v>
      </c>
      <c r="B212" s="180" t="s">
        <v>832</v>
      </c>
      <c r="C212" s="178">
        <v>185.8</v>
      </c>
      <c r="D212" s="178" cm="1">
        <f t="array" ref="D212">IFERROR(AVERAGE(B212:C212),"—")</f>
        <v>185.8</v>
      </c>
      <c r="E212" s="85"/>
      <c r="F212" s="179">
        <v>1000000</v>
      </c>
      <c r="G212" s="180" t="s">
        <v>802</v>
      </c>
    </row>
    <row r="213" spans="1:7" ht="21.25" customHeight="1" x14ac:dyDescent="0.15">
      <c r="A213" s="10" t="s">
        <v>511</v>
      </c>
      <c r="B213" s="178">
        <v>128</v>
      </c>
      <c r="C213" s="178">
        <v>244.3</v>
      </c>
      <c r="D213" s="178" cm="1">
        <f t="array" ref="D213">IFERROR(AVERAGE(B213:C213),"—")</f>
        <v>186.15</v>
      </c>
      <c r="E213" s="85"/>
      <c r="F213" s="179">
        <v>941667</v>
      </c>
      <c r="G213" s="180" t="s">
        <v>802</v>
      </c>
    </row>
    <row r="214" spans="1:7" ht="21.25" customHeight="1" x14ac:dyDescent="0.15">
      <c r="A214" s="10" t="s">
        <v>209</v>
      </c>
      <c r="B214" s="178">
        <v>138.30000000000001</v>
      </c>
      <c r="C214" s="178">
        <v>234.3</v>
      </c>
      <c r="D214" s="178" cm="1">
        <f t="array" ref="D214">IFERROR(AVERAGE(B214:C214),"—")</f>
        <v>186.3</v>
      </c>
      <c r="E214" s="85"/>
      <c r="F214" s="179">
        <v>6400000</v>
      </c>
      <c r="G214" s="180" t="s">
        <v>802</v>
      </c>
    </row>
    <row r="215" spans="1:7" ht="21.25" customHeight="1" x14ac:dyDescent="0.15">
      <c r="A215" s="10" t="s">
        <v>305</v>
      </c>
      <c r="B215" s="178">
        <v>130.30000000000001</v>
      </c>
      <c r="C215" s="178">
        <v>242.6</v>
      </c>
      <c r="D215" s="178" cm="1">
        <f t="array" ref="D215">IFERROR(AVERAGE(B215:C215),"—")</f>
        <v>186.45</v>
      </c>
      <c r="E215" s="85"/>
      <c r="F215" s="179">
        <v>7500000</v>
      </c>
      <c r="G215" s="180" t="s">
        <v>802</v>
      </c>
    </row>
    <row r="216" spans="1:7" ht="21.25" customHeight="1" x14ac:dyDescent="0.15">
      <c r="A216" s="10" t="s">
        <v>395</v>
      </c>
      <c r="B216" s="180" t="s">
        <v>832</v>
      </c>
      <c r="C216" s="178">
        <v>187.3</v>
      </c>
      <c r="D216" s="178" cm="1">
        <f t="array" ref="D216">IFERROR(AVERAGE(B216:C216),"—")</f>
        <v>187.3</v>
      </c>
      <c r="E216" s="85"/>
      <c r="F216" s="179">
        <v>6599000</v>
      </c>
      <c r="G216" s="180" t="s">
        <v>802</v>
      </c>
    </row>
    <row r="217" spans="1:7" ht="21.25" customHeight="1" x14ac:dyDescent="0.15">
      <c r="A217" s="10" t="s">
        <v>519</v>
      </c>
      <c r="B217" s="180" t="s">
        <v>832</v>
      </c>
      <c r="C217" s="178">
        <v>188.7</v>
      </c>
      <c r="D217" s="178" cm="1">
        <f t="array" ref="D217">IFERROR(AVERAGE(B217:C217),"—")</f>
        <v>188.7</v>
      </c>
      <c r="E217" s="85"/>
      <c r="F217" s="179">
        <v>7950000</v>
      </c>
      <c r="G217" s="180" t="s">
        <v>802</v>
      </c>
    </row>
    <row r="218" spans="1:7" ht="21.25" customHeight="1" x14ac:dyDescent="0.15">
      <c r="A218" s="10" t="s">
        <v>322</v>
      </c>
      <c r="B218" s="178">
        <v>140</v>
      </c>
      <c r="C218" s="178">
        <v>237.9</v>
      </c>
      <c r="D218" s="178" cm="1">
        <f t="array" ref="D218">IFERROR(AVERAGE(B218:C218),"—")</f>
        <v>188.95</v>
      </c>
      <c r="E218" s="85"/>
      <c r="F218" s="179">
        <v>5500000</v>
      </c>
      <c r="G218" s="180" t="s">
        <v>802</v>
      </c>
    </row>
    <row r="219" spans="1:7" ht="21.25" customHeight="1" x14ac:dyDescent="0.15">
      <c r="A219" s="10" t="s">
        <v>406</v>
      </c>
      <c r="B219" s="180" t="s">
        <v>832</v>
      </c>
      <c r="C219" s="178">
        <v>189.5</v>
      </c>
      <c r="D219" s="178" cm="1">
        <f t="array" ref="D219">IFERROR(AVERAGE(B219:C219),"—")</f>
        <v>189.5</v>
      </c>
      <c r="E219" s="85"/>
      <c r="F219" s="179">
        <v>3900000</v>
      </c>
      <c r="G219" s="180" t="s">
        <v>802</v>
      </c>
    </row>
    <row r="220" spans="1:7" ht="21.25" customHeight="1" x14ac:dyDescent="0.15">
      <c r="A220" s="10" t="s">
        <v>289</v>
      </c>
      <c r="B220" s="178">
        <v>139.9</v>
      </c>
      <c r="C220" s="178">
        <v>240</v>
      </c>
      <c r="D220" s="178" cm="1">
        <f t="array" ref="D220">IFERROR(AVERAGE(B220:C220),"—")</f>
        <v>189.95</v>
      </c>
      <c r="E220" s="85"/>
      <c r="F220" s="179">
        <v>6250000</v>
      </c>
      <c r="G220" s="180" t="s">
        <v>802</v>
      </c>
    </row>
    <row r="221" spans="1:7" ht="21.25" customHeight="1" x14ac:dyDescent="0.15">
      <c r="A221" s="10" t="s">
        <v>297</v>
      </c>
      <c r="B221" s="178">
        <v>133</v>
      </c>
      <c r="C221" s="178">
        <v>247</v>
      </c>
      <c r="D221" s="178" cm="1">
        <f t="array" ref="D221">IFERROR(AVERAGE(B221:C221),"—")</f>
        <v>190</v>
      </c>
      <c r="E221" s="85"/>
      <c r="F221" s="179">
        <v>7500000</v>
      </c>
      <c r="G221" s="180" t="s">
        <v>802</v>
      </c>
    </row>
    <row r="222" spans="1:7" ht="21.25" customHeight="1" x14ac:dyDescent="0.15">
      <c r="A222" s="10" t="s">
        <v>434</v>
      </c>
      <c r="B222" s="178">
        <v>147.69999999999999</v>
      </c>
      <c r="C222" s="178">
        <v>235.2</v>
      </c>
      <c r="D222" s="178" cm="1">
        <f t="array" ref="D222">IFERROR(AVERAGE(B222:C222),"—")</f>
        <v>191.45</v>
      </c>
      <c r="E222" s="85"/>
      <c r="F222" s="179">
        <v>5250000</v>
      </c>
      <c r="G222" s="180" t="s">
        <v>802</v>
      </c>
    </row>
    <row r="223" spans="1:7" ht="21.25" customHeight="1" x14ac:dyDescent="0.15">
      <c r="A223" s="10" t="s">
        <v>338</v>
      </c>
      <c r="B223" s="180" t="s">
        <v>832</v>
      </c>
      <c r="C223" s="178">
        <v>192</v>
      </c>
      <c r="D223" s="178" cm="1">
        <f t="array" ref="D223">IFERROR(AVERAGE(B223:C223),"—")</f>
        <v>192</v>
      </c>
      <c r="E223" s="85"/>
      <c r="F223" s="179">
        <v>6500000</v>
      </c>
      <c r="G223" s="180" t="s">
        <v>802</v>
      </c>
    </row>
    <row r="224" spans="1:7" ht="21.25" customHeight="1" x14ac:dyDescent="0.15">
      <c r="A224" s="10" t="s">
        <v>310</v>
      </c>
      <c r="B224" s="178">
        <v>130.9</v>
      </c>
      <c r="C224" s="178">
        <v>254.7</v>
      </c>
      <c r="D224" s="178" cm="1">
        <f t="array" ref="D224">IFERROR(AVERAGE(B224:C224),"—")</f>
        <v>192.8</v>
      </c>
      <c r="E224" s="85"/>
      <c r="F224" s="179">
        <v>7250000</v>
      </c>
      <c r="G224" s="180" t="s">
        <v>802</v>
      </c>
    </row>
    <row r="225" spans="1:7" ht="21.25" customHeight="1" x14ac:dyDescent="0.15">
      <c r="A225" s="10" t="s">
        <v>375</v>
      </c>
      <c r="B225" s="180" t="s">
        <v>832</v>
      </c>
      <c r="C225" s="178">
        <v>192.9</v>
      </c>
      <c r="D225" s="178" cm="1">
        <f t="array" ref="D225">IFERROR(AVERAGE(B225:C225),"—")</f>
        <v>192.9</v>
      </c>
      <c r="E225" s="85"/>
      <c r="F225" s="179">
        <v>7000000</v>
      </c>
      <c r="G225" s="180" t="s">
        <v>802</v>
      </c>
    </row>
    <row r="226" spans="1:7" ht="21.25" customHeight="1" x14ac:dyDescent="0.15">
      <c r="A226" s="10" t="s">
        <v>291</v>
      </c>
      <c r="B226" s="180" t="s">
        <v>832</v>
      </c>
      <c r="C226" s="178">
        <v>193</v>
      </c>
      <c r="D226" s="178" cm="1">
        <f t="array" ref="D226">IFERROR(AVERAGE(B226:C226),"—")</f>
        <v>193</v>
      </c>
      <c r="E226" s="85"/>
      <c r="F226" s="179"/>
      <c r="G226" s="180" t="s">
        <v>802</v>
      </c>
    </row>
    <row r="227" spans="1:7" ht="21.25" customHeight="1" x14ac:dyDescent="0.15">
      <c r="A227" s="10" t="s">
        <v>513</v>
      </c>
      <c r="B227" s="178">
        <v>133.30000000000001</v>
      </c>
      <c r="C227" s="178">
        <v>262.2</v>
      </c>
      <c r="D227" s="178" cm="1">
        <f t="array" ref="D227">IFERROR(AVERAGE(B227:C227),"—")</f>
        <v>197.75</v>
      </c>
      <c r="E227" s="85"/>
      <c r="F227" s="179">
        <v>1000000</v>
      </c>
      <c r="G227" s="180" t="s">
        <v>802</v>
      </c>
    </row>
    <row r="228" spans="1:7" ht="21.25" customHeight="1" x14ac:dyDescent="0.15">
      <c r="A228" s="10" t="s">
        <v>527</v>
      </c>
      <c r="B228" s="178">
        <v>125.6</v>
      </c>
      <c r="C228" s="178">
        <v>271</v>
      </c>
      <c r="D228" s="178" cm="1">
        <f t="array" ref="D228">IFERROR(AVERAGE(B228:C228),"—")</f>
        <v>198.3</v>
      </c>
      <c r="E228" s="85"/>
      <c r="F228" s="179">
        <v>4300000</v>
      </c>
      <c r="G228" s="180" t="s">
        <v>802</v>
      </c>
    </row>
    <row r="229" spans="1:7" ht="21.25" customHeight="1" x14ac:dyDescent="0.15">
      <c r="A229" s="10" t="s">
        <v>367</v>
      </c>
      <c r="B229" s="178">
        <v>135.30000000000001</v>
      </c>
      <c r="C229" s="178">
        <v>263.2</v>
      </c>
      <c r="D229" s="178" cm="1">
        <f t="array" ref="D229">IFERROR(AVERAGE(B229:C229),"—")</f>
        <v>199.25</v>
      </c>
      <c r="E229" s="85"/>
      <c r="F229" s="179">
        <v>6250000</v>
      </c>
      <c r="G229" s="180" t="s">
        <v>802</v>
      </c>
    </row>
    <row r="230" spans="1:7" ht="21.25" customHeight="1" x14ac:dyDescent="0.15">
      <c r="A230" s="10" t="s">
        <v>355</v>
      </c>
      <c r="B230" s="178">
        <v>127.6</v>
      </c>
      <c r="C230" s="178">
        <v>272.60000000000002</v>
      </c>
      <c r="D230" s="178" cm="1">
        <f t="array" ref="D230">IFERROR(AVERAGE(B230:C230),"—")</f>
        <v>200.10000000000002</v>
      </c>
      <c r="E230" s="85"/>
      <c r="F230" s="179">
        <v>6100000</v>
      </c>
      <c r="G230" s="180" t="s">
        <v>802</v>
      </c>
    </row>
    <row r="231" spans="1:7" ht="21.25" customHeight="1" x14ac:dyDescent="0.15">
      <c r="A231" s="10" t="s">
        <v>308</v>
      </c>
      <c r="B231" s="178">
        <v>138.4</v>
      </c>
      <c r="C231" s="178">
        <v>266.39999999999998</v>
      </c>
      <c r="D231" s="178" cm="1">
        <f t="array" ref="D231">IFERROR(AVERAGE(B231:C231),"—")</f>
        <v>202.39999999999998</v>
      </c>
      <c r="E231" s="85"/>
      <c r="F231" s="179">
        <v>1800000</v>
      </c>
      <c r="G231" s="180" t="s">
        <v>802</v>
      </c>
    </row>
    <row r="232" spans="1:7" ht="21.25" customHeight="1" x14ac:dyDescent="0.15">
      <c r="A232" s="10" t="s">
        <v>232</v>
      </c>
      <c r="B232" s="178">
        <v>132.5</v>
      </c>
      <c r="C232" s="178">
        <v>272.8</v>
      </c>
      <c r="D232" s="178" cm="1">
        <f t="array" ref="D232">IFERROR(AVERAGE(B232:C232),"—")</f>
        <v>202.65</v>
      </c>
      <c r="E232" s="85"/>
      <c r="F232" s="179">
        <v>8350000</v>
      </c>
      <c r="G232" s="180" t="s">
        <v>85</v>
      </c>
    </row>
    <row r="233" spans="1:7" ht="21.25" customHeight="1" x14ac:dyDescent="0.15">
      <c r="A233" s="10" t="s">
        <v>287</v>
      </c>
      <c r="B233" s="180" t="s">
        <v>832</v>
      </c>
      <c r="C233" s="178">
        <v>203.1</v>
      </c>
      <c r="D233" s="178" cm="1">
        <f t="array" ref="D233">IFERROR(AVERAGE(B233:C233),"—")</f>
        <v>203.1</v>
      </c>
      <c r="E233" s="85"/>
      <c r="F233" s="179">
        <v>6500000</v>
      </c>
      <c r="G233" s="180" t="s">
        <v>84</v>
      </c>
    </row>
    <row r="234" spans="1:7" ht="21.25" customHeight="1" x14ac:dyDescent="0.15">
      <c r="A234" s="10" t="s">
        <v>531</v>
      </c>
      <c r="B234" s="178">
        <v>128.9</v>
      </c>
      <c r="C234" s="178">
        <v>278.8</v>
      </c>
      <c r="D234" s="178" cm="1">
        <f t="array" ref="D234">IFERROR(AVERAGE(B234:C234),"—")</f>
        <v>203.85000000000002</v>
      </c>
      <c r="E234" s="85"/>
      <c r="F234" s="179">
        <v>3750000</v>
      </c>
      <c r="G234" s="180" t="s">
        <v>802</v>
      </c>
    </row>
    <row r="235" spans="1:7" ht="21.25" customHeight="1" x14ac:dyDescent="0.15">
      <c r="A235" s="10" t="s">
        <v>309</v>
      </c>
      <c r="B235" s="180" t="s">
        <v>832</v>
      </c>
      <c r="C235" s="178">
        <v>203.9</v>
      </c>
      <c r="D235" s="178" cm="1">
        <f t="array" ref="D235">IFERROR(AVERAGE(B235:C235),"—")</f>
        <v>203.9</v>
      </c>
      <c r="E235" s="85"/>
      <c r="F235" s="179">
        <v>4000000</v>
      </c>
      <c r="G235" s="180" t="s">
        <v>802</v>
      </c>
    </row>
    <row r="236" spans="1:7" ht="21.25" customHeight="1" x14ac:dyDescent="0.15">
      <c r="A236" s="10" t="s">
        <v>290</v>
      </c>
      <c r="B236" s="178">
        <v>134</v>
      </c>
      <c r="C236" s="178">
        <v>274.7</v>
      </c>
      <c r="D236" s="178" cm="1">
        <f t="array" ref="D236">IFERROR(AVERAGE(B236:C236),"—")</f>
        <v>204.35</v>
      </c>
      <c r="E236" s="85"/>
      <c r="F236" s="179"/>
      <c r="G236" s="180" t="s">
        <v>802</v>
      </c>
    </row>
    <row r="237" spans="1:7" ht="21.25" customHeight="1" x14ac:dyDescent="0.15">
      <c r="A237" s="10" t="s">
        <v>399</v>
      </c>
      <c r="B237" s="178">
        <v>131.69999999999999</v>
      </c>
      <c r="C237" s="178">
        <v>278.60000000000002</v>
      </c>
      <c r="D237" s="178" cm="1">
        <f t="array" ref="D237">IFERROR(AVERAGE(B237:C237),"—")</f>
        <v>205.15</v>
      </c>
      <c r="E237" s="85"/>
      <c r="F237" s="179">
        <v>2000000</v>
      </c>
      <c r="G237" s="180" t="s">
        <v>802</v>
      </c>
    </row>
    <row r="238" spans="1:7" ht="21.25" customHeight="1" x14ac:dyDescent="0.15">
      <c r="A238" s="10" t="s">
        <v>311</v>
      </c>
      <c r="B238" s="178">
        <v>149.1</v>
      </c>
      <c r="C238" s="178">
        <v>261.8</v>
      </c>
      <c r="D238" s="178" cm="1">
        <f t="array" ref="D238">IFERROR(AVERAGE(B238:C238),"—")</f>
        <v>205.45</v>
      </c>
      <c r="E238" s="85"/>
      <c r="F238" s="179">
        <v>5000000</v>
      </c>
      <c r="G238" s="180" t="s">
        <v>802</v>
      </c>
    </row>
    <row r="239" spans="1:7" ht="21.25" customHeight="1" x14ac:dyDescent="0.15">
      <c r="A239" s="10" t="s">
        <v>270</v>
      </c>
      <c r="B239" s="178">
        <v>140.4</v>
      </c>
      <c r="C239" s="178">
        <v>270.60000000000002</v>
      </c>
      <c r="D239" s="178" cm="1">
        <f t="array" ref="D239">IFERROR(AVERAGE(B239:C239),"—")</f>
        <v>205.5</v>
      </c>
      <c r="E239" s="85"/>
      <c r="F239" s="179">
        <v>6500000</v>
      </c>
      <c r="G239" s="180" t="s">
        <v>802</v>
      </c>
    </row>
    <row r="240" spans="1:7" ht="21.25" customHeight="1" x14ac:dyDescent="0.15">
      <c r="A240" s="10" t="s">
        <v>507</v>
      </c>
      <c r="B240" s="178">
        <v>134.19999999999999</v>
      </c>
      <c r="C240" s="178">
        <v>277.3</v>
      </c>
      <c r="D240" s="178" cm="1">
        <f t="array" ref="D240">IFERROR(AVERAGE(B240:C240),"—")</f>
        <v>205.75</v>
      </c>
      <c r="E240" s="85"/>
      <c r="F240" s="179">
        <v>886110</v>
      </c>
      <c r="G240" s="180" t="s">
        <v>802</v>
      </c>
    </row>
    <row r="241" spans="1:7" ht="21.25" customHeight="1" x14ac:dyDescent="0.15">
      <c r="A241" s="10" t="s">
        <v>323</v>
      </c>
      <c r="B241" s="178">
        <v>129</v>
      </c>
      <c r="C241" s="178">
        <v>283.8</v>
      </c>
      <c r="D241" s="178" cm="1">
        <f t="array" ref="D241">IFERROR(AVERAGE(B241:C241),"—")</f>
        <v>206.4</v>
      </c>
      <c r="E241" s="85"/>
      <c r="F241" s="179">
        <v>6500000</v>
      </c>
      <c r="G241" s="180" t="s">
        <v>802</v>
      </c>
    </row>
    <row r="242" spans="1:7" ht="21.25" customHeight="1" x14ac:dyDescent="0.15">
      <c r="A242" s="10" t="s">
        <v>381</v>
      </c>
      <c r="B242" s="178">
        <v>127.7</v>
      </c>
      <c r="C242" s="178">
        <v>285.39999999999998</v>
      </c>
      <c r="D242" s="178" cm="1">
        <f t="array" ref="D242">IFERROR(AVERAGE(B242:C242),"—")</f>
        <v>206.54999999999998</v>
      </c>
      <c r="E242" s="85"/>
      <c r="F242" s="179">
        <v>3500000</v>
      </c>
      <c r="G242" s="180" t="s">
        <v>802</v>
      </c>
    </row>
    <row r="243" spans="1:7" ht="21.25" customHeight="1" x14ac:dyDescent="0.15">
      <c r="A243" s="10" t="s">
        <v>393</v>
      </c>
      <c r="B243" s="178">
        <v>129.6</v>
      </c>
      <c r="C243" s="178">
        <v>283.7</v>
      </c>
      <c r="D243" s="178" cm="1">
        <f t="array" ref="D243">IFERROR(AVERAGE(B243:C243),"—")</f>
        <v>206.64999999999998</v>
      </c>
      <c r="E243" s="85"/>
      <c r="F243" s="179">
        <v>2800000</v>
      </c>
      <c r="G243" s="180" t="s">
        <v>802</v>
      </c>
    </row>
    <row r="244" spans="1:7" ht="21.25" customHeight="1" x14ac:dyDescent="0.15">
      <c r="A244" s="10" t="s">
        <v>380</v>
      </c>
      <c r="B244" s="180" t="s">
        <v>832</v>
      </c>
      <c r="C244" s="178">
        <v>207.7</v>
      </c>
      <c r="D244" s="178" cm="1">
        <f t="array" ref="D244">IFERROR(AVERAGE(B244:C244),"—")</f>
        <v>207.7</v>
      </c>
      <c r="E244" s="85"/>
      <c r="F244" s="179">
        <v>5000000</v>
      </c>
      <c r="G244" s="180" t="s">
        <v>802</v>
      </c>
    </row>
    <row r="245" spans="1:7" ht="21.25" customHeight="1" x14ac:dyDescent="0.15">
      <c r="A245" s="10" t="s">
        <v>517</v>
      </c>
      <c r="B245" s="178">
        <v>127</v>
      </c>
      <c r="C245" s="178">
        <v>288.60000000000002</v>
      </c>
      <c r="D245" s="178" cm="1">
        <f t="array" ref="D245">IFERROR(AVERAGE(B245:C245),"—")</f>
        <v>207.8</v>
      </c>
      <c r="E245" s="85"/>
      <c r="F245" s="179">
        <v>6250000</v>
      </c>
      <c r="G245" s="180" t="s">
        <v>802</v>
      </c>
    </row>
    <row r="246" spans="1:7" ht="21.25" customHeight="1" x14ac:dyDescent="0.15">
      <c r="A246" s="10" t="s">
        <v>554</v>
      </c>
      <c r="B246" s="178">
        <v>130.5</v>
      </c>
      <c r="C246" s="178">
        <v>285.89999999999998</v>
      </c>
      <c r="D246" s="178" cm="1">
        <f t="array" ref="D246">IFERROR(AVERAGE(B246:C246),"—")</f>
        <v>208.2</v>
      </c>
      <c r="E246" s="85"/>
      <c r="F246" s="179">
        <v>4000000</v>
      </c>
      <c r="G246" s="180" t="s">
        <v>802</v>
      </c>
    </row>
    <row r="247" spans="1:7" ht="21.25" customHeight="1" x14ac:dyDescent="0.15">
      <c r="A247" s="10" t="s">
        <v>493</v>
      </c>
      <c r="B247" s="178">
        <v>134.30000000000001</v>
      </c>
      <c r="C247" s="178">
        <v>282.5</v>
      </c>
      <c r="D247" s="178" cm="1">
        <f t="array" ref="D247">IFERROR(AVERAGE(B247:C247),"—")</f>
        <v>208.4</v>
      </c>
      <c r="E247" s="85"/>
      <c r="F247" s="179">
        <v>886667</v>
      </c>
      <c r="G247" s="180" t="s">
        <v>85</v>
      </c>
    </row>
    <row r="248" spans="1:7" ht="21.25" customHeight="1" x14ac:dyDescent="0.15">
      <c r="A248" s="10" t="s">
        <v>441</v>
      </c>
      <c r="B248" s="180" t="s">
        <v>832</v>
      </c>
      <c r="C248" s="178">
        <v>208.8</v>
      </c>
      <c r="D248" s="178" cm="1">
        <f t="array" ref="D248">IFERROR(AVERAGE(B248:C248),"—")</f>
        <v>208.8</v>
      </c>
      <c r="E248" s="85"/>
      <c r="F248" s="179">
        <v>6500000</v>
      </c>
      <c r="G248" s="180" t="s">
        <v>802</v>
      </c>
    </row>
    <row r="249" spans="1:7" ht="21.25" customHeight="1" x14ac:dyDescent="0.15">
      <c r="A249" s="10" t="s">
        <v>314</v>
      </c>
      <c r="B249" s="178">
        <v>128.30000000000001</v>
      </c>
      <c r="C249" s="178">
        <v>289.39999999999998</v>
      </c>
      <c r="D249" s="178" cm="1">
        <f t="array" ref="D249">IFERROR(AVERAGE(B249:C249),"—")</f>
        <v>208.85</v>
      </c>
      <c r="E249" s="85"/>
      <c r="F249" s="179">
        <v>6100000</v>
      </c>
      <c r="G249" s="180" t="s">
        <v>87</v>
      </c>
    </row>
    <row r="250" spans="1:7" ht="21.25" customHeight="1" x14ac:dyDescent="0.15">
      <c r="A250" s="10" t="s">
        <v>328</v>
      </c>
      <c r="B250" s="180" t="s">
        <v>832</v>
      </c>
      <c r="C250" s="178">
        <v>209</v>
      </c>
      <c r="D250" s="178" cm="1">
        <f t="array" ref="D250">IFERROR(AVERAGE(B250:C250),"—")</f>
        <v>209</v>
      </c>
      <c r="E250" s="85"/>
      <c r="F250" s="179">
        <v>3000000</v>
      </c>
      <c r="G250" s="180" t="s">
        <v>802</v>
      </c>
    </row>
    <row r="251" spans="1:7" ht="21.25" customHeight="1" x14ac:dyDescent="0.15">
      <c r="A251" s="10" t="s">
        <v>591</v>
      </c>
      <c r="B251" s="178">
        <v>130.4</v>
      </c>
      <c r="C251" s="178">
        <v>291.10000000000002</v>
      </c>
      <c r="D251" s="178" cm="1">
        <f t="array" ref="D251">IFERROR(AVERAGE(B251:C251),"—")</f>
        <v>210.75</v>
      </c>
      <c r="E251" s="85"/>
      <c r="F251" s="179">
        <v>953750</v>
      </c>
      <c r="G251" s="180" t="s">
        <v>85</v>
      </c>
    </row>
    <row r="252" spans="1:7" ht="21.25" customHeight="1" x14ac:dyDescent="0.15">
      <c r="A252" s="10" t="s">
        <v>344</v>
      </c>
      <c r="B252" s="178">
        <v>140.5</v>
      </c>
      <c r="C252" s="178">
        <v>281.7</v>
      </c>
      <c r="D252" s="178" cm="1">
        <f t="array" ref="D252">IFERROR(AVERAGE(B252:C252),"—")</f>
        <v>211.1</v>
      </c>
      <c r="E252" s="85"/>
      <c r="F252" s="179">
        <v>7000000</v>
      </c>
      <c r="G252" s="180" t="s">
        <v>802</v>
      </c>
    </row>
    <row r="253" spans="1:7" ht="21.25" customHeight="1" x14ac:dyDescent="0.15">
      <c r="A253" s="10" t="s">
        <v>461</v>
      </c>
      <c r="B253" s="178">
        <v>132</v>
      </c>
      <c r="C253" s="178">
        <v>290.2</v>
      </c>
      <c r="D253" s="178" cm="1">
        <f t="array" ref="D253">IFERROR(AVERAGE(B253:C253),"—")</f>
        <v>211.1</v>
      </c>
      <c r="E253" s="85"/>
      <c r="F253" s="179">
        <v>3666000</v>
      </c>
      <c r="G253" s="180" t="s">
        <v>802</v>
      </c>
    </row>
    <row r="254" spans="1:7" ht="21.25" customHeight="1" x14ac:dyDescent="0.15">
      <c r="A254" s="10" t="s">
        <v>538</v>
      </c>
      <c r="B254" s="178">
        <v>134.30000000000001</v>
      </c>
      <c r="C254" s="178">
        <v>288.5</v>
      </c>
      <c r="D254" s="178" cm="1">
        <f t="array" ref="D254">IFERROR(AVERAGE(B254:C254),"—")</f>
        <v>211.4</v>
      </c>
      <c r="E254" s="85"/>
      <c r="F254" s="179">
        <v>6000000</v>
      </c>
      <c r="G254" s="180" t="s">
        <v>802</v>
      </c>
    </row>
    <row r="255" spans="1:7" ht="21.25" customHeight="1" x14ac:dyDescent="0.15">
      <c r="A255" s="10" t="s">
        <v>425</v>
      </c>
      <c r="B255" s="178">
        <v>132.19999999999999</v>
      </c>
      <c r="C255" s="178">
        <v>290.8</v>
      </c>
      <c r="D255" s="178" cm="1">
        <f t="array" ref="D255">IFERROR(AVERAGE(B255:C255),"—")</f>
        <v>211.5</v>
      </c>
      <c r="E255" s="85"/>
      <c r="F255" s="179">
        <v>4400000</v>
      </c>
      <c r="G255" s="180" t="s">
        <v>802</v>
      </c>
    </row>
    <row r="256" spans="1:7" ht="21.25" customHeight="1" x14ac:dyDescent="0.15">
      <c r="A256" s="10" t="s">
        <v>358</v>
      </c>
      <c r="B256" s="178">
        <v>135.9</v>
      </c>
      <c r="C256" s="178">
        <v>287.2</v>
      </c>
      <c r="D256" s="178" cm="1">
        <f t="array" ref="D256">IFERROR(AVERAGE(B256:C256),"—")</f>
        <v>211.55</v>
      </c>
      <c r="E256" s="85"/>
      <c r="F256" s="179">
        <v>850000</v>
      </c>
      <c r="G256" s="180" t="s">
        <v>802</v>
      </c>
    </row>
    <row r="257" spans="1:7" ht="21.25" customHeight="1" x14ac:dyDescent="0.15">
      <c r="A257" s="10" t="s">
        <v>354</v>
      </c>
      <c r="B257" s="178">
        <v>133.9</v>
      </c>
      <c r="C257" s="178">
        <v>290.10000000000002</v>
      </c>
      <c r="D257" s="178" cm="1">
        <f t="array" ref="D257">IFERROR(AVERAGE(B257:C257),"—")</f>
        <v>212</v>
      </c>
      <c r="E257" s="85"/>
      <c r="F257" s="179">
        <v>6000000</v>
      </c>
      <c r="G257" s="180" t="s">
        <v>802</v>
      </c>
    </row>
    <row r="258" spans="1:7" ht="21.25" customHeight="1" x14ac:dyDescent="0.15">
      <c r="A258" s="10" t="s">
        <v>533</v>
      </c>
      <c r="B258" s="178">
        <v>133.4</v>
      </c>
      <c r="C258" s="178">
        <v>291.7</v>
      </c>
      <c r="D258" s="178" cm="1">
        <f t="array" ref="D258">IFERROR(AVERAGE(B258:C258),"—")</f>
        <v>212.55</v>
      </c>
      <c r="E258" s="85"/>
      <c r="F258" s="179">
        <v>3750000</v>
      </c>
      <c r="G258" s="180" t="s">
        <v>802</v>
      </c>
    </row>
    <row r="259" spans="1:7" ht="21.25" customHeight="1" x14ac:dyDescent="0.15">
      <c r="A259" s="10" t="s">
        <v>400</v>
      </c>
      <c r="B259" s="178">
        <v>132.4</v>
      </c>
      <c r="C259" s="178">
        <v>293.3</v>
      </c>
      <c r="D259" s="178" cm="1">
        <f t="array" ref="D259">IFERROR(AVERAGE(B259:C259),"—")</f>
        <v>212.85000000000002</v>
      </c>
      <c r="E259" s="85"/>
      <c r="F259" s="179">
        <v>941667</v>
      </c>
      <c r="G259" s="180" t="s">
        <v>802</v>
      </c>
    </row>
    <row r="260" spans="1:7" ht="21.25" customHeight="1" x14ac:dyDescent="0.15">
      <c r="A260" s="10" t="s">
        <v>331</v>
      </c>
      <c r="B260" s="178">
        <v>139.6</v>
      </c>
      <c r="C260" s="178">
        <v>286.5</v>
      </c>
      <c r="D260" s="178" cm="1">
        <f t="array" ref="D260">IFERROR(AVERAGE(B260:C260),"—")</f>
        <v>213.05</v>
      </c>
      <c r="E260" s="85"/>
      <c r="F260" s="179">
        <v>5250000</v>
      </c>
      <c r="G260" s="180" t="s">
        <v>802</v>
      </c>
    </row>
    <row r="261" spans="1:7" ht="21.25" customHeight="1" x14ac:dyDescent="0.15">
      <c r="A261" s="10" t="s">
        <v>445</v>
      </c>
      <c r="B261" s="180" t="s">
        <v>832</v>
      </c>
      <c r="C261" s="178">
        <v>213.4</v>
      </c>
      <c r="D261" s="178" cm="1">
        <f t="array" ref="D261">IFERROR(AVERAGE(B261:C261),"—")</f>
        <v>213.4</v>
      </c>
      <c r="E261" s="85"/>
      <c r="F261" s="179">
        <v>6000000</v>
      </c>
      <c r="G261" s="180" t="s">
        <v>802</v>
      </c>
    </row>
    <row r="262" spans="1:7" ht="21.25" customHeight="1" x14ac:dyDescent="0.15">
      <c r="A262" s="10" t="s">
        <v>255</v>
      </c>
      <c r="B262" s="178">
        <v>140.5</v>
      </c>
      <c r="C262" s="178">
        <v>286.39999999999998</v>
      </c>
      <c r="D262" s="178" cm="1">
        <f t="array" ref="D262">IFERROR(AVERAGE(B262:C262),"—")</f>
        <v>213.45</v>
      </c>
      <c r="E262" s="85"/>
      <c r="F262" s="179">
        <v>7350000</v>
      </c>
      <c r="G262" s="180" t="s">
        <v>802</v>
      </c>
    </row>
    <row r="263" spans="1:7" ht="21.25" customHeight="1" x14ac:dyDescent="0.15">
      <c r="A263" s="10" t="s">
        <v>292</v>
      </c>
      <c r="B263" s="178">
        <v>144.19999999999999</v>
      </c>
      <c r="C263" s="178">
        <v>285.39999999999998</v>
      </c>
      <c r="D263" s="178" cm="1">
        <f t="array" ref="D263">IFERROR(AVERAGE(B263:C263),"—")</f>
        <v>214.79999999999998</v>
      </c>
      <c r="E263" s="85"/>
      <c r="F263" s="179">
        <v>8500000</v>
      </c>
      <c r="G263" s="180" t="s">
        <v>802</v>
      </c>
    </row>
    <row r="264" spans="1:7" ht="21.25" customHeight="1" x14ac:dyDescent="0.15">
      <c r="A264" s="10" t="s">
        <v>327</v>
      </c>
      <c r="B264" s="178">
        <v>151</v>
      </c>
      <c r="C264" s="178">
        <v>283.7</v>
      </c>
      <c r="D264" s="178" cm="1">
        <f t="array" ref="D264">IFERROR(AVERAGE(B264:C264),"—")</f>
        <v>217.35</v>
      </c>
      <c r="E264" s="85"/>
      <c r="F264" s="179">
        <v>8500000</v>
      </c>
      <c r="G264" s="180" t="s">
        <v>802</v>
      </c>
    </row>
    <row r="265" spans="1:7" ht="21.25" customHeight="1" x14ac:dyDescent="0.15">
      <c r="A265" s="10" t="s">
        <v>561</v>
      </c>
      <c r="B265" s="178">
        <v>153.4</v>
      </c>
      <c r="C265" s="178">
        <v>281.60000000000002</v>
      </c>
      <c r="D265" s="178" cm="1">
        <f t="array" ref="D265">IFERROR(AVERAGE(B265:C265),"—")</f>
        <v>217.5</v>
      </c>
      <c r="E265" s="85"/>
      <c r="F265" s="179">
        <v>945833</v>
      </c>
      <c r="G265" s="180" t="s">
        <v>802</v>
      </c>
    </row>
    <row r="266" spans="1:7" ht="21.25" customHeight="1" x14ac:dyDescent="0.15">
      <c r="A266" s="10" t="s">
        <v>452</v>
      </c>
      <c r="B266" s="178">
        <v>153.30000000000001</v>
      </c>
      <c r="C266" s="178">
        <v>286.39999999999998</v>
      </c>
      <c r="D266" s="178" cm="1">
        <f t="array" ref="D266">IFERROR(AVERAGE(B266:C266),"—")</f>
        <v>219.85</v>
      </c>
      <c r="E266" s="85"/>
      <c r="F266" s="179">
        <v>1500000</v>
      </c>
      <c r="G266" s="180" t="s">
        <v>802</v>
      </c>
    </row>
    <row r="267" spans="1:7" ht="21.25" customHeight="1" x14ac:dyDescent="0.15">
      <c r="A267" s="10" t="s">
        <v>502</v>
      </c>
      <c r="B267" s="180" t="s">
        <v>832</v>
      </c>
      <c r="C267" s="178">
        <v>228</v>
      </c>
      <c r="D267" s="178" cm="1">
        <f t="array" ref="D267">IFERROR(AVERAGE(B267:C267),"—")</f>
        <v>228</v>
      </c>
      <c r="E267" s="85"/>
      <c r="F267" s="179">
        <v>945417</v>
      </c>
      <c r="G267" s="180" t="s">
        <v>802</v>
      </c>
    </row>
    <row r="268" spans="1:7" ht="21.25" customHeight="1" x14ac:dyDescent="0.15">
      <c r="A268" s="10" t="s">
        <v>404</v>
      </c>
      <c r="B268" s="180" t="s">
        <v>832</v>
      </c>
      <c r="C268" s="178">
        <v>232.3</v>
      </c>
      <c r="D268" s="178" cm="1">
        <f t="array" ref="D268">IFERROR(AVERAGE(B268:C268),"—")</f>
        <v>232.3</v>
      </c>
      <c r="E268" s="85"/>
      <c r="F268" s="179">
        <v>3375000</v>
      </c>
      <c r="G268" s="180" t="s">
        <v>802</v>
      </c>
    </row>
    <row r="269" spans="1:7" ht="21.25" customHeight="1" x14ac:dyDescent="0.15">
      <c r="A269" s="10" t="s">
        <v>408</v>
      </c>
      <c r="B269" s="180" t="s">
        <v>832</v>
      </c>
      <c r="C269" s="178">
        <v>237.3</v>
      </c>
      <c r="D269" s="178" cm="1">
        <f t="array" ref="D269">IFERROR(AVERAGE(B269:C269),"—")</f>
        <v>237.3</v>
      </c>
      <c r="E269" s="85"/>
      <c r="F269" s="179">
        <v>8000000</v>
      </c>
      <c r="G269" s="180" t="s">
        <v>802</v>
      </c>
    </row>
    <row r="270" spans="1:7" ht="21.25" customHeight="1" x14ac:dyDescent="0.15">
      <c r="A270" s="10" t="s">
        <v>428</v>
      </c>
      <c r="B270" s="180" t="s">
        <v>832</v>
      </c>
      <c r="C270" s="178">
        <v>240.5</v>
      </c>
      <c r="D270" s="178" cm="1">
        <f t="array" ref="D270">IFERROR(AVERAGE(B270:C270),"—")</f>
        <v>240.5</v>
      </c>
      <c r="E270" s="85"/>
      <c r="F270" s="179">
        <v>7750000</v>
      </c>
      <c r="G270" s="180" t="s">
        <v>802</v>
      </c>
    </row>
    <row r="271" spans="1:7" ht="21.25" customHeight="1" x14ac:dyDescent="0.15">
      <c r="A271" s="10" t="s">
        <v>365</v>
      </c>
      <c r="B271" s="180" t="s">
        <v>832</v>
      </c>
      <c r="C271" s="178">
        <v>241.1</v>
      </c>
      <c r="D271" s="178" cm="1">
        <f t="array" ref="D271">IFERROR(AVERAGE(B271:C271),"—")</f>
        <v>241.1</v>
      </c>
      <c r="E271" s="85"/>
      <c r="F271" s="179">
        <v>6000000</v>
      </c>
      <c r="G271" s="180" t="s">
        <v>802</v>
      </c>
    </row>
    <row r="272" spans="1:7" ht="21.25" customHeight="1" x14ac:dyDescent="0.15">
      <c r="A272" s="10" t="s">
        <v>485</v>
      </c>
      <c r="B272" s="180" t="s">
        <v>832</v>
      </c>
      <c r="C272" s="178">
        <v>247</v>
      </c>
      <c r="D272" s="178" cm="1">
        <f t="array" ref="D272">IFERROR(AVERAGE(B272:C272),"—")</f>
        <v>247</v>
      </c>
      <c r="E272" s="85"/>
      <c r="F272" s="179">
        <v>5500000</v>
      </c>
      <c r="G272" s="180" t="s">
        <v>802</v>
      </c>
    </row>
    <row r="273" spans="1:7" ht="21.25" customHeight="1" x14ac:dyDescent="0.15">
      <c r="A273" s="10" t="s">
        <v>499</v>
      </c>
      <c r="B273" s="180" t="s">
        <v>832</v>
      </c>
      <c r="C273" s="178">
        <v>252.1</v>
      </c>
      <c r="D273" s="178" cm="1">
        <f t="array" ref="D273">IFERROR(AVERAGE(B273:C273),"—")</f>
        <v>252.1</v>
      </c>
      <c r="E273" s="85"/>
      <c r="F273" s="179">
        <v>6000000</v>
      </c>
      <c r="G273" s="180" t="s">
        <v>802</v>
      </c>
    </row>
    <row r="274" spans="1:7" ht="21.25" customHeight="1" x14ac:dyDescent="0.15">
      <c r="A274" s="10" t="s">
        <v>579</v>
      </c>
      <c r="B274" s="180" t="s">
        <v>832</v>
      </c>
      <c r="C274" s="178">
        <v>252.2</v>
      </c>
      <c r="D274" s="178" cm="1">
        <f t="array" ref="D274">IFERROR(AVERAGE(B274:C274),"—")</f>
        <v>252.2</v>
      </c>
      <c r="E274" s="85"/>
      <c r="F274" s="179">
        <v>4750000</v>
      </c>
      <c r="G274" s="180" t="s">
        <v>802</v>
      </c>
    </row>
    <row r="275" spans="1:7" ht="21.25" customHeight="1" x14ac:dyDescent="0.15">
      <c r="A275" s="10" t="s">
        <v>453</v>
      </c>
      <c r="B275" s="180" t="s">
        <v>832</v>
      </c>
      <c r="C275" s="178">
        <v>255.9</v>
      </c>
      <c r="D275" s="178" cm="1">
        <f t="array" ref="D275">IFERROR(AVERAGE(B275:C275),"—")</f>
        <v>255.9</v>
      </c>
      <c r="E275" s="85"/>
      <c r="F275" s="179">
        <v>8500000</v>
      </c>
      <c r="G275" s="180" t="s">
        <v>802</v>
      </c>
    </row>
    <row r="276" spans="1:7" ht="21.25" customHeight="1" x14ac:dyDescent="0.15">
      <c r="A276" s="10" t="s">
        <v>329</v>
      </c>
      <c r="B276" s="180" t="s">
        <v>832</v>
      </c>
      <c r="C276" s="178">
        <v>258.10000000000002</v>
      </c>
      <c r="D276" s="178" cm="1">
        <f t="array" ref="D276">IFERROR(AVERAGE(B276:C276),"—")</f>
        <v>258.10000000000002</v>
      </c>
      <c r="E276" s="85"/>
      <c r="F276" s="179">
        <v>3615000</v>
      </c>
      <c r="G276" s="180" t="s">
        <v>802</v>
      </c>
    </row>
    <row r="277" spans="1:7" ht="21.25" customHeight="1" x14ac:dyDescent="0.15">
      <c r="A277" s="10" t="s">
        <v>429</v>
      </c>
      <c r="B277" s="180" t="s">
        <v>832</v>
      </c>
      <c r="C277" s="178">
        <v>258.3</v>
      </c>
      <c r="D277" s="178" cm="1">
        <f t="array" ref="D277">IFERROR(AVERAGE(B277:C277),"—")</f>
        <v>258.3</v>
      </c>
      <c r="E277" s="85"/>
      <c r="F277" s="179">
        <v>975000</v>
      </c>
      <c r="G277" s="180" t="s">
        <v>802</v>
      </c>
    </row>
    <row r="278" spans="1:7" ht="21.25" customHeight="1" x14ac:dyDescent="0.15">
      <c r="A278" s="10" t="s">
        <v>449</v>
      </c>
      <c r="B278" s="180" t="s">
        <v>832</v>
      </c>
      <c r="C278" s="178">
        <v>261.60000000000002</v>
      </c>
      <c r="D278" s="178" cm="1">
        <f t="array" ref="D278">IFERROR(AVERAGE(B278:C278),"—")</f>
        <v>261.60000000000002</v>
      </c>
      <c r="E278" s="85"/>
      <c r="F278" s="179">
        <v>4900000</v>
      </c>
      <c r="G278" s="180" t="s">
        <v>802</v>
      </c>
    </row>
    <row r="279" spans="1:7" ht="21.25" customHeight="1" x14ac:dyDescent="0.15">
      <c r="A279" s="10" t="s">
        <v>550</v>
      </c>
      <c r="B279" s="180" t="s">
        <v>832</v>
      </c>
      <c r="C279" s="178">
        <v>262.2</v>
      </c>
      <c r="D279" s="178" cm="1">
        <f t="array" ref="D279">IFERROR(AVERAGE(B279:C279),"—")</f>
        <v>262.2</v>
      </c>
      <c r="E279" s="85"/>
      <c r="F279" s="179">
        <v>3250000</v>
      </c>
      <c r="G279" s="180" t="s">
        <v>85</v>
      </c>
    </row>
    <row r="280" spans="1:7" ht="21.25" customHeight="1" x14ac:dyDescent="0.15">
      <c r="A280" s="10" t="s">
        <v>343</v>
      </c>
      <c r="B280" s="180" t="s">
        <v>832</v>
      </c>
      <c r="C280" s="178">
        <v>267.3</v>
      </c>
      <c r="D280" s="178" cm="1">
        <f t="array" ref="D280">IFERROR(AVERAGE(B280:C280),"—")</f>
        <v>267.3</v>
      </c>
      <c r="E280" s="85"/>
      <c r="F280" s="179">
        <v>953750</v>
      </c>
      <c r="G280" s="180" t="s">
        <v>84</v>
      </c>
    </row>
    <row r="281" spans="1:7" ht="21.25" customHeight="1" x14ac:dyDescent="0.15">
      <c r="A281" s="10" t="s">
        <v>313</v>
      </c>
      <c r="B281" s="180" t="s">
        <v>832</v>
      </c>
      <c r="C281" s="178">
        <v>267.5</v>
      </c>
      <c r="D281" s="178" cm="1">
        <f t="array" ref="D281">IFERROR(AVERAGE(B281:C281),"—")</f>
        <v>267.5</v>
      </c>
      <c r="E281" s="85"/>
      <c r="F281" s="179">
        <v>5000000</v>
      </c>
      <c r="G281" s="180" t="s">
        <v>802</v>
      </c>
    </row>
    <row r="282" spans="1:7" ht="21.25" customHeight="1" x14ac:dyDescent="0.15">
      <c r="A282" s="10" t="s">
        <v>320</v>
      </c>
      <c r="B282" s="180" t="s">
        <v>832</v>
      </c>
      <c r="C282" s="178">
        <v>267.7</v>
      </c>
      <c r="D282" s="178" cm="1">
        <f t="array" ref="D282">IFERROR(AVERAGE(B282:C282),"—")</f>
        <v>267.7</v>
      </c>
      <c r="E282" s="85"/>
      <c r="F282" s="179">
        <v>7142000</v>
      </c>
      <c r="G282" s="180" t="s">
        <v>802</v>
      </c>
    </row>
    <row r="283" spans="1:7" ht="21.25" customHeight="1" x14ac:dyDescent="0.15">
      <c r="A283" s="10" t="s">
        <v>444</v>
      </c>
      <c r="B283" s="180" t="s">
        <v>832</v>
      </c>
      <c r="C283" s="178">
        <v>271.7</v>
      </c>
      <c r="D283" s="178" cm="1">
        <f t="array" ref="D283">IFERROR(AVERAGE(B283:C283),"—")</f>
        <v>271.7</v>
      </c>
      <c r="E283" s="85"/>
      <c r="F283" s="179">
        <v>6800000</v>
      </c>
      <c r="G283" s="180" t="s">
        <v>802</v>
      </c>
    </row>
    <row r="284" spans="1:7" ht="21.25" customHeight="1" x14ac:dyDescent="0.15">
      <c r="A284" s="10" t="s">
        <v>374</v>
      </c>
      <c r="B284" s="180" t="s">
        <v>832</v>
      </c>
      <c r="C284" s="178">
        <v>272.3</v>
      </c>
      <c r="D284" s="178" cm="1">
        <f t="array" ref="D284">IFERROR(AVERAGE(B284:C284),"—")</f>
        <v>272.3</v>
      </c>
      <c r="E284" s="85"/>
      <c r="F284" s="179">
        <v>7500000</v>
      </c>
      <c r="G284" s="180" t="s">
        <v>802</v>
      </c>
    </row>
    <row r="285" spans="1:7" ht="21.25" customHeight="1" x14ac:dyDescent="0.15">
      <c r="A285" s="10" t="s">
        <v>488</v>
      </c>
      <c r="B285" s="180" t="s">
        <v>832</v>
      </c>
      <c r="C285" s="178">
        <v>274.3</v>
      </c>
      <c r="D285" s="178" cm="1">
        <f t="array" ref="D285">IFERROR(AVERAGE(B285:C285),"—")</f>
        <v>274.3</v>
      </c>
      <c r="E285" s="85"/>
      <c r="F285" s="179">
        <v>5400000</v>
      </c>
      <c r="G285" s="180" t="s">
        <v>802</v>
      </c>
    </row>
    <row r="286" spans="1:7" ht="21.25" customHeight="1" x14ac:dyDescent="0.15">
      <c r="A286" s="10" t="s">
        <v>596</v>
      </c>
      <c r="B286" s="180" t="s">
        <v>832</v>
      </c>
      <c r="C286" s="178">
        <v>274.60000000000002</v>
      </c>
      <c r="D286" s="178" cm="1">
        <f t="array" ref="D286">IFERROR(AVERAGE(B286:C286),"—")</f>
        <v>274.60000000000002</v>
      </c>
      <c r="E286" s="85"/>
      <c r="F286" s="179">
        <v>9850000</v>
      </c>
      <c r="G286" s="180" t="s">
        <v>802</v>
      </c>
    </row>
    <row r="287" spans="1:7" ht="21.25" customHeight="1" x14ac:dyDescent="0.15">
      <c r="A287" s="10" t="s">
        <v>615</v>
      </c>
      <c r="B287" s="180" t="s">
        <v>832</v>
      </c>
      <c r="C287" s="178">
        <v>274.60000000000002</v>
      </c>
      <c r="D287" s="178" cm="1">
        <f t="array" ref="D287">IFERROR(AVERAGE(B287:C287),"—")</f>
        <v>274.60000000000002</v>
      </c>
      <c r="E287" s="85"/>
      <c r="F287" s="179">
        <v>5750000</v>
      </c>
      <c r="G287" s="180" t="s">
        <v>802</v>
      </c>
    </row>
    <row r="288" spans="1:7" ht="21.25" customHeight="1" x14ac:dyDescent="0.15">
      <c r="A288" s="10" t="s">
        <v>581</v>
      </c>
      <c r="B288" s="180" t="s">
        <v>832</v>
      </c>
      <c r="C288" s="178">
        <v>275</v>
      </c>
      <c r="D288" s="178" cm="1">
        <f t="array" ref="D288">IFERROR(AVERAGE(B288:C288),"—")</f>
        <v>275</v>
      </c>
      <c r="E288" s="85"/>
      <c r="F288" s="179">
        <v>2950000</v>
      </c>
      <c r="G288" s="180" t="s">
        <v>802</v>
      </c>
    </row>
    <row r="289" spans="1:7" ht="21.25" customHeight="1" x14ac:dyDescent="0.15">
      <c r="A289" s="10" t="s">
        <v>349</v>
      </c>
      <c r="B289" s="180" t="s">
        <v>832</v>
      </c>
      <c r="C289" s="178">
        <v>276.39999999999998</v>
      </c>
      <c r="D289" s="178" cm="1">
        <f t="array" ref="D289">IFERROR(AVERAGE(B289:C289),"—")</f>
        <v>276.39999999999998</v>
      </c>
      <c r="E289" s="85"/>
      <c r="F289" s="179">
        <v>7000000</v>
      </c>
      <c r="G289" s="180" t="s">
        <v>802</v>
      </c>
    </row>
    <row r="290" spans="1:7" ht="21.25" customHeight="1" x14ac:dyDescent="0.15">
      <c r="A290" s="10" t="s">
        <v>350</v>
      </c>
      <c r="B290" s="180" t="s">
        <v>832</v>
      </c>
      <c r="C290" s="178">
        <v>277.2</v>
      </c>
      <c r="D290" s="178" cm="1">
        <f t="array" ref="D290">IFERROR(AVERAGE(B290:C290),"—")</f>
        <v>277.2</v>
      </c>
      <c r="E290" s="85"/>
      <c r="F290" s="179">
        <v>953750</v>
      </c>
      <c r="G290" s="180" t="s">
        <v>802</v>
      </c>
    </row>
    <row r="291" spans="1:7" ht="21.25" customHeight="1" x14ac:dyDescent="0.15">
      <c r="A291" s="10" t="s">
        <v>363</v>
      </c>
      <c r="B291" s="180" t="s">
        <v>832</v>
      </c>
      <c r="C291" s="178">
        <v>278.2</v>
      </c>
      <c r="D291" s="178" cm="1">
        <f t="array" ref="D291">IFERROR(AVERAGE(B291:C291),"—")</f>
        <v>278.2</v>
      </c>
      <c r="E291" s="85"/>
      <c r="F291" s="179">
        <v>5000000</v>
      </c>
      <c r="G291" s="180" t="s">
        <v>802</v>
      </c>
    </row>
    <row r="292" spans="1:7" ht="21.25" customHeight="1" x14ac:dyDescent="0.15">
      <c r="A292" s="10" t="s">
        <v>570</v>
      </c>
      <c r="B292" s="180" t="s">
        <v>832</v>
      </c>
      <c r="C292" s="178">
        <v>278.2</v>
      </c>
      <c r="D292" s="178" cm="1">
        <f t="array" ref="D292">IFERROR(AVERAGE(B292:C292),"—")</f>
        <v>278.2</v>
      </c>
      <c r="E292" s="85"/>
      <c r="F292" s="179">
        <v>1100000</v>
      </c>
      <c r="G292" s="180" t="s">
        <v>802</v>
      </c>
    </row>
    <row r="293" spans="1:7" ht="21.25" customHeight="1" x14ac:dyDescent="0.15">
      <c r="A293" s="10" t="s">
        <v>250</v>
      </c>
      <c r="B293" s="180" t="s">
        <v>832</v>
      </c>
      <c r="C293" s="178">
        <v>279.8</v>
      </c>
      <c r="D293" s="178" cm="1">
        <f t="array" ref="D293">IFERROR(AVERAGE(B293:C293),"—")</f>
        <v>279.8</v>
      </c>
      <c r="E293" s="85"/>
      <c r="F293" s="179">
        <v>6500000</v>
      </c>
      <c r="G293" s="180" t="s">
        <v>802</v>
      </c>
    </row>
    <row r="294" spans="1:7" ht="21.25" customHeight="1" x14ac:dyDescent="0.15">
      <c r="A294" s="10" t="s">
        <v>423</v>
      </c>
      <c r="B294" s="180" t="s">
        <v>832</v>
      </c>
      <c r="C294" s="178">
        <v>280</v>
      </c>
      <c r="D294" s="178" cm="1">
        <f t="array" ref="D294">IFERROR(AVERAGE(B294:C294),"—")</f>
        <v>280</v>
      </c>
      <c r="E294" s="85"/>
      <c r="F294" s="179">
        <v>975000</v>
      </c>
      <c r="G294" s="180" t="s">
        <v>802</v>
      </c>
    </row>
    <row r="295" spans="1:7" ht="21.25" customHeight="1" x14ac:dyDescent="0.15">
      <c r="A295" s="10" t="s">
        <v>534</v>
      </c>
      <c r="B295" s="180" t="s">
        <v>832</v>
      </c>
      <c r="C295" s="178">
        <v>281</v>
      </c>
      <c r="D295" s="178" cm="1">
        <f t="array" ref="D295">IFERROR(AVERAGE(B295:C295),"—")</f>
        <v>281</v>
      </c>
      <c r="E295" s="85"/>
      <c r="F295" s="179">
        <v>1075000</v>
      </c>
      <c r="G295" s="180" t="s">
        <v>802</v>
      </c>
    </row>
    <row r="296" spans="1:7" ht="21.25" customHeight="1" x14ac:dyDescent="0.15">
      <c r="A296" s="10" t="s">
        <v>412</v>
      </c>
      <c r="B296" s="180" t="s">
        <v>832</v>
      </c>
      <c r="C296" s="178">
        <v>282</v>
      </c>
      <c r="D296" s="178" cm="1">
        <f t="array" ref="D296">IFERROR(AVERAGE(B296:C296),"—")</f>
        <v>282</v>
      </c>
      <c r="E296" s="85"/>
      <c r="F296" s="179">
        <v>4750000</v>
      </c>
      <c r="G296" s="180" t="s">
        <v>802</v>
      </c>
    </row>
    <row r="297" spans="1:7" ht="21.25" customHeight="1" x14ac:dyDescent="0.15">
      <c r="A297" s="10" t="s">
        <v>401</v>
      </c>
      <c r="B297" s="180" t="s">
        <v>832</v>
      </c>
      <c r="C297" s="178">
        <v>282.39999999999998</v>
      </c>
      <c r="D297" s="178" cm="1">
        <f t="array" ref="D297">IFERROR(AVERAGE(B297:C297),"—")</f>
        <v>282.39999999999998</v>
      </c>
      <c r="E297" s="85"/>
      <c r="F297" s="179">
        <v>5500000</v>
      </c>
      <c r="G297" s="180" t="s">
        <v>802</v>
      </c>
    </row>
    <row r="298" spans="1:7" ht="21.25" customHeight="1" x14ac:dyDescent="0.15">
      <c r="A298" s="10" t="s">
        <v>542</v>
      </c>
      <c r="B298" s="180" t="s">
        <v>832</v>
      </c>
      <c r="C298" s="178">
        <v>283.10000000000002</v>
      </c>
      <c r="D298" s="178" cm="1">
        <f t="array" ref="D298">IFERROR(AVERAGE(B298:C298),"—")</f>
        <v>283.10000000000002</v>
      </c>
      <c r="E298" s="85"/>
      <c r="F298" s="179">
        <v>886667</v>
      </c>
      <c r="G298" s="180" t="s">
        <v>802</v>
      </c>
    </row>
    <row r="299" spans="1:7" ht="21.25" customHeight="1" x14ac:dyDescent="0.15">
      <c r="A299" s="10" t="s">
        <v>505</v>
      </c>
      <c r="B299" s="180" t="s">
        <v>832</v>
      </c>
      <c r="C299" s="178">
        <v>283.5</v>
      </c>
      <c r="D299" s="178" cm="1">
        <f t="array" ref="D299">IFERROR(AVERAGE(B299:C299),"—")</f>
        <v>283.5</v>
      </c>
      <c r="E299" s="85"/>
      <c r="F299" s="179">
        <v>5900000</v>
      </c>
      <c r="G299" s="180" t="s">
        <v>802</v>
      </c>
    </row>
    <row r="300" spans="1:7" ht="21.25" customHeight="1" x14ac:dyDescent="0.15">
      <c r="A300" s="10" t="s">
        <v>712</v>
      </c>
      <c r="B300" s="180" t="s">
        <v>832</v>
      </c>
      <c r="C300" s="178">
        <v>283.60000000000002</v>
      </c>
      <c r="D300" s="178" cm="1">
        <f t="array" ref="D300">IFERROR(AVERAGE(B300:C300),"—")</f>
        <v>283.60000000000002</v>
      </c>
      <c r="E300" s="85"/>
      <c r="F300" s="179">
        <v>3500000</v>
      </c>
      <c r="G300" s="180" t="s">
        <v>802</v>
      </c>
    </row>
    <row r="301" spans="1:7" ht="21.25" customHeight="1" x14ac:dyDescent="0.15">
      <c r="A301" s="10" t="s">
        <v>362</v>
      </c>
      <c r="B301" s="180" t="s">
        <v>832</v>
      </c>
      <c r="C301" s="178">
        <v>284</v>
      </c>
      <c r="D301" s="178" cm="1">
        <f t="array" ref="D301">IFERROR(AVERAGE(B301:C301),"—")</f>
        <v>284</v>
      </c>
      <c r="E301" s="85"/>
      <c r="F301" s="179">
        <v>3950000</v>
      </c>
      <c r="G301" s="180" t="s">
        <v>802</v>
      </c>
    </row>
    <row r="302" spans="1:7" ht="21.25" customHeight="1" x14ac:dyDescent="0.15">
      <c r="A302" s="10" t="s">
        <v>346</v>
      </c>
      <c r="B302" s="180" t="s">
        <v>832</v>
      </c>
      <c r="C302" s="178">
        <v>285.5</v>
      </c>
      <c r="D302" s="178" cm="1">
        <f t="array" ref="D302">IFERROR(AVERAGE(B302:C302),"—")</f>
        <v>285.5</v>
      </c>
      <c r="E302" s="85"/>
      <c r="F302" s="179">
        <v>6000000</v>
      </c>
      <c r="G302" s="180" t="s">
        <v>802</v>
      </c>
    </row>
    <row r="303" spans="1:7" ht="21.25" customHeight="1" x14ac:dyDescent="0.15">
      <c r="A303" s="10" t="s">
        <v>416</v>
      </c>
      <c r="B303" s="180" t="s">
        <v>832</v>
      </c>
      <c r="C303" s="178">
        <v>285.5</v>
      </c>
      <c r="D303" s="178" cm="1">
        <f t="array" ref="D303">IFERROR(AVERAGE(B303:C303),"—")</f>
        <v>285.5</v>
      </c>
      <c r="E303" s="85"/>
      <c r="F303" s="179">
        <v>5000000</v>
      </c>
      <c r="G303" s="180" t="s">
        <v>802</v>
      </c>
    </row>
    <row r="304" spans="1:7" ht="21.25" customHeight="1" x14ac:dyDescent="0.15">
      <c r="A304" s="10" t="s">
        <v>597</v>
      </c>
      <c r="B304" s="180" t="s">
        <v>832</v>
      </c>
      <c r="C304" s="178">
        <v>285.7</v>
      </c>
      <c r="D304" s="178" cm="1">
        <f t="array" ref="D304">IFERROR(AVERAGE(B304:C304),"—")</f>
        <v>285.7</v>
      </c>
      <c r="E304" s="85"/>
      <c r="F304" s="179">
        <v>879167</v>
      </c>
      <c r="G304" s="180" t="s">
        <v>802</v>
      </c>
    </row>
    <row r="305" spans="1:7" ht="21.25" customHeight="1" x14ac:dyDescent="0.15">
      <c r="A305" s="10" t="s">
        <v>326</v>
      </c>
      <c r="B305" s="180" t="s">
        <v>832</v>
      </c>
      <c r="C305" s="178">
        <v>286</v>
      </c>
      <c r="D305" s="178" cm="1">
        <f t="array" ref="D305">IFERROR(AVERAGE(B305:C305),"—")</f>
        <v>286</v>
      </c>
      <c r="E305" s="85"/>
      <c r="F305" s="179">
        <v>975000</v>
      </c>
      <c r="G305" s="180" t="s">
        <v>802</v>
      </c>
    </row>
    <row r="306" spans="1:7" ht="21.25" customHeight="1" x14ac:dyDescent="0.15">
      <c r="A306" s="10" t="s">
        <v>298</v>
      </c>
      <c r="B306" s="180" t="s">
        <v>832</v>
      </c>
      <c r="C306" s="178">
        <v>286.2</v>
      </c>
      <c r="D306" s="178" cm="1">
        <f t="array" ref="D306">IFERROR(AVERAGE(B306:C306),"—")</f>
        <v>286.2</v>
      </c>
      <c r="E306" s="85"/>
      <c r="F306" s="179">
        <v>2250000</v>
      </c>
      <c r="G306" s="180" t="s">
        <v>802</v>
      </c>
    </row>
    <row r="307" spans="1:7" ht="21.25" customHeight="1" x14ac:dyDescent="0.15">
      <c r="A307" s="10" t="s">
        <v>443</v>
      </c>
      <c r="B307" s="180" t="s">
        <v>832</v>
      </c>
      <c r="C307" s="178">
        <v>286.3</v>
      </c>
      <c r="D307" s="178" cm="1">
        <f t="array" ref="D307">IFERROR(AVERAGE(B307:C307),"—")</f>
        <v>286.3</v>
      </c>
      <c r="E307" s="85"/>
      <c r="F307" s="179">
        <v>5000000</v>
      </c>
      <c r="G307" s="180" t="s">
        <v>802</v>
      </c>
    </row>
    <row r="308" spans="1:7" ht="21.25" customHeight="1" x14ac:dyDescent="0.15">
      <c r="A308" s="10" t="s">
        <v>433</v>
      </c>
      <c r="B308" s="180" t="s">
        <v>832</v>
      </c>
      <c r="C308" s="178">
        <v>286.39999999999998</v>
      </c>
      <c r="D308" s="178" cm="1">
        <f t="array" ref="D308">IFERROR(AVERAGE(B308:C308),"—")</f>
        <v>286.39999999999998</v>
      </c>
      <c r="E308" s="85"/>
      <c r="F308" s="179">
        <v>10500000</v>
      </c>
      <c r="G308" s="180" t="s">
        <v>802</v>
      </c>
    </row>
    <row r="309" spans="1:7" ht="21.25" customHeight="1" x14ac:dyDescent="0.15">
      <c r="A309" s="10" t="s">
        <v>422</v>
      </c>
      <c r="B309" s="180" t="s">
        <v>832</v>
      </c>
      <c r="C309" s="178">
        <v>287</v>
      </c>
      <c r="D309" s="178" cm="1">
        <f t="array" ref="D309">IFERROR(AVERAGE(B309:C309),"—")</f>
        <v>287</v>
      </c>
      <c r="E309" s="85"/>
      <c r="F309" s="179">
        <v>6000000</v>
      </c>
      <c r="G309" s="180" t="s">
        <v>802</v>
      </c>
    </row>
    <row r="310" spans="1:7" ht="21.25" customHeight="1" x14ac:dyDescent="0.15">
      <c r="A310" s="10" t="s">
        <v>532</v>
      </c>
      <c r="B310" s="180" t="s">
        <v>832</v>
      </c>
      <c r="C310" s="178">
        <v>287.5</v>
      </c>
      <c r="D310" s="178" cm="1">
        <f t="array" ref="D310">IFERROR(AVERAGE(B310:C310),"—")</f>
        <v>287.5</v>
      </c>
      <c r="E310" s="85"/>
      <c r="F310" s="179">
        <v>3850000</v>
      </c>
      <c r="G310" s="180" t="s">
        <v>802</v>
      </c>
    </row>
    <row r="311" spans="1:7" ht="21.25" customHeight="1" x14ac:dyDescent="0.15">
      <c r="A311" s="10" t="s">
        <v>337</v>
      </c>
      <c r="B311" s="180" t="s">
        <v>832</v>
      </c>
      <c r="C311" s="178">
        <v>287.60000000000002</v>
      </c>
      <c r="D311" s="178" cm="1">
        <f t="array" ref="D311">IFERROR(AVERAGE(B311:C311),"—")</f>
        <v>287.60000000000002</v>
      </c>
      <c r="E311" s="85"/>
      <c r="F311" s="179">
        <v>903333</v>
      </c>
      <c r="G311" s="180" t="s">
        <v>84</v>
      </c>
    </row>
    <row r="312" spans="1:7" ht="21.25" customHeight="1" x14ac:dyDescent="0.15">
      <c r="A312" s="10" t="s">
        <v>600</v>
      </c>
      <c r="B312" s="180" t="s">
        <v>832</v>
      </c>
      <c r="C312" s="178">
        <v>287.7</v>
      </c>
      <c r="D312" s="178" cm="1">
        <f t="array" ref="D312">IFERROR(AVERAGE(B312:C312),"—")</f>
        <v>287.7</v>
      </c>
      <c r="E312" s="85"/>
      <c r="F312" s="179">
        <v>3000000</v>
      </c>
      <c r="G312" s="180" t="s">
        <v>802</v>
      </c>
    </row>
    <row r="313" spans="1:7" ht="21.25" customHeight="1" x14ac:dyDescent="0.15">
      <c r="A313" s="10" t="s">
        <v>684</v>
      </c>
      <c r="B313" s="180" t="s">
        <v>832</v>
      </c>
      <c r="C313" s="178">
        <v>287.8</v>
      </c>
      <c r="D313" s="178" cm="1">
        <f t="array" ref="D313">IFERROR(AVERAGE(B313:C313),"—")</f>
        <v>287.8</v>
      </c>
      <c r="E313" s="85"/>
      <c r="F313" s="179">
        <v>4250000</v>
      </c>
      <c r="G313" s="180" t="s">
        <v>802</v>
      </c>
    </row>
    <row r="314" spans="1:7" ht="21.25" customHeight="1" x14ac:dyDescent="0.15">
      <c r="A314" s="10" t="s">
        <v>509</v>
      </c>
      <c r="B314" s="180" t="s">
        <v>832</v>
      </c>
      <c r="C314" s="178">
        <v>287.89999999999998</v>
      </c>
      <c r="D314" s="178" cm="1">
        <f t="array" ref="D314">IFERROR(AVERAGE(B314:C314),"—")</f>
        <v>287.89999999999998</v>
      </c>
      <c r="E314" s="85"/>
      <c r="F314" s="179">
        <v>5375000</v>
      </c>
      <c r="G314" s="180" t="s">
        <v>802</v>
      </c>
    </row>
    <row r="315" spans="1:7" ht="21.25" customHeight="1" x14ac:dyDescent="0.15">
      <c r="A315" s="10" t="s">
        <v>644</v>
      </c>
      <c r="B315" s="180" t="s">
        <v>832</v>
      </c>
      <c r="C315" s="178">
        <v>288.10000000000002</v>
      </c>
      <c r="D315" s="178" cm="1">
        <f t="array" ref="D315">IFERROR(AVERAGE(B315:C315),"—")</f>
        <v>288.10000000000002</v>
      </c>
      <c r="E315" s="85"/>
      <c r="F315" s="179">
        <v>3250000</v>
      </c>
      <c r="G315" s="180" t="s">
        <v>802</v>
      </c>
    </row>
    <row r="316" spans="1:7" ht="21.25" customHeight="1" x14ac:dyDescent="0.15">
      <c r="A316" s="10" t="s">
        <v>371</v>
      </c>
      <c r="B316" s="180" t="s">
        <v>832</v>
      </c>
      <c r="C316" s="178">
        <v>288.39999999999998</v>
      </c>
      <c r="D316" s="178" cm="1">
        <f t="array" ref="D316">IFERROR(AVERAGE(B316:C316),"—")</f>
        <v>288.39999999999998</v>
      </c>
      <c r="E316" s="85"/>
      <c r="F316" s="179">
        <v>6750000</v>
      </c>
      <c r="G316" s="180" t="s">
        <v>802</v>
      </c>
    </row>
    <row r="317" spans="1:7" ht="21.25" customHeight="1" x14ac:dyDescent="0.15">
      <c r="A317" s="10" t="s">
        <v>577</v>
      </c>
      <c r="B317" s="180" t="s">
        <v>832</v>
      </c>
      <c r="C317" s="178">
        <v>288.60000000000002</v>
      </c>
      <c r="D317" s="178" cm="1">
        <f t="array" ref="D317">IFERROR(AVERAGE(B317:C317),"—")</f>
        <v>288.60000000000002</v>
      </c>
      <c r="E317" s="85"/>
      <c r="F317" s="179">
        <v>5900000</v>
      </c>
      <c r="G317" s="180" t="s">
        <v>802</v>
      </c>
    </row>
    <row r="318" spans="1:7" ht="21.25" customHeight="1" x14ac:dyDescent="0.15">
      <c r="A318" s="10" t="s">
        <v>273</v>
      </c>
      <c r="B318" s="180" t="s">
        <v>832</v>
      </c>
      <c r="C318" s="178">
        <v>288.7</v>
      </c>
      <c r="D318" s="178" cm="1">
        <f t="array" ref="D318">IFERROR(AVERAGE(B318:C318),"—")</f>
        <v>288.7</v>
      </c>
      <c r="E318" s="85"/>
      <c r="F318" s="179">
        <v>7200000</v>
      </c>
      <c r="G318" s="180" t="s">
        <v>85</v>
      </c>
    </row>
    <row r="319" spans="1:7" ht="21.25" customHeight="1" x14ac:dyDescent="0.15">
      <c r="A319" s="10" t="s">
        <v>540</v>
      </c>
      <c r="B319" s="180" t="s">
        <v>832</v>
      </c>
      <c r="C319" s="178">
        <v>288.8</v>
      </c>
      <c r="D319" s="178" cm="1">
        <f t="array" ref="D319">IFERROR(AVERAGE(B319:C319),"—")</f>
        <v>288.8</v>
      </c>
      <c r="E319" s="85"/>
      <c r="F319" s="179">
        <v>4000000</v>
      </c>
      <c r="G319" s="180" t="s">
        <v>802</v>
      </c>
    </row>
    <row r="320" spans="1:7" ht="21.25" customHeight="1" x14ac:dyDescent="0.15">
      <c r="A320" s="10" t="s">
        <v>352</v>
      </c>
      <c r="B320" s="180" t="s">
        <v>832</v>
      </c>
      <c r="C320" s="178">
        <v>288.8</v>
      </c>
      <c r="D320" s="178" cm="1">
        <f t="array" ref="D320">IFERROR(AVERAGE(B320:C320),"—")</f>
        <v>288.8</v>
      </c>
      <c r="E320" s="85"/>
      <c r="F320" s="179">
        <v>3100000</v>
      </c>
      <c r="G320" s="180" t="s">
        <v>802</v>
      </c>
    </row>
    <row r="321" spans="1:7" ht="21.25" customHeight="1" x14ac:dyDescent="0.15">
      <c r="A321" s="10" t="s">
        <v>495</v>
      </c>
      <c r="B321" s="180" t="s">
        <v>832</v>
      </c>
      <c r="C321" s="178">
        <v>288.8</v>
      </c>
      <c r="D321" s="178" cm="1">
        <f t="array" ref="D321">IFERROR(AVERAGE(B321:C321),"—")</f>
        <v>288.8</v>
      </c>
      <c r="E321" s="85"/>
      <c r="F321" s="179">
        <v>1500000</v>
      </c>
      <c r="G321" s="180" t="s">
        <v>802</v>
      </c>
    </row>
    <row r="322" spans="1:7" ht="21.25" customHeight="1" x14ac:dyDescent="0.15">
      <c r="A322" s="10" t="s">
        <v>571</v>
      </c>
      <c r="B322" s="180" t="s">
        <v>832</v>
      </c>
      <c r="C322" s="178">
        <v>288.89999999999998</v>
      </c>
      <c r="D322" s="178" cm="1">
        <f t="array" ref="D322">IFERROR(AVERAGE(B322:C322),"—")</f>
        <v>288.89999999999998</v>
      </c>
      <c r="E322" s="85"/>
      <c r="F322" s="179">
        <v>4500000</v>
      </c>
      <c r="G322" s="180" t="s">
        <v>802</v>
      </c>
    </row>
    <row r="323" spans="1:7" ht="21.25" customHeight="1" x14ac:dyDescent="0.15">
      <c r="A323" s="10" t="s">
        <v>514</v>
      </c>
      <c r="B323" s="180" t="s">
        <v>832</v>
      </c>
      <c r="C323" s="178">
        <v>288.89999999999998</v>
      </c>
      <c r="D323" s="178" cm="1">
        <f t="array" ref="D323">IFERROR(AVERAGE(B323:C323),"—")</f>
        <v>288.89999999999998</v>
      </c>
      <c r="E323" s="85"/>
      <c r="F323" s="179">
        <v>3166000</v>
      </c>
      <c r="G323" s="180" t="s">
        <v>802</v>
      </c>
    </row>
    <row r="324" spans="1:7" ht="21.25" customHeight="1" x14ac:dyDescent="0.15">
      <c r="A324" s="10" t="s">
        <v>569</v>
      </c>
      <c r="B324" s="180" t="s">
        <v>832</v>
      </c>
      <c r="C324" s="178">
        <v>289</v>
      </c>
      <c r="D324" s="178" cm="1">
        <f t="array" ref="D324">IFERROR(AVERAGE(B324:C324),"—")</f>
        <v>289</v>
      </c>
      <c r="E324" s="85"/>
      <c r="F324" s="179">
        <v>6500000</v>
      </c>
      <c r="G324" s="180" t="s">
        <v>802</v>
      </c>
    </row>
    <row r="325" spans="1:7" ht="21.25" customHeight="1" x14ac:dyDescent="0.15">
      <c r="A325" s="10" t="s">
        <v>476</v>
      </c>
      <c r="B325" s="180" t="s">
        <v>832</v>
      </c>
      <c r="C325" s="178">
        <v>289</v>
      </c>
      <c r="D325" s="178" cm="1">
        <f t="array" ref="D325">IFERROR(AVERAGE(B325:C325),"—")</f>
        <v>289</v>
      </c>
      <c r="E325" s="85"/>
      <c r="F325" s="179">
        <v>5150000</v>
      </c>
      <c r="G325" s="180" t="s">
        <v>802</v>
      </c>
    </row>
    <row r="326" spans="1:7" ht="21.25" customHeight="1" x14ac:dyDescent="0.15">
      <c r="A326" s="10" t="s">
        <v>613</v>
      </c>
      <c r="B326" s="180" t="s">
        <v>832</v>
      </c>
      <c r="C326" s="178">
        <v>289.3</v>
      </c>
      <c r="D326" s="178" cm="1">
        <f t="array" ref="D326">IFERROR(AVERAGE(B326:C326),"—")</f>
        <v>289.3</v>
      </c>
      <c r="E326" s="85"/>
      <c r="F326" s="179">
        <v>1016000</v>
      </c>
      <c r="G326" s="180" t="s">
        <v>802</v>
      </c>
    </row>
    <row r="327" spans="1:7" ht="21.25" customHeight="1" x14ac:dyDescent="0.15">
      <c r="A327" s="10" t="s">
        <v>325</v>
      </c>
      <c r="B327" s="180" t="s">
        <v>832</v>
      </c>
      <c r="C327" s="178">
        <v>289.39999999999998</v>
      </c>
      <c r="D327" s="178" cm="1">
        <f t="array" ref="D327">IFERROR(AVERAGE(B327:C327),"—")</f>
        <v>289.39999999999998</v>
      </c>
      <c r="E327" s="85"/>
      <c r="F327" s="179">
        <v>886667</v>
      </c>
      <c r="G327" s="180" t="s">
        <v>85</v>
      </c>
    </row>
    <row r="328" spans="1:7" ht="21.25" customHeight="1" x14ac:dyDescent="0.15">
      <c r="A328" s="10" t="s">
        <v>653</v>
      </c>
      <c r="B328" s="180" t="s">
        <v>832</v>
      </c>
      <c r="C328" s="178">
        <v>289.39999999999998</v>
      </c>
      <c r="D328" s="178" cm="1">
        <f t="array" ref="D328">IFERROR(AVERAGE(B328:C328),"—")</f>
        <v>289.39999999999998</v>
      </c>
      <c r="E328" s="85"/>
      <c r="F328" s="179">
        <v>3000000</v>
      </c>
      <c r="G328" s="180" t="s">
        <v>802</v>
      </c>
    </row>
    <row r="329" spans="1:7" ht="21.25" customHeight="1" x14ac:dyDescent="0.15">
      <c r="A329" s="10" t="s">
        <v>455</v>
      </c>
      <c r="B329" s="180" t="s">
        <v>832</v>
      </c>
      <c r="C329" s="178">
        <v>289.5</v>
      </c>
      <c r="D329" s="178" cm="1">
        <f t="array" ref="D329">IFERROR(AVERAGE(B329:C329),"—")</f>
        <v>289.5</v>
      </c>
      <c r="E329" s="85"/>
      <c r="F329" s="179">
        <v>940833</v>
      </c>
      <c r="G329" s="180" t="s">
        <v>802</v>
      </c>
    </row>
    <row r="330" spans="1:7" ht="21.25" customHeight="1" x14ac:dyDescent="0.15">
      <c r="A330" s="10" t="s">
        <v>383</v>
      </c>
      <c r="B330" s="180" t="s">
        <v>832</v>
      </c>
      <c r="C330" s="178">
        <v>289.7</v>
      </c>
      <c r="D330" s="178" cm="1">
        <f t="array" ref="D330">IFERROR(AVERAGE(B330:C330),"—")</f>
        <v>289.7</v>
      </c>
      <c r="E330" s="85"/>
      <c r="F330" s="179">
        <v>11000000</v>
      </c>
      <c r="G330" s="180" t="s">
        <v>802</v>
      </c>
    </row>
    <row r="331" spans="1:7" ht="21.25" customHeight="1" x14ac:dyDescent="0.15">
      <c r="A331" s="10" t="s">
        <v>303</v>
      </c>
      <c r="B331" s="180" t="s">
        <v>832</v>
      </c>
      <c r="C331" s="178">
        <v>289.7</v>
      </c>
      <c r="D331" s="178" cm="1">
        <f t="array" ref="D331">IFERROR(AVERAGE(B331:C331),"—")</f>
        <v>289.7</v>
      </c>
      <c r="E331" s="85"/>
      <c r="F331" s="179">
        <v>5750000</v>
      </c>
      <c r="G331" s="180" t="s">
        <v>802</v>
      </c>
    </row>
    <row r="332" spans="1:7" ht="21.25" customHeight="1" x14ac:dyDescent="0.15">
      <c r="A332" s="10" t="s">
        <v>497</v>
      </c>
      <c r="B332" s="180" t="s">
        <v>832</v>
      </c>
      <c r="C332" s="178">
        <v>289.7</v>
      </c>
      <c r="D332" s="178" cm="1">
        <f t="array" ref="D332">IFERROR(AVERAGE(B332:C332),"—")</f>
        <v>289.7</v>
      </c>
      <c r="E332" s="85"/>
      <c r="F332" s="179">
        <v>5500000</v>
      </c>
      <c r="G332" s="180" t="s">
        <v>802</v>
      </c>
    </row>
    <row r="333" spans="1:7" ht="21.25" customHeight="1" x14ac:dyDescent="0.15">
      <c r="A333" s="10" t="s">
        <v>638</v>
      </c>
      <c r="B333" s="180" t="s">
        <v>832</v>
      </c>
      <c r="C333" s="178">
        <v>289.8</v>
      </c>
      <c r="D333" s="178" cm="1">
        <f t="array" ref="D333">IFERROR(AVERAGE(B333:C333),"—")</f>
        <v>289.8</v>
      </c>
      <c r="E333" s="85"/>
      <c r="F333" s="179">
        <v>1350000</v>
      </c>
      <c r="G333" s="180" t="s">
        <v>802</v>
      </c>
    </row>
    <row r="334" spans="1:7" ht="21.25" customHeight="1" x14ac:dyDescent="0.15">
      <c r="A334" s="10" t="s">
        <v>693</v>
      </c>
      <c r="B334" s="180" t="s">
        <v>832</v>
      </c>
      <c r="C334" s="178">
        <v>290</v>
      </c>
      <c r="D334" s="178" cm="1">
        <f t="array" ref="D334">IFERROR(AVERAGE(B334:C334),"—")</f>
        <v>290</v>
      </c>
      <c r="E334" s="85"/>
      <c r="F334" s="179">
        <v>1566000</v>
      </c>
      <c r="G334" s="180" t="s">
        <v>802</v>
      </c>
    </row>
    <row r="335" spans="1:7" ht="21.25" customHeight="1" x14ac:dyDescent="0.15">
      <c r="A335" s="10" t="s">
        <v>708</v>
      </c>
      <c r="B335" s="180" t="s">
        <v>832</v>
      </c>
      <c r="C335" s="178">
        <v>290.10000000000002</v>
      </c>
      <c r="D335" s="178" cm="1">
        <f t="array" ref="D335">IFERROR(AVERAGE(B335:C335),"—")</f>
        <v>290.10000000000002</v>
      </c>
      <c r="E335" s="85"/>
      <c r="F335" s="179">
        <v>3750000</v>
      </c>
      <c r="G335" s="180" t="s">
        <v>802</v>
      </c>
    </row>
    <row r="336" spans="1:7" ht="21.25" customHeight="1" x14ac:dyDescent="0.15">
      <c r="A336" s="10" t="s">
        <v>611</v>
      </c>
      <c r="B336" s="180" t="s">
        <v>832</v>
      </c>
      <c r="C336" s="178">
        <v>290.10000000000002</v>
      </c>
      <c r="D336" s="178" cm="1">
        <f t="array" ref="D336">IFERROR(AVERAGE(B336:C336),"—")</f>
        <v>290.10000000000002</v>
      </c>
      <c r="E336" s="85"/>
      <c r="F336" s="179">
        <v>932500</v>
      </c>
      <c r="G336" s="180" t="s">
        <v>802</v>
      </c>
    </row>
    <row r="337" spans="1:7" ht="21.25" customHeight="1" x14ac:dyDescent="0.15">
      <c r="A337" s="10" t="s">
        <v>471</v>
      </c>
      <c r="B337" s="180" t="s">
        <v>832</v>
      </c>
      <c r="C337" s="178">
        <v>290.2</v>
      </c>
      <c r="D337" s="178" cm="1">
        <f t="array" ref="D337">IFERROR(AVERAGE(B337:C337),"—")</f>
        <v>290.2</v>
      </c>
      <c r="E337" s="85"/>
      <c r="F337" s="179">
        <v>4175000</v>
      </c>
      <c r="G337" s="180" t="s">
        <v>802</v>
      </c>
    </row>
    <row r="338" spans="1:7" ht="21.25" customHeight="1" x14ac:dyDescent="0.15">
      <c r="A338" s="10" t="s">
        <v>543</v>
      </c>
      <c r="B338" s="180" t="s">
        <v>832</v>
      </c>
      <c r="C338" s="178">
        <v>290.39999999999998</v>
      </c>
      <c r="D338" s="178" cm="1">
        <f t="array" ref="D338">IFERROR(AVERAGE(B338:C338),"—")</f>
        <v>290.39999999999998</v>
      </c>
      <c r="E338" s="85"/>
      <c r="F338" s="179">
        <v>900000</v>
      </c>
      <c r="G338" s="180" t="s">
        <v>802</v>
      </c>
    </row>
    <row r="339" spans="1:7" ht="21.25" customHeight="1" x14ac:dyDescent="0.15">
      <c r="A339" s="10" t="s">
        <v>578</v>
      </c>
      <c r="B339" s="180" t="s">
        <v>832</v>
      </c>
      <c r="C339" s="178">
        <v>290.5</v>
      </c>
      <c r="D339" s="178" cm="1">
        <f t="array" ref="D339">IFERROR(AVERAGE(B339:C339),"—")</f>
        <v>290.5</v>
      </c>
      <c r="E339" s="85"/>
      <c r="F339" s="179">
        <v>2750000</v>
      </c>
      <c r="G339" s="180" t="s">
        <v>802</v>
      </c>
    </row>
    <row r="340" spans="1:7" ht="21.25" customHeight="1" x14ac:dyDescent="0.15">
      <c r="A340" s="10" t="s">
        <v>419</v>
      </c>
      <c r="B340" s="180" t="s">
        <v>832</v>
      </c>
      <c r="C340" s="178">
        <v>290.60000000000002</v>
      </c>
      <c r="D340" s="178" cm="1">
        <f t="array" ref="D340">IFERROR(AVERAGE(B340:C340),"—")</f>
        <v>290.60000000000002</v>
      </c>
      <c r="E340" s="85"/>
      <c r="F340" s="179">
        <v>4375000</v>
      </c>
      <c r="G340" s="180" t="s">
        <v>802</v>
      </c>
    </row>
    <row r="341" spans="1:7" ht="21.25" customHeight="1" x14ac:dyDescent="0.15">
      <c r="A341" s="10" t="s">
        <v>472</v>
      </c>
      <c r="B341" s="180" t="s">
        <v>832</v>
      </c>
      <c r="C341" s="178">
        <v>290.60000000000002</v>
      </c>
      <c r="D341" s="178" cm="1">
        <f t="array" ref="D341">IFERROR(AVERAGE(B341:C341),"—")</f>
        <v>290.60000000000002</v>
      </c>
      <c r="E341" s="85"/>
      <c r="F341" s="179">
        <v>4000000</v>
      </c>
      <c r="G341" s="180" t="s">
        <v>802</v>
      </c>
    </row>
    <row r="342" spans="1:7" ht="21.25" customHeight="1" x14ac:dyDescent="0.15">
      <c r="A342" s="10" t="s">
        <v>598</v>
      </c>
      <c r="B342" s="180" t="s">
        <v>832</v>
      </c>
      <c r="C342" s="178">
        <v>290.7</v>
      </c>
      <c r="D342" s="178" cm="1">
        <f t="array" ref="D342">IFERROR(AVERAGE(B342:C342),"—")</f>
        <v>290.7</v>
      </c>
      <c r="E342" s="85"/>
      <c r="F342" s="179">
        <v>4850000</v>
      </c>
      <c r="G342" s="180" t="s">
        <v>802</v>
      </c>
    </row>
    <row r="343" spans="1:7" ht="21.25" customHeight="1" x14ac:dyDescent="0.15">
      <c r="A343" s="10" t="s">
        <v>582</v>
      </c>
      <c r="B343" s="180" t="s">
        <v>832</v>
      </c>
      <c r="C343" s="178">
        <v>290.8</v>
      </c>
      <c r="D343" s="178" cm="1">
        <f t="array" ref="D343">IFERROR(AVERAGE(B343:C343),"—")</f>
        <v>290.8</v>
      </c>
      <c r="E343" s="85"/>
      <c r="F343" s="179">
        <v>921667</v>
      </c>
      <c r="G343" s="180" t="s">
        <v>802</v>
      </c>
    </row>
    <row r="344" spans="1:7" ht="21.25" customHeight="1" x14ac:dyDescent="0.15">
      <c r="A344" s="10" t="s">
        <v>413</v>
      </c>
      <c r="B344" s="180" t="s">
        <v>832</v>
      </c>
      <c r="C344" s="178">
        <v>290.89999999999998</v>
      </c>
      <c r="D344" s="178" cm="1">
        <f t="array" ref="D344">IFERROR(AVERAGE(B344:C344),"—")</f>
        <v>290.89999999999998</v>
      </c>
      <c r="E344" s="85"/>
      <c r="F344" s="179">
        <v>6250000</v>
      </c>
      <c r="G344" s="180" t="s">
        <v>802</v>
      </c>
    </row>
    <row r="345" spans="1:7" ht="21.25" customHeight="1" x14ac:dyDescent="0.15">
      <c r="A345" s="10" t="s">
        <v>530</v>
      </c>
      <c r="B345" s="180" t="s">
        <v>832</v>
      </c>
      <c r="C345" s="178">
        <v>290.89999999999998</v>
      </c>
      <c r="D345" s="178" cm="1">
        <f t="array" ref="D345">IFERROR(AVERAGE(B345:C345),"—")</f>
        <v>290.89999999999998</v>
      </c>
      <c r="E345" s="85"/>
      <c r="F345" s="179">
        <v>4525000</v>
      </c>
      <c r="G345" s="180" t="s">
        <v>802</v>
      </c>
    </row>
    <row r="346" spans="1:7" ht="21.25" customHeight="1" x14ac:dyDescent="0.15">
      <c r="A346" s="10" t="s">
        <v>351</v>
      </c>
      <c r="B346" s="180" t="s">
        <v>832</v>
      </c>
      <c r="C346" s="178">
        <v>290.89999999999998</v>
      </c>
      <c r="D346" s="178" cm="1">
        <f t="array" ref="D346">IFERROR(AVERAGE(B346:C346),"—")</f>
        <v>290.89999999999998</v>
      </c>
      <c r="E346" s="85"/>
      <c r="F346" s="179">
        <v>4491000</v>
      </c>
      <c r="G346" s="180" t="s">
        <v>802</v>
      </c>
    </row>
    <row r="347" spans="1:7" ht="21.25" customHeight="1" x14ac:dyDescent="0.15">
      <c r="A347" s="10" t="s">
        <v>546</v>
      </c>
      <c r="B347" s="180" t="s">
        <v>832</v>
      </c>
      <c r="C347" s="178">
        <v>290.89999999999998</v>
      </c>
      <c r="D347" s="178" cm="1">
        <f t="array" ref="D347">IFERROR(AVERAGE(B347:C347),"—")</f>
        <v>290.89999999999998</v>
      </c>
      <c r="E347" s="85"/>
      <c r="F347" s="179">
        <v>4000000</v>
      </c>
      <c r="G347" s="180" t="s">
        <v>802</v>
      </c>
    </row>
    <row r="348" spans="1:7" ht="21.25" customHeight="1" x14ac:dyDescent="0.15">
      <c r="A348" s="10" t="s">
        <v>483</v>
      </c>
      <c r="B348" s="180" t="s">
        <v>832</v>
      </c>
      <c r="C348" s="178">
        <v>290.89999999999998</v>
      </c>
      <c r="D348" s="178" cm="1">
        <f t="array" ref="D348">IFERROR(AVERAGE(B348:C348),"—")</f>
        <v>290.89999999999998</v>
      </c>
      <c r="E348" s="85"/>
      <c r="F348" s="179">
        <v>3000000</v>
      </c>
      <c r="G348" s="180" t="s">
        <v>802</v>
      </c>
    </row>
    <row r="349" spans="1:7" ht="21.25" customHeight="1" x14ac:dyDescent="0.15">
      <c r="A349" s="10" t="s">
        <v>573</v>
      </c>
      <c r="B349" s="180" t="s">
        <v>832</v>
      </c>
      <c r="C349" s="178">
        <v>291</v>
      </c>
      <c r="D349" s="178" cm="1">
        <f t="array" ref="D349">IFERROR(AVERAGE(B349:C349),"—")</f>
        <v>291</v>
      </c>
      <c r="E349" s="85"/>
      <c r="F349" s="179">
        <v>5750000</v>
      </c>
      <c r="G349" s="180" t="s">
        <v>802</v>
      </c>
    </row>
    <row r="350" spans="1:7" ht="21.25" customHeight="1" x14ac:dyDescent="0.15">
      <c r="A350" s="10" t="s">
        <v>566</v>
      </c>
      <c r="B350" s="180" t="s">
        <v>832</v>
      </c>
      <c r="C350" s="178">
        <v>291</v>
      </c>
      <c r="D350" s="178" cm="1">
        <f t="array" ref="D350">IFERROR(AVERAGE(B350:C350),"—")</f>
        <v>291</v>
      </c>
      <c r="E350" s="85"/>
      <c r="F350" s="179">
        <v>2918000</v>
      </c>
      <c r="G350" s="180" t="s">
        <v>802</v>
      </c>
    </row>
    <row r="351" spans="1:7" ht="21.25" customHeight="1" x14ac:dyDescent="0.15">
      <c r="A351" s="10" t="s">
        <v>716</v>
      </c>
      <c r="B351" s="180" t="s">
        <v>832</v>
      </c>
      <c r="C351" s="178">
        <v>291</v>
      </c>
      <c r="D351" s="178" cm="1">
        <f t="array" ref="D351">IFERROR(AVERAGE(B351:C351),"—")</f>
        <v>291</v>
      </c>
      <c r="E351" s="85"/>
      <c r="F351" s="179">
        <v>1250000</v>
      </c>
      <c r="G351" s="180" t="s">
        <v>802</v>
      </c>
    </row>
    <row r="352" spans="1:7" ht="21.25" customHeight="1" x14ac:dyDescent="0.15">
      <c r="A352" s="10" t="s">
        <v>584</v>
      </c>
      <c r="B352" s="180" t="s">
        <v>832</v>
      </c>
      <c r="C352" s="178">
        <v>291</v>
      </c>
      <c r="D352" s="178" cm="1">
        <f t="array" ref="D352">IFERROR(AVERAGE(B352:C352),"—")</f>
        <v>291</v>
      </c>
      <c r="E352" s="85"/>
      <c r="F352" s="179">
        <v>918333</v>
      </c>
      <c r="G352" s="180" t="s">
        <v>802</v>
      </c>
    </row>
    <row r="353" spans="1:7" ht="21.25" customHeight="1" x14ac:dyDescent="0.15">
      <c r="A353" s="10" t="s">
        <v>398</v>
      </c>
      <c r="B353" s="180" t="s">
        <v>832</v>
      </c>
      <c r="C353" s="178">
        <v>291.10000000000002</v>
      </c>
      <c r="D353" s="178" cm="1">
        <f t="array" ref="D353">IFERROR(AVERAGE(B353:C353),"—")</f>
        <v>291.10000000000002</v>
      </c>
      <c r="E353" s="85"/>
      <c r="F353" s="179">
        <v>4500000</v>
      </c>
      <c r="G353" s="180" t="s">
        <v>802</v>
      </c>
    </row>
    <row r="354" spans="1:7" ht="21.25" customHeight="1" x14ac:dyDescent="0.15">
      <c r="A354" s="10" t="s">
        <v>625</v>
      </c>
      <c r="B354" s="180" t="s">
        <v>832</v>
      </c>
      <c r="C354" s="178">
        <v>291.10000000000002</v>
      </c>
      <c r="D354" s="178" cm="1">
        <f t="array" ref="D354">IFERROR(AVERAGE(B354:C354),"—")</f>
        <v>291.10000000000002</v>
      </c>
      <c r="E354" s="85"/>
      <c r="F354" s="179">
        <v>4000000</v>
      </c>
      <c r="G354" s="180" t="s">
        <v>802</v>
      </c>
    </row>
    <row r="355" spans="1:7" ht="21.25" customHeight="1" x14ac:dyDescent="0.15">
      <c r="A355" s="10" t="s">
        <v>448</v>
      </c>
      <c r="B355" s="180" t="s">
        <v>832</v>
      </c>
      <c r="C355" s="178">
        <v>291.10000000000002</v>
      </c>
      <c r="D355" s="178" cm="1">
        <f t="array" ref="D355">IFERROR(AVERAGE(B355:C355),"—")</f>
        <v>291.10000000000002</v>
      </c>
      <c r="E355" s="85"/>
      <c r="F355" s="179">
        <v>4000000</v>
      </c>
      <c r="G355" s="180" t="s">
        <v>802</v>
      </c>
    </row>
    <row r="356" spans="1:7" ht="21.25" customHeight="1" x14ac:dyDescent="0.15">
      <c r="A356" s="10" t="s">
        <v>478</v>
      </c>
      <c r="B356" s="180" t="s">
        <v>832</v>
      </c>
      <c r="C356" s="178">
        <v>291.10000000000002</v>
      </c>
      <c r="D356" s="178" cm="1">
        <f t="array" ref="D356">IFERROR(AVERAGE(B356:C356),"—")</f>
        <v>291.10000000000002</v>
      </c>
      <c r="E356" s="85"/>
      <c r="F356" s="179">
        <v>3250000</v>
      </c>
      <c r="G356" s="180" t="s">
        <v>802</v>
      </c>
    </row>
    <row r="357" spans="1:7" ht="21.25" customHeight="1" x14ac:dyDescent="0.15">
      <c r="A357" s="10" t="s">
        <v>695</v>
      </c>
      <c r="B357" s="180" t="s">
        <v>832</v>
      </c>
      <c r="C357" s="178">
        <v>291.10000000000002</v>
      </c>
      <c r="D357" s="178" cm="1">
        <f t="array" ref="D357">IFERROR(AVERAGE(B357:C357),"—")</f>
        <v>291.10000000000002</v>
      </c>
      <c r="E357" s="85"/>
      <c r="F357" s="179">
        <v>1600000</v>
      </c>
      <c r="G357" s="180" t="s">
        <v>802</v>
      </c>
    </row>
    <row r="358" spans="1:7" ht="21.25" customHeight="1" x14ac:dyDescent="0.15">
      <c r="A358" s="10" t="s">
        <v>384</v>
      </c>
      <c r="B358" s="180" t="s">
        <v>832</v>
      </c>
      <c r="C358" s="178">
        <v>291.2</v>
      </c>
      <c r="D358" s="178" cm="1">
        <f t="array" ref="D358">IFERROR(AVERAGE(B358:C358),"—")</f>
        <v>291.2</v>
      </c>
      <c r="E358" s="85"/>
      <c r="F358" s="179">
        <v>4100000</v>
      </c>
      <c r="G358" s="180" t="s">
        <v>802</v>
      </c>
    </row>
    <row r="359" spans="1:7" ht="21.25" customHeight="1" x14ac:dyDescent="0.15">
      <c r="A359" s="10" t="s">
        <v>594</v>
      </c>
      <c r="B359" s="180" t="s">
        <v>832</v>
      </c>
      <c r="C359" s="178">
        <v>291.2</v>
      </c>
      <c r="D359" s="178" cm="1">
        <f t="array" ref="D359">IFERROR(AVERAGE(B359:C359),"—")</f>
        <v>291.2</v>
      </c>
      <c r="E359" s="85"/>
      <c r="F359" s="179">
        <v>3600000</v>
      </c>
      <c r="G359" s="180" t="s">
        <v>802</v>
      </c>
    </row>
    <row r="360" spans="1:7" ht="21.25" customHeight="1" x14ac:dyDescent="0.15">
      <c r="A360" s="10" t="s">
        <v>629</v>
      </c>
      <c r="B360" s="180" t="s">
        <v>832</v>
      </c>
      <c r="C360" s="178">
        <v>291.2</v>
      </c>
      <c r="D360" s="178" cm="1">
        <f t="array" ref="D360">IFERROR(AVERAGE(B360:C360),"—")</f>
        <v>291.2</v>
      </c>
      <c r="E360" s="85"/>
      <c r="F360" s="179">
        <v>2500000</v>
      </c>
      <c r="G360" s="180" t="s">
        <v>802</v>
      </c>
    </row>
    <row r="361" spans="1:7" ht="21.25" customHeight="1" x14ac:dyDescent="0.15">
      <c r="A361" s="10" t="s">
        <v>607</v>
      </c>
      <c r="B361" s="180" t="s">
        <v>832</v>
      </c>
      <c r="C361" s="178">
        <v>291.2</v>
      </c>
      <c r="D361" s="178" cm="1">
        <f t="array" ref="D361">IFERROR(AVERAGE(B361:C361),"—")</f>
        <v>291.2</v>
      </c>
      <c r="E361" s="85"/>
      <c r="F361" s="179">
        <v>2000000</v>
      </c>
      <c r="G361" s="180" t="s">
        <v>85</v>
      </c>
    </row>
    <row r="362" spans="1:7" ht="21.25" customHeight="1" x14ac:dyDescent="0.15">
      <c r="A362" s="10" t="s">
        <v>541</v>
      </c>
      <c r="B362" s="180" t="s">
        <v>832</v>
      </c>
      <c r="C362" s="178">
        <v>291.3</v>
      </c>
      <c r="D362" s="178" cm="1">
        <f t="array" ref="D362">IFERROR(AVERAGE(B362:C362),"—")</f>
        <v>291.3</v>
      </c>
      <c r="E362" s="85"/>
      <c r="F362" s="179">
        <v>4000000</v>
      </c>
      <c r="G362" s="180" t="s">
        <v>802</v>
      </c>
    </row>
    <row r="363" spans="1:7" ht="21.25" customHeight="1" x14ac:dyDescent="0.15">
      <c r="A363" s="10" t="s">
        <v>537</v>
      </c>
      <c r="B363" s="180" t="s">
        <v>832</v>
      </c>
      <c r="C363" s="178">
        <v>291.3</v>
      </c>
      <c r="D363" s="178" cm="1">
        <f t="array" ref="D363">IFERROR(AVERAGE(B363:C363),"—")</f>
        <v>291.3</v>
      </c>
      <c r="E363" s="85"/>
      <c r="F363" s="179">
        <v>1000000</v>
      </c>
      <c r="G363" s="180" t="s">
        <v>802</v>
      </c>
    </row>
    <row r="364" spans="1:7" ht="21.25" customHeight="1" x14ac:dyDescent="0.15">
      <c r="A364" s="10" t="s">
        <v>645</v>
      </c>
      <c r="B364" s="180" t="s">
        <v>832</v>
      </c>
      <c r="C364" s="178">
        <v>291.3</v>
      </c>
      <c r="D364" s="178" cm="1">
        <f t="array" ref="D364">IFERROR(AVERAGE(B364:C364),"—")</f>
        <v>291.3</v>
      </c>
      <c r="E364" s="85"/>
      <c r="F364" s="179">
        <v>950000</v>
      </c>
      <c r="G364" s="180" t="s">
        <v>802</v>
      </c>
    </row>
    <row r="365" spans="1:7" ht="21.25" customHeight="1" x14ac:dyDescent="0.15">
      <c r="A365" s="10" t="s">
        <v>627</v>
      </c>
      <c r="B365" s="180" t="s">
        <v>832</v>
      </c>
      <c r="C365" s="178">
        <v>291.3</v>
      </c>
      <c r="D365" s="178" cm="1">
        <f t="array" ref="D365">IFERROR(AVERAGE(B365:C365),"—")</f>
        <v>291.3</v>
      </c>
      <c r="E365" s="85"/>
      <c r="F365" s="179">
        <v>909167</v>
      </c>
      <c r="G365" s="180" t="s">
        <v>802</v>
      </c>
    </row>
    <row r="366" spans="1:7" ht="21.25" customHeight="1" x14ac:dyDescent="0.15">
      <c r="A366" s="10" t="s">
        <v>574</v>
      </c>
      <c r="B366" s="180" t="s">
        <v>832</v>
      </c>
      <c r="C366" s="178">
        <v>291.3</v>
      </c>
      <c r="D366" s="178" cm="1">
        <f t="array" ref="D366">IFERROR(AVERAGE(B366:C366),"—")</f>
        <v>291.3</v>
      </c>
      <c r="E366" s="85"/>
      <c r="F366" s="179">
        <v>863333</v>
      </c>
      <c r="G366" s="180" t="s">
        <v>802</v>
      </c>
    </row>
    <row r="367" spans="1:7" ht="21.25" customHeight="1" x14ac:dyDescent="0.15">
      <c r="A367" s="10" t="s">
        <v>390</v>
      </c>
      <c r="B367" s="180" t="s">
        <v>832</v>
      </c>
      <c r="C367" s="178">
        <v>291.39999999999998</v>
      </c>
      <c r="D367" s="178" cm="1">
        <f t="array" ref="D367">IFERROR(AVERAGE(B367:C367),"—")</f>
        <v>291.39999999999998</v>
      </c>
      <c r="E367" s="85"/>
      <c r="F367" s="179">
        <v>4600000</v>
      </c>
      <c r="G367" s="180" t="s">
        <v>802</v>
      </c>
    </row>
    <row r="368" spans="1:7" ht="21.25" customHeight="1" x14ac:dyDescent="0.15">
      <c r="A368" s="10" t="s">
        <v>603</v>
      </c>
      <c r="B368" s="180" t="s">
        <v>832</v>
      </c>
      <c r="C368" s="178">
        <v>291.39999999999998</v>
      </c>
      <c r="D368" s="178" cm="1">
        <f t="array" ref="D368">IFERROR(AVERAGE(B368:C368),"—")</f>
        <v>291.39999999999998</v>
      </c>
      <c r="E368" s="85"/>
      <c r="F368" s="179">
        <v>4250000</v>
      </c>
      <c r="G368" s="180" t="s">
        <v>802</v>
      </c>
    </row>
    <row r="369" spans="1:7" ht="21.25" customHeight="1" x14ac:dyDescent="0.15">
      <c r="A369" s="10" t="s">
        <v>643</v>
      </c>
      <c r="B369" s="180" t="s">
        <v>832</v>
      </c>
      <c r="C369" s="178">
        <v>291.39999999999998</v>
      </c>
      <c r="D369" s="178" cm="1">
        <f t="array" ref="D369">IFERROR(AVERAGE(B369:C369),"—")</f>
        <v>291.39999999999998</v>
      </c>
      <c r="E369" s="85"/>
      <c r="F369" s="179">
        <v>2900000</v>
      </c>
      <c r="G369" s="180" t="s">
        <v>802</v>
      </c>
    </row>
    <row r="370" spans="1:7" ht="21.25" customHeight="1" x14ac:dyDescent="0.15">
      <c r="A370" s="10" t="s">
        <v>521</v>
      </c>
      <c r="B370" s="180" t="s">
        <v>832</v>
      </c>
      <c r="C370" s="178">
        <v>291.39999999999998</v>
      </c>
      <c r="D370" s="178" cm="1">
        <f t="array" ref="D370">IFERROR(AVERAGE(B370:C370),"—")</f>
        <v>291.39999999999998</v>
      </c>
      <c r="E370" s="85"/>
      <c r="F370" s="179">
        <v>2000000</v>
      </c>
      <c r="G370" s="180" t="s">
        <v>802</v>
      </c>
    </row>
    <row r="371" spans="1:7" ht="21.25" customHeight="1" x14ac:dyDescent="0.15">
      <c r="A371" s="10" t="s">
        <v>557</v>
      </c>
      <c r="B371" s="180" t="s">
        <v>832</v>
      </c>
      <c r="C371" s="178">
        <v>291.39999999999998</v>
      </c>
      <c r="D371" s="178" cm="1">
        <f t="array" ref="D371">IFERROR(AVERAGE(B371:C371),"—")</f>
        <v>291.39999999999998</v>
      </c>
      <c r="E371" s="85"/>
      <c r="F371" s="179">
        <v>850000</v>
      </c>
      <c r="G371" s="180" t="s">
        <v>802</v>
      </c>
    </row>
    <row r="372" spans="1:7" ht="21.25" customHeight="1" x14ac:dyDescent="0.15">
      <c r="A372" s="10" t="s">
        <v>771</v>
      </c>
      <c r="B372" s="180" t="s">
        <v>832</v>
      </c>
      <c r="C372" s="178">
        <v>291.5</v>
      </c>
      <c r="D372" s="178" cm="1">
        <f t="array" ref="D372">IFERROR(AVERAGE(B372:C372),"—")</f>
        <v>291.5</v>
      </c>
      <c r="E372" s="85"/>
      <c r="F372" s="179">
        <v>950000</v>
      </c>
      <c r="G372" s="180" t="s">
        <v>802</v>
      </c>
    </row>
    <row r="373" spans="1:7" ht="21.25" customHeight="1" x14ac:dyDescent="0.15">
      <c r="A373" s="10" t="s">
        <v>555</v>
      </c>
      <c r="B373" s="180" t="s">
        <v>832</v>
      </c>
      <c r="C373" s="178">
        <v>291.5</v>
      </c>
      <c r="D373" s="178" cm="1">
        <f t="array" ref="D373">IFERROR(AVERAGE(B373:C373),"—")</f>
        <v>291.5</v>
      </c>
      <c r="E373" s="85"/>
      <c r="F373" s="179">
        <v>4500000</v>
      </c>
      <c r="G373" s="180" t="s">
        <v>802</v>
      </c>
    </row>
    <row r="374" spans="1:7" ht="21.25" customHeight="1" x14ac:dyDescent="0.15">
      <c r="A374" s="10" t="s">
        <v>435</v>
      </c>
      <c r="B374" s="180" t="s">
        <v>832</v>
      </c>
      <c r="C374" s="178">
        <v>291.60000000000002</v>
      </c>
      <c r="D374" s="178" cm="1">
        <f t="array" ref="D374">IFERROR(AVERAGE(B374:C374),"—")</f>
        <v>291.60000000000002</v>
      </c>
      <c r="E374" s="85"/>
      <c r="F374" s="179">
        <v>7575000</v>
      </c>
      <c r="G374" s="180" t="s">
        <v>802</v>
      </c>
    </row>
    <row r="375" spans="1:7" ht="21.25" customHeight="1" x14ac:dyDescent="0.15">
      <c r="A375" s="10" t="s">
        <v>781</v>
      </c>
      <c r="B375" s="180" t="s">
        <v>832</v>
      </c>
      <c r="C375" s="178">
        <v>291.60000000000002</v>
      </c>
      <c r="D375" s="178" cm="1">
        <f t="array" ref="D375">IFERROR(AVERAGE(B375:C375),"—")</f>
        <v>291.60000000000002</v>
      </c>
      <c r="E375" s="85"/>
      <c r="F375" s="179">
        <v>812500</v>
      </c>
      <c r="G375" s="180" t="s">
        <v>802</v>
      </c>
    </row>
    <row r="376" spans="1:7" ht="21.25" customHeight="1" x14ac:dyDescent="0.15">
      <c r="A376" s="10" t="s">
        <v>567</v>
      </c>
      <c r="B376" s="180" t="s">
        <v>832</v>
      </c>
      <c r="C376" s="178">
        <v>291.7</v>
      </c>
      <c r="D376" s="178" cm="1">
        <f t="array" ref="D376">IFERROR(AVERAGE(B376:C376),"—")</f>
        <v>291.7</v>
      </c>
      <c r="E376" s="85"/>
      <c r="F376" s="179">
        <v>4571000</v>
      </c>
      <c r="G376" s="180" t="s">
        <v>802</v>
      </c>
    </row>
    <row r="377" spans="1:7" ht="21.25" customHeight="1" x14ac:dyDescent="0.15">
      <c r="A377" s="10" t="s">
        <v>685</v>
      </c>
      <c r="B377" s="180" t="s">
        <v>832</v>
      </c>
      <c r="C377" s="178">
        <v>291.7</v>
      </c>
      <c r="D377" s="178" cm="1">
        <f t="array" ref="D377">IFERROR(AVERAGE(B377:C377),"—")</f>
        <v>291.7</v>
      </c>
      <c r="E377" s="85"/>
      <c r="F377" s="179">
        <v>4500000</v>
      </c>
      <c r="G377" s="180" t="s">
        <v>802</v>
      </c>
    </row>
    <row r="378" spans="1:7" ht="21.25" customHeight="1" x14ac:dyDescent="0.15">
      <c r="A378" s="10" t="s">
        <v>562</v>
      </c>
      <c r="B378" s="180" t="s">
        <v>832</v>
      </c>
      <c r="C378" s="178">
        <v>291.7</v>
      </c>
      <c r="D378" s="178" cm="1">
        <f t="array" ref="D378">IFERROR(AVERAGE(B378:C378),"—")</f>
        <v>291.7</v>
      </c>
      <c r="E378" s="85"/>
      <c r="F378" s="179">
        <v>942500</v>
      </c>
      <c r="G378" s="180" t="s">
        <v>802</v>
      </c>
    </row>
    <row r="379" spans="1:7" ht="21.25" customHeight="1" x14ac:dyDescent="0.15">
      <c r="A379" s="10" t="s">
        <v>385</v>
      </c>
      <c r="B379" s="180" t="s">
        <v>832</v>
      </c>
      <c r="C379" s="178">
        <v>291.8</v>
      </c>
      <c r="D379" s="178" cm="1">
        <f t="array" ref="D379">IFERROR(AVERAGE(B379:C379),"—")</f>
        <v>291.8</v>
      </c>
      <c r="E379" s="85"/>
      <c r="F379" s="179">
        <v>6000000</v>
      </c>
      <c r="G379" s="180" t="s">
        <v>802</v>
      </c>
    </row>
    <row r="380" spans="1:7" ht="21.25" customHeight="1" x14ac:dyDescent="0.15">
      <c r="A380" s="10" t="s">
        <v>657</v>
      </c>
      <c r="B380" s="180" t="s">
        <v>832</v>
      </c>
      <c r="C380" s="178">
        <v>291.8</v>
      </c>
      <c r="D380" s="178" cm="1">
        <f t="array" ref="D380">IFERROR(AVERAGE(B380:C380),"—")</f>
        <v>291.8</v>
      </c>
      <c r="E380" s="85"/>
      <c r="F380" s="179">
        <v>1500000</v>
      </c>
      <c r="G380" s="180" t="s">
        <v>802</v>
      </c>
    </row>
    <row r="381" spans="1:7" ht="21.25" customHeight="1" x14ac:dyDescent="0.15">
      <c r="A381" s="10" t="s">
        <v>585</v>
      </c>
      <c r="B381" s="180" t="s">
        <v>832</v>
      </c>
      <c r="C381" s="178">
        <v>291.8</v>
      </c>
      <c r="D381" s="178" cm="1">
        <f t="array" ref="D381">IFERROR(AVERAGE(B381:C381),"—")</f>
        <v>291.8</v>
      </c>
      <c r="E381" s="85"/>
      <c r="F381" s="179">
        <v>875000</v>
      </c>
      <c r="G381" s="180" t="s">
        <v>802</v>
      </c>
    </row>
    <row r="382" spans="1:7" ht="21.25" customHeight="1" x14ac:dyDescent="0.15">
      <c r="A382" s="10" t="s">
        <v>506</v>
      </c>
      <c r="B382" s="180" t="s">
        <v>832</v>
      </c>
      <c r="C382" s="178">
        <v>291.89999999999998</v>
      </c>
      <c r="D382" s="178" cm="1">
        <f t="array" ref="D382">IFERROR(AVERAGE(B382:C382),"—")</f>
        <v>291.89999999999998</v>
      </c>
      <c r="E382" s="85"/>
      <c r="F382" s="179">
        <v>5500000</v>
      </c>
      <c r="G382" s="180" t="s">
        <v>802</v>
      </c>
    </row>
    <row r="383" spans="1:7" ht="21.25" customHeight="1" x14ac:dyDescent="0.15">
      <c r="A383" s="10" t="s">
        <v>430</v>
      </c>
      <c r="B383" s="180" t="s">
        <v>832</v>
      </c>
      <c r="C383" s="178">
        <v>291.89999999999998</v>
      </c>
      <c r="D383" s="178" cm="1">
        <f t="array" ref="D383">IFERROR(AVERAGE(B383:C383),"—")</f>
        <v>291.89999999999998</v>
      </c>
      <c r="E383" s="85"/>
      <c r="F383" s="179">
        <v>5500000</v>
      </c>
      <c r="G383" s="180" t="s">
        <v>802</v>
      </c>
    </row>
    <row r="384" spans="1:7" ht="21.25" customHeight="1" x14ac:dyDescent="0.15">
      <c r="A384" s="10" t="s">
        <v>473</v>
      </c>
      <c r="B384" s="180" t="s">
        <v>832</v>
      </c>
      <c r="C384" s="178">
        <v>291.89999999999998</v>
      </c>
      <c r="D384" s="178" cm="1">
        <f t="array" ref="D384">IFERROR(AVERAGE(B384:C384),"—")</f>
        <v>291.89999999999998</v>
      </c>
      <c r="E384" s="85"/>
      <c r="F384" s="179">
        <v>5000000</v>
      </c>
      <c r="G384" s="180" t="s">
        <v>802</v>
      </c>
    </row>
    <row r="385" spans="1:7" ht="21.25" customHeight="1" x14ac:dyDescent="0.15">
      <c r="A385" s="10" t="s">
        <v>535</v>
      </c>
      <c r="B385" s="180" t="s">
        <v>832</v>
      </c>
      <c r="C385" s="178">
        <v>291.89999999999998</v>
      </c>
      <c r="D385" s="178" cm="1">
        <f t="array" ref="D385">IFERROR(AVERAGE(B385:C385),"—")</f>
        <v>291.89999999999998</v>
      </c>
      <c r="E385" s="85"/>
      <c r="F385" s="179">
        <v>3750000</v>
      </c>
      <c r="G385" s="180" t="s">
        <v>802</v>
      </c>
    </row>
    <row r="386" spans="1:7" ht="21.25" customHeight="1" x14ac:dyDescent="0.15">
      <c r="A386" s="10" t="s">
        <v>639</v>
      </c>
      <c r="B386" s="180" t="s">
        <v>832</v>
      </c>
      <c r="C386" s="178">
        <v>291.89999999999998</v>
      </c>
      <c r="D386" s="178" cm="1">
        <f t="array" ref="D386">IFERROR(AVERAGE(B386:C386),"—")</f>
        <v>291.89999999999998</v>
      </c>
      <c r="E386" s="85"/>
      <c r="F386" s="179">
        <v>3000000</v>
      </c>
      <c r="G386" s="180" t="s">
        <v>802</v>
      </c>
    </row>
    <row r="387" spans="1:7" ht="21.25" customHeight="1" x14ac:dyDescent="0.15">
      <c r="A387" s="10" t="s">
        <v>649</v>
      </c>
      <c r="B387" s="180" t="s">
        <v>832</v>
      </c>
      <c r="C387" s="178">
        <v>291.89999999999998</v>
      </c>
      <c r="D387" s="178" cm="1">
        <f t="array" ref="D387">IFERROR(AVERAGE(B387:C387),"—")</f>
        <v>291.89999999999998</v>
      </c>
      <c r="E387" s="85"/>
      <c r="F387" s="179">
        <v>1700000</v>
      </c>
      <c r="G387" s="180" t="s">
        <v>802</v>
      </c>
    </row>
    <row r="388" spans="1:7" ht="21.25" customHeight="1" x14ac:dyDescent="0.15">
      <c r="A388" s="10" t="s">
        <v>677</v>
      </c>
      <c r="B388" s="180" t="s">
        <v>832</v>
      </c>
      <c r="C388" s="178">
        <v>291.89999999999998</v>
      </c>
      <c r="D388" s="178" cm="1">
        <f t="array" ref="D388">IFERROR(AVERAGE(B388:C388),"—")</f>
        <v>291.89999999999998</v>
      </c>
      <c r="E388" s="85"/>
      <c r="F388" s="179">
        <v>825100</v>
      </c>
      <c r="G388" s="180" t="s">
        <v>802</v>
      </c>
    </row>
    <row r="389" spans="1:7" ht="21.25" customHeight="1" x14ac:dyDescent="0.15">
      <c r="A389" s="10" t="s">
        <v>463</v>
      </c>
      <c r="B389" s="180" t="s">
        <v>832</v>
      </c>
      <c r="C389" s="178">
        <v>292</v>
      </c>
      <c r="D389" s="178" cm="1">
        <f t="array" ref="D389">IFERROR(AVERAGE(B389:C389),"—")</f>
        <v>292</v>
      </c>
      <c r="E389" s="85"/>
      <c r="F389" s="179">
        <v>3625000</v>
      </c>
      <c r="G389" s="180" t="s">
        <v>802</v>
      </c>
    </row>
    <row r="390" spans="1:7" ht="21.25" customHeight="1" x14ac:dyDescent="0.15">
      <c r="A390" s="10" t="s">
        <v>382</v>
      </c>
      <c r="B390" s="180" t="s">
        <v>832</v>
      </c>
      <c r="C390" s="178">
        <v>292.10000000000002</v>
      </c>
      <c r="D390" s="178" cm="1">
        <f t="array" ref="D390">IFERROR(AVERAGE(B390:C390),"—")</f>
        <v>292.10000000000002</v>
      </c>
      <c r="E390" s="85"/>
      <c r="F390" s="179">
        <v>6150000</v>
      </c>
      <c r="G390" s="180" t="s">
        <v>802</v>
      </c>
    </row>
    <row r="391" spans="1:7" ht="21.25" customHeight="1" x14ac:dyDescent="0.15">
      <c r="A391" s="10" t="s">
        <v>306</v>
      </c>
      <c r="B391" s="180" t="s">
        <v>832</v>
      </c>
      <c r="C391" s="178">
        <v>292.10000000000002</v>
      </c>
      <c r="D391" s="178" cm="1">
        <f t="array" ref="D391">IFERROR(AVERAGE(B391:C391),"—")</f>
        <v>292.10000000000002</v>
      </c>
      <c r="E391" s="85"/>
      <c r="F391" s="179">
        <v>5150000</v>
      </c>
      <c r="G391" s="180" t="s">
        <v>802</v>
      </c>
    </row>
    <row r="392" spans="1:7" ht="21.25" customHeight="1" x14ac:dyDescent="0.15">
      <c r="A392" s="10" t="s">
        <v>652</v>
      </c>
      <c r="B392" s="180" t="s">
        <v>832</v>
      </c>
      <c r="C392" s="178">
        <v>292.10000000000002</v>
      </c>
      <c r="D392" s="178" cm="1">
        <f t="array" ref="D392">IFERROR(AVERAGE(B392:C392),"—")</f>
        <v>292.10000000000002</v>
      </c>
      <c r="E392" s="85"/>
      <c r="F392" s="179">
        <v>3850000</v>
      </c>
      <c r="G392" s="180" t="s">
        <v>802</v>
      </c>
    </row>
    <row r="393" spans="1:7" ht="21.25" customHeight="1" x14ac:dyDescent="0.15">
      <c r="A393" s="10" t="s">
        <v>489</v>
      </c>
      <c r="B393" s="180" t="s">
        <v>832</v>
      </c>
      <c r="C393" s="178">
        <v>292.2</v>
      </c>
      <c r="D393" s="178" cm="1">
        <f t="array" ref="D393">IFERROR(AVERAGE(B393:C393),"—")</f>
        <v>292.2</v>
      </c>
      <c r="E393" s="85"/>
      <c r="F393" s="179">
        <v>3850000</v>
      </c>
      <c r="G393" s="180" t="s">
        <v>802</v>
      </c>
    </row>
    <row r="394" spans="1:7" ht="21.25" customHeight="1" x14ac:dyDescent="0.15">
      <c r="A394" s="10" t="s">
        <v>368</v>
      </c>
      <c r="B394" s="180" t="s">
        <v>832</v>
      </c>
      <c r="C394" s="178">
        <v>292.2</v>
      </c>
      <c r="D394" s="178" cm="1">
        <f t="array" ref="D394">IFERROR(AVERAGE(B394:C394),"—")</f>
        <v>292.2</v>
      </c>
      <c r="E394" s="85"/>
      <c r="F394" s="179">
        <v>3650000</v>
      </c>
      <c r="G394" s="180" t="s">
        <v>802</v>
      </c>
    </row>
    <row r="395" spans="1:7" ht="21.25" customHeight="1" x14ac:dyDescent="0.15">
      <c r="A395" s="10" t="s">
        <v>679</v>
      </c>
      <c r="B395" s="180" t="s">
        <v>832</v>
      </c>
      <c r="C395" s="178">
        <v>292.2</v>
      </c>
      <c r="D395" s="178" cm="1">
        <f t="array" ref="D395">IFERROR(AVERAGE(B395:C395),"—")</f>
        <v>292.2</v>
      </c>
      <c r="E395" s="85"/>
      <c r="F395" s="179">
        <v>925000</v>
      </c>
      <c r="G395" s="180" t="s">
        <v>802</v>
      </c>
    </row>
    <row r="396" spans="1:7" ht="21.25" customHeight="1" x14ac:dyDescent="0.15">
      <c r="A396" s="10" t="s">
        <v>526</v>
      </c>
      <c r="B396" s="180" t="s">
        <v>832</v>
      </c>
      <c r="C396" s="178">
        <v>292.3</v>
      </c>
      <c r="D396" s="178" cm="1">
        <f t="array" ref="D396">IFERROR(AVERAGE(B396:C396),"—")</f>
        <v>292.3</v>
      </c>
      <c r="E396" s="85"/>
      <c r="F396" s="179">
        <v>4000000</v>
      </c>
      <c r="G396" s="180" t="s">
        <v>802</v>
      </c>
    </row>
    <row r="397" spans="1:7" ht="21.25" customHeight="1" x14ac:dyDescent="0.15">
      <c r="A397" s="10" t="s">
        <v>523</v>
      </c>
      <c r="B397" s="180" t="s">
        <v>832</v>
      </c>
      <c r="C397" s="178">
        <v>292.3</v>
      </c>
      <c r="D397" s="178" cm="1">
        <f t="array" ref="D397">IFERROR(AVERAGE(B397:C397),"—")</f>
        <v>292.3</v>
      </c>
      <c r="E397" s="85"/>
      <c r="F397" s="179">
        <v>4500000</v>
      </c>
      <c r="G397" s="180" t="s">
        <v>802</v>
      </c>
    </row>
    <row r="398" spans="1:7" ht="21.25" customHeight="1" x14ac:dyDescent="0.15">
      <c r="A398" s="10" t="s">
        <v>364</v>
      </c>
      <c r="B398" s="180" t="s">
        <v>832</v>
      </c>
      <c r="C398" s="178">
        <v>292.39999999999998</v>
      </c>
      <c r="D398" s="178" cm="1">
        <f t="array" ref="D398">IFERROR(AVERAGE(B398:C398),"—")</f>
        <v>292.39999999999998</v>
      </c>
      <c r="E398" s="85"/>
      <c r="F398" s="179">
        <v>6250000</v>
      </c>
      <c r="G398" s="180" t="s">
        <v>802</v>
      </c>
    </row>
    <row r="399" spans="1:7" ht="21.25" customHeight="1" x14ac:dyDescent="0.15">
      <c r="A399" s="10" t="s">
        <v>376</v>
      </c>
      <c r="B399" s="180" t="s">
        <v>832</v>
      </c>
      <c r="C399" s="178">
        <v>292.39999999999998</v>
      </c>
      <c r="D399" s="178" cm="1">
        <f t="array" ref="D399">IFERROR(AVERAGE(B399:C399),"—")</f>
        <v>292.39999999999998</v>
      </c>
      <c r="E399" s="85"/>
      <c r="F399" s="179">
        <v>5250000</v>
      </c>
      <c r="G399" s="180" t="s">
        <v>802</v>
      </c>
    </row>
    <row r="400" spans="1:7" ht="21.25" customHeight="1" x14ac:dyDescent="0.15">
      <c r="A400" s="10" t="s">
        <v>606</v>
      </c>
      <c r="B400" s="180" t="s">
        <v>832</v>
      </c>
      <c r="C400" s="178">
        <v>292.39999999999998</v>
      </c>
      <c r="D400" s="178" cm="1">
        <f t="array" ref="D400">IFERROR(AVERAGE(B400:C400),"—")</f>
        <v>292.39999999999998</v>
      </c>
      <c r="E400" s="85"/>
      <c r="F400" s="179">
        <v>4275000</v>
      </c>
      <c r="G400" s="180" t="s">
        <v>802</v>
      </c>
    </row>
    <row r="401" spans="1:7" ht="21.25" customHeight="1" x14ac:dyDescent="0.15">
      <c r="A401" s="10" t="s">
        <v>545</v>
      </c>
      <c r="B401" s="180" t="s">
        <v>832</v>
      </c>
      <c r="C401" s="178">
        <v>292.39999999999998</v>
      </c>
      <c r="D401" s="178" cm="1">
        <f t="array" ref="D401">IFERROR(AVERAGE(B401:C401),"—")</f>
        <v>292.39999999999998</v>
      </c>
      <c r="E401" s="85"/>
      <c r="F401" s="179">
        <v>4200000</v>
      </c>
      <c r="G401" s="180" t="s">
        <v>802</v>
      </c>
    </row>
    <row r="402" spans="1:7" ht="21.25" customHeight="1" x14ac:dyDescent="0.15">
      <c r="A402" s="10" t="s">
        <v>572</v>
      </c>
      <c r="B402" s="180" t="s">
        <v>832</v>
      </c>
      <c r="C402" s="178">
        <v>292.39999999999998</v>
      </c>
      <c r="D402" s="178" cm="1">
        <f t="array" ref="D402">IFERROR(AVERAGE(B402:C402),"—")</f>
        <v>292.39999999999998</v>
      </c>
      <c r="E402" s="85"/>
      <c r="F402" s="179">
        <v>3660000</v>
      </c>
      <c r="G402" s="180" t="s">
        <v>802</v>
      </c>
    </row>
    <row r="403" spans="1:7" ht="21.25" customHeight="1" x14ac:dyDescent="0.15">
      <c r="A403" s="10" t="s">
        <v>587</v>
      </c>
      <c r="B403" s="180" t="s">
        <v>832</v>
      </c>
      <c r="C403" s="178">
        <v>292.39999999999998</v>
      </c>
      <c r="D403" s="178" cm="1">
        <f t="array" ref="D403">IFERROR(AVERAGE(B403:C403),"—")</f>
        <v>292.39999999999998</v>
      </c>
      <c r="E403" s="85"/>
      <c r="F403" s="179">
        <v>3250000</v>
      </c>
      <c r="G403" s="180" t="s">
        <v>802</v>
      </c>
    </row>
    <row r="404" spans="1:7" ht="21.25" customHeight="1" x14ac:dyDescent="0.15">
      <c r="A404" s="10" t="s">
        <v>407</v>
      </c>
      <c r="B404" s="180" t="s">
        <v>832</v>
      </c>
      <c r="C404" s="178">
        <v>292.5</v>
      </c>
      <c r="D404" s="178" cm="1">
        <f t="array" ref="D404">IFERROR(AVERAGE(B404:C404),"—")</f>
        <v>292.5</v>
      </c>
      <c r="E404" s="85"/>
      <c r="F404" s="179">
        <v>3200000</v>
      </c>
      <c r="G404" s="180" t="s">
        <v>802</v>
      </c>
    </row>
    <row r="405" spans="1:7" ht="21.25" customHeight="1" x14ac:dyDescent="0.15">
      <c r="A405" s="10" t="s">
        <v>360</v>
      </c>
      <c r="B405" s="180" t="s">
        <v>832</v>
      </c>
      <c r="C405" s="178">
        <v>292.60000000000002</v>
      </c>
      <c r="D405" s="178" cm="1">
        <f t="array" ref="D405">IFERROR(AVERAGE(B405:C405),"—")</f>
        <v>292.60000000000002</v>
      </c>
      <c r="E405" s="85"/>
      <c r="F405" s="179">
        <v>5750000</v>
      </c>
      <c r="G405" s="180" t="s">
        <v>802</v>
      </c>
    </row>
    <row r="406" spans="1:7" ht="21.25" customHeight="1" x14ac:dyDescent="0.15">
      <c r="A406" s="10" t="s">
        <v>394</v>
      </c>
      <c r="B406" s="180" t="s">
        <v>832</v>
      </c>
      <c r="C406" s="178">
        <v>292.60000000000002</v>
      </c>
      <c r="D406" s="178" cm="1">
        <f t="array" ref="D406">IFERROR(AVERAGE(B406:C406),"—")</f>
        <v>292.60000000000002</v>
      </c>
      <c r="E406" s="85"/>
      <c r="F406" s="179">
        <v>5500000</v>
      </c>
      <c r="G406" s="180" t="s">
        <v>802</v>
      </c>
    </row>
    <row r="407" spans="1:7" ht="21.25" customHeight="1" x14ac:dyDescent="0.15">
      <c r="A407" s="10" t="s">
        <v>396</v>
      </c>
      <c r="B407" s="180" t="s">
        <v>832</v>
      </c>
      <c r="C407" s="178">
        <v>292.60000000000002</v>
      </c>
      <c r="D407" s="178" cm="1">
        <f t="array" ref="D407">IFERROR(AVERAGE(B407:C407),"—")</f>
        <v>292.60000000000002</v>
      </c>
      <c r="E407" s="85"/>
      <c r="F407" s="179">
        <v>4600000</v>
      </c>
      <c r="G407" s="180" t="s">
        <v>802</v>
      </c>
    </row>
    <row r="408" spans="1:7" ht="21.25" customHeight="1" x14ac:dyDescent="0.15">
      <c r="A408" s="10" t="s">
        <v>648</v>
      </c>
      <c r="B408" s="180" t="s">
        <v>832</v>
      </c>
      <c r="C408" s="178">
        <v>292.60000000000002</v>
      </c>
      <c r="D408" s="178" cm="1">
        <f t="array" ref="D408">IFERROR(AVERAGE(B408:C408),"—")</f>
        <v>292.60000000000002</v>
      </c>
      <c r="E408" s="85"/>
      <c r="F408" s="179">
        <v>1638000</v>
      </c>
      <c r="G408" s="180" t="s">
        <v>802</v>
      </c>
    </row>
    <row r="409" spans="1:7" ht="21.25" customHeight="1" x14ac:dyDescent="0.15">
      <c r="A409" s="10" t="s">
        <v>654</v>
      </c>
      <c r="B409" s="180" t="s">
        <v>832</v>
      </c>
      <c r="C409" s="178">
        <v>292.60000000000002</v>
      </c>
      <c r="D409" s="178" cm="1">
        <f t="array" ref="D409">IFERROR(AVERAGE(B409:C409),"—")</f>
        <v>292.60000000000002</v>
      </c>
      <c r="E409" s="85"/>
      <c r="F409" s="179">
        <v>2200000</v>
      </c>
      <c r="G409" s="180" t="s">
        <v>802</v>
      </c>
    </row>
    <row r="410" spans="1:7" ht="21.25" customHeight="1" x14ac:dyDescent="0.15">
      <c r="A410" s="10" t="s">
        <v>588</v>
      </c>
      <c r="B410" s="180" t="s">
        <v>832</v>
      </c>
      <c r="C410" s="178">
        <v>292.7</v>
      </c>
      <c r="D410" s="178" cm="1">
        <f t="array" ref="D410">IFERROR(AVERAGE(B410:C410),"—")</f>
        <v>292.7</v>
      </c>
      <c r="E410" s="85"/>
      <c r="F410" s="179">
        <v>5400000</v>
      </c>
      <c r="G410" s="180" t="s">
        <v>802</v>
      </c>
    </row>
    <row r="411" spans="1:7" ht="21.25" customHeight="1" x14ac:dyDescent="0.15">
      <c r="A411" s="10" t="s">
        <v>619</v>
      </c>
      <c r="B411" s="180" t="s">
        <v>832</v>
      </c>
      <c r="C411" s="178">
        <v>292.7</v>
      </c>
      <c r="D411" s="178" cm="1">
        <f t="array" ref="D411">IFERROR(AVERAGE(B411:C411),"—")</f>
        <v>292.7</v>
      </c>
      <c r="E411" s="85"/>
      <c r="F411" s="179">
        <v>3080000</v>
      </c>
      <c r="G411" s="180" t="s">
        <v>802</v>
      </c>
    </row>
    <row r="412" spans="1:7" ht="21.25" customHeight="1" x14ac:dyDescent="0.15">
      <c r="A412" s="10" t="s">
        <v>590</v>
      </c>
      <c r="B412" s="180" t="s">
        <v>832</v>
      </c>
      <c r="C412" s="178">
        <v>292.7</v>
      </c>
      <c r="D412" s="178" cm="1">
        <f t="array" ref="D412">IFERROR(AVERAGE(B412:C412),"—")</f>
        <v>292.7</v>
      </c>
      <c r="E412" s="85"/>
      <c r="F412" s="179">
        <v>950000</v>
      </c>
      <c r="G412" s="180" t="s">
        <v>802</v>
      </c>
    </row>
    <row r="413" spans="1:7" ht="21.25" customHeight="1" x14ac:dyDescent="0.15">
      <c r="A413" s="10" t="s">
        <v>501</v>
      </c>
      <c r="B413" s="180" t="s">
        <v>832</v>
      </c>
      <c r="C413" s="178">
        <v>292.8</v>
      </c>
      <c r="D413" s="178" cm="1">
        <f t="array" ref="D413">IFERROR(AVERAGE(B413:C413),"—")</f>
        <v>292.8</v>
      </c>
      <c r="E413" s="85"/>
      <c r="F413" s="179">
        <v>5625000</v>
      </c>
      <c r="G413" s="180" t="s">
        <v>802</v>
      </c>
    </row>
    <row r="414" spans="1:7" ht="21.25" customHeight="1" x14ac:dyDescent="0.15">
      <c r="A414" s="10" t="s">
        <v>361</v>
      </c>
      <c r="B414" s="180" t="s">
        <v>832</v>
      </c>
      <c r="C414" s="178">
        <v>292.8</v>
      </c>
      <c r="D414" s="178" cm="1">
        <f t="array" ref="D414">IFERROR(AVERAGE(B414:C414),"—")</f>
        <v>292.8</v>
      </c>
      <c r="E414" s="85"/>
      <c r="F414" s="179">
        <v>5000000</v>
      </c>
      <c r="G414" s="180" t="s">
        <v>802</v>
      </c>
    </row>
    <row r="415" spans="1:7" ht="21.25" customHeight="1" x14ac:dyDescent="0.15">
      <c r="A415" s="10" t="s">
        <v>556</v>
      </c>
      <c r="B415" s="180" t="s">
        <v>832</v>
      </c>
      <c r="C415" s="178">
        <v>292.8</v>
      </c>
      <c r="D415" s="178" cm="1">
        <f t="array" ref="D415">IFERROR(AVERAGE(B415:C415),"—")</f>
        <v>292.8</v>
      </c>
      <c r="E415" s="85"/>
      <c r="F415" s="179">
        <v>3250000</v>
      </c>
      <c r="G415" s="180" t="s">
        <v>802</v>
      </c>
    </row>
    <row r="416" spans="1:7" ht="21.25" customHeight="1" x14ac:dyDescent="0.15">
      <c r="A416" s="10" t="s">
        <v>710</v>
      </c>
      <c r="B416" s="180" t="s">
        <v>832</v>
      </c>
      <c r="C416" s="178">
        <v>292.8</v>
      </c>
      <c r="D416" s="178" cm="1">
        <f t="array" ref="D416">IFERROR(AVERAGE(B416:C416),"—")</f>
        <v>292.8</v>
      </c>
      <c r="E416" s="85"/>
      <c r="F416" s="179">
        <v>1000000</v>
      </c>
      <c r="G416" s="180" t="s">
        <v>802</v>
      </c>
    </row>
    <row r="417" spans="1:7" ht="21.25" customHeight="1" x14ac:dyDescent="0.15">
      <c r="A417" s="10" t="s">
        <v>617</v>
      </c>
      <c r="B417" s="180" t="s">
        <v>832</v>
      </c>
      <c r="C417" s="178">
        <v>292.8</v>
      </c>
      <c r="D417" s="178" cm="1">
        <f t="array" ref="D417">IFERROR(AVERAGE(B417:C417),"—")</f>
        <v>292.8</v>
      </c>
      <c r="E417" s="85"/>
      <c r="F417" s="179">
        <v>2000000</v>
      </c>
      <c r="G417" s="180" t="s">
        <v>802</v>
      </c>
    </row>
    <row r="418" spans="1:7" ht="21.25" customHeight="1" x14ac:dyDescent="0.15">
      <c r="A418" s="10" t="s">
        <v>339</v>
      </c>
      <c r="B418" s="180" t="s">
        <v>832</v>
      </c>
      <c r="C418" s="178">
        <v>292.89999999999998</v>
      </c>
      <c r="D418" s="178" cm="1">
        <f t="array" ref="D418">IFERROR(AVERAGE(B418:C418),"—")</f>
        <v>292.89999999999998</v>
      </c>
      <c r="E418" s="85"/>
      <c r="F418" s="179">
        <v>6935000</v>
      </c>
      <c r="G418" s="180" t="s">
        <v>802</v>
      </c>
    </row>
    <row r="419" spans="1:7" ht="21.25" customHeight="1" x14ac:dyDescent="0.15">
      <c r="A419" s="10" t="s">
        <v>457</v>
      </c>
      <c r="B419" s="180" t="s">
        <v>832</v>
      </c>
      <c r="C419" s="178">
        <v>292.89999999999998</v>
      </c>
      <c r="D419" s="178" cm="1">
        <f t="array" ref="D419">IFERROR(AVERAGE(B419:C419),"—")</f>
        <v>292.89999999999998</v>
      </c>
      <c r="E419" s="85"/>
      <c r="F419" s="179">
        <v>5100000</v>
      </c>
      <c r="G419" s="180" t="s">
        <v>802</v>
      </c>
    </row>
    <row r="420" spans="1:7" ht="21.25" customHeight="1" x14ac:dyDescent="0.15">
      <c r="A420" s="10" t="s">
        <v>377</v>
      </c>
      <c r="B420" s="180" t="s">
        <v>832</v>
      </c>
      <c r="C420" s="178">
        <v>293</v>
      </c>
      <c r="D420" s="178" cm="1">
        <f t="array" ref="D420">IFERROR(AVERAGE(B420:C420),"—")</f>
        <v>293</v>
      </c>
      <c r="E420" s="85"/>
      <c r="F420" s="179">
        <v>6500000</v>
      </c>
      <c r="G420" s="180" t="s">
        <v>802</v>
      </c>
    </row>
    <row r="421" spans="1:7" ht="21.25" customHeight="1" x14ac:dyDescent="0.15">
      <c r="A421" s="10" t="s">
        <v>474</v>
      </c>
      <c r="B421" s="180" t="s">
        <v>832</v>
      </c>
      <c r="C421" s="178">
        <v>293</v>
      </c>
      <c r="D421" s="178" cm="1">
        <f t="array" ref="D421">IFERROR(AVERAGE(B421:C421),"—")</f>
        <v>293</v>
      </c>
      <c r="E421" s="85"/>
      <c r="F421" s="179">
        <v>3500000</v>
      </c>
      <c r="G421" s="180" t="s">
        <v>802</v>
      </c>
    </row>
    <row r="422" spans="1:7" ht="21.25" customHeight="1" x14ac:dyDescent="0.15">
      <c r="A422" s="10" t="s">
        <v>658</v>
      </c>
      <c r="B422" s="180" t="s">
        <v>832</v>
      </c>
      <c r="C422" s="178">
        <v>293</v>
      </c>
      <c r="D422" s="178" cm="1">
        <f t="array" ref="D422">IFERROR(AVERAGE(B422:C422),"—")</f>
        <v>293</v>
      </c>
      <c r="E422" s="85"/>
      <c r="F422" s="179">
        <v>2000000</v>
      </c>
      <c r="G422" s="180" t="s">
        <v>802</v>
      </c>
    </row>
    <row r="423" spans="1:7" ht="21.25" customHeight="1" x14ac:dyDescent="0.15">
      <c r="A423" s="10" t="s">
        <v>426</v>
      </c>
      <c r="B423" s="180" t="s">
        <v>832</v>
      </c>
      <c r="C423" s="178">
        <v>293.10000000000002</v>
      </c>
      <c r="D423" s="178" cm="1">
        <f t="array" ref="D423">IFERROR(AVERAGE(B423:C423),"—")</f>
        <v>293.10000000000002</v>
      </c>
      <c r="E423" s="85"/>
      <c r="F423" s="179">
        <v>5500000</v>
      </c>
      <c r="G423" s="180" t="s">
        <v>802</v>
      </c>
    </row>
    <row r="424" spans="1:7" ht="21.25" customHeight="1" x14ac:dyDescent="0.15">
      <c r="A424" s="10" t="s">
        <v>662</v>
      </c>
      <c r="B424" s="180" t="s">
        <v>832</v>
      </c>
      <c r="C424" s="178">
        <v>293.2</v>
      </c>
      <c r="D424" s="178" cm="1">
        <f t="array" ref="D424">IFERROR(AVERAGE(B424:C424),"—")</f>
        <v>293.2</v>
      </c>
      <c r="E424" s="85"/>
      <c r="F424" s="179">
        <v>5400000</v>
      </c>
      <c r="G424" s="180" t="s">
        <v>802</v>
      </c>
    </row>
    <row r="425" spans="1:7" ht="21.25" customHeight="1" x14ac:dyDescent="0.15">
      <c r="A425" s="10" t="s">
        <v>704</v>
      </c>
      <c r="B425" s="180" t="s">
        <v>832</v>
      </c>
      <c r="C425" s="178">
        <v>293.2</v>
      </c>
      <c r="D425" s="178" cm="1">
        <f t="array" ref="D425">IFERROR(AVERAGE(B425:C425),"—")</f>
        <v>293.2</v>
      </c>
      <c r="E425" s="85"/>
      <c r="F425" s="179">
        <v>1250000</v>
      </c>
      <c r="G425" s="180" t="s">
        <v>802</v>
      </c>
    </row>
    <row r="426" spans="1:7" ht="21.25" customHeight="1" x14ac:dyDescent="0.15">
      <c r="A426" s="10" t="s">
        <v>635</v>
      </c>
      <c r="B426" s="180" t="s">
        <v>832</v>
      </c>
      <c r="C426" s="178">
        <v>293.2</v>
      </c>
      <c r="D426" s="178" cm="1">
        <f t="array" ref="D426">IFERROR(AVERAGE(B426:C426),"—")</f>
        <v>293.2</v>
      </c>
      <c r="E426" s="85"/>
      <c r="F426" s="179">
        <v>841000</v>
      </c>
      <c r="G426" s="180" t="s">
        <v>802</v>
      </c>
    </row>
    <row r="427" spans="1:7" ht="21.25" customHeight="1" x14ac:dyDescent="0.15">
      <c r="A427" s="10" t="s">
        <v>307</v>
      </c>
      <c r="B427" s="180" t="s">
        <v>832</v>
      </c>
      <c r="C427" s="178">
        <v>293.3</v>
      </c>
      <c r="D427" s="178" cm="1">
        <f t="array" ref="D427">IFERROR(AVERAGE(B427:C427),"—")</f>
        <v>293.3</v>
      </c>
      <c r="E427" s="85"/>
      <c r="F427" s="179">
        <v>7000000</v>
      </c>
      <c r="G427" s="180" t="s">
        <v>802</v>
      </c>
    </row>
    <row r="428" spans="1:7" ht="21.25" customHeight="1" x14ac:dyDescent="0.15">
      <c r="A428" s="10" t="s">
        <v>402</v>
      </c>
      <c r="B428" s="180" t="s">
        <v>832</v>
      </c>
      <c r="C428" s="178">
        <v>293.3</v>
      </c>
      <c r="D428" s="178" cm="1">
        <f t="array" ref="D428">IFERROR(AVERAGE(B428:C428),"—")</f>
        <v>293.3</v>
      </c>
      <c r="E428" s="85"/>
      <c r="F428" s="179">
        <v>4125000</v>
      </c>
      <c r="G428" s="180" t="s">
        <v>802</v>
      </c>
    </row>
    <row r="429" spans="1:7" ht="21.25" customHeight="1" x14ac:dyDescent="0.15">
      <c r="A429" s="10" t="s">
        <v>616</v>
      </c>
      <c r="B429" s="180" t="s">
        <v>832</v>
      </c>
      <c r="C429" s="180" t="s">
        <v>87</v>
      </c>
      <c r="D429" s="85" t="str" cm="1">
        <f t="array" ref="D429">IFERROR(AVERAGE(B429:C429),"—")</f>
        <v>—</v>
      </c>
      <c r="E429" s="85"/>
      <c r="F429" s="179">
        <v>7750000</v>
      </c>
      <c r="G429" s="180" t="s">
        <v>802</v>
      </c>
    </row>
    <row r="430" spans="1:7" ht="21.25" customHeight="1" x14ac:dyDescent="0.15">
      <c r="A430" s="10" t="s">
        <v>604</v>
      </c>
      <c r="B430" s="180" t="s">
        <v>832</v>
      </c>
      <c r="C430" s="180" t="s">
        <v>87</v>
      </c>
      <c r="D430" s="85" t="str" cm="1">
        <f t="array" ref="D430">IFERROR(AVERAGE(B430:C430),"—")</f>
        <v>—</v>
      </c>
      <c r="E430" s="85"/>
      <c r="F430" s="179">
        <v>6250000</v>
      </c>
      <c r="G430" s="180" t="s">
        <v>802</v>
      </c>
    </row>
    <row r="431" spans="1:7" ht="21.25" customHeight="1" x14ac:dyDescent="0.15">
      <c r="A431" s="10" t="s">
        <v>378</v>
      </c>
      <c r="B431" s="180" t="s">
        <v>832</v>
      </c>
      <c r="C431" s="180" t="s">
        <v>87</v>
      </c>
      <c r="D431" s="85" t="str" cm="1">
        <f t="array" ref="D431">IFERROR(AVERAGE(B431:C431),"—")</f>
        <v>—</v>
      </c>
      <c r="E431" s="85"/>
      <c r="F431" s="179">
        <v>6100000</v>
      </c>
      <c r="G431" s="180" t="s">
        <v>802</v>
      </c>
    </row>
    <row r="432" spans="1:7" ht="21.25" customHeight="1" x14ac:dyDescent="0.15">
      <c r="A432" s="10" t="s">
        <v>498</v>
      </c>
      <c r="B432" s="180" t="s">
        <v>832</v>
      </c>
      <c r="C432" s="180" t="s">
        <v>87</v>
      </c>
      <c r="D432" s="85" t="str" cm="1">
        <f t="array" ref="D432">IFERROR(AVERAGE(B432:C432),"—")</f>
        <v>—</v>
      </c>
      <c r="E432" s="85"/>
      <c r="F432" s="179">
        <v>6000000</v>
      </c>
      <c r="G432" s="180" t="s">
        <v>802</v>
      </c>
    </row>
    <row r="433" spans="1:7" ht="21.25" customHeight="1" x14ac:dyDescent="0.15">
      <c r="A433" s="10" t="s">
        <v>738</v>
      </c>
      <c r="B433" s="180" t="s">
        <v>832</v>
      </c>
      <c r="C433" s="180" t="s">
        <v>87</v>
      </c>
      <c r="D433" s="85" t="str" cm="1">
        <f t="array" ref="D433">IFERROR(AVERAGE(B433:C433),"—")</f>
        <v>—</v>
      </c>
      <c r="E433" s="85"/>
      <c r="F433" s="179">
        <v>6000000</v>
      </c>
      <c r="G433" s="180" t="s">
        <v>802</v>
      </c>
    </row>
    <row r="434" spans="1:7" ht="21.25" customHeight="1" x14ac:dyDescent="0.15">
      <c r="A434" s="10" t="s">
        <v>524</v>
      </c>
      <c r="B434" s="180" t="s">
        <v>832</v>
      </c>
      <c r="C434" s="180" t="s">
        <v>87</v>
      </c>
      <c r="D434" s="85" t="str" cm="1">
        <f t="array" ref="D434">IFERROR(AVERAGE(B434:C434),"—")</f>
        <v>—</v>
      </c>
      <c r="E434" s="85"/>
      <c r="F434" s="179">
        <v>5750000</v>
      </c>
      <c r="G434" s="180" t="s">
        <v>802</v>
      </c>
    </row>
    <row r="435" spans="1:7" ht="21.25" customHeight="1" x14ac:dyDescent="0.15">
      <c r="A435" s="10" t="s">
        <v>353</v>
      </c>
      <c r="B435" s="180" t="s">
        <v>832</v>
      </c>
      <c r="C435" s="180" t="s">
        <v>87</v>
      </c>
      <c r="D435" s="85" t="str" cm="1">
        <f t="array" ref="D435">IFERROR(AVERAGE(B435:C435),"—")</f>
        <v>—</v>
      </c>
      <c r="E435" s="85"/>
      <c r="F435" s="179">
        <v>5750000</v>
      </c>
      <c r="G435" s="180" t="s">
        <v>802</v>
      </c>
    </row>
    <row r="436" spans="1:7" ht="21.25" customHeight="1" x14ac:dyDescent="0.15">
      <c r="A436" s="10" t="s">
        <v>411</v>
      </c>
      <c r="B436" s="180" t="s">
        <v>832</v>
      </c>
      <c r="C436" s="180" t="s">
        <v>87</v>
      </c>
      <c r="D436" s="85" t="str" cm="1">
        <f t="array" ref="D436">IFERROR(AVERAGE(B436:C436),"—")</f>
        <v>—</v>
      </c>
      <c r="E436" s="85"/>
      <c r="F436" s="179">
        <v>5750000</v>
      </c>
      <c r="G436" s="180" t="s">
        <v>802</v>
      </c>
    </row>
    <row r="437" spans="1:7" ht="21.25" customHeight="1" x14ac:dyDescent="0.15">
      <c r="A437" s="10" t="s">
        <v>664</v>
      </c>
      <c r="B437" s="180" t="s">
        <v>832</v>
      </c>
      <c r="C437" s="180" t="s">
        <v>87</v>
      </c>
      <c r="D437" s="85" t="str" cm="1">
        <f t="array" ref="D437">IFERROR(AVERAGE(B437:C437),"—")</f>
        <v>—</v>
      </c>
      <c r="E437" s="85"/>
      <c r="F437" s="179">
        <v>5500000</v>
      </c>
      <c r="G437" s="180" t="s">
        <v>802</v>
      </c>
    </row>
    <row r="438" spans="1:7" ht="21.25" customHeight="1" x14ac:dyDescent="0.15">
      <c r="A438" s="10" t="s">
        <v>387</v>
      </c>
      <c r="B438" s="180" t="s">
        <v>832</v>
      </c>
      <c r="C438" s="180" t="s">
        <v>87</v>
      </c>
      <c r="D438" s="85" t="str" cm="1">
        <f t="array" ref="D438">IFERROR(AVERAGE(B438:C438),"—")</f>
        <v>—</v>
      </c>
      <c r="E438" s="85"/>
      <c r="F438" s="179">
        <v>5500000</v>
      </c>
      <c r="G438" s="180" t="s">
        <v>802</v>
      </c>
    </row>
    <row r="439" spans="1:7" ht="21.25" customHeight="1" x14ac:dyDescent="0.15">
      <c r="A439" s="10" t="s">
        <v>721</v>
      </c>
      <c r="B439" s="180" t="s">
        <v>832</v>
      </c>
      <c r="C439" s="180" t="s">
        <v>87</v>
      </c>
      <c r="D439" s="85" t="str" cm="1">
        <f t="array" ref="D439">IFERROR(AVERAGE(B439:C439),"—")</f>
        <v>—</v>
      </c>
      <c r="E439" s="85"/>
      <c r="F439" s="179">
        <v>5500000</v>
      </c>
      <c r="G439" s="180" t="s">
        <v>802</v>
      </c>
    </row>
    <row r="440" spans="1:7" ht="21.25" customHeight="1" x14ac:dyDescent="0.15">
      <c r="A440" s="10" t="s">
        <v>689</v>
      </c>
      <c r="B440" s="180" t="s">
        <v>832</v>
      </c>
      <c r="C440" s="180" t="s">
        <v>87</v>
      </c>
      <c r="D440" s="85" t="str" cm="1">
        <f t="array" ref="D440">IFERROR(AVERAGE(B440:C440),"—")</f>
        <v>—</v>
      </c>
      <c r="E440" s="85"/>
      <c r="F440" s="179">
        <v>5500000</v>
      </c>
      <c r="G440" s="180" t="s">
        <v>802</v>
      </c>
    </row>
    <row r="441" spans="1:7" ht="21.25" customHeight="1" x14ac:dyDescent="0.15">
      <c r="A441" s="10" t="s">
        <v>410</v>
      </c>
      <c r="B441" s="180" t="s">
        <v>832</v>
      </c>
      <c r="C441" s="180" t="s">
        <v>87</v>
      </c>
      <c r="D441" s="85" t="str" cm="1">
        <f t="array" ref="D441">IFERROR(AVERAGE(B441:C441),"—")</f>
        <v>—</v>
      </c>
      <c r="E441" s="85"/>
      <c r="F441" s="179">
        <v>5350000</v>
      </c>
      <c r="G441" s="180" t="s">
        <v>802</v>
      </c>
    </row>
    <row r="442" spans="1:7" ht="21.25" customHeight="1" x14ac:dyDescent="0.15">
      <c r="A442" s="10" t="s">
        <v>487</v>
      </c>
      <c r="B442" s="180" t="s">
        <v>832</v>
      </c>
      <c r="C442" s="180" t="s">
        <v>87</v>
      </c>
      <c r="D442" s="85" t="str" cm="1">
        <f t="array" ref="D442">IFERROR(AVERAGE(B442:C442),"—")</f>
        <v>—</v>
      </c>
      <c r="E442" s="85"/>
      <c r="F442" s="179">
        <v>5200000</v>
      </c>
      <c r="G442" s="180" t="s">
        <v>802</v>
      </c>
    </row>
    <row r="443" spans="1:7" ht="21.25" customHeight="1" x14ac:dyDescent="0.15">
      <c r="A443" s="10" t="s">
        <v>642</v>
      </c>
      <c r="B443" s="180" t="s">
        <v>832</v>
      </c>
      <c r="C443" s="180" t="s">
        <v>87</v>
      </c>
      <c r="D443" s="85" t="str" cm="1">
        <f t="array" ref="D443">IFERROR(AVERAGE(B443:C443),"—")</f>
        <v>—</v>
      </c>
      <c r="E443" s="85"/>
      <c r="F443" s="179">
        <v>5100000</v>
      </c>
      <c r="G443" s="180" t="s">
        <v>802</v>
      </c>
    </row>
    <row r="444" spans="1:7" ht="21.25" customHeight="1" x14ac:dyDescent="0.15">
      <c r="A444" s="10" t="s">
        <v>661</v>
      </c>
      <c r="B444" s="180" t="s">
        <v>832</v>
      </c>
      <c r="C444" s="180" t="s">
        <v>87</v>
      </c>
      <c r="D444" s="85" t="str" cm="1">
        <f t="array" ref="D444">IFERROR(AVERAGE(B444:C444),"—")</f>
        <v>—</v>
      </c>
      <c r="E444" s="85"/>
      <c r="F444" s="179">
        <v>5000000</v>
      </c>
      <c r="G444" s="180" t="s">
        <v>802</v>
      </c>
    </row>
    <row r="445" spans="1:7" ht="21.25" customHeight="1" x14ac:dyDescent="0.15">
      <c r="A445" s="10" t="s">
        <v>641</v>
      </c>
      <c r="B445" s="180" t="s">
        <v>832</v>
      </c>
      <c r="C445" s="180" t="s">
        <v>87</v>
      </c>
      <c r="D445" s="85" t="str" cm="1">
        <f t="array" ref="D445">IFERROR(AVERAGE(B445:C445),"—")</f>
        <v>—</v>
      </c>
      <c r="E445" s="85"/>
      <c r="F445" s="179">
        <v>5000000</v>
      </c>
      <c r="G445" s="180" t="s">
        <v>802</v>
      </c>
    </row>
    <row r="446" spans="1:7" ht="21.25" customHeight="1" x14ac:dyDescent="0.15">
      <c r="A446" s="10" t="s">
        <v>470</v>
      </c>
      <c r="B446" s="180" t="s">
        <v>832</v>
      </c>
      <c r="C446" s="180" t="s">
        <v>87</v>
      </c>
      <c r="D446" s="85" t="str" cm="1">
        <f t="array" ref="D446">IFERROR(AVERAGE(B446:C446),"—")</f>
        <v>—</v>
      </c>
      <c r="E446" s="85"/>
      <c r="F446" s="179">
        <v>5000000</v>
      </c>
      <c r="G446" s="180" t="s">
        <v>802</v>
      </c>
    </row>
    <row r="447" spans="1:7" ht="21.25" customHeight="1" x14ac:dyDescent="0.15">
      <c r="A447" s="10" t="s">
        <v>480</v>
      </c>
      <c r="B447" s="180" t="s">
        <v>832</v>
      </c>
      <c r="C447" s="180" t="s">
        <v>87</v>
      </c>
      <c r="D447" s="85" t="str" cm="1">
        <f t="array" ref="D447">IFERROR(AVERAGE(B447:C447),"—")</f>
        <v>—</v>
      </c>
      <c r="E447" s="85"/>
      <c r="F447" s="179">
        <v>5000000</v>
      </c>
      <c r="G447" s="180" t="s">
        <v>802</v>
      </c>
    </row>
    <row r="448" spans="1:7" ht="21.25" customHeight="1" x14ac:dyDescent="0.15">
      <c r="A448" s="10" t="s">
        <v>414</v>
      </c>
      <c r="B448" s="180" t="s">
        <v>832</v>
      </c>
      <c r="C448" s="180" t="s">
        <v>87</v>
      </c>
      <c r="D448" s="85" t="str" cm="1">
        <f t="array" ref="D448">IFERROR(AVERAGE(B448:C448),"—")</f>
        <v>—</v>
      </c>
      <c r="E448" s="85"/>
      <c r="F448" s="179">
        <v>5000000</v>
      </c>
      <c r="G448" s="180" t="s">
        <v>802</v>
      </c>
    </row>
    <row r="449" spans="1:7" ht="21.25" customHeight="1" x14ac:dyDescent="0.15">
      <c r="A449" s="10" t="s">
        <v>467</v>
      </c>
      <c r="B449" s="180" t="s">
        <v>832</v>
      </c>
      <c r="C449" s="180" t="s">
        <v>87</v>
      </c>
      <c r="D449" s="85" t="str" cm="1">
        <f t="array" ref="D449">IFERROR(AVERAGE(B449:C449),"—")</f>
        <v>—</v>
      </c>
      <c r="E449" s="85"/>
      <c r="F449" s="179">
        <v>4900000</v>
      </c>
      <c r="G449" s="180" t="s">
        <v>802</v>
      </c>
    </row>
    <row r="450" spans="1:7" ht="21.25" customHeight="1" x14ac:dyDescent="0.15">
      <c r="A450" s="10" t="s">
        <v>583</v>
      </c>
      <c r="B450" s="180" t="s">
        <v>832</v>
      </c>
      <c r="C450" s="180" t="s">
        <v>87</v>
      </c>
      <c r="D450" s="85" t="str" cm="1">
        <f t="array" ref="D450">IFERROR(AVERAGE(B450:C450),"—")</f>
        <v>—</v>
      </c>
      <c r="E450" s="85"/>
      <c r="F450" s="179">
        <v>4775000</v>
      </c>
      <c r="G450" s="180" t="s">
        <v>802</v>
      </c>
    </row>
    <row r="451" spans="1:7" ht="21.25" customHeight="1" x14ac:dyDescent="0.15">
      <c r="A451" s="10" t="s">
        <v>576</v>
      </c>
      <c r="B451" s="180" t="s">
        <v>832</v>
      </c>
      <c r="C451" s="180" t="s">
        <v>87</v>
      </c>
      <c r="D451" s="85" t="str" cm="1">
        <f t="array" ref="D451">IFERROR(AVERAGE(B451:C451),"—")</f>
        <v>—</v>
      </c>
      <c r="E451" s="85"/>
      <c r="F451" s="179">
        <v>4625000</v>
      </c>
      <c r="G451" s="180" t="s">
        <v>802</v>
      </c>
    </row>
    <row r="452" spans="1:7" ht="21.25" customHeight="1" x14ac:dyDescent="0.15">
      <c r="A452" s="10" t="s">
        <v>370</v>
      </c>
      <c r="B452" s="180" t="s">
        <v>832</v>
      </c>
      <c r="C452" s="180" t="s">
        <v>87</v>
      </c>
      <c r="D452" s="85" t="str" cm="1">
        <f t="array" ref="D452">IFERROR(AVERAGE(B452:C452),"—")</f>
        <v>—</v>
      </c>
      <c r="E452" s="85"/>
      <c r="F452" s="179">
        <v>4600000</v>
      </c>
      <c r="G452" s="180" t="s">
        <v>802</v>
      </c>
    </row>
    <row r="453" spans="1:7" ht="21.25" customHeight="1" x14ac:dyDescent="0.15">
      <c r="A453" s="10" t="s">
        <v>605</v>
      </c>
      <c r="B453" s="180" t="s">
        <v>832</v>
      </c>
      <c r="C453" s="180" t="s">
        <v>87</v>
      </c>
      <c r="D453" s="85" t="str" cm="1">
        <f t="array" ref="D453">IFERROR(AVERAGE(B453:C453),"—")</f>
        <v>—</v>
      </c>
      <c r="E453" s="85"/>
      <c r="F453" s="179">
        <v>4500000</v>
      </c>
      <c r="G453" s="180" t="s">
        <v>802</v>
      </c>
    </row>
    <row r="454" spans="1:7" ht="21.25" customHeight="1" x14ac:dyDescent="0.15">
      <c r="A454" s="10" t="s">
        <v>405</v>
      </c>
      <c r="B454" s="180" t="s">
        <v>832</v>
      </c>
      <c r="C454" s="180" t="s">
        <v>87</v>
      </c>
      <c r="D454" s="85" t="str" cm="1">
        <f t="array" ref="D454">IFERROR(AVERAGE(B454:C454),"—")</f>
        <v>—</v>
      </c>
      <c r="E454" s="85"/>
      <c r="F454" s="179">
        <v>4500000</v>
      </c>
      <c r="G454" s="180" t="s">
        <v>802</v>
      </c>
    </row>
    <row r="455" spans="1:7" ht="21.25" customHeight="1" x14ac:dyDescent="0.15">
      <c r="A455" s="10" t="s">
        <v>490</v>
      </c>
      <c r="B455" s="180" t="s">
        <v>832</v>
      </c>
      <c r="C455" s="180" t="s">
        <v>87</v>
      </c>
      <c r="D455" s="85" t="str" cm="1">
        <f t="array" ref="D455">IFERROR(AVERAGE(B455:C455),"—")</f>
        <v>—</v>
      </c>
      <c r="E455" s="85"/>
      <c r="F455" s="179">
        <v>4500000</v>
      </c>
      <c r="G455" s="180" t="s">
        <v>802</v>
      </c>
    </row>
    <row r="456" spans="1:7" ht="21.25" customHeight="1" x14ac:dyDescent="0.15">
      <c r="A456" s="10" t="s">
        <v>486</v>
      </c>
      <c r="B456" s="180" t="s">
        <v>832</v>
      </c>
      <c r="C456" s="180" t="s">
        <v>87</v>
      </c>
      <c r="D456" s="85" t="str" cm="1">
        <f t="array" ref="D456">IFERROR(AVERAGE(B456:C456),"—")</f>
        <v>—</v>
      </c>
      <c r="E456" s="85"/>
      <c r="F456" s="179">
        <v>4500000</v>
      </c>
      <c r="G456" s="180" t="s">
        <v>802</v>
      </c>
    </row>
    <row r="457" spans="1:7" ht="21.25" customHeight="1" x14ac:dyDescent="0.15">
      <c r="A457" s="10" t="s">
        <v>459</v>
      </c>
      <c r="B457" s="180" t="s">
        <v>832</v>
      </c>
      <c r="C457" s="180" t="s">
        <v>87</v>
      </c>
      <c r="D457" s="85" t="str" cm="1">
        <f t="array" ref="D457">IFERROR(AVERAGE(B457:C457),"—")</f>
        <v>—</v>
      </c>
      <c r="E457" s="85"/>
      <c r="F457" s="179">
        <v>4500000</v>
      </c>
      <c r="G457" s="180" t="s">
        <v>802</v>
      </c>
    </row>
    <row r="458" spans="1:7" ht="21.25" customHeight="1" x14ac:dyDescent="0.15">
      <c r="A458" s="10" t="s">
        <v>602</v>
      </c>
      <c r="B458" s="180" t="s">
        <v>832</v>
      </c>
      <c r="C458" s="180" t="s">
        <v>87</v>
      </c>
      <c r="D458" s="85" t="str" cm="1">
        <f t="array" ref="D458">IFERROR(AVERAGE(B458:C458),"—")</f>
        <v>—</v>
      </c>
      <c r="E458" s="85"/>
      <c r="F458" s="179">
        <v>4500000</v>
      </c>
      <c r="G458" s="180" t="s">
        <v>802</v>
      </c>
    </row>
    <row r="459" spans="1:7" ht="21.25" customHeight="1" x14ac:dyDescent="0.15">
      <c r="A459" s="10" t="s">
        <v>628</v>
      </c>
      <c r="B459" s="180" t="s">
        <v>832</v>
      </c>
      <c r="C459" s="180" t="s">
        <v>87</v>
      </c>
      <c r="D459" s="85" t="str" cm="1">
        <f t="array" ref="D459">IFERROR(AVERAGE(B459:C459),"—")</f>
        <v>—</v>
      </c>
      <c r="E459" s="85"/>
      <c r="F459" s="179">
        <v>4437500</v>
      </c>
      <c r="G459" s="180" t="s">
        <v>802</v>
      </c>
    </row>
    <row r="460" spans="1:7" ht="21.25" customHeight="1" x14ac:dyDescent="0.15">
      <c r="A460" s="10" t="s">
        <v>719</v>
      </c>
      <c r="B460" s="180" t="s">
        <v>832</v>
      </c>
      <c r="C460" s="180" t="s">
        <v>87</v>
      </c>
      <c r="D460" s="85" t="str" cm="1">
        <f t="array" ref="D460">IFERROR(AVERAGE(B460:C460),"—")</f>
        <v>—</v>
      </c>
      <c r="E460" s="85"/>
      <c r="F460" s="179">
        <v>4250000</v>
      </c>
      <c r="G460" s="180" t="s">
        <v>802</v>
      </c>
    </row>
    <row r="461" spans="1:7" ht="21.25" customHeight="1" x14ac:dyDescent="0.15">
      <c r="A461" s="10" t="s">
        <v>595</v>
      </c>
      <c r="B461" s="180" t="s">
        <v>832</v>
      </c>
      <c r="C461" s="180" t="s">
        <v>87</v>
      </c>
      <c r="D461" s="85" t="str" cm="1">
        <f t="array" ref="D461">IFERROR(AVERAGE(B461:C461),"—")</f>
        <v>—</v>
      </c>
      <c r="E461" s="85"/>
      <c r="F461" s="179">
        <v>4200000</v>
      </c>
      <c r="G461" s="180" t="s">
        <v>802</v>
      </c>
    </row>
    <row r="462" spans="1:7" ht="21.25" customHeight="1" x14ac:dyDescent="0.15">
      <c r="A462" s="10" t="s">
        <v>640</v>
      </c>
      <c r="B462" s="180" t="s">
        <v>832</v>
      </c>
      <c r="C462" s="180" t="s">
        <v>87</v>
      </c>
      <c r="D462" s="85" t="str" cm="1">
        <f t="array" ref="D462">IFERROR(AVERAGE(B462:C462),"—")</f>
        <v>—</v>
      </c>
      <c r="E462" s="85"/>
      <c r="F462" s="179">
        <v>4125000</v>
      </c>
      <c r="G462" s="180" t="s">
        <v>802</v>
      </c>
    </row>
    <row r="463" spans="1:7" ht="21.25" customHeight="1" x14ac:dyDescent="0.15">
      <c r="A463" s="10" t="s">
        <v>442</v>
      </c>
      <c r="B463" s="180" t="s">
        <v>832</v>
      </c>
      <c r="C463" s="180" t="s">
        <v>87</v>
      </c>
      <c r="D463" s="85" t="str" cm="1">
        <f t="array" ref="D463">IFERROR(AVERAGE(B463:C463),"—")</f>
        <v>—</v>
      </c>
      <c r="E463" s="85"/>
      <c r="F463" s="179">
        <v>4125000</v>
      </c>
      <c r="G463" s="180" t="s">
        <v>802</v>
      </c>
    </row>
    <row r="464" spans="1:7" ht="21.25" customHeight="1" x14ac:dyDescent="0.15">
      <c r="A464" s="10" t="s">
        <v>456</v>
      </c>
      <c r="B464" s="180" t="s">
        <v>832</v>
      </c>
      <c r="C464" s="180" t="s">
        <v>87</v>
      </c>
      <c r="D464" s="85" t="str" cm="1">
        <f t="array" ref="D464">IFERROR(AVERAGE(B464:C464),"—")</f>
        <v>—</v>
      </c>
      <c r="E464" s="85"/>
      <c r="F464" s="179">
        <v>4100000</v>
      </c>
      <c r="G464" s="180" t="s">
        <v>802</v>
      </c>
    </row>
    <row r="465" spans="1:7" ht="21.25" customHeight="1" x14ac:dyDescent="0.15">
      <c r="A465" s="10" t="s">
        <v>683</v>
      </c>
      <c r="B465" s="180" t="s">
        <v>832</v>
      </c>
      <c r="C465" s="180" t="s">
        <v>87</v>
      </c>
      <c r="D465" s="85" t="str" cm="1">
        <f t="array" ref="D465">IFERROR(AVERAGE(B465:C465),"—")</f>
        <v>—</v>
      </c>
      <c r="E465" s="85"/>
      <c r="F465" s="179">
        <v>4000000</v>
      </c>
      <c r="G465" s="180" t="s">
        <v>802</v>
      </c>
    </row>
    <row r="466" spans="1:7" ht="21.25" customHeight="1" x14ac:dyDescent="0.15">
      <c r="A466" s="10" t="s">
        <v>691</v>
      </c>
      <c r="B466" s="180" t="s">
        <v>832</v>
      </c>
      <c r="C466" s="180" t="s">
        <v>87</v>
      </c>
      <c r="D466" s="85" t="str" cm="1">
        <f t="array" ref="D466">IFERROR(AVERAGE(B466:C466),"—")</f>
        <v>—</v>
      </c>
      <c r="E466" s="85"/>
      <c r="F466" s="179">
        <v>4000000</v>
      </c>
      <c r="G466" s="180" t="s">
        <v>802</v>
      </c>
    </row>
    <row r="467" spans="1:7" ht="21.25" customHeight="1" x14ac:dyDescent="0.15">
      <c r="A467" s="10" t="s">
        <v>731</v>
      </c>
      <c r="B467" s="180" t="s">
        <v>832</v>
      </c>
      <c r="C467" s="180" t="s">
        <v>87</v>
      </c>
      <c r="D467" s="85" t="str" cm="1">
        <f t="array" ref="D467">IFERROR(AVERAGE(B467:C467),"—")</f>
        <v>—</v>
      </c>
      <c r="E467" s="85"/>
      <c r="F467" s="179">
        <v>4000000</v>
      </c>
      <c r="G467" s="180" t="s">
        <v>802</v>
      </c>
    </row>
    <row r="468" spans="1:7" ht="21.25" customHeight="1" x14ac:dyDescent="0.15">
      <c r="A468" s="10" t="s">
        <v>518</v>
      </c>
      <c r="B468" s="180" t="s">
        <v>832</v>
      </c>
      <c r="C468" s="180" t="s">
        <v>87</v>
      </c>
      <c r="D468" s="85" t="str" cm="1">
        <f t="array" ref="D468">IFERROR(AVERAGE(B468:C468),"—")</f>
        <v>—</v>
      </c>
      <c r="E468" s="85"/>
      <c r="F468" s="179">
        <v>4000000</v>
      </c>
      <c r="G468" s="180" t="s">
        <v>802</v>
      </c>
    </row>
    <row r="469" spans="1:7" ht="21.25" customHeight="1" x14ac:dyDescent="0.15">
      <c r="A469" s="10" t="s">
        <v>510</v>
      </c>
      <c r="B469" s="180" t="s">
        <v>832</v>
      </c>
      <c r="C469" s="180" t="s">
        <v>87</v>
      </c>
      <c r="D469" s="85" t="str" cm="1">
        <f t="array" ref="D469">IFERROR(AVERAGE(B469:C469),"—")</f>
        <v>—</v>
      </c>
      <c r="E469" s="85"/>
      <c r="F469" s="179">
        <v>4000000</v>
      </c>
      <c r="G469" s="180" t="s">
        <v>802</v>
      </c>
    </row>
    <row r="470" spans="1:7" ht="21.25" customHeight="1" x14ac:dyDescent="0.15">
      <c r="A470" s="10" t="s">
        <v>529</v>
      </c>
      <c r="B470" s="180" t="s">
        <v>832</v>
      </c>
      <c r="C470" s="180" t="s">
        <v>87</v>
      </c>
      <c r="D470" s="85" t="str" cm="1">
        <f t="array" ref="D470">IFERROR(AVERAGE(B470:C470),"—")</f>
        <v>—</v>
      </c>
      <c r="E470" s="85"/>
      <c r="F470" s="179">
        <v>4000000</v>
      </c>
      <c r="G470" s="180" t="s">
        <v>802</v>
      </c>
    </row>
    <row r="471" spans="1:7" ht="21.25" customHeight="1" x14ac:dyDescent="0.15">
      <c r="A471" s="10" t="s">
        <v>512</v>
      </c>
      <c r="B471" s="180" t="s">
        <v>832</v>
      </c>
      <c r="C471" s="180" t="s">
        <v>87</v>
      </c>
      <c r="D471" s="85" t="str" cm="1">
        <f t="array" ref="D471">IFERROR(AVERAGE(B471:C471),"—")</f>
        <v>—</v>
      </c>
      <c r="E471" s="85"/>
      <c r="F471" s="179">
        <v>4000000</v>
      </c>
      <c r="G471" s="180" t="s">
        <v>802</v>
      </c>
    </row>
    <row r="472" spans="1:7" ht="21.25" customHeight="1" x14ac:dyDescent="0.15">
      <c r="A472" s="10" t="s">
        <v>755</v>
      </c>
      <c r="B472" s="180" t="s">
        <v>832</v>
      </c>
      <c r="C472" s="180" t="s">
        <v>87</v>
      </c>
      <c r="D472" s="85" t="str" cm="1">
        <f t="array" ref="D472">IFERROR(AVERAGE(B472:C472),"—")</f>
        <v>—</v>
      </c>
      <c r="E472" s="85"/>
      <c r="F472" s="179">
        <v>3850000</v>
      </c>
      <c r="G472" s="180" t="s">
        <v>802</v>
      </c>
    </row>
    <row r="473" spans="1:7" ht="21.25" customHeight="1" x14ac:dyDescent="0.15">
      <c r="A473" s="10" t="s">
        <v>447</v>
      </c>
      <c r="B473" s="180" t="s">
        <v>832</v>
      </c>
      <c r="C473" s="180" t="s">
        <v>87</v>
      </c>
      <c r="D473" s="85" t="str" cm="1">
        <f t="array" ref="D473">IFERROR(AVERAGE(B473:C473),"—")</f>
        <v>—</v>
      </c>
      <c r="E473" s="85"/>
      <c r="F473" s="179">
        <v>3850000</v>
      </c>
      <c r="G473" s="180" t="s">
        <v>802</v>
      </c>
    </row>
    <row r="474" spans="1:7" ht="21.25" customHeight="1" x14ac:dyDescent="0.15">
      <c r="A474" s="10" t="s">
        <v>609</v>
      </c>
      <c r="B474" s="180" t="s">
        <v>832</v>
      </c>
      <c r="C474" s="180" t="s">
        <v>87</v>
      </c>
      <c r="D474" s="85" t="str" cm="1">
        <f t="array" ref="D474">IFERROR(AVERAGE(B474:C474),"—")</f>
        <v>—</v>
      </c>
      <c r="E474" s="85"/>
      <c r="F474" s="179">
        <v>3775000</v>
      </c>
      <c r="G474" s="180" t="s">
        <v>802</v>
      </c>
    </row>
    <row r="475" spans="1:7" ht="21.25" customHeight="1" x14ac:dyDescent="0.15">
      <c r="A475" s="10" t="s">
        <v>673</v>
      </c>
      <c r="B475" s="180" t="s">
        <v>832</v>
      </c>
      <c r="C475" s="180" t="s">
        <v>87</v>
      </c>
      <c r="D475" s="85" t="str" cm="1">
        <f t="array" ref="D475">IFERROR(AVERAGE(B475:C475),"—")</f>
        <v>—</v>
      </c>
      <c r="E475" s="85"/>
      <c r="F475" s="179">
        <v>3750000</v>
      </c>
      <c r="G475" s="180" t="s">
        <v>802</v>
      </c>
    </row>
    <row r="476" spans="1:7" ht="21.25" customHeight="1" x14ac:dyDescent="0.15">
      <c r="A476" s="10" t="s">
        <v>397</v>
      </c>
      <c r="B476" s="180" t="s">
        <v>832</v>
      </c>
      <c r="C476" s="180" t="s">
        <v>87</v>
      </c>
      <c r="D476" s="85" t="str" cm="1">
        <f t="array" ref="D476">IFERROR(AVERAGE(B476:C476),"—")</f>
        <v>—</v>
      </c>
      <c r="E476" s="85"/>
      <c r="F476" s="179">
        <v>3750000</v>
      </c>
      <c r="G476" s="180" t="s">
        <v>802</v>
      </c>
    </row>
    <row r="477" spans="1:7" ht="21.25" customHeight="1" x14ac:dyDescent="0.15">
      <c r="A477" s="10" t="s">
        <v>675</v>
      </c>
      <c r="B477" s="180" t="s">
        <v>832</v>
      </c>
      <c r="C477" s="180" t="s">
        <v>87</v>
      </c>
      <c r="D477" s="85" t="str" cm="1">
        <f t="array" ref="D477">IFERROR(AVERAGE(B477:C477),"—")</f>
        <v>—</v>
      </c>
      <c r="E477" s="85"/>
      <c r="F477" s="179">
        <v>3600000</v>
      </c>
      <c r="G477" s="180" t="s">
        <v>802</v>
      </c>
    </row>
    <row r="478" spans="1:7" ht="21.25" customHeight="1" x14ac:dyDescent="0.15">
      <c r="A478" s="10" t="s">
        <v>729</v>
      </c>
      <c r="B478" s="180" t="s">
        <v>832</v>
      </c>
      <c r="C478" s="180" t="s">
        <v>87</v>
      </c>
      <c r="D478" s="85" t="str" cm="1">
        <f t="array" ref="D478">IFERROR(AVERAGE(B478:C478),"—")</f>
        <v>—</v>
      </c>
      <c r="E478" s="85"/>
      <c r="F478" s="179">
        <v>3600000</v>
      </c>
      <c r="G478" s="180" t="s">
        <v>802</v>
      </c>
    </row>
    <row r="479" spans="1:7" ht="21.25" customHeight="1" x14ac:dyDescent="0.15">
      <c r="A479" s="10" t="s">
        <v>630</v>
      </c>
      <c r="B479" s="180" t="s">
        <v>832</v>
      </c>
      <c r="C479" s="180" t="s">
        <v>87</v>
      </c>
      <c r="D479" s="85" t="str" cm="1">
        <f t="array" ref="D479">IFERROR(AVERAGE(B479:C479),"—")</f>
        <v>—</v>
      </c>
      <c r="E479" s="85"/>
      <c r="F479" s="179">
        <v>3500000</v>
      </c>
      <c r="G479" s="180" t="s">
        <v>802</v>
      </c>
    </row>
    <row r="480" spans="1:7" ht="21.25" customHeight="1" x14ac:dyDescent="0.15">
      <c r="A480" s="10" t="s">
        <v>660</v>
      </c>
      <c r="B480" s="180" t="s">
        <v>832</v>
      </c>
      <c r="C480" s="180" t="s">
        <v>87</v>
      </c>
      <c r="D480" s="85" t="str" cm="1">
        <f t="array" ref="D480">IFERROR(AVERAGE(B480:C480),"—")</f>
        <v>—</v>
      </c>
      <c r="E480" s="85"/>
      <c r="F480" s="179">
        <v>3500000</v>
      </c>
      <c r="G480" s="180" t="s">
        <v>802</v>
      </c>
    </row>
    <row r="481" spans="1:7" ht="21.25" customHeight="1" x14ac:dyDescent="0.15">
      <c r="A481" s="10" t="s">
        <v>744</v>
      </c>
      <c r="B481" s="180" t="s">
        <v>832</v>
      </c>
      <c r="C481" s="180" t="s">
        <v>87</v>
      </c>
      <c r="D481" s="85" t="str" cm="1">
        <f t="array" ref="D481">IFERROR(AVERAGE(B481:C481),"—")</f>
        <v>—</v>
      </c>
      <c r="E481" s="85"/>
      <c r="F481" s="179">
        <v>3500000</v>
      </c>
      <c r="G481" s="180" t="s">
        <v>802</v>
      </c>
    </row>
    <row r="482" spans="1:7" ht="21.25" customHeight="1" x14ac:dyDescent="0.15">
      <c r="A482" s="10" t="s">
        <v>547</v>
      </c>
      <c r="B482" s="180" t="s">
        <v>832</v>
      </c>
      <c r="C482" s="180" t="s">
        <v>87</v>
      </c>
      <c r="D482" s="85" t="str" cm="1">
        <f t="array" ref="D482">IFERROR(AVERAGE(B482:C482),"—")</f>
        <v>—</v>
      </c>
      <c r="E482" s="85"/>
      <c r="F482" s="179">
        <v>3500000</v>
      </c>
      <c r="G482" s="180" t="s">
        <v>802</v>
      </c>
    </row>
    <row r="483" spans="1:7" ht="21.25" customHeight="1" x14ac:dyDescent="0.15">
      <c r="A483" s="10" t="s">
        <v>593</v>
      </c>
      <c r="B483" s="180" t="s">
        <v>832</v>
      </c>
      <c r="C483" s="180" t="s">
        <v>87</v>
      </c>
      <c r="D483" s="85" t="str" cm="1">
        <f t="array" ref="D483">IFERROR(AVERAGE(B483:C483),"—")</f>
        <v>—</v>
      </c>
      <c r="E483" s="85"/>
      <c r="F483" s="179">
        <v>3500000</v>
      </c>
      <c r="G483" s="180" t="s">
        <v>802</v>
      </c>
    </row>
    <row r="484" spans="1:7" ht="21.25" customHeight="1" x14ac:dyDescent="0.15">
      <c r="A484" s="10" t="s">
        <v>520</v>
      </c>
      <c r="B484" s="180" t="s">
        <v>832</v>
      </c>
      <c r="C484" s="180" t="s">
        <v>87</v>
      </c>
      <c r="D484" s="85" t="str" cm="1">
        <f t="array" ref="D484">IFERROR(AVERAGE(B484:C484),"—")</f>
        <v>—</v>
      </c>
      <c r="E484" s="85"/>
      <c r="F484" s="179">
        <v>3485000</v>
      </c>
      <c r="G484" s="180" t="s">
        <v>802</v>
      </c>
    </row>
    <row r="485" spans="1:7" ht="21.25" customHeight="1" x14ac:dyDescent="0.15">
      <c r="A485" s="10" t="s">
        <v>725</v>
      </c>
      <c r="B485" s="180" t="s">
        <v>832</v>
      </c>
      <c r="C485" s="180" t="s">
        <v>87</v>
      </c>
      <c r="D485" s="85" t="str" cm="1">
        <f t="array" ref="D485">IFERROR(AVERAGE(B485:C485),"—")</f>
        <v>—</v>
      </c>
      <c r="E485" s="85"/>
      <c r="F485" s="179">
        <v>3400000</v>
      </c>
      <c r="G485" s="180" t="s">
        <v>802</v>
      </c>
    </row>
    <row r="486" spans="1:7" ht="21.25" customHeight="1" x14ac:dyDescent="0.15">
      <c r="A486" s="10" t="s">
        <v>477</v>
      </c>
      <c r="B486" s="180" t="s">
        <v>832</v>
      </c>
      <c r="C486" s="180" t="s">
        <v>87</v>
      </c>
      <c r="D486" s="85" t="str" cm="1">
        <f t="array" ref="D486">IFERROR(AVERAGE(B486:C486),"—")</f>
        <v>—</v>
      </c>
      <c r="E486" s="85"/>
      <c r="F486" s="179">
        <v>3400000</v>
      </c>
      <c r="G486" s="180" t="s">
        <v>802</v>
      </c>
    </row>
    <row r="487" spans="1:7" ht="21.25" customHeight="1" x14ac:dyDescent="0.15">
      <c r="A487" s="10" t="s">
        <v>676</v>
      </c>
      <c r="B487" s="180" t="s">
        <v>832</v>
      </c>
      <c r="C487" s="180" t="s">
        <v>87</v>
      </c>
      <c r="D487" s="85" t="str" cm="1">
        <f t="array" ref="D487">IFERROR(AVERAGE(B487:C487),"—")</f>
        <v>—</v>
      </c>
      <c r="E487" s="85"/>
      <c r="F487" s="179">
        <v>3333000</v>
      </c>
      <c r="G487" s="180" t="s">
        <v>802</v>
      </c>
    </row>
    <row r="488" spans="1:7" ht="21.25" customHeight="1" x14ac:dyDescent="0.15">
      <c r="A488" s="10" t="s">
        <v>462</v>
      </c>
      <c r="B488" s="180" t="s">
        <v>832</v>
      </c>
      <c r="C488" s="180" t="s">
        <v>87</v>
      </c>
      <c r="D488" s="85" t="str" cm="1">
        <f t="array" ref="D488">IFERROR(AVERAGE(B488:C488),"—")</f>
        <v>—</v>
      </c>
      <c r="E488" s="85"/>
      <c r="F488" s="179">
        <v>3250000</v>
      </c>
      <c r="G488" s="180" t="s">
        <v>802</v>
      </c>
    </row>
    <row r="489" spans="1:7" ht="21.25" customHeight="1" x14ac:dyDescent="0.15">
      <c r="A489" s="10" t="s">
        <v>752</v>
      </c>
      <c r="B489" s="180" t="s">
        <v>832</v>
      </c>
      <c r="C489" s="180" t="s">
        <v>87</v>
      </c>
      <c r="D489" s="85" t="str" cm="1">
        <f t="array" ref="D489">IFERROR(AVERAGE(B489:C489),"—")</f>
        <v>—</v>
      </c>
      <c r="E489" s="85"/>
      <c r="F489" s="179">
        <v>3250000</v>
      </c>
      <c r="G489" s="180" t="s">
        <v>802</v>
      </c>
    </row>
    <row r="490" spans="1:7" ht="21.25" customHeight="1" x14ac:dyDescent="0.15">
      <c r="A490" s="10" t="s">
        <v>491</v>
      </c>
      <c r="B490" s="180" t="s">
        <v>832</v>
      </c>
      <c r="C490" s="180" t="s">
        <v>87</v>
      </c>
      <c r="D490" s="85" t="str" cm="1">
        <f t="array" ref="D490">IFERROR(AVERAGE(B490:C490),"—")</f>
        <v>—</v>
      </c>
      <c r="E490" s="85"/>
      <c r="F490" s="179">
        <v>3250000</v>
      </c>
      <c r="G490" s="180" t="s">
        <v>802</v>
      </c>
    </row>
    <row r="491" spans="1:7" ht="21.25" customHeight="1" x14ac:dyDescent="0.15">
      <c r="A491" s="10" t="s">
        <v>700</v>
      </c>
      <c r="B491" s="180" t="s">
        <v>832</v>
      </c>
      <c r="C491" s="180" t="s">
        <v>87</v>
      </c>
      <c r="D491" s="85" t="str" cm="1">
        <f t="array" ref="D491">IFERROR(AVERAGE(B491:C491),"—")</f>
        <v>—</v>
      </c>
      <c r="E491" s="85"/>
      <c r="F491" s="179">
        <v>3200000</v>
      </c>
      <c r="G491" s="180" t="s">
        <v>802</v>
      </c>
    </row>
    <row r="492" spans="1:7" ht="21.25" customHeight="1" x14ac:dyDescent="0.15">
      <c r="A492" s="10" t="s">
        <v>647</v>
      </c>
      <c r="B492" s="180" t="s">
        <v>832</v>
      </c>
      <c r="C492" s="180" t="s">
        <v>87</v>
      </c>
      <c r="D492" s="85" t="str" cm="1">
        <f t="array" ref="D492">IFERROR(AVERAGE(B492:C492),"—")</f>
        <v>—</v>
      </c>
      <c r="E492" s="85"/>
      <c r="F492" s="179">
        <v>3150000</v>
      </c>
      <c r="G492" s="180" t="s">
        <v>802</v>
      </c>
    </row>
    <row r="493" spans="1:7" ht="21.25" customHeight="1" x14ac:dyDescent="0.15">
      <c r="A493" s="10" t="s">
        <v>637</v>
      </c>
      <c r="B493" s="180" t="s">
        <v>832</v>
      </c>
      <c r="C493" s="180" t="s">
        <v>87</v>
      </c>
      <c r="D493" s="85" t="str" cm="1">
        <f t="array" ref="D493">IFERROR(AVERAGE(B493:C493),"—")</f>
        <v>—</v>
      </c>
      <c r="E493" s="85"/>
      <c r="F493" s="179">
        <v>3075000</v>
      </c>
      <c r="G493" s="180" t="s">
        <v>802</v>
      </c>
    </row>
    <row r="494" spans="1:7" ht="21.25" customHeight="1" x14ac:dyDescent="0.15">
      <c r="A494" s="10" t="s">
        <v>466</v>
      </c>
      <c r="B494" s="180" t="s">
        <v>832</v>
      </c>
      <c r="C494" s="180" t="s">
        <v>87</v>
      </c>
      <c r="D494" s="85" t="str" cm="1">
        <f t="array" ref="D494">IFERROR(AVERAGE(B494:C494),"—")</f>
        <v>—</v>
      </c>
      <c r="E494" s="85"/>
      <c r="F494" s="179">
        <v>3025000</v>
      </c>
      <c r="G494" s="180" t="s">
        <v>802</v>
      </c>
    </row>
    <row r="495" spans="1:7" ht="21.25" customHeight="1" x14ac:dyDescent="0.15">
      <c r="A495" s="10" t="s">
        <v>646</v>
      </c>
      <c r="B495" s="180" t="s">
        <v>832</v>
      </c>
      <c r="C495" s="180" t="s">
        <v>87</v>
      </c>
      <c r="D495" s="85" t="str" cm="1">
        <f t="array" ref="D495">IFERROR(AVERAGE(B495:C495),"—")</f>
        <v>—</v>
      </c>
      <c r="E495" s="85"/>
      <c r="F495" s="179">
        <v>3000000</v>
      </c>
      <c r="G495" s="180" t="s">
        <v>802</v>
      </c>
    </row>
    <row r="496" spans="1:7" ht="21.25" customHeight="1" x14ac:dyDescent="0.15">
      <c r="A496" s="10" t="s">
        <v>667</v>
      </c>
      <c r="B496" s="180" t="s">
        <v>832</v>
      </c>
      <c r="C496" s="180" t="s">
        <v>87</v>
      </c>
      <c r="D496" s="85" t="str" cm="1">
        <f t="array" ref="D496">IFERROR(AVERAGE(B496:C496),"—")</f>
        <v>—</v>
      </c>
      <c r="E496" s="85"/>
      <c r="F496" s="179">
        <v>3000000</v>
      </c>
      <c r="G496" s="180" t="s">
        <v>802</v>
      </c>
    </row>
    <row r="497" spans="1:7" ht="21.25" customHeight="1" x14ac:dyDescent="0.15">
      <c r="A497" s="10" t="s">
        <v>709</v>
      </c>
      <c r="B497" s="180" t="s">
        <v>832</v>
      </c>
      <c r="C497" s="180" t="s">
        <v>87</v>
      </c>
      <c r="D497" s="85" t="str" cm="1">
        <f t="array" ref="D497">IFERROR(AVERAGE(B497:C497),"—")</f>
        <v>—</v>
      </c>
      <c r="E497" s="85"/>
      <c r="F497" s="179">
        <v>3000000</v>
      </c>
      <c r="G497" s="180" t="s">
        <v>802</v>
      </c>
    </row>
    <row r="498" spans="1:7" ht="21.25" customHeight="1" x14ac:dyDescent="0.15">
      <c r="A498" s="10" t="s">
        <v>698</v>
      </c>
      <c r="B498" s="180" t="s">
        <v>832</v>
      </c>
      <c r="C498" s="180" t="s">
        <v>87</v>
      </c>
      <c r="D498" s="85" t="str" cm="1">
        <f t="array" ref="D498">IFERROR(AVERAGE(B498:C498),"—")</f>
        <v>—</v>
      </c>
      <c r="E498" s="85"/>
      <c r="F498" s="179">
        <v>3000000</v>
      </c>
      <c r="G498" s="180" t="s">
        <v>802</v>
      </c>
    </row>
    <row r="499" spans="1:7" ht="21.25" customHeight="1" x14ac:dyDescent="0.15">
      <c r="A499" s="10" t="s">
        <v>723</v>
      </c>
      <c r="B499" s="180" t="s">
        <v>832</v>
      </c>
      <c r="C499" s="180" t="s">
        <v>87</v>
      </c>
      <c r="D499" s="85" t="str" cm="1">
        <f t="array" ref="D499">IFERROR(AVERAGE(B499:C499),"—")</f>
        <v>—</v>
      </c>
      <c r="E499" s="85"/>
      <c r="F499" s="179">
        <v>3000000</v>
      </c>
      <c r="G499" s="180" t="s">
        <v>802</v>
      </c>
    </row>
    <row r="500" spans="1:7" ht="21.25" customHeight="1" x14ac:dyDescent="0.15">
      <c r="A500" s="10" t="s">
        <v>553</v>
      </c>
      <c r="B500" s="180" t="s">
        <v>832</v>
      </c>
      <c r="C500" s="180" t="s">
        <v>87</v>
      </c>
      <c r="D500" s="85" t="str" cm="1">
        <f t="array" ref="D500">IFERROR(AVERAGE(B500:C500),"—")</f>
        <v>—</v>
      </c>
      <c r="E500" s="85"/>
      <c r="F500" s="179">
        <v>3000000</v>
      </c>
      <c r="G500" s="180" t="s">
        <v>802</v>
      </c>
    </row>
    <row r="501" spans="1:7" ht="21.25" customHeight="1" x14ac:dyDescent="0.15">
      <c r="A501" s="10" t="s">
        <v>736</v>
      </c>
      <c r="B501" s="180" t="s">
        <v>832</v>
      </c>
      <c r="C501" s="180" t="s">
        <v>87</v>
      </c>
      <c r="D501" s="85" t="str" cm="1">
        <f t="array" ref="D501">IFERROR(AVERAGE(B501:C501),"—")</f>
        <v>—</v>
      </c>
      <c r="E501" s="85"/>
      <c r="F501" s="179">
        <v>2900000</v>
      </c>
      <c r="G501" s="180" t="s">
        <v>802</v>
      </c>
    </row>
    <row r="502" spans="1:7" ht="21.25" customHeight="1" x14ac:dyDescent="0.15">
      <c r="A502" s="10" t="s">
        <v>631</v>
      </c>
      <c r="B502" s="180" t="s">
        <v>832</v>
      </c>
      <c r="C502" s="180" t="s">
        <v>87</v>
      </c>
      <c r="D502" s="85" t="str" cm="1">
        <f t="array" ref="D502">IFERROR(AVERAGE(B502:C502),"—")</f>
        <v>—</v>
      </c>
      <c r="E502" s="85"/>
      <c r="F502" s="179">
        <v>2850000</v>
      </c>
      <c r="G502" s="180" t="s">
        <v>802</v>
      </c>
    </row>
    <row r="503" spans="1:7" ht="21.25" customHeight="1" x14ac:dyDescent="0.15">
      <c r="A503" s="10" t="s">
        <v>690</v>
      </c>
      <c r="B503" s="180" t="s">
        <v>832</v>
      </c>
      <c r="C503" s="180" t="s">
        <v>87</v>
      </c>
      <c r="D503" s="85" t="str" cm="1">
        <f t="array" ref="D503">IFERROR(AVERAGE(B503:C503),"—")</f>
        <v>—</v>
      </c>
      <c r="E503" s="85"/>
      <c r="F503" s="179">
        <v>2800000</v>
      </c>
      <c r="G503" s="180" t="s">
        <v>802</v>
      </c>
    </row>
    <row r="504" spans="1:7" ht="21.25" customHeight="1" x14ac:dyDescent="0.15">
      <c r="A504" s="10" t="s">
        <v>436</v>
      </c>
      <c r="B504" s="180" t="s">
        <v>832</v>
      </c>
      <c r="C504" s="180" t="s">
        <v>87</v>
      </c>
      <c r="D504" s="85" t="str" cm="1">
        <f t="array" ref="D504">IFERROR(AVERAGE(B504:C504),"—")</f>
        <v>—</v>
      </c>
      <c r="E504" s="85"/>
      <c r="F504" s="179">
        <v>2750000</v>
      </c>
      <c r="G504" s="180" t="s">
        <v>802</v>
      </c>
    </row>
    <row r="505" spans="1:7" ht="21.25" customHeight="1" x14ac:dyDescent="0.15">
      <c r="A505" s="10" t="s">
        <v>703</v>
      </c>
      <c r="B505" s="180" t="s">
        <v>832</v>
      </c>
      <c r="C505" s="180" t="s">
        <v>87</v>
      </c>
      <c r="D505" s="85" t="str" cm="1">
        <f t="array" ref="D505">IFERROR(AVERAGE(B505:C505),"—")</f>
        <v>—</v>
      </c>
      <c r="E505" s="85"/>
      <c r="F505" s="179">
        <v>2750000</v>
      </c>
      <c r="G505" s="180" t="s">
        <v>802</v>
      </c>
    </row>
    <row r="506" spans="1:7" ht="21.25" customHeight="1" x14ac:dyDescent="0.15">
      <c r="A506" s="10" t="s">
        <v>748</v>
      </c>
      <c r="B506" s="180" t="s">
        <v>832</v>
      </c>
      <c r="C506" s="180" t="s">
        <v>87</v>
      </c>
      <c r="D506" s="85" t="str" cm="1">
        <f t="array" ref="D506">IFERROR(AVERAGE(B506:C506),"—")</f>
        <v>—</v>
      </c>
      <c r="E506" s="85"/>
      <c r="F506" s="179">
        <v>2750000</v>
      </c>
      <c r="G506" s="180" t="s">
        <v>802</v>
      </c>
    </row>
    <row r="507" spans="1:7" ht="21.25" customHeight="1" x14ac:dyDescent="0.15">
      <c r="A507" s="10" t="s">
        <v>440</v>
      </c>
      <c r="B507" s="180" t="s">
        <v>832</v>
      </c>
      <c r="C507" s="180" t="s">
        <v>87</v>
      </c>
      <c r="D507" s="85" t="str" cm="1">
        <f t="array" ref="D507">IFERROR(AVERAGE(B507:C507),"—")</f>
        <v>—</v>
      </c>
      <c r="E507" s="85"/>
      <c r="F507" s="179">
        <v>2750000</v>
      </c>
      <c r="G507" s="180" t="s">
        <v>802</v>
      </c>
    </row>
    <row r="508" spans="1:7" ht="21.25" customHeight="1" x14ac:dyDescent="0.15">
      <c r="A508" s="10" t="s">
        <v>439</v>
      </c>
      <c r="B508" s="180" t="s">
        <v>832</v>
      </c>
      <c r="C508" s="180" t="s">
        <v>87</v>
      </c>
      <c r="D508" s="85" t="str" cm="1">
        <f t="array" ref="D508">IFERROR(AVERAGE(B508:C508),"—")</f>
        <v>—</v>
      </c>
      <c r="E508" s="85"/>
      <c r="F508" s="179">
        <v>2700000</v>
      </c>
      <c r="G508" s="180" t="s">
        <v>802</v>
      </c>
    </row>
    <row r="509" spans="1:7" ht="21.25" customHeight="1" x14ac:dyDescent="0.15">
      <c r="A509" s="10" t="s">
        <v>624</v>
      </c>
      <c r="B509" s="180" t="s">
        <v>832</v>
      </c>
      <c r="C509" s="180" t="s">
        <v>87</v>
      </c>
      <c r="D509" s="85" t="str" cm="1">
        <f t="array" ref="D509">IFERROR(AVERAGE(B509:C509),"—")</f>
        <v>—</v>
      </c>
      <c r="E509" s="85"/>
      <c r="F509" s="179">
        <v>2600000</v>
      </c>
      <c r="G509" s="180" t="s">
        <v>802</v>
      </c>
    </row>
    <row r="510" spans="1:7" ht="21.25" customHeight="1" x14ac:dyDescent="0.15">
      <c r="A510" s="10" t="s">
        <v>730</v>
      </c>
      <c r="B510" s="180" t="s">
        <v>832</v>
      </c>
      <c r="C510" s="180" t="s">
        <v>87</v>
      </c>
      <c r="D510" s="85" t="str" cm="1">
        <f t="array" ref="D510">IFERROR(AVERAGE(B510:C510),"—")</f>
        <v>—</v>
      </c>
      <c r="E510" s="85"/>
      <c r="F510" s="179">
        <v>2600000</v>
      </c>
      <c r="G510" s="180" t="s">
        <v>802</v>
      </c>
    </row>
    <row r="511" spans="1:7" ht="21.25" customHeight="1" x14ac:dyDescent="0.15">
      <c r="A511" s="10" t="s">
        <v>765</v>
      </c>
      <c r="B511" s="180" t="s">
        <v>832</v>
      </c>
      <c r="C511" s="180" t="s">
        <v>87</v>
      </c>
      <c r="D511" s="85" t="str" cm="1">
        <f t="array" ref="D511">IFERROR(AVERAGE(B511:C511),"—")</f>
        <v>—</v>
      </c>
      <c r="E511" s="85"/>
      <c r="F511" s="179">
        <v>2600000</v>
      </c>
      <c r="G511" s="180" t="s">
        <v>802</v>
      </c>
    </row>
    <row r="512" spans="1:7" ht="21.25" customHeight="1" x14ac:dyDescent="0.15">
      <c r="A512" s="10" t="s">
        <v>656</v>
      </c>
      <c r="B512" s="180" t="s">
        <v>832</v>
      </c>
      <c r="C512" s="180" t="s">
        <v>87</v>
      </c>
      <c r="D512" s="85" t="str" cm="1">
        <f t="array" ref="D512">IFERROR(AVERAGE(B512:C512),"—")</f>
        <v>—</v>
      </c>
      <c r="E512" s="85"/>
      <c r="F512" s="179">
        <v>2500000</v>
      </c>
      <c r="G512" s="180" t="s">
        <v>802</v>
      </c>
    </row>
    <row r="513" spans="1:7" ht="21.25" customHeight="1" x14ac:dyDescent="0.15">
      <c r="A513" s="10" t="s">
        <v>601</v>
      </c>
      <c r="B513" s="180" t="s">
        <v>832</v>
      </c>
      <c r="C513" s="180" t="s">
        <v>87</v>
      </c>
      <c r="D513" s="85" t="str" cm="1">
        <f t="array" ref="D513">IFERROR(AVERAGE(B513:C513),"—")</f>
        <v>—</v>
      </c>
      <c r="E513" s="85"/>
      <c r="F513" s="179">
        <v>2500000</v>
      </c>
      <c r="G513" s="180" t="s">
        <v>802</v>
      </c>
    </row>
    <row r="514" spans="1:7" ht="21.25" customHeight="1" x14ac:dyDescent="0.15">
      <c r="A514" s="10" t="s">
        <v>669</v>
      </c>
      <c r="B514" s="180" t="s">
        <v>832</v>
      </c>
      <c r="C514" s="180" t="s">
        <v>87</v>
      </c>
      <c r="D514" s="85" t="str" cm="1">
        <f t="array" ref="D514">IFERROR(AVERAGE(B514:C514),"—")</f>
        <v>—</v>
      </c>
      <c r="E514" s="85"/>
      <c r="F514" s="179">
        <v>2500000</v>
      </c>
      <c r="G514" s="180" t="s">
        <v>802</v>
      </c>
    </row>
    <row r="515" spans="1:7" ht="21.25" customHeight="1" x14ac:dyDescent="0.15">
      <c r="A515" s="10" t="s">
        <v>739</v>
      </c>
      <c r="B515" s="180" t="s">
        <v>832</v>
      </c>
      <c r="C515" s="180" t="s">
        <v>87</v>
      </c>
      <c r="D515" s="85" t="str" cm="1">
        <f t="array" ref="D515">IFERROR(AVERAGE(B515:C515),"—")</f>
        <v>—</v>
      </c>
      <c r="E515" s="85"/>
      <c r="F515" s="179">
        <v>2500000</v>
      </c>
      <c r="G515" s="180" t="s">
        <v>802</v>
      </c>
    </row>
    <row r="516" spans="1:7" ht="21.25" customHeight="1" x14ac:dyDescent="0.15">
      <c r="A516" s="10" t="s">
        <v>714</v>
      </c>
      <c r="B516" s="180" t="s">
        <v>832</v>
      </c>
      <c r="C516" s="180" t="s">
        <v>87</v>
      </c>
      <c r="D516" s="85" t="str" cm="1">
        <f t="array" ref="D516">IFERROR(AVERAGE(B516:C516),"—")</f>
        <v>—</v>
      </c>
      <c r="E516" s="85"/>
      <c r="F516" s="179">
        <v>2500000</v>
      </c>
      <c r="G516" s="180" t="s">
        <v>802</v>
      </c>
    </row>
    <row r="517" spans="1:7" ht="21.25" customHeight="1" x14ac:dyDescent="0.15">
      <c r="A517" s="10" t="s">
        <v>720</v>
      </c>
      <c r="B517" s="180" t="s">
        <v>832</v>
      </c>
      <c r="C517" s="180" t="s">
        <v>87</v>
      </c>
      <c r="D517" s="85" t="str" cm="1">
        <f t="array" ref="D517">IFERROR(AVERAGE(B517:C517),"—")</f>
        <v>—</v>
      </c>
      <c r="E517" s="85"/>
      <c r="F517" s="179">
        <v>2500000</v>
      </c>
      <c r="G517" s="180" t="s">
        <v>802</v>
      </c>
    </row>
    <row r="518" spans="1:7" ht="21.25" customHeight="1" x14ac:dyDescent="0.15">
      <c r="A518" s="10" t="s">
        <v>751</v>
      </c>
      <c r="B518" s="180" t="s">
        <v>832</v>
      </c>
      <c r="C518" s="180" t="s">
        <v>87</v>
      </c>
      <c r="D518" s="85" t="str" cm="1">
        <f t="array" ref="D518">IFERROR(AVERAGE(B518:C518),"—")</f>
        <v>—</v>
      </c>
      <c r="E518" s="85"/>
      <c r="F518" s="179">
        <v>2500000</v>
      </c>
      <c r="G518" s="180" t="s">
        <v>802</v>
      </c>
    </row>
    <row r="519" spans="1:7" ht="21.25" customHeight="1" x14ac:dyDescent="0.15">
      <c r="A519" s="10" t="s">
        <v>775</v>
      </c>
      <c r="B519" s="180" t="s">
        <v>832</v>
      </c>
      <c r="C519" s="180" t="s">
        <v>87</v>
      </c>
      <c r="D519" s="85" t="str" cm="1">
        <f t="array" ref="D519">IFERROR(AVERAGE(B519:C519),"—")</f>
        <v>—</v>
      </c>
      <c r="E519" s="85"/>
      <c r="F519" s="179">
        <v>2500000</v>
      </c>
      <c r="G519" s="180" t="s">
        <v>802</v>
      </c>
    </row>
    <row r="520" spans="1:7" ht="21.25" customHeight="1" x14ac:dyDescent="0.15">
      <c r="A520" s="10" t="s">
        <v>786</v>
      </c>
      <c r="B520" s="180" t="s">
        <v>832</v>
      </c>
      <c r="C520" s="180" t="s">
        <v>87</v>
      </c>
      <c r="D520" s="85" t="str" cm="1">
        <f t="array" ref="D520">IFERROR(AVERAGE(B520:C520),"—")</f>
        <v>—</v>
      </c>
      <c r="E520" s="85"/>
      <c r="F520" s="179">
        <v>2500000</v>
      </c>
      <c r="G520" s="180" t="s">
        <v>802</v>
      </c>
    </row>
    <row r="521" spans="1:7" ht="21.25" customHeight="1" x14ac:dyDescent="0.15">
      <c r="A521" s="10" t="s">
        <v>715</v>
      </c>
      <c r="B521" s="180" t="s">
        <v>832</v>
      </c>
      <c r="C521" s="180" t="s">
        <v>87</v>
      </c>
      <c r="D521" s="85" t="str" cm="1">
        <f t="array" ref="D521">IFERROR(AVERAGE(B521:C521),"—")</f>
        <v>—</v>
      </c>
      <c r="E521" s="85"/>
      <c r="F521" s="179">
        <v>2500000</v>
      </c>
      <c r="G521" s="180" t="s">
        <v>802</v>
      </c>
    </row>
    <row r="522" spans="1:7" ht="21.25" customHeight="1" x14ac:dyDescent="0.15">
      <c r="A522" s="10" t="s">
        <v>758</v>
      </c>
      <c r="B522" s="180" t="s">
        <v>832</v>
      </c>
      <c r="C522" s="180" t="s">
        <v>87</v>
      </c>
      <c r="D522" s="85" t="str" cm="1">
        <f t="array" ref="D522">IFERROR(AVERAGE(B522:C522),"—")</f>
        <v>—</v>
      </c>
      <c r="E522" s="85"/>
      <c r="F522" s="179">
        <v>2500000</v>
      </c>
      <c r="G522" s="180" t="s">
        <v>802</v>
      </c>
    </row>
    <row r="523" spans="1:7" ht="21.25" customHeight="1" x14ac:dyDescent="0.15">
      <c r="A523" s="10" t="s">
        <v>785</v>
      </c>
      <c r="B523" s="180" t="s">
        <v>832</v>
      </c>
      <c r="C523" s="180" t="s">
        <v>87</v>
      </c>
      <c r="D523" s="85" t="str" cm="1">
        <f t="array" ref="D523">IFERROR(AVERAGE(B523:C523),"—")</f>
        <v>—</v>
      </c>
      <c r="E523" s="85"/>
      <c r="F523" s="179">
        <v>2500000</v>
      </c>
      <c r="G523" s="180" t="s">
        <v>802</v>
      </c>
    </row>
    <row r="524" spans="1:7" ht="21.25" customHeight="1" x14ac:dyDescent="0.15">
      <c r="A524" s="10" t="s">
        <v>787</v>
      </c>
      <c r="B524" s="180" t="s">
        <v>832</v>
      </c>
      <c r="C524" s="180" t="s">
        <v>87</v>
      </c>
      <c r="D524" s="85" t="str" cm="1">
        <f t="array" ref="D524">IFERROR(AVERAGE(B524:C524),"—")</f>
        <v>—</v>
      </c>
      <c r="E524" s="85"/>
      <c r="F524" s="179">
        <v>2400000</v>
      </c>
      <c r="G524" s="180" t="s">
        <v>802</v>
      </c>
    </row>
    <row r="525" spans="1:7" ht="21.25" customHeight="1" x14ac:dyDescent="0.15">
      <c r="A525" s="10" t="s">
        <v>791</v>
      </c>
      <c r="B525" s="180" t="s">
        <v>832</v>
      </c>
      <c r="C525" s="180" t="s">
        <v>87</v>
      </c>
      <c r="D525" s="85" t="str" cm="1">
        <f t="array" ref="D525">IFERROR(AVERAGE(B525:C525),"—")</f>
        <v>—</v>
      </c>
      <c r="E525" s="85"/>
      <c r="F525" s="179">
        <v>2350000</v>
      </c>
      <c r="G525" s="180" t="s">
        <v>802</v>
      </c>
    </row>
    <row r="526" spans="1:7" ht="21.25" customHeight="1" x14ac:dyDescent="0.15">
      <c r="A526" s="10" t="s">
        <v>636</v>
      </c>
      <c r="B526" s="180" t="s">
        <v>832</v>
      </c>
      <c r="C526" s="180" t="s">
        <v>87</v>
      </c>
      <c r="D526" s="85" t="str" cm="1">
        <f t="array" ref="D526">IFERROR(AVERAGE(B526:C526),"—")</f>
        <v>—</v>
      </c>
      <c r="E526" s="85"/>
      <c r="F526" s="179">
        <v>2330000</v>
      </c>
      <c r="G526" s="180" t="s">
        <v>802</v>
      </c>
    </row>
    <row r="527" spans="1:7" ht="21.25" customHeight="1" x14ac:dyDescent="0.15">
      <c r="A527" s="10" t="s">
        <v>592</v>
      </c>
      <c r="B527" s="180" t="s">
        <v>832</v>
      </c>
      <c r="C527" s="180" t="s">
        <v>87</v>
      </c>
      <c r="D527" s="85" t="str" cm="1">
        <f t="array" ref="D527">IFERROR(AVERAGE(B527:C527),"—")</f>
        <v>—</v>
      </c>
      <c r="E527" s="85"/>
      <c r="F527" s="179">
        <v>2250000</v>
      </c>
      <c r="G527" s="180" t="s">
        <v>802</v>
      </c>
    </row>
    <row r="528" spans="1:7" ht="21.25" customHeight="1" x14ac:dyDescent="0.15">
      <c r="A528" s="10" t="s">
        <v>621</v>
      </c>
      <c r="B528" s="180" t="s">
        <v>832</v>
      </c>
      <c r="C528" s="180" t="s">
        <v>87</v>
      </c>
      <c r="D528" s="85" t="str" cm="1">
        <f t="array" ref="D528">IFERROR(AVERAGE(B528:C528),"—")</f>
        <v>—</v>
      </c>
      <c r="E528" s="85"/>
      <c r="F528" s="179">
        <v>2250000</v>
      </c>
      <c r="G528" s="180" t="s">
        <v>802</v>
      </c>
    </row>
    <row r="529" spans="1:7" ht="21.25" customHeight="1" x14ac:dyDescent="0.15">
      <c r="A529" s="10" t="s">
        <v>680</v>
      </c>
      <c r="B529" s="180" t="s">
        <v>832</v>
      </c>
      <c r="C529" s="180" t="s">
        <v>87</v>
      </c>
      <c r="D529" s="85" t="str" cm="1">
        <f t="array" ref="D529">IFERROR(AVERAGE(B529:C529),"—")</f>
        <v>—</v>
      </c>
      <c r="E529" s="85"/>
      <c r="F529" s="179">
        <v>2250000</v>
      </c>
      <c r="G529" s="180" t="s">
        <v>802</v>
      </c>
    </row>
    <row r="530" spans="1:7" ht="21.25" customHeight="1" x14ac:dyDescent="0.15">
      <c r="A530" s="10" t="s">
        <v>697</v>
      </c>
      <c r="B530" s="180" t="s">
        <v>832</v>
      </c>
      <c r="C530" s="180" t="s">
        <v>87</v>
      </c>
      <c r="D530" s="85" t="str" cm="1">
        <f t="array" ref="D530">IFERROR(AVERAGE(B530:C530),"—")</f>
        <v>—</v>
      </c>
      <c r="E530" s="85"/>
      <c r="F530" s="179">
        <v>2250000</v>
      </c>
      <c r="G530" s="180" t="s">
        <v>802</v>
      </c>
    </row>
    <row r="531" spans="1:7" ht="21.25" customHeight="1" x14ac:dyDescent="0.15">
      <c r="A531" s="10" t="s">
        <v>515</v>
      </c>
      <c r="B531" s="180" t="s">
        <v>832</v>
      </c>
      <c r="C531" s="180" t="s">
        <v>87</v>
      </c>
      <c r="D531" s="85" t="str" cm="1">
        <f t="array" ref="D531">IFERROR(AVERAGE(B531:C531),"—")</f>
        <v>—</v>
      </c>
      <c r="E531" s="85"/>
      <c r="F531" s="179">
        <v>2250000</v>
      </c>
      <c r="G531" s="180" t="s">
        <v>802</v>
      </c>
    </row>
    <row r="532" spans="1:7" ht="21.25" customHeight="1" x14ac:dyDescent="0.15">
      <c r="A532" s="10" t="s">
        <v>766</v>
      </c>
      <c r="B532" s="180" t="s">
        <v>832</v>
      </c>
      <c r="C532" s="180" t="s">
        <v>87</v>
      </c>
      <c r="D532" s="85" t="str" cm="1">
        <f t="array" ref="D532">IFERROR(AVERAGE(B532:C532),"—")</f>
        <v>—</v>
      </c>
      <c r="E532" s="85"/>
      <c r="F532" s="179">
        <v>2200000</v>
      </c>
      <c r="G532" s="180" t="s">
        <v>802</v>
      </c>
    </row>
    <row r="533" spans="1:7" ht="21.25" customHeight="1" x14ac:dyDescent="0.15">
      <c r="A533" s="10" t="s">
        <v>504</v>
      </c>
      <c r="B533" s="180" t="s">
        <v>832</v>
      </c>
      <c r="C533" s="180" t="s">
        <v>87</v>
      </c>
      <c r="D533" s="85" t="str" cm="1">
        <f t="array" ref="D533">IFERROR(AVERAGE(B533:C533),"—")</f>
        <v>—</v>
      </c>
      <c r="E533" s="85"/>
      <c r="F533" s="179">
        <v>2200000</v>
      </c>
      <c r="G533" s="180" t="s">
        <v>802</v>
      </c>
    </row>
    <row r="534" spans="1:7" ht="21.25" customHeight="1" x14ac:dyDescent="0.15">
      <c r="A534" s="10" t="s">
        <v>773</v>
      </c>
      <c r="B534" s="180" t="s">
        <v>832</v>
      </c>
      <c r="C534" s="180" t="s">
        <v>87</v>
      </c>
      <c r="D534" s="85" t="str" cm="1">
        <f t="array" ref="D534">IFERROR(AVERAGE(B534:C534),"—")</f>
        <v>—</v>
      </c>
      <c r="E534" s="85"/>
      <c r="F534" s="179">
        <v>2150000</v>
      </c>
      <c r="G534" s="180" t="s">
        <v>802</v>
      </c>
    </row>
    <row r="535" spans="1:7" ht="21.25" customHeight="1" x14ac:dyDescent="0.15">
      <c r="A535" s="10" t="s">
        <v>686</v>
      </c>
      <c r="B535" s="180" t="s">
        <v>832</v>
      </c>
      <c r="C535" s="180" t="s">
        <v>87</v>
      </c>
      <c r="D535" s="85" t="str" cm="1">
        <f t="array" ref="D535">IFERROR(AVERAGE(B535:C535),"—")</f>
        <v>—</v>
      </c>
      <c r="E535" s="85"/>
      <c r="F535" s="179">
        <v>2100000</v>
      </c>
      <c r="G535" s="180" t="s">
        <v>802</v>
      </c>
    </row>
    <row r="536" spans="1:7" ht="21.25" customHeight="1" x14ac:dyDescent="0.15">
      <c r="A536" s="10" t="s">
        <v>681</v>
      </c>
      <c r="B536" s="180" t="s">
        <v>832</v>
      </c>
      <c r="C536" s="180" t="s">
        <v>87</v>
      </c>
      <c r="D536" s="85" t="str" cm="1">
        <f t="array" ref="D536">IFERROR(AVERAGE(B536:C536),"—")</f>
        <v>—</v>
      </c>
      <c r="E536" s="85"/>
      <c r="F536" s="179">
        <v>2100000</v>
      </c>
      <c r="G536" s="180" t="s">
        <v>802</v>
      </c>
    </row>
    <row r="537" spans="1:7" ht="21.25" customHeight="1" x14ac:dyDescent="0.15">
      <c r="A537" s="10" t="s">
        <v>479</v>
      </c>
      <c r="B537" s="180" t="s">
        <v>832</v>
      </c>
      <c r="C537" s="180" t="s">
        <v>87</v>
      </c>
      <c r="D537" s="85" t="str" cm="1">
        <f t="array" ref="D537">IFERROR(AVERAGE(B537:C537),"—")</f>
        <v>—</v>
      </c>
      <c r="E537" s="85"/>
      <c r="F537" s="179">
        <v>2050000</v>
      </c>
      <c r="G537" s="180" t="s">
        <v>802</v>
      </c>
    </row>
    <row r="538" spans="1:7" ht="21.25" customHeight="1" x14ac:dyDescent="0.15">
      <c r="A538" s="10" t="s">
        <v>770</v>
      </c>
      <c r="B538" s="180" t="s">
        <v>832</v>
      </c>
      <c r="C538" s="180" t="s">
        <v>87</v>
      </c>
      <c r="D538" s="85" t="str" cm="1">
        <f t="array" ref="D538">IFERROR(AVERAGE(B538:C538),"—")</f>
        <v>—</v>
      </c>
      <c r="E538" s="85"/>
      <c r="F538" s="179">
        <v>2050000</v>
      </c>
      <c r="G538" s="180" t="s">
        <v>802</v>
      </c>
    </row>
    <row r="539" spans="1:7" ht="21.25" customHeight="1" x14ac:dyDescent="0.15">
      <c r="A539" s="10" t="s">
        <v>756</v>
      </c>
      <c r="B539" s="180" t="s">
        <v>832</v>
      </c>
      <c r="C539" s="180" t="s">
        <v>87</v>
      </c>
      <c r="D539" s="85" t="str" cm="1">
        <f t="array" ref="D539">IFERROR(AVERAGE(B539:C539),"—")</f>
        <v>—</v>
      </c>
      <c r="E539" s="85"/>
      <c r="F539" s="179">
        <v>2000000</v>
      </c>
      <c r="G539" s="180" t="s">
        <v>802</v>
      </c>
    </row>
    <row r="540" spans="1:7" ht="21.25" customHeight="1" x14ac:dyDescent="0.15">
      <c r="A540" s="10" t="s">
        <v>687</v>
      </c>
      <c r="B540" s="180" t="s">
        <v>832</v>
      </c>
      <c r="C540" s="180" t="s">
        <v>87</v>
      </c>
      <c r="D540" s="85" t="str" cm="1">
        <f t="array" ref="D540">IFERROR(AVERAGE(B540:C540),"—")</f>
        <v>—</v>
      </c>
      <c r="E540" s="85"/>
      <c r="F540" s="179">
        <v>2000000</v>
      </c>
      <c r="G540" s="180" t="s">
        <v>802</v>
      </c>
    </row>
    <row r="541" spans="1:7" ht="21.25" customHeight="1" x14ac:dyDescent="0.15">
      <c r="A541" s="10" t="s">
        <v>722</v>
      </c>
      <c r="B541" s="180" t="s">
        <v>832</v>
      </c>
      <c r="C541" s="180" t="s">
        <v>87</v>
      </c>
      <c r="D541" s="85" t="str" cm="1">
        <f t="array" ref="D541">IFERROR(AVERAGE(B541:C541),"—")</f>
        <v>—</v>
      </c>
      <c r="E541" s="85"/>
      <c r="F541" s="179">
        <v>2000000</v>
      </c>
      <c r="G541" s="180" t="s">
        <v>802</v>
      </c>
    </row>
    <row r="542" spans="1:7" ht="21.25" customHeight="1" x14ac:dyDescent="0.15">
      <c r="A542" s="10" t="s">
        <v>735</v>
      </c>
      <c r="B542" s="180" t="s">
        <v>832</v>
      </c>
      <c r="C542" s="180" t="s">
        <v>87</v>
      </c>
      <c r="D542" s="85" t="str" cm="1">
        <f t="array" ref="D542">IFERROR(AVERAGE(B542:C542),"—")</f>
        <v>—</v>
      </c>
      <c r="E542" s="85"/>
      <c r="F542" s="179">
        <v>2000000</v>
      </c>
      <c r="G542" s="180" t="s">
        <v>802</v>
      </c>
    </row>
    <row r="543" spans="1:7" ht="21.25" customHeight="1" x14ac:dyDescent="0.15">
      <c r="A543" s="10" t="s">
        <v>774</v>
      </c>
      <c r="B543" s="180" t="s">
        <v>832</v>
      </c>
      <c r="C543" s="180" t="s">
        <v>87</v>
      </c>
      <c r="D543" s="85" t="str" cm="1">
        <f t="array" ref="D543">IFERROR(AVERAGE(B543:C543),"—")</f>
        <v>—</v>
      </c>
      <c r="E543" s="85"/>
      <c r="F543" s="179">
        <v>2000000</v>
      </c>
      <c r="G543" s="180" t="s">
        <v>802</v>
      </c>
    </row>
    <row r="544" spans="1:7" ht="21.25" customHeight="1" x14ac:dyDescent="0.15">
      <c r="A544" s="10" t="s">
        <v>672</v>
      </c>
      <c r="B544" s="180" t="s">
        <v>832</v>
      </c>
      <c r="C544" s="180" t="s">
        <v>87</v>
      </c>
      <c r="D544" s="85" t="str" cm="1">
        <f t="array" ref="D544">IFERROR(AVERAGE(B544:C544),"—")</f>
        <v>—</v>
      </c>
      <c r="E544" s="85"/>
      <c r="F544" s="179">
        <v>1850000</v>
      </c>
      <c r="G544" s="180" t="s">
        <v>802</v>
      </c>
    </row>
    <row r="545" spans="1:7" ht="21.25" customHeight="1" x14ac:dyDescent="0.15">
      <c r="A545" s="10" t="s">
        <v>727</v>
      </c>
      <c r="B545" s="180" t="s">
        <v>832</v>
      </c>
      <c r="C545" s="180" t="s">
        <v>87</v>
      </c>
      <c r="D545" s="85" t="str" cm="1">
        <f t="array" ref="D545">IFERROR(AVERAGE(B545:C545),"—")</f>
        <v>—</v>
      </c>
      <c r="E545" s="85"/>
      <c r="F545" s="179">
        <v>1850000</v>
      </c>
      <c r="G545" s="180" t="s">
        <v>802</v>
      </c>
    </row>
    <row r="546" spans="1:7" ht="21.25" customHeight="1" x14ac:dyDescent="0.15">
      <c r="A546" s="10" t="s">
        <v>713</v>
      </c>
      <c r="B546" s="180" t="s">
        <v>832</v>
      </c>
      <c r="C546" s="180" t="s">
        <v>87</v>
      </c>
      <c r="D546" s="85" t="str" cm="1">
        <f t="array" ref="D546">IFERROR(AVERAGE(B546:C546),"—")</f>
        <v>—</v>
      </c>
      <c r="E546" s="85"/>
      <c r="F546" s="179">
        <v>1850000</v>
      </c>
      <c r="G546" s="180" t="s">
        <v>802</v>
      </c>
    </row>
    <row r="547" spans="1:7" ht="21.25" customHeight="1" x14ac:dyDescent="0.15">
      <c r="A547" s="10" t="s">
        <v>795</v>
      </c>
      <c r="B547" s="180" t="s">
        <v>832</v>
      </c>
      <c r="C547" s="180" t="s">
        <v>87</v>
      </c>
      <c r="D547" s="85" t="str" cm="1">
        <f t="array" ref="D547">IFERROR(AVERAGE(B547:C547),"—")</f>
        <v>—</v>
      </c>
      <c r="E547" s="85"/>
      <c r="F547" s="179">
        <v>1850000</v>
      </c>
      <c r="G547" s="180" t="s">
        <v>802</v>
      </c>
    </row>
    <row r="548" spans="1:7" ht="21.25" customHeight="1" x14ac:dyDescent="0.15">
      <c r="A548" s="10" t="s">
        <v>612</v>
      </c>
      <c r="B548" s="180" t="s">
        <v>832</v>
      </c>
      <c r="C548" s="180" t="s">
        <v>87</v>
      </c>
      <c r="D548" s="85" t="str" cm="1">
        <f t="array" ref="D548">IFERROR(AVERAGE(B548:C548),"—")</f>
        <v>—</v>
      </c>
      <c r="E548" s="85"/>
      <c r="F548" s="179">
        <v>1800000</v>
      </c>
      <c r="G548" s="180" t="s">
        <v>802</v>
      </c>
    </row>
    <row r="549" spans="1:7" ht="21.25" customHeight="1" x14ac:dyDescent="0.15">
      <c r="A549" s="10" t="s">
        <v>692</v>
      </c>
      <c r="B549" s="180" t="s">
        <v>832</v>
      </c>
      <c r="C549" s="180" t="s">
        <v>87</v>
      </c>
      <c r="D549" s="85" t="str" cm="1">
        <f t="array" ref="D549">IFERROR(AVERAGE(B549:C549),"—")</f>
        <v>—</v>
      </c>
      <c r="E549" s="85"/>
      <c r="F549" s="179">
        <v>1750000</v>
      </c>
      <c r="G549" s="180" t="s">
        <v>802</v>
      </c>
    </row>
    <row r="550" spans="1:7" ht="21.25" customHeight="1" x14ac:dyDescent="0.15">
      <c r="A550" s="10" t="s">
        <v>528</v>
      </c>
      <c r="B550" s="180" t="s">
        <v>832</v>
      </c>
      <c r="C550" s="180" t="s">
        <v>87</v>
      </c>
      <c r="D550" s="85" t="str" cm="1">
        <f t="array" ref="D550">IFERROR(AVERAGE(B550:C550),"—")</f>
        <v>—</v>
      </c>
      <c r="E550" s="85"/>
      <c r="F550" s="179">
        <v>1750000</v>
      </c>
      <c r="G550" s="180" t="s">
        <v>802</v>
      </c>
    </row>
    <row r="551" spans="1:7" ht="21.25" customHeight="1" x14ac:dyDescent="0.15">
      <c r="A551" s="10" t="s">
        <v>563</v>
      </c>
      <c r="B551" s="180" t="s">
        <v>832</v>
      </c>
      <c r="C551" s="180" t="s">
        <v>87</v>
      </c>
      <c r="D551" s="85" t="str" cm="1">
        <f t="array" ref="D551">IFERROR(AVERAGE(B551:C551),"—")</f>
        <v>—</v>
      </c>
      <c r="E551" s="85"/>
      <c r="F551" s="179">
        <v>1750000</v>
      </c>
      <c r="G551" s="180" t="s">
        <v>802</v>
      </c>
    </row>
    <row r="552" spans="1:7" ht="21.25" customHeight="1" x14ac:dyDescent="0.15">
      <c r="A552" s="10" t="s">
        <v>724</v>
      </c>
      <c r="B552" s="180" t="s">
        <v>832</v>
      </c>
      <c r="C552" s="180" t="s">
        <v>87</v>
      </c>
      <c r="D552" s="85" t="str" cm="1">
        <f t="array" ref="D552">IFERROR(AVERAGE(B552:C552),"—")</f>
        <v>—</v>
      </c>
      <c r="E552" s="85"/>
      <c r="F552" s="179">
        <v>1750000</v>
      </c>
      <c r="G552" s="180" t="s">
        <v>802</v>
      </c>
    </row>
    <row r="553" spans="1:7" ht="21.25" customHeight="1" x14ac:dyDescent="0.15">
      <c r="A553" s="10" t="s">
        <v>633</v>
      </c>
      <c r="B553" s="180" t="s">
        <v>832</v>
      </c>
      <c r="C553" s="180" t="s">
        <v>87</v>
      </c>
      <c r="D553" s="85" t="str" cm="1">
        <f t="array" ref="D553">IFERROR(AVERAGE(B553:C553),"—")</f>
        <v>—</v>
      </c>
      <c r="E553" s="85"/>
      <c r="F553" s="179">
        <v>1750000</v>
      </c>
      <c r="G553" s="180" t="s">
        <v>802</v>
      </c>
    </row>
    <row r="554" spans="1:7" ht="21.25" customHeight="1" x14ac:dyDescent="0.15">
      <c r="A554" s="10" t="s">
        <v>734</v>
      </c>
      <c r="B554" s="180" t="s">
        <v>832</v>
      </c>
      <c r="C554" s="180" t="s">
        <v>87</v>
      </c>
      <c r="D554" s="85" t="str" cm="1">
        <f t="array" ref="D554">IFERROR(AVERAGE(B554:C554),"—")</f>
        <v>—</v>
      </c>
      <c r="E554" s="85"/>
      <c r="F554" s="179">
        <v>1700000</v>
      </c>
      <c r="G554" s="180" t="s">
        <v>802</v>
      </c>
    </row>
    <row r="555" spans="1:7" ht="21.25" customHeight="1" x14ac:dyDescent="0.15">
      <c r="A555" s="10" t="s">
        <v>481</v>
      </c>
      <c r="B555" s="180" t="s">
        <v>832</v>
      </c>
      <c r="C555" s="180" t="s">
        <v>87</v>
      </c>
      <c r="D555" s="85" t="str" cm="1">
        <f t="array" ref="D555">IFERROR(AVERAGE(B555:C555),"—")</f>
        <v>—</v>
      </c>
      <c r="E555" s="85"/>
      <c r="F555" s="179">
        <v>1700000</v>
      </c>
      <c r="G555" s="180" t="s">
        <v>802</v>
      </c>
    </row>
    <row r="556" spans="1:7" ht="21.25" customHeight="1" x14ac:dyDescent="0.15">
      <c r="A556" s="10" t="s">
        <v>769</v>
      </c>
      <c r="B556" s="180" t="s">
        <v>832</v>
      </c>
      <c r="C556" s="180" t="s">
        <v>87</v>
      </c>
      <c r="D556" s="85" t="str" cm="1">
        <f t="array" ref="D556">IFERROR(AVERAGE(B556:C556),"—")</f>
        <v>—</v>
      </c>
      <c r="E556" s="85"/>
      <c r="F556" s="179">
        <v>1625000</v>
      </c>
      <c r="G556" s="180" t="s">
        <v>802</v>
      </c>
    </row>
    <row r="557" spans="1:7" ht="21.25" customHeight="1" x14ac:dyDescent="0.15">
      <c r="A557" s="10" t="s">
        <v>432</v>
      </c>
      <c r="B557" s="180" t="s">
        <v>832</v>
      </c>
      <c r="C557" s="180" t="s">
        <v>87</v>
      </c>
      <c r="D557" s="85" t="str" cm="1">
        <f t="array" ref="D557">IFERROR(AVERAGE(B557:C557),"—")</f>
        <v>—</v>
      </c>
      <c r="E557" s="85"/>
      <c r="F557" s="179">
        <v>1600000</v>
      </c>
      <c r="G557" s="180" t="s">
        <v>802</v>
      </c>
    </row>
    <row r="558" spans="1:7" ht="21.25" customHeight="1" x14ac:dyDescent="0.15">
      <c r="A558" s="10" t="s">
        <v>589</v>
      </c>
      <c r="B558" s="180" t="s">
        <v>832</v>
      </c>
      <c r="C558" s="180" t="s">
        <v>87</v>
      </c>
      <c r="D558" s="85" t="str" cm="1">
        <f t="array" ref="D558">IFERROR(AVERAGE(B558:C558),"—")</f>
        <v>—</v>
      </c>
      <c r="E558" s="85"/>
      <c r="F558" s="179">
        <v>1600000</v>
      </c>
      <c r="G558" s="180" t="s">
        <v>802</v>
      </c>
    </row>
    <row r="559" spans="1:7" ht="21.25" customHeight="1" x14ac:dyDescent="0.15">
      <c r="A559" s="10" t="s">
        <v>575</v>
      </c>
      <c r="B559" s="180" t="s">
        <v>832</v>
      </c>
      <c r="C559" s="180" t="s">
        <v>87</v>
      </c>
      <c r="D559" s="85" t="str" cm="1">
        <f t="array" ref="D559">IFERROR(AVERAGE(B559:C559),"—")</f>
        <v>—</v>
      </c>
      <c r="E559" s="85"/>
      <c r="F559" s="179">
        <v>1600000</v>
      </c>
      <c r="G559" s="180" t="s">
        <v>802</v>
      </c>
    </row>
    <row r="560" spans="1:7" ht="21.25" customHeight="1" x14ac:dyDescent="0.15">
      <c r="A560" s="10" t="s">
        <v>754</v>
      </c>
      <c r="B560" s="180" t="s">
        <v>832</v>
      </c>
      <c r="C560" s="180" t="s">
        <v>87</v>
      </c>
      <c r="D560" s="85" t="str" cm="1">
        <f t="array" ref="D560">IFERROR(AVERAGE(B560:C560),"—")</f>
        <v>—</v>
      </c>
      <c r="E560" s="85"/>
      <c r="F560" s="179">
        <v>1587500</v>
      </c>
      <c r="G560" s="180" t="s">
        <v>802</v>
      </c>
    </row>
    <row r="561" spans="1:7" ht="21.25" customHeight="1" x14ac:dyDescent="0.15">
      <c r="A561" s="10" t="s">
        <v>565</v>
      </c>
      <c r="B561" s="180" t="s">
        <v>832</v>
      </c>
      <c r="C561" s="180" t="s">
        <v>87</v>
      </c>
      <c r="D561" s="85" t="str" cm="1">
        <f t="array" ref="D561">IFERROR(AVERAGE(B561:C561),"—")</f>
        <v>—</v>
      </c>
      <c r="E561" s="85"/>
      <c r="F561" s="179">
        <v>1575000</v>
      </c>
      <c r="G561" s="180" t="s">
        <v>802</v>
      </c>
    </row>
    <row r="562" spans="1:7" ht="21.25" customHeight="1" x14ac:dyDescent="0.15">
      <c r="A562" s="10" t="s">
        <v>699</v>
      </c>
      <c r="B562" s="180" t="s">
        <v>832</v>
      </c>
      <c r="C562" s="180" t="s">
        <v>87</v>
      </c>
      <c r="D562" s="85" t="str" cm="1">
        <f t="array" ref="D562">IFERROR(AVERAGE(B562:C562),"—")</f>
        <v>—</v>
      </c>
      <c r="E562" s="85"/>
      <c r="F562" s="179">
        <v>1550000</v>
      </c>
      <c r="G562" s="180" t="s">
        <v>802</v>
      </c>
    </row>
    <row r="563" spans="1:7" ht="21.25" customHeight="1" x14ac:dyDescent="0.15">
      <c r="A563" s="10" t="s">
        <v>564</v>
      </c>
      <c r="B563" s="180" t="s">
        <v>832</v>
      </c>
      <c r="C563" s="180" t="s">
        <v>87</v>
      </c>
      <c r="D563" s="85" t="str" cm="1">
        <f t="array" ref="D563">IFERROR(AVERAGE(B563:C563),"—")</f>
        <v>—</v>
      </c>
      <c r="E563" s="85"/>
      <c r="F563" s="179">
        <v>1550000</v>
      </c>
      <c r="G563" s="180" t="s">
        <v>802</v>
      </c>
    </row>
    <row r="564" spans="1:7" ht="21.25" customHeight="1" x14ac:dyDescent="0.15">
      <c r="A564" s="10" t="s">
        <v>732</v>
      </c>
      <c r="B564" s="180" t="s">
        <v>832</v>
      </c>
      <c r="C564" s="180" t="s">
        <v>87</v>
      </c>
      <c r="D564" s="85" t="str" cm="1">
        <f t="array" ref="D564">IFERROR(AVERAGE(B564:C564),"—")</f>
        <v>—</v>
      </c>
      <c r="E564" s="85"/>
      <c r="F564" s="179">
        <v>1500000</v>
      </c>
      <c r="G564" s="180" t="s">
        <v>802</v>
      </c>
    </row>
    <row r="565" spans="1:7" ht="21.25" customHeight="1" x14ac:dyDescent="0.15">
      <c r="A565" s="10" t="s">
        <v>450</v>
      </c>
      <c r="B565" s="180" t="s">
        <v>832</v>
      </c>
      <c r="C565" s="180" t="s">
        <v>87</v>
      </c>
      <c r="D565" s="85" t="str" cm="1">
        <f t="array" ref="D565">IFERROR(AVERAGE(B565:C565),"—")</f>
        <v>—</v>
      </c>
      <c r="E565" s="85"/>
      <c r="F565" s="179">
        <v>1500000</v>
      </c>
      <c r="G565" s="180" t="s">
        <v>802</v>
      </c>
    </row>
    <row r="566" spans="1:7" ht="21.25" customHeight="1" x14ac:dyDescent="0.15">
      <c r="A566" s="10" t="s">
        <v>788</v>
      </c>
      <c r="B566" s="180" t="s">
        <v>832</v>
      </c>
      <c r="C566" s="180" t="s">
        <v>87</v>
      </c>
      <c r="D566" s="85" t="str" cm="1">
        <f t="array" ref="D566">IFERROR(AVERAGE(B566:C566),"—")</f>
        <v>—</v>
      </c>
      <c r="E566" s="85"/>
      <c r="F566" s="179">
        <v>1500000</v>
      </c>
      <c r="G566" s="180" t="s">
        <v>802</v>
      </c>
    </row>
    <row r="567" spans="1:7" ht="21.25" customHeight="1" x14ac:dyDescent="0.15">
      <c r="A567" s="10" t="s">
        <v>746</v>
      </c>
      <c r="B567" s="180" t="s">
        <v>832</v>
      </c>
      <c r="C567" s="180" t="s">
        <v>87</v>
      </c>
      <c r="D567" s="85" t="str" cm="1">
        <f t="array" ref="D567">IFERROR(AVERAGE(B567:C567),"—")</f>
        <v>—</v>
      </c>
      <c r="E567" s="85"/>
      <c r="F567" s="179">
        <v>1450000</v>
      </c>
      <c r="G567" s="180" t="s">
        <v>802</v>
      </c>
    </row>
    <row r="568" spans="1:7" ht="21.25" customHeight="1" x14ac:dyDescent="0.15">
      <c r="A568" s="10" t="s">
        <v>608</v>
      </c>
      <c r="B568" s="180" t="s">
        <v>832</v>
      </c>
      <c r="C568" s="180" t="s">
        <v>87</v>
      </c>
      <c r="D568" s="85" t="str" cm="1">
        <f t="array" ref="D568">IFERROR(AVERAGE(B568:C568),"—")</f>
        <v>—</v>
      </c>
      <c r="E568" s="85"/>
      <c r="F568" s="179">
        <v>1412000</v>
      </c>
      <c r="G568" s="180" t="s">
        <v>802</v>
      </c>
    </row>
    <row r="569" spans="1:7" ht="21.25" customHeight="1" x14ac:dyDescent="0.15">
      <c r="A569" s="10" t="s">
        <v>726</v>
      </c>
      <c r="B569" s="180" t="s">
        <v>832</v>
      </c>
      <c r="C569" s="180" t="s">
        <v>87</v>
      </c>
      <c r="D569" s="85" t="str" cm="1">
        <f t="array" ref="D569">IFERROR(AVERAGE(B569:C569),"—")</f>
        <v>—</v>
      </c>
      <c r="E569" s="85"/>
      <c r="F569" s="179">
        <v>1350000</v>
      </c>
      <c r="G569" s="180" t="s">
        <v>802</v>
      </c>
    </row>
    <row r="570" spans="1:7" ht="21.25" customHeight="1" x14ac:dyDescent="0.15">
      <c r="A570" s="10" t="s">
        <v>568</v>
      </c>
      <c r="B570" s="180" t="s">
        <v>832</v>
      </c>
      <c r="C570" s="180" t="s">
        <v>87</v>
      </c>
      <c r="D570" s="85" t="str" cm="1">
        <f t="array" ref="D570">IFERROR(AVERAGE(B570:C570),"—")</f>
        <v>—</v>
      </c>
      <c r="E570" s="85"/>
      <c r="F570" s="179">
        <v>1350000</v>
      </c>
      <c r="G570" s="180" t="s">
        <v>802</v>
      </c>
    </row>
    <row r="571" spans="1:7" ht="21.25" customHeight="1" x14ac:dyDescent="0.15">
      <c r="A571" s="10" t="s">
        <v>469</v>
      </c>
      <c r="B571" s="180" t="s">
        <v>832</v>
      </c>
      <c r="C571" s="180" t="s">
        <v>87</v>
      </c>
      <c r="D571" s="85" t="str" cm="1">
        <f t="array" ref="D571">IFERROR(AVERAGE(B571:C571),"—")</f>
        <v>—</v>
      </c>
      <c r="E571" s="85"/>
      <c r="F571" s="179">
        <v>1300000</v>
      </c>
      <c r="G571" s="180" t="s">
        <v>802</v>
      </c>
    </row>
    <row r="572" spans="1:7" ht="21.25" customHeight="1" x14ac:dyDescent="0.15">
      <c r="A572" s="10" t="s">
        <v>760</v>
      </c>
      <c r="B572" s="180" t="s">
        <v>832</v>
      </c>
      <c r="C572" s="180" t="s">
        <v>87</v>
      </c>
      <c r="D572" s="85" t="str" cm="1">
        <f t="array" ref="D572">IFERROR(AVERAGE(B572:C572),"—")</f>
        <v>—</v>
      </c>
      <c r="E572" s="85"/>
      <c r="F572" s="179">
        <v>1300000</v>
      </c>
      <c r="G572" s="180" t="s">
        <v>802</v>
      </c>
    </row>
    <row r="573" spans="1:7" ht="21.25" customHeight="1" x14ac:dyDescent="0.15">
      <c r="A573" s="10" t="s">
        <v>742</v>
      </c>
      <c r="B573" s="180" t="s">
        <v>832</v>
      </c>
      <c r="C573" s="180" t="s">
        <v>87</v>
      </c>
      <c r="D573" s="85" t="str" cm="1">
        <f t="array" ref="D573">IFERROR(AVERAGE(B573:C573),"—")</f>
        <v>—</v>
      </c>
      <c r="E573" s="85"/>
      <c r="F573" s="179">
        <v>1300000</v>
      </c>
      <c r="G573" s="180" t="s">
        <v>802</v>
      </c>
    </row>
    <row r="574" spans="1:7" ht="21.25" customHeight="1" x14ac:dyDescent="0.15">
      <c r="A574" s="10" t="s">
        <v>717</v>
      </c>
      <c r="B574" s="180" t="s">
        <v>832</v>
      </c>
      <c r="C574" s="180" t="s">
        <v>87</v>
      </c>
      <c r="D574" s="85" t="str" cm="1">
        <f t="array" ref="D574">IFERROR(AVERAGE(B574:C574),"—")</f>
        <v>—</v>
      </c>
      <c r="E574" s="85"/>
      <c r="F574" s="179">
        <v>1250000</v>
      </c>
      <c r="G574" s="180" t="s">
        <v>802</v>
      </c>
    </row>
    <row r="575" spans="1:7" ht="21.25" customHeight="1" x14ac:dyDescent="0.15">
      <c r="A575" s="10" t="s">
        <v>740</v>
      </c>
      <c r="B575" s="180" t="s">
        <v>832</v>
      </c>
      <c r="C575" s="180" t="s">
        <v>87</v>
      </c>
      <c r="D575" s="85" t="str" cm="1">
        <f t="array" ref="D575">IFERROR(AVERAGE(B575:C575),"—")</f>
        <v>—</v>
      </c>
      <c r="E575" s="85"/>
      <c r="F575" s="179">
        <v>1250000</v>
      </c>
      <c r="G575" s="180" t="s">
        <v>802</v>
      </c>
    </row>
    <row r="576" spans="1:7" ht="21.25" customHeight="1" x14ac:dyDescent="0.15">
      <c r="A576" s="10" t="s">
        <v>622</v>
      </c>
      <c r="B576" s="180" t="s">
        <v>832</v>
      </c>
      <c r="C576" s="180" t="s">
        <v>87</v>
      </c>
      <c r="D576" s="85" t="str" cm="1">
        <f t="array" ref="D576">IFERROR(AVERAGE(B576:C576),"—")</f>
        <v>—</v>
      </c>
      <c r="E576" s="85"/>
      <c r="F576" s="179">
        <v>1250000</v>
      </c>
      <c r="G576" s="180" t="s">
        <v>802</v>
      </c>
    </row>
    <row r="577" spans="1:7" ht="21.25" customHeight="1" x14ac:dyDescent="0.15">
      <c r="A577" s="10" t="s">
        <v>668</v>
      </c>
      <c r="B577" s="180" t="s">
        <v>832</v>
      </c>
      <c r="C577" s="180" t="s">
        <v>87</v>
      </c>
      <c r="D577" s="85" t="str" cm="1">
        <f t="array" ref="D577">IFERROR(AVERAGE(B577:C577),"—")</f>
        <v>—</v>
      </c>
      <c r="E577" s="85"/>
      <c r="F577" s="179">
        <v>1200000</v>
      </c>
      <c r="G577" s="180" t="s">
        <v>802</v>
      </c>
    </row>
    <row r="578" spans="1:7" ht="21.25" customHeight="1" x14ac:dyDescent="0.15">
      <c r="A578" s="10" t="s">
        <v>753</v>
      </c>
      <c r="B578" s="180" t="s">
        <v>832</v>
      </c>
      <c r="C578" s="180" t="s">
        <v>87</v>
      </c>
      <c r="D578" s="85" t="str" cm="1">
        <f t="array" ref="D578">IFERROR(AVERAGE(B578:C578),"—")</f>
        <v>—</v>
      </c>
      <c r="E578" s="85"/>
      <c r="F578" s="179">
        <v>1200000</v>
      </c>
      <c r="G578" s="180" t="s">
        <v>802</v>
      </c>
    </row>
    <row r="579" spans="1:7" ht="21.25" customHeight="1" x14ac:dyDescent="0.15">
      <c r="A579" s="10" t="s">
        <v>776</v>
      </c>
      <c r="B579" s="180" t="s">
        <v>832</v>
      </c>
      <c r="C579" s="180" t="s">
        <v>87</v>
      </c>
      <c r="D579" s="85" t="str" cm="1">
        <f t="array" ref="D579">IFERROR(AVERAGE(B579:C579),"—")</f>
        <v>—</v>
      </c>
      <c r="E579" s="85"/>
      <c r="F579" s="179">
        <v>1200000</v>
      </c>
      <c r="G579" s="180" t="s">
        <v>802</v>
      </c>
    </row>
    <row r="580" spans="1:7" ht="21.25" customHeight="1" x14ac:dyDescent="0.15">
      <c r="A580" s="10" t="s">
        <v>552</v>
      </c>
      <c r="B580" s="180" t="s">
        <v>832</v>
      </c>
      <c r="C580" s="180" t="s">
        <v>87</v>
      </c>
      <c r="D580" s="85" t="str" cm="1">
        <f t="array" ref="D580">IFERROR(AVERAGE(B580:C580),"—")</f>
        <v>—</v>
      </c>
      <c r="E580" s="85"/>
      <c r="F580" s="179">
        <v>1152000</v>
      </c>
      <c r="G580" s="180" t="s">
        <v>802</v>
      </c>
    </row>
    <row r="581" spans="1:7" ht="21.25" customHeight="1" x14ac:dyDescent="0.15">
      <c r="A581" s="10" t="s">
        <v>468</v>
      </c>
      <c r="B581" s="180" t="s">
        <v>832</v>
      </c>
      <c r="C581" s="180" t="s">
        <v>87</v>
      </c>
      <c r="D581" s="85" t="str" cm="1">
        <f t="array" ref="D581">IFERROR(AVERAGE(B581:C581),"—")</f>
        <v>—</v>
      </c>
      <c r="E581" s="85"/>
      <c r="F581" s="179">
        <v>1150000</v>
      </c>
      <c r="G581" s="180" t="s">
        <v>802</v>
      </c>
    </row>
    <row r="582" spans="1:7" ht="21.25" customHeight="1" x14ac:dyDescent="0.15">
      <c r="A582" s="10" t="s">
        <v>762</v>
      </c>
      <c r="B582" s="180" t="s">
        <v>832</v>
      </c>
      <c r="C582" s="180" t="s">
        <v>87</v>
      </c>
      <c r="D582" s="85" t="str" cm="1">
        <f t="array" ref="D582">IFERROR(AVERAGE(B582:C582),"—")</f>
        <v>—</v>
      </c>
      <c r="E582" s="85"/>
      <c r="F582" s="179">
        <v>1125000</v>
      </c>
      <c r="G582" s="180" t="s">
        <v>802</v>
      </c>
    </row>
    <row r="583" spans="1:7" ht="21.25" customHeight="1" x14ac:dyDescent="0.15">
      <c r="A583" s="10" t="s">
        <v>783</v>
      </c>
      <c r="B583" s="180" t="s">
        <v>832</v>
      </c>
      <c r="C583" s="180" t="s">
        <v>87</v>
      </c>
      <c r="D583" s="85" t="str" cm="1">
        <f t="array" ref="D583">IFERROR(AVERAGE(B583:C583),"—")</f>
        <v>—</v>
      </c>
      <c r="E583" s="85"/>
      <c r="F583" s="179">
        <v>1125000</v>
      </c>
      <c r="G583" s="180" t="s">
        <v>802</v>
      </c>
    </row>
    <row r="584" spans="1:7" ht="21.25" customHeight="1" x14ac:dyDescent="0.15">
      <c r="A584" s="10" t="s">
        <v>559</v>
      </c>
      <c r="B584" s="180" t="s">
        <v>832</v>
      </c>
      <c r="C584" s="180" t="s">
        <v>87</v>
      </c>
      <c r="D584" s="85" t="str" cm="1">
        <f t="array" ref="D584">IFERROR(AVERAGE(B584:C584),"—")</f>
        <v>—</v>
      </c>
      <c r="E584" s="85"/>
      <c r="F584" s="179">
        <v>1125000</v>
      </c>
      <c r="G584" s="180" t="s">
        <v>802</v>
      </c>
    </row>
    <row r="585" spans="1:7" ht="21.25" customHeight="1" x14ac:dyDescent="0.15">
      <c r="A585" s="10" t="s">
        <v>437</v>
      </c>
      <c r="B585" s="180" t="s">
        <v>832</v>
      </c>
      <c r="C585" s="180" t="s">
        <v>87</v>
      </c>
      <c r="D585" s="85" t="str" cm="1">
        <f t="array" ref="D585">IFERROR(AVERAGE(B585:C585),"—")</f>
        <v>—</v>
      </c>
      <c r="E585" s="85"/>
      <c r="F585" s="179">
        <v>1100000</v>
      </c>
      <c r="G585" s="180" t="s">
        <v>802</v>
      </c>
    </row>
    <row r="586" spans="1:7" ht="21.25" customHeight="1" x14ac:dyDescent="0.15">
      <c r="A586" s="10" t="s">
        <v>780</v>
      </c>
      <c r="B586" s="180" t="s">
        <v>832</v>
      </c>
      <c r="C586" s="180" t="s">
        <v>87</v>
      </c>
      <c r="D586" s="85" t="str" cm="1">
        <f t="array" ref="D586">IFERROR(AVERAGE(B586:C586),"—")</f>
        <v>—</v>
      </c>
      <c r="E586" s="85"/>
      <c r="F586" s="179">
        <v>1100000</v>
      </c>
      <c r="G586" s="180" t="s">
        <v>802</v>
      </c>
    </row>
    <row r="587" spans="1:7" ht="21.25" customHeight="1" x14ac:dyDescent="0.15">
      <c r="A587" s="10" t="s">
        <v>741</v>
      </c>
      <c r="B587" s="180" t="s">
        <v>832</v>
      </c>
      <c r="C587" s="180" t="s">
        <v>87</v>
      </c>
      <c r="D587" s="85" t="str" cm="1">
        <f t="array" ref="D587">IFERROR(AVERAGE(B587:C587),"—")</f>
        <v>—</v>
      </c>
      <c r="E587" s="85"/>
      <c r="F587" s="179">
        <v>1000000</v>
      </c>
      <c r="G587" s="180" t="s">
        <v>802</v>
      </c>
    </row>
    <row r="588" spans="1:7" ht="21.25" customHeight="1" x14ac:dyDescent="0.15">
      <c r="A588" s="10" t="s">
        <v>782</v>
      </c>
      <c r="B588" s="180" t="s">
        <v>832</v>
      </c>
      <c r="C588" s="180" t="s">
        <v>87</v>
      </c>
      <c r="D588" s="85" t="str" cm="1">
        <f t="array" ref="D588">IFERROR(AVERAGE(B588:C588),"—")</f>
        <v>—</v>
      </c>
      <c r="E588" s="85"/>
      <c r="F588" s="179">
        <v>1000000</v>
      </c>
      <c r="G588" s="180" t="s">
        <v>802</v>
      </c>
    </row>
    <row r="589" spans="1:7" ht="21.25" customHeight="1" x14ac:dyDescent="0.15">
      <c r="A589" s="10" t="s">
        <v>728</v>
      </c>
      <c r="B589" s="180" t="s">
        <v>832</v>
      </c>
      <c r="C589" s="180" t="s">
        <v>87</v>
      </c>
      <c r="D589" s="85" t="str" cm="1">
        <f t="array" ref="D589">IFERROR(AVERAGE(B589:C589),"—")</f>
        <v>—</v>
      </c>
      <c r="E589" s="85"/>
      <c r="F589" s="179">
        <v>1000000</v>
      </c>
      <c r="G589" s="180" t="s">
        <v>802</v>
      </c>
    </row>
    <row r="590" spans="1:7" ht="21.25" customHeight="1" x14ac:dyDescent="0.15">
      <c r="A590" s="10" t="s">
        <v>797</v>
      </c>
      <c r="B590" s="180" t="s">
        <v>832</v>
      </c>
      <c r="C590" s="180" t="s">
        <v>87</v>
      </c>
      <c r="D590" s="85" t="str" cm="1">
        <f t="array" ref="D590">IFERROR(AVERAGE(B590:C590),"—")</f>
        <v>—</v>
      </c>
      <c r="E590" s="85"/>
      <c r="F590" s="179">
        <v>1000000</v>
      </c>
      <c r="G590" s="180" t="s">
        <v>802</v>
      </c>
    </row>
    <row r="591" spans="1:7" ht="21.25" customHeight="1" x14ac:dyDescent="0.15">
      <c r="A591" s="10" t="s">
        <v>767</v>
      </c>
      <c r="B591" s="180" t="s">
        <v>832</v>
      </c>
      <c r="C591" s="180" t="s">
        <v>87</v>
      </c>
      <c r="D591" s="85" t="str" cm="1">
        <f t="array" ref="D591">IFERROR(AVERAGE(B591:C591),"—")</f>
        <v>—</v>
      </c>
      <c r="E591" s="85"/>
      <c r="F591" s="179">
        <v>975000</v>
      </c>
      <c r="G591" s="180" t="s">
        <v>802</v>
      </c>
    </row>
    <row r="592" spans="1:7" ht="21.25" customHeight="1" x14ac:dyDescent="0.15">
      <c r="A592" s="10" t="s">
        <v>777</v>
      </c>
      <c r="B592" s="180" t="s">
        <v>832</v>
      </c>
      <c r="C592" s="180" t="s">
        <v>87</v>
      </c>
      <c r="D592" s="85" t="str" cm="1">
        <f t="array" ref="D592">IFERROR(AVERAGE(B592:C592),"—")</f>
        <v>—</v>
      </c>
      <c r="E592" s="85"/>
      <c r="F592" s="179">
        <v>975000</v>
      </c>
      <c r="G592" s="180" t="s">
        <v>802</v>
      </c>
    </row>
    <row r="593" spans="1:7" ht="21.25" customHeight="1" x14ac:dyDescent="0.15">
      <c r="A593" s="10" t="s">
        <v>798</v>
      </c>
      <c r="B593" s="180" t="s">
        <v>832</v>
      </c>
      <c r="C593" s="180" t="s">
        <v>87</v>
      </c>
      <c r="D593" s="85" t="str" cm="1">
        <f t="array" ref="D593">IFERROR(AVERAGE(B593:C593),"—")</f>
        <v>—</v>
      </c>
      <c r="E593" s="85"/>
      <c r="F593" s="179">
        <v>975000</v>
      </c>
      <c r="G593" s="180" t="s">
        <v>802</v>
      </c>
    </row>
    <row r="594" spans="1:7" ht="21.25" customHeight="1" x14ac:dyDescent="0.15">
      <c r="A594" s="10" t="s">
        <v>670</v>
      </c>
      <c r="B594" s="180" t="s">
        <v>832</v>
      </c>
      <c r="C594" s="180" t="s">
        <v>87</v>
      </c>
      <c r="D594" s="85" t="str" cm="1">
        <f t="array" ref="D594">IFERROR(AVERAGE(B594:C594),"—")</f>
        <v>—</v>
      </c>
      <c r="E594" s="85"/>
      <c r="F594" s="179">
        <v>975000</v>
      </c>
      <c r="G594" s="180" t="s">
        <v>802</v>
      </c>
    </row>
    <row r="595" spans="1:7" ht="21.25" customHeight="1" x14ac:dyDescent="0.15">
      <c r="A595" s="10" t="s">
        <v>650</v>
      </c>
      <c r="B595" s="180" t="s">
        <v>832</v>
      </c>
      <c r="C595" s="180" t="s">
        <v>87</v>
      </c>
      <c r="D595" s="85" t="str" cm="1">
        <f t="array" ref="D595">IFERROR(AVERAGE(B595:C595),"—")</f>
        <v>—</v>
      </c>
      <c r="E595" s="85"/>
      <c r="F595" s="179">
        <v>953750</v>
      </c>
      <c r="G595" s="180" t="s">
        <v>802</v>
      </c>
    </row>
    <row r="596" spans="1:7" ht="21.25" customHeight="1" x14ac:dyDescent="0.15">
      <c r="A596" s="10" t="s">
        <v>666</v>
      </c>
      <c r="B596" s="180" t="s">
        <v>832</v>
      </c>
      <c r="C596" s="180" t="s">
        <v>87</v>
      </c>
      <c r="D596" s="85" t="str" cm="1">
        <f t="array" ref="D596">IFERROR(AVERAGE(B596:C596),"—")</f>
        <v>—</v>
      </c>
      <c r="E596" s="85"/>
      <c r="F596" s="179">
        <v>950000</v>
      </c>
      <c r="G596" s="180" t="s">
        <v>802</v>
      </c>
    </row>
    <row r="597" spans="1:7" ht="21.25" customHeight="1" x14ac:dyDescent="0.15">
      <c r="A597" s="10" t="s">
        <v>694</v>
      </c>
      <c r="B597" s="180" t="s">
        <v>832</v>
      </c>
      <c r="C597" s="180" t="s">
        <v>87</v>
      </c>
      <c r="D597" s="85" t="str" cm="1">
        <f t="array" ref="D597">IFERROR(AVERAGE(B597:C597),"—")</f>
        <v>—</v>
      </c>
      <c r="E597" s="85"/>
      <c r="F597" s="179">
        <v>950000</v>
      </c>
      <c r="G597" s="180" t="s">
        <v>802</v>
      </c>
    </row>
    <row r="598" spans="1:7" ht="21.25" customHeight="1" x14ac:dyDescent="0.15">
      <c r="A598" s="10" t="s">
        <v>620</v>
      </c>
      <c r="B598" s="180" t="s">
        <v>832</v>
      </c>
      <c r="C598" s="180" t="s">
        <v>87</v>
      </c>
      <c r="D598" s="85" t="str" cm="1">
        <f t="array" ref="D598">IFERROR(AVERAGE(B598:C598),"—")</f>
        <v>—</v>
      </c>
      <c r="E598" s="85"/>
      <c r="F598" s="179">
        <v>950000</v>
      </c>
      <c r="G598" s="180" t="s">
        <v>802</v>
      </c>
    </row>
    <row r="599" spans="1:7" ht="21.25" customHeight="1" x14ac:dyDescent="0.15">
      <c r="A599" s="10" t="s">
        <v>379</v>
      </c>
      <c r="B599" s="180" t="s">
        <v>832</v>
      </c>
      <c r="C599" s="180" t="s">
        <v>87</v>
      </c>
      <c r="D599" s="85" t="str" cm="1">
        <f t="array" ref="D599">IFERROR(AVERAGE(B599:C599),"—")</f>
        <v>—</v>
      </c>
      <c r="E599" s="85"/>
      <c r="F599" s="179">
        <v>950000</v>
      </c>
      <c r="G599" s="180" t="s">
        <v>802</v>
      </c>
    </row>
    <row r="600" spans="1:7" ht="21.25" customHeight="1" x14ac:dyDescent="0.15">
      <c r="A600" s="10" t="s">
        <v>759</v>
      </c>
      <c r="B600" s="180" t="s">
        <v>832</v>
      </c>
      <c r="C600" s="180" t="s">
        <v>87</v>
      </c>
      <c r="D600" s="85" t="str" cm="1">
        <f t="array" ref="D600">IFERROR(AVERAGE(B600:C600),"—")</f>
        <v>—</v>
      </c>
      <c r="E600" s="85"/>
      <c r="F600" s="179">
        <v>950000</v>
      </c>
      <c r="G600" s="180" t="s">
        <v>802</v>
      </c>
    </row>
    <row r="601" spans="1:7" ht="21.25" customHeight="1" x14ac:dyDescent="0.15">
      <c r="A601" s="10" t="s">
        <v>551</v>
      </c>
      <c r="B601" s="180" t="s">
        <v>832</v>
      </c>
      <c r="C601" s="180" t="s">
        <v>87</v>
      </c>
      <c r="D601" s="85" t="str" cm="1">
        <f t="array" ref="D601">IFERROR(AVERAGE(B601:C601),"—")</f>
        <v>—</v>
      </c>
      <c r="E601" s="85"/>
      <c r="F601" s="179">
        <v>950000</v>
      </c>
      <c r="G601" s="180" t="s">
        <v>802</v>
      </c>
    </row>
    <row r="602" spans="1:7" ht="21.25" customHeight="1" x14ac:dyDescent="0.15">
      <c r="A602" s="10" t="s">
        <v>733</v>
      </c>
      <c r="B602" s="180" t="s">
        <v>832</v>
      </c>
      <c r="C602" s="180" t="s">
        <v>87</v>
      </c>
      <c r="D602" s="85" t="str" cm="1">
        <f t="array" ref="D602">IFERROR(AVERAGE(B602:C602),"—")</f>
        <v>—</v>
      </c>
      <c r="E602" s="85"/>
      <c r="F602" s="179">
        <v>950000</v>
      </c>
      <c r="G602" s="180" t="s">
        <v>802</v>
      </c>
    </row>
    <row r="603" spans="1:7" ht="21.25" customHeight="1" x14ac:dyDescent="0.15">
      <c r="A603" s="10" t="s">
        <v>610</v>
      </c>
      <c r="B603" s="180" t="s">
        <v>832</v>
      </c>
      <c r="C603" s="180" t="s">
        <v>87</v>
      </c>
      <c r="D603" s="180" t="s">
        <v>832</v>
      </c>
      <c r="E603" s="85"/>
      <c r="F603" s="179">
        <v>950000</v>
      </c>
      <c r="G603" s="180" t="s">
        <v>802</v>
      </c>
    </row>
    <row r="604" spans="1:7" ht="21.25" customHeight="1" x14ac:dyDescent="0.15">
      <c r="A604" s="10" t="s">
        <v>706</v>
      </c>
      <c r="B604" s="180" t="s">
        <v>832</v>
      </c>
      <c r="C604" s="180" t="s">
        <v>87</v>
      </c>
      <c r="D604" s="85" t="str" cm="1">
        <f t="array" ref="D604">IFERROR(AVERAGE(B604:C604),"—")</f>
        <v>—</v>
      </c>
      <c r="E604" s="85"/>
      <c r="F604" s="179">
        <v>941667</v>
      </c>
      <c r="G604" s="180" t="s">
        <v>802</v>
      </c>
    </row>
    <row r="605" spans="1:7" ht="21.25" customHeight="1" x14ac:dyDescent="0.15">
      <c r="A605" s="10" t="s">
        <v>745</v>
      </c>
      <c r="B605" s="180" t="s">
        <v>832</v>
      </c>
      <c r="C605" s="180" t="s">
        <v>87</v>
      </c>
      <c r="D605" s="85" t="str" cm="1">
        <f t="array" ref="D605">IFERROR(AVERAGE(B605:C605),"—")</f>
        <v>—</v>
      </c>
      <c r="E605" s="85"/>
      <c r="F605" s="179">
        <v>940833</v>
      </c>
      <c r="G605" s="180" t="s">
        <v>802</v>
      </c>
    </row>
    <row r="606" spans="1:7" ht="21.25" customHeight="1" x14ac:dyDescent="0.15">
      <c r="A606" s="10" t="s">
        <v>482</v>
      </c>
      <c r="B606" s="180" t="s">
        <v>832</v>
      </c>
      <c r="C606" s="180" t="s">
        <v>87</v>
      </c>
      <c r="D606" s="85" t="str" cm="1">
        <f t="array" ref="D606">IFERROR(AVERAGE(B606:C606),"—")</f>
        <v>—</v>
      </c>
      <c r="E606" s="85"/>
      <c r="F606" s="179">
        <v>940833</v>
      </c>
      <c r="G606" s="180" t="s">
        <v>802</v>
      </c>
    </row>
    <row r="607" spans="1:7" ht="21.25" customHeight="1" x14ac:dyDescent="0.15">
      <c r="A607" s="10" t="s">
        <v>718</v>
      </c>
      <c r="B607" s="180" t="s">
        <v>832</v>
      </c>
      <c r="C607" s="180" t="s">
        <v>87</v>
      </c>
      <c r="D607" s="85" t="str" cm="1">
        <f t="array" ref="D607">IFERROR(AVERAGE(B607:C607),"—")</f>
        <v>—</v>
      </c>
      <c r="E607" s="85"/>
      <c r="F607" s="179">
        <v>925000</v>
      </c>
      <c r="G607" s="180" t="s">
        <v>802</v>
      </c>
    </row>
    <row r="608" spans="1:7" ht="21.25" customHeight="1" x14ac:dyDescent="0.15">
      <c r="A608" s="10" t="s">
        <v>586</v>
      </c>
      <c r="B608" s="180" t="s">
        <v>832</v>
      </c>
      <c r="C608" s="180" t="s">
        <v>87</v>
      </c>
      <c r="D608" s="85" t="str" cm="1">
        <f t="array" ref="D608">IFERROR(AVERAGE(B608:C608),"—")</f>
        <v>—</v>
      </c>
      <c r="E608" s="85"/>
      <c r="F608" s="179">
        <v>925000</v>
      </c>
      <c r="G608" s="180" t="s">
        <v>802</v>
      </c>
    </row>
    <row r="609" spans="1:7" ht="21.25" customHeight="1" x14ac:dyDescent="0.15">
      <c r="A609" s="10" t="s">
        <v>701</v>
      </c>
      <c r="B609" s="180" t="s">
        <v>832</v>
      </c>
      <c r="C609" s="180" t="s">
        <v>87</v>
      </c>
      <c r="D609" s="85" t="str" cm="1">
        <f t="array" ref="D609">IFERROR(AVERAGE(B609:C609),"—")</f>
        <v>—</v>
      </c>
      <c r="E609" s="85"/>
      <c r="F609" s="179">
        <v>925000</v>
      </c>
      <c r="G609" s="180" t="s">
        <v>802</v>
      </c>
    </row>
    <row r="610" spans="1:7" ht="21.25" customHeight="1" x14ac:dyDescent="0.15">
      <c r="A610" s="10" t="s">
        <v>749</v>
      </c>
      <c r="B610" s="180" t="s">
        <v>832</v>
      </c>
      <c r="C610" s="180" t="s">
        <v>87</v>
      </c>
      <c r="D610" s="85" t="str" cm="1">
        <f t="array" ref="D610">IFERROR(AVERAGE(B610:C610),"—")</f>
        <v>—</v>
      </c>
      <c r="E610" s="85"/>
      <c r="F610" s="179">
        <v>918333</v>
      </c>
      <c r="G610" s="180" t="s">
        <v>802</v>
      </c>
    </row>
    <row r="611" spans="1:7" ht="21.25" customHeight="1" x14ac:dyDescent="0.15">
      <c r="A611" s="10" t="s">
        <v>705</v>
      </c>
      <c r="B611" s="180" t="s">
        <v>832</v>
      </c>
      <c r="C611" s="180" t="s">
        <v>87</v>
      </c>
      <c r="D611" s="85" t="str" cm="1">
        <f t="array" ref="D611">IFERROR(AVERAGE(B611:C611),"—")</f>
        <v>—</v>
      </c>
      <c r="E611" s="85"/>
      <c r="F611" s="179">
        <v>916667</v>
      </c>
      <c r="G611" s="180" t="s">
        <v>802</v>
      </c>
    </row>
    <row r="612" spans="1:7" ht="21.25" customHeight="1" x14ac:dyDescent="0.15">
      <c r="A612" s="10" t="s">
        <v>702</v>
      </c>
      <c r="B612" s="180" t="s">
        <v>832</v>
      </c>
      <c r="C612" s="180" t="s">
        <v>87</v>
      </c>
      <c r="D612" s="85" t="str" cm="1">
        <f t="array" ref="D612">IFERROR(AVERAGE(B612:C612),"—")</f>
        <v>—</v>
      </c>
      <c r="E612" s="85"/>
      <c r="F612" s="179">
        <v>910000</v>
      </c>
      <c r="G612" s="180" t="s">
        <v>802</v>
      </c>
    </row>
    <row r="613" spans="1:7" ht="21.25" customHeight="1" x14ac:dyDescent="0.15">
      <c r="A613" s="10" t="s">
        <v>659</v>
      </c>
      <c r="B613" s="180" t="s">
        <v>832</v>
      </c>
      <c r="C613" s="180" t="s">
        <v>87</v>
      </c>
      <c r="D613" s="85" t="str" cm="1">
        <f t="array" ref="D613">IFERROR(AVERAGE(B613:C613),"—")</f>
        <v>—</v>
      </c>
      <c r="E613" s="85"/>
      <c r="F613" s="179">
        <v>909167</v>
      </c>
      <c r="G613" s="180" t="s">
        <v>802</v>
      </c>
    </row>
    <row r="614" spans="1:7" ht="21.25" customHeight="1" x14ac:dyDescent="0.15">
      <c r="A614" s="10" t="s">
        <v>539</v>
      </c>
      <c r="B614" s="180" t="s">
        <v>832</v>
      </c>
      <c r="C614" s="180" t="s">
        <v>87</v>
      </c>
      <c r="D614" s="85" t="str" cm="1">
        <f t="array" ref="D614">IFERROR(AVERAGE(B614:C614),"—")</f>
        <v>—</v>
      </c>
      <c r="E614" s="85"/>
      <c r="F614" s="179">
        <v>907500</v>
      </c>
      <c r="G614" s="180" t="s">
        <v>802</v>
      </c>
    </row>
    <row r="615" spans="1:7" ht="21.25" customHeight="1" x14ac:dyDescent="0.15">
      <c r="A615" s="10" t="s">
        <v>634</v>
      </c>
      <c r="B615" s="180" t="s">
        <v>832</v>
      </c>
      <c r="C615" s="180" t="s">
        <v>87</v>
      </c>
      <c r="D615" s="85" t="str" cm="1">
        <f t="array" ref="D615">IFERROR(AVERAGE(B615:C615),"—")</f>
        <v>—</v>
      </c>
      <c r="E615" s="85"/>
      <c r="F615" s="179">
        <v>907500</v>
      </c>
      <c r="G615" s="180" t="s">
        <v>802</v>
      </c>
    </row>
    <row r="616" spans="1:7" ht="21.25" customHeight="1" x14ac:dyDescent="0.15">
      <c r="A616" s="10" t="s">
        <v>799</v>
      </c>
      <c r="B616" s="180" t="s">
        <v>832</v>
      </c>
      <c r="C616" s="180" t="s">
        <v>87</v>
      </c>
      <c r="D616" s="85" t="str" cm="1">
        <f t="array" ref="D616">IFERROR(AVERAGE(B616:C616),"—")</f>
        <v>—</v>
      </c>
      <c r="E616" s="85"/>
      <c r="F616" s="179">
        <v>905000</v>
      </c>
      <c r="G616" s="180" t="s">
        <v>802</v>
      </c>
    </row>
    <row r="617" spans="1:7" ht="21.25" customHeight="1" x14ac:dyDescent="0.15">
      <c r="A617" s="10" t="s">
        <v>460</v>
      </c>
      <c r="B617" s="180" t="s">
        <v>832</v>
      </c>
      <c r="C617" s="180" t="s">
        <v>87</v>
      </c>
      <c r="D617" s="85" t="str" cm="1">
        <f t="array" ref="D617">IFERROR(AVERAGE(B617:C617),"—")</f>
        <v>—</v>
      </c>
      <c r="E617" s="85"/>
      <c r="F617" s="179">
        <v>900000</v>
      </c>
      <c r="G617" s="180" t="s">
        <v>802</v>
      </c>
    </row>
    <row r="618" spans="1:7" ht="21.25" customHeight="1" x14ac:dyDescent="0.15">
      <c r="A618" s="10" t="s">
        <v>761</v>
      </c>
      <c r="B618" s="180" t="s">
        <v>832</v>
      </c>
      <c r="C618" s="180" t="s">
        <v>87</v>
      </c>
      <c r="D618" s="85" t="str" cm="1">
        <f t="array" ref="D618">IFERROR(AVERAGE(B618:C618),"—")</f>
        <v>—</v>
      </c>
      <c r="E618" s="85"/>
      <c r="F618" s="179">
        <v>900000</v>
      </c>
      <c r="G618" s="180" t="s">
        <v>802</v>
      </c>
    </row>
    <row r="619" spans="1:7" ht="21.25" customHeight="1" x14ac:dyDescent="0.15">
      <c r="A619" s="10" t="s">
        <v>790</v>
      </c>
      <c r="B619" s="180" t="s">
        <v>832</v>
      </c>
      <c r="C619" s="180" t="s">
        <v>87</v>
      </c>
      <c r="D619" s="85" t="str" cm="1">
        <f t="array" ref="D619">IFERROR(AVERAGE(B619:C619),"—")</f>
        <v>—</v>
      </c>
      <c r="E619" s="85"/>
      <c r="F619" s="179">
        <v>900000</v>
      </c>
      <c r="G619" s="180" t="s">
        <v>802</v>
      </c>
    </row>
    <row r="620" spans="1:7" ht="21.25" customHeight="1" x14ac:dyDescent="0.15">
      <c r="A620" s="10" t="s">
        <v>792</v>
      </c>
      <c r="B620" s="180" t="s">
        <v>832</v>
      </c>
      <c r="C620" s="180" t="s">
        <v>87</v>
      </c>
      <c r="D620" s="85" t="str" cm="1">
        <f t="array" ref="D620">IFERROR(AVERAGE(B620:C620),"—")</f>
        <v>—</v>
      </c>
      <c r="E620" s="85"/>
      <c r="F620" s="179">
        <v>892500</v>
      </c>
      <c r="G620" s="180" t="s">
        <v>802</v>
      </c>
    </row>
    <row r="621" spans="1:7" ht="21.25" customHeight="1" x14ac:dyDescent="0.15">
      <c r="A621" s="10" t="s">
        <v>525</v>
      </c>
      <c r="B621" s="180" t="s">
        <v>832</v>
      </c>
      <c r="C621" s="180" t="s">
        <v>87</v>
      </c>
      <c r="D621" s="85" t="str" cm="1">
        <f t="array" ref="D621">IFERROR(AVERAGE(B621:C621),"—")</f>
        <v>—</v>
      </c>
      <c r="E621" s="85"/>
      <c r="F621" s="179">
        <v>887500</v>
      </c>
      <c r="G621" s="180" t="s">
        <v>802</v>
      </c>
    </row>
    <row r="622" spans="1:7" ht="21.25" customHeight="1" x14ac:dyDescent="0.15">
      <c r="A622" s="10" t="s">
        <v>548</v>
      </c>
      <c r="B622" s="180" t="s">
        <v>832</v>
      </c>
      <c r="C622" s="180" t="s">
        <v>87</v>
      </c>
      <c r="D622" s="85" t="str" cm="1">
        <f t="array" ref="D622">IFERROR(AVERAGE(B622:C622),"—")</f>
        <v>—</v>
      </c>
      <c r="E622" s="85"/>
      <c r="F622" s="179">
        <v>886667</v>
      </c>
      <c r="G622" s="180" t="s">
        <v>802</v>
      </c>
    </row>
    <row r="623" spans="1:7" ht="21.25" customHeight="1" x14ac:dyDescent="0.15">
      <c r="A623" s="10" t="s">
        <v>492</v>
      </c>
      <c r="B623" s="180" t="s">
        <v>832</v>
      </c>
      <c r="C623" s="180" t="s">
        <v>87</v>
      </c>
      <c r="D623" s="85" t="str" cm="1">
        <f t="array" ref="D623">IFERROR(AVERAGE(B623:C623),"—")</f>
        <v>—</v>
      </c>
      <c r="E623" s="85"/>
      <c r="F623" s="179">
        <v>886667</v>
      </c>
      <c r="G623" s="180" t="s">
        <v>802</v>
      </c>
    </row>
    <row r="624" spans="1:7" ht="21.25" customHeight="1" x14ac:dyDescent="0.15">
      <c r="A624" s="10" t="s">
        <v>558</v>
      </c>
      <c r="B624" s="180" t="s">
        <v>832</v>
      </c>
      <c r="C624" s="180" t="s">
        <v>87</v>
      </c>
      <c r="D624" s="85" t="str" cm="1">
        <f t="array" ref="D624">IFERROR(AVERAGE(B624:C624),"—")</f>
        <v>—</v>
      </c>
      <c r="E624" s="85"/>
      <c r="F624" s="179">
        <v>886667</v>
      </c>
      <c r="G624" s="180" t="s">
        <v>802</v>
      </c>
    </row>
    <row r="625" spans="1:7" ht="21.25" customHeight="1" x14ac:dyDescent="0.15">
      <c r="A625" s="10" t="s">
        <v>707</v>
      </c>
      <c r="B625" s="180" t="s">
        <v>832</v>
      </c>
      <c r="C625" s="180" t="s">
        <v>87</v>
      </c>
      <c r="D625" s="85" t="str" cm="1">
        <f t="array" ref="D625">IFERROR(AVERAGE(B625:C625),"—")</f>
        <v>—</v>
      </c>
      <c r="E625" s="85"/>
      <c r="F625" s="179">
        <v>886667</v>
      </c>
      <c r="G625" s="180" t="s">
        <v>802</v>
      </c>
    </row>
    <row r="626" spans="1:7" ht="21.25" customHeight="1" x14ac:dyDescent="0.15">
      <c r="A626" s="10" t="s">
        <v>688</v>
      </c>
      <c r="B626" s="180" t="s">
        <v>832</v>
      </c>
      <c r="C626" s="180" t="s">
        <v>87</v>
      </c>
      <c r="D626" s="85" t="str" cm="1">
        <f t="array" ref="D626">IFERROR(AVERAGE(B626:C626),"—")</f>
        <v>—</v>
      </c>
      <c r="E626" s="85"/>
      <c r="F626" s="179">
        <v>886667</v>
      </c>
      <c r="G626" s="180" t="s">
        <v>802</v>
      </c>
    </row>
    <row r="627" spans="1:7" ht="21.25" customHeight="1" x14ac:dyDescent="0.15">
      <c r="A627" s="10" t="s">
        <v>757</v>
      </c>
      <c r="B627" s="180" t="s">
        <v>832</v>
      </c>
      <c r="C627" s="180" t="s">
        <v>87</v>
      </c>
      <c r="D627" s="85" t="str" cm="1">
        <f t="array" ref="D627">IFERROR(AVERAGE(B627:C627),"—")</f>
        <v>—</v>
      </c>
      <c r="E627" s="85"/>
      <c r="F627" s="179">
        <v>886667</v>
      </c>
      <c r="G627" s="180" t="s">
        <v>802</v>
      </c>
    </row>
    <row r="628" spans="1:7" ht="21.25" customHeight="1" x14ac:dyDescent="0.15">
      <c r="A628" s="10" t="s">
        <v>516</v>
      </c>
      <c r="B628" s="180" t="s">
        <v>832</v>
      </c>
      <c r="C628" s="180" t="s">
        <v>87</v>
      </c>
      <c r="D628" s="85" t="str" cm="1">
        <f t="array" ref="D628">IFERROR(AVERAGE(B628:C628),"—")</f>
        <v>—</v>
      </c>
      <c r="E628" s="85"/>
      <c r="F628" s="179">
        <v>886667</v>
      </c>
      <c r="G628" s="180" t="s">
        <v>802</v>
      </c>
    </row>
    <row r="629" spans="1:7" ht="21.25" customHeight="1" x14ac:dyDescent="0.15">
      <c r="A629" s="10" t="s">
        <v>784</v>
      </c>
      <c r="B629" s="180" t="s">
        <v>832</v>
      </c>
      <c r="C629" s="180" t="s">
        <v>87</v>
      </c>
      <c r="D629" s="85" t="str" cm="1">
        <f t="array" ref="D629">IFERROR(AVERAGE(B629:C629),"—")</f>
        <v>—</v>
      </c>
      <c r="E629" s="85"/>
      <c r="F629" s="179">
        <v>886667</v>
      </c>
      <c r="G629" s="180" t="s">
        <v>802</v>
      </c>
    </row>
    <row r="630" spans="1:7" ht="21.25" customHeight="1" x14ac:dyDescent="0.15">
      <c r="A630" s="10" t="s">
        <v>403</v>
      </c>
      <c r="B630" s="180" t="s">
        <v>832</v>
      </c>
      <c r="C630" s="180" t="s">
        <v>87</v>
      </c>
      <c r="D630" s="85" t="str" cm="1">
        <f t="array" ref="D630">IFERROR(AVERAGE(B630:C630),"—")</f>
        <v>—</v>
      </c>
      <c r="E630" s="85"/>
      <c r="F630" s="179">
        <v>875000</v>
      </c>
      <c r="G630" s="180" t="s">
        <v>802</v>
      </c>
    </row>
    <row r="631" spans="1:7" ht="21.25" customHeight="1" x14ac:dyDescent="0.15">
      <c r="A631" s="10" t="s">
        <v>711</v>
      </c>
      <c r="B631" s="180" t="s">
        <v>832</v>
      </c>
      <c r="C631" s="180" t="s">
        <v>87</v>
      </c>
      <c r="D631" s="85" t="str" cm="1">
        <f t="array" ref="D631">IFERROR(AVERAGE(B631:C631),"—")</f>
        <v>—</v>
      </c>
      <c r="E631" s="85"/>
      <c r="F631" s="179">
        <v>875000</v>
      </c>
      <c r="G631" s="180" t="s">
        <v>802</v>
      </c>
    </row>
    <row r="632" spans="1:7" ht="21.25" customHeight="1" x14ac:dyDescent="0.15">
      <c r="A632" s="10" t="s">
        <v>743</v>
      </c>
      <c r="B632" s="180" t="s">
        <v>832</v>
      </c>
      <c r="C632" s="180" t="s">
        <v>87</v>
      </c>
      <c r="D632" s="85" t="str" cm="1">
        <f t="array" ref="D632">IFERROR(AVERAGE(B632:C632),"—")</f>
        <v>—</v>
      </c>
      <c r="E632" s="85"/>
      <c r="F632" s="179">
        <v>875000</v>
      </c>
      <c r="G632" s="180" t="s">
        <v>802</v>
      </c>
    </row>
    <row r="633" spans="1:7" ht="21.25" customHeight="1" x14ac:dyDescent="0.15">
      <c r="A633" s="10" t="s">
        <v>737</v>
      </c>
      <c r="B633" s="180" t="s">
        <v>832</v>
      </c>
      <c r="C633" s="180" t="s">
        <v>87</v>
      </c>
      <c r="D633" s="85" t="str" cm="1">
        <f t="array" ref="D633">IFERROR(AVERAGE(B633:C633),"—")</f>
        <v>—</v>
      </c>
      <c r="E633" s="85"/>
      <c r="F633" s="179">
        <v>875000</v>
      </c>
      <c r="G633" s="180" t="s">
        <v>802</v>
      </c>
    </row>
    <row r="634" spans="1:7" ht="21.25" customHeight="1" x14ac:dyDescent="0.15">
      <c r="A634" s="10" t="s">
        <v>778</v>
      </c>
      <c r="B634" s="180" t="s">
        <v>832</v>
      </c>
      <c r="C634" s="180" t="s">
        <v>87</v>
      </c>
      <c r="D634" s="85" t="str" cm="1">
        <f t="array" ref="D634">IFERROR(AVERAGE(B634:C634),"—")</f>
        <v>—</v>
      </c>
      <c r="E634" s="85"/>
      <c r="F634" s="179">
        <v>875000</v>
      </c>
      <c r="G634" s="180" t="s">
        <v>802</v>
      </c>
    </row>
    <row r="635" spans="1:7" ht="21.25" customHeight="1" x14ac:dyDescent="0.15">
      <c r="A635" s="10" t="s">
        <v>580</v>
      </c>
      <c r="B635" s="180" t="s">
        <v>832</v>
      </c>
      <c r="C635" s="180" t="s">
        <v>87</v>
      </c>
      <c r="D635" s="85" t="str" cm="1">
        <f t="array" ref="D635">IFERROR(AVERAGE(B635:C635),"—")</f>
        <v>—</v>
      </c>
      <c r="E635" s="85"/>
      <c r="F635" s="179">
        <v>875000</v>
      </c>
      <c r="G635" s="180" t="s">
        <v>802</v>
      </c>
    </row>
    <row r="636" spans="1:7" ht="21.25" customHeight="1" x14ac:dyDescent="0.15">
      <c r="A636" s="10" t="s">
        <v>623</v>
      </c>
      <c r="B636" s="180" t="s">
        <v>832</v>
      </c>
      <c r="C636" s="180" t="s">
        <v>87</v>
      </c>
      <c r="D636" s="85" t="str" cm="1">
        <f t="array" ref="D636">IFERROR(AVERAGE(B636:C636),"—")</f>
        <v>—</v>
      </c>
      <c r="E636" s="85"/>
      <c r="F636" s="179">
        <v>875000</v>
      </c>
      <c r="G636" s="180" t="s">
        <v>802</v>
      </c>
    </row>
    <row r="637" spans="1:7" ht="21.25" customHeight="1" x14ac:dyDescent="0.15">
      <c r="A637" s="10" t="s">
        <v>678</v>
      </c>
      <c r="B637" s="180" t="s">
        <v>832</v>
      </c>
      <c r="C637" s="180" t="s">
        <v>87</v>
      </c>
      <c r="D637" s="85" t="str" cm="1">
        <f t="array" ref="D637">IFERROR(AVERAGE(B637:C637),"—")</f>
        <v>—</v>
      </c>
      <c r="E637" s="85"/>
      <c r="F637" s="179">
        <v>875000</v>
      </c>
      <c r="G637" s="180" t="s">
        <v>802</v>
      </c>
    </row>
    <row r="638" spans="1:7" ht="21.25" customHeight="1" x14ac:dyDescent="0.15">
      <c r="A638" s="10" t="s">
        <v>484</v>
      </c>
      <c r="B638" s="180" t="s">
        <v>832</v>
      </c>
      <c r="C638" s="180" t="s">
        <v>87</v>
      </c>
      <c r="D638" s="85" t="str" cm="1">
        <f t="array" ref="D638">IFERROR(AVERAGE(B638:C638),"—")</f>
        <v>—</v>
      </c>
      <c r="E638" s="85"/>
      <c r="F638" s="179">
        <v>865000</v>
      </c>
      <c r="G638" s="180" t="s">
        <v>802</v>
      </c>
    </row>
    <row r="639" spans="1:7" ht="21.25" customHeight="1" x14ac:dyDescent="0.15">
      <c r="A639" s="10" t="s">
        <v>549</v>
      </c>
      <c r="B639" s="180" t="s">
        <v>832</v>
      </c>
      <c r="C639" s="180" t="s">
        <v>87</v>
      </c>
      <c r="D639" s="85" t="str" cm="1">
        <f t="array" ref="D639">IFERROR(AVERAGE(B639:C639),"—")</f>
        <v>—</v>
      </c>
      <c r="E639" s="85"/>
      <c r="F639" s="179">
        <v>865000</v>
      </c>
      <c r="G639" s="180" t="s">
        <v>802</v>
      </c>
    </row>
    <row r="640" spans="1:7" ht="21.25" customHeight="1" x14ac:dyDescent="0.15">
      <c r="A640" s="10" t="s">
        <v>763</v>
      </c>
      <c r="B640" s="180" t="s">
        <v>832</v>
      </c>
      <c r="C640" s="180" t="s">
        <v>87</v>
      </c>
      <c r="D640" s="85" t="str" cm="1">
        <f t="array" ref="D640">IFERROR(AVERAGE(B640:C640),"—")</f>
        <v>—</v>
      </c>
      <c r="E640" s="85"/>
      <c r="F640" s="179">
        <v>850000</v>
      </c>
      <c r="G640" s="180" t="s">
        <v>802</v>
      </c>
    </row>
    <row r="641" spans="1:7" ht="21.25" customHeight="1" x14ac:dyDescent="0.15">
      <c r="A641" s="10" t="s">
        <v>793</v>
      </c>
      <c r="B641" s="180" t="s">
        <v>832</v>
      </c>
      <c r="C641" s="180" t="s">
        <v>87</v>
      </c>
      <c r="D641" s="85" t="str" cm="1">
        <f t="array" ref="D641">IFERROR(AVERAGE(B641:C641),"—")</f>
        <v>—</v>
      </c>
      <c r="E641" s="85"/>
      <c r="F641" s="179">
        <v>850000</v>
      </c>
      <c r="G641" s="180" t="s">
        <v>802</v>
      </c>
    </row>
    <row r="642" spans="1:7" ht="21.25" customHeight="1" x14ac:dyDescent="0.15">
      <c r="A642" s="10" t="s">
        <v>626</v>
      </c>
      <c r="B642" s="180" t="s">
        <v>832</v>
      </c>
      <c r="C642" s="180" t="s">
        <v>87</v>
      </c>
      <c r="D642" s="180" t="s">
        <v>832</v>
      </c>
      <c r="E642" s="85"/>
      <c r="F642" s="179">
        <v>850000</v>
      </c>
      <c r="G642" s="180" t="s">
        <v>802</v>
      </c>
    </row>
    <row r="643" spans="1:7" ht="21.25" customHeight="1" x14ac:dyDescent="0.15">
      <c r="A643" s="10" t="s">
        <v>794</v>
      </c>
      <c r="B643" s="180" t="s">
        <v>832</v>
      </c>
      <c r="C643" s="180" t="s">
        <v>87</v>
      </c>
      <c r="D643" s="85" t="str" cm="1">
        <f t="array" ref="D643">IFERROR(AVERAGE(B643:C643),"—")</f>
        <v>—</v>
      </c>
      <c r="E643" s="85"/>
      <c r="F643" s="179">
        <v>850000</v>
      </c>
      <c r="G643" s="180" t="s">
        <v>802</v>
      </c>
    </row>
    <row r="644" spans="1:7" ht="21.25" customHeight="1" x14ac:dyDescent="0.15">
      <c r="A644" s="10" t="s">
        <v>796</v>
      </c>
      <c r="B644" s="180" t="s">
        <v>832</v>
      </c>
      <c r="C644" s="180" t="s">
        <v>87</v>
      </c>
      <c r="D644" s="85" t="str" cm="1">
        <f t="array" ref="D644">IFERROR(AVERAGE(B644:C644),"—")</f>
        <v>—</v>
      </c>
      <c r="E644" s="85"/>
      <c r="F644" s="179">
        <v>850000</v>
      </c>
      <c r="G644" s="180" t="s">
        <v>802</v>
      </c>
    </row>
    <row r="645" spans="1:7" ht="21.25" customHeight="1" x14ac:dyDescent="0.15">
      <c r="A645" s="10" t="s">
        <v>779</v>
      </c>
      <c r="B645" s="180" t="s">
        <v>832</v>
      </c>
      <c r="C645" s="180" t="s">
        <v>87</v>
      </c>
      <c r="D645" s="85" t="str" cm="1">
        <f t="array" ref="D645">IFERROR(AVERAGE(B645:C645),"—")</f>
        <v>—</v>
      </c>
      <c r="E645" s="85"/>
      <c r="F645" s="179">
        <v>825000</v>
      </c>
      <c r="G645" s="180" t="s">
        <v>802</v>
      </c>
    </row>
    <row r="646" spans="1:7" ht="21.25" customHeight="1" x14ac:dyDescent="0.15">
      <c r="A646" s="10" t="s">
        <v>768</v>
      </c>
      <c r="B646" s="180" t="s">
        <v>832</v>
      </c>
      <c r="C646" s="180" t="s">
        <v>87</v>
      </c>
      <c r="D646" s="85" t="str" cm="1">
        <f t="array" ref="D646">IFERROR(AVERAGE(B646:C646),"—")</f>
        <v>—</v>
      </c>
      <c r="E646" s="85"/>
      <c r="F646" s="179">
        <v>812500</v>
      </c>
      <c r="G646" s="180" t="s">
        <v>802</v>
      </c>
    </row>
    <row r="647" spans="1:7" ht="21.25" customHeight="1" x14ac:dyDescent="0.15">
      <c r="A647" s="10" t="s">
        <v>750</v>
      </c>
      <c r="B647" s="180" t="s">
        <v>832</v>
      </c>
      <c r="C647" s="180" t="s">
        <v>87</v>
      </c>
      <c r="D647" s="85" t="str" cm="1">
        <f t="array" ref="D647">IFERROR(AVERAGE(B647:C647),"—")</f>
        <v>—</v>
      </c>
      <c r="E647" s="85"/>
      <c r="F647" s="179">
        <v>812500</v>
      </c>
      <c r="G647" s="180" t="s">
        <v>802</v>
      </c>
    </row>
    <row r="648" spans="1:7" ht="21.25" customHeight="1" x14ac:dyDescent="0.15">
      <c r="A648" s="10" t="s">
        <v>464</v>
      </c>
      <c r="B648" s="180" t="s">
        <v>832</v>
      </c>
      <c r="C648" s="180" t="s">
        <v>87</v>
      </c>
      <c r="D648" s="85" t="str" cm="1">
        <f t="array" ref="D648">IFERROR(AVERAGE(B648:C648),"—")</f>
        <v>—</v>
      </c>
      <c r="E648" s="85"/>
      <c r="F648" s="179">
        <v>812500</v>
      </c>
      <c r="G648" s="180" t="s">
        <v>802</v>
      </c>
    </row>
    <row r="649" spans="1:7" ht="21.25" customHeight="1" x14ac:dyDescent="0.15">
      <c r="A649" s="10" t="s">
        <v>789</v>
      </c>
      <c r="B649" s="180" t="s">
        <v>832</v>
      </c>
      <c r="C649" s="180" t="s">
        <v>87</v>
      </c>
      <c r="D649" s="85" t="str" cm="1">
        <f t="array" ref="D649">IFERROR(AVERAGE(B649:C649),"—")</f>
        <v>—</v>
      </c>
      <c r="E649" s="85"/>
      <c r="F649" s="179">
        <v>812500</v>
      </c>
      <c r="G649" s="180" t="s">
        <v>802</v>
      </c>
    </row>
    <row r="650" spans="1:7" ht="21.25" customHeight="1" x14ac:dyDescent="0.15">
      <c r="A650" s="10" t="s">
        <v>503</v>
      </c>
      <c r="B650" s="180" t="s">
        <v>832</v>
      </c>
      <c r="C650" s="180" t="s">
        <v>87</v>
      </c>
      <c r="D650" s="85" t="str" cm="1">
        <f t="array" ref="D650">IFERROR(AVERAGE(B650:C650),"—")</f>
        <v>—</v>
      </c>
      <c r="E650" s="85"/>
      <c r="F650" s="179">
        <v>812000</v>
      </c>
      <c r="G650" s="180" t="s">
        <v>802</v>
      </c>
    </row>
    <row r="651" spans="1:7" ht="21.25" customHeight="1" x14ac:dyDescent="0.15">
      <c r="A651" s="10" t="s">
        <v>772</v>
      </c>
      <c r="B651" s="180" t="s">
        <v>832</v>
      </c>
      <c r="C651" s="180" t="s">
        <v>87</v>
      </c>
      <c r="D651" s="85" t="str" cm="1">
        <f t="array" ref="D651">IFERROR(AVERAGE(B651:C651),"—")</f>
        <v>—</v>
      </c>
      <c r="E651" s="85"/>
      <c r="F651" s="179">
        <v>812000</v>
      </c>
      <c r="G651" s="180" t="s">
        <v>802</v>
      </c>
    </row>
    <row r="652" spans="1:7" ht="21.25" customHeight="1" x14ac:dyDescent="0.15">
      <c r="A652" s="10" t="s">
        <v>747</v>
      </c>
      <c r="B652" s="180" t="s">
        <v>832</v>
      </c>
      <c r="C652" s="180" t="s">
        <v>87</v>
      </c>
      <c r="D652" s="85" t="str" cm="1">
        <f t="array" ref="D652">IFERROR(AVERAGE(B652:C652),"—")</f>
        <v>—</v>
      </c>
      <c r="E652" s="85"/>
      <c r="F652" s="179">
        <v>800000</v>
      </c>
      <c r="G652" s="180" t="s">
        <v>802</v>
      </c>
    </row>
    <row r="653" spans="1:7" ht="21.25" customHeight="1" x14ac:dyDescent="0.15">
      <c r="A653" s="10" t="s">
        <v>682</v>
      </c>
      <c r="B653" s="180" t="s">
        <v>832</v>
      </c>
      <c r="C653" s="180" t="s">
        <v>87</v>
      </c>
      <c r="D653" s="85" t="str" cm="1">
        <f t="array" ref="D653">IFERROR(AVERAGE(B653:C653),"—")</f>
        <v>—</v>
      </c>
      <c r="E653" s="85"/>
      <c r="F653" s="179"/>
      <c r="G653" s="180" t="s">
        <v>802</v>
      </c>
    </row>
    <row r="654" spans="1:7" ht="21.25" customHeight="1" x14ac:dyDescent="0.15">
      <c r="A654" s="10" t="s">
        <v>632</v>
      </c>
      <c r="B654" s="180" t="s">
        <v>832</v>
      </c>
      <c r="C654" s="180" t="s">
        <v>87</v>
      </c>
      <c r="D654" s="85" t="str" cm="1">
        <f t="array" ref="D654">IFERROR(AVERAGE(B654:C654),"—")</f>
        <v>—</v>
      </c>
      <c r="E654" s="85"/>
      <c r="F654" s="179"/>
      <c r="G654" s="180" t="s">
        <v>802</v>
      </c>
    </row>
    <row r="655" spans="1:7" ht="21.25" customHeight="1" x14ac:dyDescent="0.15">
      <c r="A655" s="10" t="s">
        <v>651</v>
      </c>
      <c r="B655" s="180" t="s">
        <v>832</v>
      </c>
      <c r="C655" s="180" t="s">
        <v>87</v>
      </c>
      <c r="D655" s="85" t="str" cm="1">
        <f t="array" ref="D655">IFERROR(AVERAGE(B655:C655),"—")</f>
        <v>—</v>
      </c>
      <c r="E655" s="85"/>
      <c r="F655" s="179">
        <v>3000000</v>
      </c>
      <c r="G655" s="180" t="s">
        <v>802</v>
      </c>
    </row>
    <row r="656" spans="1:7" ht="21.25" customHeight="1" x14ac:dyDescent="0.15">
      <c r="A656" s="10" t="s">
        <v>665</v>
      </c>
      <c r="B656" s="180" t="s">
        <v>832</v>
      </c>
      <c r="C656" s="180" t="s">
        <v>87</v>
      </c>
      <c r="D656" s="85" t="str" cm="1">
        <f t="array" ref="D656">IFERROR(AVERAGE(B656:C656),"—")</f>
        <v>—</v>
      </c>
      <c r="E656" s="85"/>
      <c r="F656" s="179">
        <v>2750000</v>
      </c>
      <c r="G656" s="180" t="s">
        <v>802</v>
      </c>
    </row>
    <row r="657" spans="1:7" ht="21.25" customHeight="1" x14ac:dyDescent="0.15">
      <c r="A657" s="10" t="s">
        <v>655</v>
      </c>
      <c r="B657" s="180" t="s">
        <v>832</v>
      </c>
      <c r="C657" s="180" t="s">
        <v>87</v>
      </c>
      <c r="D657" s="85" t="str" cm="1">
        <f t="array" ref="D657">IFERROR(AVERAGE(B657:C657),"—")</f>
        <v>—</v>
      </c>
      <c r="E657" s="85"/>
      <c r="F657" s="179">
        <v>2200000</v>
      </c>
      <c r="G657" s="180" t="s">
        <v>802</v>
      </c>
    </row>
    <row r="658" spans="1:7" ht="21.25" customHeight="1" x14ac:dyDescent="0.15">
      <c r="A658" s="10" t="s">
        <v>663</v>
      </c>
      <c r="B658" s="180" t="s">
        <v>832</v>
      </c>
      <c r="C658" s="180" t="s">
        <v>87</v>
      </c>
      <c r="D658" s="85" t="str" cm="1">
        <f t="array" ref="D658">IFERROR(AVERAGE(B658:C658),"—")</f>
        <v>—</v>
      </c>
      <c r="E658" s="85"/>
      <c r="F658" s="179">
        <v>1000000</v>
      </c>
      <c r="G658" s="180" t="s">
        <v>802</v>
      </c>
    </row>
    <row r="659" spans="1:7" ht="21.25" customHeight="1" x14ac:dyDescent="0.15">
      <c r="A659" s="10" t="s">
        <v>618</v>
      </c>
      <c r="B659" s="180" t="s">
        <v>832</v>
      </c>
      <c r="C659" s="180" t="s">
        <v>87</v>
      </c>
      <c r="D659" s="85" t="str" cm="1">
        <f t="array" ref="D659">IFERROR(AVERAGE(B659:C659),"—")</f>
        <v>—</v>
      </c>
      <c r="E659" s="85"/>
      <c r="F659" s="179">
        <v>812500</v>
      </c>
      <c r="G659" s="180" t="s">
        <v>802</v>
      </c>
    </row>
    <row r="660" spans="1:7" ht="21.25" customHeight="1" x14ac:dyDescent="0.15">
      <c r="A660" s="10" t="s">
        <v>392</v>
      </c>
      <c r="B660" s="180" t="s">
        <v>832</v>
      </c>
      <c r="C660" s="180" t="s">
        <v>87</v>
      </c>
      <c r="D660" s="85" t="str" cm="1">
        <f t="array" ref="D660">IFERROR(AVERAGE(B660:C660),"—")</f>
        <v>—</v>
      </c>
      <c r="E660" s="85"/>
      <c r="F660" s="179">
        <v>6250000</v>
      </c>
      <c r="G660" s="180" t="s">
        <v>802</v>
      </c>
    </row>
    <row r="661" spans="1:7" ht="21.25" customHeight="1" x14ac:dyDescent="0.15">
      <c r="A661" s="10" t="s">
        <v>696</v>
      </c>
      <c r="B661" s="180" t="s">
        <v>832</v>
      </c>
      <c r="C661" s="180" t="s">
        <v>87</v>
      </c>
      <c r="D661" s="85" t="str" cm="1">
        <f t="array" ref="D661">IFERROR(AVERAGE(B661:C661),"—")</f>
        <v>—</v>
      </c>
      <c r="E661" s="85"/>
      <c r="F661" s="179">
        <v>3500000</v>
      </c>
      <c r="G661" s="180" t="s">
        <v>802</v>
      </c>
    </row>
    <row r="662" spans="1:7" ht="21.25" customHeight="1" x14ac:dyDescent="0.15">
      <c r="A662" s="10" t="s">
        <v>674</v>
      </c>
      <c r="B662" s="180" t="s">
        <v>832</v>
      </c>
      <c r="C662" s="180" t="s">
        <v>87</v>
      </c>
      <c r="D662" s="85" t="str" cm="1">
        <f t="array" ref="D662">IFERROR(AVERAGE(B662:C662),"—")</f>
        <v>—</v>
      </c>
      <c r="E662" s="85"/>
      <c r="F662" s="179">
        <v>2500000</v>
      </c>
      <c r="G662" s="180" t="s">
        <v>802</v>
      </c>
    </row>
    <row r="663" spans="1:7" ht="21.25" customHeight="1" x14ac:dyDescent="0.15">
      <c r="A663" s="10" t="s">
        <v>508</v>
      </c>
      <c r="B663" s="180" t="s">
        <v>832</v>
      </c>
      <c r="C663" s="180" t="s">
        <v>87</v>
      </c>
      <c r="D663" s="85" t="str" cm="1">
        <f t="array" ref="D663">IFERROR(AVERAGE(B663:C663),"—")</f>
        <v>—</v>
      </c>
      <c r="E663" s="85"/>
      <c r="F663" s="179">
        <v>913333</v>
      </c>
      <c r="G663" s="180" t="s">
        <v>802</v>
      </c>
    </row>
    <row r="664" spans="1:7" ht="21.25" customHeight="1" x14ac:dyDescent="0.15">
      <c r="A664" s="10" t="s">
        <v>764</v>
      </c>
      <c r="B664" s="180" t="s">
        <v>832</v>
      </c>
      <c r="C664" s="180" t="s">
        <v>87</v>
      </c>
      <c r="D664" s="85" t="str" cm="1">
        <f t="array" ref="D664">IFERROR(AVERAGE(B664:C664),"—")</f>
        <v>—</v>
      </c>
      <c r="E664" s="85"/>
      <c r="F664" s="179">
        <v>837500</v>
      </c>
      <c r="G664" s="180" t="s">
        <v>802</v>
      </c>
    </row>
    <row r="665" spans="1:7" ht="21.25" customHeight="1" x14ac:dyDescent="0.15">
      <c r="A665" s="10" t="s">
        <v>560</v>
      </c>
      <c r="B665" s="180" t="s">
        <v>832</v>
      </c>
      <c r="C665" s="180" t="s">
        <v>87</v>
      </c>
      <c r="D665" s="85" t="str" cm="1">
        <f t="array" ref="D665">IFERROR(AVERAGE(B665:C665),"—")</f>
        <v>—</v>
      </c>
      <c r="E665" s="85"/>
      <c r="F665" s="179">
        <v>825000</v>
      </c>
      <c r="G665" s="180" t="s">
        <v>802</v>
      </c>
    </row>
    <row r="666" spans="1:7" ht="21.25" customHeight="1" x14ac:dyDescent="0.15">
      <c r="A666" s="10" t="s">
        <v>409</v>
      </c>
      <c r="B666" s="180" t="s">
        <v>832</v>
      </c>
      <c r="C666" s="178"/>
      <c r="D666" s="85" t="str" cm="1">
        <f t="array" ref="D666">IFERROR(AVERAGE(B666:C666),"—")</f>
        <v>—</v>
      </c>
      <c r="E666" s="85"/>
      <c r="F666" s="179">
        <v>4350000</v>
      </c>
      <c r="G666" s="180" t="s">
        <v>802</v>
      </c>
    </row>
    <row r="667" spans="1:7" ht="21.25" customHeight="1" x14ac:dyDescent="0.15">
      <c r="A667" s="10" t="s">
        <v>420</v>
      </c>
      <c r="B667" s="180" t="s">
        <v>832</v>
      </c>
      <c r="C667" s="178"/>
      <c r="D667" s="85" t="str" cm="1">
        <f t="array" ref="D667">IFERROR(AVERAGE(B667:C667),"—")</f>
        <v>—</v>
      </c>
      <c r="E667" s="85"/>
      <c r="F667" s="179">
        <v>4100000</v>
      </c>
      <c r="G667" s="180" t="s">
        <v>802</v>
      </c>
    </row>
    <row r="668" spans="1:7" ht="21.25" customHeight="1" x14ac:dyDescent="0.15">
      <c r="A668" s="10" t="s">
        <v>544</v>
      </c>
      <c r="B668" s="180" t="s">
        <v>832</v>
      </c>
      <c r="C668" s="178"/>
      <c r="D668" s="85" t="str" cm="1">
        <f t="array" ref="D668">IFERROR(AVERAGE(B668:C668),"—")</f>
        <v>—</v>
      </c>
      <c r="E668" s="85"/>
      <c r="F668" s="179">
        <v>3500000</v>
      </c>
      <c r="G668" s="180" t="s">
        <v>802</v>
      </c>
    </row>
    <row r="669" spans="1:7" ht="21.25" customHeight="1" x14ac:dyDescent="0.15">
      <c r="A669" s="10" t="s">
        <v>671</v>
      </c>
      <c r="B669" s="180" t="s">
        <v>832</v>
      </c>
      <c r="C669" s="178"/>
      <c r="D669" s="85" t="str" cm="1">
        <f t="array" ref="D669">IFERROR(AVERAGE(B669:C669),"—")</f>
        <v>—</v>
      </c>
      <c r="E669" s="85"/>
      <c r="F669" s="179">
        <v>1450000</v>
      </c>
      <c r="G669" s="180" t="s">
        <v>802</v>
      </c>
    </row>
    <row r="670" spans="1:7" ht="21.25" customHeight="1" x14ac:dyDescent="0.15">
      <c r="A670" s="10" t="s">
        <v>496</v>
      </c>
      <c r="B670" s="180" t="s">
        <v>832</v>
      </c>
      <c r="C670" s="178"/>
      <c r="D670" s="85" t="str" cm="1">
        <f t="array" ref="D670">IFERROR(AVERAGE(B670:C670),"—")</f>
        <v>—</v>
      </c>
      <c r="E670" s="85"/>
      <c r="F670" s="179">
        <v>1100000</v>
      </c>
      <c r="G670" s="180" t="s">
        <v>802</v>
      </c>
    </row>
    <row r="671" spans="1:7" ht="21.25" customHeight="1" x14ac:dyDescent="0.15">
      <c r="A671" s="10" t="s">
        <v>614</v>
      </c>
      <c r="B671" s="180" t="s">
        <v>832</v>
      </c>
      <c r="C671" s="180" t="s">
        <v>87</v>
      </c>
      <c r="D671" s="85"/>
      <c r="E671" s="85"/>
      <c r="F671" s="179">
        <v>1525000</v>
      </c>
      <c r="G671" s="180" t="s">
        <v>802</v>
      </c>
    </row>
  </sheetData>
  <pageMargins left="1" right="1" top="1" bottom="1" header="0.25" footer="0.25"/>
  <pageSetup orientation="portrait"/>
  <headerFooter>
    <oddFooter>&amp;C&amp;"Helvetica,Regular"&amp;12&amp;K000000&amp;P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E67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8" defaultRowHeight="16.25" customHeight="1" x14ac:dyDescent="0.15"/>
  <cols>
    <col min="1" max="1" width="28.33203125" style="1" customWidth="1"/>
    <col min="2" max="4" width="7.1640625" style="1" customWidth="1"/>
    <col min="5" max="22" width="8.33203125" style="1" customWidth="1"/>
    <col min="23" max="23" width="2.33203125" style="1" customWidth="1"/>
    <col min="24" max="28" width="7.1640625" style="1" customWidth="1"/>
    <col min="29" max="31" width="8.33203125" style="1" customWidth="1"/>
    <col min="32" max="32" width="8" style="1" customWidth="1"/>
    <col min="33" max="16384" width="8" style="1"/>
  </cols>
  <sheetData>
    <row r="1" spans="1:31" ht="21.25" customHeight="1" x14ac:dyDescent="0.2">
      <c r="A1" s="181"/>
      <c r="B1" s="182"/>
      <c r="C1" s="182"/>
      <c r="D1" s="182"/>
      <c r="E1" s="183"/>
      <c r="F1" s="208" t="s">
        <v>833</v>
      </c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182"/>
      <c r="X1" s="208" t="s">
        <v>834</v>
      </c>
      <c r="Y1" s="209"/>
      <c r="Z1" s="209"/>
      <c r="AA1" s="209"/>
      <c r="AB1" s="209"/>
      <c r="AC1" s="209"/>
      <c r="AD1" s="209"/>
      <c r="AE1" s="209"/>
    </row>
    <row r="2" spans="1:31" ht="21.25" customHeight="1" x14ac:dyDescent="0.15">
      <c r="A2" s="2" t="s">
        <v>835</v>
      </c>
      <c r="B2" s="3" t="s">
        <v>13</v>
      </c>
      <c r="C2" s="3" t="s">
        <v>26</v>
      </c>
      <c r="D2" s="3" t="s">
        <v>3</v>
      </c>
      <c r="E2" s="184" t="s">
        <v>104</v>
      </c>
      <c r="F2" s="184" t="s">
        <v>56</v>
      </c>
      <c r="G2" s="184" t="s">
        <v>105</v>
      </c>
      <c r="H2" s="184" t="s">
        <v>106</v>
      </c>
      <c r="I2" s="184" t="s">
        <v>107</v>
      </c>
      <c r="J2" s="184" t="s">
        <v>108</v>
      </c>
      <c r="K2" s="184" t="s">
        <v>64</v>
      </c>
      <c r="L2" s="184" t="s">
        <v>68</v>
      </c>
      <c r="M2" s="184" t="s">
        <v>109</v>
      </c>
      <c r="N2" s="184" t="s">
        <v>110</v>
      </c>
      <c r="O2" s="184" t="s">
        <v>111</v>
      </c>
      <c r="P2" s="184" t="s">
        <v>112</v>
      </c>
      <c r="Q2" s="184" t="s">
        <v>113</v>
      </c>
      <c r="R2" s="184" t="s">
        <v>114</v>
      </c>
      <c r="S2" s="184" t="s">
        <v>115</v>
      </c>
      <c r="T2" s="184" t="s">
        <v>116</v>
      </c>
      <c r="U2" s="184" t="s">
        <v>117</v>
      </c>
      <c r="V2" s="184" t="s">
        <v>118</v>
      </c>
      <c r="W2" s="185"/>
      <c r="X2" s="184" t="s">
        <v>104</v>
      </c>
      <c r="Y2" s="184" t="s">
        <v>119</v>
      </c>
      <c r="Z2" s="184" t="s">
        <v>120</v>
      </c>
      <c r="AA2" s="184" t="s">
        <v>121</v>
      </c>
      <c r="AB2" s="184" t="s">
        <v>122</v>
      </c>
      <c r="AC2" s="184" t="s">
        <v>123</v>
      </c>
      <c r="AD2" s="184" t="s">
        <v>125</v>
      </c>
      <c r="AE2" s="184" t="s">
        <v>124</v>
      </c>
    </row>
    <row r="3" spans="1:31" ht="21.25" customHeight="1" x14ac:dyDescent="0.15">
      <c r="A3" s="10" t="s">
        <v>129</v>
      </c>
      <c r="B3" s="186" t="s">
        <v>836</v>
      </c>
      <c r="C3" s="187">
        <v>29</v>
      </c>
      <c r="D3" s="186" t="s">
        <v>824</v>
      </c>
      <c r="E3" s="90">
        <v>81.367500000000007</v>
      </c>
      <c r="F3" s="188">
        <v>21.954284206119802</v>
      </c>
      <c r="G3" s="189">
        <v>0.48593708523726897</v>
      </c>
      <c r="H3" s="189">
        <v>1.1201819821460299</v>
      </c>
      <c r="I3" s="189">
        <v>1.6061190673832999</v>
      </c>
      <c r="J3" s="189">
        <v>3.4782308153731099</v>
      </c>
      <c r="K3" s="189">
        <v>0.15189165177718</v>
      </c>
      <c r="L3" s="189">
        <v>0.624625945079616</v>
      </c>
      <c r="M3" s="189">
        <v>2.7130625405732498E-3</v>
      </c>
      <c r="N3" s="189">
        <v>2.9971673092802301E-3</v>
      </c>
      <c r="O3" s="189">
        <v>0.35848356221585398</v>
      </c>
      <c r="P3" s="189">
        <v>0.58458985309820199</v>
      </c>
      <c r="Q3" s="189">
        <v>0.12826935774139001</v>
      </c>
      <c r="R3" s="189">
        <v>0.46681269079485199</v>
      </c>
      <c r="S3" s="189">
        <v>8.5302151244411401E-2</v>
      </c>
      <c r="T3" s="189">
        <v>5.3988215870014704</v>
      </c>
      <c r="U3" s="189">
        <v>5.5615944258477903</v>
      </c>
      <c r="V3" s="189">
        <v>0.49257451365643901</v>
      </c>
      <c r="W3" s="189"/>
      <c r="X3" s="90"/>
      <c r="Y3" s="188"/>
      <c r="Z3" s="188"/>
      <c r="AA3" s="188"/>
      <c r="AB3" s="188"/>
      <c r="AC3" s="188"/>
      <c r="AD3" s="190"/>
      <c r="AE3" s="189"/>
    </row>
    <row r="4" spans="1:31" ht="21.25" customHeight="1" x14ac:dyDescent="0.15">
      <c r="A4" s="10" t="s">
        <v>130</v>
      </c>
      <c r="B4" s="186" t="s">
        <v>837</v>
      </c>
      <c r="C4" s="187">
        <v>33</v>
      </c>
      <c r="D4" s="186" t="s">
        <v>826</v>
      </c>
      <c r="E4" s="90">
        <v>82.314999999999998</v>
      </c>
      <c r="F4" s="188">
        <v>20.2639851811557</v>
      </c>
      <c r="G4" s="189">
        <v>0.50136256597668205</v>
      </c>
      <c r="H4" s="189">
        <v>1.04371034202414</v>
      </c>
      <c r="I4" s="189">
        <v>1.5450729080008201</v>
      </c>
      <c r="J4" s="189">
        <v>3.1253090648079001</v>
      </c>
      <c r="K4" s="189">
        <v>0.11413554905013901</v>
      </c>
      <c r="L4" s="189">
        <v>0.52973960725195302</v>
      </c>
      <c r="M4" s="189">
        <v>7.19234510936699E-4</v>
      </c>
      <c r="N4" s="189">
        <v>8.0067474698201501E-4</v>
      </c>
      <c r="O4" s="189">
        <v>0.40906770745265703</v>
      </c>
      <c r="P4" s="189">
        <v>0.45171598980794497</v>
      </c>
      <c r="Q4" s="189">
        <v>0.15850908282338899</v>
      </c>
      <c r="R4" s="189">
        <v>0.430933456650543</v>
      </c>
      <c r="S4" s="189">
        <v>8.8996587541063904E-2</v>
      </c>
      <c r="T4" s="189">
        <v>8.8796897891164801E-3</v>
      </c>
      <c r="U4" s="189">
        <v>2.0302107756992999E-2</v>
      </c>
      <c r="V4" s="189">
        <v>0.304288650316551</v>
      </c>
      <c r="W4" s="189"/>
      <c r="X4" s="90"/>
      <c r="Y4" s="188"/>
      <c r="Z4" s="188"/>
      <c r="AA4" s="188"/>
      <c r="AB4" s="188"/>
      <c r="AC4" s="188"/>
      <c r="AD4" s="190"/>
      <c r="AE4" s="189"/>
    </row>
    <row r="5" spans="1:31" ht="21.25" customHeight="1" x14ac:dyDescent="0.15">
      <c r="A5" s="10" t="s">
        <v>127</v>
      </c>
      <c r="B5" s="186" t="s">
        <v>838</v>
      </c>
      <c r="C5" s="187">
        <v>30</v>
      </c>
      <c r="D5" s="186" t="s">
        <v>824</v>
      </c>
      <c r="E5" s="90">
        <v>83.262500000000003</v>
      </c>
      <c r="F5" s="188">
        <v>21.988625604725598</v>
      </c>
      <c r="G5" s="189">
        <v>0.54862654635197405</v>
      </c>
      <c r="H5" s="189">
        <v>0.93438596422668996</v>
      </c>
      <c r="I5" s="189">
        <v>1.48301251057866</v>
      </c>
      <c r="J5" s="189">
        <v>4.21926416820975</v>
      </c>
      <c r="K5" s="189">
        <v>0.12337034075686799</v>
      </c>
      <c r="L5" s="189">
        <v>0.41404883310377399</v>
      </c>
      <c r="M5" s="189">
        <v>1.76397909825415E-4</v>
      </c>
      <c r="N5" s="189">
        <v>2.8761247032582302E-4</v>
      </c>
      <c r="O5" s="189">
        <v>0.53872997096975594</v>
      </c>
      <c r="P5" s="189">
        <v>0.69802727131903797</v>
      </c>
      <c r="Q5" s="189">
        <v>0.16898977513291699</v>
      </c>
      <c r="R5" s="189">
        <v>0.40722790951440802</v>
      </c>
      <c r="S5" s="189">
        <v>9.9020075422771095E-2</v>
      </c>
      <c r="T5" s="189">
        <v>8.2149605419719904</v>
      </c>
      <c r="U5" s="189">
        <v>8.3974505678918892</v>
      </c>
      <c r="V5" s="189">
        <v>0.49450741904010698</v>
      </c>
      <c r="W5" s="189"/>
      <c r="X5" s="90"/>
      <c r="Y5" s="188"/>
      <c r="Z5" s="188"/>
      <c r="AA5" s="188"/>
      <c r="AB5" s="188"/>
      <c r="AC5" s="188"/>
      <c r="AD5" s="190"/>
      <c r="AE5" s="189"/>
    </row>
    <row r="6" spans="1:31" ht="21.25" customHeight="1" x14ac:dyDescent="0.15">
      <c r="A6" s="10" t="s">
        <v>138</v>
      </c>
      <c r="B6" s="186" t="s">
        <v>836</v>
      </c>
      <c r="C6" s="187">
        <v>30</v>
      </c>
      <c r="D6" s="186" t="s">
        <v>839</v>
      </c>
      <c r="E6" s="90">
        <v>79.400000000000006</v>
      </c>
      <c r="F6" s="188">
        <v>21.072409363542398</v>
      </c>
      <c r="G6" s="189">
        <v>0.57065605872362501</v>
      </c>
      <c r="H6" s="189">
        <v>0.83688048893894196</v>
      </c>
      <c r="I6" s="189">
        <v>1.4075365476625701</v>
      </c>
      <c r="J6" s="189">
        <v>2.93592320210715</v>
      </c>
      <c r="K6" s="189">
        <v>0.245478661020681</v>
      </c>
      <c r="L6" s="189">
        <v>0.575478811109008</v>
      </c>
      <c r="M6" s="189">
        <v>6.3806083338971095E-4</v>
      </c>
      <c r="N6" s="189">
        <v>2.0955818379170201E-3</v>
      </c>
      <c r="O6" s="189">
        <v>0.30142231473942699</v>
      </c>
      <c r="P6" s="189">
        <v>0.49601636985349401</v>
      </c>
      <c r="Q6" s="189">
        <v>0.116514459926022</v>
      </c>
      <c r="R6" s="189">
        <v>0.50258100243853898</v>
      </c>
      <c r="S6" s="189">
        <v>0.100173851530624</v>
      </c>
      <c r="T6" s="189">
        <v>9.4501536832095105</v>
      </c>
      <c r="U6" s="189">
        <v>7.4010390220311102</v>
      </c>
      <c r="V6" s="189">
        <v>0.56080028568367002</v>
      </c>
      <c r="W6" s="189"/>
      <c r="X6" s="90"/>
      <c r="Y6" s="188"/>
      <c r="Z6" s="188"/>
      <c r="AA6" s="188"/>
      <c r="AB6" s="188"/>
      <c r="AC6" s="188"/>
      <c r="AD6" s="190"/>
      <c r="AE6" s="189"/>
    </row>
    <row r="7" spans="1:31" ht="21.25" customHeight="1" x14ac:dyDescent="0.15">
      <c r="A7" s="10" t="s">
        <v>134</v>
      </c>
      <c r="B7" s="186" t="s">
        <v>840</v>
      </c>
      <c r="C7" s="187">
        <v>20</v>
      </c>
      <c r="D7" s="186" t="s">
        <v>824</v>
      </c>
      <c r="E7" s="90">
        <v>81.78</v>
      </c>
      <c r="F7" s="188">
        <v>21.436660318216401</v>
      </c>
      <c r="G7" s="189">
        <v>0.51166638659781105</v>
      </c>
      <c r="H7" s="189">
        <v>0.79258744359066602</v>
      </c>
      <c r="I7" s="189">
        <v>1.3042538301884801</v>
      </c>
      <c r="J7" s="189">
        <v>3.5171813482140699</v>
      </c>
      <c r="K7" s="189">
        <v>0.11939071982024101</v>
      </c>
      <c r="L7" s="189">
        <v>0.40024069939373502</v>
      </c>
      <c r="M7" s="189">
        <v>1.0926426255454E-3</v>
      </c>
      <c r="N7" s="189">
        <v>1.7741047563389299E-3</v>
      </c>
      <c r="O7" s="189">
        <v>0.67919625528884797</v>
      </c>
      <c r="P7" s="189">
        <v>0.64372990636338401</v>
      </c>
      <c r="Q7" s="189">
        <v>-1.39900201524317E-2</v>
      </c>
      <c r="R7" s="189">
        <v>0.51115313465156098</v>
      </c>
      <c r="S7" s="189">
        <v>7.1546074693231196E-2</v>
      </c>
      <c r="T7" s="189">
        <v>7.6704123984335899</v>
      </c>
      <c r="U7" s="189">
        <v>8.1577334119698506</v>
      </c>
      <c r="V7" s="189">
        <v>0.48460587173717001</v>
      </c>
      <c r="W7" s="189"/>
      <c r="X7" s="90"/>
      <c r="Y7" s="188"/>
      <c r="Z7" s="188"/>
      <c r="AA7" s="188"/>
      <c r="AB7" s="188"/>
      <c r="AC7" s="188"/>
      <c r="AD7" s="190"/>
      <c r="AE7" s="189"/>
    </row>
    <row r="8" spans="1:31" ht="21.25" customHeight="1" x14ac:dyDescent="0.15">
      <c r="A8" s="10" t="s">
        <v>136</v>
      </c>
      <c r="B8" s="186" t="s">
        <v>841</v>
      </c>
      <c r="C8" s="187">
        <v>30</v>
      </c>
      <c r="D8" s="186" t="s">
        <v>826</v>
      </c>
      <c r="E8" s="90">
        <v>83.142499999999998</v>
      </c>
      <c r="F8" s="188">
        <v>20.6078497051314</v>
      </c>
      <c r="G8" s="189">
        <v>0.44692085589988201</v>
      </c>
      <c r="H8" s="189">
        <v>0.81544756046656997</v>
      </c>
      <c r="I8" s="189">
        <v>1.2623684163664499</v>
      </c>
      <c r="J8" s="189">
        <v>3.6601033193957102</v>
      </c>
      <c r="K8" s="189">
        <v>0.116418804645357</v>
      </c>
      <c r="L8" s="189">
        <v>0.36417150863974601</v>
      </c>
      <c r="M8" s="189">
        <v>1.4093691320441899E-4</v>
      </c>
      <c r="N8" s="189">
        <v>2.33261699821649E-4</v>
      </c>
      <c r="O8" s="189">
        <v>0.39079168928601199</v>
      </c>
      <c r="P8" s="189">
        <v>0.968077216265118</v>
      </c>
      <c r="Q8" s="189">
        <v>1.0973436687125899E-2</v>
      </c>
      <c r="R8" s="189">
        <v>0.55799256459284197</v>
      </c>
      <c r="S8" s="189">
        <v>6.0165236677861597E-2</v>
      </c>
      <c r="T8" s="189">
        <v>4.2905360658314899E-2</v>
      </c>
      <c r="U8" s="189">
        <v>9.8751886374898498E-2</v>
      </c>
      <c r="V8" s="189">
        <v>0.30288150840779199</v>
      </c>
      <c r="W8" s="189"/>
      <c r="X8" s="90"/>
      <c r="Y8" s="188"/>
      <c r="Z8" s="188"/>
      <c r="AA8" s="188"/>
      <c r="AB8" s="188"/>
      <c r="AC8" s="188"/>
      <c r="AD8" s="190"/>
      <c r="AE8" s="189"/>
    </row>
    <row r="9" spans="1:31" ht="21.25" customHeight="1" x14ac:dyDescent="0.15">
      <c r="A9" s="10" t="s">
        <v>142</v>
      </c>
      <c r="B9" s="186" t="s">
        <v>842</v>
      </c>
      <c r="C9" s="187">
        <v>25</v>
      </c>
      <c r="D9" s="186" t="s">
        <v>839</v>
      </c>
      <c r="E9" s="90">
        <v>75.552499999999995</v>
      </c>
      <c r="F9" s="188">
        <v>21.695770611474099</v>
      </c>
      <c r="G9" s="189">
        <v>0.45820701711332701</v>
      </c>
      <c r="H9" s="189">
        <v>0.78815775016786305</v>
      </c>
      <c r="I9" s="189">
        <v>1.2463647672811899</v>
      </c>
      <c r="J9" s="189">
        <v>3.8654521687741301</v>
      </c>
      <c r="K9" s="189">
        <v>9.9831761086913898E-2</v>
      </c>
      <c r="L9" s="189">
        <v>0.42066228892644603</v>
      </c>
      <c r="M9" s="189">
        <v>6.7192992907004799E-3</v>
      </c>
      <c r="N9" s="189">
        <v>1.31790299996638E-2</v>
      </c>
      <c r="O9" s="189">
        <v>0.50802373507561704</v>
      </c>
      <c r="P9" s="189">
        <v>0.170085472423321</v>
      </c>
      <c r="Q9" s="189">
        <v>3.3220627438817402E-2</v>
      </c>
      <c r="R9" s="189">
        <v>0.27885996443198002</v>
      </c>
      <c r="S9" s="189">
        <v>6.8486286160768794E-2</v>
      </c>
      <c r="T9" s="189">
        <v>2.6813910285574698</v>
      </c>
      <c r="U9" s="189">
        <v>4.6452099133823497</v>
      </c>
      <c r="V9" s="189">
        <v>0.36598022054242502</v>
      </c>
      <c r="W9" s="189"/>
      <c r="X9" s="90"/>
      <c r="Y9" s="188"/>
      <c r="Z9" s="188"/>
      <c r="AA9" s="188"/>
      <c r="AB9" s="188"/>
      <c r="AC9" s="188"/>
      <c r="AD9" s="190"/>
      <c r="AE9" s="189"/>
    </row>
    <row r="10" spans="1:31" ht="21.25" customHeight="1" x14ac:dyDescent="0.15">
      <c r="A10" s="10" t="s">
        <v>139</v>
      </c>
      <c r="B10" s="186" t="s">
        <v>843</v>
      </c>
      <c r="C10" s="187">
        <v>29</v>
      </c>
      <c r="D10" s="186" t="s">
        <v>824</v>
      </c>
      <c r="E10" s="90">
        <v>80.022499999999994</v>
      </c>
      <c r="F10" s="188">
        <v>21.3966075610786</v>
      </c>
      <c r="G10" s="189">
        <v>0.39434109119103</v>
      </c>
      <c r="H10" s="189">
        <v>0.82473390035152105</v>
      </c>
      <c r="I10" s="189">
        <v>1.2190749915425501</v>
      </c>
      <c r="J10" s="189">
        <v>3.56570834565784</v>
      </c>
      <c r="K10" s="189">
        <v>7.0029785712275305E-2</v>
      </c>
      <c r="L10" s="189">
        <v>0.43114562729773898</v>
      </c>
      <c r="M10" s="189">
        <v>9.8982600733157709E-3</v>
      </c>
      <c r="N10" s="189">
        <v>2.8836287426835101E-2</v>
      </c>
      <c r="O10" s="189">
        <v>0.61071411664048303</v>
      </c>
      <c r="P10" s="189">
        <v>0.45805347021568898</v>
      </c>
      <c r="Q10" s="189">
        <v>0.104786071559848</v>
      </c>
      <c r="R10" s="189">
        <v>0.26319009340487898</v>
      </c>
      <c r="S10" s="189">
        <v>7.5231380851870394E-2</v>
      </c>
      <c r="T10" s="189">
        <v>7.44180499745387</v>
      </c>
      <c r="U10" s="189">
        <v>8.5633079450167209</v>
      </c>
      <c r="V10" s="189">
        <v>0.46496422888129502</v>
      </c>
      <c r="W10" s="189"/>
      <c r="X10" s="90"/>
      <c r="Y10" s="188"/>
      <c r="Z10" s="188"/>
      <c r="AA10" s="188"/>
      <c r="AB10" s="188"/>
      <c r="AC10" s="188"/>
      <c r="AD10" s="190"/>
      <c r="AE10" s="189"/>
    </row>
    <row r="11" spans="1:31" ht="21.25" customHeight="1" x14ac:dyDescent="0.15">
      <c r="A11" s="10" t="s">
        <v>148</v>
      </c>
      <c r="B11" s="186" t="s">
        <v>844</v>
      </c>
      <c r="C11" s="187">
        <v>29</v>
      </c>
      <c r="D11" s="186" t="s">
        <v>825</v>
      </c>
      <c r="E11" s="90">
        <v>76.982500000000002</v>
      </c>
      <c r="F11" s="188">
        <v>22.1293890835952</v>
      </c>
      <c r="G11" s="189">
        <v>0.57211359500310199</v>
      </c>
      <c r="H11" s="189">
        <v>0.62954840556768199</v>
      </c>
      <c r="I11" s="189">
        <v>1.2016620005707801</v>
      </c>
      <c r="J11" s="189">
        <v>3.4482269729902302</v>
      </c>
      <c r="K11" s="189">
        <v>0.20928130120980101</v>
      </c>
      <c r="L11" s="189">
        <v>0.41022108417444397</v>
      </c>
      <c r="M11" s="189">
        <v>3.6180385283847302E-5</v>
      </c>
      <c r="N11" s="189">
        <v>5.9324014438974799E-5</v>
      </c>
      <c r="O11" s="189">
        <v>0.39132788766662402</v>
      </c>
      <c r="P11" s="189">
        <v>0.63919435360019305</v>
      </c>
      <c r="Q11" s="189">
        <v>7.1513104031441302E-2</v>
      </c>
      <c r="R11" s="189">
        <v>0.42489405105896899</v>
      </c>
      <c r="S11" s="189">
        <v>9.3188433955120997E-2</v>
      </c>
      <c r="T11" s="189">
        <v>4.2937392461911998E-10</v>
      </c>
      <c r="U11" s="189">
        <v>2.7768872343503202E-2</v>
      </c>
      <c r="V11" s="189">
        <v>1.5462418231052801E-8</v>
      </c>
      <c r="W11" s="189"/>
      <c r="X11" s="90"/>
      <c r="Y11" s="188"/>
      <c r="Z11" s="188"/>
      <c r="AA11" s="188"/>
      <c r="AB11" s="188"/>
      <c r="AC11" s="188"/>
      <c r="AD11" s="190"/>
      <c r="AE11" s="189"/>
    </row>
    <row r="12" spans="1:31" ht="21.25" customHeight="1" x14ac:dyDescent="0.15">
      <c r="A12" s="10" t="s">
        <v>154</v>
      </c>
      <c r="B12" s="186" t="s">
        <v>838</v>
      </c>
      <c r="C12" s="187">
        <v>27</v>
      </c>
      <c r="D12" s="186" t="s">
        <v>826</v>
      </c>
      <c r="E12" s="90">
        <v>82.407499999999999</v>
      </c>
      <c r="F12" s="188">
        <v>21.233235823599699</v>
      </c>
      <c r="G12" s="189">
        <v>0.43737298661366703</v>
      </c>
      <c r="H12" s="189">
        <v>0.73219989648374895</v>
      </c>
      <c r="I12" s="189">
        <v>1.1695728830974199</v>
      </c>
      <c r="J12" s="189">
        <v>2.79767077828151</v>
      </c>
      <c r="K12" s="189">
        <v>0.126607258384073</v>
      </c>
      <c r="L12" s="189">
        <v>0.34066671434872398</v>
      </c>
      <c r="M12" s="189">
        <v>2.6052309461526199E-5</v>
      </c>
      <c r="N12" s="189">
        <v>4.2587552859635599E-5</v>
      </c>
      <c r="O12" s="189">
        <v>0.36306181500016599</v>
      </c>
      <c r="P12" s="189">
        <v>1.01501860505425</v>
      </c>
      <c r="Q12" s="189">
        <v>0.117770614806186</v>
      </c>
      <c r="R12" s="189">
        <v>0.41852958530332202</v>
      </c>
      <c r="S12" s="189">
        <v>7.89402306730215E-2</v>
      </c>
      <c r="T12" s="189">
        <v>0.28489952115483602</v>
      </c>
      <c r="U12" s="189">
        <v>0.44028906873404</v>
      </c>
      <c r="V12" s="189">
        <v>0.39286266376376999</v>
      </c>
      <c r="W12" s="189"/>
      <c r="X12" s="90"/>
      <c r="Y12" s="188"/>
      <c r="Z12" s="188"/>
      <c r="AA12" s="188"/>
      <c r="AB12" s="188"/>
      <c r="AC12" s="188"/>
      <c r="AD12" s="190"/>
      <c r="AE12" s="189"/>
    </row>
    <row r="13" spans="1:31" ht="21.25" customHeight="1" x14ac:dyDescent="0.15">
      <c r="A13" s="10" t="s">
        <v>159</v>
      </c>
      <c r="B13" s="186" t="s">
        <v>845</v>
      </c>
      <c r="C13" s="187">
        <v>30</v>
      </c>
      <c r="D13" s="186" t="s">
        <v>846</v>
      </c>
      <c r="E13" s="90">
        <v>81.012500000000003</v>
      </c>
      <c r="F13" s="188">
        <v>20.053323626682701</v>
      </c>
      <c r="G13" s="189">
        <v>0.48178290307479599</v>
      </c>
      <c r="H13" s="189">
        <v>0.65613278098556904</v>
      </c>
      <c r="I13" s="189">
        <v>1.1379156840603699</v>
      </c>
      <c r="J13" s="189">
        <v>2.9189307382452299</v>
      </c>
      <c r="K13" s="189">
        <v>0.12771168862431401</v>
      </c>
      <c r="L13" s="189">
        <v>0.36231386303857799</v>
      </c>
      <c r="M13" s="189">
        <v>1.3851885840415201E-3</v>
      </c>
      <c r="N13" s="189">
        <v>1.9371559411885399E-3</v>
      </c>
      <c r="O13" s="189">
        <v>0.39013374376214299</v>
      </c>
      <c r="P13" s="189">
        <v>0.26619579890441503</v>
      </c>
      <c r="Q13" s="189">
        <v>1.9426456994215101E-2</v>
      </c>
      <c r="R13" s="189">
        <v>0.32710998514843498</v>
      </c>
      <c r="S13" s="189">
        <v>6.57926199093955E-2</v>
      </c>
      <c r="T13" s="189">
        <v>0.64636683537063</v>
      </c>
      <c r="U13" s="189">
        <v>0.77889677163105198</v>
      </c>
      <c r="V13" s="189">
        <v>0.45350686862087802</v>
      </c>
      <c r="W13" s="189"/>
      <c r="X13" s="90"/>
      <c r="Y13" s="188"/>
      <c r="Z13" s="188"/>
      <c r="AA13" s="188"/>
      <c r="AB13" s="188"/>
      <c r="AC13" s="188"/>
      <c r="AD13" s="190"/>
      <c r="AE13" s="189"/>
    </row>
    <row r="14" spans="1:31" ht="21.25" customHeight="1" x14ac:dyDescent="0.15">
      <c r="A14" s="10" t="s">
        <v>144</v>
      </c>
      <c r="B14" s="186" t="s">
        <v>847</v>
      </c>
      <c r="C14" s="187">
        <v>27</v>
      </c>
      <c r="D14" s="186" t="s">
        <v>848</v>
      </c>
      <c r="E14" s="90">
        <v>84.03</v>
      </c>
      <c r="F14" s="188">
        <v>20.181435428582301</v>
      </c>
      <c r="G14" s="189">
        <v>0.49249750033408901</v>
      </c>
      <c r="H14" s="189">
        <v>0.64333376797241704</v>
      </c>
      <c r="I14" s="189">
        <v>1.1358312683065099</v>
      </c>
      <c r="J14" s="189">
        <v>3.3622884784856901</v>
      </c>
      <c r="K14" s="189">
        <v>0.16061610320885</v>
      </c>
      <c r="L14" s="189">
        <v>0.41550918093080902</v>
      </c>
      <c r="M14" s="189">
        <v>1.1239358283915899E-4</v>
      </c>
      <c r="N14" s="189">
        <v>1.84252861252962E-4</v>
      </c>
      <c r="O14" s="189">
        <v>0.46966585585042198</v>
      </c>
      <c r="P14" s="189">
        <v>0.66936805483748796</v>
      </c>
      <c r="Q14" s="189">
        <v>0.10586098113007</v>
      </c>
      <c r="R14" s="189">
        <v>0.354679632295619</v>
      </c>
      <c r="S14" s="189">
        <v>8.3292552832585506E-2</v>
      </c>
      <c r="T14" s="189">
        <v>1.6353703594489299E-2</v>
      </c>
      <c r="U14" s="189">
        <v>4.50859418005818E-2</v>
      </c>
      <c r="V14" s="189">
        <v>0.26617509735499301</v>
      </c>
      <c r="W14" s="189"/>
      <c r="X14" s="90"/>
      <c r="Y14" s="188"/>
      <c r="Z14" s="188"/>
      <c r="AA14" s="188"/>
      <c r="AB14" s="188"/>
      <c r="AC14" s="188"/>
      <c r="AD14" s="190"/>
      <c r="AE14" s="189"/>
    </row>
    <row r="15" spans="1:31" ht="21.25" customHeight="1" x14ac:dyDescent="0.15">
      <c r="A15" s="10" t="s">
        <v>182</v>
      </c>
      <c r="B15" s="186" t="s">
        <v>849</v>
      </c>
      <c r="C15" s="187">
        <v>34</v>
      </c>
      <c r="D15" s="186" t="s">
        <v>825</v>
      </c>
      <c r="E15" s="90">
        <v>83.045000000000002</v>
      </c>
      <c r="F15" s="188">
        <v>21.182555704681601</v>
      </c>
      <c r="G15" s="189">
        <v>0.41378140339255498</v>
      </c>
      <c r="H15" s="189">
        <v>0.72121529491555303</v>
      </c>
      <c r="I15" s="189">
        <v>1.1349966983081099</v>
      </c>
      <c r="J15" s="189">
        <v>3.1164901537453198</v>
      </c>
      <c r="K15" s="189">
        <v>8.9257405603106202E-2</v>
      </c>
      <c r="L15" s="189">
        <v>0.36515465599619301</v>
      </c>
      <c r="M15" s="189">
        <v>2.0920539132791501E-5</v>
      </c>
      <c r="N15" s="189">
        <v>3.49388082673769E-5</v>
      </c>
      <c r="O15" s="189">
        <v>0.226862929894211</v>
      </c>
      <c r="P15" s="189">
        <v>0.23226987108970401</v>
      </c>
      <c r="Q15" s="189">
        <v>2.5522824410009502E-2</v>
      </c>
      <c r="R15" s="189">
        <v>0.30667157903765602</v>
      </c>
      <c r="S15" s="189">
        <v>6.5362632708914598E-2</v>
      </c>
      <c r="T15" s="189">
        <v>1.3336445413381999E-2</v>
      </c>
      <c r="U15" s="189">
        <v>1.68682625065023E-2</v>
      </c>
      <c r="V15" s="189">
        <v>0.44153532120740702</v>
      </c>
      <c r="W15" s="189"/>
      <c r="X15" s="90"/>
      <c r="Y15" s="188"/>
      <c r="Z15" s="188"/>
      <c r="AA15" s="188"/>
      <c r="AB15" s="188"/>
      <c r="AC15" s="188"/>
      <c r="AD15" s="190"/>
      <c r="AE15" s="189"/>
    </row>
    <row r="16" spans="1:31" ht="21.25" customHeight="1" x14ac:dyDescent="0.15">
      <c r="A16" s="10" t="s">
        <v>164</v>
      </c>
      <c r="B16" s="186" t="s">
        <v>847</v>
      </c>
      <c r="C16" s="187">
        <v>29</v>
      </c>
      <c r="D16" s="186" t="s">
        <v>848</v>
      </c>
      <c r="E16" s="90">
        <v>80.635000000000005</v>
      </c>
      <c r="F16" s="188">
        <v>20.294449029535102</v>
      </c>
      <c r="G16" s="189">
        <v>0.38678492661136699</v>
      </c>
      <c r="H16" s="189">
        <v>0.74659086222073401</v>
      </c>
      <c r="I16" s="189">
        <v>1.1333757888321001</v>
      </c>
      <c r="J16" s="189">
        <v>2.4614352265964601</v>
      </c>
      <c r="K16" s="189">
        <v>0.12674921326814101</v>
      </c>
      <c r="L16" s="189">
        <v>0.449694726505938</v>
      </c>
      <c r="M16" s="189">
        <v>4.9357956575415797E-5</v>
      </c>
      <c r="N16" s="189">
        <v>8.0609752054219694E-5</v>
      </c>
      <c r="O16" s="189">
        <v>0.49034538218472201</v>
      </c>
      <c r="P16" s="189">
        <v>0.67653861811107296</v>
      </c>
      <c r="Q16" s="189">
        <v>7.8850740865059499E-2</v>
      </c>
      <c r="R16" s="189">
        <v>0.72293429486514105</v>
      </c>
      <c r="S16" s="189">
        <v>6.5414147102819495E-2</v>
      </c>
      <c r="T16" s="189">
        <v>1.21419190985447</v>
      </c>
      <c r="U16" s="189">
        <v>1.2055889646048401</v>
      </c>
      <c r="V16" s="189">
        <v>0.50177762898707601</v>
      </c>
      <c r="W16" s="189"/>
      <c r="X16" s="90"/>
      <c r="Y16" s="188"/>
      <c r="Z16" s="188"/>
      <c r="AA16" s="188"/>
      <c r="AB16" s="188"/>
      <c r="AC16" s="188"/>
      <c r="AD16" s="190"/>
      <c r="AE16" s="189"/>
    </row>
    <row r="17" spans="1:31" ht="21.25" customHeight="1" x14ac:dyDescent="0.15">
      <c r="A17" s="10" t="s">
        <v>133</v>
      </c>
      <c r="B17" s="186" t="s">
        <v>844</v>
      </c>
      <c r="C17" s="187">
        <v>26</v>
      </c>
      <c r="D17" s="186" t="s">
        <v>827</v>
      </c>
      <c r="E17" s="90">
        <v>80.685000000000002</v>
      </c>
      <c r="F17" s="188">
        <v>27.680318884465699</v>
      </c>
      <c r="G17" s="189">
        <v>0.18537559381163801</v>
      </c>
      <c r="H17" s="189">
        <v>0.94609435236584905</v>
      </c>
      <c r="I17" s="189">
        <v>1.13146994617749</v>
      </c>
      <c r="J17" s="189">
        <v>2.67204061475661</v>
      </c>
      <c r="K17" s="189">
        <v>4.8616409366672997E-2</v>
      </c>
      <c r="L17" s="189">
        <v>0.46025305500025498</v>
      </c>
      <c r="M17" s="189">
        <v>2.80914320223647E-5</v>
      </c>
      <c r="N17" s="189">
        <v>9.5665826909004594E-5</v>
      </c>
      <c r="O17" s="189">
        <v>1.21332801513878</v>
      </c>
      <c r="P17" s="189">
        <v>0.25632479335343999</v>
      </c>
      <c r="Q17" s="189">
        <v>7.5839346948203698E-2</v>
      </c>
      <c r="R17" s="189">
        <v>0.459294969280229</v>
      </c>
      <c r="S17" s="189">
        <v>3.0194809967264501E-2</v>
      </c>
      <c r="T17" s="189">
        <v>1.5011054925590001E-14</v>
      </c>
      <c r="U17" s="189">
        <v>3.7404650400841598E-7</v>
      </c>
      <c r="V17" s="189">
        <v>4.0131518841400003E-8</v>
      </c>
      <c r="W17" s="189"/>
      <c r="X17" s="90"/>
      <c r="Y17" s="188"/>
      <c r="Z17" s="188"/>
      <c r="AA17" s="188"/>
      <c r="AB17" s="188"/>
      <c r="AC17" s="188"/>
      <c r="AD17" s="190"/>
      <c r="AE17" s="189"/>
    </row>
    <row r="18" spans="1:31" ht="21.25" customHeight="1" x14ac:dyDescent="0.15">
      <c r="A18" s="10" t="s">
        <v>149</v>
      </c>
      <c r="B18" s="186" t="s">
        <v>850</v>
      </c>
      <c r="C18" s="187">
        <v>27</v>
      </c>
      <c r="D18" s="186" t="s">
        <v>824</v>
      </c>
      <c r="E18" s="90">
        <v>84.03</v>
      </c>
      <c r="F18" s="188">
        <v>20.770958195503098</v>
      </c>
      <c r="G18" s="189">
        <v>0.374702228641698</v>
      </c>
      <c r="H18" s="189">
        <v>0.75588220011113005</v>
      </c>
      <c r="I18" s="189">
        <v>1.1305844287528299</v>
      </c>
      <c r="J18" s="189">
        <v>2.2568076845689098</v>
      </c>
      <c r="K18" s="189">
        <v>0.11201546062286501</v>
      </c>
      <c r="L18" s="189">
        <v>0.42962507210967998</v>
      </c>
      <c r="M18" s="189">
        <v>1.18211658532553E-2</v>
      </c>
      <c r="N18" s="189">
        <v>1.25494598063411E-2</v>
      </c>
      <c r="O18" s="189">
        <v>0.75609036348704595</v>
      </c>
      <c r="P18" s="189">
        <v>0.76563916765007101</v>
      </c>
      <c r="Q18" s="189">
        <v>8.14247441061976E-2</v>
      </c>
      <c r="R18" s="189">
        <v>0.28648187787693802</v>
      </c>
      <c r="S18" s="189">
        <v>6.2384231613682797E-2</v>
      </c>
      <c r="T18" s="189">
        <v>8.8255133879625394</v>
      </c>
      <c r="U18" s="189">
        <v>8.3735423546676397</v>
      </c>
      <c r="V18" s="189">
        <v>0.51313941416488995</v>
      </c>
      <c r="W18" s="189"/>
      <c r="X18" s="90"/>
      <c r="Y18" s="188"/>
      <c r="Z18" s="188"/>
      <c r="AA18" s="188"/>
      <c r="AB18" s="188"/>
      <c r="AC18" s="188"/>
      <c r="AD18" s="190"/>
      <c r="AE18" s="189"/>
    </row>
    <row r="19" spans="1:31" ht="21.25" customHeight="1" x14ac:dyDescent="0.15">
      <c r="A19" s="10" t="s">
        <v>181</v>
      </c>
      <c r="B19" s="186" t="s">
        <v>851</v>
      </c>
      <c r="C19" s="187">
        <v>33</v>
      </c>
      <c r="D19" s="186" t="s">
        <v>824</v>
      </c>
      <c r="E19" s="90">
        <v>83.23</v>
      </c>
      <c r="F19" s="188">
        <v>21.4681413700457</v>
      </c>
      <c r="G19" s="189">
        <v>0.42009675718143202</v>
      </c>
      <c r="H19" s="189">
        <v>0.69450353413001997</v>
      </c>
      <c r="I19" s="189">
        <v>1.1146002913114501</v>
      </c>
      <c r="J19" s="189">
        <v>2.2153126365529099</v>
      </c>
      <c r="K19" s="189">
        <v>9.6553714226638401E-2</v>
      </c>
      <c r="L19" s="189">
        <v>0.27160850257116398</v>
      </c>
      <c r="M19" s="189">
        <v>7.4297649074552496E-4</v>
      </c>
      <c r="N19" s="189">
        <v>4.7822320034970603E-3</v>
      </c>
      <c r="O19" s="189">
        <v>0.61527538572890095</v>
      </c>
      <c r="P19" s="189">
        <v>0.58342342499218203</v>
      </c>
      <c r="Q19" s="189">
        <v>2.27323299387341E-2</v>
      </c>
      <c r="R19" s="189">
        <v>0.507577228348847</v>
      </c>
      <c r="S19" s="189">
        <v>7.3000110391753401E-2</v>
      </c>
      <c r="T19" s="189">
        <v>7.6396269894195701</v>
      </c>
      <c r="U19" s="189">
        <v>8.2844481775968202</v>
      </c>
      <c r="V19" s="189">
        <v>0.47975326097703702</v>
      </c>
      <c r="W19" s="189"/>
      <c r="X19" s="90"/>
      <c r="Y19" s="188"/>
      <c r="Z19" s="188"/>
      <c r="AA19" s="188"/>
      <c r="AB19" s="188"/>
      <c r="AC19" s="188"/>
      <c r="AD19" s="190"/>
      <c r="AE19" s="189"/>
    </row>
    <row r="20" spans="1:31" ht="21.25" customHeight="1" x14ac:dyDescent="0.15">
      <c r="A20" s="10" t="s">
        <v>155</v>
      </c>
      <c r="B20" s="186" t="s">
        <v>851</v>
      </c>
      <c r="C20" s="187">
        <v>29</v>
      </c>
      <c r="D20" s="186" t="s">
        <v>825</v>
      </c>
      <c r="E20" s="90">
        <v>82.33</v>
      </c>
      <c r="F20" s="188">
        <v>21.469338721417699</v>
      </c>
      <c r="G20" s="189">
        <v>0.47911389485586697</v>
      </c>
      <c r="H20" s="189">
        <v>0.626469971527017</v>
      </c>
      <c r="I20" s="189">
        <v>1.1055838663828801</v>
      </c>
      <c r="J20" s="189">
        <v>3.3494345167710802</v>
      </c>
      <c r="K20" s="189">
        <v>7.9645276318029007E-2</v>
      </c>
      <c r="L20" s="189">
        <v>0.27641163487542803</v>
      </c>
      <c r="M20" s="189">
        <v>1.0200056735831501E-2</v>
      </c>
      <c r="N20" s="189">
        <v>1.6851178655295201E-2</v>
      </c>
      <c r="O20" s="189">
        <v>0.35665265001372898</v>
      </c>
      <c r="P20" s="189">
        <v>0.42204921997463501</v>
      </c>
      <c r="Q20" s="189">
        <v>1.54973629031071E-2</v>
      </c>
      <c r="R20" s="189">
        <v>0.26844684507408101</v>
      </c>
      <c r="S20" s="189">
        <v>8.3255503920959803E-2</v>
      </c>
      <c r="T20" s="189">
        <v>3.6857462774900801E-3</v>
      </c>
      <c r="U20" s="189">
        <v>3.3324537193656398E-2</v>
      </c>
      <c r="V20" s="189">
        <v>9.9587085853139107E-2</v>
      </c>
      <c r="W20" s="189"/>
      <c r="X20" s="90"/>
      <c r="Y20" s="188"/>
      <c r="Z20" s="188"/>
      <c r="AA20" s="188"/>
      <c r="AB20" s="188"/>
      <c r="AC20" s="188"/>
      <c r="AD20" s="190"/>
      <c r="AE20" s="189"/>
    </row>
    <row r="21" spans="1:31" ht="21.25" customHeight="1" x14ac:dyDescent="0.15">
      <c r="A21" s="10" t="s">
        <v>140</v>
      </c>
      <c r="B21" s="186" t="s">
        <v>845</v>
      </c>
      <c r="C21" s="187">
        <v>28</v>
      </c>
      <c r="D21" s="186" t="s">
        <v>824</v>
      </c>
      <c r="E21" s="90">
        <v>77.962500000000006</v>
      </c>
      <c r="F21" s="188">
        <v>20.5782663662348</v>
      </c>
      <c r="G21" s="189">
        <v>0.54310155162033802</v>
      </c>
      <c r="H21" s="189">
        <v>0.54890193439846002</v>
      </c>
      <c r="I21" s="189">
        <v>1.0920034860187999</v>
      </c>
      <c r="J21" s="189">
        <v>3.9079699148897702</v>
      </c>
      <c r="K21" s="189">
        <v>0.147373342890113</v>
      </c>
      <c r="L21" s="189">
        <v>0.32877608514978401</v>
      </c>
      <c r="M21" s="189">
        <v>1.75874708442685E-3</v>
      </c>
      <c r="N21" s="189">
        <v>2.3966860718441598E-3</v>
      </c>
      <c r="O21" s="189">
        <v>1.1343749490504</v>
      </c>
      <c r="P21" s="189">
        <v>0.73719386178055202</v>
      </c>
      <c r="Q21" s="189">
        <v>4.38202537987449E-2</v>
      </c>
      <c r="R21" s="189">
        <v>0.29293724619739397</v>
      </c>
      <c r="S21" s="189">
        <v>7.4166338676431798E-2</v>
      </c>
      <c r="T21" s="189">
        <v>9.3148166234444005</v>
      </c>
      <c r="U21" s="189">
        <v>7.0507967714868602</v>
      </c>
      <c r="V21" s="189">
        <v>0.56917002734094702</v>
      </c>
      <c r="W21" s="189"/>
      <c r="X21" s="90"/>
      <c r="Y21" s="188"/>
      <c r="Z21" s="188"/>
      <c r="AA21" s="188"/>
      <c r="AB21" s="188"/>
      <c r="AC21" s="188"/>
      <c r="AD21" s="190"/>
      <c r="AE21" s="189"/>
    </row>
    <row r="22" spans="1:31" ht="21.25" customHeight="1" x14ac:dyDescent="0.15">
      <c r="A22" s="10" t="s">
        <v>188</v>
      </c>
      <c r="B22" s="186" t="s">
        <v>843</v>
      </c>
      <c r="C22" s="187">
        <v>29</v>
      </c>
      <c r="D22" s="186" t="s">
        <v>852</v>
      </c>
      <c r="E22" s="90">
        <v>82.415000000000006</v>
      </c>
      <c r="F22" s="188">
        <v>19.9358716715127</v>
      </c>
      <c r="G22" s="189">
        <v>0.313007642918323</v>
      </c>
      <c r="H22" s="189">
        <v>0.76425368116203796</v>
      </c>
      <c r="I22" s="189">
        <v>1.0772613240803599</v>
      </c>
      <c r="J22" s="189">
        <v>2.1108722678692802</v>
      </c>
      <c r="K22" s="189">
        <v>8.3221747773332994E-2</v>
      </c>
      <c r="L22" s="189">
        <v>0.36945195992479701</v>
      </c>
      <c r="M22" s="189">
        <v>4.3400014277910201E-3</v>
      </c>
      <c r="N22" s="189">
        <v>1.1128828215814301E-2</v>
      </c>
      <c r="O22" s="189">
        <v>0.54153749525417905</v>
      </c>
      <c r="P22" s="189">
        <v>0.46523462142245697</v>
      </c>
      <c r="Q22" s="189">
        <v>8.64832660140646E-2</v>
      </c>
      <c r="R22" s="189">
        <v>0.279660634077606</v>
      </c>
      <c r="S22" s="189">
        <v>5.9714794425334901E-2</v>
      </c>
      <c r="T22" s="189">
        <v>1.0679641304035501</v>
      </c>
      <c r="U22" s="189">
        <v>2.28304154048912</v>
      </c>
      <c r="V22" s="189">
        <v>0.31869958910545598</v>
      </c>
      <c r="W22" s="189"/>
      <c r="X22" s="90"/>
      <c r="Y22" s="188"/>
      <c r="Z22" s="188"/>
      <c r="AA22" s="188"/>
      <c r="AB22" s="188"/>
      <c r="AC22" s="188"/>
      <c r="AD22" s="190"/>
      <c r="AE22" s="189"/>
    </row>
    <row r="23" spans="1:31" ht="21.25" customHeight="1" x14ac:dyDescent="0.15">
      <c r="A23" s="10" t="s">
        <v>185</v>
      </c>
      <c r="B23" s="186" t="s">
        <v>853</v>
      </c>
      <c r="C23" s="187">
        <v>28</v>
      </c>
      <c r="D23" s="186" t="s">
        <v>848</v>
      </c>
      <c r="E23" s="90">
        <v>76.864999999999995</v>
      </c>
      <c r="F23" s="188">
        <v>18.759148280147901</v>
      </c>
      <c r="G23" s="189">
        <v>0.38309692622247499</v>
      </c>
      <c r="H23" s="189">
        <v>0.69205653362889796</v>
      </c>
      <c r="I23" s="189">
        <v>1.0751534598513699</v>
      </c>
      <c r="J23" s="189">
        <v>3.0813822861923201</v>
      </c>
      <c r="K23" s="189">
        <v>0.129901530719334</v>
      </c>
      <c r="L23" s="189">
        <v>0.40452803477602201</v>
      </c>
      <c r="M23" s="189">
        <v>5.5960156889817202E-4</v>
      </c>
      <c r="N23" s="189">
        <v>7.0279160129367297E-4</v>
      </c>
      <c r="O23" s="189">
        <v>0.30020807860638699</v>
      </c>
      <c r="P23" s="189">
        <v>1.2479795121469599</v>
      </c>
      <c r="Q23" s="189">
        <v>6.8056967202819493E-2</v>
      </c>
      <c r="R23" s="189">
        <v>0.82624448937133299</v>
      </c>
      <c r="S23" s="189">
        <v>6.3784016941383401E-2</v>
      </c>
      <c r="T23" s="189">
        <v>7.4739013677660907E-2</v>
      </c>
      <c r="U23" s="189">
        <v>0.186278987062686</v>
      </c>
      <c r="V23" s="189">
        <v>0.28633662607817301</v>
      </c>
      <c r="W23" s="189"/>
      <c r="X23" s="90"/>
      <c r="Y23" s="188"/>
      <c r="Z23" s="188"/>
      <c r="AA23" s="188"/>
      <c r="AB23" s="188"/>
      <c r="AC23" s="188"/>
      <c r="AD23" s="190"/>
      <c r="AE23" s="189"/>
    </row>
    <row r="24" spans="1:31" ht="21.25" customHeight="1" x14ac:dyDescent="0.15">
      <c r="A24" s="10" t="s">
        <v>143</v>
      </c>
      <c r="B24" s="186" t="s">
        <v>844</v>
      </c>
      <c r="C24" s="187">
        <v>25</v>
      </c>
      <c r="D24" s="186" t="s">
        <v>848</v>
      </c>
      <c r="E24" s="90">
        <v>82.265000000000001</v>
      </c>
      <c r="F24" s="188">
        <v>21.479668740455899</v>
      </c>
      <c r="G24" s="189">
        <v>0.47236697971435399</v>
      </c>
      <c r="H24" s="189">
        <v>0.596799028283303</v>
      </c>
      <c r="I24" s="189">
        <v>1.0691660079976599</v>
      </c>
      <c r="J24" s="189">
        <v>3.4008711531809599</v>
      </c>
      <c r="K24" s="189">
        <v>0.12403862361630499</v>
      </c>
      <c r="L24" s="189">
        <v>0.344553812573622</v>
      </c>
      <c r="M24" s="189">
        <v>2.4575376470971001E-2</v>
      </c>
      <c r="N24" s="189">
        <v>2.5745881667081801E-2</v>
      </c>
      <c r="O24" s="189">
        <v>0.79232588673750903</v>
      </c>
      <c r="P24" s="189">
        <v>0.770188548931522</v>
      </c>
      <c r="Q24" s="189">
        <v>6.4002234209408995E-2</v>
      </c>
      <c r="R24" s="189">
        <v>0.56156036223331895</v>
      </c>
      <c r="S24" s="189">
        <v>7.6941256904500599E-2</v>
      </c>
      <c r="T24" s="189">
        <v>0.73154285827451004</v>
      </c>
      <c r="U24" s="189">
        <v>0.90899024605751999</v>
      </c>
      <c r="V24" s="189">
        <v>0.44591776681786</v>
      </c>
      <c r="W24" s="189"/>
      <c r="X24" s="90"/>
      <c r="Y24" s="188"/>
      <c r="Z24" s="188"/>
      <c r="AA24" s="188"/>
      <c r="AB24" s="188"/>
      <c r="AC24" s="188"/>
      <c r="AD24" s="190"/>
      <c r="AE24" s="189"/>
    </row>
    <row r="25" spans="1:31" ht="21.25" customHeight="1" x14ac:dyDescent="0.15">
      <c r="A25" s="10" t="s">
        <v>156</v>
      </c>
      <c r="B25" s="186" t="s">
        <v>847</v>
      </c>
      <c r="C25" s="187">
        <v>23</v>
      </c>
      <c r="D25" s="186" t="s">
        <v>846</v>
      </c>
      <c r="E25" s="90">
        <v>84.03</v>
      </c>
      <c r="F25" s="188">
        <v>19.920423427972601</v>
      </c>
      <c r="G25" s="189">
        <v>0.51292194700701399</v>
      </c>
      <c r="H25" s="189">
        <v>0.54287508280897101</v>
      </c>
      <c r="I25" s="189">
        <v>1.05579702981599</v>
      </c>
      <c r="J25" s="189">
        <v>2.6924086195007599</v>
      </c>
      <c r="K25" s="189">
        <v>0.23317104622016899</v>
      </c>
      <c r="L25" s="189">
        <v>0.43217357304645698</v>
      </c>
      <c r="M25" s="189">
        <v>3.36171221976459E-3</v>
      </c>
      <c r="N25" s="189">
        <v>3.5718745007378202E-3</v>
      </c>
      <c r="O25" s="189">
        <v>0.63597030197745197</v>
      </c>
      <c r="P25" s="189">
        <v>0.66953467674655598</v>
      </c>
      <c r="Q25" s="189">
        <v>6.3435036139270401E-2</v>
      </c>
      <c r="R25" s="189">
        <v>0.37779029533122799</v>
      </c>
      <c r="S25" s="189">
        <v>8.6746792300657696E-2</v>
      </c>
      <c r="T25" s="189">
        <v>5.0647547937341599</v>
      </c>
      <c r="U25" s="189">
        <v>5.1899645084218697</v>
      </c>
      <c r="V25" s="189">
        <v>0.49389501989287099</v>
      </c>
      <c r="W25" s="189"/>
      <c r="X25" s="90"/>
      <c r="Y25" s="188"/>
      <c r="Z25" s="188"/>
      <c r="AA25" s="188"/>
      <c r="AB25" s="188"/>
      <c r="AC25" s="188"/>
      <c r="AD25" s="190"/>
      <c r="AE25" s="189"/>
    </row>
    <row r="26" spans="1:31" ht="21.25" customHeight="1" x14ac:dyDescent="0.15">
      <c r="A26" s="10" t="s">
        <v>215</v>
      </c>
      <c r="B26" s="186" t="s">
        <v>854</v>
      </c>
      <c r="C26" s="187">
        <v>21</v>
      </c>
      <c r="D26" s="186" t="s">
        <v>846</v>
      </c>
      <c r="E26" s="90">
        <v>66</v>
      </c>
      <c r="F26" s="188">
        <v>20.9134376163016</v>
      </c>
      <c r="G26" s="189">
        <v>0.39808217885624497</v>
      </c>
      <c r="H26" s="189">
        <v>0.65494546321687896</v>
      </c>
      <c r="I26" s="189">
        <v>1.0530276420731199</v>
      </c>
      <c r="J26" s="189">
        <v>3.1114983601179298</v>
      </c>
      <c r="K26" s="189">
        <v>0.125860578196026</v>
      </c>
      <c r="L26" s="189">
        <v>0.37625673419123501</v>
      </c>
      <c r="M26" s="189">
        <v>1.8435759112195001E-4</v>
      </c>
      <c r="N26" s="189">
        <v>2.9875253597559101E-4</v>
      </c>
      <c r="O26" s="189">
        <v>0.42819308151270702</v>
      </c>
      <c r="P26" s="189">
        <v>0.53417785229432002</v>
      </c>
      <c r="Q26" s="189">
        <v>-0.13667258892753201</v>
      </c>
      <c r="R26" s="189">
        <v>0.61102008237076</v>
      </c>
      <c r="S26" s="189">
        <v>4.9129729575644203E-2</v>
      </c>
      <c r="T26" s="189">
        <v>3.8938433427022701</v>
      </c>
      <c r="U26" s="189">
        <v>5.3861080637073897</v>
      </c>
      <c r="V26" s="189">
        <v>0.41959738496182097</v>
      </c>
      <c r="W26" s="189"/>
      <c r="X26" s="90"/>
      <c r="Y26" s="188"/>
      <c r="Z26" s="188"/>
      <c r="AA26" s="188"/>
      <c r="AB26" s="188"/>
      <c r="AC26" s="188"/>
      <c r="AD26" s="190"/>
      <c r="AE26" s="189"/>
    </row>
    <row r="27" spans="1:31" ht="21.25" customHeight="1" x14ac:dyDescent="0.15">
      <c r="A27" s="10" t="s">
        <v>132</v>
      </c>
      <c r="B27" s="186" t="s">
        <v>838</v>
      </c>
      <c r="C27" s="187">
        <v>27</v>
      </c>
      <c r="D27" s="186" t="s">
        <v>827</v>
      </c>
      <c r="E27" s="90">
        <v>82.012500000000003</v>
      </c>
      <c r="F27" s="188">
        <v>25.340553881650202</v>
      </c>
      <c r="G27" s="189">
        <v>0.27319329259805197</v>
      </c>
      <c r="H27" s="189">
        <v>0.77844507069998303</v>
      </c>
      <c r="I27" s="189">
        <v>1.0516383632980399</v>
      </c>
      <c r="J27" s="189">
        <v>2.7535465276385098</v>
      </c>
      <c r="K27" s="189">
        <v>8.2304332358993607E-2</v>
      </c>
      <c r="L27" s="189">
        <v>0.410322425775132</v>
      </c>
      <c r="M27" s="189">
        <v>7.47700935284943E-3</v>
      </c>
      <c r="N27" s="189">
        <v>1.6841100525087999E-2</v>
      </c>
      <c r="O27" s="189">
        <v>1.6150526061099</v>
      </c>
      <c r="P27" s="189">
        <v>0.62921192670492299</v>
      </c>
      <c r="Q27" s="189">
        <v>0.11892869870446</v>
      </c>
      <c r="R27" s="189">
        <v>0.299509055472994</v>
      </c>
      <c r="S27" s="189">
        <v>4.9307895540109697E-2</v>
      </c>
      <c r="T27" s="189">
        <v>0</v>
      </c>
      <c r="U27" s="189">
        <v>0</v>
      </c>
      <c r="V27" s="189">
        <v>0</v>
      </c>
      <c r="W27" s="189"/>
      <c r="X27" s="90"/>
      <c r="Y27" s="188"/>
      <c r="Z27" s="188"/>
      <c r="AA27" s="188"/>
      <c r="AB27" s="188"/>
      <c r="AC27" s="188"/>
      <c r="AD27" s="190"/>
      <c r="AE27" s="189"/>
    </row>
    <row r="28" spans="1:31" ht="21.25" customHeight="1" x14ac:dyDescent="0.15">
      <c r="A28" s="10" t="s">
        <v>175</v>
      </c>
      <c r="B28" s="186" t="s">
        <v>855</v>
      </c>
      <c r="C28" s="187">
        <v>39</v>
      </c>
      <c r="D28" s="186" t="s">
        <v>824</v>
      </c>
      <c r="E28" s="90">
        <v>81.27</v>
      </c>
      <c r="F28" s="188">
        <v>19.4487309841351</v>
      </c>
      <c r="G28" s="189">
        <v>0.40868442103493502</v>
      </c>
      <c r="H28" s="189">
        <v>0.63510185435509003</v>
      </c>
      <c r="I28" s="189">
        <v>1.04378627539003</v>
      </c>
      <c r="J28" s="189">
        <v>2.63622798244347</v>
      </c>
      <c r="K28" s="189">
        <v>0.139843945755662</v>
      </c>
      <c r="L28" s="189">
        <v>0.32019455543963599</v>
      </c>
      <c r="M28" s="189">
        <v>1.87408092417644E-4</v>
      </c>
      <c r="N28" s="189">
        <v>3.0495389890588701E-4</v>
      </c>
      <c r="O28" s="189">
        <v>0.45572426428216201</v>
      </c>
      <c r="P28" s="189">
        <v>0.85752698084896195</v>
      </c>
      <c r="Q28" s="189">
        <v>1.7901608368787E-2</v>
      </c>
      <c r="R28" s="189">
        <v>0.45192473997537203</v>
      </c>
      <c r="S28" s="189">
        <v>5.9254047297778299E-2</v>
      </c>
      <c r="T28" s="189">
        <v>11.977382546277701</v>
      </c>
      <c r="U28" s="189">
        <v>9.1482140960364209</v>
      </c>
      <c r="V28" s="189">
        <v>0.56696067567091801</v>
      </c>
      <c r="W28" s="189"/>
      <c r="X28" s="90"/>
      <c r="Y28" s="188"/>
      <c r="Z28" s="188"/>
      <c r="AA28" s="188"/>
      <c r="AB28" s="188"/>
      <c r="AC28" s="188"/>
      <c r="AD28" s="190"/>
      <c r="AE28" s="189"/>
    </row>
    <row r="29" spans="1:31" ht="21.25" customHeight="1" x14ac:dyDescent="0.15">
      <c r="A29" s="10" t="s">
        <v>260</v>
      </c>
      <c r="B29" s="186" t="s">
        <v>843</v>
      </c>
      <c r="C29" s="187">
        <v>34</v>
      </c>
      <c r="D29" s="186" t="s">
        <v>826</v>
      </c>
      <c r="E29" s="90">
        <v>68</v>
      </c>
      <c r="F29" s="188">
        <v>19.5374012811229</v>
      </c>
      <c r="G29" s="189">
        <v>0.35487892902345403</v>
      </c>
      <c r="H29" s="189">
        <v>0.68680924602155402</v>
      </c>
      <c r="I29" s="189">
        <v>1.04168817504501</v>
      </c>
      <c r="J29" s="189">
        <v>2.1553723752493199</v>
      </c>
      <c r="K29" s="189">
        <v>0.115760631497832</v>
      </c>
      <c r="L29" s="189">
        <v>0.40145154043800702</v>
      </c>
      <c r="M29" s="189">
        <v>1.3551890131818E-2</v>
      </c>
      <c r="N29" s="189">
        <v>2.8986574979310099E-2</v>
      </c>
      <c r="O29" s="189">
        <v>0.71995275223367905</v>
      </c>
      <c r="P29" s="189">
        <v>0.57347894256491705</v>
      </c>
      <c r="Q29" s="189">
        <v>8.9133871822427199E-2</v>
      </c>
      <c r="R29" s="189">
        <v>0.28460731931851802</v>
      </c>
      <c r="S29" s="189">
        <v>6.7702890878125796E-2</v>
      </c>
      <c r="T29" s="189">
        <v>5.1089186563283803E-2</v>
      </c>
      <c r="U29" s="189">
        <v>0.162516378061795</v>
      </c>
      <c r="V29" s="189">
        <v>0.23917535412972801</v>
      </c>
      <c r="W29" s="189"/>
      <c r="X29" s="90"/>
      <c r="Y29" s="188"/>
      <c r="Z29" s="188"/>
      <c r="AA29" s="188"/>
      <c r="AB29" s="188"/>
      <c r="AC29" s="188"/>
      <c r="AD29" s="190"/>
      <c r="AE29" s="189"/>
    </row>
    <row r="30" spans="1:31" ht="21.25" customHeight="1" x14ac:dyDescent="0.15">
      <c r="A30" s="10" t="s">
        <v>169</v>
      </c>
      <c r="B30" s="186" t="s">
        <v>856</v>
      </c>
      <c r="C30" s="187">
        <v>28</v>
      </c>
      <c r="D30" s="186" t="s">
        <v>848</v>
      </c>
      <c r="E30" s="90">
        <v>83.492500000000007</v>
      </c>
      <c r="F30" s="188">
        <v>19.083762574657001</v>
      </c>
      <c r="G30" s="189">
        <v>0.34510248599113402</v>
      </c>
      <c r="H30" s="189">
        <v>0.68837239686071305</v>
      </c>
      <c r="I30" s="189">
        <v>1.0334748828518501</v>
      </c>
      <c r="J30" s="189">
        <v>2.7432047473725101</v>
      </c>
      <c r="K30" s="189">
        <v>7.7456213790679906E-2</v>
      </c>
      <c r="L30" s="189">
        <v>0.36100340162679201</v>
      </c>
      <c r="M30" s="189">
        <v>6.6267172572395103E-5</v>
      </c>
      <c r="N30" s="189">
        <v>1.09335259680699E-4</v>
      </c>
      <c r="O30" s="189">
        <v>0.398703666147744</v>
      </c>
      <c r="P30" s="189">
        <v>0.17762142782662099</v>
      </c>
      <c r="Q30" s="189">
        <v>4.1129063843923001E-2</v>
      </c>
      <c r="R30" s="189">
        <v>0.42279890473695197</v>
      </c>
      <c r="S30" s="189">
        <v>5.5783955623377499E-2</v>
      </c>
      <c r="T30" s="189">
        <v>0.179087015752593</v>
      </c>
      <c r="U30" s="189">
        <v>0.28702088294804501</v>
      </c>
      <c r="V30" s="189">
        <v>0.38421793806076099</v>
      </c>
      <c r="W30" s="189"/>
      <c r="X30" s="90"/>
      <c r="Y30" s="188"/>
      <c r="Z30" s="188"/>
      <c r="AA30" s="188"/>
      <c r="AB30" s="188"/>
      <c r="AC30" s="188"/>
      <c r="AD30" s="190"/>
      <c r="AE30" s="189"/>
    </row>
    <row r="31" spans="1:31" ht="21.25" customHeight="1" x14ac:dyDescent="0.15">
      <c r="A31" s="10" t="s">
        <v>173</v>
      </c>
      <c r="B31" s="186" t="s">
        <v>853</v>
      </c>
      <c r="C31" s="187">
        <v>30</v>
      </c>
      <c r="D31" s="186" t="s">
        <v>824</v>
      </c>
      <c r="E31" s="90">
        <v>79.47</v>
      </c>
      <c r="F31" s="188">
        <v>20.454101200457298</v>
      </c>
      <c r="G31" s="189">
        <v>0.30839785633106398</v>
      </c>
      <c r="H31" s="189">
        <v>0.72061182979653404</v>
      </c>
      <c r="I31" s="189">
        <v>1.0290096861275999</v>
      </c>
      <c r="J31" s="189">
        <v>2.51731748390847</v>
      </c>
      <c r="K31" s="189">
        <v>0.104895829164699</v>
      </c>
      <c r="L31" s="189">
        <v>0.39134967345376998</v>
      </c>
      <c r="M31" s="189">
        <v>8.1062266036835105E-3</v>
      </c>
      <c r="N31" s="189">
        <v>3.5430660329108597E-2</v>
      </c>
      <c r="O31" s="189">
        <v>0.72812688138336701</v>
      </c>
      <c r="P31" s="189">
        <v>1.2324590689002399</v>
      </c>
      <c r="Q31" s="189">
        <v>7.7588125770414795E-2</v>
      </c>
      <c r="R31" s="189">
        <v>0.34703823051349397</v>
      </c>
      <c r="S31" s="189">
        <v>5.1346937932578197E-2</v>
      </c>
      <c r="T31" s="189">
        <v>8.8582169935018502</v>
      </c>
      <c r="U31" s="189">
        <v>6.7240140983579204</v>
      </c>
      <c r="V31" s="189">
        <v>0.56848194210965197</v>
      </c>
      <c r="W31" s="189"/>
      <c r="X31" s="90"/>
      <c r="Y31" s="188"/>
      <c r="Z31" s="188"/>
      <c r="AA31" s="188"/>
      <c r="AB31" s="188"/>
      <c r="AC31" s="188"/>
      <c r="AD31" s="190"/>
      <c r="AE31" s="189"/>
    </row>
    <row r="32" spans="1:31" ht="21.25" customHeight="1" x14ac:dyDescent="0.15">
      <c r="A32" s="10" t="s">
        <v>131</v>
      </c>
      <c r="B32" s="186" t="s">
        <v>857</v>
      </c>
      <c r="C32" s="187">
        <v>29</v>
      </c>
      <c r="D32" s="186" t="s">
        <v>827</v>
      </c>
      <c r="E32" s="90">
        <v>81.45</v>
      </c>
      <c r="F32" s="188">
        <v>27.105520639608802</v>
      </c>
      <c r="G32" s="189">
        <v>0.25476120728245899</v>
      </c>
      <c r="H32" s="189">
        <v>0.75833240714751404</v>
      </c>
      <c r="I32" s="189">
        <v>1.01309361442997</v>
      </c>
      <c r="J32" s="189">
        <v>3.4452686212582</v>
      </c>
      <c r="K32" s="189">
        <v>5.8976786986186303E-2</v>
      </c>
      <c r="L32" s="189">
        <v>0.31186313810510502</v>
      </c>
      <c r="M32" s="189">
        <v>3.2677076871926E-3</v>
      </c>
      <c r="N32" s="189">
        <v>1.5219762849816999E-2</v>
      </c>
      <c r="O32" s="189">
        <v>1.4547988721804599</v>
      </c>
      <c r="P32" s="189">
        <v>0.44334675432707099</v>
      </c>
      <c r="Q32" s="189">
        <v>6.1975538086177402E-2</v>
      </c>
      <c r="R32" s="189">
        <v>0.36419201439443599</v>
      </c>
      <c r="S32" s="189">
        <v>4.1052535987231298E-2</v>
      </c>
      <c r="T32" s="189">
        <v>0</v>
      </c>
      <c r="U32" s="189">
        <v>0</v>
      </c>
      <c r="V32" s="189">
        <v>0</v>
      </c>
      <c r="W32" s="189"/>
      <c r="X32" s="90"/>
      <c r="Y32" s="188"/>
      <c r="Z32" s="188"/>
      <c r="AA32" s="188"/>
      <c r="AB32" s="188"/>
      <c r="AC32" s="188"/>
      <c r="AD32" s="190"/>
      <c r="AE32" s="189"/>
    </row>
    <row r="33" spans="1:31" ht="21.25" customHeight="1" x14ac:dyDescent="0.15">
      <c r="A33" s="10" t="s">
        <v>222</v>
      </c>
      <c r="B33" s="186" t="s">
        <v>858</v>
      </c>
      <c r="C33" s="187">
        <v>27</v>
      </c>
      <c r="D33" s="186" t="s">
        <v>824</v>
      </c>
      <c r="E33" s="90">
        <v>79.185000000000002</v>
      </c>
      <c r="F33" s="188">
        <v>19.098860766006101</v>
      </c>
      <c r="G33" s="189">
        <v>0.34258657966510297</v>
      </c>
      <c r="H33" s="189">
        <v>0.66868322054920903</v>
      </c>
      <c r="I33" s="189">
        <v>1.0112698002143099</v>
      </c>
      <c r="J33" s="189">
        <v>1.8282770886953399</v>
      </c>
      <c r="K33" s="189">
        <v>6.4534482393361403E-2</v>
      </c>
      <c r="L33" s="189">
        <v>0.26023463289085602</v>
      </c>
      <c r="M33" s="189">
        <v>1.15375590365181E-2</v>
      </c>
      <c r="N33" s="189">
        <v>2.1632462434513101E-2</v>
      </c>
      <c r="O33" s="189">
        <v>0.591916059392257</v>
      </c>
      <c r="P33" s="189">
        <v>0.27434960936139602</v>
      </c>
      <c r="Q33" s="189">
        <v>3.1047457318364401E-2</v>
      </c>
      <c r="R33" s="189">
        <v>0.376833810752146</v>
      </c>
      <c r="S33" s="189">
        <v>4.9397916692071997E-2</v>
      </c>
      <c r="T33" s="189">
        <v>9.0162091070270893</v>
      </c>
      <c r="U33" s="189">
        <v>7.9444388980688503</v>
      </c>
      <c r="V33" s="189">
        <v>0.53159579187765205</v>
      </c>
      <c r="W33" s="189"/>
      <c r="X33" s="90"/>
      <c r="Y33" s="188"/>
      <c r="Z33" s="188"/>
      <c r="AA33" s="188"/>
      <c r="AB33" s="188"/>
      <c r="AC33" s="188"/>
      <c r="AD33" s="190"/>
      <c r="AE33" s="189"/>
    </row>
    <row r="34" spans="1:31" ht="21.25" customHeight="1" x14ac:dyDescent="0.15">
      <c r="A34" s="10" t="s">
        <v>135</v>
      </c>
      <c r="B34" s="186" t="s">
        <v>836</v>
      </c>
      <c r="C34" s="187">
        <v>26</v>
      </c>
      <c r="D34" s="186" t="s">
        <v>827</v>
      </c>
      <c r="E34" s="90">
        <v>83.93</v>
      </c>
      <c r="F34" s="188">
        <v>24.881286004192098</v>
      </c>
      <c r="G34" s="189">
        <v>0.211978380638355</v>
      </c>
      <c r="H34" s="189">
        <v>0.78977106474152603</v>
      </c>
      <c r="I34" s="189">
        <v>1.0017494453798801</v>
      </c>
      <c r="J34" s="189">
        <v>2.7203578523831502</v>
      </c>
      <c r="K34" s="189">
        <v>7.4603629734791801E-2</v>
      </c>
      <c r="L34" s="189">
        <v>0.41361667398334301</v>
      </c>
      <c r="M34" s="189">
        <v>2.8946125861146501E-4</v>
      </c>
      <c r="N34" s="189">
        <v>1.7729683847941501E-2</v>
      </c>
      <c r="O34" s="189">
        <v>1.3694483865379301</v>
      </c>
      <c r="P34" s="189">
        <v>0.52044951565212205</v>
      </c>
      <c r="Q34" s="189">
        <v>0.112822086617758</v>
      </c>
      <c r="R34" s="189">
        <v>0.42545234934412102</v>
      </c>
      <c r="S34" s="189">
        <v>3.7211014419550499E-2</v>
      </c>
      <c r="T34" s="189">
        <v>0</v>
      </c>
      <c r="U34" s="189">
        <v>0</v>
      </c>
      <c r="V34" s="189">
        <v>0</v>
      </c>
      <c r="W34" s="189"/>
      <c r="X34" s="90"/>
      <c r="Y34" s="188"/>
      <c r="Z34" s="188"/>
      <c r="AA34" s="188"/>
      <c r="AB34" s="188"/>
      <c r="AC34" s="188"/>
      <c r="AD34" s="190"/>
      <c r="AE34" s="189"/>
    </row>
    <row r="35" spans="1:31" ht="21.25" customHeight="1" x14ac:dyDescent="0.15">
      <c r="A35" s="10" t="s">
        <v>165</v>
      </c>
      <c r="B35" s="186" t="s">
        <v>859</v>
      </c>
      <c r="C35" s="187">
        <v>21</v>
      </c>
      <c r="D35" s="186" t="s">
        <v>824</v>
      </c>
      <c r="E35" s="90">
        <v>78.375</v>
      </c>
      <c r="F35" s="188">
        <v>21.695668182686301</v>
      </c>
      <c r="G35" s="189">
        <v>0.43115445520731499</v>
      </c>
      <c r="H35" s="189">
        <v>0.56351557873356894</v>
      </c>
      <c r="I35" s="189">
        <v>0.99467003394088405</v>
      </c>
      <c r="J35" s="189">
        <v>2.8268533527858302</v>
      </c>
      <c r="K35" s="189">
        <v>8.1143231622254203E-2</v>
      </c>
      <c r="L35" s="189">
        <v>0.25039499708115398</v>
      </c>
      <c r="M35" s="189">
        <v>3.1074132428505E-2</v>
      </c>
      <c r="N35" s="189">
        <v>5.0229426330181098E-2</v>
      </c>
      <c r="O35" s="189">
        <v>0.53209704437419902</v>
      </c>
      <c r="P35" s="189">
        <v>0.35067293887477702</v>
      </c>
      <c r="Q35" s="189">
        <v>-2.4906181330011299E-2</v>
      </c>
      <c r="R35" s="189">
        <v>0.36798691329004501</v>
      </c>
      <c r="S35" s="189">
        <v>6.2990429751781402E-2</v>
      </c>
      <c r="T35" s="189">
        <v>6.1861124832057302</v>
      </c>
      <c r="U35" s="189">
        <v>8.7833703069183198</v>
      </c>
      <c r="V35" s="189">
        <v>0.41324824444081298</v>
      </c>
      <c r="W35" s="189"/>
      <c r="X35" s="90"/>
      <c r="Y35" s="188"/>
      <c r="Z35" s="188"/>
      <c r="AA35" s="188"/>
      <c r="AB35" s="188"/>
      <c r="AC35" s="188"/>
      <c r="AD35" s="190"/>
      <c r="AE35" s="189"/>
    </row>
    <row r="36" spans="1:31" ht="21.25" customHeight="1" x14ac:dyDescent="0.15">
      <c r="A36" s="10" t="s">
        <v>195</v>
      </c>
      <c r="B36" s="186" t="s">
        <v>837</v>
      </c>
      <c r="C36" s="187">
        <v>28</v>
      </c>
      <c r="D36" s="186" t="s">
        <v>848</v>
      </c>
      <c r="E36" s="90">
        <v>82.077500000000001</v>
      </c>
      <c r="F36" s="188">
        <v>19.975917494525099</v>
      </c>
      <c r="G36" s="189">
        <v>0.41597417084884097</v>
      </c>
      <c r="H36" s="189">
        <v>0.57312627534550997</v>
      </c>
      <c r="I36" s="189">
        <v>0.989100446194351</v>
      </c>
      <c r="J36" s="189">
        <v>2.7959126446125402</v>
      </c>
      <c r="K36" s="189">
        <v>4.10869308337483E-2</v>
      </c>
      <c r="L36" s="189">
        <v>0.14880750674315901</v>
      </c>
      <c r="M36" s="189">
        <v>1.53991906149945E-2</v>
      </c>
      <c r="N36" s="189">
        <v>3.2531825574019603E-2</v>
      </c>
      <c r="O36" s="189">
        <v>0.59520987803966496</v>
      </c>
      <c r="P36" s="189">
        <v>0.670432578327541</v>
      </c>
      <c r="Q36" s="189">
        <v>0.14367438844334601</v>
      </c>
      <c r="R36" s="189">
        <v>0.677714452095461</v>
      </c>
      <c r="S36" s="189">
        <v>7.3839341472678094E-2</v>
      </c>
      <c r="T36" s="189">
        <v>0.29908733271480997</v>
      </c>
      <c r="U36" s="189">
        <v>0.47268378218040402</v>
      </c>
      <c r="V36" s="189">
        <v>0.38753372203547398</v>
      </c>
      <c r="W36" s="189"/>
      <c r="X36" s="90"/>
      <c r="Y36" s="188"/>
      <c r="Z36" s="188"/>
      <c r="AA36" s="188"/>
      <c r="AB36" s="188"/>
      <c r="AC36" s="188"/>
      <c r="AD36" s="190"/>
      <c r="AE36" s="189"/>
    </row>
    <row r="37" spans="1:31" ht="21.25" customHeight="1" x14ac:dyDescent="0.15">
      <c r="A37" s="10" t="s">
        <v>192</v>
      </c>
      <c r="B37" s="186" t="s">
        <v>837</v>
      </c>
      <c r="C37" s="187">
        <v>31</v>
      </c>
      <c r="D37" s="186" t="s">
        <v>848</v>
      </c>
      <c r="E37" s="90">
        <v>82.077500000000001</v>
      </c>
      <c r="F37" s="188">
        <v>19.0232779920863</v>
      </c>
      <c r="G37" s="189">
        <v>0.42158670957425098</v>
      </c>
      <c r="H37" s="189">
        <v>0.55778995856667601</v>
      </c>
      <c r="I37" s="189">
        <v>0.97937666814092705</v>
      </c>
      <c r="J37" s="189">
        <v>2.6703050011010898</v>
      </c>
      <c r="K37" s="189">
        <v>0.121679730188754</v>
      </c>
      <c r="L37" s="189">
        <v>0.34843464393623202</v>
      </c>
      <c r="M37" s="189">
        <v>4.0351652119509701E-3</v>
      </c>
      <c r="N37" s="189">
        <v>4.2832096646907196E-3</v>
      </c>
      <c r="O37" s="189">
        <v>0.47814440943844999</v>
      </c>
      <c r="P37" s="189">
        <v>0.50272670174326695</v>
      </c>
      <c r="Q37" s="189">
        <v>0.12078175044785</v>
      </c>
      <c r="R37" s="189">
        <v>0.391365092566546</v>
      </c>
      <c r="S37" s="189">
        <v>7.48356200700451E-2</v>
      </c>
      <c r="T37" s="189">
        <v>1.8816361029094</v>
      </c>
      <c r="U37" s="189">
        <v>2.5305035929711699</v>
      </c>
      <c r="V37" s="189">
        <v>0.42646793451853099</v>
      </c>
      <c r="W37" s="189"/>
      <c r="X37" s="90"/>
      <c r="Y37" s="188"/>
      <c r="Z37" s="188"/>
      <c r="AA37" s="188"/>
      <c r="AB37" s="188"/>
      <c r="AC37" s="188"/>
      <c r="AD37" s="190"/>
      <c r="AE37" s="189"/>
    </row>
    <row r="38" spans="1:31" ht="21.25" customHeight="1" x14ac:dyDescent="0.15">
      <c r="A38" s="10" t="s">
        <v>197</v>
      </c>
      <c r="B38" s="186" t="s">
        <v>860</v>
      </c>
      <c r="C38" s="187">
        <v>29</v>
      </c>
      <c r="D38" s="186" t="s">
        <v>824</v>
      </c>
      <c r="E38" s="90">
        <v>82.685000000000002</v>
      </c>
      <c r="F38" s="188">
        <v>19.492326552248901</v>
      </c>
      <c r="G38" s="189">
        <v>0.36024060515565798</v>
      </c>
      <c r="H38" s="189">
        <v>0.60770503463181003</v>
      </c>
      <c r="I38" s="189">
        <v>0.96794563978746795</v>
      </c>
      <c r="J38" s="189">
        <v>2.5134366275753499</v>
      </c>
      <c r="K38" s="189">
        <v>8.5586730315366705E-2</v>
      </c>
      <c r="L38" s="189">
        <v>0.30502079503401502</v>
      </c>
      <c r="M38" s="189">
        <v>2.3916898689649999E-2</v>
      </c>
      <c r="N38" s="189">
        <v>5.6663146975621699E-2</v>
      </c>
      <c r="O38" s="189">
        <v>0.33815477280434902</v>
      </c>
      <c r="P38" s="189">
        <v>0.7886198344541</v>
      </c>
      <c r="Q38" s="189">
        <v>9.2939791997297405E-2</v>
      </c>
      <c r="R38" s="189">
        <v>0.48908346823430698</v>
      </c>
      <c r="S38" s="189">
        <v>6.18625967233776E-2</v>
      </c>
      <c r="T38" s="189">
        <v>7.7627152439241902</v>
      </c>
      <c r="U38" s="189">
        <v>6.8763110139668999</v>
      </c>
      <c r="V38" s="189">
        <v>0.53027538219898596</v>
      </c>
      <c r="W38" s="189"/>
      <c r="X38" s="90"/>
      <c r="Y38" s="188"/>
      <c r="Z38" s="188"/>
      <c r="AA38" s="188"/>
      <c r="AB38" s="188"/>
      <c r="AC38" s="188"/>
      <c r="AD38" s="190"/>
      <c r="AE38" s="189"/>
    </row>
    <row r="39" spans="1:31" ht="21.25" customHeight="1" x14ac:dyDescent="0.15">
      <c r="A39" s="10" t="s">
        <v>193</v>
      </c>
      <c r="B39" s="186" t="s">
        <v>861</v>
      </c>
      <c r="C39" s="187">
        <v>24</v>
      </c>
      <c r="D39" s="186" t="s">
        <v>826</v>
      </c>
      <c r="E39" s="90">
        <v>83.674999999999997</v>
      </c>
      <c r="F39" s="188">
        <v>18.819153138605198</v>
      </c>
      <c r="G39" s="189">
        <v>0.34112319703149102</v>
      </c>
      <c r="H39" s="189">
        <v>0.62638327110626701</v>
      </c>
      <c r="I39" s="189">
        <v>0.96750646813775798</v>
      </c>
      <c r="J39" s="189">
        <v>2.2282535337146299</v>
      </c>
      <c r="K39" s="189">
        <v>9.4303069450777696E-2</v>
      </c>
      <c r="L39" s="189">
        <v>0.36072629215322</v>
      </c>
      <c r="M39" s="189">
        <v>2.2478173577471102E-3</v>
      </c>
      <c r="N39" s="189">
        <v>2.6333397066221299E-3</v>
      </c>
      <c r="O39" s="189">
        <v>0.38889058829526602</v>
      </c>
      <c r="P39" s="189">
        <v>0.60140647442849604</v>
      </c>
      <c r="Q39" s="189">
        <v>-1.7163304604769301E-2</v>
      </c>
      <c r="R39" s="189">
        <v>0.31668976069358201</v>
      </c>
      <c r="S39" s="189">
        <v>5.3456700564336899E-2</v>
      </c>
      <c r="T39" s="189">
        <v>2.3032325293817098E-2</v>
      </c>
      <c r="U39" s="189">
        <v>1.8733465959466501E-2</v>
      </c>
      <c r="V39" s="189">
        <v>0.55146387995238499</v>
      </c>
      <c r="W39" s="189"/>
      <c r="X39" s="90"/>
      <c r="Y39" s="188"/>
      <c r="Z39" s="188"/>
      <c r="AA39" s="188"/>
      <c r="AB39" s="188"/>
      <c r="AC39" s="188"/>
      <c r="AD39" s="190"/>
      <c r="AE39" s="189"/>
    </row>
    <row r="40" spans="1:31" ht="21.25" customHeight="1" x14ac:dyDescent="0.15">
      <c r="A40" s="10" t="s">
        <v>171</v>
      </c>
      <c r="B40" s="186" t="s">
        <v>862</v>
      </c>
      <c r="C40" s="187">
        <v>28</v>
      </c>
      <c r="D40" s="186" t="s">
        <v>846</v>
      </c>
      <c r="E40" s="90">
        <v>81.927499999999995</v>
      </c>
      <c r="F40" s="188">
        <v>19.1262032914229</v>
      </c>
      <c r="G40" s="189">
        <v>0.49234975202378201</v>
      </c>
      <c r="H40" s="189">
        <v>0.469082675568255</v>
      </c>
      <c r="I40" s="189">
        <v>0.96143242759203695</v>
      </c>
      <c r="J40" s="189">
        <v>3.32846104723702</v>
      </c>
      <c r="K40" s="189">
        <v>9.6452178151416504E-2</v>
      </c>
      <c r="L40" s="189">
        <v>0.28073258061345302</v>
      </c>
      <c r="M40" s="189">
        <v>4.69006660766574E-4</v>
      </c>
      <c r="N40" s="189">
        <v>5.8236349800974197E-4</v>
      </c>
      <c r="O40" s="189">
        <v>0.53288486807713897</v>
      </c>
      <c r="P40" s="189">
        <v>0.984935144706237</v>
      </c>
      <c r="Q40" s="189">
        <v>2.6302725964575401E-2</v>
      </c>
      <c r="R40" s="189">
        <v>0.425155967669955</v>
      </c>
      <c r="S40" s="189">
        <v>7.4231562333175502E-2</v>
      </c>
      <c r="T40" s="189">
        <v>4.6925363625271297</v>
      </c>
      <c r="U40" s="189">
        <v>5.9661310285985003</v>
      </c>
      <c r="V40" s="189">
        <v>0.440255445669889</v>
      </c>
      <c r="W40" s="189"/>
      <c r="X40" s="90"/>
      <c r="Y40" s="188"/>
      <c r="Z40" s="188"/>
      <c r="AA40" s="188"/>
      <c r="AB40" s="188"/>
      <c r="AC40" s="188"/>
      <c r="AD40" s="190"/>
      <c r="AE40" s="189"/>
    </row>
    <row r="41" spans="1:31" ht="21.25" customHeight="1" x14ac:dyDescent="0.15">
      <c r="A41" s="10" t="s">
        <v>201</v>
      </c>
      <c r="B41" s="186" t="s">
        <v>853</v>
      </c>
      <c r="C41" s="187">
        <v>30</v>
      </c>
      <c r="D41" s="186" t="s">
        <v>826</v>
      </c>
      <c r="E41" s="90">
        <v>80.422499999999999</v>
      </c>
      <c r="F41" s="188">
        <v>20.191913700457299</v>
      </c>
      <c r="G41" s="189">
        <v>0.47577105216051402</v>
      </c>
      <c r="H41" s="189">
        <v>0.48556459914859501</v>
      </c>
      <c r="I41" s="189">
        <v>0.96133565130910903</v>
      </c>
      <c r="J41" s="189">
        <v>2.5352935453817498</v>
      </c>
      <c r="K41" s="189">
        <v>0.179574651858976</v>
      </c>
      <c r="L41" s="189">
        <v>0.35373634058421</v>
      </c>
      <c r="M41" s="189">
        <v>3.9328825671677198E-2</v>
      </c>
      <c r="N41" s="189">
        <v>4.82433173137587E-2</v>
      </c>
      <c r="O41" s="189">
        <v>0.64688668435021801</v>
      </c>
      <c r="P41" s="189">
        <v>1.0077126372751599</v>
      </c>
      <c r="Q41" s="189">
        <v>5.7726632452612101E-2</v>
      </c>
      <c r="R41" s="189">
        <v>0.28305066816147001</v>
      </c>
      <c r="S41" s="189">
        <v>7.92138667111177E-2</v>
      </c>
      <c r="T41" s="189">
        <v>1.4647651198181699</v>
      </c>
      <c r="U41" s="189">
        <v>2.1207038054162299</v>
      </c>
      <c r="V41" s="189">
        <v>0.40852818706897798</v>
      </c>
      <c r="W41" s="189"/>
      <c r="X41" s="90"/>
      <c r="Y41" s="188"/>
      <c r="Z41" s="188"/>
      <c r="AA41" s="188"/>
      <c r="AB41" s="188"/>
      <c r="AC41" s="188"/>
      <c r="AD41" s="190"/>
      <c r="AE41" s="189"/>
    </row>
    <row r="42" spans="1:31" ht="21.25" customHeight="1" x14ac:dyDescent="0.15">
      <c r="A42" s="10" t="s">
        <v>210</v>
      </c>
      <c r="B42" s="186" t="s">
        <v>842</v>
      </c>
      <c r="C42" s="187">
        <v>28</v>
      </c>
      <c r="D42" s="186" t="s">
        <v>848</v>
      </c>
      <c r="E42" s="90">
        <v>83.892499999999998</v>
      </c>
      <c r="F42" s="188">
        <v>18.999089639862799</v>
      </c>
      <c r="G42" s="189">
        <v>0.281723432665207</v>
      </c>
      <c r="H42" s="189">
        <v>0.67682463715382601</v>
      </c>
      <c r="I42" s="189">
        <v>0.95854806981903296</v>
      </c>
      <c r="J42" s="189">
        <v>2.3451200940888199</v>
      </c>
      <c r="K42" s="189">
        <v>6.7255751075484899E-2</v>
      </c>
      <c r="L42" s="189">
        <v>0.31684039407033798</v>
      </c>
      <c r="M42" s="189">
        <v>6.8715491911455102E-3</v>
      </c>
      <c r="N42" s="189">
        <v>1.7263337111160699E-2</v>
      </c>
      <c r="O42" s="189">
        <v>0.37720519891161097</v>
      </c>
      <c r="P42" s="189">
        <v>0.97459226061627702</v>
      </c>
      <c r="Q42" s="189">
        <v>2.7512204358962799E-2</v>
      </c>
      <c r="R42" s="189">
        <v>0.220632926193854</v>
      </c>
      <c r="S42" s="189">
        <v>4.2108023026918101E-2</v>
      </c>
      <c r="T42" s="189">
        <v>2.85006635623665E-2</v>
      </c>
      <c r="U42" s="189">
        <v>0.11218218597667599</v>
      </c>
      <c r="V42" s="189">
        <v>0.20258804577637499</v>
      </c>
      <c r="W42" s="189"/>
      <c r="X42" s="90"/>
      <c r="Y42" s="188"/>
      <c r="Z42" s="188"/>
      <c r="AA42" s="188"/>
      <c r="AB42" s="188"/>
      <c r="AC42" s="188"/>
      <c r="AD42" s="190"/>
      <c r="AE42" s="189"/>
    </row>
    <row r="43" spans="1:31" ht="21.25" customHeight="1" x14ac:dyDescent="0.15">
      <c r="A43" s="10" t="s">
        <v>179</v>
      </c>
      <c r="B43" s="186" t="s">
        <v>850</v>
      </c>
      <c r="C43" s="187">
        <v>25</v>
      </c>
      <c r="D43" s="186" t="s">
        <v>848</v>
      </c>
      <c r="E43" s="90">
        <v>83.852500000000006</v>
      </c>
      <c r="F43" s="188">
        <v>18.242778525891101</v>
      </c>
      <c r="G43" s="189">
        <v>0.49738254131189802</v>
      </c>
      <c r="H43" s="189">
        <v>0.45865955202558301</v>
      </c>
      <c r="I43" s="189">
        <v>0.95604209333748102</v>
      </c>
      <c r="J43" s="189">
        <v>3.1794503155426201</v>
      </c>
      <c r="K43" s="189">
        <v>0.131847139348505</v>
      </c>
      <c r="L43" s="189">
        <v>0.30989314182427402</v>
      </c>
      <c r="M43" s="189">
        <v>3.40828772852321E-5</v>
      </c>
      <c r="N43" s="189">
        <v>5.5859729089639101E-5</v>
      </c>
      <c r="O43" s="189">
        <v>0.31046153331459603</v>
      </c>
      <c r="P43" s="189">
        <v>0.68272616060167701</v>
      </c>
      <c r="Q43" s="189">
        <v>7.56515916601848E-2</v>
      </c>
      <c r="R43" s="189">
        <v>0.22293110767350699</v>
      </c>
      <c r="S43" s="189">
        <v>8.2809295718052303E-2</v>
      </c>
      <c r="T43" s="189">
        <v>8.0825015818101295E-2</v>
      </c>
      <c r="U43" s="189">
        <v>0.13038811431811601</v>
      </c>
      <c r="V43" s="189">
        <v>0.38267041336859597</v>
      </c>
      <c r="W43" s="189"/>
      <c r="X43" s="90"/>
      <c r="Y43" s="188"/>
      <c r="Z43" s="188"/>
      <c r="AA43" s="188"/>
      <c r="AB43" s="188"/>
      <c r="AC43" s="188"/>
      <c r="AD43" s="190"/>
      <c r="AE43" s="189"/>
    </row>
    <row r="44" spans="1:31" ht="21.25" customHeight="1" x14ac:dyDescent="0.15">
      <c r="A44" s="10" t="s">
        <v>211</v>
      </c>
      <c r="B44" s="186" t="s">
        <v>863</v>
      </c>
      <c r="C44" s="187">
        <v>24</v>
      </c>
      <c r="D44" s="186" t="s">
        <v>839</v>
      </c>
      <c r="E44" s="90">
        <v>82.974999999999994</v>
      </c>
      <c r="F44" s="188">
        <v>19.963259834222601</v>
      </c>
      <c r="G44" s="189">
        <v>0.34716082945006499</v>
      </c>
      <c r="H44" s="189">
        <v>0.60782128704853899</v>
      </c>
      <c r="I44" s="189">
        <v>0.95498211649860398</v>
      </c>
      <c r="J44" s="189">
        <v>2.3411901211003299</v>
      </c>
      <c r="K44" s="189">
        <v>7.7192571720602607E-2</v>
      </c>
      <c r="L44" s="189">
        <v>0.33349079409531901</v>
      </c>
      <c r="M44" s="189">
        <v>1.07565343728753E-2</v>
      </c>
      <c r="N44" s="189">
        <v>1.2204255256714701E-2</v>
      </c>
      <c r="O44" s="189">
        <v>0.55443473756030404</v>
      </c>
      <c r="P44" s="189">
        <v>1.4680984507324599</v>
      </c>
      <c r="Q44" s="189">
        <v>3.08416907608118E-2</v>
      </c>
      <c r="R44" s="189">
        <v>0.45535088776201499</v>
      </c>
      <c r="S44" s="189">
        <v>6.1581185808361298E-2</v>
      </c>
      <c r="T44" s="189">
        <v>3.5900371473199502</v>
      </c>
      <c r="U44" s="189">
        <v>3.6482212181359301</v>
      </c>
      <c r="V44" s="189">
        <v>0.495980796216556</v>
      </c>
      <c r="W44" s="189"/>
      <c r="X44" s="90"/>
      <c r="Y44" s="188"/>
      <c r="Z44" s="188"/>
      <c r="AA44" s="188"/>
      <c r="AB44" s="188"/>
      <c r="AC44" s="188"/>
      <c r="AD44" s="190"/>
      <c r="AE44" s="189"/>
    </row>
    <row r="45" spans="1:31" ht="21.25" customHeight="1" x14ac:dyDescent="0.15">
      <c r="A45" s="10" t="s">
        <v>162</v>
      </c>
      <c r="B45" s="186" t="s">
        <v>859</v>
      </c>
      <c r="C45" s="187">
        <v>22</v>
      </c>
      <c r="D45" s="186" t="s">
        <v>852</v>
      </c>
      <c r="E45" s="90">
        <v>82.265000000000001</v>
      </c>
      <c r="F45" s="188">
        <v>18.830932607946799</v>
      </c>
      <c r="G45" s="189">
        <v>0.49578038234501698</v>
      </c>
      <c r="H45" s="189">
        <v>0.448464185390123</v>
      </c>
      <c r="I45" s="189">
        <v>0.94424456773513998</v>
      </c>
      <c r="J45" s="189">
        <v>3.7962270910940701</v>
      </c>
      <c r="K45" s="189">
        <v>0.14882780066079199</v>
      </c>
      <c r="L45" s="189">
        <v>0.29567519811565102</v>
      </c>
      <c r="M45" s="189">
        <v>1.0974517513358301E-3</v>
      </c>
      <c r="N45" s="189">
        <v>1.8034404904174301E-3</v>
      </c>
      <c r="O45" s="189">
        <v>0.42350867096398298</v>
      </c>
      <c r="P45" s="189">
        <v>0.95610561030727104</v>
      </c>
      <c r="Q45" s="189">
        <v>-2.5651852908176301E-2</v>
      </c>
      <c r="R45" s="189">
        <v>0.39481712425572602</v>
      </c>
      <c r="S45" s="189">
        <v>7.2432092418942606E-2</v>
      </c>
      <c r="T45" s="189">
        <v>1.1711001867537001</v>
      </c>
      <c r="U45" s="189">
        <v>1.49174736795908</v>
      </c>
      <c r="V45" s="189">
        <v>0.43979242622471998</v>
      </c>
      <c r="W45" s="189"/>
      <c r="X45" s="90"/>
      <c r="Y45" s="188"/>
      <c r="Z45" s="188"/>
      <c r="AA45" s="188"/>
      <c r="AB45" s="188"/>
      <c r="AC45" s="188"/>
      <c r="AD45" s="190"/>
      <c r="AE45" s="189"/>
    </row>
    <row r="46" spans="1:31" ht="21.25" customHeight="1" x14ac:dyDescent="0.15">
      <c r="A46" s="10" t="s">
        <v>145</v>
      </c>
      <c r="B46" s="186" t="s">
        <v>850</v>
      </c>
      <c r="C46" s="187">
        <v>22</v>
      </c>
      <c r="D46" s="186" t="s">
        <v>827</v>
      </c>
      <c r="E46" s="90">
        <v>83.83</v>
      </c>
      <c r="F46" s="188">
        <v>23.6606980449695</v>
      </c>
      <c r="G46" s="189">
        <v>0.14058774497213999</v>
      </c>
      <c r="H46" s="189">
        <v>0.79141338650438997</v>
      </c>
      <c r="I46" s="189">
        <v>0.93200113147652996</v>
      </c>
      <c r="J46" s="189">
        <v>1.5302946797778001</v>
      </c>
      <c r="K46" s="189">
        <v>2.8783250430665399E-2</v>
      </c>
      <c r="L46" s="189">
        <v>0.320964621473531</v>
      </c>
      <c r="M46" s="189">
        <v>1.44381360673855E-4</v>
      </c>
      <c r="N46" s="189">
        <v>4.4753826470603903E-4</v>
      </c>
      <c r="O46" s="189">
        <v>1.57050062805007</v>
      </c>
      <c r="P46" s="189">
        <v>0.46354170858407101</v>
      </c>
      <c r="Q46" s="189">
        <v>0.10258433133649</v>
      </c>
      <c r="R46" s="189">
        <v>0.45270863693134</v>
      </c>
      <c r="S46" s="189">
        <v>2.3406475259515801E-2</v>
      </c>
      <c r="T46" s="189">
        <v>0</v>
      </c>
      <c r="U46" s="189">
        <v>0</v>
      </c>
      <c r="V46" s="189">
        <v>0</v>
      </c>
      <c r="W46" s="189"/>
      <c r="X46" s="90"/>
      <c r="Y46" s="188"/>
      <c r="Z46" s="188"/>
      <c r="AA46" s="188"/>
      <c r="AB46" s="188"/>
      <c r="AC46" s="188"/>
      <c r="AD46" s="190"/>
      <c r="AE46" s="189"/>
    </row>
    <row r="47" spans="1:31" ht="21.25" customHeight="1" x14ac:dyDescent="0.15">
      <c r="A47" s="10" t="s">
        <v>243</v>
      </c>
      <c r="B47" s="186" t="s">
        <v>858</v>
      </c>
      <c r="C47" s="187">
        <v>24</v>
      </c>
      <c r="D47" s="186" t="s">
        <v>839</v>
      </c>
      <c r="E47" s="90">
        <v>74.86</v>
      </c>
      <c r="F47" s="188">
        <v>18.711433082659401</v>
      </c>
      <c r="G47" s="189">
        <v>0.393960999848459</v>
      </c>
      <c r="H47" s="189">
        <v>0.53621763356940499</v>
      </c>
      <c r="I47" s="189">
        <v>0.930178633417864</v>
      </c>
      <c r="J47" s="189">
        <v>2.7628383242689698</v>
      </c>
      <c r="K47" s="189">
        <v>8.99947362226063E-2</v>
      </c>
      <c r="L47" s="189">
        <v>0.20716385984516</v>
      </c>
      <c r="M47" s="189">
        <v>1.56494137334796E-3</v>
      </c>
      <c r="N47" s="189">
        <v>2.5603233585142701E-3</v>
      </c>
      <c r="O47" s="189">
        <v>0.666408221099272</v>
      </c>
      <c r="P47" s="189">
        <v>2.0363284135577899</v>
      </c>
      <c r="Q47" s="189">
        <v>2.7003987797290002E-2</v>
      </c>
      <c r="R47" s="189">
        <v>0.35254847221977498</v>
      </c>
      <c r="S47" s="189">
        <v>5.6805647989666197E-2</v>
      </c>
      <c r="T47" s="189">
        <v>0.55259273380471496</v>
      </c>
      <c r="U47" s="189">
        <v>0.57992554612605796</v>
      </c>
      <c r="V47" s="189">
        <v>0.48793272797194298</v>
      </c>
      <c r="W47" s="189"/>
      <c r="X47" s="90"/>
      <c r="Y47" s="188"/>
      <c r="Z47" s="188"/>
      <c r="AA47" s="188"/>
      <c r="AB47" s="188"/>
      <c r="AC47" s="188"/>
      <c r="AD47" s="190"/>
      <c r="AE47" s="189"/>
    </row>
    <row r="48" spans="1:31" ht="21.25" customHeight="1" x14ac:dyDescent="0.15">
      <c r="A48" s="10" t="s">
        <v>150</v>
      </c>
      <c r="B48" s="186" t="s">
        <v>864</v>
      </c>
      <c r="C48" s="187">
        <v>28</v>
      </c>
      <c r="D48" s="186" t="s">
        <v>827</v>
      </c>
      <c r="E48" s="90">
        <v>77.137500000000003</v>
      </c>
      <c r="F48" s="188">
        <v>23.8201351853346</v>
      </c>
      <c r="G48" s="189">
        <v>0.168554399962424</v>
      </c>
      <c r="H48" s="189">
        <v>0.75893260352204805</v>
      </c>
      <c r="I48" s="189">
        <v>0.92748700348447199</v>
      </c>
      <c r="J48" s="189">
        <v>1.7689130144199701</v>
      </c>
      <c r="K48" s="189">
        <v>6.3301295359803694E-2</v>
      </c>
      <c r="L48" s="189">
        <v>0.393784627413512</v>
      </c>
      <c r="M48" s="189">
        <v>1.18524881066013E-3</v>
      </c>
      <c r="N48" s="189">
        <v>6.50041980104371E-3</v>
      </c>
      <c r="O48" s="189">
        <v>1.4256400406845899</v>
      </c>
      <c r="P48" s="189">
        <v>0.60987969563854805</v>
      </c>
      <c r="Q48" s="189">
        <v>5.2935215610299097E-2</v>
      </c>
      <c r="R48" s="189">
        <v>0.46667821524520398</v>
      </c>
      <c r="S48" s="189">
        <v>2.6480535399275799E-2</v>
      </c>
      <c r="T48" s="189">
        <v>0</v>
      </c>
      <c r="U48" s="189">
        <v>0</v>
      </c>
      <c r="V48" s="189">
        <v>0</v>
      </c>
      <c r="W48" s="189"/>
      <c r="X48" s="90"/>
      <c r="Y48" s="188"/>
      <c r="Z48" s="188"/>
      <c r="AA48" s="188"/>
      <c r="AB48" s="188"/>
      <c r="AC48" s="188"/>
      <c r="AD48" s="190"/>
      <c r="AE48" s="189"/>
    </row>
    <row r="49" spans="1:31" ht="21.25" customHeight="1" x14ac:dyDescent="0.15">
      <c r="A49" s="10" t="s">
        <v>319</v>
      </c>
      <c r="B49" s="186" t="s">
        <v>860</v>
      </c>
      <c r="C49" s="187">
        <v>24</v>
      </c>
      <c r="D49" s="186" t="s">
        <v>848</v>
      </c>
      <c r="E49" s="90">
        <v>60</v>
      </c>
      <c r="F49" s="188">
        <v>19.4456250762947</v>
      </c>
      <c r="G49" s="189">
        <v>0.43865877732148201</v>
      </c>
      <c r="H49" s="189">
        <v>0.48681817620212098</v>
      </c>
      <c r="I49" s="189">
        <v>0.92547695352360304</v>
      </c>
      <c r="J49" s="189">
        <v>2.9316444897941798</v>
      </c>
      <c r="K49" s="189">
        <v>9.1920483856369306E-2</v>
      </c>
      <c r="L49" s="189">
        <v>0.27068482030351099</v>
      </c>
      <c r="M49" s="189">
        <v>4.0577171012842098E-2</v>
      </c>
      <c r="N49" s="189">
        <v>6.2923616293569795E-2</v>
      </c>
      <c r="O49" s="189">
        <v>0.50821560034456104</v>
      </c>
      <c r="P49" s="189">
        <v>1.2006730663921801</v>
      </c>
      <c r="Q49" s="189">
        <v>8.6968708095704894E-2</v>
      </c>
      <c r="R49" s="189">
        <v>0.29737303641796897</v>
      </c>
      <c r="S49" s="189">
        <v>7.5329018029167402E-2</v>
      </c>
      <c r="T49" s="189">
        <v>0.72033253261246299</v>
      </c>
      <c r="U49" s="189">
        <v>1.0978344991819899</v>
      </c>
      <c r="V49" s="189">
        <v>0.39618611492560402</v>
      </c>
      <c r="W49" s="189"/>
      <c r="X49" s="90"/>
      <c r="Y49" s="188"/>
      <c r="Z49" s="188"/>
      <c r="AA49" s="188"/>
      <c r="AB49" s="188"/>
      <c r="AC49" s="188"/>
      <c r="AD49" s="190"/>
      <c r="AE49" s="189"/>
    </row>
    <row r="50" spans="1:31" ht="21.25" customHeight="1" x14ac:dyDescent="0.15">
      <c r="A50" s="10" t="s">
        <v>176</v>
      </c>
      <c r="B50" s="186" t="s">
        <v>861</v>
      </c>
      <c r="C50" s="187">
        <v>28</v>
      </c>
      <c r="D50" s="186" t="s">
        <v>848</v>
      </c>
      <c r="E50" s="90">
        <v>84.03</v>
      </c>
      <c r="F50" s="188">
        <v>18.433404273170702</v>
      </c>
      <c r="G50" s="189">
        <v>0.44512952026811398</v>
      </c>
      <c r="H50" s="189">
        <v>0.479887018521648</v>
      </c>
      <c r="I50" s="189">
        <v>0.92501653878976198</v>
      </c>
      <c r="J50" s="189">
        <v>3.2541356235696499</v>
      </c>
      <c r="K50" s="189">
        <v>0.15802338382376699</v>
      </c>
      <c r="L50" s="189">
        <v>0.29139526456186399</v>
      </c>
      <c r="M50" s="189">
        <v>2.2267545946139699E-4</v>
      </c>
      <c r="N50" s="189">
        <v>3.6515297135704698E-4</v>
      </c>
      <c r="O50" s="189">
        <v>0.47600725439965702</v>
      </c>
      <c r="P50" s="189">
        <v>0.52250409174757595</v>
      </c>
      <c r="Q50" s="189">
        <v>1.4325210228447899E-2</v>
      </c>
      <c r="R50" s="189">
        <v>0.34507638199333801</v>
      </c>
      <c r="S50" s="189">
        <v>6.9755313283848097E-2</v>
      </c>
      <c r="T50" s="189">
        <v>0.25040188523287499</v>
      </c>
      <c r="U50" s="189">
        <v>0.35599989126012099</v>
      </c>
      <c r="V50" s="189">
        <v>0.41293065907726101</v>
      </c>
      <c r="W50" s="189"/>
      <c r="X50" s="90"/>
      <c r="Y50" s="188"/>
      <c r="Z50" s="188"/>
      <c r="AA50" s="188"/>
      <c r="AB50" s="188"/>
      <c r="AC50" s="188"/>
      <c r="AD50" s="190"/>
      <c r="AE50" s="189"/>
    </row>
    <row r="51" spans="1:31" ht="21.25" customHeight="1" x14ac:dyDescent="0.15">
      <c r="A51" s="10" t="s">
        <v>168</v>
      </c>
      <c r="B51" s="186" t="s">
        <v>856</v>
      </c>
      <c r="C51" s="187">
        <v>23</v>
      </c>
      <c r="D51" s="186" t="s">
        <v>848</v>
      </c>
      <c r="E51" s="90">
        <v>80.647499999999994</v>
      </c>
      <c r="F51" s="188">
        <v>17.777800466161299</v>
      </c>
      <c r="G51" s="189">
        <v>0.45211940606224399</v>
      </c>
      <c r="H51" s="189">
        <v>0.46794771022489401</v>
      </c>
      <c r="I51" s="189">
        <v>0.920067116287138</v>
      </c>
      <c r="J51" s="189">
        <v>3.0145642567209299</v>
      </c>
      <c r="K51" s="189">
        <v>0.135783894679571</v>
      </c>
      <c r="L51" s="189">
        <v>0.34457074185436698</v>
      </c>
      <c r="M51" s="189">
        <v>1.86661780637682E-3</v>
      </c>
      <c r="N51" s="189">
        <v>3.49097283730801E-3</v>
      </c>
      <c r="O51" s="189">
        <v>0.44084698285495399</v>
      </c>
      <c r="P51" s="189">
        <v>0.88076297768909895</v>
      </c>
      <c r="Q51" s="189">
        <v>3.1535807207763202E-2</v>
      </c>
      <c r="R51" s="189">
        <v>0.37933550754288797</v>
      </c>
      <c r="S51" s="189">
        <v>7.3082663579803905E-2</v>
      </c>
      <c r="T51" s="189">
        <v>0.26865518077133899</v>
      </c>
      <c r="U51" s="189">
        <v>0.48399226120997801</v>
      </c>
      <c r="V51" s="189">
        <v>0.356946912706053</v>
      </c>
      <c r="W51" s="189"/>
      <c r="X51" s="90"/>
      <c r="Y51" s="188"/>
      <c r="Z51" s="188"/>
      <c r="AA51" s="188"/>
      <c r="AB51" s="188"/>
      <c r="AC51" s="188"/>
      <c r="AD51" s="190"/>
      <c r="AE51" s="189"/>
    </row>
    <row r="52" spans="1:31" ht="21.25" customHeight="1" x14ac:dyDescent="0.15">
      <c r="A52" s="10" t="s">
        <v>212</v>
      </c>
      <c r="B52" s="186" t="s">
        <v>856</v>
      </c>
      <c r="C52" s="187">
        <v>22</v>
      </c>
      <c r="D52" s="186" t="s">
        <v>824</v>
      </c>
      <c r="E52" s="90">
        <v>78.097499999999997</v>
      </c>
      <c r="F52" s="188">
        <v>19.197756402789199</v>
      </c>
      <c r="G52" s="189">
        <v>0.41118196045543698</v>
      </c>
      <c r="H52" s="189">
        <v>0.50338926343213697</v>
      </c>
      <c r="I52" s="189">
        <v>0.91457122388757395</v>
      </c>
      <c r="J52" s="189">
        <v>2.2322204416068998</v>
      </c>
      <c r="K52" s="189">
        <v>0.122430465666958</v>
      </c>
      <c r="L52" s="189">
        <v>0.29629713055847801</v>
      </c>
      <c r="M52" s="189">
        <v>7.7748935949250196E-3</v>
      </c>
      <c r="N52" s="189">
        <v>8.5306277672811699E-3</v>
      </c>
      <c r="O52" s="189">
        <v>0.49811177417451102</v>
      </c>
      <c r="P52" s="189">
        <v>0.97995084516611097</v>
      </c>
      <c r="Q52" s="189">
        <v>2.7726084784714899E-2</v>
      </c>
      <c r="R52" s="189">
        <v>0.50906724499785705</v>
      </c>
      <c r="S52" s="189">
        <v>6.6465346284896795E-2</v>
      </c>
      <c r="T52" s="189">
        <v>5.0783677820745696</v>
      </c>
      <c r="U52" s="189">
        <v>6.7937953716302104</v>
      </c>
      <c r="V52" s="189">
        <v>0.42775421094931898</v>
      </c>
      <c r="W52" s="189"/>
      <c r="X52" s="90"/>
      <c r="Y52" s="188"/>
      <c r="Z52" s="188"/>
      <c r="AA52" s="188"/>
      <c r="AB52" s="188"/>
      <c r="AC52" s="188"/>
      <c r="AD52" s="190"/>
      <c r="AE52" s="189"/>
    </row>
    <row r="53" spans="1:31" ht="21.25" customHeight="1" x14ac:dyDescent="0.15">
      <c r="A53" s="10" t="s">
        <v>190</v>
      </c>
      <c r="B53" s="186" t="s">
        <v>865</v>
      </c>
      <c r="C53" s="187">
        <v>32</v>
      </c>
      <c r="D53" s="186" t="s">
        <v>825</v>
      </c>
      <c r="E53" s="90">
        <v>84.03</v>
      </c>
      <c r="F53" s="188">
        <v>18.946789489634199</v>
      </c>
      <c r="G53" s="189">
        <v>0.42917405817323301</v>
      </c>
      <c r="H53" s="189">
        <v>0.47590479622711201</v>
      </c>
      <c r="I53" s="189">
        <v>0.90507885440034497</v>
      </c>
      <c r="J53" s="189">
        <v>3.2206947577215601</v>
      </c>
      <c r="K53" s="189">
        <v>0.122373015072982</v>
      </c>
      <c r="L53" s="189">
        <v>0.30100745484645602</v>
      </c>
      <c r="M53" s="189">
        <v>6.7963921906837694E-5</v>
      </c>
      <c r="N53" s="189">
        <v>1.11622149497107E-4</v>
      </c>
      <c r="O53" s="189">
        <v>0.48136832460324602</v>
      </c>
      <c r="P53" s="189">
        <v>1.52575423872588</v>
      </c>
      <c r="Q53" s="189">
        <v>-2.8745047266497899E-2</v>
      </c>
      <c r="R53" s="189">
        <v>0.48195326403305999</v>
      </c>
      <c r="S53" s="189">
        <v>5.9451343519008201E-2</v>
      </c>
      <c r="T53" s="189">
        <v>0.115425692572344</v>
      </c>
      <c r="U53" s="189">
        <v>0.23212232466205601</v>
      </c>
      <c r="V53" s="189">
        <v>0.33211437513250702</v>
      </c>
      <c r="W53" s="189"/>
      <c r="X53" s="90"/>
      <c r="Y53" s="188"/>
      <c r="Z53" s="188"/>
      <c r="AA53" s="188"/>
      <c r="AB53" s="188"/>
      <c r="AC53" s="188"/>
      <c r="AD53" s="190"/>
      <c r="AE53" s="189"/>
    </row>
    <row r="54" spans="1:31" ht="21.25" customHeight="1" x14ac:dyDescent="0.15">
      <c r="A54" s="10" t="s">
        <v>207</v>
      </c>
      <c r="B54" s="186" t="s">
        <v>857</v>
      </c>
      <c r="C54" s="187">
        <v>26</v>
      </c>
      <c r="D54" s="186" t="s">
        <v>826</v>
      </c>
      <c r="E54" s="90">
        <v>82.152500000000003</v>
      </c>
      <c r="F54" s="188">
        <v>19.1859620115833</v>
      </c>
      <c r="G54" s="189">
        <v>0.37195311555988803</v>
      </c>
      <c r="H54" s="189">
        <v>0.52897505573362202</v>
      </c>
      <c r="I54" s="189">
        <v>0.90092817129350999</v>
      </c>
      <c r="J54" s="189">
        <v>2.8524642851669202</v>
      </c>
      <c r="K54" s="189">
        <v>8.5507207324808293E-2</v>
      </c>
      <c r="L54" s="189">
        <v>0.30181322395564097</v>
      </c>
      <c r="M54" s="189">
        <v>1.56987742437795E-3</v>
      </c>
      <c r="N54" s="189">
        <v>1.7552364493510001E-3</v>
      </c>
      <c r="O54" s="189">
        <v>0.51777101793660596</v>
      </c>
      <c r="P54" s="189">
        <v>0.76134816556250995</v>
      </c>
      <c r="Q54" s="189">
        <v>5.0722231960285399E-2</v>
      </c>
      <c r="R54" s="189">
        <v>0.35783016146063001</v>
      </c>
      <c r="S54" s="189">
        <v>5.99369850102624E-2</v>
      </c>
      <c r="T54" s="189">
        <v>0.12420597368218</v>
      </c>
      <c r="U54" s="189">
        <v>0.18869459607854</v>
      </c>
      <c r="V54" s="189">
        <v>0.396950295671122</v>
      </c>
      <c r="W54" s="189"/>
      <c r="X54" s="90"/>
      <c r="Y54" s="188"/>
      <c r="Z54" s="188"/>
      <c r="AA54" s="188"/>
      <c r="AB54" s="188"/>
      <c r="AC54" s="188"/>
      <c r="AD54" s="190"/>
      <c r="AE54" s="189"/>
    </row>
    <row r="55" spans="1:31" ht="21.25" customHeight="1" x14ac:dyDescent="0.15">
      <c r="A55" s="10" t="s">
        <v>230</v>
      </c>
      <c r="B55" s="186" t="s">
        <v>847</v>
      </c>
      <c r="C55" s="187">
        <v>29</v>
      </c>
      <c r="D55" s="186" t="s">
        <v>824</v>
      </c>
      <c r="E55" s="90">
        <v>77.857500000000002</v>
      </c>
      <c r="F55" s="188">
        <v>18.248448441431499</v>
      </c>
      <c r="G55" s="189">
        <v>0.35762917881448503</v>
      </c>
      <c r="H55" s="189">
        <v>0.54266873121121295</v>
      </c>
      <c r="I55" s="189">
        <v>0.90029791002569803</v>
      </c>
      <c r="J55" s="189">
        <v>2.46036825739403</v>
      </c>
      <c r="K55" s="189">
        <v>0.11472688448660801</v>
      </c>
      <c r="L55" s="189">
        <v>0.32889261514318602</v>
      </c>
      <c r="M55" s="189">
        <v>3.1021253418470301E-3</v>
      </c>
      <c r="N55" s="189">
        <v>6.71095404489942E-3</v>
      </c>
      <c r="O55" s="189">
        <v>0.47138915643197299</v>
      </c>
      <c r="P55" s="189">
        <v>0.97765343570935004</v>
      </c>
      <c r="Q55" s="189">
        <v>0.102465097877881</v>
      </c>
      <c r="R55" s="189">
        <v>0.38122830263638302</v>
      </c>
      <c r="S55" s="189">
        <v>6.04832456015977E-2</v>
      </c>
      <c r="T55" s="189">
        <v>7.1232130089565402</v>
      </c>
      <c r="U55" s="189">
        <v>5.5433698071710404</v>
      </c>
      <c r="V55" s="189">
        <v>0.56236264447637696</v>
      </c>
      <c r="W55" s="189"/>
      <c r="X55" s="90"/>
      <c r="Y55" s="188"/>
      <c r="Z55" s="188"/>
      <c r="AA55" s="188"/>
      <c r="AB55" s="188"/>
      <c r="AC55" s="188"/>
      <c r="AD55" s="190"/>
      <c r="AE55" s="189"/>
    </row>
    <row r="56" spans="1:31" ht="21.25" customHeight="1" x14ac:dyDescent="0.15">
      <c r="A56" s="10" t="s">
        <v>213</v>
      </c>
      <c r="B56" s="186" t="s">
        <v>849</v>
      </c>
      <c r="C56" s="187">
        <v>29</v>
      </c>
      <c r="D56" s="186" t="s">
        <v>826</v>
      </c>
      <c r="E56" s="90">
        <v>83.215000000000003</v>
      </c>
      <c r="F56" s="188">
        <v>19.244825047401999</v>
      </c>
      <c r="G56" s="189">
        <v>0.40975065917012699</v>
      </c>
      <c r="H56" s="189">
        <v>0.489492227575484</v>
      </c>
      <c r="I56" s="189">
        <v>0.89924288674561104</v>
      </c>
      <c r="J56" s="189">
        <v>2.8710005446631301</v>
      </c>
      <c r="K56" s="189">
        <v>6.6246036397085595E-2</v>
      </c>
      <c r="L56" s="189">
        <v>0.20319906117040501</v>
      </c>
      <c r="M56" s="189">
        <v>3.08242652226757E-3</v>
      </c>
      <c r="N56" s="189">
        <v>6.7856022641564397E-3</v>
      </c>
      <c r="O56" s="189">
        <v>0.472239602611774</v>
      </c>
      <c r="P56" s="189">
        <v>1.39569103257944</v>
      </c>
      <c r="Q56" s="189">
        <v>9.6470723234978392E-3</v>
      </c>
      <c r="R56" s="189">
        <v>0.61814316400492697</v>
      </c>
      <c r="S56" s="189">
        <v>6.4725919574892404E-2</v>
      </c>
      <c r="T56" s="189">
        <v>0.50420038034424797</v>
      </c>
      <c r="U56" s="189">
        <v>0.87619076114710404</v>
      </c>
      <c r="V56" s="189">
        <v>0.36525906693339</v>
      </c>
      <c r="W56" s="189"/>
      <c r="X56" s="90"/>
      <c r="Y56" s="189"/>
      <c r="Z56" s="189"/>
      <c r="AA56" s="189"/>
      <c r="AB56" s="189"/>
      <c r="AC56" s="188"/>
      <c r="AD56" s="190"/>
      <c r="AE56" s="189"/>
    </row>
    <row r="57" spans="1:31" ht="21.25" customHeight="1" x14ac:dyDescent="0.15">
      <c r="A57" s="10" t="s">
        <v>196</v>
      </c>
      <c r="B57" s="186" t="s">
        <v>842</v>
      </c>
      <c r="C57" s="187">
        <v>27</v>
      </c>
      <c r="D57" s="186" t="s">
        <v>824</v>
      </c>
      <c r="E57" s="90">
        <v>81.967500000000001</v>
      </c>
      <c r="F57" s="188">
        <v>21.065630806021399</v>
      </c>
      <c r="G57" s="189">
        <v>0.394405779387073</v>
      </c>
      <c r="H57" s="189">
        <v>0.50354776129102397</v>
      </c>
      <c r="I57" s="189">
        <v>0.89795354067809696</v>
      </c>
      <c r="J57" s="189">
        <v>2.6501236470712302</v>
      </c>
      <c r="K57" s="189">
        <v>0.14489446801206299</v>
      </c>
      <c r="L57" s="189">
        <v>0.31952893835204799</v>
      </c>
      <c r="M57" s="189">
        <v>3.36605233922881E-3</v>
      </c>
      <c r="N57" s="189">
        <v>1.7981952233543E-2</v>
      </c>
      <c r="O57" s="189">
        <v>0.76211418097079997</v>
      </c>
      <c r="P57" s="189">
        <v>0.68043592992911806</v>
      </c>
      <c r="Q57" s="189">
        <v>2.3534662546551101E-2</v>
      </c>
      <c r="R57" s="189">
        <v>0.33085008642624097</v>
      </c>
      <c r="S57" s="189">
        <v>5.89501820394066E-2</v>
      </c>
      <c r="T57" s="189">
        <v>12.600276702300899</v>
      </c>
      <c r="U57" s="189">
        <v>9.9506186185786891</v>
      </c>
      <c r="V57" s="189">
        <v>0.55874840102842804</v>
      </c>
      <c r="W57" s="189"/>
      <c r="X57" s="90"/>
      <c r="Y57" s="188"/>
      <c r="Z57" s="188"/>
      <c r="AA57" s="188"/>
      <c r="AB57" s="188"/>
      <c r="AC57" s="188"/>
      <c r="AD57" s="190"/>
      <c r="AE57" s="189"/>
    </row>
    <row r="58" spans="1:31" ht="21.25" customHeight="1" x14ac:dyDescent="0.15">
      <c r="A58" s="10" t="s">
        <v>223</v>
      </c>
      <c r="B58" s="186" t="s">
        <v>860</v>
      </c>
      <c r="C58" s="187">
        <v>30</v>
      </c>
      <c r="D58" s="186" t="s">
        <v>825</v>
      </c>
      <c r="E58" s="90">
        <v>82.242500000000007</v>
      </c>
      <c r="F58" s="188">
        <v>17.242639053097701</v>
      </c>
      <c r="G58" s="189">
        <v>0.33838708972644199</v>
      </c>
      <c r="H58" s="189">
        <v>0.55330425770932001</v>
      </c>
      <c r="I58" s="189">
        <v>0.89169134743576195</v>
      </c>
      <c r="J58" s="189">
        <v>2.6698332168188101</v>
      </c>
      <c r="K58" s="189">
        <v>9.5438036079449798E-2</v>
      </c>
      <c r="L58" s="189">
        <v>0.31306319086538897</v>
      </c>
      <c r="M58" s="189">
        <v>7.4621602894588897E-5</v>
      </c>
      <c r="N58" s="189">
        <v>1.21709183137003E-4</v>
      </c>
      <c r="O58" s="189">
        <v>0.37714227048308901</v>
      </c>
      <c r="P58" s="189">
        <v>0.43933864666678901</v>
      </c>
      <c r="Q58" s="189">
        <v>0.10472694502819201</v>
      </c>
      <c r="R58" s="189">
        <v>0.28848712642772201</v>
      </c>
      <c r="S58" s="189">
        <v>5.8109784873082299E-2</v>
      </c>
      <c r="T58" s="189">
        <v>0.10790795305883499</v>
      </c>
      <c r="U58" s="189">
        <v>0.24564347969075501</v>
      </c>
      <c r="V58" s="189">
        <v>0.30521147155204198</v>
      </c>
      <c r="W58" s="189"/>
      <c r="X58" s="90"/>
      <c r="Y58" s="188"/>
      <c r="Z58" s="188"/>
      <c r="AA58" s="188"/>
      <c r="AB58" s="188"/>
      <c r="AC58" s="188"/>
      <c r="AD58" s="190"/>
      <c r="AE58" s="189"/>
    </row>
    <row r="59" spans="1:31" ht="21.25" customHeight="1" x14ac:dyDescent="0.15">
      <c r="A59" s="10" t="s">
        <v>253</v>
      </c>
      <c r="B59" s="186" t="s">
        <v>866</v>
      </c>
      <c r="C59" s="187">
        <v>29</v>
      </c>
      <c r="D59" s="186" t="s">
        <v>846</v>
      </c>
      <c r="E59" s="90">
        <v>76.502499999999998</v>
      </c>
      <c r="F59" s="188">
        <v>20.5824112215832</v>
      </c>
      <c r="G59" s="189">
        <v>0.25526806680425601</v>
      </c>
      <c r="H59" s="189">
        <v>0.63596505971321604</v>
      </c>
      <c r="I59" s="189">
        <v>0.891233126517472</v>
      </c>
      <c r="J59" s="189">
        <v>2.4490035594478301</v>
      </c>
      <c r="K59" s="189">
        <v>4.3435360799617698E-2</v>
      </c>
      <c r="L59" s="189">
        <v>0.24506960079378301</v>
      </c>
      <c r="M59" s="189">
        <v>1.8310377514926799E-4</v>
      </c>
      <c r="N59" s="189">
        <v>3.0688072939725E-4</v>
      </c>
      <c r="O59" s="189">
        <v>0.63264719970146999</v>
      </c>
      <c r="P59" s="189">
        <v>0.47088046847751802</v>
      </c>
      <c r="Q59" s="189">
        <v>-3.6316061473255601E-3</v>
      </c>
      <c r="R59" s="189">
        <v>0.44137512876126</v>
      </c>
      <c r="S59" s="189">
        <v>3.7279724596810497E-2</v>
      </c>
      <c r="T59" s="189">
        <v>2.23572205320469</v>
      </c>
      <c r="U59" s="189">
        <v>3.1966000669438399</v>
      </c>
      <c r="V59" s="189">
        <v>0.41155918293437999</v>
      </c>
      <c r="W59" s="189"/>
      <c r="X59" s="90"/>
      <c r="Y59" s="188"/>
      <c r="Z59" s="188"/>
      <c r="AA59" s="188"/>
      <c r="AB59" s="188"/>
      <c r="AC59" s="188"/>
      <c r="AD59" s="190"/>
      <c r="AE59" s="189"/>
    </row>
    <row r="60" spans="1:31" ht="21.25" customHeight="1" x14ac:dyDescent="0.15">
      <c r="A60" s="10" t="s">
        <v>198</v>
      </c>
      <c r="B60" s="186" t="s">
        <v>864</v>
      </c>
      <c r="C60" s="187">
        <v>33</v>
      </c>
      <c r="D60" s="186" t="s">
        <v>846</v>
      </c>
      <c r="E60" s="90">
        <v>83.752499999999998</v>
      </c>
      <c r="F60" s="188">
        <v>20.994112513667801</v>
      </c>
      <c r="G60" s="189">
        <v>0.34425544656634399</v>
      </c>
      <c r="H60" s="189">
        <v>0.546688521941877</v>
      </c>
      <c r="I60" s="189">
        <v>0.890943968508221</v>
      </c>
      <c r="J60" s="189">
        <v>2.6751791665189599</v>
      </c>
      <c r="K60" s="189">
        <v>0.14612396432003899</v>
      </c>
      <c r="L60" s="189">
        <v>0.36003240514852197</v>
      </c>
      <c r="M60" s="189">
        <v>7.89175814776839E-3</v>
      </c>
      <c r="N60" s="189">
        <v>3.4272248517316001E-2</v>
      </c>
      <c r="O60" s="189">
        <v>0.62175191064184299</v>
      </c>
      <c r="P60" s="189">
        <v>1.04352805846743</v>
      </c>
      <c r="Q60" s="189">
        <v>-9.5556410060273298E-3</v>
      </c>
      <c r="R60" s="189">
        <v>0.27921690388328801</v>
      </c>
      <c r="S60" s="189">
        <v>5.4083836086306999E-2</v>
      </c>
      <c r="T60" s="189">
        <v>7.1219881762181503</v>
      </c>
      <c r="U60" s="189">
        <v>6.7057641222896196</v>
      </c>
      <c r="V60" s="189">
        <v>0.51505031493706499</v>
      </c>
      <c r="W60" s="189"/>
      <c r="X60" s="90"/>
      <c r="Y60" s="188"/>
      <c r="Z60" s="188"/>
      <c r="AA60" s="188"/>
      <c r="AB60" s="188"/>
      <c r="AC60" s="188"/>
      <c r="AD60" s="190"/>
      <c r="AE60" s="189"/>
    </row>
    <row r="61" spans="1:31" ht="21.25" customHeight="1" x14ac:dyDescent="0.15">
      <c r="A61" s="10" t="s">
        <v>203</v>
      </c>
      <c r="B61" s="186" t="s">
        <v>861</v>
      </c>
      <c r="C61" s="187">
        <v>30</v>
      </c>
      <c r="D61" s="186" t="s">
        <v>824</v>
      </c>
      <c r="E61" s="90">
        <v>81.209999999999994</v>
      </c>
      <c r="F61" s="188">
        <v>20.294954453433999</v>
      </c>
      <c r="G61" s="189">
        <v>0.40966736282409</v>
      </c>
      <c r="H61" s="189">
        <v>0.46789619287117501</v>
      </c>
      <c r="I61" s="189">
        <v>0.87756355569526501</v>
      </c>
      <c r="J61" s="189">
        <v>2.99173096542515</v>
      </c>
      <c r="K61" s="189">
        <v>0.163053792369937</v>
      </c>
      <c r="L61" s="189">
        <v>0.31419070402138999</v>
      </c>
      <c r="M61" s="189">
        <v>1.05659400319196E-2</v>
      </c>
      <c r="N61" s="189">
        <v>1.1763732246750499E-2</v>
      </c>
      <c r="O61" s="189">
        <v>0.46214367022738201</v>
      </c>
      <c r="P61" s="189">
        <v>0.63845464121344297</v>
      </c>
      <c r="Q61" s="189">
        <v>-2.2153716458013901E-2</v>
      </c>
      <c r="R61" s="189">
        <v>0.48686841570808798</v>
      </c>
      <c r="S61" s="189">
        <v>6.4198112986867006E-2</v>
      </c>
      <c r="T61" s="189">
        <v>10.8383371262859</v>
      </c>
      <c r="U61" s="189">
        <v>9.1991879444519302</v>
      </c>
      <c r="V61" s="189">
        <v>0.54090198704798298</v>
      </c>
      <c r="W61" s="189"/>
      <c r="X61" s="90"/>
      <c r="Y61" s="188"/>
      <c r="Z61" s="188"/>
      <c r="AA61" s="188"/>
      <c r="AB61" s="188"/>
      <c r="AC61" s="188"/>
      <c r="AD61" s="190"/>
      <c r="AE61" s="189"/>
    </row>
    <row r="62" spans="1:31" ht="21.25" customHeight="1" x14ac:dyDescent="0.15">
      <c r="A62" s="10" t="s">
        <v>228</v>
      </c>
      <c r="B62" s="186" t="s">
        <v>837</v>
      </c>
      <c r="C62" s="187">
        <v>30</v>
      </c>
      <c r="D62" s="186" t="s">
        <v>824</v>
      </c>
      <c r="E62" s="90">
        <v>79.87</v>
      </c>
      <c r="F62" s="188">
        <v>18.167937964700101</v>
      </c>
      <c r="G62" s="189">
        <v>0.39249713251325402</v>
      </c>
      <c r="H62" s="189">
        <v>0.48372777452178201</v>
      </c>
      <c r="I62" s="189">
        <v>0.87622490703503597</v>
      </c>
      <c r="J62" s="189">
        <v>2.2296178755027398</v>
      </c>
      <c r="K62" s="189">
        <v>0.143862421438919</v>
      </c>
      <c r="L62" s="189">
        <v>0.28857092070669998</v>
      </c>
      <c r="M62" s="189">
        <v>1.6612794008578701E-4</v>
      </c>
      <c r="N62" s="189">
        <v>2.7335636765893399E-4</v>
      </c>
      <c r="O62" s="189">
        <v>0.43545381043769799</v>
      </c>
      <c r="P62" s="189">
        <v>0.28254653216721798</v>
      </c>
      <c r="Q62" s="189">
        <v>0.108436743437484</v>
      </c>
      <c r="R62" s="189">
        <v>0.20988944146625399</v>
      </c>
      <c r="S62" s="189">
        <v>6.9671945581507494E-2</v>
      </c>
      <c r="T62" s="189">
        <v>4.5873282386229901</v>
      </c>
      <c r="U62" s="189">
        <v>5.2210895488558204</v>
      </c>
      <c r="V62" s="189">
        <v>0.46769298963580702</v>
      </c>
      <c r="W62" s="189"/>
      <c r="X62" s="90"/>
      <c r="Y62" s="188"/>
      <c r="Z62" s="188"/>
      <c r="AA62" s="188"/>
      <c r="AB62" s="188"/>
      <c r="AC62" s="188"/>
      <c r="AD62" s="190"/>
      <c r="AE62" s="189"/>
    </row>
    <row r="63" spans="1:31" ht="21.25" customHeight="1" x14ac:dyDescent="0.15">
      <c r="A63" s="10" t="s">
        <v>224</v>
      </c>
      <c r="B63" s="186" t="s">
        <v>840</v>
      </c>
      <c r="C63" s="187">
        <v>21</v>
      </c>
      <c r="D63" s="186" t="s">
        <v>848</v>
      </c>
      <c r="E63" s="90">
        <v>79.622500000000002</v>
      </c>
      <c r="F63" s="188">
        <v>19.077142194082398</v>
      </c>
      <c r="G63" s="189">
        <v>0.35231978537966102</v>
      </c>
      <c r="H63" s="189">
        <v>0.518110673278664</v>
      </c>
      <c r="I63" s="189">
        <v>0.87043045865832502</v>
      </c>
      <c r="J63" s="189">
        <v>2.4576435545777899</v>
      </c>
      <c r="K63" s="189">
        <v>0.10679775823799</v>
      </c>
      <c r="L63" s="189">
        <v>0.26595733268747501</v>
      </c>
      <c r="M63" s="189">
        <v>1.5330329536965999E-3</v>
      </c>
      <c r="N63" s="189">
        <v>2.52210732460073E-3</v>
      </c>
      <c r="O63" s="189">
        <v>0.25153775205551698</v>
      </c>
      <c r="P63" s="189">
        <v>0.332709841616882</v>
      </c>
      <c r="Q63" s="189">
        <v>-1.9555759277105601E-2</v>
      </c>
      <c r="R63" s="189">
        <v>0.31445218553770898</v>
      </c>
      <c r="S63" s="189">
        <v>4.9264712986686998E-2</v>
      </c>
      <c r="T63" s="189">
        <v>0.34951062756835499</v>
      </c>
      <c r="U63" s="189">
        <v>0.72997953672985405</v>
      </c>
      <c r="V63" s="189">
        <v>0.32377379537828099</v>
      </c>
      <c r="W63" s="189"/>
      <c r="X63" s="90"/>
      <c r="Y63" s="188"/>
      <c r="Z63" s="188"/>
      <c r="AA63" s="188"/>
      <c r="AB63" s="188"/>
      <c r="AC63" s="188"/>
      <c r="AD63" s="190"/>
      <c r="AE63" s="189"/>
    </row>
    <row r="64" spans="1:31" ht="21.25" customHeight="1" x14ac:dyDescent="0.15">
      <c r="A64" s="10" t="s">
        <v>137</v>
      </c>
      <c r="B64" s="186" t="s">
        <v>862</v>
      </c>
      <c r="C64" s="187">
        <v>26</v>
      </c>
      <c r="D64" s="186" t="s">
        <v>827</v>
      </c>
      <c r="E64" s="90">
        <v>81.094999999999999</v>
      </c>
      <c r="F64" s="188">
        <v>24.2439869964068</v>
      </c>
      <c r="G64" s="189">
        <v>0.24120436268350401</v>
      </c>
      <c r="H64" s="189">
        <v>0.62832008709495002</v>
      </c>
      <c r="I64" s="189">
        <v>0.869524449778454</v>
      </c>
      <c r="J64" s="189">
        <v>2.5739965063989598</v>
      </c>
      <c r="K64" s="189">
        <v>7.7351589363464396E-2</v>
      </c>
      <c r="L64" s="189">
        <v>0.27596567011803103</v>
      </c>
      <c r="M64" s="189">
        <v>3.2970611180632199E-4</v>
      </c>
      <c r="N64" s="189">
        <v>4.2786575884924101E-3</v>
      </c>
      <c r="O64" s="189">
        <v>1.2356322549415499</v>
      </c>
      <c r="P64" s="189">
        <v>1.03937170831091</v>
      </c>
      <c r="Q64" s="189">
        <v>6.2555395468648994E-2</v>
      </c>
      <c r="R64" s="189">
        <v>0.75129448969450296</v>
      </c>
      <c r="S64" s="189">
        <v>3.63663769707952E-2</v>
      </c>
      <c r="T64" s="189">
        <v>0</v>
      </c>
      <c r="U64" s="189">
        <v>0</v>
      </c>
      <c r="V64" s="189">
        <v>0</v>
      </c>
      <c r="W64" s="189"/>
      <c r="X64" s="90"/>
      <c r="Y64" s="189"/>
      <c r="Z64" s="189"/>
      <c r="AA64" s="189"/>
      <c r="AB64" s="189"/>
      <c r="AC64" s="188"/>
      <c r="AD64" s="190"/>
      <c r="AE64" s="189"/>
    </row>
    <row r="65" spans="1:31" ht="21.25" customHeight="1" x14ac:dyDescent="0.15">
      <c r="A65" s="10" t="s">
        <v>258</v>
      </c>
      <c r="B65" s="186" t="s">
        <v>864</v>
      </c>
      <c r="C65" s="187">
        <v>33</v>
      </c>
      <c r="D65" s="186" t="s">
        <v>852</v>
      </c>
      <c r="E65" s="90">
        <v>80.069999999999993</v>
      </c>
      <c r="F65" s="188">
        <v>19.879709160352402</v>
      </c>
      <c r="G65" s="189">
        <v>0.281491784392575</v>
      </c>
      <c r="H65" s="189">
        <v>0.58048379768265002</v>
      </c>
      <c r="I65" s="189">
        <v>0.86197558207522496</v>
      </c>
      <c r="J65" s="189">
        <v>2.1245272157959798</v>
      </c>
      <c r="K65" s="189">
        <v>7.6881936430310702E-2</v>
      </c>
      <c r="L65" s="189">
        <v>0.2778005446972</v>
      </c>
      <c r="M65" s="189">
        <v>6.0128685420425803E-3</v>
      </c>
      <c r="N65" s="189">
        <v>2.6575030076178899E-2</v>
      </c>
      <c r="O65" s="189">
        <v>0.59113166688718799</v>
      </c>
      <c r="P65" s="189">
        <v>1.92044915856765</v>
      </c>
      <c r="Q65" s="189">
        <v>5.6292001588379998E-4</v>
      </c>
      <c r="R65" s="189">
        <v>0.61872709430702799</v>
      </c>
      <c r="S65" s="189">
        <v>4.4223426756433697E-2</v>
      </c>
      <c r="T65" s="189">
        <v>8.4431539619590303</v>
      </c>
      <c r="U65" s="189">
        <v>5.8615081107227898</v>
      </c>
      <c r="V65" s="189">
        <v>0.59023791817377202</v>
      </c>
      <c r="W65" s="189"/>
      <c r="X65" s="90"/>
      <c r="Y65" s="188"/>
      <c r="Z65" s="188"/>
      <c r="AA65" s="188"/>
      <c r="AB65" s="188"/>
      <c r="AC65" s="188"/>
      <c r="AD65" s="190"/>
      <c r="AE65" s="189"/>
    </row>
    <row r="66" spans="1:31" ht="21.25" customHeight="1" x14ac:dyDescent="0.15">
      <c r="A66" s="10" t="s">
        <v>295</v>
      </c>
      <c r="B66" s="186" t="s">
        <v>867</v>
      </c>
      <c r="C66" s="187">
        <v>19</v>
      </c>
      <c r="D66" s="186" t="s">
        <v>826</v>
      </c>
      <c r="E66" s="90">
        <v>78</v>
      </c>
      <c r="F66" s="188">
        <v>16.899274935919401</v>
      </c>
      <c r="G66" s="189">
        <v>0.35536001872130601</v>
      </c>
      <c r="H66" s="189">
        <v>0.50562315900227195</v>
      </c>
      <c r="I66" s="189">
        <v>0.86098317772357802</v>
      </c>
      <c r="J66" s="189">
        <v>2.6986418581685401</v>
      </c>
      <c r="K66" s="189">
        <v>0.13240909177426499</v>
      </c>
      <c r="L66" s="189">
        <v>0.30243146990875402</v>
      </c>
      <c r="M66" s="189">
        <v>3.62335332258786E-4</v>
      </c>
      <c r="N66" s="189">
        <v>5.8968246826479002E-4</v>
      </c>
      <c r="O66" s="189">
        <v>0.39282371550745698</v>
      </c>
      <c r="P66" s="189">
        <v>1.34033813634976</v>
      </c>
      <c r="Q66" s="189">
        <v>1.3893880098098201E-2</v>
      </c>
      <c r="R66" s="189">
        <v>0.442763848635156</v>
      </c>
      <c r="S66" s="189">
        <v>5.6159306048736098E-2</v>
      </c>
      <c r="T66" s="189">
        <v>0.11018631372445301</v>
      </c>
      <c r="U66" s="189">
        <v>0.22037262744890601</v>
      </c>
      <c r="V66" s="189">
        <v>0.33333333333333298</v>
      </c>
      <c r="W66" s="189"/>
      <c r="X66" s="90"/>
      <c r="Y66" s="188"/>
      <c r="Z66" s="188"/>
      <c r="AA66" s="188"/>
      <c r="AB66" s="188"/>
      <c r="AC66" s="188"/>
      <c r="AD66" s="190"/>
      <c r="AE66" s="189"/>
    </row>
    <row r="67" spans="1:31" ht="21.25" customHeight="1" x14ac:dyDescent="0.15">
      <c r="A67" s="10" t="s">
        <v>226</v>
      </c>
      <c r="B67" s="186" t="s">
        <v>855</v>
      </c>
      <c r="C67" s="187">
        <v>34</v>
      </c>
      <c r="D67" s="186" t="s">
        <v>826</v>
      </c>
      <c r="E67" s="90">
        <v>78.742500000000007</v>
      </c>
      <c r="F67" s="188">
        <v>19.992658854166699</v>
      </c>
      <c r="G67" s="189">
        <v>0.38085799275847698</v>
      </c>
      <c r="H67" s="189">
        <v>0.47101050827717</v>
      </c>
      <c r="I67" s="189">
        <v>0.85186850103564704</v>
      </c>
      <c r="J67" s="189">
        <v>2.63139150966665</v>
      </c>
      <c r="K67" s="189">
        <v>9.2141663281247899E-2</v>
      </c>
      <c r="L67" s="189">
        <v>0.27610901575561603</v>
      </c>
      <c r="M67" s="189">
        <v>8.1857110303754192E-3</v>
      </c>
      <c r="N67" s="189">
        <v>1.6376652329459802E-2</v>
      </c>
      <c r="O67" s="189">
        <v>0.88353205606732099</v>
      </c>
      <c r="P67" s="189">
        <v>0.64695626277526197</v>
      </c>
      <c r="Q67" s="189">
        <v>1.7620709735799299E-3</v>
      </c>
      <c r="R67" s="189">
        <v>0.35122282248199999</v>
      </c>
      <c r="S67" s="189">
        <v>5.5219568828924398E-2</v>
      </c>
      <c r="T67" s="189">
        <v>6.0689278630415601E-2</v>
      </c>
      <c r="U67" s="189">
        <v>0.143292270090527</v>
      </c>
      <c r="V67" s="189">
        <v>0.29752337410400698</v>
      </c>
      <c r="W67" s="189"/>
      <c r="X67" s="90"/>
      <c r="Y67" s="188"/>
      <c r="Z67" s="188"/>
      <c r="AA67" s="188"/>
      <c r="AB67" s="188"/>
      <c r="AC67" s="188"/>
      <c r="AD67" s="190"/>
      <c r="AE67" s="189"/>
    </row>
    <row r="68" spans="1:31" ht="21.25" customHeight="1" x14ac:dyDescent="0.15">
      <c r="A68" s="10" t="s">
        <v>304</v>
      </c>
      <c r="B68" s="186" t="s">
        <v>851</v>
      </c>
      <c r="C68" s="187">
        <v>27</v>
      </c>
      <c r="D68" s="186" t="s">
        <v>846</v>
      </c>
      <c r="E68" s="90">
        <v>79.017499999999998</v>
      </c>
      <c r="F68" s="188">
        <v>18.757221458384201</v>
      </c>
      <c r="G68" s="189">
        <v>0.38408642943576898</v>
      </c>
      <c r="H68" s="189">
        <v>0.46638174382712799</v>
      </c>
      <c r="I68" s="189">
        <v>0.85046817326289703</v>
      </c>
      <c r="J68" s="189">
        <v>1.97367334871967</v>
      </c>
      <c r="K68" s="189">
        <v>0.158312140026617</v>
      </c>
      <c r="L68" s="189">
        <v>0.30911369465142102</v>
      </c>
      <c r="M68" s="189">
        <v>1.29589200582795E-4</v>
      </c>
      <c r="N68" s="189">
        <v>2.12677690659508E-4</v>
      </c>
      <c r="O68" s="189">
        <v>0.50563340748646102</v>
      </c>
      <c r="P68" s="189">
        <v>0.309362488078123</v>
      </c>
      <c r="Q68" s="189">
        <v>2.73222125805462E-2</v>
      </c>
      <c r="R68" s="189">
        <v>0.30704415225945803</v>
      </c>
      <c r="S68" s="189">
        <v>6.6742604577345696E-2</v>
      </c>
      <c r="T68" s="189">
        <v>0.61605436731431196</v>
      </c>
      <c r="U68" s="189">
        <v>0.74276050767075197</v>
      </c>
      <c r="V68" s="189">
        <v>0.45337623149075701</v>
      </c>
      <c r="W68" s="189"/>
      <c r="X68" s="90"/>
      <c r="Y68" s="188"/>
      <c r="Z68" s="188"/>
      <c r="AA68" s="188"/>
      <c r="AB68" s="188"/>
      <c r="AC68" s="188"/>
      <c r="AD68" s="190"/>
      <c r="AE68" s="189"/>
    </row>
    <row r="69" spans="1:31" ht="21.25" customHeight="1" x14ac:dyDescent="0.15">
      <c r="A69" s="10" t="s">
        <v>257</v>
      </c>
      <c r="B69" s="186" t="s">
        <v>850</v>
      </c>
      <c r="C69" s="187">
        <v>20</v>
      </c>
      <c r="D69" s="186" t="s">
        <v>826</v>
      </c>
      <c r="E69" s="90">
        <v>83.355000000000004</v>
      </c>
      <c r="F69" s="188">
        <v>17.262506797049902</v>
      </c>
      <c r="G69" s="189">
        <v>0.28063551948850102</v>
      </c>
      <c r="H69" s="189">
        <v>0.56611274666047096</v>
      </c>
      <c r="I69" s="189">
        <v>0.84674826614897203</v>
      </c>
      <c r="J69" s="189">
        <v>1.8054112378771101</v>
      </c>
      <c r="K69" s="189">
        <v>0.10274294317506399</v>
      </c>
      <c r="L69" s="189">
        <v>0.29072510292933501</v>
      </c>
      <c r="M69" s="189">
        <v>5.53674797757179E-5</v>
      </c>
      <c r="N69" s="189">
        <v>9.0856836700643501E-5</v>
      </c>
      <c r="O69" s="189">
        <v>0.37204165825457403</v>
      </c>
      <c r="P69" s="189">
        <v>0.50939933427643302</v>
      </c>
      <c r="Q69" s="189">
        <v>3.5672580728915701E-2</v>
      </c>
      <c r="R69" s="189">
        <v>0.437337328269919</v>
      </c>
      <c r="S69" s="189">
        <v>4.6723050754890999E-2</v>
      </c>
      <c r="T69" s="189">
        <v>0</v>
      </c>
      <c r="U69" s="189">
        <v>2.7848590143053301E-3</v>
      </c>
      <c r="V69" s="189">
        <v>0</v>
      </c>
      <c r="W69" s="189"/>
      <c r="X69" s="90"/>
      <c r="Y69" s="188"/>
      <c r="Z69" s="188"/>
      <c r="AA69" s="188"/>
      <c r="AB69" s="188"/>
      <c r="AC69" s="188"/>
      <c r="AD69" s="190"/>
      <c r="AE69" s="189"/>
    </row>
    <row r="70" spans="1:31" ht="21.25" customHeight="1" x14ac:dyDescent="0.15">
      <c r="A70" s="10" t="s">
        <v>238</v>
      </c>
      <c r="B70" s="186" t="s">
        <v>854</v>
      </c>
      <c r="C70" s="187">
        <v>19</v>
      </c>
      <c r="D70" s="186" t="s">
        <v>824</v>
      </c>
      <c r="E70" s="90">
        <v>78</v>
      </c>
      <c r="F70" s="188">
        <v>18.439969208231801</v>
      </c>
      <c r="G70" s="189">
        <v>0.31990015183819198</v>
      </c>
      <c r="H70" s="189">
        <v>0.52062944836074898</v>
      </c>
      <c r="I70" s="189">
        <v>0.84052960019894096</v>
      </c>
      <c r="J70" s="189">
        <v>2.8111257281690198</v>
      </c>
      <c r="K70" s="189">
        <v>6.8898171032858904E-2</v>
      </c>
      <c r="L70" s="189">
        <v>0.25009918408703502</v>
      </c>
      <c r="M70" s="189">
        <v>0</v>
      </c>
      <c r="N70" s="189">
        <v>0</v>
      </c>
      <c r="O70" s="189">
        <v>0.77953389447385601</v>
      </c>
      <c r="P70" s="189">
        <v>0.84883844712037004</v>
      </c>
      <c r="Q70" s="189">
        <v>-8.7675205138076695E-2</v>
      </c>
      <c r="R70" s="189">
        <v>0.41788749766106398</v>
      </c>
      <c r="S70" s="189">
        <v>3.9480812721067501E-2</v>
      </c>
      <c r="T70" s="189">
        <v>2.7890486111613999</v>
      </c>
      <c r="U70" s="189">
        <v>6.4496749133107496</v>
      </c>
      <c r="V70" s="189">
        <v>0.30188679245283001</v>
      </c>
      <c r="W70" s="189"/>
      <c r="X70" s="90"/>
      <c r="Y70" s="188"/>
      <c r="Z70" s="188"/>
      <c r="AA70" s="188"/>
      <c r="AB70" s="188"/>
      <c r="AC70" s="188"/>
      <c r="AD70" s="190"/>
      <c r="AE70" s="189"/>
    </row>
    <row r="71" spans="1:31" ht="21.25" customHeight="1" x14ac:dyDescent="0.15">
      <c r="A71" s="10" t="s">
        <v>261</v>
      </c>
      <c r="B71" s="186" t="s">
        <v>860</v>
      </c>
      <c r="C71" s="187">
        <v>26</v>
      </c>
      <c r="D71" s="186" t="s">
        <v>848</v>
      </c>
      <c r="E71" s="90">
        <v>79.822500000000005</v>
      </c>
      <c r="F71" s="188">
        <v>17.472110046768101</v>
      </c>
      <c r="G71" s="189">
        <v>0.35182421453770701</v>
      </c>
      <c r="H71" s="189">
        <v>0.48667057009624498</v>
      </c>
      <c r="I71" s="189">
        <v>0.838494784633952</v>
      </c>
      <c r="J71" s="189">
        <v>2.5646275756780401</v>
      </c>
      <c r="K71" s="189">
        <v>0.129860207834051</v>
      </c>
      <c r="L71" s="189">
        <v>0.31239314580892802</v>
      </c>
      <c r="M71" s="189">
        <v>1.5948064843044902E-5</v>
      </c>
      <c r="N71" s="189">
        <v>2.6115406793094899E-5</v>
      </c>
      <c r="O71" s="189">
        <v>0.27558265948746802</v>
      </c>
      <c r="P71" s="189">
        <v>1.8892721045602101</v>
      </c>
      <c r="Q71" s="189">
        <v>7.1419854150225601E-2</v>
      </c>
      <c r="R71" s="189">
        <v>0.79199216750255996</v>
      </c>
      <c r="S71" s="189">
        <v>6.04172855307658E-2</v>
      </c>
      <c r="T71" s="189">
        <v>9.3217967302136398E-2</v>
      </c>
      <c r="U71" s="189">
        <v>0.14409349783132999</v>
      </c>
      <c r="V71" s="189">
        <v>0.392808528023329</v>
      </c>
      <c r="W71" s="189"/>
      <c r="X71" s="90"/>
      <c r="Y71" s="188"/>
      <c r="Z71" s="188"/>
      <c r="AA71" s="188"/>
      <c r="AB71" s="188"/>
      <c r="AC71" s="188"/>
      <c r="AD71" s="190"/>
      <c r="AE71" s="189"/>
    </row>
    <row r="72" spans="1:31" ht="21.25" customHeight="1" x14ac:dyDescent="0.15">
      <c r="A72" s="10" t="s">
        <v>279</v>
      </c>
      <c r="B72" s="186" t="s">
        <v>855</v>
      </c>
      <c r="C72" s="187">
        <v>40</v>
      </c>
      <c r="D72" s="186" t="s">
        <v>852</v>
      </c>
      <c r="E72" s="90">
        <v>77.489999999999995</v>
      </c>
      <c r="F72" s="188">
        <v>17.737093365494299</v>
      </c>
      <c r="G72" s="189">
        <v>0.27076172256153302</v>
      </c>
      <c r="H72" s="189">
        <v>0.56718939455949702</v>
      </c>
      <c r="I72" s="189">
        <v>0.83795111712102999</v>
      </c>
      <c r="J72" s="189">
        <v>2.3587302727251802</v>
      </c>
      <c r="K72" s="189">
        <v>7.2406659274896895E-2</v>
      </c>
      <c r="L72" s="189">
        <v>0.30379745699976202</v>
      </c>
      <c r="M72" s="189">
        <v>2.37995394792832E-5</v>
      </c>
      <c r="N72" s="189">
        <v>4.0194378546718902E-5</v>
      </c>
      <c r="O72" s="189">
        <v>0.44367631272219799</v>
      </c>
      <c r="P72" s="189">
        <v>0.52829575846731502</v>
      </c>
      <c r="Q72" s="189">
        <v>6.8349092191826201E-3</v>
      </c>
      <c r="R72" s="189">
        <v>0.70679288935786999</v>
      </c>
      <c r="S72" s="189">
        <v>3.92570088051327E-2</v>
      </c>
      <c r="T72" s="189">
        <v>2.8616248891501899</v>
      </c>
      <c r="U72" s="189">
        <v>3.3301636762370599</v>
      </c>
      <c r="V72" s="189">
        <v>0.46216450366974399</v>
      </c>
      <c r="W72" s="189"/>
      <c r="X72" s="90"/>
      <c r="Y72" s="188"/>
      <c r="Z72" s="188"/>
      <c r="AA72" s="188"/>
      <c r="AB72" s="188"/>
      <c r="AC72" s="188"/>
      <c r="AD72" s="190"/>
      <c r="AE72" s="189"/>
    </row>
    <row r="73" spans="1:31" ht="21.25" customHeight="1" x14ac:dyDescent="0.15">
      <c r="A73" s="10" t="s">
        <v>265</v>
      </c>
      <c r="B73" s="186" t="s">
        <v>867</v>
      </c>
      <c r="C73" s="187">
        <v>29</v>
      </c>
      <c r="D73" s="186" t="s">
        <v>848</v>
      </c>
      <c r="E73" s="90">
        <v>82.542500000000004</v>
      </c>
      <c r="F73" s="188">
        <v>18.788773851757998</v>
      </c>
      <c r="G73" s="189">
        <v>0.31488828149892401</v>
      </c>
      <c r="H73" s="189">
        <v>0.52277531116104703</v>
      </c>
      <c r="I73" s="189">
        <v>0.83766359265997103</v>
      </c>
      <c r="J73" s="189">
        <v>2.30468067567086</v>
      </c>
      <c r="K73" s="189">
        <v>5.29123222873858E-2</v>
      </c>
      <c r="L73" s="189">
        <v>0.17762632761509101</v>
      </c>
      <c r="M73" s="189">
        <v>9.2514926410058006E-3</v>
      </c>
      <c r="N73" s="189">
        <v>1.5790998266612399E-2</v>
      </c>
      <c r="O73" s="189">
        <v>0.46485846344384102</v>
      </c>
      <c r="P73" s="189">
        <v>1.2244024966896201</v>
      </c>
      <c r="Q73" s="189">
        <v>1.2668720667451601E-2</v>
      </c>
      <c r="R73" s="189">
        <v>0.57507793311375599</v>
      </c>
      <c r="S73" s="189">
        <v>4.9763356709319001E-2</v>
      </c>
      <c r="T73" s="189">
        <v>0.32042029416383699</v>
      </c>
      <c r="U73" s="189">
        <v>0.50561275439408104</v>
      </c>
      <c r="V73" s="189">
        <v>0.38790251155595301</v>
      </c>
      <c r="W73" s="189"/>
      <c r="X73" s="90"/>
      <c r="Y73" s="188"/>
      <c r="Z73" s="188"/>
      <c r="AA73" s="188"/>
      <c r="AB73" s="188"/>
      <c r="AC73" s="188"/>
      <c r="AD73" s="190"/>
      <c r="AE73" s="189"/>
    </row>
    <row r="74" spans="1:31" ht="21.25" customHeight="1" x14ac:dyDescent="0.15">
      <c r="A74" s="10" t="s">
        <v>280</v>
      </c>
      <c r="B74" s="186" t="s">
        <v>845</v>
      </c>
      <c r="C74" s="187">
        <v>23</v>
      </c>
      <c r="D74" s="186" t="s">
        <v>848</v>
      </c>
      <c r="E74" s="90">
        <v>82.747500000000002</v>
      </c>
      <c r="F74" s="188">
        <v>18.961344175261502</v>
      </c>
      <c r="G74" s="189">
        <v>0.33950288800142697</v>
      </c>
      <c r="H74" s="189">
        <v>0.496468707411377</v>
      </c>
      <c r="I74" s="189">
        <v>0.83597159541280397</v>
      </c>
      <c r="J74" s="189">
        <v>1.9567846211026101</v>
      </c>
      <c r="K74" s="189">
        <v>7.5905110028939696E-2</v>
      </c>
      <c r="L74" s="189">
        <v>0.22020596429676401</v>
      </c>
      <c r="M74" s="189">
        <v>6.4139738812757398E-3</v>
      </c>
      <c r="N74" s="189">
        <v>7.1426267078690403E-3</v>
      </c>
      <c r="O74" s="189">
        <v>0.44807994138519103</v>
      </c>
      <c r="P74" s="189">
        <v>1.9513250731023499</v>
      </c>
      <c r="Q74" s="189">
        <v>-7.5788476103248502E-3</v>
      </c>
      <c r="R74" s="189">
        <v>0.50331237135561302</v>
      </c>
      <c r="S74" s="189">
        <v>4.6362758673800901E-2</v>
      </c>
      <c r="T74" s="189">
        <v>4.5053619607140303E-3</v>
      </c>
      <c r="U74" s="189">
        <v>5.6042194065684003E-2</v>
      </c>
      <c r="V74" s="189">
        <v>7.4410302519060403E-2</v>
      </c>
      <c r="W74" s="189"/>
      <c r="X74" s="90"/>
      <c r="Y74" s="188"/>
      <c r="Z74" s="188"/>
      <c r="AA74" s="188"/>
      <c r="AB74" s="188"/>
      <c r="AC74" s="188"/>
      <c r="AD74" s="190"/>
      <c r="AE74" s="189"/>
    </row>
    <row r="75" spans="1:31" ht="21.25" customHeight="1" x14ac:dyDescent="0.15">
      <c r="A75" s="10" t="s">
        <v>231</v>
      </c>
      <c r="B75" s="186" t="s">
        <v>850</v>
      </c>
      <c r="C75" s="187">
        <v>22</v>
      </c>
      <c r="D75" s="186" t="s">
        <v>848</v>
      </c>
      <c r="E75" s="90">
        <v>83.617500000000007</v>
      </c>
      <c r="F75" s="188">
        <v>18.6712304250381</v>
      </c>
      <c r="G75" s="189">
        <v>0.328138837611956</v>
      </c>
      <c r="H75" s="189">
        <v>0.50346367284845295</v>
      </c>
      <c r="I75" s="189">
        <v>0.83160251046040901</v>
      </c>
      <c r="J75" s="189">
        <v>2.1543392889133202</v>
      </c>
      <c r="K75" s="189">
        <v>0.139139913080361</v>
      </c>
      <c r="L75" s="189">
        <v>0.28156593488619103</v>
      </c>
      <c r="M75" s="189">
        <v>1.27241846762608E-4</v>
      </c>
      <c r="N75" s="189">
        <v>2.0921818234087E-4</v>
      </c>
      <c r="O75" s="189">
        <v>0.87314540342054603</v>
      </c>
      <c r="P75" s="189">
        <v>1.57021607763204</v>
      </c>
      <c r="Q75" s="189">
        <v>5.1327329969892699E-2</v>
      </c>
      <c r="R75" s="189">
        <v>0.568490085265276</v>
      </c>
      <c r="S75" s="189">
        <v>5.46318854874056E-2</v>
      </c>
      <c r="T75" s="189">
        <v>0.212166276340157</v>
      </c>
      <c r="U75" s="189">
        <v>0.39122653666031798</v>
      </c>
      <c r="V75" s="189">
        <v>0.35162214691475002</v>
      </c>
      <c r="W75" s="189"/>
      <c r="X75" s="90"/>
      <c r="Y75" s="188"/>
      <c r="Z75" s="188"/>
      <c r="AA75" s="188"/>
      <c r="AB75" s="188"/>
      <c r="AC75" s="188"/>
      <c r="AD75" s="190"/>
      <c r="AE75" s="189"/>
    </row>
    <row r="76" spans="1:31" ht="21.25" customHeight="1" x14ac:dyDescent="0.15">
      <c r="A76" s="10" t="s">
        <v>216</v>
      </c>
      <c r="B76" s="186" t="s">
        <v>857</v>
      </c>
      <c r="C76" s="187">
        <v>21</v>
      </c>
      <c r="D76" s="186" t="s">
        <v>824</v>
      </c>
      <c r="E76" s="90">
        <v>80.73</v>
      </c>
      <c r="F76" s="188">
        <v>19.643366047408598</v>
      </c>
      <c r="G76" s="189">
        <v>0.37660456654460001</v>
      </c>
      <c r="H76" s="189">
        <v>0.44973367923009899</v>
      </c>
      <c r="I76" s="189">
        <v>0.82633824577469905</v>
      </c>
      <c r="J76" s="189">
        <v>2.79552711381546</v>
      </c>
      <c r="K76" s="189">
        <v>6.9724746757204206E-2</v>
      </c>
      <c r="L76" s="189">
        <v>0.20205263096784301</v>
      </c>
      <c r="M76" s="189">
        <v>2.0594163937633601E-3</v>
      </c>
      <c r="N76" s="189">
        <v>3.93102912648958E-3</v>
      </c>
      <c r="O76" s="189">
        <v>0.62824972620953701</v>
      </c>
      <c r="P76" s="189">
        <v>1.5246533339150701</v>
      </c>
      <c r="Q76" s="189">
        <v>-7.1697526371073501E-4</v>
      </c>
      <c r="R76" s="189">
        <v>0.40959370091645902</v>
      </c>
      <c r="S76" s="189">
        <v>6.06865255740697E-2</v>
      </c>
      <c r="T76" s="189">
        <v>6.2797089450352503</v>
      </c>
      <c r="U76" s="189">
        <v>7.4424752890416697</v>
      </c>
      <c r="V76" s="189">
        <v>0.45763187827201501</v>
      </c>
      <c r="W76" s="189"/>
      <c r="X76" s="90"/>
      <c r="Y76" s="188"/>
      <c r="Z76" s="188"/>
      <c r="AA76" s="188"/>
      <c r="AB76" s="188"/>
      <c r="AC76" s="188"/>
      <c r="AD76" s="190"/>
      <c r="AE76" s="189"/>
    </row>
    <row r="77" spans="1:31" ht="21.25" customHeight="1" x14ac:dyDescent="0.15">
      <c r="A77" s="10" t="s">
        <v>204</v>
      </c>
      <c r="B77" s="186" t="s">
        <v>866</v>
      </c>
      <c r="C77" s="187">
        <v>31</v>
      </c>
      <c r="D77" s="186" t="s">
        <v>824</v>
      </c>
      <c r="E77" s="90">
        <v>81.31</v>
      </c>
      <c r="F77" s="188">
        <v>21.984453850891601</v>
      </c>
      <c r="G77" s="189">
        <v>0.41089818273219098</v>
      </c>
      <c r="H77" s="189">
        <v>0.41318829355354503</v>
      </c>
      <c r="I77" s="189">
        <v>0.82408647628573595</v>
      </c>
      <c r="J77" s="189">
        <v>3.3543839622242202</v>
      </c>
      <c r="K77" s="189">
        <v>8.4376654428250694E-2</v>
      </c>
      <c r="L77" s="189">
        <v>0.18834903393969299</v>
      </c>
      <c r="M77" s="189">
        <v>2.2287087402891901E-2</v>
      </c>
      <c r="N77" s="189">
        <v>2.67039138032442E-2</v>
      </c>
      <c r="O77" s="189">
        <v>0.59186114260988898</v>
      </c>
      <c r="P77" s="189">
        <v>0.93636767279696198</v>
      </c>
      <c r="Q77" s="189">
        <v>-2.3834278119092299E-2</v>
      </c>
      <c r="R77" s="189">
        <v>0.39326687519592601</v>
      </c>
      <c r="S77" s="189">
        <v>6.0008176037671897E-2</v>
      </c>
      <c r="T77" s="189">
        <v>10.6736305119116</v>
      </c>
      <c r="U77" s="189">
        <v>8.2725275285755995</v>
      </c>
      <c r="V77" s="189">
        <v>0.56336648776509202</v>
      </c>
      <c r="W77" s="189"/>
      <c r="X77" s="90"/>
      <c r="Y77" s="188"/>
      <c r="Z77" s="188"/>
      <c r="AA77" s="188"/>
      <c r="AB77" s="188"/>
      <c r="AC77" s="188"/>
      <c r="AD77" s="190"/>
      <c r="AE77" s="189"/>
    </row>
    <row r="78" spans="1:31" ht="21.25" customHeight="1" x14ac:dyDescent="0.15">
      <c r="A78" s="10" t="s">
        <v>235</v>
      </c>
      <c r="B78" s="186" t="s">
        <v>868</v>
      </c>
      <c r="C78" s="187">
        <v>27</v>
      </c>
      <c r="D78" s="186" t="s">
        <v>824</v>
      </c>
      <c r="E78" s="90">
        <v>80.135000000000005</v>
      </c>
      <c r="F78" s="188">
        <v>20.301636390606902</v>
      </c>
      <c r="G78" s="189">
        <v>0.27503387545344599</v>
      </c>
      <c r="H78" s="189">
        <v>0.53713445237661395</v>
      </c>
      <c r="I78" s="189">
        <v>0.81216832783005999</v>
      </c>
      <c r="J78" s="189">
        <v>2.0542749094071802</v>
      </c>
      <c r="K78" s="189">
        <v>9.0121836041013703E-2</v>
      </c>
      <c r="L78" s="189">
        <v>0.29735606174553703</v>
      </c>
      <c r="M78" s="189">
        <v>1.16095633124043E-2</v>
      </c>
      <c r="N78" s="189">
        <v>2.0242598965608299E-2</v>
      </c>
      <c r="O78" s="189">
        <v>1.35443843775423</v>
      </c>
      <c r="P78" s="189">
        <v>1.0091964109364</v>
      </c>
      <c r="Q78" s="189">
        <v>-0.12134984747060799</v>
      </c>
      <c r="R78" s="189">
        <v>0.28327404002897</v>
      </c>
      <c r="S78" s="189">
        <v>3.4081516812586497E-2</v>
      </c>
      <c r="T78" s="189">
        <v>8.5073905580798002</v>
      </c>
      <c r="U78" s="189">
        <v>9.0733326028352206</v>
      </c>
      <c r="V78" s="189">
        <v>0.48390447197264302</v>
      </c>
      <c r="W78" s="189"/>
      <c r="X78" s="90"/>
      <c r="Y78" s="188"/>
      <c r="Z78" s="188"/>
      <c r="AA78" s="188"/>
      <c r="AB78" s="188"/>
      <c r="AC78" s="188"/>
      <c r="AD78" s="190"/>
      <c r="AE78" s="189"/>
    </row>
    <row r="79" spans="1:31" ht="21.25" customHeight="1" x14ac:dyDescent="0.15">
      <c r="A79" s="10" t="s">
        <v>239</v>
      </c>
      <c r="B79" s="186" t="s">
        <v>859</v>
      </c>
      <c r="C79" s="187">
        <v>20</v>
      </c>
      <c r="D79" s="186" t="s">
        <v>826</v>
      </c>
      <c r="E79" s="90">
        <v>83.355000000000004</v>
      </c>
      <c r="F79" s="188">
        <v>17.856825931173699</v>
      </c>
      <c r="G79" s="189">
        <v>0.31238339584527303</v>
      </c>
      <c r="H79" s="189">
        <v>0.498582566108839</v>
      </c>
      <c r="I79" s="189">
        <v>0.81096596195411197</v>
      </c>
      <c r="J79" s="189">
        <v>2.48633845505625</v>
      </c>
      <c r="K79" s="189">
        <v>3.3337898399663599E-2</v>
      </c>
      <c r="L79" s="189">
        <v>0.207220391881657</v>
      </c>
      <c r="M79" s="189">
        <v>2.4721142076455699E-4</v>
      </c>
      <c r="N79" s="189">
        <v>4.0057677837155399E-4</v>
      </c>
      <c r="O79" s="189">
        <v>0.32459989634920999</v>
      </c>
      <c r="P79" s="189">
        <v>1.1509219839968901</v>
      </c>
      <c r="Q79" s="189">
        <v>-3.2381534593259903E-2</v>
      </c>
      <c r="R79" s="189">
        <v>0.66305551392988504</v>
      </c>
      <c r="S79" s="189">
        <v>4.5638318505031097E-2</v>
      </c>
      <c r="T79" s="189">
        <v>3.7446684417174199E-2</v>
      </c>
      <c r="U79" s="189">
        <v>2.49644562781162E-2</v>
      </c>
      <c r="V79" s="189">
        <v>0.6</v>
      </c>
      <c r="W79" s="189"/>
      <c r="X79" s="90"/>
      <c r="Y79" s="188"/>
      <c r="Z79" s="188"/>
      <c r="AA79" s="188"/>
      <c r="AB79" s="188"/>
      <c r="AC79" s="188"/>
      <c r="AD79" s="190"/>
      <c r="AE79" s="189"/>
    </row>
    <row r="80" spans="1:31" ht="21.25" customHeight="1" x14ac:dyDescent="0.15">
      <c r="A80" s="10" t="s">
        <v>251</v>
      </c>
      <c r="B80" s="186" t="s">
        <v>869</v>
      </c>
      <c r="C80" s="187">
        <v>29</v>
      </c>
      <c r="D80" s="186" t="s">
        <v>824</v>
      </c>
      <c r="E80" s="90">
        <v>83.674999999999997</v>
      </c>
      <c r="F80" s="188">
        <v>17.948207088795701</v>
      </c>
      <c r="G80" s="189">
        <v>0.28538501595913002</v>
      </c>
      <c r="H80" s="189">
        <v>0.52278860641237801</v>
      </c>
      <c r="I80" s="189">
        <v>0.80817362237150803</v>
      </c>
      <c r="J80" s="189">
        <v>1.87211259014417</v>
      </c>
      <c r="K80" s="189">
        <v>8.2742313271571694E-2</v>
      </c>
      <c r="L80" s="189">
        <v>0.29544065877228598</v>
      </c>
      <c r="M80" s="189">
        <v>2.33721691788215E-4</v>
      </c>
      <c r="N80" s="189">
        <v>3.88000076389094E-4</v>
      </c>
      <c r="O80" s="189">
        <v>0.65344749653201295</v>
      </c>
      <c r="P80" s="189">
        <v>0.26309621070292899</v>
      </c>
      <c r="Q80" s="189">
        <v>5.2388832526236599E-2</v>
      </c>
      <c r="R80" s="189">
        <v>0.40976291948425903</v>
      </c>
      <c r="S80" s="189">
        <v>4.2741918272886002E-2</v>
      </c>
      <c r="T80" s="189">
        <v>9.1125107949550905</v>
      </c>
      <c r="U80" s="189">
        <v>7.3499119585766097</v>
      </c>
      <c r="V80" s="189">
        <v>0.55353400476853698</v>
      </c>
      <c r="W80" s="189"/>
      <c r="X80" s="90"/>
      <c r="Y80" s="188"/>
      <c r="Z80" s="188"/>
      <c r="AA80" s="188"/>
      <c r="AB80" s="188"/>
      <c r="AC80" s="188"/>
      <c r="AD80" s="190"/>
      <c r="AE80" s="189"/>
    </row>
    <row r="81" spans="1:31" ht="21.25" customHeight="1" x14ac:dyDescent="0.15">
      <c r="A81" s="10" t="s">
        <v>141</v>
      </c>
      <c r="B81" s="186" t="s">
        <v>866</v>
      </c>
      <c r="C81" s="187">
        <v>18</v>
      </c>
      <c r="D81" s="186" t="s">
        <v>827</v>
      </c>
      <c r="E81" s="90">
        <v>83.355000000000004</v>
      </c>
      <c r="F81" s="188">
        <v>24.819063462271298</v>
      </c>
      <c r="G81" s="189">
        <v>0.29664287563881497</v>
      </c>
      <c r="H81" s="189">
        <v>0.51142956972203302</v>
      </c>
      <c r="I81" s="189">
        <v>0.80807244536084799</v>
      </c>
      <c r="J81" s="189">
        <v>2.7081303873673299</v>
      </c>
      <c r="K81" s="189">
        <v>0.113485822185734</v>
      </c>
      <c r="L81" s="189">
        <v>0.26897997151175801</v>
      </c>
      <c r="M81" s="189">
        <v>3.9348301812872099E-4</v>
      </c>
      <c r="N81" s="189">
        <v>1.3128910832277301E-3</v>
      </c>
      <c r="O81" s="189">
        <v>1.36520985718191</v>
      </c>
      <c r="P81" s="189">
        <v>0.55572617937421298</v>
      </c>
      <c r="Q81" s="189">
        <v>-1.3492550326447E-2</v>
      </c>
      <c r="R81" s="189">
        <v>0.52385293351557505</v>
      </c>
      <c r="S81" s="189">
        <v>4.3322162642070602E-2</v>
      </c>
      <c r="T81" s="189">
        <v>0</v>
      </c>
      <c r="U81" s="189">
        <v>0</v>
      </c>
      <c r="V81" s="189">
        <v>0</v>
      </c>
      <c r="W81" s="189"/>
      <c r="X81" s="90"/>
      <c r="Y81" s="188"/>
      <c r="Z81" s="188"/>
      <c r="AA81" s="188"/>
      <c r="AB81" s="188"/>
      <c r="AC81" s="188"/>
      <c r="AD81" s="190"/>
      <c r="AE81" s="189"/>
    </row>
    <row r="82" spans="1:31" ht="21.25" customHeight="1" x14ac:dyDescent="0.15">
      <c r="A82" s="10" t="s">
        <v>275</v>
      </c>
      <c r="B82" s="186" t="s">
        <v>858</v>
      </c>
      <c r="C82" s="187">
        <v>22</v>
      </c>
      <c r="D82" s="186" t="s">
        <v>826</v>
      </c>
      <c r="E82" s="90">
        <v>79.05</v>
      </c>
      <c r="F82" s="188">
        <v>17.7291650827277</v>
      </c>
      <c r="G82" s="189">
        <v>0.330031042491014</v>
      </c>
      <c r="H82" s="189">
        <v>0.47740587633040998</v>
      </c>
      <c r="I82" s="189">
        <v>0.80743691882142399</v>
      </c>
      <c r="J82" s="189">
        <v>2.5535708132562398</v>
      </c>
      <c r="K82" s="189">
        <v>9.5106677292287597E-2</v>
      </c>
      <c r="L82" s="189">
        <v>0.18484779286595901</v>
      </c>
      <c r="M82" s="189">
        <v>2.7460547196267401E-5</v>
      </c>
      <c r="N82" s="189">
        <v>4.4732723395300799E-5</v>
      </c>
      <c r="O82" s="189">
        <v>0.56332693366916198</v>
      </c>
      <c r="P82" s="189">
        <v>1.00716171924137</v>
      </c>
      <c r="Q82" s="189">
        <v>-4.9535339541337403E-3</v>
      </c>
      <c r="R82" s="189">
        <v>0.319205745143049</v>
      </c>
      <c r="S82" s="189">
        <v>4.7587520674936303E-2</v>
      </c>
      <c r="T82" s="189">
        <v>5.5296401251213198E-2</v>
      </c>
      <c r="U82" s="189">
        <v>0.123340135738966</v>
      </c>
      <c r="V82" s="189">
        <v>0.30954698396472602</v>
      </c>
      <c r="W82" s="189"/>
      <c r="X82" s="90"/>
      <c r="Y82" s="188"/>
      <c r="Z82" s="188"/>
      <c r="AA82" s="188"/>
      <c r="AB82" s="188"/>
      <c r="AC82" s="188"/>
      <c r="AD82" s="190"/>
      <c r="AE82" s="189"/>
    </row>
    <row r="83" spans="1:31" ht="21.25" customHeight="1" x14ac:dyDescent="0.15">
      <c r="A83" s="10" t="s">
        <v>229</v>
      </c>
      <c r="B83" s="186" t="s">
        <v>853</v>
      </c>
      <c r="C83" s="187">
        <v>26</v>
      </c>
      <c r="D83" s="186" t="s">
        <v>839</v>
      </c>
      <c r="E83" s="90">
        <v>78.650000000000006</v>
      </c>
      <c r="F83" s="188">
        <v>17.475160234290101</v>
      </c>
      <c r="G83" s="189">
        <v>0.35495974934569802</v>
      </c>
      <c r="H83" s="189">
        <v>0.45134476003637403</v>
      </c>
      <c r="I83" s="189">
        <v>0.80630450938207199</v>
      </c>
      <c r="J83" s="189">
        <v>3.6290020823118398</v>
      </c>
      <c r="K83" s="189">
        <v>8.6207157020895098E-2</v>
      </c>
      <c r="L83" s="189">
        <v>0.21584133992499599</v>
      </c>
      <c r="M83" s="189">
        <v>2.4092243596191402E-3</v>
      </c>
      <c r="N83" s="189">
        <v>2.6968867051282699E-3</v>
      </c>
      <c r="O83" s="189">
        <v>0.40546808219782199</v>
      </c>
      <c r="P83" s="189">
        <v>2.76542479501882</v>
      </c>
      <c r="Q83" s="189">
        <v>7.5384585199683399E-2</v>
      </c>
      <c r="R83" s="189">
        <v>0.93536717163372296</v>
      </c>
      <c r="S83" s="189">
        <v>5.9099296068554498E-2</v>
      </c>
      <c r="T83" s="189">
        <v>2.65462155209147</v>
      </c>
      <c r="U83" s="189">
        <v>2.2783981119625101</v>
      </c>
      <c r="V83" s="189">
        <v>0.53813317863604204</v>
      </c>
      <c r="W83" s="189"/>
      <c r="X83" s="90"/>
      <c r="Y83" s="188"/>
      <c r="Z83" s="188"/>
      <c r="AA83" s="188"/>
      <c r="AB83" s="188"/>
      <c r="AC83" s="188"/>
      <c r="AD83" s="190"/>
      <c r="AE83" s="189"/>
    </row>
    <row r="84" spans="1:31" ht="21.25" customHeight="1" x14ac:dyDescent="0.15">
      <c r="A84" s="10" t="s">
        <v>536</v>
      </c>
      <c r="B84" s="186" t="s">
        <v>859</v>
      </c>
      <c r="C84" s="187">
        <v>28</v>
      </c>
      <c r="D84" s="186" t="s">
        <v>826</v>
      </c>
      <c r="E84" s="90">
        <v>52</v>
      </c>
      <c r="F84" s="188">
        <v>18.520021999251</v>
      </c>
      <c r="G84" s="189">
        <v>0.292363376559093</v>
      </c>
      <c r="H84" s="189">
        <v>0.50678879268599497</v>
      </c>
      <c r="I84" s="189">
        <v>0.79915216924508803</v>
      </c>
      <c r="J84" s="189">
        <v>2.5248891494937902</v>
      </c>
      <c r="K84" s="189">
        <v>4.02693255598707E-2</v>
      </c>
      <c r="L84" s="189">
        <v>0.15704167418850001</v>
      </c>
      <c r="M84" s="189">
        <v>2.3248283097511001E-2</v>
      </c>
      <c r="N84" s="189">
        <v>4.5821100890465198E-2</v>
      </c>
      <c r="O84" s="189">
        <v>0.35623831672207001</v>
      </c>
      <c r="P84" s="189">
        <v>0.18470177735924601</v>
      </c>
      <c r="Q84" s="189">
        <v>-2.71076951159233E-2</v>
      </c>
      <c r="R84" s="189">
        <v>0.30234366245205302</v>
      </c>
      <c r="S84" s="189">
        <v>4.2713451086302701E-2</v>
      </c>
      <c r="T84" s="189">
        <v>8.2257806823144305E-2</v>
      </c>
      <c r="U84" s="189">
        <v>0.138233596478225</v>
      </c>
      <c r="V84" s="189">
        <v>0.37306582293693302</v>
      </c>
      <c r="W84" s="189"/>
      <c r="X84" s="90"/>
      <c r="Y84" s="188"/>
      <c r="Z84" s="188"/>
      <c r="AA84" s="188"/>
      <c r="AB84" s="188"/>
      <c r="AC84" s="188"/>
      <c r="AD84" s="190"/>
      <c r="AE84" s="189"/>
    </row>
    <row r="85" spans="1:31" ht="21.25" customHeight="1" x14ac:dyDescent="0.15">
      <c r="A85" s="10" t="s">
        <v>278</v>
      </c>
      <c r="B85" s="186" t="s">
        <v>841</v>
      </c>
      <c r="C85" s="187">
        <v>28</v>
      </c>
      <c r="D85" s="186" t="s">
        <v>852</v>
      </c>
      <c r="E85" s="90">
        <v>82.564999999999998</v>
      </c>
      <c r="F85" s="188">
        <v>17.457431171797399</v>
      </c>
      <c r="G85" s="189">
        <v>0.42567082687466001</v>
      </c>
      <c r="H85" s="189">
        <v>0.372035278855681</v>
      </c>
      <c r="I85" s="189">
        <v>0.79770610573034095</v>
      </c>
      <c r="J85" s="189">
        <v>2.1958338468079499</v>
      </c>
      <c r="K85" s="189">
        <v>0.124479813885208</v>
      </c>
      <c r="L85" s="189">
        <v>0.26279231574920597</v>
      </c>
      <c r="M85" s="189">
        <v>1.6753847552011701E-5</v>
      </c>
      <c r="N85" s="189">
        <v>2.7361913624104299E-5</v>
      </c>
      <c r="O85" s="189">
        <v>0.43141707589369599</v>
      </c>
      <c r="P85" s="189">
        <v>1.3635040789192601</v>
      </c>
      <c r="Q85" s="189">
        <v>-1.19883457345989E-2</v>
      </c>
      <c r="R85" s="189">
        <v>0.33551405481531599</v>
      </c>
      <c r="S85" s="189">
        <v>5.7304522059521398E-2</v>
      </c>
      <c r="T85" s="189">
        <v>1.55609229686775</v>
      </c>
      <c r="U85" s="189">
        <v>1.8359087763886699</v>
      </c>
      <c r="V85" s="189">
        <v>0.45875348010248601</v>
      </c>
      <c r="W85" s="189"/>
      <c r="X85" s="90"/>
      <c r="Y85" s="188"/>
      <c r="Z85" s="188"/>
      <c r="AA85" s="188"/>
      <c r="AB85" s="188"/>
      <c r="AC85" s="188"/>
      <c r="AD85" s="190"/>
      <c r="AE85" s="189"/>
    </row>
    <row r="86" spans="1:31" ht="21.25" customHeight="1" x14ac:dyDescent="0.15">
      <c r="A86" s="10" t="s">
        <v>240</v>
      </c>
      <c r="B86" s="186" t="s">
        <v>864</v>
      </c>
      <c r="C86" s="187">
        <v>25</v>
      </c>
      <c r="D86" s="186" t="s">
        <v>848</v>
      </c>
      <c r="E86" s="90">
        <v>80.53</v>
      </c>
      <c r="F86" s="188">
        <v>17.6071687179878</v>
      </c>
      <c r="G86" s="189">
        <v>0.45670194319823199</v>
      </c>
      <c r="H86" s="189">
        <v>0.33312541315131</v>
      </c>
      <c r="I86" s="189">
        <v>0.78982735634954204</v>
      </c>
      <c r="J86" s="189">
        <v>2.88871467305017</v>
      </c>
      <c r="K86" s="189">
        <v>0.221255143295879</v>
      </c>
      <c r="L86" s="189">
        <v>0.344801153147828</v>
      </c>
      <c r="M86" s="189">
        <v>3.4187122491457302E-5</v>
      </c>
      <c r="N86" s="189">
        <v>5.61041099174317E-5</v>
      </c>
      <c r="O86" s="189">
        <v>0.39322426779200198</v>
      </c>
      <c r="P86" s="189">
        <v>0.42631071933664</v>
      </c>
      <c r="Q86" s="189">
        <v>2.05223075300912E-2</v>
      </c>
      <c r="R86" s="189">
        <v>0.354463153952569</v>
      </c>
      <c r="S86" s="189">
        <v>7.1749607108891195E-2</v>
      </c>
      <c r="T86" s="189">
        <v>6.5409711988662399E-3</v>
      </c>
      <c r="U86" s="189">
        <v>4.2143329821716598E-2</v>
      </c>
      <c r="V86" s="189">
        <v>0.13435483434589801</v>
      </c>
      <c r="W86" s="189"/>
      <c r="X86" s="90"/>
      <c r="Y86" s="188"/>
      <c r="Z86" s="188"/>
      <c r="AA86" s="188"/>
      <c r="AB86" s="188"/>
      <c r="AC86" s="188"/>
      <c r="AD86" s="190"/>
      <c r="AE86" s="189"/>
    </row>
    <row r="87" spans="1:31" ht="21.25" customHeight="1" x14ac:dyDescent="0.15">
      <c r="A87" s="10" t="s">
        <v>170</v>
      </c>
      <c r="B87" s="186" t="s">
        <v>843</v>
      </c>
      <c r="C87" s="187">
        <v>31</v>
      </c>
      <c r="D87" s="186" t="s">
        <v>827</v>
      </c>
      <c r="E87" s="90">
        <v>76.337500000000006</v>
      </c>
      <c r="F87" s="188">
        <v>24.597722567780899</v>
      </c>
      <c r="G87" s="189">
        <v>0.12144904442809</v>
      </c>
      <c r="H87" s="189">
        <v>0.66508978375009997</v>
      </c>
      <c r="I87" s="189">
        <v>0.78653882817818999</v>
      </c>
      <c r="J87" s="189">
        <v>2.02121534382947</v>
      </c>
      <c r="K87" s="189">
        <v>4.3948471148836599E-2</v>
      </c>
      <c r="L87" s="189">
        <v>0.29058619676685998</v>
      </c>
      <c r="M87" s="189">
        <v>3.09826394203489E-4</v>
      </c>
      <c r="N87" s="189">
        <v>1.2011470906232999E-3</v>
      </c>
      <c r="O87" s="189">
        <v>1.32077400474837</v>
      </c>
      <c r="P87" s="189">
        <v>0.208058301939234</v>
      </c>
      <c r="Q87" s="189">
        <v>8.6520952535904999E-2</v>
      </c>
      <c r="R87" s="189">
        <v>0.393603391223391</v>
      </c>
      <c r="S87" s="189">
        <v>2.3169736858691298E-2</v>
      </c>
      <c r="T87" s="189">
        <v>0</v>
      </c>
      <c r="U87" s="189">
        <v>0</v>
      </c>
      <c r="V87" s="189">
        <v>0</v>
      </c>
      <c r="W87" s="189"/>
      <c r="X87" s="90"/>
      <c r="Y87" s="188"/>
      <c r="Z87" s="188"/>
      <c r="AA87" s="188"/>
      <c r="AB87" s="188"/>
      <c r="AC87" s="188"/>
      <c r="AD87" s="190"/>
      <c r="AE87" s="189"/>
    </row>
    <row r="88" spans="1:31" ht="21.25" customHeight="1" x14ac:dyDescent="0.15">
      <c r="A88" s="10" t="s">
        <v>271</v>
      </c>
      <c r="B88" s="186" t="s">
        <v>836</v>
      </c>
      <c r="C88" s="187">
        <v>34</v>
      </c>
      <c r="D88" s="186" t="s">
        <v>848</v>
      </c>
      <c r="E88" s="90">
        <v>78.332499999999996</v>
      </c>
      <c r="F88" s="188">
        <v>19.862491591659101</v>
      </c>
      <c r="G88" s="189">
        <v>0.46634796562165798</v>
      </c>
      <c r="H88" s="189">
        <v>0.319858810589639</v>
      </c>
      <c r="I88" s="189">
        <v>0.78620677621129698</v>
      </c>
      <c r="J88" s="189">
        <v>2.93959914894881</v>
      </c>
      <c r="K88" s="189">
        <v>0.15303949141439199</v>
      </c>
      <c r="L88" s="189">
        <v>0.25399488710926998</v>
      </c>
      <c r="M88" s="189">
        <v>1.4101030233231E-3</v>
      </c>
      <c r="N88" s="189">
        <v>2.2834652017539999E-3</v>
      </c>
      <c r="O88" s="189">
        <v>0.36031085230674798</v>
      </c>
      <c r="P88" s="189">
        <v>0.89091225001950602</v>
      </c>
      <c r="Q88" s="189">
        <v>0.12326708582804401</v>
      </c>
      <c r="R88" s="189">
        <v>0.50914719913203299</v>
      </c>
      <c r="S88" s="189">
        <v>8.1863446739321402E-2</v>
      </c>
      <c r="T88" s="189">
        <v>1.59860643301836E-2</v>
      </c>
      <c r="U88" s="189">
        <v>4.3956836427200399E-2</v>
      </c>
      <c r="V88" s="189">
        <v>0.26668820040735802</v>
      </c>
      <c r="W88" s="189"/>
      <c r="X88" s="90"/>
      <c r="Y88" s="188"/>
      <c r="Z88" s="188"/>
      <c r="AA88" s="188"/>
      <c r="AB88" s="188"/>
      <c r="AC88" s="188"/>
      <c r="AD88" s="190"/>
      <c r="AE88" s="189"/>
    </row>
    <row r="89" spans="1:31" ht="21.25" customHeight="1" x14ac:dyDescent="0.15">
      <c r="A89" s="10" t="s">
        <v>282</v>
      </c>
      <c r="B89" s="186" t="s">
        <v>863</v>
      </c>
      <c r="C89" s="187">
        <v>28</v>
      </c>
      <c r="D89" s="186" t="s">
        <v>848</v>
      </c>
      <c r="E89" s="90">
        <v>83.497500000000002</v>
      </c>
      <c r="F89" s="188">
        <v>16.7031391733919</v>
      </c>
      <c r="G89" s="189">
        <v>0.334693096570847</v>
      </c>
      <c r="H89" s="189">
        <v>0.45095643300627503</v>
      </c>
      <c r="I89" s="189">
        <v>0.78564952957712197</v>
      </c>
      <c r="J89" s="189">
        <v>2.0637096215630799</v>
      </c>
      <c r="K89" s="189">
        <v>0.13192768332826699</v>
      </c>
      <c r="L89" s="189">
        <v>0.32474406730772698</v>
      </c>
      <c r="M89" s="189">
        <v>6.8868982878310105E-5</v>
      </c>
      <c r="N89" s="189">
        <v>1.13266601606902E-4</v>
      </c>
      <c r="O89" s="189">
        <v>0.31644031324989103</v>
      </c>
      <c r="P89" s="189">
        <v>1.45973178601017</v>
      </c>
      <c r="Q89" s="189">
        <v>2.2945332480436301E-2</v>
      </c>
      <c r="R89" s="189">
        <v>0.37450923431594901</v>
      </c>
      <c r="S89" s="189">
        <v>5.9369594782206797E-2</v>
      </c>
      <c r="T89" s="189">
        <v>0.206401287379365</v>
      </c>
      <c r="U89" s="189">
        <v>0.19846661976556401</v>
      </c>
      <c r="V89" s="189">
        <v>0.50979908196447998</v>
      </c>
      <c r="W89" s="189"/>
      <c r="X89" s="90"/>
      <c r="Y89" s="188"/>
      <c r="Z89" s="188"/>
      <c r="AA89" s="188"/>
      <c r="AB89" s="188"/>
      <c r="AC89" s="188"/>
      <c r="AD89" s="190"/>
      <c r="AE89" s="189"/>
    </row>
    <row r="90" spans="1:31" ht="21.25" customHeight="1" x14ac:dyDescent="0.15">
      <c r="A90" s="10" t="s">
        <v>269</v>
      </c>
      <c r="B90" s="186" t="s">
        <v>845</v>
      </c>
      <c r="C90" s="187">
        <v>35</v>
      </c>
      <c r="D90" s="186" t="s">
        <v>824</v>
      </c>
      <c r="E90" s="90">
        <v>82.867500000000007</v>
      </c>
      <c r="F90" s="188">
        <v>17.717765226448201</v>
      </c>
      <c r="G90" s="189">
        <v>0.35131693242144701</v>
      </c>
      <c r="H90" s="189">
        <v>0.43133444350848099</v>
      </c>
      <c r="I90" s="189">
        <v>0.78265137592992795</v>
      </c>
      <c r="J90" s="189">
        <v>2.4308402089668202</v>
      </c>
      <c r="K90" s="189">
        <v>9.2556452784178095E-2</v>
      </c>
      <c r="L90" s="189">
        <v>0.17427450462806501</v>
      </c>
      <c r="M90" s="189">
        <v>1.09565935902686E-4</v>
      </c>
      <c r="N90" s="189">
        <v>1.8062996034720499E-4</v>
      </c>
      <c r="O90" s="189">
        <v>0.393351279905577</v>
      </c>
      <c r="P90" s="189">
        <v>0.98793305662118003</v>
      </c>
      <c r="Q90" s="189">
        <v>1.9065212568763399E-2</v>
      </c>
      <c r="R90" s="189">
        <v>0.42467002557986</v>
      </c>
      <c r="S90" s="189">
        <v>4.79760930805605E-2</v>
      </c>
      <c r="T90" s="189">
        <v>9.6857151599525206</v>
      </c>
      <c r="U90" s="189">
        <v>6.9484254266661996</v>
      </c>
      <c r="V90" s="189">
        <v>0.58227926531678798</v>
      </c>
      <c r="W90" s="189"/>
      <c r="X90" s="90"/>
      <c r="Y90" s="188"/>
      <c r="Z90" s="188"/>
      <c r="AA90" s="188"/>
      <c r="AB90" s="188"/>
      <c r="AC90" s="188"/>
      <c r="AD90" s="190"/>
      <c r="AE90" s="189"/>
    </row>
    <row r="91" spans="1:31" ht="21.25" customHeight="1" x14ac:dyDescent="0.15">
      <c r="A91" s="10" t="s">
        <v>254</v>
      </c>
      <c r="B91" s="186" t="s">
        <v>865</v>
      </c>
      <c r="C91" s="187">
        <v>35</v>
      </c>
      <c r="D91" s="186" t="s">
        <v>824</v>
      </c>
      <c r="E91" s="90">
        <v>83.44</v>
      </c>
      <c r="F91" s="188">
        <v>20.4473564481472</v>
      </c>
      <c r="G91" s="189">
        <v>0.27547163030584398</v>
      </c>
      <c r="H91" s="189">
        <v>0.49854653964913598</v>
      </c>
      <c r="I91" s="189">
        <v>0.77401816995497996</v>
      </c>
      <c r="J91" s="189">
        <v>1.99593027127023</v>
      </c>
      <c r="K91" s="189">
        <v>8.4437569664699605E-2</v>
      </c>
      <c r="L91" s="189">
        <v>0.23043108367162099</v>
      </c>
      <c r="M91" s="189">
        <v>1.3675966722576901E-2</v>
      </c>
      <c r="N91" s="189">
        <v>2.1718450658387099E-2</v>
      </c>
      <c r="O91" s="189">
        <v>0.83132873496269899</v>
      </c>
      <c r="P91" s="189">
        <v>0.28237688610200001</v>
      </c>
      <c r="Q91" s="189">
        <v>-1.4863059292354999E-2</v>
      </c>
      <c r="R91" s="189">
        <v>0.313260058175449</v>
      </c>
      <c r="S91" s="189">
        <v>3.8159712152134401E-2</v>
      </c>
      <c r="T91" s="189">
        <v>9.4893961751396692</v>
      </c>
      <c r="U91" s="189">
        <v>7.7467676437039197</v>
      </c>
      <c r="V91" s="189">
        <v>0.55055151917071599</v>
      </c>
      <c r="W91" s="189"/>
      <c r="X91" s="90"/>
      <c r="Y91" s="188"/>
      <c r="Z91" s="188"/>
      <c r="AA91" s="188"/>
      <c r="AB91" s="188"/>
      <c r="AC91" s="188"/>
      <c r="AD91" s="190"/>
      <c r="AE91" s="189"/>
    </row>
    <row r="92" spans="1:31" ht="21.25" customHeight="1" x14ac:dyDescent="0.15">
      <c r="A92" s="10" t="s">
        <v>313</v>
      </c>
      <c r="B92" s="186" t="s">
        <v>868</v>
      </c>
      <c r="C92" s="187">
        <v>24</v>
      </c>
      <c r="D92" s="186" t="s">
        <v>824</v>
      </c>
      <c r="E92" s="90">
        <v>78.349999999999994</v>
      </c>
      <c r="F92" s="188">
        <v>19.1195428175083</v>
      </c>
      <c r="G92" s="189">
        <v>0.30006411109700498</v>
      </c>
      <c r="H92" s="189">
        <v>0.47266289395549299</v>
      </c>
      <c r="I92" s="189">
        <v>0.77272700505249803</v>
      </c>
      <c r="J92" s="189">
        <v>1.81015055995036</v>
      </c>
      <c r="K92" s="189">
        <v>8.5226082025094393E-2</v>
      </c>
      <c r="L92" s="189">
        <v>0.26916705077340303</v>
      </c>
      <c r="M92" s="189">
        <v>3.4556126077573E-3</v>
      </c>
      <c r="N92" s="189">
        <v>5.6509304179203001E-3</v>
      </c>
      <c r="O92" s="189">
        <v>0.57280843531949899</v>
      </c>
      <c r="P92" s="189">
        <v>0.86686754291128298</v>
      </c>
      <c r="Q92" s="189">
        <v>-0.112145461292011</v>
      </c>
      <c r="R92" s="189">
        <v>0.37241507416508801</v>
      </c>
      <c r="S92" s="189">
        <v>3.7183201634147102E-2</v>
      </c>
      <c r="T92" s="189">
        <v>5.7212799124916698</v>
      </c>
      <c r="U92" s="189">
        <v>6.4674207247015998</v>
      </c>
      <c r="V92" s="189">
        <v>0.469392110183873</v>
      </c>
      <c r="W92" s="189"/>
      <c r="X92" s="90"/>
      <c r="Y92" s="188"/>
      <c r="Z92" s="188"/>
      <c r="AA92" s="188"/>
      <c r="AB92" s="188"/>
      <c r="AC92" s="188"/>
      <c r="AD92" s="190"/>
      <c r="AE92" s="189"/>
    </row>
    <row r="93" spans="1:31" ht="21.25" customHeight="1" x14ac:dyDescent="0.15">
      <c r="A93" s="10" t="s">
        <v>330</v>
      </c>
      <c r="B93" s="186" t="s">
        <v>867</v>
      </c>
      <c r="C93" s="187">
        <v>25</v>
      </c>
      <c r="D93" s="186" t="s">
        <v>852</v>
      </c>
      <c r="E93" s="90">
        <v>75.314999999999998</v>
      </c>
      <c r="F93" s="188">
        <v>18.627369353115601</v>
      </c>
      <c r="G93" s="189">
        <v>0.300173937266765</v>
      </c>
      <c r="H93" s="189">
        <v>0.47098643511460597</v>
      </c>
      <c r="I93" s="189">
        <v>0.77116037238137103</v>
      </c>
      <c r="J93" s="189">
        <v>2.11442113732515</v>
      </c>
      <c r="K93" s="189">
        <v>9.0722397864378398E-2</v>
      </c>
      <c r="L93" s="189">
        <v>0.21108611387599299</v>
      </c>
      <c r="M93" s="189">
        <v>1.85960481433165E-4</v>
      </c>
      <c r="N93" s="189">
        <v>3.0508939545956899E-4</v>
      </c>
      <c r="O93" s="189">
        <v>0.39181328667416498</v>
      </c>
      <c r="P93" s="189">
        <v>0.64938726606263197</v>
      </c>
      <c r="Q93" s="189">
        <v>2.7738391430752699E-2</v>
      </c>
      <c r="R93" s="189">
        <v>0.56318860491333</v>
      </c>
      <c r="S93" s="189">
        <v>4.7437975919398599E-2</v>
      </c>
      <c r="T93" s="189">
        <v>1.62622063272188</v>
      </c>
      <c r="U93" s="189">
        <v>2.9757461213387999</v>
      </c>
      <c r="V93" s="189">
        <v>0.35337513711652502</v>
      </c>
      <c r="W93" s="189"/>
      <c r="X93" s="90"/>
      <c r="Y93" s="188"/>
      <c r="Z93" s="188"/>
      <c r="AA93" s="188"/>
      <c r="AB93" s="188"/>
      <c r="AC93" s="188"/>
      <c r="AD93" s="190"/>
      <c r="AE93" s="189"/>
    </row>
    <row r="94" spans="1:31" ht="21.25" customHeight="1" x14ac:dyDescent="0.15">
      <c r="A94" s="10" t="s">
        <v>249</v>
      </c>
      <c r="B94" s="186" t="s">
        <v>864</v>
      </c>
      <c r="C94" s="187">
        <v>24</v>
      </c>
      <c r="D94" s="186" t="s">
        <v>848</v>
      </c>
      <c r="E94" s="90">
        <v>84.03</v>
      </c>
      <c r="F94" s="188">
        <v>18.607553739215</v>
      </c>
      <c r="G94" s="189">
        <v>0.33115522956958099</v>
      </c>
      <c r="H94" s="189">
        <v>0.438832798613849</v>
      </c>
      <c r="I94" s="189">
        <v>0.76998802818343004</v>
      </c>
      <c r="J94" s="189">
        <v>2.3144328096811702</v>
      </c>
      <c r="K94" s="189">
        <v>0.124432298898046</v>
      </c>
      <c r="L94" s="189">
        <v>0.23473952010124399</v>
      </c>
      <c r="M94" s="189">
        <v>1.21908642030025E-4</v>
      </c>
      <c r="N94" s="189">
        <v>1.9967167595625999E-4</v>
      </c>
      <c r="O94" s="189">
        <v>0.45074118183863798</v>
      </c>
      <c r="P94" s="189">
        <v>1.1091422454414599</v>
      </c>
      <c r="Q94" s="189">
        <v>1.4683265301419E-2</v>
      </c>
      <c r="R94" s="189">
        <v>0.34953593126527599</v>
      </c>
      <c r="S94" s="189">
        <v>5.2025742319556798E-2</v>
      </c>
      <c r="T94" s="189">
        <v>0.15048516659233199</v>
      </c>
      <c r="U94" s="189">
        <v>0.39798010870474598</v>
      </c>
      <c r="V94" s="189">
        <v>0.274375012184357</v>
      </c>
      <c r="W94" s="189"/>
      <c r="X94" s="90"/>
      <c r="Y94" s="188"/>
      <c r="Z94" s="188"/>
      <c r="AA94" s="188"/>
      <c r="AB94" s="188"/>
      <c r="AC94" s="188"/>
      <c r="AD94" s="190"/>
      <c r="AE94" s="189"/>
    </row>
    <row r="95" spans="1:31" ht="21.25" customHeight="1" x14ac:dyDescent="0.15">
      <c r="A95" s="10" t="s">
        <v>267</v>
      </c>
      <c r="B95" s="186" t="s">
        <v>855</v>
      </c>
      <c r="C95" s="187">
        <v>33</v>
      </c>
      <c r="D95" s="186" t="s">
        <v>852</v>
      </c>
      <c r="E95" s="90">
        <v>78.787499999999994</v>
      </c>
      <c r="F95" s="188">
        <v>19.142575441438002</v>
      </c>
      <c r="G95" s="189">
        <v>0.36659094383549401</v>
      </c>
      <c r="H95" s="189">
        <v>0.401325265230288</v>
      </c>
      <c r="I95" s="189">
        <v>0.76791620906578195</v>
      </c>
      <c r="J95" s="189">
        <v>2.65432307441209</v>
      </c>
      <c r="K95" s="189">
        <v>9.9746062995040005E-2</v>
      </c>
      <c r="L95" s="189">
        <v>0.231638171965106</v>
      </c>
      <c r="M95" s="189">
        <v>1.40088116781377E-2</v>
      </c>
      <c r="N95" s="189">
        <v>2.7354467303918599E-2</v>
      </c>
      <c r="O95" s="189">
        <v>0.77479303096712404</v>
      </c>
      <c r="P95" s="189">
        <v>1.23152768561127</v>
      </c>
      <c r="Q95" s="189">
        <v>7.2680041918226704E-3</v>
      </c>
      <c r="R95" s="189">
        <v>0.254470808818691</v>
      </c>
      <c r="S95" s="189">
        <v>5.3151028047405603E-2</v>
      </c>
      <c r="T95" s="189">
        <v>0.95587478159247596</v>
      </c>
      <c r="U95" s="189">
        <v>1.71652995099338</v>
      </c>
      <c r="V95" s="189">
        <v>0.35768338902302399</v>
      </c>
      <c r="W95" s="189"/>
      <c r="X95" s="90"/>
      <c r="Y95" s="188"/>
      <c r="Z95" s="188"/>
      <c r="AA95" s="188"/>
      <c r="AB95" s="188"/>
      <c r="AC95" s="188"/>
      <c r="AD95" s="190"/>
      <c r="AE95" s="189"/>
    </row>
    <row r="96" spans="1:31" ht="21.25" customHeight="1" x14ac:dyDescent="0.15">
      <c r="A96" s="10" t="s">
        <v>246</v>
      </c>
      <c r="B96" s="186" t="s">
        <v>856</v>
      </c>
      <c r="C96" s="187">
        <v>30</v>
      </c>
      <c r="D96" s="186" t="s">
        <v>846</v>
      </c>
      <c r="E96" s="90">
        <v>83.73</v>
      </c>
      <c r="F96" s="188">
        <v>18.942084181348399</v>
      </c>
      <c r="G96" s="189">
        <v>0.302838048765107</v>
      </c>
      <c r="H96" s="189">
        <v>0.46324955310899701</v>
      </c>
      <c r="I96" s="189">
        <v>0.76608760187410396</v>
      </c>
      <c r="J96" s="189">
        <v>2.26125846434697</v>
      </c>
      <c r="K96" s="189">
        <v>0.10559363023756201</v>
      </c>
      <c r="L96" s="189">
        <v>0.232848412358413</v>
      </c>
      <c r="M96" s="189">
        <v>1.9399393102186899E-2</v>
      </c>
      <c r="N96" s="189">
        <v>2.0801263712449999E-2</v>
      </c>
      <c r="O96" s="189">
        <v>0.596782635247876</v>
      </c>
      <c r="P96" s="189">
        <v>0.31365100014281999</v>
      </c>
      <c r="Q96" s="189">
        <v>2.9687552405755099E-2</v>
      </c>
      <c r="R96" s="189">
        <v>0.27501817641350401</v>
      </c>
      <c r="S96" s="189">
        <v>4.8952137290071501E-2</v>
      </c>
      <c r="T96" s="189">
        <v>4.3921332916600502</v>
      </c>
      <c r="U96" s="189">
        <v>5.1921805518882902</v>
      </c>
      <c r="V96" s="189">
        <v>0.45826267413150301</v>
      </c>
      <c r="W96" s="189"/>
      <c r="X96" s="90"/>
      <c r="Y96" s="188"/>
      <c r="Z96" s="188"/>
      <c r="AA96" s="188"/>
      <c r="AB96" s="188"/>
      <c r="AC96" s="188"/>
      <c r="AD96" s="190"/>
      <c r="AE96" s="189"/>
    </row>
    <row r="97" spans="1:31" ht="21.25" customHeight="1" x14ac:dyDescent="0.15">
      <c r="A97" s="10" t="s">
        <v>262</v>
      </c>
      <c r="B97" s="186" t="s">
        <v>849</v>
      </c>
      <c r="C97" s="187">
        <v>24</v>
      </c>
      <c r="D97" s="186" t="s">
        <v>824</v>
      </c>
      <c r="E97" s="90">
        <v>83.16</v>
      </c>
      <c r="F97" s="188">
        <v>20.677336644966601</v>
      </c>
      <c r="G97" s="189">
        <v>0.33190784106969301</v>
      </c>
      <c r="H97" s="189">
        <v>0.43138112056642403</v>
      </c>
      <c r="I97" s="189">
        <v>0.76328896163611704</v>
      </c>
      <c r="J97" s="189">
        <v>2.4287255510381098</v>
      </c>
      <c r="K97" s="189">
        <v>7.7357396678080795E-2</v>
      </c>
      <c r="L97" s="189">
        <v>0.19486791882023199</v>
      </c>
      <c r="M97" s="189">
        <v>5.1826407446131303E-3</v>
      </c>
      <c r="N97" s="189">
        <v>1.32169313899491E-2</v>
      </c>
      <c r="O97" s="189">
        <v>0.51722862402601599</v>
      </c>
      <c r="P97" s="189">
        <v>0.88261198009359298</v>
      </c>
      <c r="Q97" s="189">
        <v>1.73829046690137E-2</v>
      </c>
      <c r="R97" s="189">
        <v>0.57699403550491501</v>
      </c>
      <c r="S97" s="189">
        <v>5.2429544032614898E-2</v>
      </c>
      <c r="T97" s="189">
        <v>5.7191797742915398</v>
      </c>
      <c r="U97" s="189">
        <v>6.9741833646547198</v>
      </c>
      <c r="V97" s="189">
        <v>0.45056457549408102</v>
      </c>
      <c r="W97" s="189"/>
      <c r="X97" s="90"/>
      <c r="Y97" s="188"/>
      <c r="Z97" s="188"/>
      <c r="AA97" s="188"/>
      <c r="AB97" s="188"/>
      <c r="AC97" s="188"/>
      <c r="AD97" s="190"/>
      <c r="AE97" s="189"/>
    </row>
    <row r="98" spans="1:31" ht="21.25" customHeight="1" x14ac:dyDescent="0.15">
      <c r="A98" s="10" t="s">
        <v>283</v>
      </c>
      <c r="B98" s="186" t="s">
        <v>843</v>
      </c>
      <c r="C98" s="187">
        <v>32</v>
      </c>
      <c r="D98" s="186" t="s">
        <v>839</v>
      </c>
      <c r="E98" s="90">
        <v>79.992500000000007</v>
      </c>
      <c r="F98" s="188">
        <v>17.230940756478599</v>
      </c>
      <c r="G98" s="189">
        <v>0.345070190210223</v>
      </c>
      <c r="H98" s="189">
        <v>0.40747727379290399</v>
      </c>
      <c r="I98" s="189">
        <v>0.752547464003127</v>
      </c>
      <c r="J98" s="189">
        <v>2.4274693318232901</v>
      </c>
      <c r="K98" s="189">
        <v>0.17357190831263999</v>
      </c>
      <c r="L98" s="189">
        <v>0.32692874108622</v>
      </c>
      <c r="M98" s="189">
        <v>1.5424939215408901E-3</v>
      </c>
      <c r="N98" s="189">
        <v>1.90546318982601E-3</v>
      </c>
      <c r="O98" s="189">
        <v>0.59002122862009099</v>
      </c>
      <c r="P98" s="189">
        <v>1.30064985369329</v>
      </c>
      <c r="Q98" s="189">
        <v>4.1585002371378202E-2</v>
      </c>
      <c r="R98" s="189">
        <v>0.32147515427547402</v>
      </c>
      <c r="S98" s="189">
        <v>6.5831604872637603E-2</v>
      </c>
      <c r="T98" s="189">
        <v>8.6159355990616096</v>
      </c>
      <c r="U98" s="189">
        <v>6.4442971343178197</v>
      </c>
      <c r="V98" s="189">
        <v>0.57209843643154901</v>
      </c>
      <c r="W98" s="189"/>
      <c r="X98" s="90"/>
      <c r="Y98" s="188"/>
      <c r="Z98" s="188"/>
      <c r="AA98" s="188"/>
      <c r="AB98" s="188"/>
      <c r="AC98" s="188"/>
      <c r="AD98" s="190"/>
      <c r="AE98" s="189"/>
    </row>
    <row r="99" spans="1:31" ht="21.25" customHeight="1" x14ac:dyDescent="0.15">
      <c r="A99" s="10" t="s">
        <v>799</v>
      </c>
      <c r="B99" s="186" t="s">
        <v>853</v>
      </c>
      <c r="C99" s="187">
        <v>18</v>
      </c>
      <c r="D99" s="186" t="s">
        <v>825</v>
      </c>
      <c r="E99" s="90">
        <v>61.45</v>
      </c>
      <c r="F99" s="188">
        <v>7.93778561535823</v>
      </c>
      <c r="G99" s="189">
        <v>5.7387506785376401E-2</v>
      </c>
      <c r="H99" s="189">
        <v>6.8416471028575801E-2</v>
      </c>
      <c r="I99" s="189">
        <v>0.125803977813952</v>
      </c>
      <c r="J99" s="189">
        <v>0.79948385032413505</v>
      </c>
      <c r="K99" s="189">
        <v>1.8841761236516701E-4</v>
      </c>
      <c r="L99" s="189">
        <v>4.09167518827312E-4</v>
      </c>
      <c r="M99" s="189">
        <v>0</v>
      </c>
      <c r="N99" s="189">
        <v>0</v>
      </c>
      <c r="O99" s="189">
        <v>0.39172570408911001</v>
      </c>
      <c r="P99" s="189">
        <v>2.18666065041955</v>
      </c>
      <c r="Q99" s="189">
        <v>3.6012313140941797E-2</v>
      </c>
      <c r="R99" s="189">
        <v>1.42178270798229</v>
      </c>
      <c r="S99" s="189">
        <v>9.5547770145681197E-3</v>
      </c>
      <c r="T99" s="189">
        <v>1.25007128573403E-2</v>
      </c>
      <c r="U99" s="189">
        <v>2.6020876142081099E-2</v>
      </c>
      <c r="V99" s="189">
        <v>0.32451186937091397</v>
      </c>
      <c r="W99" s="189"/>
      <c r="X99" s="90"/>
      <c r="Y99" s="188"/>
      <c r="Z99" s="188"/>
      <c r="AA99" s="188"/>
      <c r="AB99" s="188"/>
      <c r="AC99" s="188"/>
      <c r="AD99" s="190"/>
      <c r="AE99" s="189"/>
    </row>
    <row r="100" spans="1:31" ht="21.25" customHeight="1" x14ac:dyDescent="0.15">
      <c r="A100" s="10" t="s">
        <v>288</v>
      </c>
      <c r="B100" s="186" t="s">
        <v>840</v>
      </c>
      <c r="C100" s="187">
        <v>19</v>
      </c>
      <c r="D100" s="186" t="s">
        <v>824</v>
      </c>
      <c r="E100" s="90">
        <v>77</v>
      </c>
      <c r="F100" s="188">
        <v>16.687080003024299</v>
      </c>
      <c r="G100" s="189">
        <v>0.31752075448360001</v>
      </c>
      <c r="H100" s="189">
        <v>0.43221495274503302</v>
      </c>
      <c r="I100" s="189">
        <v>0.74973570722863303</v>
      </c>
      <c r="J100" s="189">
        <v>1.8652693509682901</v>
      </c>
      <c r="K100" s="189">
        <v>0.122583756145232</v>
      </c>
      <c r="L100" s="189">
        <v>0.28499403333823198</v>
      </c>
      <c r="M100" s="189">
        <v>6.6495133828134006E-5</v>
      </c>
      <c r="N100" s="189">
        <v>1.0840316530241301E-4</v>
      </c>
      <c r="O100" s="189">
        <v>0.55773952262972104</v>
      </c>
      <c r="P100" s="189">
        <v>0.57221200476994605</v>
      </c>
      <c r="Q100" s="189">
        <v>-2.0574445932402301E-2</v>
      </c>
      <c r="R100" s="189">
        <v>0.35930902024504402</v>
      </c>
      <c r="S100" s="189">
        <v>4.4398780556971502E-2</v>
      </c>
      <c r="T100" s="189">
        <v>4.6893334729564602</v>
      </c>
      <c r="U100" s="189">
        <v>5.5577285605409799</v>
      </c>
      <c r="V100" s="189">
        <v>0.45762711864406802</v>
      </c>
      <c r="W100" s="189"/>
      <c r="X100" s="90"/>
      <c r="Y100" s="188"/>
      <c r="Z100" s="188"/>
      <c r="AA100" s="188"/>
      <c r="AB100" s="188"/>
      <c r="AC100" s="188"/>
      <c r="AD100" s="190"/>
      <c r="AE100" s="189"/>
    </row>
    <row r="101" spans="1:31" ht="21.25" customHeight="1" x14ac:dyDescent="0.15">
      <c r="A101" s="10" t="s">
        <v>266</v>
      </c>
      <c r="B101" s="186" t="s">
        <v>865</v>
      </c>
      <c r="C101" s="187">
        <v>36</v>
      </c>
      <c r="D101" s="186" t="s">
        <v>846</v>
      </c>
      <c r="E101" s="90">
        <v>83.73</v>
      </c>
      <c r="F101" s="188">
        <v>17.816862836852099</v>
      </c>
      <c r="G101" s="189">
        <v>0.42039401363335199</v>
      </c>
      <c r="H101" s="189">
        <v>0.32724205290429498</v>
      </c>
      <c r="I101" s="189">
        <v>0.74763606653764703</v>
      </c>
      <c r="J101" s="189">
        <v>2.5071900327773</v>
      </c>
      <c r="K101" s="189">
        <v>0.16279424583992699</v>
      </c>
      <c r="L101" s="189">
        <v>0.295778115596804</v>
      </c>
      <c r="M101" s="189">
        <v>1.51799832255709E-4</v>
      </c>
      <c r="N101" s="189">
        <v>2.4400094740668199E-4</v>
      </c>
      <c r="O101" s="189">
        <v>0.47806864415141298</v>
      </c>
      <c r="P101" s="189">
        <v>0.98942128570646004</v>
      </c>
      <c r="Q101" s="189">
        <v>-3.9347370027832299E-2</v>
      </c>
      <c r="R101" s="189">
        <v>0.52466142408559002</v>
      </c>
      <c r="S101" s="189">
        <v>5.82350877036533E-2</v>
      </c>
      <c r="T101" s="189">
        <v>4.0160408424791303</v>
      </c>
      <c r="U101" s="189">
        <v>3.3656525251940801</v>
      </c>
      <c r="V101" s="189">
        <v>0.54405414075673397</v>
      </c>
      <c r="W101" s="189"/>
      <c r="X101" s="90"/>
      <c r="Y101" s="188"/>
      <c r="Z101" s="188"/>
      <c r="AA101" s="188"/>
      <c r="AB101" s="188"/>
      <c r="AC101" s="188"/>
      <c r="AD101" s="190"/>
      <c r="AE101" s="189"/>
    </row>
    <row r="102" spans="1:31" ht="21.25" customHeight="1" x14ac:dyDescent="0.15">
      <c r="A102" s="10" t="s">
        <v>321</v>
      </c>
      <c r="B102" s="186" t="s">
        <v>870</v>
      </c>
      <c r="C102" s="187">
        <v>30</v>
      </c>
      <c r="D102" s="186" t="s">
        <v>839</v>
      </c>
      <c r="E102" s="90">
        <v>78.504999999999995</v>
      </c>
      <c r="F102" s="188">
        <v>16.369055894597199</v>
      </c>
      <c r="G102" s="189">
        <v>0.32578076599085498</v>
      </c>
      <c r="H102" s="189">
        <v>0.42091189602856199</v>
      </c>
      <c r="I102" s="189">
        <v>0.74669266201941698</v>
      </c>
      <c r="J102" s="189">
        <v>2.3130961693571801</v>
      </c>
      <c r="K102" s="189">
        <v>9.6774931822664806E-2</v>
      </c>
      <c r="L102" s="189">
        <v>0.23688293812665401</v>
      </c>
      <c r="M102" s="189">
        <v>6.8652465604181201E-4</v>
      </c>
      <c r="N102" s="189">
        <v>1.22083278706585E-3</v>
      </c>
      <c r="O102" s="189">
        <v>0.49010602569293699</v>
      </c>
      <c r="P102" s="189">
        <v>0.741867708465616</v>
      </c>
      <c r="Q102" s="189">
        <v>-6.8576237417379393E-2</v>
      </c>
      <c r="R102" s="189">
        <v>0.28859156201345199</v>
      </c>
      <c r="S102" s="189">
        <v>4.4884505203096302E-2</v>
      </c>
      <c r="T102" s="189">
        <v>0.76216833591020605</v>
      </c>
      <c r="U102" s="189">
        <v>0.83240842903182999</v>
      </c>
      <c r="V102" s="189">
        <v>0.47797531775643998</v>
      </c>
      <c r="W102" s="189"/>
      <c r="X102" s="90"/>
      <c r="Y102" s="188"/>
      <c r="Z102" s="188"/>
      <c r="AA102" s="188"/>
      <c r="AB102" s="188"/>
      <c r="AC102" s="188"/>
      <c r="AD102" s="190"/>
      <c r="AE102" s="189"/>
    </row>
    <row r="103" spans="1:31" ht="21.25" customHeight="1" x14ac:dyDescent="0.15">
      <c r="A103" s="10" t="s">
        <v>294</v>
      </c>
      <c r="B103" s="186" t="s">
        <v>869</v>
      </c>
      <c r="C103" s="187">
        <v>32</v>
      </c>
      <c r="D103" s="186" t="s">
        <v>826</v>
      </c>
      <c r="E103" s="90">
        <v>81.317499999999995</v>
      </c>
      <c r="F103" s="188">
        <v>19.287934779598601</v>
      </c>
      <c r="G103" s="189">
        <v>0.358769602974775</v>
      </c>
      <c r="H103" s="189">
        <v>0.387385385556271</v>
      </c>
      <c r="I103" s="189">
        <v>0.746154988531046</v>
      </c>
      <c r="J103" s="189">
        <v>2.1691622111357498</v>
      </c>
      <c r="K103" s="189">
        <v>9.60712177666673E-2</v>
      </c>
      <c r="L103" s="189">
        <v>0.172578315383383</v>
      </c>
      <c r="M103" s="189">
        <v>1.95240790397396E-2</v>
      </c>
      <c r="N103" s="189">
        <v>3.1857203760186699E-2</v>
      </c>
      <c r="O103" s="189">
        <v>0.76922910289725399</v>
      </c>
      <c r="P103" s="189">
        <v>2.4480330114604598</v>
      </c>
      <c r="Q103" s="189">
        <v>7.6243074181031295E-2</v>
      </c>
      <c r="R103" s="189">
        <v>1.0260029026122099</v>
      </c>
      <c r="S103" s="189">
        <v>5.3732677581571603E-2</v>
      </c>
      <c r="T103" s="189">
        <v>0.190329126672031</v>
      </c>
      <c r="U103" s="189">
        <v>0.335902012686774</v>
      </c>
      <c r="V103" s="189">
        <v>0.36168351212347699</v>
      </c>
      <c r="W103" s="189"/>
      <c r="X103" s="90"/>
      <c r="Y103" s="188"/>
      <c r="Z103" s="188"/>
      <c r="AA103" s="188"/>
      <c r="AB103" s="188"/>
      <c r="AC103" s="188"/>
      <c r="AD103" s="190"/>
      <c r="AE103" s="189"/>
    </row>
    <row r="104" spans="1:31" ht="21.25" customHeight="1" x14ac:dyDescent="0.15">
      <c r="A104" s="10" t="s">
        <v>158</v>
      </c>
      <c r="B104" s="186" t="s">
        <v>845</v>
      </c>
      <c r="C104" s="187">
        <v>30</v>
      </c>
      <c r="D104" s="186" t="s">
        <v>827</v>
      </c>
      <c r="E104" s="90">
        <v>81.194999999999993</v>
      </c>
      <c r="F104" s="188">
        <v>23.316762030020602</v>
      </c>
      <c r="G104" s="189">
        <v>0.18136792894225801</v>
      </c>
      <c r="H104" s="189">
        <v>0.56302707312710498</v>
      </c>
      <c r="I104" s="189">
        <v>0.74439500206936304</v>
      </c>
      <c r="J104" s="189">
        <v>2.4535820940539299</v>
      </c>
      <c r="K104" s="189">
        <v>8.7478201821247201E-2</v>
      </c>
      <c r="L104" s="189">
        <v>0.28812054225940997</v>
      </c>
      <c r="M104" s="189">
        <v>3.34848016827404E-4</v>
      </c>
      <c r="N104" s="189">
        <v>1.2089552827557199E-3</v>
      </c>
      <c r="O104" s="189">
        <v>1.1775989155369799</v>
      </c>
      <c r="P104" s="189">
        <v>0.93684973989249798</v>
      </c>
      <c r="Q104" s="189">
        <v>3.5247786505308201E-2</v>
      </c>
      <c r="R104" s="189">
        <v>0.50778494186994305</v>
      </c>
      <c r="S104" s="189">
        <v>2.4767734879126101E-2</v>
      </c>
      <c r="T104" s="189">
        <v>0</v>
      </c>
      <c r="U104" s="189">
        <v>0</v>
      </c>
      <c r="V104" s="189">
        <v>0</v>
      </c>
      <c r="W104" s="189"/>
      <c r="X104" s="90"/>
      <c r="Y104" s="188"/>
      <c r="Z104" s="188"/>
      <c r="AA104" s="188"/>
      <c r="AB104" s="188"/>
      <c r="AC104" s="188"/>
      <c r="AD104" s="190"/>
      <c r="AE104" s="189"/>
    </row>
    <row r="105" spans="1:31" ht="21.25" customHeight="1" x14ac:dyDescent="0.15">
      <c r="A105" s="10" t="s">
        <v>252</v>
      </c>
      <c r="B105" s="186" t="s">
        <v>869</v>
      </c>
      <c r="C105" s="187">
        <v>30</v>
      </c>
      <c r="D105" s="186" t="s">
        <v>848</v>
      </c>
      <c r="E105" s="90">
        <v>82.797499999999999</v>
      </c>
      <c r="F105" s="188">
        <v>18.863870099037101</v>
      </c>
      <c r="G105" s="189">
        <v>0.35637005562860502</v>
      </c>
      <c r="H105" s="189">
        <v>0.38539701662749398</v>
      </c>
      <c r="I105" s="189">
        <v>0.74176707225609895</v>
      </c>
      <c r="J105" s="189">
        <v>2.3720929694327602</v>
      </c>
      <c r="K105" s="189">
        <v>3.6713010564979498E-2</v>
      </c>
      <c r="L105" s="189">
        <v>8.1458514128471396E-2</v>
      </c>
      <c r="M105" s="189">
        <v>3.8798515502745101E-2</v>
      </c>
      <c r="N105" s="189">
        <v>5.42419566413717E-2</v>
      </c>
      <c r="O105" s="189">
        <v>1.15855557857623</v>
      </c>
      <c r="P105" s="189">
        <v>0.997327263821709</v>
      </c>
      <c r="Q105" s="189">
        <v>7.0033842323876494E-2</v>
      </c>
      <c r="R105" s="189">
        <v>0.55192409353710303</v>
      </c>
      <c r="S105" s="189">
        <v>5.33732990198863E-2</v>
      </c>
      <c r="T105" s="189">
        <v>0.60637266024328795</v>
      </c>
      <c r="U105" s="189">
        <v>0.79797868978632402</v>
      </c>
      <c r="V105" s="189">
        <v>0.43178130617420102</v>
      </c>
      <c r="W105" s="189"/>
      <c r="X105" s="90"/>
      <c r="Y105" s="188"/>
      <c r="Z105" s="188"/>
      <c r="AA105" s="188"/>
      <c r="AB105" s="188"/>
      <c r="AC105" s="188"/>
      <c r="AD105" s="190"/>
      <c r="AE105" s="189"/>
    </row>
    <row r="106" spans="1:31" ht="21.25" customHeight="1" x14ac:dyDescent="0.15">
      <c r="A106" s="10" t="s">
        <v>248</v>
      </c>
      <c r="B106" s="186" t="s">
        <v>844</v>
      </c>
      <c r="C106" s="187">
        <v>29</v>
      </c>
      <c r="D106" s="186" t="s">
        <v>824</v>
      </c>
      <c r="E106" s="90">
        <v>76.45</v>
      </c>
      <c r="F106" s="188">
        <v>20.127028835083198</v>
      </c>
      <c r="G106" s="189">
        <v>0.304973574112892</v>
      </c>
      <c r="H106" s="189">
        <v>0.43245796358243599</v>
      </c>
      <c r="I106" s="189">
        <v>0.73743153769532799</v>
      </c>
      <c r="J106" s="189">
        <v>2.97022781959426</v>
      </c>
      <c r="K106" s="189">
        <v>0.11072730536262999</v>
      </c>
      <c r="L106" s="189">
        <v>0.238703606631186</v>
      </c>
      <c r="M106" s="189">
        <v>3.6690580777650902E-3</v>
      </c>
      <c r="N106" s="189">
        <v>4.8282848942429804E-3</v>
      </c>
      <c r="O106" s="189">
        <v>0.59361043514006495</v>
      </c>
      <c r="P106" s="189">
        <v>1.5922442393517</v>
      </c>
      <c r="Q106" s="189">
        <v>5.9962700658126603E-2</v>
      </c>
      <c r="R106" s="189">
        <v>0.52586594412093501</v>
      </c>
      <c r="S106" s="189">
        <v>4.9675466581286798E-2</v>
      </c>
      <c r="T106" s="189">
        <v>10.0744420936088</v>
      </c>
      <c r="U106" s="189">
        <v>10.5964363549353</v>
      </c>
      <c r="V106" s="189">
        <v>0.487373679773073</v>
      </c>
      <c r="W106" s="189"/>
      <c r="X106" s="90"/>
      <c r="Y106" s="188"/>
      <c r="Z106" s="188"/>
      <c r="AA106" s="188"/>
      <c r="AB106" s="188"/>
      <c r="AC106" s="188"/>
      <c r="AD106" s="190"/>
      <c r="AE106" s="189"/>
    </row>
    <row r="107" spans="1:31" ht="21.25" customHeight="1" x14ac:dyDescent="0.15">
      <c r="A107" s="10" t="s">
        <v>299</v>
      </c>
      <c r="B107" s="186" t="s">
        <v>841</v>
      </c>
      <c r="C107" s="187">
        <v>24</v>
      </c>
      <c r="D107" s="186" t="s">
        <v>848</v>
      </c>
      <c r="E107" s="90">
        <v>83.342500000000001</v>
      </c>
      <c r="F107" s="188">
        <v>17.7117936922727</v>
      </c>
      <c r="G107" s="189">
        <v>0.33992673450627098</v>
      </c>
      <c r="H107" s="189">
        <v>0.39203364383096201</v>
      </c>
      <c r="I107" s="189">
        <v>0.73196037833723304</v>
      </c>
      <c r="J107" s="189">
        <v>2.2739516891501399</v>
      </c>
      <c r="K107" s="189">
        <v>6.7088215705956106E-2</v>
      </c>
      <c r="L107" s="189">
        <v>0.15936648983804999</v>
      </c>
      <c r="M107" s="189">
        <v>3.50449390347178E-3</v>
      </c>
      <c r="N107" s="189">
        <v>5.7463107277744502E-3</v>
      </c>
      <c r="O107" s="189">
        <v>0.28718477590611102</v>
      </c>
      <c r="P107" s="189">
        <v>0.36603625945353402</v>
      </c>
      <c r="Q107" s="189">
        <v>-4.0435207388069896E-3</v>
      </c>
      <c r="R107" s="189">
        <v>0.34144090196847898</v>
      </c>
      <c r="S107" s="189">
        <v>4.5761508250767302E-2</v>
      </c>
      <c r="T107" s="189">
        <v>6.7457729653168305E-2</v>
      </c>
      <c r="U107" s="189">
        <v>0.21163997831810899</v>
      </c>
      <c r="V107" s="189">
        <v>0.24169933226435</v>
      </c>
      <c r="W107" s="189"/>
      <c r="X107" s="90"/>
      <c r="Y107" s="188"/>
      <c r="Z107" s="188"/>
      <c r="AA107" s="188"/>
      <c r="AB107" s="188"/>
      <c r="AC107" s="188"/>
      <c r="AD107" s="190"/>
      <c r="AE107" s="189"/>
    </row>
    <row r="108" spans="1:31" ht="21.25" customHeight="1" x14ac:dyDescent="0.15">
      <c r="A108" s="10" t="s">
        <v>335</v>
      </c>
      <c r="B108" s="186" t="s">
        <v>853</v>
      </c>
      <c r="C108" s="187">
        <v>38</v>
      </c>
      <c r="D108" s="186" t="s">
        <v>848</v>
      </c>
      <c r="E108" s="90">
        <v>77.192499999999995</v>
      </c>
      <c r="F108" s="188">
        <v>16.788594715935801</v>
      </c>
      <c r="G108" s="189">
        <v>0.33724183333961699</v>
      </c>
      <c r="H108" s="189">
        <v>0.39441423205355303</v>
      </c>
      <c r="I108" s="189">
        <v>0.73165606539316996</v>
      </c>
      <c r="J108" s="189">
        <v>2.3633828831399502</v>
      </c>
      <c r="K108" s="189">
        <v>7.4396090750811703E-2</v>
      </c>
      <c r="L108" s="189">
        <v>0.23968822131484999</v>
      </c>
      <c r="M108" s="189">
        <v>4.6860919162165201E-3</v>
      </c>
      <c r="N108" s="189">
        <v>6.5332387092283803E-3</v>
      </c>
      <c r="O108" s="189">
        <v>0.37088327743218902</v>
      </c>
      <c r="P108" s="189">
        <v>0.88528190461510903</v>
      </c>
      <c r="Q108" s="189">
        <v>2.42329109009971E-2</v>
      </c>
      <c r="R108" s="189">
        <v>0.66514332750896599</v>
      </c>
      <c r="S108" s="189">
        <v>5.6149338036154101E-2</v>
      </c>
      <c r="T108" s="189">
        <v>7.78974847034625E-2</v>
      </c>
      <c r="U108" s="189">
        <v>0.166274113354928</v>
      </c>
      <c r="V108" s="189">
        <v>0.31902762369943699</v>
      </c>
      <c r="W108" s="189"/>
      <c r="X108" s="90"/>
      <c r="Y108" s="188"/>
      <c r="Z108" s="188"/>
      <c r="AA108" s="188"/>
      <c r="AB108" s="188"/>
      <c r="AC108" s="188"/>
      <c r="AD108" s="190"/>
      <c r="AE108" s="189"/>
    </row>
    <row r="109" spans="1:31" ht="21.25" customHeight="1" x14ac:dyDescent="0.15">
      <c r="A109" s="10" t="s">
        <v>366</v>
      </c>
      <c r="B109" s="186" t="s">
        <v>857</v>
      </c>
      <c r="C109" s="187">
        <v>31</v>
      </c>
      <c r="D109" s="186" t="s">
        <v>848</v>
      </c>
      <c r="E109" s="90">
        <v>74.092500000000001</v>
      </c>
      <c r="F109" s="188">
        <v>18.599682578761801</v>
      </c>
      <c r="G109" s="189">
        <v>0.31954365360774001</v>
      </c>
      <c r="H109" s="189">
        <v>0.40692893332830898</v>
      </c>
      <c r="I109" s="189">
        <v>0.72647258693604899</v>
      </c>
      <c r="J109" s="189">
        <v>2.40222853681033</v>
      </c>
      <c r="K109" s="189">
        <v>7.4060656694658902E-2</v>
      </c>
      <c r="L109" s="189">
        <v>0.13721648352504401</v>
      </c>
      <c r="M109" s="189">
        <v>6.0006058118647699E-3</v>
      </c>
      <c r="N109" s="189">
        <v>1.02419460636344E-2</v>
      </c>
      <c r="O109" s="189">
        <v>0.40509402962608299</v>
      </c>
      <c r="P109" s="189">
        <v>0.92368883772028798</v>
      </c>
      <c r="Q109" s="189">
        <v>3.7216479391228498E-2</v>
      </c>
      <c r="R109" s="189">
        <v>0.29564492679325599</v>
      </c>
      <c r="S109" s="189">
        <v>5.1491659500101303E-2</v>
      </c>
      <c r="T109" s="189">
        <v>3.2758544334476003E-2</v>
      </c>
      <c r="U109" s="189">
        <v>4.07990005643913E-2</v>
      </c>
      <c r="V109" s="189">
        <v>0.44534580891076597</v>
      </c>
      <c r="W109" s="189"/>
      <c r="X109" s="90"/>
      <c r="Y109" s="188"/>
      <c r="Z109" s="188"/>
      <c r="AA109" s="188"/>
      <c r="AB109" s="188"/>
      <c r="AC109" s="188"/>
      <c r="AD109" s="190"/>
      <c r="AE109" s="189"/>
    </row>
    <row r="110" spans="1:31" ht="21.25" customHeight="1" x14ac:dyDescent="0.15">
      <c r="A110" s="10" t="s">
        <v>157</v>
      </c>
      <c r="B110" s="186" t="s">
        <v>865</v>
      </c>
      <c r="C110" s="187">
        <v>36</v>
      </c>
      <c r="D110" s="186" t="s">
        <v>827</v>
      </c>
      <c r="E110" s="90">
        <v>77.557500000000005</v>
      </c>
      <c r="F110" s="188">
        <v>24.860192841866901</v>
      </c>
      <c r="G110" s="189">
        <v>0.15623978092428001</v>
      </c>
      <c r="H110" s="189">
        <v>0.56987569994530096</v>
      </c>
      <c r="I110" s="189">
        <v>0.726115480869581</v>
      </c>
      <c r="J110" s="189">
        <v>2.61750115195666</v>
      </c>
      <c r="K110" s="189">
        <v>4.9160239567760201E-2</v>
      </c>
      <c r="L110" s="189">
        <v>0.29267272716013198</v>
      </c>
      <c r="M110" s="189">
        <v>2.8020352809874201E-4</v>
      </c>
      <c r="N110" s="189">
        <v>2.9489815054500302E-3</v>
      </c>
      <c r="O110" s="189">
        <v>1.5665584755197</v>
      </c>
      <c r="P110" s="189">
        <v>0.53105398264959303</v>
      </c>
      <c r="Q110" s="189">
        <v>-3.4989785346438297E-2</v>
      </c>
      <c r="R110" s="189">
        <v>0.47334237156645398</v>
      </c>
      <c r="S110" s="189">
        <v>2.16431182411185E-2</v>
      </c>
      <c r="T110" s="189">
        <v>0</v>
      </c>
      <c r="U110" s="189">
        <v>0</v>
      </c>
      <c r="V110" s="189">
        <v>0</v>
      </c>
      <c r="W110" s="189"/>
      <c r="X110" s="90"/>
      <c r="Y110" s="188"/>
      <c r="Z110" s="188"/>
      <c r="AA110" s="188"/>
      <c r="AB110" s="188"/>
      <c r="AC110" s="188"/>
      <c r="AD110" s="190"/>
      <c r="AE110" s="189"/>
    </row>
    <row r="111" spans="1:31" ht="21.25" customHeight="1" x14ac:dyDescent="0.15">
      <c r="A111" s="10" t="s">
        <v>163</v>
      </c>
      <c r="B111" s="186" t="s">
        <v>851</v>
      </c>
      <c r="C111" s="187">
        <v>31</v>
      </c>
      <c r="D111" s="186" t="s">
        <v>827</v>
      </c>
      <c r="E111" s="90">
        <v>82.767499999999998</v>
      </c>
      <c r="F111" s="188">
        <v>24.564279585469698</v>
      </c>
      <c r="G111" s="189">
        <v>0.136778780303699</v>
      </c>
      <c r="H111" s="189">
        <v>0.58173076882039798</v>
      </c>
      <c r="I111" s="189">
        <v>0.71850954912409704</v>
      </c>
      <c r="J111" s="189">
        <v>1.99997146229917</v>
      </c>
      <c r="K111" s="189">
        <v>2.66091540080639E-2</v>
      </c>
      <c r="L111" s="189">
        <v>0.22776362318791099</v>
      </c>
      <c r="M111" s="189">
        <v>1.46492663828529E-4</v>
      </c>
      <c r="N111" s="189">
        <v>5.5725695434321297E-4</v>
      </c>
      <c r="O111" s="189">
        <v>1.48123340098151</v>
      </c>
      <c r="P111" s="189">
        <v>0.58802699298474304</v>
      </c>
      <c r="Q111" s="189">
        <v>5.4369569301039998E-2</v>
      </c>
      <c r="R111" s="189">
        <v>0.42251842413087998</v>
      </c>
      <c r="S111" s="189">
        <v>2.3768015083980101E-2</v>
      </c>
      <c r="T111" s="189">
        <v>0</v>
      </c>
      <c r="U111" s="189">
        <v>0</v>
      </c>
      <c r="V111" s="189">
        <v>0</v>
      </c>
      <c r="W111" s="189"/>
      <c r="X111" s="90"/>
      <c r="Y111" s="188"/>
      <c r="Z111" s="188"/>
      <c r="AA111" s="188"/>
      <c r="AB111" s="188"/>
      <c r="AC111" s="188"/>
      <c r="AD111" s="190"/>
      <c r="AE111" s="189"/>
    </row>
    <row r="112" spans="1:31" ht="21.25" customHeight="1" x14ac:dyDescent="0.15">
      <c r="A112" s="10" t="s">
        <v>296</v>
      </c>
      <c r="B112" s="186" t="s">
        <v>863</v>
      </c>
      <c r="C112" s="187">
        <v>23</v>
      </c>
      <c r="D112" s="186" t="s">
        <v>848</v>
      </c>
      <c r="E112" s="90">
        <v>82.432500000000005</v>
      </c>
      <c r="F112" s="188">
        <v>17.9708644504619</v>
      </c>
      <c r="G112" s="189">
        <v>0.224725433797649</v>
      </c>
      <c r="H112" s="189">
        <v>0.48858099513603498</v>
      </c>
      <c r="I112" s="189">
        <v>0.71330642893368401</v>
      </c>
      <c r="J112" s="189">
        <v>2.0780011253939601</v>
      </c>
      <c r="K112" s="189">
        <v>7.3252410166785895E-2</v>
      </c>
      <c r="L112" s="189">
        <v>0.226155027707648</v>
      </c>
      <c r="M112" s="189">
        <v>1.40699456781228E-3</v>
      </c>
      <c r="N112" s="189">
        <v>4.2878643916048204E-3</v>
      </c>
      <c r="O112" s="189">
        <v>0.59617478827038495</v>
      </c>
      <c r="P112" s="189">
        <v>0.81073755143515402</v>
      </c>
      <c r="Q112" s="189">
        <v>1.3533178475075699E-2</v>
      </c>
      <c r="R112" s="189">
        <v>0.35356934141721003</v>
      </c>
      <c r="S112" s="189">
        <v>3.98629612576962E-2</v>
      </c>
      <c r="T112" s="189">
        <v>0.244493672312732</v>
      </c>
      <c r="U112" s="189">
        <v>0.50241059634764096</v>
      </c>
      <c r="V112" s="189">
        <v>0.32734271655890901</v>
      </c>
      <c r="W112" s="189"/>
      <c r="X112" s="90"/>
      <c r="Y112" s="188"/>
      <c r="Z112" s="188"/>
      <c r="AA112" s="188"/>
      <c r="AB112" s="188"/>
      <c r="AC112" s="188"/>
      <c r="AD112" s="190"/>
      <c r="AE112" s="189"/>
    </row>
    <row r="113" spans="1:31" ht="21.25" customHeight="1" x14ac:dyDescent="0.15">
      <c r="A113" s="10" t="s">
        <v>350</v>
      </c>
      <c r="B113" s="186" t="s">
        <v>871</v>
      </c>
      <c r="C113" s="187">
        <v>20</v>
      </c>
      <c r="D113" s="186" t="s">
        <v>848</v>
      </c>
      <c r="E113" s="90">
        <v>74</v>
      </c>
      <c r="F113" s="188">
        <v>16.853916925276899</v>
      </c>
      <c r="G113" s="189">
        <v>0.248378912615484</v>
      </c>
      <c r="H113" s="189">
        <v>0.46345770122399799</v>
      </c>
      <c r="I113" s="189">
        <v>0.71183661383948205</v>
      </c>
      <c r="J113" s="189">
        <v>2.18480671168984</v>
      </c>
      <c r="K113" s="189">
        <v>6.6238316129475006E-2</v>
      </c>
      <c r="L113" s="189">
        <v>0.27017958299077899</v>
      </c>
      <c r="M113" s="189">
        <v>1.6869321605409899E-4</v>
      </c>
      <c r="N113" s="189">
        <v>2.7114393831399801E-4</v>
      </c>
      <c r="O113" s="189">
        <v>0.70736937644095499</v>
      </c>
      <c r="P113" s="189">
        <v>0.56191040052266805</v>
      </c>
      <c r="Q113" s="189">
        <v>-0.121514005314352</v>
      </c>
      <c r="R113" s="189">
        <v>0.26245843578800498</v>
      </c>
      <c r="S113" s="189">
        <v>3.5710670423417502E-2</v>
      </c>
      <c r="T113" s="189">
        <v>9.0221174790033595E-2</v>
      </c>
      <c r="U113" s="189">
        <v>0.42103214902015701</v>
      </c>
      <c r="V113" s="189">
        <v>0.17647058823529399</v>
      </c>
      <c r="W113" s="189"/>
      <c r="X113" s="90"/>
      <c r="Y113" s="189"/>
      <c r="Z113" s="189"/>
      <c r="AA113" s="189"/>
      <c r="AB113" s="189"/>
      <c r="AC113" s="188"/>
      <c r="AD113" s="190"/>
      <c r="AE113" s="189"/>
    </row>
    <row r="114" spans="1:31" ht="21.25" customHeight="1" x14ac:dyDescent="0.15">
      <c r="A114" s="10" t="s">
        <v>152</v>
      </c>
      <c r="B114" s="186" t="s">
        <v>863</v>
      </c>
      <c r="C114" s="187">
        <v>24</v>
      </c>
      <c r="D114" s="186" t="s">
        <v>827</v>
      </c>
      <c r="E114" s="90">
        <v>80.792500000000004</v>
      </c>
      <c r="F114" s="188">
        <v>24.566748174542699</v>
      </c>
      <c r="G114" s="189">
        <v>0.17080628697924</v>
      </c>
      <c r="H114" s="189">
        <v>0.54094017424515695</v>
      </c>
      <c r="I114" s="189">
        <v>0.711746461224397</v>
      </c>
      <c r="J114" s="189">
        <v>2.21110200883159</v>
      </c>
      <c r="K114" s="189">
        <v>6.1684923605374802E-2</v>
      </c>
      <c r="L114" s="189">
        <v>0.28502285698018798</v>
      </c>
      <c r="M114" s="189">
        <v>3.0677396506904002E-4</v>
      </c>
      <c r="N114" s="189">
        <v>1.6286831697135799E-2</v>
      </c>
      <c r="O114" s="189">
        <v>1.91450119674784</v>
      </c>
      <c r="P114" s="189">
        <v>0.60812713579259903</v>
      </c>
      <c r="Q114" s="189">
        <v>4.3149488066118701E-2</v>
      </c>
      <c r="R114" s="189">
        <v>0.24962235809089101</v>
      </c>
      <c r="S114" s="189">
        <v>3.0298503757947199E-2</v>
      </c>
      <c r="T114" s="189">
        <v>5.1142117489398598E-4</v>
      </c>
      <c r="U114" s="189">
        <v>1.55757447971299E-3</v>
      </c>
      <c r="V114" s="189">
        <v>0.247183300629568</v>
      </c>
      <c r="W114" s="189"/>
      <c r="X114" s="90"/>
      <c r="Y114" s="188"/>
      <c r="Z114" s="188"/>
      <c r="AA114" s="188"/>
      <c r="AB114" s="188"/>
      <c r="AC114" s="188"/>
      <c r="AD114" s="190"/>
      <c r="AE114" s="189"/>
    </row>
    <row r="115" spans="1:31" ht="21.25" customHeight="1" x14ac:dyDescent="0.15">
      <c r="A115" s="10" t="s">
        <v>369</v>
      </c>
      <c r="B115" s="186" t="s">
        <v>841</v>
      </c>
      <c r="C115" s="187">
        <v>29</v>
      </c>
      <c r="D115" s="186" t="s">
        <v>839</v>
      </c>
      <c r="E115" s="90">
        <v>82.92</v>
      </c>
      <c r="F115" s="188">
        <v>16.874126204903401</v>
      </c>
      <c r="G115" s="189">
        <v>0.28631285869293899</v>
      </c>
      <c r="H115" s="189">
        <v>0.42444509227946903</v>
      </c>
      <c r="I115" s="189">
        <v>0.71075795097240801</v>
      </c>
      <c r="J115" s="189">
        <v>1.6960374300984</v>
      </c>
      <c r="K115" s="189">
        <v>9.4417259786385294E-2</v>
      </c>
      <c r="L115" s="189">
        <v>0.218250818005717</v>
      </c>
      <c r="M115" s="189">
        <v>2.8550438399810199E-3</v>
      </c>
      <c r="N115" s="189">
        <v>5.4337625076520003E-3</v>
      </c>
      <c r="O115" s="189">
        <v>0.33576029348759101</v>
      </c>
      <c r="P115" s="189">
        <v>0.84592102479930398</v>
      </c>
      <c r="Q115" s="189">
        <v>-1.4628381298335101E-2</v>
      </c>
      <c r="R115" s="189">
        <v>0.30311384026091798</v>
      </c>
      <c r="S115" s="189">
        <v>3.8543918189923899E-2</v>
      </c>
      <c r="T115" s="189">
        <v>6.3659435402265299</v>
      </c>
      <c r="U115" s="189">
        <v>5.5018377352434502</v>
      </c>
      <c r="V115" s="189">
        <v>0.53640553296887705</v>
      </c>
      <c r="W115" s="189"/>
      <c r="X115" s="90"/>
      <c r="Y115" s="188"/>
      <c r="Z115" s="188"/>
      <c r="AA115" s="188"/>
      <c r="AB115" s="188"/>
      <c r="AC115" s="188"/>
      <c r="AD115" s="190"/>
      <c r="AE115" s="189"/>
    </row>
    <row r="116" spans="1:31" ht="21.25" customHeight="1" x14ac:dyDescent="0.15">
      <c r="A116" s="10" t="s">
        <v>336</v>
      </c>
      <c r="B116" s="186" t="s">
        <v>867</v>
      </c>
      <c r="C116" s="187">
        <v>21</v>
      </c>
      <c r="D116" s="186" t="s">
        <v>848</v>
      </c>
      <c r="E116" s="90">
        <v>83.277500000000003</v>
      </c>
      <c r="F116" s="188">
        <v>15.8030804666121</v>
      </c>
      <c r="G116" s="189">
        <v>0.28174968836810599</v>
      </c>
      <c r="H116" s="189">
        <v>0.42500529250607899</v>
      </c>
      <c r="I116" s="189">
        <v>0.70675498087418498</v>
      </c>
      <c r="J116" s="189">
        <v>2.1694201038080498</v>
      </c>
      <c r="K116" s="189">
        <v>7.6627609415289302E-2</v>
      </c>
      <c r="L116" s="189">
        <v>0.18527837957052101</v>
      </c>
      <c r="M116" s="189">
        <v>1.0408376029025799E-5</v>
      </c>
      <c r="N116" s="189">
        <v>1.7122154434002001E-5</v>
      </c>
      <c r="O116" s="189">
        <v>0.27932000444807797</v>
      </c>
      <c r="P116" s="189">
        <v>0.47711358696153999</v>
      </c>
      <c r="Q116" s="189">
        <v>2.4468913475829801E-2</v>
      </c>
      <c r="R116" s="189">
        <v>0.62885396942808802</v>
      </c>
      <c r="S116" s="189">
        <v>4.4526300496988899E-2</v>
      </c>
      <c r="T116" s="189">
        <v>5.8088933301756997E-2</v>
      </c>
      <c r="U116" s="189">
        <v>0.160652942353156</v>
      </c>
      <c r="V116" s="189">
        <v>0.26555927221451697</v>
      </c>
      <c r="W116" s="189"/>
      <c r="X116" s="90"/>
      <c r="Y116" s="189"/>
      <c r="Z116" s="189"/>
      <c r="AA116" s="189"/>
      <c r="AB116" s="189"/>
      <c r="AC116" s="188"/>
      <c r="AD116" s="190"/>
      <c r="AE116" s="189"/>
    </row>
    <row r="117" spans="1:31" ht="21.25" customHeight="1" x14ac:dyDescent="0.15">
      <c r="A117" s="10" t="s">
        <v>146</v>
      </c>
      <c r="B117" s="186" t="s">
        <v>861</v>
      </c>
      <c r="C117" s="187">
        <v>25</v>
      </c>
      <c r="D117" s="186" t="s">
        <v>827</v>
      </c>
      <c r="E117" s="90">
        <v>84.03</v>
      </c>
      <c r="F117" s="188">
        <v>25.908037364710299</v>
      </c>
      <c r="G117" s="189">
        <v>0.13020995670582999</v>
      </c>
      <c r="H117" s="189">
        <v>0.57541006799820604</v>
      </c>
      <c r="I117" s="189">
        <v>0.70562002470403595</v>
      </c>
      <c r="J117" s="189">
        <v>2.2118885353722999</v>
      </c>
      <c r="K117" s="189">
        <v>4.7627965338928498E-2</v>
      </c>
      <c r="L117" s="189">
        <v>0.32956705995848301</v>
      </c>
      <c r="M117" s="189">
        <v>1.9226069038607801E-4</v>
      </c>
      <c r="N117" s="189">
        <v>3.07977800822625E-3</v>
      </c>
      <c r="O117" s="189">
        <v>2.14871301030872</v>
      </c>
      <c r="P117" s="189">
        <v>1.72211587404059</v>
      </c>
      <c r="Q117" s="189">
        <v>2.6563241801529899E-2</v>
      </c>
      <c r="R117" s="189">
        <v>0.63878915560345195</v>
      </c>
      <c r="S117" s="189">
        <v>2.04049291478593E-2</v>
      </c>
      <c r="T117" s="189">
        <v>0</v>
      </c>
      <c r="U117" s="189">
        <v>0</v>
      </c>
      <c r="V117" s="189">
        <v>0</v>
      </c>
      <c r="W117" s="189"/>
      <c r="X117" s="90"/>
      <c r="Y117" s="188"/>
      <c r="Z117" s="188"/>
      <c r="AA117" s="188"/>
      <c r="AB117" s="188"/>
      <c r="AC117" s="188"/>
      <c r="AD117" s="190"/>
      <c r="AE117" s="189"/>
    </row>
    <row r="118" spans="1:31" ht="21.25" customHeight="1" x14ac:dyDescent="0.15">
      <c r="A118" s="10" t="s">
        <v>328</v>
      </c>
      <c r="B118" s="186" t="s">
        <v>865</v>
      </c>
      <c r="C118" s="187">
        <v>24</v>
      </c>
      <c r="D118" s="186" t="s">
        <v>848</v>
      </c>
      <c r="E118" s="90">
        <v>81.727500000000006</v>
      </c>
      <c r="F118" s="188">
        <v>17.359515652246699</v>
      </c>
      <c r="G118" s="189">
        <v>0.20190449566868299</v>
      </c>
      <c r="H118" s="189">
        <v>0.5020507369285</v>
      </c>
      <c r="I118" s="189">
        <v>0.70395523259718296</v>
      </c>
      <c r="J118" s="189">
        <v>2.3560631493350499</v>
      </c>
      <c r="K118" s="189">
        <v>3.0647438570079701E-2</v>
      </c>
      <c r="L118" s="189">
        <v>0.19579112298057699</v>
      </c>
      <c r="M118" s="189">
        <v>6.3657148211726804E-5</v>
      </c>
      <c r="N118" s="189">
        <v>1.0310542151040299E-4</v>
      </c>
      <c r="O118" s="189">
        <v>0.29306980261430698</v>
      </c>
      <c r="P118" s="189">
        <v>0.403984557255612</v>
      </c>
      <c r="Q118" s="189">
        <v>-3.2365482588818501E-3</v>
      </c>
      <c r="R118" s="189">
        <v>0.31558437356011698</v>
      </c>
      <c r="S118" s="189">
        <v>2.7968823607660499E-2</v>
      </c>
      <c r="T118" s="189">
        <v>1.41081875859494E-3</v>
      </c>
      <c r="U118" s="189">
        <v>2.2525445512212E-2</v>
      </c>
      <c r="V118" s="189">
        <v>5.8940640971933002E-2</v>
      </c>
      <c r="W118" s="189"/>
      <c r="X118" s="90"/>
      <c r="Y118" s="188"/>
      <c r="Z118" s="188"/>
      <c r="AA118" s="188"/>
      <c r="AB118" s="188"/>
      <c r="AC118" s="188"/>
      <c r="AD118" s="190"/>
      <c r="AE118" s="189"/>
    </row>
    <row r="119" spans="1:31" ht="21.25" customHeight="1" x14ac:dyDescent="0.15">
      <c r="A119" s="10" t="s">
        <v>186</v>
      </c>
      <c r="B119" s="186" t="s">
        <v>841</v>
      </c>
      <c r="C119" s="187">
        <v>28</v>
      </c>
      <c r="D119" s="186" t="s">
        <v>827</v>
      </c>
      <c r="E119" s="90">
        <v>76.522499999999994</v>
      </c>
      <c r="F119" s="188">
        <v>25.740906371641</v>
      </c>
      <c r="G119" s="189">
        <v>0.14405524215632801</v>
      </c>
      <c r="H119" s="189">
        <v>0.55882170032492495</v>
      </c>
      <c r="I119" s="189">
        <v>0.70287694248125299</v>
      </c>
      <c r="J119" s="189">
        <v>1.8131060215163199</v>
      </c>
      <c r="K119" s="189">
        <v>2.80847984406709E-2</v>
      </c>
      <c r="L119" s="189">
        <v>0.228866075268296</v>
      </c>
      <c r="M119" s="189">
        <v>3.9271528479887302E-3</v>
      </c>
      <c r="N119" s="189">
        <v>5.5536587867686697E-3</v>
      </c>
      <c r="O119" s="189">
        <v>1.86623076493372</v>
      </c>
      <c r="P119" s="189">
        <v>1.2832610462838301</v>
      </c>
      <c r="Q119" s="189">
        <v>-8.0100417469767295E-3</v>
      </c>
      <c r="R119" s="189">
        <v>0.90354980333537904</v>
      </c>
      <c r="S119" s="189">
        <v>1.9392958785892301E-2</v>
      </c>
      <c r="T119" s="189">
        <v>0</v>
      </c>
      <c r="U119" s="189">
        <v>0</v>
      </c>
      <c r="V119" s="189">
        <v>0</v>
      </c>
      <c r="W119" s="189"/>
      <c r="X119" s="90"/>
      <c r="Y119" s="188"/>
      <c r="Z119" s="188"/>
      <c r="AA119" s="188"/>
      <c r="AB119" s="188"/>
      <c r="AC119" s="188"/>
      <c r="AD119" s="190"/>
      <c r="AE119" s="189"/>
    </row>
    <row r="120" spans="1:31" ht="21.25" customHeight="1" x14ac:dyDescent="0.15">
      <c r="A120" s="10" t="s">
        <v>316</v>
      </c>
      <c r="B120" s="186" t="s">
        <v>868</v>
      </c>
      <c r="C120" s="187">
        <v>29</v>
      </c>
      <c r="D120" s="186" t="s">
        <v>848</v>
      </c>
      <c r="E120" s="90">
        <v>81.724999999999994</v>
      </c>
      <c r="F120" s="188">
        <v>19.3284759654472</v>
      </c>
      <c r="G120" s="189">
        <v>0.33739958397339098</v>
      </c>
      <c r="H120" s="189">
        <v>0.36476364220967</v>
      </c>
      <c r="I120" s="189">
        <v>0.70216322618306104</v>
      </c>
      <c r="J120" s="189">
        <v>2.2431118237061098</v>
      </c>
      <c r="K120" s="189">
        <v>0.105078312839156</v>
      </c>
      <c r="L120" s="189">
        <v>0.25474119507195497</v>
      </c>
      <c r="M120" s="189">
        <v>1.35009903758425E-2</v>
      </c>
      <c r="N120" s="189">
        <v>1.5143306733473401E-2</v>
      </c>
      <c r="O120" s="189">
        <v>0.41518461894900499</v>
      </c>
      <c r="P120" s="189">
        <v>0.82012002910607196</v>
      </c>
      <c r="Q120" s="189">
        <v>-0.14587700817534799</v>
      </c>
      <c r="R120" s="189">
        <v>0.219532030696173</v>
      </c>
      <c r="S120" s="189">
        <v>4.1809720983607399E-2</v>
      </c>
      <c r="T120" s="189">
        <v>0.59252423748588601</v>
      </c>
      <c r="U120" s="189">
        <v>0.86661555694263404</v>
      </c>
      <c r="V120" s="189">
        <v>0.40607777249879701</v>
      </c>
      <c r="W120" s="189"/>
      <c r="X120" s="90"/>
      <c r="Y120" s="188"/>
      <c r="Z120" s="188"/>
      <c r="AA120" s="188"/>
      <c r="AB120" s="188"/>
      <c r="AC120" s="188"/>
      <c r="AD120" s="190"/>
      <c r="AE120" s="189"/>
    </row>
    <row r="121" spans="1:31" ht="21.25" customHeight="1" x14ac:dyDescent="0.15">
      <c r="A121" s="10" t="s">
        <v>341</v>
      </c>
      <c r="B121" s="186" t="s">
        <v>836</v>
      </c>
      <c r="C121" s="187">
        <v>33</v>
      </c>
      <c r="D121" s="186" t="s">
        <v>839</v>
      </c>
      <c r="E121" s="90">
        <v>81.504999999999995</v>
      </c>
      <c r="F121" s="188">
        <v>18.3034484200343</v>
      </c>
      <c r="G121" s="189">
        <v>0.24088011634922299</v>
      </c>
      <c r="H121" s="189">
        <v>0.45358816578555</v>
      </c>
      <c r="I121" s="189">
        <v>0.69446828213477296</v>
      </c>
      <c r="J121" s="189">
        <v>1.9060344572254599</v>
      </c>
      <c r="K121" s="189">
        <v>0.110535047895665</v>
      </c>
      <c r="L121" s="189">
        <v>0.34118407009052698</v>
      </c>
      <c r="M121" s="189">
        <v>3.8236284107497501E-3</v>
      </c>
      <c r="N121" s="189">
        <v>1.4955094714144E-2</v>
      </c>
      <c r="O121" s="189">
        <v>0.466239491666532</v>
      </c>
      <c r="P121" s="189">
        <v>0.44482162137008802</v>
      </c>
      <c r="Q121" s="189">
        <v>7.0268173250274402E-2</v>
      </c>
      <c r="R121" s="189">
        <v>0.34945792712873402</v>
      </c>
      <c r="S121" s="189">
        <v>4.2284470028789899E-2</v>
      </c>
      <c r="T121" s="189">
        <v>2.53840350325454</v>
      </c>
      <c r="U121" s="189">
        <v>2.7591838756026998</v>
      </c>
      <c r="V121" s="189">
        <v>0.47916217736876798</v>
      </c>
      <c r="W121" s="189"/>
      <c r="X121" s="90"/>
      <c r="Y121" s="188"/>
      <c r="Z121" s="188"/>
      <c r="AA121" s="188"/>
      <c r="AB121" s="188"/>
      <c r="AC121" s="188"/>
      <c r="AD121" s="190"/>
      <c r="AE121" s="189"/>
    </row>
    <row r="122" spans="1:31" ht="21.25" customHeight="1" x14ac:dyDescent="0.15">
      <c r="A122" s="10" t="s">
        <v>284</v>
      </c>
      <c r="B122" s="186" t="s">
        <v>862</v>
      </c>
      <c r="C122" s="187">
        <v>21</v>
      </c>
      <c r="D122" s="186" t="s">
        <v>825</v>
      </c>
      <c r="E122" s="90">
        <v>78.95</v>
      </c>
      <c r="F122" s="188">
        <v>18.7914983560987</v>
      </c>
      <c r="G122" s="189">
        <v>0.23561566024187899</v>
      </c>
      <c r="H122" s="189">
        <v>0.45832132451563601</v>
      </c>
      <c r="I122" s="189">
        <v>0.69393698475751497</v>
      </c>
      <c r="J122" s="189">
        <v>2.1446091531033198</v>
      </c>
      <c r="K122" s="189">
        <v>5.8672566525812403E-2</v>
      </c>
      <c r="L122" s="189">
        <v>0.16652589727913</v>
      </c>
      <c r="M122" s="189">
        <v>9.8372745893521903E-3</v>
      </c>
      <c r="N122" s="189">
        <v>1.92248521579002E-2</v>
      </c>
      <c r="O122" s="189">
        <v>0.44703494302229602</v>
      </c>
      <c r="P122" s="189">
        <v>0.67698655118449902</v>
      </c>
      <c r="Q122" s="189">
        <v>4.8861992085737598E-2</v>
      </c>
      <c r="R122" s="189">
        <v>0.62820001449042295</v>
      </c>
      <c r="S122" s="189">
        <v>3.5523768414678698E-2</v>
      </c>
      <c r="T122" s="189">
        <v>9.4988866085007104E-2</v>
      </c>
      <c r="U122" s="189">
        <v>0.19603703123720401</v>
      </c>
      <c r="V122" s="189">
        <v>0.326393173112837</v>
      </c>
      <c r="W122" s="189"/>
      <c r="X122" s="90"/>
      <c r="Y122" s="188"/>
      <c r="Z122" s="188"/>
      <c r="AA122" s="188"/>
      <c r="AB122" s="188"/>
      <c r="AC122" s="188"/>
      <c r="AD122" s="190"/>
      <c r="AE122" s="189"/>
    </row>
    <row r="123" spans="1:31" ht="21.25" customHeight="1" x14ac:dyDescent="0.15">
      <c r="A123" s="10" t="s">
        <v>178</v>
      </c>
      <c r="B123" s="186" t="s">
        <v>847</v>
      </c>
      <c r="C123" s="187">
        <v>27</v>
      </c>
      <c r="D123" s="186" t="s">
        <v>827</v>
      </c>
      <c r="E123" s="90">
        <v>77.642499999999998</v>
      </c>
      <c r="F123" s="188">
        <v>25.249176215023098</v>
      </c>
      <c r="G123" s="189">
        <v>0.117703117510679</v>
      </c>
      <c r="H123" s="189">
        <v>0.573723523822952</v>
      </c>
      <c r="I123" s="189">
        <v>0.69142664133363096</v>
      </c>
      <c r="J123" s="189">
        <v>1.97128240062947</v>
      </c>
      <c r="K123" s="189">
        <v>2.0703790011019799E-2</v>
      </c>
      <c r="L123" s="189">
        <v>0.26057454407268699</v>
      </c>
      <c r="M123" s="189">
        <v>7.4760207356404304E-3</v>
      </c>
      <c r="N123" s="189">
        <v>9.0079364681430896E-3</v>
      </c>
      <c r="O123" s="189">
        <v>1.70843568852122</v>
      </c>
      <c r="P123" s="189">
        <v>0.48508463501001098</v>
      </c>
      <c r="Q123" s="189">
        <v>8.4897670835723693E-2</v>
      </c>
      <c r="R123" s="189">
        <v>0.383603453888538</v>
      </c>
      <c r="S123" s="189">
        <v>1.9906279985518301E-2</v>
      </c>
      <c r="T123" s="189">
        <v>0</v>
      </c>
      <c r="U123" s="189">
        <v>0</v>
      </c>
      <c r="V123" s="189">
        <v>0</v>
      </c>
      <c r="W123" s="189"/>
      <c r="X123" s="90"/>
      <c r="Y123" s="188"/>
      <c r="Z123" s="188"/>
      <c r="AA123" s="188"/>
      <c r="AB123" s="188"/>
      <c r="AC123" s="188"/>
      <c r="AD123" s="190"/>
      <c r="AE123" s="189"/>
    </row>
    <row r="124" spans="1:31" ht="21.25" customHeight="1" x14ac:dyDescent="0.15">
      <c r="A124" s="10" t="s">
        <v>375</v>
      </c>
      <c r="B124" s="186" t="s">
        <v>859</v>
      </c>
      <c r="C124" s="187">
        <v>34</v>
      </c>
      <c r="D124" s="186" t="s">
        <v>839</v>
      </c>
      <c r="E124" s="90">
        <v>78.607500000000002</v>
      </c>
      <c r="F124" s="188">
        <v>18.461161012536898</v>
      </c>
      <c r="G124" s="189">
        <v>0.25380262034078599</v>
      </c>
      <c r="H124" s="189">
        <v>0.43492931371020599</v>
      </c>
      <c r="I124" s="189">
        <v>0.68873193405099198</v>
      </c>
      <c r="J124" s="189">
        <v>1.8692228065854599</v>
      </c>
      <c r="K124" s="189">
        <v>5.87971728939473E-2</v>
      </c>
      <c r="L124" s="189">
        <v>0.17683521503202701</v>
      </c>
      <c r="M124" s="189">
        <v>4.9698361788758803E-3</v>
      </c>
      <c r="N124" s="189">
        <v>8.2706495525718092E-3</v>
      </c>
      <c r="O124" s="189">
        <v>0.68958198790060898</v>
      </c>
      <c r="P124" s="189">
        <v>0.67224932383427904</v>
      </c>
      <c r="Q124" s="189">
        <v>-2.43805566944061E-2</v>
      </c>
      <c r="R124" s="189">
        <v>0.34720534294870098</v>
      </c>
      <c r="S124" s="189">
        <v>3.7079835159553501E-2</v>
      </c>
      <c r="T124" s="189">
        <v>5.8647007557432698</v>
      </c>
      <c r="U124" s="189">
        <v>6.1265505535104898</v>
      </c>
      <c r="V124" s="189">
        <v>0.48908163164068003</v>
      </c>
      <c r="W124" s="189"/>
      <c r="X124" s="90"/>
      <c r="Y124" s="188"/>
      <c r="Z124" s="188"/>
      <c r="AA124" s="188"/>
      <c r="AB124" s="188"/>
      <c r="AC124" s="188"/>
      <c r="AD124" s="190"/>
      <c r="AE124" s="189"/>
    </row>
    <row r="125" spans="1:31" ht="21.25" customHeight="1" x14ac:dyDescent="0.15">
      <c r="A125" s="10" t="s">
        <v>276</v>
      </c>
      <c r="B125" s="186" t="s">
        <v>869</v>
      </c>
      <c r="C125" s="187">
        <v>28</v>
      </c>
      <c r="D125" s="186" t="s">
        <v>826</v>
      </c>
      <c r="E125" s="90">
        <v>82.254999999999995</v>
      </c>
      <c r="F125" s="188">
        <v>15.969908440137999</v>
      </c>
      <c r="G125" s="189">
        <v>0.31199617488820802</v>
      </c>
      <c r="H125" s="189">
        <v>0.37659735820333801</v>
      </c>
      <c r="I125" s="189">
        <v>0.68859353309154603</v>
      </c>
      <c r="J125" s="189">
        <v>2.47280903593794</v>
      </c>
      <c r="K125" s="189">
        <v>6.6118717958180001E-2</v>
      </c>
      <c r="L125" s="189">
        <v>0.20071990658243699</v>
      </c>
      <c r="M125" s="189">
        <v>6.9536870983342896E-5</v>
      </c>
      <c r="N125" s="189">
        <v>1.1429505704362001E-4</v>
      </c>
      <c r="O125" s="189">
        <v>0.40451994264671698</v>
      </c>
      <c r="P125" s="189">
        <v>0.37734594524832099</v>
      </c>
      <c r="Q125" s="189">
        <v>8.4902536100565903E-2</v>
      </c>
      <c r="R125" s="189">
        <v>0.23293759194573199</v>
      </c>
      <c r="S125" s="189">
        <v>4.6727453309723103E-2</v>
      </c>
      <c r="T125" s="189">
        <v>4.3030701316806703E-2</v>
      </c>
      <c r="U125" s="189">
        <v>0.139217722191017</v>
      </c>
      <c r="V125" s="189">
        <v>0.23611014289492299</v>
      </c>
      <c r="W125" s="189"/>
      <c r="X125" s="90"/>
      <c r="Y125" s="188"/>
      <c r="Z125" s="188"/>
      <c r="AA125" s="188"/>
      <c r="AB125" s="188"/>
      <c r="AC125" s="188"/>
      <c r="AD125" s="190"/>
      <c r="AE125" s="189"/>
    </row>
    <row r="126" spans="1:31" ht="21.25" customHeight="1" x14ac:dyDescent="0.15">
      <c r="A126" s="10" t="s">
        <v>334</v>
      </c>
      <c r="B126" s="186" t="s">
        <v>858</v>
      </c>
      <c r="C126" s="187">
        <v>23</v>
      </c>
      <c r="D126" s="186" t="s">
        <v>824</v>
      </c>
      <c r="E126" s="90">
        <v>80.162499999999994</v>
      </c>
      <c r="F126" s="188">
        <v>17.049028416976601</v>
      </c>
      <c r="G126" s="189">
        <v>0.28945956083247198</v>
      </c>
      <c r="H126" s="189">
        <v>0.39676690740465098</v>
      </c>
      <c r="I126" s="189">
        <v>0.68622646823712297</v>
      </c>
      <c r="J126" s="189">
        <v>2.2090231963967102</v>
      </c>
      <c r="K126" s="189">
        <v>7.89450159089988E-2</v>
      </c>
      <c r="L126" s="189">
        <v>0.170167932398233</v>
      </c>
      <c r="M126" s="189">
        <v>6.9789373904628196E-4</v>
      </c>
      <c r="N126" s="189">
        <v>1.3013223552528E-3</v>
      </c>
      <c r="O126" s="189">
        <v>0.46412613225397098</v>
      </c>
      <c r="P126" s="189">
        <v>1.2311604094306301</v>
      </c>
      <c r="Q126" s="189">
        <v>-3.3485531566816301E-2</v>
      </c>
      <c r="R126" s="189">
        <v>0.65068240707178604</v>
      </c>
      <c r="S126" s="189">
        <v>4.1737476364964297E-2</v>
      </c>
      <c r="T126" s="189">
        <v>5.9867541410351901</v>
      </c>
      <c r="U126" s="189">
        <v>5.9509256240702504</v>
      </c>
      <c r="V126" s="189">
        <v>0.50150064826959395</v>
      </c>
      <c r="W126" s="189"/>
      <c r="X126" s="90"/>
      <c r="Y126" s="188"/>
      <c r="Z126" s="188"/>
      <c r="AA126" s="188"/>
      <c r="AB126" s="188"/>
      <c r="AC126" s="188"/>
      <c r="AD126" s="190"/>
      <c r="AE126" s="189"/>
    </row>
    <row r="127" spans="1:31" ht="21.25" customHeight="1" x14ac:dyDescent="0.15">
      <c r="A127" s="10" t="s">
        <v>286</v>
      </c>
      <c r="B127" s="186" t="s">
        <v>838</v>
      </c>
      <c r="C127" s="187">
        <v>34</v>
      </c>
      <c r="D127" s="186" t="s">
        <v>824</v>
      </c>
      <c r="E127" s="90">
        <v>83.577500000000001</v>
      </c>
      <c r="F127" s="188">
        <v>18.764941463414601</v>
      </c>
      <c r="G127" s="189">
        <v>0.32645508943820301</v>
      </c>
      <c r="H127" s="189">
        <v>0.35742000074469599</v>
      </c>
      <c r="I127" s="189">
        <v>0.68387509018289905</v>
      </c>
      <c r="J127" s="189">
        <v>2.3087491675368801</v>
      </c>
      <c r="K127" s="189">
        <v>7.3471182970449994E-2</v>
      </c>
      <c r="L127" s="189">
        <v>0.149807501513749</v>
      </c>
      <c r="M127" s="189">
        <v>1.49922727844465E-2</v>
      </c>
      <c r="N127" s="189">
        <v>2.5260347061155899E-2</v>
      </c>
      <c r="O127" s="189">
        <v>0.69474866348581199</v>
      </c>
      <c r="P127" s="189">
        <v>0.50357772996827399</v>
      </c>
      <c r="Q127" s="189">
        <v>0.117503128612385</v>
      </c>
      <c r="R127" s="189">
        <v>0.371033299048251</v>
      </c>
      <c r="S127" s="189">
        <v>5.8920968723193502E-2</v>
      </c>
      <c r="T127" s="189">
        <v>7.9103438271725901</v>
      </c>
      <c r="U127" s="189">
        <v>7.9745090318075</v>
      </c>
      <c r="V127" s="189">
        <v>0.497980302203472</v>
      </c>
      <c r="W127" s="189"/>
      <c r="X127" s="90"/>
      <c r="Y127" s="188"/>
      <c r="Z127" s="188"/>
      <c r="AA127" s="188"/>
      <c r="AB127" s="188"/>
      <c r="AC127" s="188"/>
      <c r="AD127" s="190"/>
      <c r="AE127" s="189"/>
    </row>
    <row r="128" spans="1:31" ht="21.25" customHeight="1" x14ac:dyDescent="0.15">
      <c r="A128" s="10" t="s">
        <v>315</v>
      </c>
      <c r="B128" s="186" t="s">
        <v>849</v>
      </c>
      <c r="C128" s="187">
        <v>30</v>
      </c>
      <c r="D128" s="186" t="s">
        <v>825</v>
      </c>
      <c r="E128" s="90">
        <v>79.277500000000003</v>
      </c>
      <c r="F128" s="188">
        <v>17.830975623770001</v>
      </c>
      <c r="G128" s="189">
        <v>0.322397826160012</v>
      </c>
      <c r="H128" s="189">
        <v>0.35903772045923898</v>
      </c>
      <c r="I128" s="189">
        <v>0.68143554661925099</v>
      </c>
      <c r="J128" s="189">
        <v>2.5352004258007499</v>
      </c>
      <c r="K128" s="189">
        <v>9.1914352082095793E-2</v>
      </c>
      <c r="L128" s="189">
        <v>0.23963874857196199</v>
      </c>
      <c r="M128" s="189">
        <v>1.80425278932148E-4</v>
      </c>
      <c r="N128" s="189">
        <v>2.9680777519782602E-4</v>
      </c>
      <c r="O128" s="189">
        <v>0.37891384509423498</v>
      </c>
      <c r="P128" s="189">
        <v>0.72903838718877201</v>
      </c>
      <c r="Q128" s="189">
        <v>4.3268239276402403E-3</v>
      </c>
      <c r="R128" s="189">
        <v>0.52328318476871505</v>
      </c>
      <c r="S128" s="189">
        <v>5.09273024951718E-2</v>
      </c>
      <c r="T128" s="189">
        <v>0.13889698181650101</v>
      </c>
      <c r="U128" s="189">
        <v>0.28928418495873598</v>
      </c>
      <c r="V128" s="189">
        <v>0.324388349124686</v>
      </c>
      <c r="W128" s="189"/>
      <c r="X128" s="90"/>
      <c r="Y128" s="188"/>
      <c r="Z128" s="188"/>
      <c r="AA128" s="188"/>
      <c r="AB128" s="188"/>
      <c r="AC128" s="188"/>
      <c r="AD128" s="190"/>
      <c r="AE128" s="189"/>
    </row>
    <row r="129" spans="1:31" ht="21.25" customHeight="1" x14ac:dyDescent="0.15">
      <c r="A129" s="10" t="s">
        <v>293</v>
      </c>
      <c r="B129" s="186" t="s">
        <v>863</v>
      </c>
      <c r="C129" s="187">
        <v>25</v>
      </c>
      <c r="D129" s="186" t="s">
        <v>824</v>
      </c>
      <c r="E129" s="90">
        <v>83.73</v>
      </c>
      <c r="F129" s="188">
        <v>16.856069670007599</v>
      </c>
      <c r="G129" s="189">
        <v>0.282358856858685</v>
      </c>
      <c r="H129" s="189">
        <v>0.399139998876824</v>
      </c>
      <c r="I129" s="189">
        <v>0.68149885573550895</v>
      </c>
      <c r="J129" s="189">
        <v>2.4103700591122399</v>
      </c>
      <c r="K129" s="189">
        <v>0.113003526466544</v>
      </c>
      <c r="L129" s="189">
        <v>0.26529114785956498</v>
      </c>
      <c r="M129" s="189">
        <v>1.00017840610812E-3</v>
      </c>
      <c r="N129" s="189">
        <v>1.11592789605379E-3</v>
      </c>
      <c r="O129" s="189">
        <v>0.377163178861952</v>
      </c>
      <c r="P129" s="189">
        <v>2.3313006242747698</v>
      </c>
      <c r="Q129" s="189">
        <v>3.7323853908287699E-2</v>
      </c>
      <c r="R129" s="189">
        <v>0.51128396265141696</v>
      </c>
      <c r="S129" s="189">
        <v>5.0086276312899101E-2</v>
      </c>
      <c r="T129" s="189">
        <v>5.5956820114662804</v>
      </c>
      <c r="U129" s="189">
        <v>5.4914166270834102</v>
      </c>
      <c r="V129" s="189">
        <v>0.50470210412038496</v>
      </c>
      <c r="W129" s="189"/>
      <c r="X129" s="90"/>
      <c r="Y129" s="188"/>
      <c r="Z129" s="188"/>
      <c r="AA129" s="188"/>
      <c r="AB129" s="188"/>
      <c r="AC129" s="188"/>
      <c r="AD129" s="190"/>
      <c r="AE129" s="189"/>
    </row>
    <row r="130" spans="1:31" ht="21.25" customHeight="1" x14ac:dyDescent="0.15">
      <c r="A130" s="10" t="s">
        <v>187</v>
      </c>
      <c r="B130" s="186" t="s">
        <v>856</v>
      </c>
      <c r="C130" s="187">
        <v>28</v>
      </c>
      <c r="D130" s="186" t="s">
        <v>827</v>
      </c>
      <c r="E130" s="90">
        <v>77.832499999999996</v>
      </c>
      <c r="F130" s="188">
        <v>24.0999052210854</v>
      </c>
      <c r="G130" s="189">
        <v>0.13567872264345199</v>
      </c>
      <c r="H130" s="189">
        <v>0.54210809932635295</v>
      </c>
      <c r="I130" s="189">
        <v>0.677786821969805</v>
      </c>
      <c r="J130" s="189">
        <v>1.8613609844882599</v>
      </c>
      <c r="K130" s="189">
        <v>4.5803932411537199E-2</v>
      </c>
      <c r="L130" s="189">
        <v>0.299790909024652</v>
      </c>
      <c r="M130" s="189">
        <v>2.5875289668389099E-4</v>
      </c>
      <c r="N130" s="189">
        <v>1.3164684047397599E-2</v>
      </c>
      <c r="O130" s="189">
        <v>1.6544768494770401</v>
      </c>
      <c r="P130" s="189">
        <v>0.68579356677155001</v>
      </c>
      <c r="Q130" s="189">
        <v>-2.9534817195899399E-4</v>
      </c>
      <c r="R130" s="189">
        <v>0.52159389128376399</v>
      </c>
      <c r="S130" s="189">
        <v>2.19317337608902E-2</v>
      </c>
      <c r="T130" s="189">
        <v>0</v>
      </c>
      <c r="U130" s="189">
        <v>0</v>
      </c>
      <c r="V130" s="189">
        <v>0</v>
      </c>
      <c r="W130" s="189"/>
      <c r="X130" s="90"/>
      <c r="Y130" s="188"/>
      <c r="Z130" s="188"/>
      <c r="AA130" s="188"/>
      <c r="AB130" s="188"/>
      <c r="AC130" s="188"/>
      <c r="AD130" s="190"/>
      <c r="AE130" s="189"/>
    </row>
    <row r="131" spans="1:31" ht="21.25" customHeight="1" x14ac:dyDescent="0.15">
      <c r="A131" s="10" t="s">
        <v>161</v>
      </c>
      <c r="B131" s="186" t="s">
        <v>859</v>
      </c>
      <c r="C131" s="187">
        <v>25</v>
      </c>
      <c r="D131" s="186" t="s">
        <v>827</v>
      </c>
      <c r="E131" s="90">
        <v>81.967500000000001</v>
      </c>
      <c r="F131" s="188">
        <v>24.931394649390299</v>
      </c>
      <c r="G131" s="189">
        <v>0.14737335531638901</v>
      </c>
      <c r="H131" s="189">
        <v>0.52490356354968504</v>
      </c>
      <c r="I131" s="189">
        <v>0.67227691886607399</v>
      </c>
      <c r="J131" s="189">
        <v>1.9344743822464401</v>
      </c>
      <c r="K131" s="189">
        <v>4.2681063486623802E-2</v>
      </c>
      <c r="L131" s="189">
        <v>0.22783320573135099</v>
      </c>
      <c r="M131" s="189">
        <v>5.7445866959795599E-3</v>
      </c>
      <c r="N131" s="189">
        <v>1.5791506707503698E-2</v>
      </c>
      <c r="O131" s="189">
        <v>1.67286859614198</v>
      </c>
      <c r="P131" s="189">
        <v>0.96458298486184602</v>
      </c>
      <c r="Q131" s="189">
        <v>-3.7070544145859897E-2</v>
      </c>
      <c r="R131" s="189">
        <v>0.38162102638158701</v>
      </c>
      <c r="S131" s="189">
        <v>2.1530824680630199E-2</v>
      </c>
      <c r="T131" s="189">
        <v>0</v>
      </c>
      <c r="U131" s="189">
        <v>1.96139184062262E-3</v>
      </c>
      <c r="V131" s="189">
        <v>0</v>
      </c>
      <c r="W131" s="189"/>
      <c r="X131" s="90"/>
      <c r="Y131" s="188"/>
      <c r="Z131" s="188"/>
      <c r="AA131" s="188"/>
      <c r="AB131" s="188"/>
      <c r="AC131" s="188"/>
      <c r="AD131" s="190"/>
      <c r="AE131" s="189"/>
    </row>
    <row r="132" spans="1:31" ht="21.25" customHeight="1" x14ac:dyDescent="0.15">
      <c r="A132" s="10" t="s">
        <v>453</v>
      </c>
      <c r="B132" s="186" t="s">
        <v>869</v>
      </c>
      <c r="C132" s="187">
        <v>28</v>
      </c>
      <c r="D132" s="186" t="s">
        <v>839</v>
      </c>
      <c r="E132" s="90">
        <v>74.622500000000002</v>
      </c>
      <c r="F132" s="188">
        <v>16.763289341423999</v>
      </c>
      <c r="G132" s="189">
        <v>0.22273042445171701</v>
      </c>
      <c r="H132" s="189">
        <v>0.44856164135799498</v>
      </c>
      <c r="I132" s="189">
        <v>0.67129206580971201</v>
      </c>
      <c r="J132" s="189">
        <v>1.6810131996589699</v>
      </c>
      <c r="K132" s="189">
        <v>7.0652883323320897E-2</v>
      </c>
      <c r="L132" s="189">
        <v>0.16190238458963499</v>
      </c>
      <c r="M132" s="189">
        <v>1.2337965016214201E-3</v>
      </c>
      <c r="N132" s="189">
        <v>2.0196547659642101E-3</v>
      </c>
      <c r="O132" s="189">
        <v>0.57162269004593702</v>
      </c>
      <c r="P132" s="189">
        <v>0.88020027326424299</v>
      </c>
      <c r="Q132" s="189">
        <v>6.1355868365758799E-2</v>
      </c>
      <c r="R132" s="189">
        <v>0.61536802102326504</v>
      </c>
      <c r="S132" s="189">
        <v>3.3358183038467097E-2</v>
      </c>
      <c r="T132" s="189">
        <v>6.3544819226930596</v>
      </c>
      <c r="U132" s="189">
        <v>6.5467440354522299</v>
      </c>
      <c r="V132" s="189">
        <v>0.49254868826486298</v>
      </c>
      <c r="W132" s="189"/>
      <c r="X132" s="90"/>
      <c r="Y132" s="188"/>
      <c r="Z132" s="188"/>
      <c r="AA132" s="188"/>
      <c r="AB132" s="188"/>
      <c r="AC132" s="188"/>
      <c r="AD132" s="190"/>
      <c r="AE132" s="189"/>
    </row>
    <row r="133" spans="1:31" ht="21.25" customHeight="1" x14ac:dyDescent="0.15">
      <c r="A133" s="10" t="s">
        <v>380</v>
      </c>
      <c r="B133" s="186" t="s">
        <v>861</v>
      </c>
      <c r="C133" s="187">
        <v>33</v>
      </c>
      <c r="D133" s="186" t="s">
        <v>848</v>
      </c>
      <c r="E133" s="90">
        <v>73.260000000000005</v>
      </c>
      <c r="F133" s="188">
        <v>15.7587896212766</v>
      </c>
      <c r="G133" s="189">
        <v>0.31136498285582598</v>
      </c>
      <c r="H133" s="189">
        <v>0.35590993121275899</v>
      </c>
      <c r="I133" s="189">
        <v>0.66727491406858497</v>
      </c>
      <c r="J133" s="189">
        <v>2.5718982296970001</v>
      </c>
      <c r="K133" s="189">
        <v>6.4666260996644007E-2</v>
      </c>
      <c r="L133" s="189">
        <v>0.15950780126321201</v>
      </c>
      <c r="M133" s="189">
        <v>0</v>
      </c>
      <c r="N133" s="189">
        <v>0</v>
      </c>
      <c r="O133" s="189">
        <v>0.479942016584332</v>
      </c>
      <c r="P133" s="189">
        <v>0.48768628417841098</v>
      </c>
      <c r="Q133" s="189">
        <v>2.1778342309062902E-3</v>
      </c>
      <c r="R133" s="189">
        <v>0.40412765688402502</v>
      </c>
      <c r="S133" s="189">
        <v>4.8793353250635801E-2</v>
      </c>
      <c r="T133" s="189">
        <v>0.135772787901731</v>
      </c>
      <c r="U133" s="189">
        <v>0.192256597898422</v>
      </c>
      <c r="V133" s="189">
        <v>0.41390434448591801</v>
      </c>
      <c r="W133" s="189"/>
      <c r="X133" s="90"/>
      <c r="Y133" s="188"/>
      <c r="Z133" s="188"/>
      <c r="AA133" s="188"/>
      <c r="AB133" s="188"/>
      <c r="AC133" s="188"/>
      <c r="AD133" s="190"/>
      <c r="AE133" s="189"/>
    </row>
    <row r="134" spans="1:31" ht="21.25" customHeight="1" x14ac:dyDescent="0.15">
      <c r="A134" s="10" t="s">
        <v>301</v>
      </c>
      <c r="B134" s="186" t="s">
        <v>838</v>
      </c>
      <c r="C134" s="187">
        <v>35</v>
      </c>
      <c r="D134" s="186" t="s">
        <v>839</v>
      </c>
      <c r="E134" s="90">
        <v>83.142499999999998</v>
      </c>
      <c r="F134" s="188">
        <v>17.421970831389601</v>
      </c>
      <c r="G134" s="189">
        <v>0.26478105178814099</v>
      </c>
      <c r="H134" s="189">
        <v>0.40242215237728401</v>
      </c>
      <c r="I134" s="189">
        <v>0.667203204165425</v>
      </c>
      <c r="J134" s="189">
        <v>2.7120086008068101</v>
      </c>
      <c r="K134" s="189">
        <v>9.3642910413705302E-2</v>
      </c>
      <c r="L134" s="189">
        <v>0.27375991893322499</v>
      </c>
      <c r="M134" s="189">
        <v>2.4201715789154199E-4</v>
      </c>
      <c r="N134" s="189">
        <v>4.0450977873037798E-4</v>
      </c>
      <c r="O134" s="189">
        <v>0.35585109530581699</v>
      </c>
      <c r="P134" s="189">
        <v>0.63804972877783805</v>
      </c>
      <c r="Q134" s="189">
        <v>6.9045039016515097E-2</v>
      </c>
      <c r="R134" s="189">
        <v>0.45710124732078899</v>
      </c>
      <c r="S134" s="189">
        <v>4.7789593655137699E-2</v>
      </c>
      <c r="T134" s="189">
        <v>6.0177659055217401</v>
      </c>
      <c r="U134" s="189">
        <v>6.7344417742319598</v>
      </c>
      <c r="V134" s="189">
        <v>0.47189992953737497</v>
      </c>
      <c r="W134" s="189"/>
      <c r="X134" s="90"/>
      <c r="Y134" s="188"/>
      <c r="Z134" s="188"/>
      <c r="AA134" s="188"/>
      <c r="AB134" s="188"/>
      <c r="AC134" s="188"/>
      <c r="AD134" s="190"/>
      <c r="AE134" s="189"/>
    </row>
    <row r="135" spans="1:31" ht="21.25" customHeight="1" x14ac:dyDescent="0.15">
      <c r="A135" s="10" t="s">
        <v>160</v>
      </c>
      <c r="B135" s="186" t="s">
        <v>869</v>
      </c>
      <c r="C135" s="187">
        <v>28</v>
      </c>
      <c r="D135" s="186" t="s">
        <v>827</v>
      </c>
      <c r="E135" s="90">
        <v>82.575000000000003</v>
      </c>
      <c r="F135" s="188">
        <v>23.220744458841502</v>
      </c>
      <c r="G135" s="189">
        <v>0.25811633632867398</v>
      </c>
      <c r="H135" s="189">
        <v>0.404654264982656</v>
      </c>
      <c r="I135" s="189">
        <v>0.66277060131133003</v>
      </c>
      <c r="J135" s="189">
        <v>2.6422172833230899</v>
      </c>
      <c r="K135" s="189">
        <v>8.77732615571893E-2</v>
      </c>
      <c r="L135" s="189">
        <v>0.22531066420245</v>
      </c>
      <c r="M135" s="189">
        <v>2.16704896911124E-4</v>
      </c>
      <c r="N135" s="189">
        <v>7.3765506218856705E-4</v>
      </c>
      <c r="O135" s="189">
        <v>1.4297080992729101</v>
      </c>
      <c r="P135" s="189">
        <v>0.76073676522606504</v>
      </c>
      <c r="Q135" s="189">
        <v>7.7442428355067705E-2</v>
      </c>
      <c r="R135" s="189">
        <v>0.70542655763778195</v>
      </c>
      <c r="S135" s="189">
        <v>3.86579068111862E-2</v>
      </c>
      <c r="T135" s="189">
        <v>0</v>
      </c>
      <c r="U135" s="189">
        <v>0</v>
      </c>
      <c r="V135" s="189">
        <v>0</v>
      </c>
      <c r="W135" s="189"/>
      <c r="X135" s="90"/>
      <c r="Y135" s="188"/>
      <c r="Z135" s="188"/>
      <c r="AA135" s="188"/>
      <c r="AB135" s="188"/>
      <c r="AC135" s="188"/>
      <c r="AD135" s="190"/>
      <c r="AE135" s="189"/>
    </row>
    <row r="136" spans="1:31" ht="21.25" customHeight="1" x14ac:dyDescent="0.15">
      <c r="A136" s="10" t="s">
        <v>372</v>
      </c>
      <c r="B136" s="186" t="s">
        <v>869</v>
      </c>
      <c r="C136" s="187">
        <v>25</v>
      </c>
      <c r="D136" s="186" t="s">
        <v>848</v>
      </c>
      <c r="E136" s="90">
        <v>81.739999999999995</v>
      </c>
      <c r="F136" s="188">
        <v>16.6577715571011</v>
      </c>
      <c r="G136" s="189">
        <v>0.29078429101665998</v>
      </c>
      <c r="H136" s="189">
        <v>0.371794100011682</v>
      </c>
      <c r="I136" s="189">
        <v>0.66257839102834204</v>
      </c>
      <c r="J136" s="189">
        <v>1.8600138368046399</v>
      </c>
      <c r="K136" s="189">
        <v>4.0955971648208803E-3</v>
      </c>
      <c r="L136" s="189">
        <v>1.6649697875864101E-2</v>
      </c>
      <c r="M136" s="189">
        <v>1.8688668504434802E-2</v>
      </c>
      <c r="N136" s="189">
        <v>3.5988691177115902E-2</v>
      </c>
      <c r="O136" s="189">
        <v>0.51255383667485199</v>
      </c>
      <c r="P136" s="189">
        <v>0.46406181493465498</v>
      </c>
      <c r="Q136" s="189">
        <v>7.5869694730524004E-2</v>
      </c>
      <c r="R136" s="189">
        <v>0.261439127983152</v>
      </c>
      <c r="S136" s="189">
        <v>4.35505639982623E-2</v>
      </c>
      <c r="T136" s="189">
        <v>0.30770633241338102</v>
      </c>
      <c r="U136" s="189">
        <v>0.52815665382485499</v>
      </c>
      <c r="V136" s="189">
        <v>0.36813010921586498</v>
      </c>
      <c r="W136" s="189"/>
      <c r="X136" s="90"/>
      <c r="Y136" s="188"/>
      <c r="Z136" s="188"/>
      <c r="AA136" s="188"/>
      <c r="AB136" s="188"/>
      <c r="AC136" s="188"/>
      <c r="AD136" s="190"/>
      <c r="AE136" s="189"/>
    </row>
    <row r="137" spans="1:31" ht="21.25" customHeight="1" x14ac:dyDescent="0.15">
      <c r="A137" s="10" t="s">
        <v>451</v>
      </c>
      <c r="B137" s="186" t="s">
        <v>847</v>
      </c>
      <c r="C137" s="187">
        <v>35</v>
      </c>
      <c r="D137" s="186" t="s">
        <v>846</v>
      </c>
      <c r="E137" s="90">
        <v>79.392499999999998</v>
      </c>
      <c r="F137" s="188">
        <v>15.1689998895879</v>
      </c>
      <c r="G137" s="189">
        <v>0.24030173478158101</v>
      </c>
      <c r="H137" s="189">
        <v>0.41712685943275302</v>
      </c>
      <c r="I137" s="189">
        <v>0.65742859421433397</v>
      </c>
      <c r="J137" s="189">
        <v>1.5131363820032</v>
      </c>
      <c r="K137" s="189">
        <v>4.5410587237656799E-2</v>
      </c>
      <c r="L137" s="189">
        <v>0.138160974442086</v>
      </c>
      <c r="M137" s="189">
        <v>7.3130356513952094E-5</v>
      </c>
      <c r="N137" s="189">
        <v>1.2284184620787501E-4</v>
      </c>
      <c r="O137" s="189">
        <v>0.37078113113578298</v>
      </c>
      <c r="P137" s="189">
        <v>0.51495899437669401</v>
      </c>
      <c r="Q137" s="189">
        <v>6.0738904461941003E-2</v>
      </c>
      <c r="R137" s="189">
        <v>0.201959578424696</v>
      </c>
      <c r="S137" s="189">
        <v>4.0640500563920101E-2</v>
      </c>
      <c r="T137" s="189">
        <v>4.3796619630463702</v>
      </c>
      <c r="U137" s="189">
        <v>3.81667106660813</v>
      </c>
      <c r="V137" s="189">
        <v>0.53434407157452801</v>
      </c>
      <c r="W137" s="189"/>
      <c r="X137" s="90"/>
      <c r="Y137" s="188"/>
      <c r="Z137" s="188"/>
      <c r="AA137" s="188"/>
      <c r="AB137" s="188"/>
      <c r="AC137" s="188"/>
      <c r="AD137" s="190"/>
      <c r="AE137" s="189"/>
    </row>
    <row r="138" spans="1:31" ht="21.25" customHeight="1" x14ac:dyDescent="0.15">
      <c r="A138" s="10" t="s">
        <v>656</v>
      </c>
      <c r="B138" s="186" t="s">
        <v>845</v>
      </c>
      <c r="C138" s="187">
        <v>19</v>
      </c>
      <c r="D138" s="186" t="s">
        <v>824</v>
      </c>
      <c r="E138" s="90">
        <v>76.95</v>
      </c>
      <c r="F138" s="188">
        <v>14.2274129374163</v>
      </c>
      <c r="G138" s="189">
        <v>0.13681259999699999</v>
      </c>
      <c r="H138" s="189">
        <v>0.20626735596687201</v>
      </c>
      <c r="I138" s="189">
        <v>0.34307995596387197</v>
      </c>
      <c r="J138" s="189">
        <v>1.2425922321263101</v>
      </c>
      <c r="K138" s="189">
        <v>1.02454492462924E-3</v>
      </c>
      <c r="L138" s="189">
        <v>1.52394950563541E-3</v>
      </c>
      <c r="M138" s="189">
        <v>2.74793762667426E-2</v>
      </c>
      <c r="N138" s="189">
        <v>3.5566281734547303E-2</v>
      </c>
      <c r="O138" s="189">
        <v>0.482368077101262</v>
      </c>
      <c r="P138" s="189">
        <v>1.22284186590143</v>
      </c>
      <c r="Q138" s="189">
        <v>-8.3160380943150397E-3</v>
      </c>
      <c r="R138" s="189">
        <v>0.50325488093175696</v>
      </c>
      <c r="S138" s="189">
        <v>1.86832270987029E-2</v>
      </c>
      <c r="T138" s="189">
        <v>5.4701359594279904</v>
      </c>
      <c r="U138" s="189">
        <v>5.3695444496509799</v>
      </c>
      <c r="V138" s="189">
        <v>0.504639966584843</v>
      </c>
      <c r="W138" s="189"/>
      <c r="X138" s="90"/>
      <c r="Y138" s="188"/>
      <c r="Z138" s="188"/>
      <c r="AA138" s="188"/>
      <c r="AB138" s="188"/>
      <c r="AC138" s="188"/>
      <c r="AD138" s="190"/>
      <c r="AE138" s="189"/>
    </row>
    <row r="139" spans="1:31" ht="21.25" customHeight="1" x14ac:dyDescent="0.15">
      <c r="A139" s="10" t="s">
        <v>357</v>
      </c>
      <c r="B139" s="186" t="s">
        <v>854</v>
      </c>
      <c r="C139" s="187">
        <v>31</v>
      </c>
      <c r="D139" s="186" t="s">
        <v>848</v>
      </c>
      <c r="E139" s="90">
        <v>83.297499999999999</v>
      </c>
      <c r="F139" s="188">
        <v>17.743488665568101</v>
      </c>
      <c r="G139" s="189">
        <v>0.33388407421053801</v>
      </c>
      <c r="H139" s="189">
        <v>0.31940644112810501</v>
      </c>
      <c r="I139" s="189">
        <v>0.65329051533864302</v>
      </c>
      <c r="J139" s="189">
        <v>2.0253670303262399</v>
      </c>
      <c r="K139" s="189">
        <v>0.124477933187155</v>
      </c>
      <c r="L139" s="189">
        <v>0.24366583111164</v>
      </c>
      <c r="M139" s="189">
        <v>6.38548070459132E-6</v>
      </c>
      <c r="N139" s="189">
        <v>1.04658376758155E-5</v>
      </c>
      <c r="O139" s="189">
        <v>0.346698709520883</v>
      </c>
      <c r="P139" s="189">
        <v>0.75895608207106602</v>
      </c>
      <c r="Q139" s="189">
        <v>-8.5539234928485502E-2</v>
      </c>
      <c r="R139" s="189">
        <v>0.39666947348048998</v>
      </c>
      <c r="S139" s="189">
        <v>4.1206653165706597E-2</v>
      </c>
      <c r="T139" s="189">
        <v>0.47345658216302</v>
      </c>
      <c r="U139" s="189">
        <v>0.64319748436749402</v>
      </c>
      <c r="V139" s="189">
        <v>0.42399575334379702</v>
      </c>
      <c r="W139" s="189"/>
      <c r="X139" s="90"/>
      <c r="Y139" s="188"/>
      <c r="Z139" s="188"/>
      <c r="AA139" s="188"/>
      <c r="AB139" s="188"/>
      <c r="AC139" s="188"/>
      <c r="AD139" s="190"/>
      <c r="AE139" s="189"/>
    </row>
    <row r="140" spans="1:31" ht="21.25" customHeight="1" x14ac:dyDescent="0.15">
      <c r="A140" s="10" t="s">
        <v>373</v>
      </c>
      <c r="B140" s="186" t="s">
        <v>862</v>
      </c>
      <c r="C140" s="187">
        <v>24</v>
      </c>
      <c r="D140" s="186" t="s">
        <v>826</v>
      </c>
      <c r="E140" s="90">
        <v>76.567499999999995</v>
      </c>
      <c r="F140" s="188">
        <v>16.622944553222801</v>
      </c>
      <c r="G140" s="189">
        <v>0.29943307966206101</v>
      </c>
      <c r="H140" s="189">
        <v>0.35102544050678203</v>
      </c>
      <c r="I140" s="189">
        <v>0.65045852016884298</v>
      </c>
      <c r="J140" s="189">
        <v>2.16447723309249</v>
      </c>
      <c r="K140" s="189">
        <v>0.103746407428429</v>
      </c>
      <c r="L140" s="189">
        <v>0.20033006179370899</v>
      </c>
      <c r="M140" s="189">
        <v>6.7495718885315605E-5</v>
      </c>
      <c r="N140" s="189">
        <v>1.1069273677281699E-4</v>
      </c>
      <c r="O140" s="189">
        <v>0.40445692174193498</v>
      </c>
      <c r="P140" s="189">
        <v>1.02281040537644</v>
      </c>
      <c r="Q140" s="189">
        <v>3.5535795401190902E-2</v>
      </c>
      <c r="R140" s="189">
        <v>0.30812408483356302</v>
      </c>
      <c r="S140" s="189">
        <v>4.5145519473066199E-2</v>
      </c>
      <c r="T140" s="189">
        <v>0.122595198455294</v>
      </c>
      <c r="U140" s="189">
        <v>0.30656111643179801</v>
      </c>
      <c r="V140" s="189">
        <v>0.28566560528777901</v>
      </c>
      <c r="W140" s="189"/>
      <c r="X140" s="90"/>
      <c r="Y140" s="188"/>
      <c r="Z140" s="188"/>
      <c r="AA140" s="188"/>
      <c r="AB140" s="188"/>
      <c r="AC140" s="188"/>
      <c r="AD140" s="190"/>
      <c r="AE140" s="189"/>
    </row>
    <row r="141" spans="1:31" ht="21.25" customHeight="1" x14ac:dyDescent="0.15">
      <c r="A141" s="10" t="s">
        <v>320</v>
      </c>
      <c r="B141" s="186" t="s">
        <v>870</v>
      </c>
      <c r="C141" s="187">
        <v>23</v>
      </c>
      <c r="D141" s="186" t="s">
        <v>824</v>
      </c>
      <c r="E141" s="90">
        <v>83.53</v>
      </c>
      <c r="F141" s="188">
        <v>20.163686509146299</v>
      </c>
      <c r="G141" s="189">
        <v>0.27390863181436798</v>
      </c>
      <c r="H141" s="189">
        <v>0.37458974593799899</v>
      </c>
      <c r="I141" s="189">
        <v>0.64849837775236696</v>
      </c>
      <c r="J141" s="189">
        <v>1.9339666070783099</v>
      </c>
      <c r="K141" s="189">
        <v>7.0669487615794002E-2</v>
      </c>
      <c r="L141" s="189">
        <v>0.149228035548295</v>
      </c>
      <c r="M141" s="189">
        <v>2.8573727691443098E-3</v>
      </c>
      <c r="N141" s="189">
        <v>4.6761737884718196E-3</v>
      </c>
      <c r="O141" s="189">
        <v>0.87260851839922104</v>
      </c>
      <c r="P141" s="189">
        <v>0.49252617226634499</v>
      </c>
      <c r="Q141" s="189">
        <v>-8.0516917062568194E-2</v>
      </c>
      <c r="R141" s="189">
        <v>0.29854740611355901</v>
      </c>
      <c r="S141" s="189">
        <v>3.7737812336625501E-2</v>
      </c>
      <c r="T141" s="189">
        <v>6.80994433255381</v>
      </c>
      <c r="U141" s="189">
        <v>7.4848346238863099</v>
      </c>
      <c r="V141" s="189">
        <v>0.476393818561691</v>
      </c>
      <c r="W141" s="189"/>
      <c r="X141" s="90"/>
      <c r="Y141" s="188"/>
      <c r="Z141" s="188"/>
      <c r="AA141" s="188"/>
      <c r="AB141" s="188"/>
      <c r="AC141" s="188"/>
      <c r="AD141" s="190"/>
      <c r="AE141" s="189"/>
    </row>
    <row r="142" spans="1:31" ht="21.25" customHeight="1" x14ac:dyDescent="0.15">
      <c r="A142" s="10" t="s">
        <v>418</v>
      </c>
      <c r="B142" s="186" t="s">
        <v>849</v>
      </c>
      <c r="C142" s="187">
        <v>38</v>
      </c>
      <c r="D142" s="186" t="s">
        <v>826</v>
      </c>
      <c r="E142" s="90">
        <v>76.86</v>
      </c>
      <c r="F142" s="188">
        <v>16.250451103140598</v>
      </c>
      <c r="G142" s="189">
        <v>0.19051572656324001</v>
      </c>
      <c r="H142" s="189">
        <v>0.45748758101119302</v>
      </c>
      <c r="I142" s="189">
        <v>0.64800330757443303</v>
      </c>
      <c r="J142" s="189">
        <v>1.8037942065274899</v>
      </c>
      <c r="K142" s="189">
        <v>4.05355716182208E-2</v>
      </c>
      <c r="L142" s="189">
        <v>0.2058322675872</v>
      </c>
      <c r="M142" s="189">
        <v>6.0014010555838598E-5</v>
      </c>
      <c r="N142" s="189">
        <v>1.03585644184701E-4</v>
      </c>
      <c r="O142" s="189">
        <v>0.46631907523453298</v>
      </c>
      <c r="P142" s="189">
        <v>0.40120354403307801</v>
      </c>
      <c r="Q142" s="189">
        <v>1.4770987525459801E-4</v>
      </c>
      <c r="R142" s="189">
        <v>0.32551688699957398</v>
      </c>
      <c r="S142" s="189">
        <v>3.0094657126993302E-2</v>
      </c>
      <c r="T142" s="189">
        <v>0.338256805048127</v>
      </c>
      <c r="U142" s="189">
        <v>0.47076800217870701</v>
      </c>
      <c r="V142" s="189">
        <v>0.41810436716718302</v>
      </c>
      <c r="W142" s="189"/>
      <c r="X142" s="90"/>
      <c r="Y142" s="188"/>
      <c r="Z142" s="188"/>
      <c r="AA142" s="188"/>
      <c r="AB142" s="188"/>
      <c r="AC142" s="188"/>
      <c r="AD142" s="190"/>
      <c r="AE142" s="189"/>
    </row>
    <row r="143" spans="1:31" ht="21.25" customHeight="1" x14ac:dyDescent="0.15">
      <c r="A143" s="10" t="s">
        <v>359</v>
      </c>
      <c r="B143" s="186" t="s">
        <v>869</v>
      </c>
      <c r="C143" s="187">
        <v>40</v>
      </c>
      <c r="D143" s="186" t="s">
        <v>848</v>
      </c>
      <c r="E143" s="90">
        <v>81.392499999999998</v>
      </c>
      <c r="F143" s="188">
        <v>14.8587168985873</v>
      </c>
      <c r="G143" s="189">
        <v>0.34546497829313799</v>
      </c>
      <c r="H143" s="189">
        <v>0.30073548524660498</v>
      </c>
      <c r="I143" s="189">
        <v>0.64620046353974303</v>
      </c>
      <c r="J143" s="189">
        <v>2.47455292371095</v>
      </c>
      <c r="K143" s="189">
        <v>7.2351295575019806E-2</v>
      </c>
      <c r="L143" s="189">
        <v>0.17263109494963699</v>
      </c>
      <c r="M143" s="189">
        <v>3.1207565336251501E-5</v>
      </c>
      <c r="N143" s="189">
        <v>5.0344834547156598E-5</v>
      </c>
      <c r="O143" s="189">
        <v>0.216055028128251</v>
      </c>
      <c r="P143" s="189">
        <v>1.43838019735707</v>
      </c>
      <c r="Q143" s="189">
        <v>5.3883604333738302E-2</v>
      </c>
      <c r="R143" s="189">
        <v>0.25238848952350201</v>
      </c>
      <c r="S143" s="189">
        <v>5.1740053060334003E-2</v>
      </c>
      <c r="T143" s="189">
        <v>7.8938769204979393E-3</v>
      </c>
      <c r="U143" s="189">
        <v>2.8294346795753E-2</v>
      </c>
      <c r="V143" s="189">
        <v>0.21813385985433301</v>
      </c>
      <c r="W143" s="189"/>
      <c r="X143" s="90"/>
      <c r="Y143" s="188"/>
      <c r="Z143" s="188"/>
      <c r="AA143" s="188"/>
      <c r="AB143" s="188"/>
      <c r="AC143" s="188"/>
      <c r="AD143" s="190"/>
      <c r="AE143" s="189"/>
    </row>
    <row r="144" spans="1:31" ht="21.25" customHeight="1" x14ac:dyDescent="0.15">
      <c r="A144" s="10" t="s">
        <v>277</v>
      </c>
      <c r="B144" s="186" t="s">
        <v>842</v>
      </c>
      <c r="C144" s="187">
        <v>29</v>
      </c>
      <c r="D144" s="186" t="s">
        <v>848</v>
      </c>
      <c r="E144" s="90">
        <v>81.567499999999995</v>
      </c>
      <c r="F144" s="188">
        <v>17.583915035543601</v>
      </c>
      <c r="G144" s="189">
        <v>0.33005004619542999</v>
      </c>
      <c r="H144" s="189">
        <v>0.315055440933806</v>
      </c>
      <c r="I144" s="189">
        <v>0.64510548712923599</v>
      </c>
      <c r="J144" s="189">
        <v>3.1502333167546301</v>
      </c>
      <c r="K144" s="189">
        <v>0.106054220710048</v>
      </c>
      <c r="L144" s="189">
        <v>0.189992534479486</v>
      </c>
      <c r="M144" s="189">
        <v>4.5116018278354902E-4</v>
      </c>
      <c r="N144" s="189">
        <v>7.34424435607592E-4</v>
      </c>
      <c r="O144" s="189">
        <v>0.646341881524652</v>
      </c>
      <c r="P144" s="189">
        <v>1.5118810766197699</v>
      </c>
      <c r="Q144" s="189">
        <v>3.6484328074482802E-3</v>
      </c>
      <c r="R144" s="189">
        <v>0.39363383919384198</v>
      </c>
      <c r="S144" s="189">
        <v>4.9331199800296002E-2</v>
      </c>
      <c r="T144" s="189">
        <v>0.54358353209933696</v>
      </c>
      <c r="U144" s="189">
        <v>0.77647826948684395</v>
      </c>
      <c r="V144" s="189">
        <v>0.41178642654924902</v>
      </c>
      <c r="W144" s="189"/>
      <c r="X144" s="90"/>
      <c r="Y144" s="188"/>
      <c r="Z144" s="188"/>
      <c r="AA144" s="188"/>
      <c r="AB144" s="188"/>
      <c r="AC144" s="188"/>
      <c r="AD144" s="190"/>
      <c r="AE144" s="189"/>
    </row>
    <row r="145" spans="1:31" ht="21.25" customHeight="1" x14ac:dyDescent="0.15">
      <c r="A145" s="10" t="s">
        <v>189</v>
      </c>
      <c r="B145" s="186" t="s">
        <v>855</v>
      </c>
      <c r="C145" s="187">
        <v>36</v>
      </c>
      <c r="D145" s="186" t="s">
        <v>827</v>
      </c>
      <c r="E145" s="90">
        <v>82.787499999999994</v>
      </c>
      <c r="F145" s="188">
        <v>23.871904492505099</v>
      </c>
      <c r="G145" s="189">
        <v>0.107418915450519</v>
      </c>
      <c r="H145" s="189">
        <v>0.53633056075768104</v>
      </c>
      <c r="I145" s="189">
        <v>0.6437494762082</v>
      </c>
      <c r="J145" s="189">
        <v>2.18394897309103</v>
      </c>
      <c r="K145" s="189">
        <v>2.54825377471865E-2</v>
      </c>
      <c r="L145" s="189">
        <v>0.246737273181448</v>
      </c>
      <c r="M145" s="189">
        <v>2.8864215814899399E-4</v>
      </c>
      <c r="N145" s="189">
        <v>1.9066677637022201E-3</v>
      </c>
      <c r="O145" s="189">
        <v>1.1153010855471699</v>
      </c>
      <c r="P145" s="189">
        <v>0.46216064834286202</v>
      </c>
      <c r="Q145" s="189">
        <v>1.80104042693809E-2</v>
      </c>
      <c r="R145" s="189">
        <v>0.38698269906072102</v>
      </c>
      <c r="S145" s="189">
        <v>1.5574377610633299E-2</v>
      </c>
      <c r="T145" s="189">
        <v>0</v>
      </c>
      <c r="U145" s="189">
        <v>3.5484081069112599E-7</v>
      </c>
      <c r="V145" s="189">
        <v>0</v>
      </c>
      <c r="W145" s="189"/>
      <c r="X145" s="90"/>
      <c r="Y145" s="188"/>
      <c r="Z145" s="188"/>
      <c r="AA145" s="188"/>
      <c r="AB145" s="188"/>
      <c r="AC145" s="188"/>
      <c r="AD145" s="190"/>
      <c r="AE145" s="189"/>
    </row>
    <row r="146" spans="1:31" ht="21.25" customHeight="1" x14ac:dyDescent="0.15">
      <c r="A146" s="10" t="s">
        <v>367</v>
      </c>
      <c r="B146" s="186" t="s">
        <v>837</v>
      </c>
      <c r="C146" s="187">
        <v>29</v>
      </c>
      <c r="D146" s="186" t="s">
        <v>824</v>
      </c>
      <c r="E146" s="90">
        <v>81.502499999999998</v>
      </c>
      <c r="F146" s="188">
        <v>17.384637626943</v>
      </c>
      <c r="G146" s="189">
        <v>0.28248668254037901</v>
      </c>
      <c r="H146" s="189">
        <v>0.35743679527170402</v>
      </c>
      <c r="I146" s="189">
        <v>0.63992347781208303</v>
      </c>
      <c r="J146" s="189">
        <v>1.75383962742679</v>
      </c>
      <c r="K146" s="189">
        <v>4.2581773425712802E-2</v>
      </c>
      <c r="L146" s="189">
        <v>7.5046646019838903E-2</v>
      </c>
      <c r="M146" s="189">
        <v>2.32700098523036E-2</v>
      </c>
      <c r="N146" s="189">
        <v>4.8820614729694602E-2</v>
      </c>
      <c r="O146" s="189">
        <v>0.71603368154786595</v>
      </c>
      <c r="P146" s="189">
        <v>0.64656477398319401</v>
      </c>
      <c r="Q146" s="189">
        <v>0.12312685963494301</v>
      </c>
      <c r="R146" s="189">
        <v>0.41012996495239501</v>
      </c>
      <c r="S146" s="189">
        <v>5.0144052384355403E-2</v>
      </c>
      <c r="T146" s="189">
        <v>7.1311658178291797</v>
      </c>
      <c r="U146" s="189">
        <v>7.3691026185874602</v>
      </c>
      <c r="V146" s="189">
        <v>0.49179543462241299</v>
      </c>
      <c r="W146" s="189"/>
      <c r="X146" s="90"/>
      <c r="Y146" s="189"/>
      <c r="Z146" s="189"/>
      <c r="AA146" s="189"/>
      <c r="AB146" s="189"/>
      <c r="AC146" s="188"/>
      <c r="AD146" s="190"/>
      <c r="AE146" s="189"/>
    </row>
    <row r="147" spans="1:31" ht="21.25" customHeight="1" x14ac:dyDescent="0.15">
      <c r="A147" s="10" t="s">
        <v>242</v>
      </c>
      <c r="B147" s="186" t="s">
        <v>869</v>
      </c>
      <c r="C147" s="187">
        <v>20</v>
      </c>
      <c r="D147" s="186" t="s">
        <v>827</v>
      </c>
      <c r="E147" s="90">
        <v>74</v>
      </c>
      <c r="F147" s="188">
        <v>19.0846889118646</v>
      </c>
      <c r="G147" s="189">
        <v>0.15021844875195101</v>
      </c>
      <c r="H147" s="189">
        <v>0.48886326131143898</v>
      </c>
      <c r="I147" s="189">
        <v>0.63908171006338998</v>
      </c>
      <c r="J147" s="189">
        <v>1.52511383460544</v>
      </c>
      <c r="K147" s="189">
        <v>2.5569932880591801E-2</v>
      </c>
      <c r="L147" s="189">
        <v>0.32528090207858701</v>
      </c>
      <c r="M147" s="189">
        <v>4.2438887472494401E-5</v>
      </c>
      <c r="N147" s="189">
        <v>1.3364758384315801E-4</v>
      </c>
      <c r="O147" s="189">
        <v>1.0254284696771601</v>
      </c>
      <c r="P147" s="189">
        <v>1.20619485115332</v>
      </c>
      <c r="Q147" s="189">
        <v>3.84926155992572E-2</v>
      </c>
      <c r="R147" s="189">
        <v>0.51244413815006695</v>
      </c>
      <c r="S147" s="189">
        <v>2.24981141285817E-2</v>
      </c>
      <c r="T147" s="189">
        <v>0</v>
      </c>
      <c r="U147" s="189">
        <v>0</v>
      </c>
      <c r="V147" s="189">
        <v>0</v>
      </c>
      <c r="W147" s="189"/>
      <c r="X147" s="90"/>
      <c r="Y147" s="188"/>
      <c r="Z147" s="188"/>
      <c r="AA147" s="188"/>
      <c r="AB147" s="188"/>
      <c r="AC147" s="188"/>
      <c r="AD147" s="190"/>
      <c r="AE147" s="189"/>
    </row>
    <row r="148" spans="1:31" ht="21.25" customHeight="1" x14ac:dyDescent="0.15">
      <c r="A148" s="10" t="s">
        <v>454</v>
      </c>
      <c r="B148" s="186" t="s">
        <v>840</v>
      </c>
      <c r="C148" s="187">
        <v>31</v>
      </c>
      <c r="D148" s="186" t="s">
        <v>825</v>
      </c>
      <c r="E148" s="90">
        <v>78.694999999999993</v>
      </c>
      <c r="F148" s="188">
        <v>16.168115199427</v>
      </c>
      <c r="G148" s="189">
        <v>0.27195260255885401</v>
      </c>
      <c r="H148" s="189">
        <v>0.366898118688537</v>
      </c>
      <c r="I148" s="189">
        <v>0.63885072124739095</v>
      </c>
      <c r="J148" s="189">
        <v>1.78630469726428</v>
      </c>
      <c r="K148" s="189">
        <v>5.3821290643608702E-2</v>
      </c>
      <c r="L148" s="189">
        <v>0.11800404634867299</v>
      </c>
      <c r="M148" s="189">
        <v>3.0461338243736402E-4</v>
      </c>
      <c r="N148" s="189">
        <v>5.0408055894297997E-4</v>
      </c>
      <c r="O148" s="189">
        <v>0.40102340411330001</v>
      </c>
      <c r="P148" s="189">
        <v>1.2005469034123899</v>
      </c>
      <c r="Q148" s="189">
        <v>4.26036543810093E-3</v>
      </c>
      <c r="R148" s="189">
        <v>0.64566109073992495</v>
      </c>
      <c r="S148" s="189">
        <v>3.8027006903989601E-2</v>
      </c>
      <c r="T148" s="189">
        <v>0.20265610101526099</v>
      </c>
      <c r="U148" s="189">
        <v>0.28390217873335899</v>
      </c>
      <c r="V148" s="189">
        <v>0.416509407917101</v>
      </c>
      <c r="W148" s="189"/>
      <c r="X148" s="90"/>
      <c r="Y148" s="188"/>
      <c r="Z148" s="188"/>
      <c r="AA148" s="188"/>
      <c r="AB148" s="188"/>
      <c r="AC148" s="188"/>
      <c r="AD148" s="190"/>
      <c r="AE148" s="189"/>
    </row>
    <row r="149" spans="1:31" ht="21.25" customHeight="1" x14ac:dyDescent="0.15">
      <c r="A149" s="10" t="s">
        <v>217</v>
      </c>
      <c r="B149" s="186" t="s">
        <v>860</v>
      </c>
      <c r="C149" s="187">
        <v>33</v>
      </c>
      <c r="D149" s="186" t="s">
        <v>827</v>
      </c>
      <c r="E149" s="90">
        <v>77.487499999999997</v>
      </c>
      <c r="F149" s="188">
        <v>19.171417781423202</v>
      </c>
      <c r="G149" s="189">
        <v>0.11655878301347</v>
      </c>
      <c r="H149" s="189">
        <v>0.52187637639092399</v>
      </c>
      <c r="I149" s="189">
        <v>0.63843515940439399</v>
      </c>
      <c r="J149" s="189">
        <v>1.7993020170991401</v>
      </c>
      <c r="K149" s="189">
        <v>5.03641522633397E-2</v>
      </c>
      <c r="L149" s="189">
        <v>0.29267995625454801</v>
      </c>
      <c r="M149" s="189">
        <v>3.6903902297556301E-5</v>
      </c>
      <c r="N149" s="189">
        <v>1.43135429122657E-4</v>
      </c>
      <c r="O149" s="189">
        <v>1.14390157239626</v>
      </c>
      <c r="P149" s="189">
        <v>0.71260702382077001</v>
      </c>
      <c r="Q149" s="189">
        <v>9.0044718088022002E-2</v>
      </c>
      <c r="R149" s="189">
        <v>0.36587963872110002</v>
      </c>
      <c r="S149" s="189">
        <v>2.0016147221977601E-2</v>
      </c>
      <c r="T149" s="189">
        <v>0</v>
      </c>
      <c r="U149" s="189">
        <v>0</v>
      </c>
      <c r="V149" s="189">
        <v>0</v>
      </c>
      <c r="W149" s="189"/>
      <c r="X149" s="90"/>
      <c r="Y149" s="188"/>
      <c r="Z149" s="188"/>
      <c r="AA149" s="188"/>
      <c r="AB149" s="188"/>
      <c r="AC149" s="188"/>
      <c r="AD149" s="190"/>
      <c r="AE149" s="189"/>
    </row>
    <row r="150" spans="1:31" ht="21.25" customHeight="1" x14ac:dyDescent="0.15">
      <c r="A150" s="10" t="s">
        <v>458</v>
      </c>
      <c r="B150" s="186" t="s">
        <v>843</v>
      </c>
      <c r="C150" s="187">
        <v>30</v>
      </c>
      <c r="D150" s="186" t="s">
        <v>825</v>
      </c>
      <c r="E150" s="90">
        <v>82.38</v>
      </c>
      <c r="F150" s="188">
        <v>15.6925474919429</v>
      </c>
      <c r="G150" s="189">
        <v>0.26258970229218997</v>
      </c>
      <c r="H150" s="189">
        <v>0.37548713184796501</v>
      </c>
      <c r="I150" s="189">
        <v>0.63807683414015504</v>
      </c>
      <c r="J150" s="189">
        <v>1.5605229256736499</v>
      </c>
      <c r="K150" s="189">
        <v>1.9473510618624401E-2</v>
      </c>
      <c r="L150" s="189">
        <v>4.4525708058641901E-2</v>
      </c>
      <c r="M150" s="189">
        <v>3.0363804178427599E-5</v>
      </c>
      <c r="N150" s="189">
        <v>4.94782479028291E-5</v>
      </c>
      <c r="O150" s="189">
        <v>0.44922256195822902</v>
      </c>
      <c r="P150" s="189">
        <v>1.52376816697929</v>
      </c>
      <c r="Q150" s="189">
        <v>8.5421310403595394E-2</v>
      </c>
      <c r="R150" s="189">
        <v>0.27004454055850002</v>
      </c>
      <c r="S150" s="189">
        <v>5.0096189167750597E-2</v>
      </c>
      <c r="T150" s="189">
        <v>0.21820014798444201</v>
      </c>
      <c r="U150" s="189">
        <v>0.45090847991784699</v>
      </c>
      <c r="V150" s="189">
        <v>0.326105715701974</v>
      </c>
      <c r="W150" s="189"/>
      <c r="X150" s="90"/>
      <c r="Y150" s="188"/>
      <c r="Z150" s="188"/>
      <c r="AA150" s="188"/>
      <c r="AB150" s="188"/>
      <c r="AC150" s="188"/>
      <c r="AD150" s="190"/>
      <c r="AE150" s="189"/>
    </row>
    <row r="151" spans="1:31" ht="21.25" customHeight="1" x14ac:dyDescent="0.15">
      <c r="A151" s="10" t="s">
        <v>338</v>
      </c>
      <c r="B151" s="186" t="s">
        <v>871</v>
      </c>
      <c r="C151" s="187">
        <v>23</v>
      </c>
      <c r="D151" s="186" t="s">
        <v>826</v>
      </c>
      <c r="E151" s="90">
        <v>81.787499999999994</v>
      </c>
      <c r="F151" s="188">
        <v>17.586950501263502</v>
      </c>
      <c r="G151" s="189">
        <v>0.280313442632803</v>
      </c>
      <c r="H151" s="189">
        <v>0.35707920653231201</v>
      </c>
      <c r="I151" s="189">
        <v>0.63739264916511496</v>
      </c>
      <c r="J151" s="189">
        <v>2.5333284001840699</v>
      </c>
      <c r="K151" s="189">
        <v>7.8534787255066393E-2</v>
      </c>
      <c r="L151" s="189">
        <v>0.20646611766089501</v>
      </c>
      <c r="M151" s="189">
        <v>1.0686503129582899E-4</v>
      </c>
      <c r="N151" s="189">
        <v>1.7502602759685501E-4</v>
      </c>
      <c r="O151" s="189">
        <v>0.36090160084203798</v>
      </c>
      <c r="P151" s="189">
        <v>0.41989913908661097</v>
      </c>
      <c r="Q151" s="189">
        <v>-0.120830217396642</v>
      </c>
      <c r="R151" s="189">
        <v>0.37937599376888698</v>
      </c>
      <c r="S151" s="189">
        <v>4.0302056481784997E-2</v>
      </c>
      <c r="T151" s="189">
        <v>0.881244133668181</v>
      </c>
      <c r="U151" s="189">
        <v>1.3206653016986101</v>
      </c>
      <c r="V151" s="189">
        <v>0.40021815589403797</v>
      </c>
      <c r="W151" s="189"/>
      <c r="X151" s="90"/>
      <c r="Y151" s="188"/>
      <c r="Z151" s="188"/>
      <c r="AA151" s="188"/>
      <c r="AB151" s="188"/>
      <c r="AC151" s="188"/>
      <c r="AD151" s="190"/>
      <c r="AE151" s="189"/>
    </row>
    <row r="152" spans="1:31" ht="21.25" customHeight="1" x14ac:dyDescent="0.15">
      <c r="A152" s="10" t="s">
        <v>345</v>
      </c>
      <c r="B152" s="186" t="s">
        <v>853</v>
      </c>
      <c r="C152" s="187">
        <v>30</v>
      </c>
      <c r="D152" s="186" t="s">
        <v>824</v>
      </c>
      <c r="E152" s="90">
        <v>80.84</v>
      </c>
      <c r="F152" s="188">
        <v>16.764240873014199</v>
      </c>
      <c r="G152" s="189">
        <v>0.29403428306862101</v>
      </c>
      <c r="H152" s="189">
        <v>0.34150317984758599</v>
      </c>
      <c r="I152" s="189">
        <v>0.63553746291620705</v>
      </c>
      <c r="J152" s="189">
        <v>2.4398672991252699</v>
      </c>
      <c r="K152" s="189">
        <v>4.5150228893644298E-2</v>
      </c>
      <c r="L152" s="189">
        <v>0.107215016717367</v>
      </c>
      <c r="M152" s="189">
        <v>9.8355933209531192E-4</v>
      </c>
      <c r="N152" s="189">
        <v>1.60173466662187E-3</v>
      </c>
      <c r="O152" s="189">
        <v>0.472306396343107</v>
      </c>
      <c r="P152" s="189">
        <v>1.57432628840585</v>
      </c>
      <c r="Q152" s="189">
        <v>5.2314615070871803E-2</v>
      </c>
      <c r="R152" s="189">
        <v>0.79722134380606902</v>
      </c>
      <c r="S152" s="189">
        <v>4.8955463771340899E-2</v>
      </c>
      <c r="T152" s="189">
        <v>5.9907136656603299</v>
      </c>
      <c r="U152" s="189">
        <v>6.8285951643778402</v>
      </c>
      <c r="V152" s="189">
        <v>0.46731955248811102</v>
      </c>
      <c r="W152" s="189"/>
      <c r="X152" s="90"/>
      <c r="Y152" s="188"/>
      <c r="Z152" s="188"/>
      <c r="AA152" s="188"/>
      <c r="AB152" s="188"/>
      <c r="AC152" s="188"/>
      <c r="AD152" s="190"/>
      <c r="AE152" s="189"/>
    </row>
    <row r="153" spans="1:31" ht="21.25" customHeight="1" x14ac:dyDescent="0.15">
      <c r="A153" s="10" t="s">
        <v>395</v>
      </c>
      <c r="B153" s="186" t="s">
        <v>854</v>
      </c>
      <c r="C153" s="187">
        <v>22</v>
      </c>
      <c r="D153" s="186" t="s">
        <v>824</v>
      </c>
      <c r="E153" s="90">
        <v>74.502499999999998</v>
      </c>
      <c r="F153" s="188">
        <v>17.977334870441599</v>
      </c>
      <c r="G153" s="189">
        <v>0.25747408043551101</v>
      </c>
      <c r="H153" s="189">
        <v>0.37684430553406201</v>
      </c>
      <c r="I153" s="189">
        <v>0.63431838596957302</v>
      </c>
      <c r="J153" s="189">
        <v>2.0161248873454301</v>
      </c>
      <c r="K153" s="189">
        <v>5.0423158479650503E-2</v>
      </c>
      <c r="L153" s="189">
        <v>0.15024009950601699</v>
      </c>
      <c r="M153" s="189">
        <v>7.3856646964967996E-3</v>
      </c>
      <c r="N153" s="189">
        <v>1.4030242977258E-2</v>
      </c>
      <c r="O153" s="189">
        <v>0.65959411457414097</v>
      </c>
      <c r="P153" s="189">
        <v>0.6698403609161</v>
      </c>
      <c r="Q153" s="189">
        <v>-0.10617467725954199</v>
      </c>
      <c r="R153" s="189">
        <v>0.37388157957728502</v>
      </c>
      <c r="S153" s="189">
        <v>3.1776433652163899E-2</v>
      </c>
      <c r="T153" s="189">
        <v>5.56439232303505</v>
      </c>
      <c r="U153" s="189">
        <v>6.4305600994951098</v>
      </c>
      <c r="V153" s="189">
        <v>0.46389448886711998</v>
      </c>
      <c r="W153" s="189"/>
      <c r="X153" s="90"/>
      <c r="Y153" s="188"/>
      <c r="Z153" s="188"/>
      <c r="AA153" s="188"/>
      <c r="AB153" s="188"/>
      <c r="AC153" s="188"/>
      <c r="AD153" s="190"/>
      <c r="AE153" s="189"/>
    </row>
    <row r="154" spans="1:31" ht="21.25" customHeight="1" x14ac:dyDescent="0.15">
      <c r="A154" s="10" t="s">
        <v>365</v>
      </c>
      <c r="B154" s="186" t="s">
        <v>851</v>
      </c>
      <c r="C154" s="187">
        <v>24</v>
      </c>
      <c r="D154" s="186" t="s">
        <v>848</v>
      </c>
      <c r="E154" s="90">
        <v>80.444999999999993</v>
      </c>
      <c r="F154" s="188">
        <v>16.680742822892402</v>
      </c>
      <c r="G154" s="189">
        <v>0.248143868040028</v>
      </c>
      <c r="H154" s="189">
        <v>0.38561094372877303</v>
      </c>
      <c r="I154" s="189">
        <v>0.633754811768801</v>
      </c>
      <c r="J154" s="189">
        <v>2.1650184468500502</v>
      </c>
      <c r="K154" s="189">
        <v>7.9299310786701604E-2</v>
      </c>
      <c r="L154" s="189">
        <v>0.195881630700693</v>
      </c>
      <c r="M154" s="189">
        <v>3.9981982106488598E-5</v>
      </c>
      <c r="N154" s="189">
        <v>6.5360518663904005E-5</v>
      </c>
      <c r="O154" s="189">
        <v>0.51327648762868805</v>
      </c>
      <c r="P154" s="189">
        <v>0.86311135092228497</v>
      </c>
      <c r="Q154" s="189">
        <v>2.5847039930546E-2</v>
      </c>
      <c r="R154" s="189">
        <v>0.30253172797443301</v>
      </c>
      <c r="S154" s="189">
        <v>4.3119899047769597E-2</v>
      </c>
      <c r="T154" s="189">
        <v>0.17711472930982999</v>
      </c>
      <c r="U154" s="189">
        <v>0.31302756010701799</v>
      </c>
      <c r="V154" s="189">
        <v>0.36135369898515302</v>
      </c>
      <c r="W154" s="189"/>
      <c r="X154" s="90"/>
      <c r="Y154" s="188"/>
      <c r="Z154" s="188"/>
      <c r="AA154" s="188"/>
      <c r="AB154" s="188"/>
      <c r="AC154" s="188"/>
      <c r="AD154" s="190"/>
      <c r="AE154" s="189"/>
    </row>
    <row r="155" spans="1:31" ht="21.25" customHeight="1" x14ac:dyDescent="0.15">
      <c r="A155" s="10" t="s">
        <v>391</v>
      </c>
      <c r="B155" s="186" t="s">
        <v>869</v>
      </c>
      <c r="C155" s="187">
        <v>21</v>
      </c>
      <c r="D155" s="186" t="s">
        <v>826</v>
      </c>
      <c r="E155" s="90">
        <v>76</v>
      </c>
      <c r="F155" s="188">
        <v>15.469092155541301</v>
      </c>
      <c r="G155" s="189">
        <v>0.27893825958531698</v>
      </c>
      <c r="H155" s="189">
        <v>0.353310977357645</v>
      </c>
      <c r="I155" s="189">
        <v>0.63224923694296198</v>
      </c>
      <c r="J155" s="189">
        <v>2.1461121120562399</v>
      </c>
      <c r="K155" s="189">
        <v>6.1038674555283702E-2</v>
      </c>
      <c r="L155" s="189">
        <v>0.19761637251849301</v>
      </c>
      <c r="M155" s="189">
        <v>3.95682037216083E-5</v>
      </c>
      <c r="N155" s="189">
        <v>6.4685045472147499E-5</v>
      </c>
      <c r="O155" s="189">
        <v>0.38114848474452601</v>
      </c>
      <c r="P155" s="189">
        <v>1.6373765057919401</v>
      </c>
      <c r="Q155" s="189">
        <v>4.6264841762298697E-2</v>
      </c>
      <c r="R155" s="189">
        <v>0.58080436345550301</v>
      </c>
      <c r="S155" s="189">
        <v>4.1776391988583197E-2</v>
      </c>
      <c r="T155" s="189">
        <v>9.1708199226383999E-2</v>
      </c>
      <c r="U155" s="189">
        <v>6.4796437981228597E-2</v>
      </c>
      <c r="V155" s="189">
        <v>0.58597752030010297</v>
      </c>
      <c r="W155" s="189"/>
      <c r="X155" s="90"/>
      <c r="Y155" s="189"/>
      <c r="Z155" s="189"/>
      <c r="AA155" s="189"/>
      <c r="AB155" s="189"/>
      <c r="AC155" s="188"/>
      <c r="AD155" s="190"/>
      <c r="AE155" s="189"/>
    </row>
    <row r="156" spans="1:31" ht="21.25" customHeight="1" x14ac:dyDescent="0.15">
      <c r="A156" s="10" t="s">
        <v>184</v>
      </c>
      <c r="B156" s="186" t="s">
        <v>837</v>
      </c>
      <c r="C156" s="187">
        <v>36</v>
      </c>
      <c r="D156" s="186" t="s">
        <v>827</v>
      </c>
      <c r="E156" s="90">
        <v>81.665000000000006</v>
      </c>
      <c r="F156" s="188">
        <v>22.242102655337501</v>
      </c>
      <c r="G156" s="189">
        <v>8.8882286849903194E-2</v>
      </c>
      <c r="H156" s="189">
        <v>0.54278817911323995</v>
      </c>
      <c r="I156" s="189">
        <v>0.63167046596314302</v>
      </c>
      <c r="J156" s="189">
        <v>1.9691921672210899</v>
      </c>
      <c r="K156" s="189">
        <v>2.7953047240810599E-2</v>
      </c>
      <c r="L156" s="189">
        <v>0.213315593518453</v>
      </c>
      <c r="M156" s="189">
        <v>6.9985866768519306E-5</v>
      </c>
      <c r="N156" s="189">
        <v>3.0653282777281301E-4</v>
      </c>
      <c r="O156" s="189">
        <v>1.42193098370535</v>
      </c>
      <c r="P156" s="189">
        <v>0.59163086000657406</v>
      </c>
      <c r="Q156" s="189">
        <v>0.100930824499696</v>
      </c>
      <c r="R156" s="189">
        <v>0.38998393228935602</v>
      </c>
      <c r="S156" s="189">
        <v>1.5777444825937102E-2</v>
      </c>
      <c r="T156" s="189">
        <v>0</v>
      </c>
      <c r="U156" s="189">
        <v>9.0193408330708508E-3</v>
      </c>
      <c r="V156" s="189">
        <v>0</v>
      </c>
      <c r="W156" s="189"/>
      <c r="X156" s="90"/>
      <c r="Y156" s="188"/>
      <c r="Z156" s="188"/>
      <c r="AA156" s="188"/>
      <c r="AB156" s="188"/>
      <c r="AC156" s="188"/>
      <c r="AD156" s="190"/>
      <c r="AE156" s="189"/>
    </row>
    <row r="157" spans="1:31" ht="21.25" customHeight="1" x14ac:dyDescent="0.15">
      <c r="A157" s="10" t="s">
        <v>374</v>
      </c>
      <c r="B157" s="186" t="s">
        <v>863</v>
      </c>
      <c r="C157" s="187">
        <v>25</v>
      </c>
      <c r="D157" s="186" t="s">
        <v>824</v>
      </c>
      <c r="E157" s="90">
        <v>76.504999999999995</v>
      </c>
      <c r="F157" s="188">
        <v>18.522640594300501</v>
      </c>
      <c r="G157" s="189">
        <v>0.30311089854210099</v>
      </c>
      <c r="H157" s="189">
        <v>0.32726197364705201</v>
      </c>
      <c r="I157" s="189">
        <v>0.63037287218915306</v>
      </c>
      <c r="J157" s="189">
        <v>2.1688831712991798</v>
      </c>
      <c r="K157" s="189">
        <v>5.4920535563923498E-2</v>
      </c>
      <c r="L157" s="189">
        <v>7.8297271638021901E-2</v>
      </c>
      <c r="M157" s="189">
        <v>2.2638018085098702E-2</v>
      </c>
      <c r="N157" s="189">
        <v>4.8685707130101598E-2</v>
      </c>
      <c r="O157" s="189">
        <v>0.71835794376936002</v>
      </c>
      <c r="P157" s="189">
        <v>1.19982319171496</v>
      </c>
      <c r="Q157" s="189">
        <v>3.5404828495152599E-2</v>
      </c>
      <c r="R157" s="189">
        <v>0.475792223594041</v>
      </c>
      <c r="S157" s="189">
        <v>5.3767380937616301E-2</v>
      </c>
      <c r="T157" s="189">
        <v>5.6516718788333504</v>
      </c>
      <c r="U157" s="189">
        <v>5.4265793262857196</v>
      </c>
      <c r="V157" s="189">
        <v>0.51015920962523498</v>
      </c>
      <c r="W157" s="189"/>
      <c r="X157" s="90"/>
      <c r="Y157" s="188"/>
      <c r="Z157" s="188"/>
      <c r="AA157" s="188"/>
      <c r="AB157" s="188"/>
      <c r="AC157" s="188"/>
      <c r="AD157" s="190"/>
      <c r="AE157" s="189"/>
    </row>
    <row r="158" spans="1:31" ht="21.25" customHeight="1" x14ac:dyDescent="0.15">
      <c r="A158" s="10" t="s">
        <v>332</v>
      </c>
      <c r="B158" s="186" t="s">
        <v>860</v>
      </c>
      <c r="C158" s="187">
        <v>23</v>
      </c>
      <c r="D158" s="186" t="s">
        <v>826</v>
      </c>
      <c r="E158" s="90">
        <v>83.277500000000003</v>
      </c>
      <c r="F158" s="188">
        <v>16.463234377311601</v>
      </c>
      <c r="G158" s="189">
        <v>0.27298278878983301</v>
      </c>
      <c r="H158" s="189">
        <v>0.356653715916317</v>
      </c>
      <c r="I158" s="189">
        <v>0.62963650470614996</v>
      </c>
      <c r="J158" s="189">
        <v>2.1045903770089698</v>
      </c>
      <c r="K158" s="189">
        <v>4.9952685301456801E-2</v>
      </c>
      <c r="L158" s="189">
        <v>0.135204096001589</v>
      </c>
      <c r="M158" s="189">
        <v>2.2025341577826499E-4</v>
      </c>
      <c r="N158" s="189">
        <v>3.6018057841762698E-4</v>
      </c>
      <c r="O158" s="189">
        <v>0.43802888681103802</v>
      </c>
      <c r="P158" s="189">
        <v>0.31008476215456598</v>
      </c>
      <c r="Q158" s="189">
        <v>0.102508070656148</v>
      </c>
      <c r="R158" s="189">
        <v>0.45711381125103001</v>
      </c>
      <c r="S158" s="189">
        <v>4.6878180676027399E-2</v>
      </c>
      <c r="T158" s="189">
        <v>3.4469316409709898E-2</v>
      </c>
      <c r="U158" s="189">
        <v>0.13542444927601099</v>
      </c>
      <c r="V158" s="189">
        <v>0.20288747071198099</v>
      </c>
      <c r="W158" s="189"/>
      <c r="X158" s="90"/>
      <c r="Y158" s="188"/>
      <c r="Z158" s="188"/>
      <c r="AA158" s="188"/>
      <c r="AB158" s="188"/>
      <c r="AC158" s="188"/>
      <c r="AD158" s="190"/>
      <c r="AE158" s="189"/>
    </row>
    <row r="159" spans="1:31" ht="21.25" customHeight="1" x14ac:dyDescent="0.15">
      <c r="A159" s="10" t="s">
        <v>596</v>
      </c>
      <c r="B159" s="186" t="s">
        <v>847</v>
      </c>
      <c r="C159" s="187">
        <v>34</v>
      </c>
      <c r="D159" s="186" t="s">
        <v>846</v>
      </c>
      <c r="E159" s="90">
        <v>64.342500000000001</v>
      </c>
      <c r="F159" s="188">
        <v>15.1602240714939</v>
      </c>
      <c r="G159" s="189">
        <v>0.26910746850682798</v>
      </c>
      <c r="H159" s="189">
        <v>0.35803490895433798</v>
      </c>
      <c r="I159" s="189">
        <v>0.62714237746116597</v>
      </c>
      <c r="J159" s="189">
        <v>1.5681613301194799</v>
      </c>
      <c r="K159" s="189">
        <v>3.8346512044240298E-2</v>
      </c>
      <c r="L159" s="189">
        <v>8.1039288909779697E-2</v>
      </c>
      <c r="M159" s="189">
        <v>7.92640896442506E-4</v>
      </c>
      <c r="N159" s="189">
        <v>2.5635527251604501E-3</v>
      </c>
      <c r="O159" s="189">
        <v>0.30820158179033502</v>
      </c>
      <c r="P159" s="189">
        <v>0.72373091988751304</v>
      </c>
      <c r="Q159" s="189">
        <v>7.8532559559015599E-2</v>
      </c>
      <c r="R159" s="189">
        <v>0.279616740368622</v>
      </c>
      <c r="S159" s="189">
        <v>4.5512206707735897E-2</v>
      </c>
      <c r="T159" s="189">
        <v>4.3932481708337097</v>
      </c>
      <c r="U159" s="189">
        <v>3.6330441046290698</v>
      </c>
      <c r="V159" s="189">
        <v>0.54735711335411197</v>
      </c>
      <c r="W159" s="189"/>
      <c r="X159" s="90"/>
      <c r="Y159" s="188"/>
      <c r="Z159" s="188"/>
      <c r="AA159" s="188"/>
      <c r="AB159" s="188"/>
      <c r="AC159" s="188"/>
      <c r="AD159" s="190"/>
      <c r="AE159" s="189"/>
    </row>
    <row r="160" spans="1:31" ht="21.25" customHeight="1" x14ac:dyDescent="0.15">
      <c r="A160" s="10" t="s">
        <v>363</v>
      </c>
      <c r="B160" s="186" t="s">
        <v>853</v>
      </c>
      <c r="C160" s="187">
        <v>24</v>
      </c>
      <c r="D160" s="186" t="s">
        <v>824</v>
      </c>
      <c r="E160" s="90">
        <v>80.022499999999994</v>
      </c>
      <c r="F160" s="188">
        <v>17.476608835747001</v>
      </c>
      <c r="G160" s="189">
        <v>0.24736448921850299</v>
      </c>
      <c r="H160" s="189">
        <v>0.37933204041502899</v>
      </c>
      <c r="I160" s="189">
        <v>0.62669652963353195</v>
      </c>
      <c r="J160" s="189">
        <v>2.0762031510132299</v>
      </c>
      <c r="K160" s="189">
        <v>4.08831016260491E-2</v>
      </c>
      <c r="L160" s="189">
        <v>0.140963110380664</v>
      </c>
      <c r="M160" s="189">
        <v>1.24027477756303E-2</v>
      </c>
      <c r="N160" s="189">
        <v>2.3565451961514002E-2</v>
      </c>
      <c r="O160" s="189">
        <v>0.55445005101025102</v>
      </c>
      <c r="P160" s="189">
        <v>1.19961718382785</v>
      </c>
      <c r="Q160" s="189">
        <v>4.5459052505257197E-2</v>
      </c>
      <c r="R160" s="189">
        <v>0.44056783378394998</v>
      </c>
      <c r="S160" s="189">
        <v>4.1185140602895298E-2</v>
      </c>
      <c r="T160" s="189">
        <v>8.0217913859602703</v>
      </c>
      <c r="U160" s="189">
        <v>7.1193849951377901</v>
      </c>
      <c r="V160" s="189">
        <v>0.52979974501680804</v>
      </c>
      <c r="W160" s="189"/>
      <c r="X160" s="90"/>
      <c r="Y160" s="188"/>
      <c r="Z160" s="188"/>
      <c r="AA160" s="188"/>
      <c r="AB160" s="188"/>
      <c r="AC160" s="188"/>
      <c r="AD160" s="190"/>
      <c r="AE160" s="189"/>
    </row>
    <row r="161" spans="1:31" ht="21.25" customHeight="1" x14ac:dyDescent="0.15">
      <c r="A161" s="10" t="s">
        <v>404</v>
      </c>
      <c r="B161" s="186" t="s">
        <v>862</v>
      </c>
      <c r="C161" s="187">
        <v>24</v>
      </c>
      <c r="D161" s="186" t="s">
        <v>826</v>
      </c>
      <c r="E161" s="90">
        <v>77.430000000000007</v>
      </c>
      <c r="F161" s="188">
        <v>15.8358539220274</v>
      </c>
      <c r="G161" s="189">
        <v>0.24796677233021</v>
      </c>
      <c r="H161" s="189">
        <v>0.37568265978381599</v>
      </c>
      <c r="I161" s="189">
        <v>0.62364943211402601</v>
      </c>
      <c r="J161" s="189">
        <v>2.2124946516733899</v>
      </c>
      <c r="K161" s="189">
        <v>5.42039015483246E-2</v>
      </c>
      <c r="L161" s="189">
        <v>0.16738521409781601</v>
      </c>
      <c r="M161" s="189">
        <v>5.2011473891267195E-4</v>
      </c>
      <c r="N161" s="189">
        <v>8.5104463884856196E-4</v>
      </c>
      <c r="O161" s="189">
        <v>0.33831937461403799</v>
      </c>
      <c r="P161" s="189">
        <v>0.67788766969807002</v>
      </c>
      <c r="Q161" s="189">
        <v>8.0902131161503504E-3</v>
      </c>
      <c r="R161" s="189">
        <v>0.27877815195184602</v>
      </c>
      <c r="S161" s="189">
        <v>3.7385945338908599E-2</v>
      </c>
      <c r="T161" s="189">
        <v>3.31305773934817E-2</v>
      </c>
      <c r="U161" s="189">
        <v>0.118509871522227</v>
      </c>
      <c r="V161" s="189">
        <v>0.218481135016276</v>
      </c>
      <c r="W161" s="189"/>
      <c r="X161" s="90"/>
      <c r="Y161" s="188"/>
      <c r="Z161" s="188"/>
      <c r="AA161" s="188"/>
      <c r="AB161" s="188"/>
      <c r="AC161" s="188"/>
      <c r="AD161" s="190"/>
      <c r="AE161" s="189"/>
    </row>
    <row r="162" spans="1:31" ht="21.25" customHeight="1" x14ac:dyDescent="0.15">
      <c r="A162" s="10" t="s">
        <v>309</v>
      </c>
      <c r="B162" s="186" t="s">
        <v>844</v>
      </c>
      <c r="C162" s="187">
        <v>31</v>
      </c>
      <c r="D162" s="186" t="s">
        <v>846</v>
      </c>
      <c r="E162" s="90">
        <v>80.377499999999998</v>
      </c>
      <c r="F162" s="188">
        <v>17.6427489925135</v>
      </c>
      <c r="G162" s="189">
        <v>0.31203925157700002</v>
      </c>
      <c r="H162" s="189">
        <v>0.31149047816981301</v>
      </c>
      <c r="I162" s="189">
        <v>0.62352972974681298</v>
      </c>
      <c r="J162" s="189">
        <v>2.5162231368754</v>
      </c>
      <c r="K162" s="189">
        <v>0.12367451445109399</v>
      </c>
      <c r="L162" s="189">
        <v>0.20900191507822999</v>
      </c>
      <c r="M162" s="189">
        <v>1.5630133268771499E-4</v>
      </c>
      <c r="N162" s="189">
        <v>2.5334702012393497E-4</v>
      </c>
      <c r="O162" s="189">
        <v>0.98505362776137695</v>
      </c>
      <c r="P162" s="189">
        <v>0.93937004796651502</v>
      </c>
      <c r="Q162" s="189">
        <v>3.6834629802675899E-2</v>
      </c>
      <c r="R162" s="189">
        <v>0.69469533625558899</v>
      </c>
      <c r="S162" s="189">
        <v>5.0826355886248398E-2</v>
      </c>
      <c r="T162" s="189">
        <v>6.4632020405514004</v>
      </c>
      <c r="U162" s="189">
        <v>7.4461710526736304</v>
      </c>
      <c r="V162" s="189">
        <v>0.46466522949905598</v>
      </c>
      <c r="W162" s="189"/>
      <c r="X162" s="90"/>
      <c r="Y162" s="188"/>
      <c r="Z162" s="188"/>
      <c r="AA162" s="188"/>
      <c r="AB162" s="188"/>
      <c r="AC162" s="188"/>
      <c r="AD162" s="190"/>
      <c r="AE162" s="189"/>
    </row>
    <row r="163" spans="1:31" ht="21.25" customHeight="1" x14ac:dyDescent="0.15">
      <c r="A163" s="10" t="s">
        <v>401</v>
      </c>
      <c r="B163" s="186" t="s">
        <v>870</v>
      </c>
      <c r="C163" s="187">
        <v>36</v>
      </c>
      <c r="D163" s="186" t="s">
        <v>826</v>
      </c>
      <c r="E163" s="90">
        <v>77.775000000000006</v>
      </c>
      <c r="F163" s="188">
        <v>18.029054217323999</v>
      </c>
      <c r="G163" s="189">
        <v>0.26523836544806201</v>
      </c>
      <c r="H163" s="189">
        <v>0.35809799474982301</v>
      </c>
      <c r="I163" s="189">
        <v>0.62333636019788496</v>
      </c>
      <c r="J163" s="189">
        <v>2.0579780654683102</v>
      </c>
      <c r="K163" s="189">
        <v>5.2202982452683303E-2</v>
      </c>
      <c r="L163" s="189">
        <v>0.172305487562356</v>
      </c>
      <c r="M163" s="189">
        <v>3.03081797042952E-4</v>
      </c>
      <c r="N163" s="189">
        <v>5.0387350427113695E-4</v>
      </c>
      <c r="O163" s="189">
        <v>0.52257830428898799</v>
      </c>
      <c r="P163" s="189">
        <v>0.651912580105376</v>
      </c>
      <c r="Q163" s="189">
        <v>-6.8473533103157999E-2</v>
      </c>
      <c r="R163" s="189">
        <v>0.33827524485841998</v>
      </c>
      <c r="S163" s="189">
        <v>3.6543264786689303E-2</v>
      </c>
      <c r="T163" s="189">
        <v>0.18870814338466699</v>
      </c>
      <c r="U163" s="189">
        <v>0.29301488104484902</v>
      </c>
      <c r="V163" s="189">
        <v>0.391735777230382</v>
      </c>
      <c r="W163" s="189"/>
      <c r="X163" s="90"/>
      <c r="Y163" s="188"/>
      <c r="Z163" s="188"/>
      <c r="AA163" s="188"/>
      <c r="AB163" s="188"/>
      <c r="AC163" s="188"/>
      <c r="AD163" s="190"/>
      <c r="AE163" s="189"/>
    </row>
    <row r="164" spans="1:31" ht="21.25" customHeight="1" x14ac:dyDescent="0.15">
      <c r="A164" s="10" t="s">
        <v>443</v>
      </c>
      <c r="B164" s="186" t="s">
        <v>862</v>
      </c>
      <c r="C164" s="187">
        <v>26</v>
      </c>
      <c r="D164" s="186" t="s">
        <v>824</v>
      </c>
      <c r="E164" s="90">
        <v>83.34</v>
      </c>
      <c r="F164" s="188">
        <v>17.297900837544201</v>
      </c>
      <c r="G164" s="189">
        <v>0.20837870783811599</v>
      </c>
      <c r="H164" s="189">
        <v>0.41453621111097899</v>
      </c>
      <c r="I164" s="189">
        <v>0.62291491894909501</v>
      </c>
      <c r="J164" s="189">
        <v>1.2656452275080601</v>
      </c>
      <c r="K164" s="189">
        <v>6.5877875506170202E-3</v>
      </c>
      <c r="L164" s="189">
        <v>6.2507018669419698E-2</v>
      </c>
      <c r="M164" s="189">
        <v>3.60885837755218E-2</v>
      </c>
      <c r="N164" s="189">
        <v>6.0563982626585001E-2</v>
      </c>
      <c r="O164" s="189">
        <v>0.44172333159334998</v>
      </c>
      <c r="P164" s="189">
        <v>0.34582377447322699</v>
      </c>
      <c r="Q164" s="189">
        <v>2.8502112481247299E-2</v>
      </c>
      <c r="R164" s="189">
        <v>0.233842357034202</v>
      </c>
      <c r="S164" s="189">
        <v>3.1417253641765799E-2</v>
      </c>
      <c r="T164" s="189">
        <v>7.4881118040700496</v>
      </c>
      <c r="U164" s="189">
        <v>7.50700655967242</v>
      </c>
      <c r="V164" s="189">
        <v>0.499369969774695</v>
      </c>
      <c r="W164" s="189"/>
      <c r="X164" s="90"/>
      <c r="Y164" s="188"/>
      <c r="Z164" s="188"/>
      <c r="AA164" s="188"/>
      <c r="AB164" s="188"/>
      <c r="AC164" s="188"/>
      <c r="AD164" s="190"/>
      <c r="AE164" s="189"/>
    </row>
    <row r="165" spans="1:31" ht="21.25" customHeight="1" x14ac:dyDescent="0.15">
      <c r="A165" s="10" t="s">
        <v>386</v>
      </c>
      <c r="B165" s="186" t="s">
        <v>853</v>
      </c>
      <c r="C165" s="187">
        <v>31</v>
      </c>
      <c r="D165" s="186" t="s">
        <v>825</v>
      </c>
      <c r="E165" s="90">
        <v>82.405000000000001</v>
      </c>
      <c r="F165" s="188">
        <v>16.0448824662225</v>
      </c>
      <c r="G165" s="189">
        <v>0.26576164538689201</v>
      </c>
      <c r="H165" s="189">
        <v>0.34992382110157999</v>
      </c>
      <c r="I165" s="189">
        <v>0.615685466488472</v>
      </c>
      <c r="J165" s="189">
        <v>2.3173557193633498</v>
      </c>
      <c r="K165" s="189">
        <v>5.4601328651724602E-2</v>
      </c>
      <c r="L165" s="189">
        <v>0.12627217825509601</v>
      </c>
      <c r="M165" s="189">
        <v>2.76986245264082E-4</v>
      </c>
      <c r="N165" s="189">
        <v>4.5810398778721201E-4</v>
      </c>
      <c r="O165" s="189">
        <v>0.303793171372572</v>
      </c>
      <c r="P165" s="189">
        <v>0.90861523382097997</v>
      </c>
      <c r="Q165" s="189">
        <v>5.5193845895813901E-2</v>
      </c>
      <c r="R165" s="189">
        <v>0.38548581657002601</v>
      </c>
      <c r="S165" s="189">
        <v>4.4248189247760597E-2</v>
      </c>
      <c r="T165" s="189">
        <v>0.43438993262410303</v>
      </c>
      <c r="U165" s="189">
        <v>0.72922382277562403</v>
      </c>
      <c r="V165" s="189">
        <v>0.37331110139281598</v>
      </c>
      <c r="W165" s="189"/>
      <c r="X165" s="90"/>
      <c r="Y165" s="188"/>
      <c r="Z165" s="188"/>
      <c r="AA165" s="188"/>
      <c r="AB165" s="188"/>
      <c r="AC165" s="188"/>
      <c r="AD165" s="190"/>
      <c r="AE165" s="189"/>
    </row>
    <row r="166" spans="1:31" ht="21.25" customHeight="1" x14ac:dyDescent="0.15">
      <c r="A166" s="10" t="s">
        <v>356</v>
      </c>
      <c r="B166" s="186" t="s">
        <v>860</v>
      </c>
      <c r="C166" s="187">
        <v>23</v>
      </c>
      <c r="D166" s="186" t="s">
        <v>846</v>
      </c>
      <c r="E166" s="90">
        <v>82.102500000000006</v>
      </c>
      <c r="F166" s="188">
        <v>16.468636343467701</v>
      </c>
      <c r="G166" s="189">
        <v>0.2643967698884</v>
      </c>
      <c r="H166" s="189">
        <v>0.35008309461543102</v>
      </c>
      <c r="I166" s="189">
        <v>0.61447986450383096</v>
      </c>
      <c r="J166" s="189">
        <v>2.29224656213121</v>
      </c>
      <c r="K166" s="189">
        <v>5.8861381382995501E-2</v>
      </c>
      <c r="L166" s="189">
        <v>0.14852080449194899</v>
      </c>
      <c r="M166" s="189">
        <v>2.4476405596490298E-4</v>
      </c>
      <c r="N166" s="189">
        <v>4.0038084521919399E-4</v>
      </c>
      <c r="O166" s="189">
        <v>0.35181735069846998</v>
      </c>
      <c r="P166" s="189">
        <v>0.70576876228372598</v>
      </c>
      <c r="Q166" s="189">
        <v>9.7367049088646102E-2</v>
      </c>
      <c r="R166" s="189">
        <v>0.27771490719666903</v>
      </c>
      <c r="S166" s="189">
        <v>4.5403739935153301E-2</v>
      </c>
      <c r="T166" s="189">
        <v>4.7204036512067402</v>
      </c>
      <c r="U166" s="189">
        <v>5.43859013758291</v>
      </c>
      <c r="V166" s="189">
        <v>0.46465267617504202</v>
      </c>
      <c r="W166" s="189"/>
      <c r="X166" s="90"/>
      <c r="Y166" s="188"/>
      <c r="Z166" s="188"/>
      <c r="AA166" s="188"/>
      <c r="AB166" s="188"/>
      <c r="AC166" s="188"/>
      <c r="AD166" s="190"/>
      <c r="AE166" s="189"/>
    </row>
    <row r="167" spans="1:31" ht="21.25" customHeight="1" x14ac:dyDescent="0.15">
      <c r="A167" s="10" t="s">
        <v>202</v>
      </c>
      <c r="B167" s="186" t="s">
        <v>854</v>
      </c>
      <c r="C167" s="187">
        <v>25</v>
      </c>
      <c r="D167" s="186" t="s">
        <v>827</v>
      </c>
      <c r="E167" s="90">
        <v>83.13</v>
      </c>
      <c r="F167" s="188">
        <v>25.518523663252399</v>
      </c>
      <c r="G167" s="189">
        <v>0.14406626785625501</v>
      </c>
      <c r="H167" s="189">
        <v>0.468989067491345</v>
      </c>
      <c r="I167" s="189">
        <v>0.61305533534760004</v>
      </c>
      <c r="J167" s="189">
        <v>1.61267378035603</v>
      </c>
      <c r="K167" s="189">
        <v>2.0825998866346E-2</v>
      </c>
      <c r="L167" s="189">
        <v>0.15500538669673</v>
      </c>
      <c r="M167" s="189">
        <v>2.0621844804174201E-4</v>
      </c>
      <c r="N167" s="189">
        <v>1.01443561806429E-2</v>
      </c>
      <c r="O167" s="189">
        <v>1.3859015780225701</v>
      </c>
      <c r="P167" s="189">
        <v>0.79855195654863997</v>
      </c>
      <c r="Q167" s="189">
        <v>-8.9576482676553396E-2</v>
      </c>
      <c r="R167" s="189">
        <v>0.59998471131684805</v>
      </c>
      <c r="S167" s="189">
        <v>1.7780089530976199E-2</v>
      </c>
      <c r="T167" s="189">
        <v>0</v>
      </c>
      <c r="U167" s="189">
        <v>0</v>
      </c>
      <c r="V167" s="189">
        <v>0</v>
      </c>
      <c r="W167" s="189"/>
      <c r="X167" s="90"/>
      <c r="Y167" s="188"/>
      <c r="Z167" s="188"/>
      <c r="AA167" s="188"/>
      <c r="AB167" s="188"/>
      <c r="AC167" s="188"/>
      <c r="AD167" s="190"/>
      <c r="AE167" s="189"/>
    </row>
    <row r="168" spans="1:31" ht="21.25" customHeight="1" x14ac:dyDescent="0.15">
      <c r="A168" s="10" t="s">
        <v>389</v>
      </c>
      <c r="B168" s="186" t="s">
        <v>856</v>
      </c>
      <c r="C168" s="187">
        <v>33</v>
      </c>
      <c r="D168" s="186" t="s">
        <v>824</v>
      </c>
      <c r="E168" s="90">
        <v>81.367500000000007</v>
      </c>
      <c r="F168" s="188">
        <v>17.745512130163402</v>
      </c>
      <c r="G168" s="189">
        <v>0.22957265934191901</v>
      </c>
      <c r="H168" s="189">
        <v>0.378069143312461</v>
      </c>
      <c r="I168" s="189">
        <v>0.60764180265437995</v>
      </c>
      <c r="J168" s="189">
        <v>1.6393495241207401</v>
      </c>
      <c r="K168" s="189">
        <v>3.30034880561366E-2</v>
      </c>
      <c r="L168" s="189">
        <v>0.11254940685277599</v>
      </c>
      <c r="M168" s="189">
        <v>3.3222526893011098E-2</v>
      </c>
      <c r="N168" s="189">
        <v>3.7709019534726898E-2</v>
      </c>
      <c r="O168" s="189">
        <v>0.72758162696569795</v>
      </c>
      <c r="P168" s="189">
        <v>2.2748825737001801</v>
      </c>
      <c r="Q168" s="189">
        <v>4.5725923296822697E-3</v>
      </c>
      <c r="R168" s="189">
        <v>0.55104062912359397</v>
      </c>
      <c r="S168" s="189">
        <v>3.7109182231157202E-2</v>
      </c>
      <c r="T168" s="189">
        <v>8.5189143271681491</v>
      </c>
      <c r="U168" s="189">
        <v>6.0885260987889902</v>
      </c>
      <c r="V168" s="189">
        <v>0.58319007839526804</v>
      </c>
      <c r="W168" s="189"/>
      <c r="X168" s="90"/>
      <c r="Y168" s="188"/>
      <c r="Z168" s="188"/>
      <c r="AA168" s="188"/>
      <c r="AB168" s="188"/>
      <c r="AC168" s="188"/>
      <c r="AD168" s="190"/>
      <c r="AE168" s="189"/>
    </row>
    <row r="169" spans="1:31" ht="21.25" customHeight="1" x14ac:dyDescent="0.15">
      <c r="A169" s="10" t="s">
        <v>465</v>
      </c>
      <c r="B169" s="186" t="s">
        <v>838</v>
      </c>
      <c r="C169" s="187">
        <v>31</v>
      </c>
      <c r="D169" s="186" t="s">
        <v>848</v>
      </c>
      <c r="E169" s="90">
        <v>76.412499999999994</v>
      </c>
      <c r="F169" s="188">
        <v>17.522127621406799</v>
      </c>
      <c r="G169" s="189">
        <v>0.29019436415726302</v>
      </c>
      <c r="H169" s="189">
        <v>0.31406827983653202</v>
      </c>
      <c r="I169" s="189">
        <v>0.60426264399379503</v>
      </c>
      <c r="J169" s="189">
        <v>2.0137113073399902</v>
      </c>
      <c r="K169" s="189">
        <v>2.1332465590029201E-2</v>
      </c>
      <c r="L169" s="189">
        <v>4.99418464631185E-2</v>
      </c>
      <c r="M169" s="189">
        <v>4.05083843390199E-3</v>
      </c>
      <c r="N169" s="189">
        <v>4.7951304199300099E-3</v>
      </c>
      <c r="O169" s="189">
        <v>0.47875436456834602</v>
      </c>
      <c r="P169" s="189">
        <v>0.63173657348013901</v>
      </c>
      <c r="Q169" s="189">
        <v>0.13458430018275899</v>
      </c>
      <c r="R169" s="189">
        <v>0.33230892250255301</v>
      </c>
      <c r="S169" s="189">
        <v>5.2376371535766297E-2</v>
      </c>
      <c r="T169" s="189">
        <v>8.17404549081234E-2</v>
      </c>
      <c r="U169" s="189">
        <v>0.198794095517485</v>
      </c>
      <c r="V169" s="189">
        <v>0.29137393160347702</v>
      </c>
      <c r="W169" s="189"/>
      <c r="X169" s="90"/>
      <c r="Y169" s="189"/>
      <c r="Z169" s="189"/>
      <c r="AA169" s="189"/>
      <c r="AB169" s="189"/>
      <c r="AC169" s="188"/>
      <c r="AD169" s="190"/>
      <c r="AE169" s="189"/>
    </row>
    <row r="170" spans="1:31" ht="21.25" customHeight="1" x14ac:dyDescent="0.15">
      <c r="A170" s="10" t="s">
        <v>413</v>
      </c>
      <c r="B170" s="186" t="s">
        <v>870</v>
      </c>
      <c r="C170" s="187">
        <v>32</v>
      </c>
      <c r="D170" s="186" t="s">
        <v>824</v>
      </c>
      <c r="E170" s="90">
        <v>82.424999999999997</v>
      </c>
      <c r="F170" s="188">
        <v>19.3214511022897</v>
      </c>
      <c r="G170" s="189">
        <v>0.18389003237874099</v>
      </c>
      <c r="H170" s="189">
        <v>0.41940851915834099</v>
      </c>
      <c r="I170" s="189">
        <v>0.60329855153708201</v>
      </c>
      <c r="J170" s="189">
        <v>1.20401516738824</v>
      </c>
      <c r="K170" s="189">
        <v>5.0485605549602998E-2</v>
      </c>
      <c r="L170" s="189">
        <v>0.198819623066634</v>
      </c>
      <c r="M170" s="189">
        <v>1.30985065440567E-2</v>
      </c>
      <c r="N170" s="189">
        <v>2.4061628176591701E-2</v>
      </c>
      <c r="O170" s="189">
        <v>0.68129984417426204</v>
      </c>
      <c r="P170" s="189">
        <v>0.40184814280935099</v>
      </c>
      <c r="Q170" s="189">
        <v>-0.14547282562465499</v>
      </c>
      <c r="R170" s="189">
        <v>0.267129891938235</v>
      </c>
      <c r="S170" s="189">
        <v>2.5335483173775899E-2</v>
      </c>
      <c r="T170" s="189">
        <v>9.2480833775532005</v>
      </c>
      <c r="U170" s="189">
        <v>8.5236018734557408</v>
      </c>
      <c r="V170" s="189">
        <v>0.52038302766070899</v>
      </c>
      <c r="W170" s="189"/>
      <c r="X170" s="90"/>
      <c r="Y170" s="188"/>
      <c r="Z170" s="188"/>
      <c r="AA170" s="188"/>
      <c r="AB170" s="188"/>
      <c r="AC170" s="188"/>
      <c r="AD170" s="190"/>
      <c r="AE170" s="189"/>
    </row>
    <row r="171" spans="1:31" ht="21.25" customHeight="1" x14ac:dyDescent="0.15">
      <c r="A171" s="10" t="s">
        <v>408</v>
      </c>
      <c r="B171" s="186" t="s">
        <v>858</v>
      </c>
      <c r="C171" s="187">
        <v>31</v>
      </c>
      <c r="D171" s="186" t="s">
        <v>852</v>
      </c>
      <c r="E171" s="90">
        <v>82.827500000000001</v>
      </c>
      <c r="F171" s="188">
        <v>17.126748116828502</v>
      </c>
      <c r="G171" s="189">
        <v>0.24348704850926001</v>
      </c>
      <c r="H171" s="189">
        <v>0.35914643810251301</v>
      </c>
      <c r="I171" s="189">
        <v>0.60263348661177296</v>
      </c>
      <c r="J171" s="189">
        <v>1.7910659964030999</v>
      </c>
      <c r="K171" s="189">
        <v>4.4655004080976599E-2</v>
      </c>
      <c r="L171" s="189">
        <v>0.14262721922238</v>
      </c>
      <c r="M171" s="189">
        <v>5.5152754122460299E-3</v>
      </c>
      <c r="N171" s="189">
        <v>1.5809893457827899E-2</v>
      </c>
      <c r="O171" s="189">
        <v>0.45310573388970399</v>
      </c>
      <c r="P171" s="189">
        <v>0.48755258418658198</v>
      </c>
      <c r="Q171" s="189">
        <v>-1.0824161738343699E-2</v>
      </c>
      <c r="R171" s="189">
        <v>0.35019464495860098</v>
      </c>
      <c r="S171" s="189">
        <v>3.5108651803047002E-2</v>
      </c>
      <c r="T171" s="189">
        <v>1.02938216800497</v>
      </c>
      <c r="U171" s="189">
        <v>1.51493575720268</v>
      </c>
      <c r="V171" s="189">
        <v>0.404580794643011</v>
      </c>
      <c r="W171" s="189"/>
      <c r="X171" s="90"/>
      <c r="Y171" s="189"/>
      <c r="Z171" s="189"/>
      <c r="AA171" s="189"/>
      <c r="AB171" s="189"/>
      <c r="AC171" s="188"/>
      <c r="AD171" s="190"/>
      <c r="AE171" s="189"/>
    </row>
    <row r="172" spans="1:31" ht="21.25" customHeight="1" x14ac:dyDescent="0.15">
      <c r="A172" s="10" t="s">
        <v>455</v>
      </c>
      <c r="B172" s="186" t="s">
        <v>866</v>
      </c>
      <c r="C172" s="187">
        <v>21</v>
      </c>
      <c r="D172" s="186" t="s">
        <v>846</v>
      </c>
      <c r="E172" s="90">
        <v>76.974999999999994</v>
      </c>
      <c r="F172" s="188">
        <v>16.164211532783799</v>
      </c>
      <c r="G172" s="189">
        <v>0.25932448293990201</v>
      </c>
      <c r="H172" s="189">
        <v>0.34320895571124999</v>
      </c>
      <c r="I172" s="189">
        <v>0.60253343865115205</v>
      </c>
      <c r="J172" s="189">
        <v>1.61451784200458</v>
      </c>
      <c r="K172" s="189">
        <v>0.10276572726963</v>
      </c>
      <c r="L172" s="189">
        <v>0.24111449579116301</v>
      </c>
      <c r="M172" s="189">
        <v>0</v>
      </c>
      <c r="N172" s="189">
        <v>0</v>
      </c>
      <c r="O172" s="189">
        <v>0.56610793098845602</v>
      </c>
      <c r="P172" s="189">
        <v>0.48981429217406502</v>
      </c>
      <c r="Q172" s="189">
        <v>-7.4059019623905695E-2</v>
      </c>
      <c r="R172" s="189">
        <v>0.399064034762946</v>
      </c>
      <c r="S172" s="189">
        <v>3.7872129586122703E-2</v>
      </c>
      <c r="T172" s="189">
        <v>2.0982112721784301</v>
      </c>
      <c r="U172" s="189">
        <v>3.5346291674221102</v>
      </c>
      <c r="V172" s="189">
        <v>0.37249613133498</v>
      </c>
      <c r="W172" s="189"/>
      <c r="X172" s="90"/>
      <c r="Y172" s="189"/>
      <c r="Z172" s="189"/>
      <c r="AA172" s="189"/>
      <c r="AB172" s="189"/>
      <c r="AC172" s="188"/>
      <c r="AD172" s="190"/>
      <c r="AE172" s="189"/>
    </row>
    <row r="173" spans="1:31" ht="21.25" customHeight="1" x14ac:dyDescent="0.15">
      <c r="A173" s="10" t="s">
        <v>502</v>
      </c>
      <c r="B173" s="186" t="s">
        <v>840</v>
      </c>
      <c r="C173" s="187">
        <v>20</v>
      </c>
      <c r="D173" s="186" t="s">
        <v>848</v>
      </c>
      <c r="E173" s="90">
        <v>74</v>
      </c>
      <c r="F173" s="188">
        <v>14.9342102508711</v>
      </c>
      <c r="G173" s="189">
        <v>0.26797002563096001</v>
      </c>
      <c r="H173" s="189">
        <v>0.33429240411051298</v>
      </c>
      <c r="I173" s="189">
        <v>0.60226242974147304</v>
      </c>
      <c r="J173" s="189">
        <v>1.68657115675851</v>
      </c>
      <c r="K173" s="189">
        <v>7.0322445412410603E-2</v>
      </c>
      <c r="L173" s="189">
        <v>0.13681162949853601</v>
      </c>
      <c r="M173" s="189">
        <v>3.8717658677845999E-5</v>
      </c>
      <c r="N173" s="189">
        <v>6.3870315908791798E-5</v>
      </c>
      <c r="O173" s="189">
        <v>0.45553159056435499</v>
      </c>
      <c r="P173" s="189">
        <v>0.75633585415714599</v>
      </c>
      <c r="Q173" s="189">
        <v>-1.80779030148909E-2</v>
      </c>
      <c r="R173" s="189">
        <v>0.304268486998719</v>
      </c>
      <c r="S173" s="189">
        <v>3.7470125010204802E-2</v>
      </c>
      <c r="T173" s="189">
        <v>0</v>
      </c>
      <c r="U173" s="189">
        <v>0</v>
      </c>
      <c r="V173" s="189">
        <v>0</v>
      </c>
      <c r="W173" s="189"/>
      <c r="X173" s="90"/>
      <c r="Y173" s="188"/>
      <c r="Z173" s="188"/>
      <c r="AA173" s="188"/>
      <c r="AB173" s="188"/>
      <c r="AC173" s="188"/>
      <c r="AD173" s="190"/>
      <c r="AE173" s="189"/>
    </row>
    <row r="174" spans="1:31" ht="21.25" customHeight="1" x14ac:dyDescent="0.15">
      <c r="A174" s="10" t="s">
        <v>522</v>
      </c>
      <c r="B174" s="186" t="s">
        <v>842</v>
      </c>
      <c r="C174" s="187">
        <v>19</v>
      </c>
      <c r="D174" s="186" t="s">
        <v>848</v>
      </c>
      <c r="E174" s="90">
        <v>73.564999999999998</v>
      </c>
      <c r="F174" s="188">
        <v>13.932350667399801</v>
      </c>
      <c r="G174" s="189">
        <v>0.296281544581183</v>
      </c>
      <c r="H174" s="189">
        <v>0.30010801094886902</v>
      </c>
      <c r="I174" s="189">
        <v>0.59638955553005202</v>
      </c>
      <c r="J174" s="189">
        <v>1.60293864242564</v>
      </c>
      <c r="K174" s="189">
        <v>4.8624467385710197E-2</v>
      </c>
      <c r="L174" s="189">
        <v>9.6985455744505497E-2</v>
      </c>
      <c r="M174" s="189">
        <v>0</v>
      </c>
      <c r="N174" s="189">
        <v>0</v>
      </c>
      <c r="O174" s="189">
        <v>0.467301853387663</v>
      </c>
      <c r="P174" s="189">
        <v>0.71362637726216105</v>
      </c>
      <c r="Q174" s="189">
        <v>2.2689003893808901E-2</v>
      </c>
      <c r="R174" s="189">
        <v>0.49523455925070398</v>
      </c>
      <c r="S174" s="189">
        <v>4.42839631181879E-2</v>
      </c>
      <c r="T174" s="189">
        <v>0.13960817007533399</v>
      </c>
      <c r="U174" s="189">
        <v>0.33088341373819302</v>
      </c>
      <c r="V174" s="189">
        <v>0.29672830477381201</v>
      </c>
      <c r="W174" s="189"/>
      <c r="X174" s="90"/>
      <c r="Y174" s="188"/>
      <c r="Z174" s="188"/>
      <c r="AA174" s="188"/>
      <c r="AB174" s="188"/>
      <c r="AC174" s="188"/>
      <c r="AD174" s="190"/>
      <c r="AE174" s="189"/>
    </row>
    <row r="175" spans="1:31" ht="21.25" customHeight="1" x14ac:dyDescent="0.15">
      <c r="A175" s="10" t="s">
        <v>220</v>
      </c>
      <c r="B175" s="186" t="s">
        <v>868</v>
      </c>
      <c r="C175" s="187">
        <v>28</v>
      </c>
      <c r="D175" s="186" t="s">
        <v>827</v>
      </c>
      <c r="E175" s="90">
        <v>81.042500000000004</v>
      </c>
      <c r="F175" s="188">
        <v>25.215924561737801</v>
      </c>
      <c r="G175" s="189">
        <v>9.2314787737483195E-2</v>
      </c>
      <c r="H175" s="189">
        <v>0.50498277304916905</v>
      </c>
      <c r="I175" s="189">
        <v>0.59729756078665197</v>
      </c>
      <c r="J175" s="189">
        <v>1.6840181070500599</v>
      </c>
      <c r="K175" s="189">
        <v>2.8931110037053499E-2</v>
      </c>
      <c r="L175" s="189">
        <v>0.18386114030449599</v>
      </c>
      <c r="M175" s="189">
        <v>2.9150537232528899E-4</v>
      </c>
      <c r="N175" s="189">
        <v>1.5912217447773499E-3</v>
      </c>
      <c r="O175" s="189">
        <v>1.33839870615479</v>
      </c>
      <c r="P175" s="189">
        <v>1.45064481518639</v>
      </c>
      <c r="Q175" s="189">
        <v>-0.10336990693481</v>
      </c>
      <c r="R175" s="189">
        <v>0.481606856185615</v>
      </c>
      <c r="S175" s="189">
        <v>1.1439419908322999E-2</v>
      </c>
      <c r="T175" s="189">
        <v>5.2320319157205105E-4</v>
      </c>
      <c r="U175" s="189">
        <v>1.37078875518148E-3</v>
      </c>
      <c r="V175" s="189">
        <v>0.27624361997360602</v>
      </c>
      <c r="W175" s="189"/>
      <c r="X175" s="90"/>
      <c r="Y175" s="188"/>
      <c r="Z175" s="188"/>
      <c r="AA175" s="188"/>
      <c r="AB175" s="188"/>
      <c r="AC175" s="188"/>
      <c r="AD175" s="190"/>
      <c r="AE175" s="189"/>
    </row>
    <row r="176" spans="1:31" ht="21.25" customHeight="1" x14ac:dyDescent="0.15">
      <c r="A176" s="10" t="s">
        <v>412</v>
      </c>
      <c r="B176" s="186" t="s">
        <v>866</v>
      </c>
      <c r="C176" s="187">
        <v>35</v>
      </c>
      <c r="D176" s="186" t="s">
        <v>826</v>
      </c>
      <c r="E176" s="90">
        <v>73.912499999999994</v>
      </c>
      <c r="F176" s="188">
        <v>17.787915977515301</v>
      </c>
      <c r="G176" s="189">
        <v>0.26487562164425599</v>
      </c>
      <c r="H176" s="189">
        <v>0.33056413344681301</v>
      </c>
      <c r="I176" s="189">
        <v>0.59543975509106895</v>
      </c>
      <c r="J176" s="189">
        <v>2.41804590840461</v>
      </c>
      <c r="K176" s="189">
        <v>7.8108270575272296E-2</v>
      </c>
      <c r="L176" s="189">
        <v>0.18550246973635801</v>
      </c>
      <c r="M176" s="189">
        <v>8.8249003089787992E-3</v>
      </c>
      <c r="N176" s="189">
        <v>1.41936425390927E-2</v>
      </c>
      <c r="O176" s="189">
        <v>0.47659618369359402</v>
      </c>
      <c r="P176" s="189">
        <v>0.77550594679428397</v>
      </c>
      <c r="Q176" s="189">
        <v>-4.5432845685096097E-2</v>
      </c>
      <c r="R176" s="189">
        <v>0.32123203773786602</v>
      </c>
      <c r="S176" s="189">
        <v>3.8682826061744599E-2</v>
      </c>
      <c r="T176" s="189">
        <v>0.120650760072794</v>
      </c>
      <c r="U176" s="189">
        <v>0.17381445899863601</v>
      </c>
      <c r="V176" s="189">
        <v>0.40972838983583498</v>
      </c>
      <c r="W176" s="189"/>
      <c r="X176" s="90"/>
      <c r="Y176" s="188"/>
      <c r="Z176" s="188"/>
      <c r="AA176" s="188"/>
      <c r="AB176" s="188"/>
      <c r="AC176" s="188"/>
      <c r="AD176" s="190"/>
      <c r="AE176" s="189"/>
    </row>
    <row r="177" spans="1:31" ht="21.25" customHeight="1" x14ac:dyDescent="0.15">
      <c r="A177" s="10" t="s">
        <v>433</v>
      </c>
      <c r="B177" s="186" t="s">
        <v>871</v>
      </c>
      <c r="C177" s="187">
        <v>33</v>
      </c>
      <c r="D177" s="186" t="s">
        <v>848</v>
      </c>
      <c r="E177" s="90">
        <v>78.112499999999997</v>
      </c>
      <c r="F177" s="188">
        <v>18.223606802591501</v>
      </c>
      <c r="G177" s="189">
        <v>0.229834831579664</v>
      </c>
      <c r="H177" s="189">
        <v>0.36048528781773498</v>
      </c>
      <c r="I177" s="189">
        <v>0.59032011939739903</v>
      </c>
      <c r="J177" s="189">
        <v>1.7465634180769201</v>
      </c>
      <c r="K177" s="189">
        <v>7.2915703810413901E-2</v>
      </c>
      <c r="L177" s="189">
        <v>0.188648297860566</v>
      </c>
      <c r="M177" s="189">
        <v>1.48280417994379E-2</v>
      </c>
      <c r="N177" s="189">
        <v>2.0876324716723901E-2</v>
      </c>
      <c r="O177" s="189">
        <v>0.63949185685431598</v>
      </c>
      <c r="P177" s="189">
        <v>0.681065831831283</v>
      </c>
      <c r="Q177" s="189">
        <v>-9.8492942823949797E-2</v>
      </c>
      <c r="R177" s="189">
        <v>0.48269977048416102</v>
      </c>
      <c r="S177" s="189">
        <v>3.3044495750205599E-2</v>
      </c>
      <c r="T177" s="189">
        <v>0.158427285897799</v>
      </c>
      <c r="U177" s="189">
        <v>0.22693114592810301</v>
      </c>
      <c r="V177" s="189">
        <v>0.41111669763430603</v>
      </c>
      <c r="W177" s="189"/>
      <c r="X177" s="90"/>
      <c r="Y177" s="188"/>
      <c r="Z177" s="188"/>
      <c r="AA177" s="188"/>
      <c r="AB177" s="188"/>
      <c r="AC177" s="188"/>
      <c r="AD177" s="190"/>
      <c r="AE177" s="189"/>
    </row>
    <row r="178" spans="1:31" ht="21.25" customHeight="1" x14ac:dyDescent="0.15">
      <c r="A178" s="10" t="s">
        <v>347</v>
      </c>
      <c r="B178" s="186" t="s">
        <v>867</v>
      </c>
      <c r="C178" s="187">
        <v>27</v>
      </c>
      <c r="D178" s="186" t="s">
        <v>848</v>
      </c>
      <c r="E178" s="90">
        <v>82.765000000000001</v>
      </c>
      <c r="F178" s="188">
        <v>16.107198477515201</v>
      </c>
      <c r="G178" s="189">
        <v>0.29859068493652902</v>
      </c>
      <c r="H178" s="189">
        <v>0.29088651517811598</v>
      </c>
      <c r="I178" s="189">
        <v>0.58947720011464499</v>
      </c>
      <c r="J178" s="189">
        <v>2.6326116967633499</v>
      </c>
      <c r="K178" s="189">
        <v>2.5698170680890701E-2</v>
      </c>
      <c r="L178" s="189">
        <v>7.3055280914401097E-2</v>
      </c>
      <c r="M178" s="189">
        <v>6.3398311996943398E-3</v>
      </c>
      <c r="N178" s="189">
        <v>6.7802921148928802E-3</v>
      </c>
      <c r="O178" s="189">
        <v>0.64923044596412305</v>
      </c>
      <c r="P178" s="189">
        <v>1.78097957330637</v>
      </c>
      <c r="Q178" s="189">
        <v>1.6468613905650901E-2</v>
      </c>
      <c r="R178" s="189">
        <v>0.25267901813578703</v>
      </c>
      <c r="S178" s="189">
        <v>4.7187766702036303E-2</v>
      </c>
      <c r="T178" s="189">
        <v>0.13164204450547901</v>
      </c>
      <c r="U178" s="189">
        <v>0.235646790264949</v>
      </c>
      <c r="V178" s="189">
        <v>0.35841559024728098</v>
      </c>
      <c r="W178" s="189"/>
      <c r="X178" s="90"/>
      <c r="Y178" s="188"/>
      <c r="Z178" s="188"/>
      <c r="AA178" s="188"/>
      <c r="AB178" s="188"/>
      <c r="AC178" s="188"/>
      <c r="AD178" s="190"/>
      <c r="AE178" s="189"/>
    </row>
    <row r="179" spans="1:31" ht="21.25" customHeight="1" x14ac:dyDescent="0.15">
      <c r="A179" s="10" t="s">
        <v>218</v>
      </c>
      <c r="B179" s="186" t="s">
        <v>870</v>
      </c>
      <c r="C179" s="187">
        <v>29</v>
      </c>
      <c r="D179" s="186" t="s">
        <v>827</v>
      </c>
      <c r="E179" s="90">
        <v>78.802499999999995</v>
      </c>
      <c r="F179" s="188">
        <v>21.678096999148501</v>
      </c>
      <c r="G179" s="189">
        <v>0.13451475029174301</v>
      </c>
      <c r="H179" s="189">
        <v>0.45148894704829401</v>
      </c>
      <c r="I179" s="189">
        <v>0.58600369734003699</v>
      </c>
      <c r="J179" s="189">
        <v>2.0776765988861499</v>
      </c>
      <c r="K179" s="189">
        <v>3.2740164715280899E-2</v>
      </c>
      <c r="L179" s="189">
        <v>0.21986386565221799</v>
      </c>
      <c r="M179" s="189">
        <v>4.9366822948804698E-5</v>
      </c>
      <c r="N179" s="189">
        <v>4.86240004087044E-4</v>
      </c>
      <c r="O179" s="189">
        <v>1.16694282654432</v>
      </c>
      <c r="P179" s="189">
        <v>0.50629380835684101</v>
      </c>
      <c r="Q179" s="189">
        <v>-8.7671598456770999E-2</v>
      </c>
      <c r="R179" s="189">
        <v>0.62990155485577903</v>
      </c>
      <c r="S179" s="189">
        <v>1.8532794565080099E-2</v>
      </c>
      <c r="T179" s="189">
        <v>0</v>
      </c>
      <c r="U179" s="189">
        <v>0</v>
      </c>
      <c r="V179" s="189">
        <v>0</v>
      </c>
      <c r="W179" s="189"/>
      <c r="X179" s="90"/>
      <c r="Y179" s="188"/>
      <c r="Z179" s="188"/>
      <c r="AA179" s="188"/>
      <c r="AB179" s="188"/>
      <c r="AC179" s="188"/>
      <c r="AD179" s="190"/>
      <c r="AE179" s="189"/>
    </row>
    <row r="180" spans="1:31" ht="21.25" customHeight="1" x14ac:dyDescent="0.15">
      <c r="A180" s="10" t="s">
        <v>463</v>
      </c>
      <c r="B180" s="186" t="s">
        <v>866</v>
      </c>
      <c r="C180" s="187">
        <v>25</v>
      </c>
      <c r="D180" s="186" t="s">
        <v>848</v>
      </c>
      <c r="E180" s="90">
        <v>81.834999999999994</v>
      </c>
      <c r="F180" s="188">
        <v>17.634536180997699</v>
      </c>
      <c r="G180" s="189">
        <v>0.27046668965883303</v>
      </c>
      <c r="H180" s="189">
        <v>0.31518476334770501</v>
      </c>
      <c r="I180" s="189">
        <v>0.58565145300653798</v>
      </c>
      <c r="J180" s="189">
        <v>1.39505769469496</v>
      </c>
      <c r="K180" s="189">
        <v>2.0091910915204701E-2</v>
      </c>
      <c r="L180" s="189">
        <v>6.2748844632249806E-2</v>
      </c>
      <c r="M180" s="189">
        <v>3.2898182483468798E-2</v>
      </c>
      <c r="N180" s="189">
        <v>6.6788460867466204E-2</v>
      </c>
      <c r="O180" s="189">
        <v>0.65480824465749499</v>
      </c>
      <c r="P180" s="189">
        <v>0.36455946391955502</v>
      </c>
      <c r="Q180" s="189">
        <v>-3.7229232971038501E-2</v>
      </c>
      <c r="R180" s="189">
        <v>0.238668891382156</v>
      </c>
      <c r="S180" s="189">
        <v>3.9499353872664601E-2</v>
      </c>
      <c r="T180" s="189">
        <v>5.16709862487576E-2</v>
      </c>
      <c r="U180" s="189">
        <v>0.164753555073369</v>
      </c>
      <c r="V180" s="189">
        <v>0.23874827657299</v>
      </c>
      <c r="W180" s="189"/>
      <c r="X180" s="90"/>
      <c r="Y180" s="188"/>
      <c r="Z180" s="188"/>
      <c r="AA180" s="188"/>
      <c r="AB180" s="188"/>
      <c r="AC180" s="188"/>
      <c r="AD180" s="190"/>
      <c r="AE180" s="189"/>
    </row>
    <row r="181" spans="1:31" ht="21.25" customHeight="1" x14ac:dyDescent="0.15">
      <c r="A181" s="10" t="s">
        <v>500</v>
      </c>
      <c r="B181" s="186" t="s">
        <v>855</v>
      </c>
      <c r="C181" s="187">
        <v>25</v>
      </c>
      <c r="D181" s="186" t="s">
        <v>848</v>
      </c>
      <c r="E181" s="90">
        <v>72.204999999999998</v>
      </c>
      <c r="F181" s="188">
        <v>15.0126293838167</v>
      </c>
      <c r="G181" s="189">
        <v>0.28479438261300799</v>
      </c>
      <c r="H181" s="189">
        <v>0.29984221809582101</v>
      </c>
      <c r="I181" s="189">
        <v>0.58463660070882895</v>
      </c>
      <c r="J181" s="189">
        <v>2.09217489572187</v>
      </c>
      <c r="K181" s="189">
        <v>3.0826360138326001E-2</v>
      </c>
      <c r="L181" s="189">
        <v>7.92603614522885E-2</v>
      </c>
      <c r="M181" s="189">
        <v>1.09590286197075E-5</v>
      </c>
      <c r="N181" s="189">
        <v>1.7999156928397999E-5</v>
      </c>
      <c r="O181" s="189">
        <v>0.4566122655082</v>
      </c>
      <c r="P181" s="189">
        <v>0.90958055126875603</v>
      </c>
      <c r="Q181" s="189">
        <v>-1.6073253815651199E-3</v>
      </c>
      <c r="R181" s="189">
        <v>0.206207421298433</v>
      </c>
      <c r="S181" s="189">
        <v>4.1291566179005999E-2</v>
      </c>
      <c r="T181" s="189">
        <v>2.8177952136318199E-2</v>
      </c>
      <c r="U181" s="189">
        <v>0.116491890700839</v>
      </c>
      <c r="V181" s="189">
        <v>0.19477419470231799</v>
      </c>
      <c r="W181" s="189"/>
      <c r="X181" s="90"/>
      <c r="Y181" s="188"/>
      <c r="Z181" s="188"/>
      <c r="AA181" s="188"/>
      <c r="AB181" s="188"/>
      <c r="AC181" s="188"/>
      <c r="AD181" s="190"/>
      <c r="AE181" s="189"/>
    </row>
    <row r="182" spans="1:31" ht="21.25" customHeight="1" x14ac:dyDescent="0.15">
      <c r="A182" s="10" t="s">
        <v>519</v>
      </c>
      <c r="B182" s="186" t="s">
        <v>862</v>
      </c>
      <c r="C182" s="187">
        <v>27</v>
      </c>
      <c r="D182" s="186" t="s">
        <v>824</v>
      </c>
      <c r="E182" s="90">
        <v>70.510000000000005</v>
      </c>
      <c r="F182" s="188">
        <v>14.9778591750104</v>
      </c>
      <c r="G182" s="189">
        <v>0.26984565561959101</v>
      </c>
      <c r="H182" s="189">
        <v>0.312163231386197</v>
      </c>
      <c r="I182" s="189">
        <v>0.58200888700578801</v>
      </c>
      <c r="J182" s="189">
        <v>1.58135253412286</v>
      </c>
      <c r="K182" s="189">
        <v>6.01183734032813E-2</v>
      </c>
      <c r="L182" s="189">
        <v>0.159289803979864</v>
      </c>
      <c r="M182" s="189">
        <v>4.1324581954262898E-4</v>
      </c>
      <c r="N182" s="189">
        <v>7.4042017768907102E-4</v>
      </c>
      <c r="O182" s="189">
        <v>0.59034165773606595</v>
      </c>
      <c r="P182" s="189">
        <v>1.12602839186</v>
      </c>
      <c r="Q182" s="189">
        <v>2.0210049447555199E-2</v>
      </c>
      <c r="R182" s="189">
        <v>0.40458601109367398</v>
      </c>
      <c r="S182" s="189">
        <v>4.0684624137872397E-2</v>
      </c>
      <c r="T182" s="189">
        <v>6.2846216459564204</v>
      </c>
      <c r="U182" s="189">
        <v>5.8246470309332201</v>
      </c>
      <c r="V182" s="189">
        <v>0.518992666993221</v>
      </c>
      <c r="W182" s="189"/>
      <c r="X182" s="90"/>
      <c r="Y182" s="188"/>
      <c r="Z182" s="188"/>
      <c r="AA182" s="188"/>
      <c r="AB182" s="188"/>
      <c r="AC182" s="188"/>
      <c r="AD182" s="190"/>
      <c r="AE182" s="189"/>
    </row>
    <row r="183" spans="1:31" ht="21.25" customHeight="1" x14ac:dyDescent="0.15">
      <c r="A183" s="10" t="s">
        <v>200</v>
      </c>
      <c r="B183" s="186" t="s">
        <v>847</v>
      </c>
      <c r="C183" s="187">
        <v>25</v>
      </c>
      <c r="D183" s="186" t="s">
        <v>827</v>
      </c>
      <c r="E183" s="90">
        <v>81.05</v>
      </c>
      <c r="F183" s="188">
        <v>22.6807609252504</v>
      </c>
      <c r="G183" s="189">
        <v>0.15038179023641299</v>
      </c>
      <c r="H183" s="189">
        <v>0.431226224333008</v>
      </c>
      <c r="I183" s="189">
        <v>0.58160801456942102</v>
      </c>
      <c r="J183" s="189">
        <v>1.8295391561015499</v>
      </c>
      <c r="K183" s="189">
        <v>1.3537547298051599E-2</v>
      </c>
      <c r="L183" s="189">
        <v>0.124632653308867</v>
      </c>
      <c r="M183" s="189">
        <v>1.62720009605763E-3</v>
      </c>
      <c r="N183" s="189">
        <v>2.18545693367853E-3</v>
      </c>
      <c r="O183" s="189">
        <v>1.76152180983784</v>
      </c>
      <c r="P183" s="189">
        <v>0.582680390893202</v>
      </c>
      <c r="Q183" s="189">
        <v>7.9435766541378502E-2</v>
      </c>
      <c r="R183" s="189">
        <v>0.32263220577031898</v>
      </c>
      <c r="S183" s="189">
        <v>2.5432988390455501E-2</v>
      </c>
      <c r="T183" s="189">
        <v>0</v>
      </c>
      <c r="U183" s="189">
        <v>0</v>
      </c>
      <c r="V183" s="189">
        <v>0</v>
      </c>
      <c r="W183" s="189"/>
      <c r="X183" s="90"/>
      <c r="Y183" s="188"/>
      <c r="Z183" s="188"/>
      <c r="AA183" s="188"/>
      <c r="AB183" s="188"/>
      <c r="AC183" s="188"/>
      <c r="AD183" s="190"/>
      <c r="AE183" s="189"/>
    </row>
    <row r="184" spans="1:31" ht="21.25" customHeight="1" x14ac:dyDescent="0.15">
      <c r="A184" s="10" t="s">
        <v>322</v>
      </c>
      <c r="B184" s="186" t="s">
        <v>868</v>
      </c>
      <c r="C184" s="187">
        <v>29</v>
      </c>
      <c r="D184" s="186" t="s">
        <v>848</v>
      </c>
      <c r="E184" s="90">
        <v>83.652500000000003</v>
      </c>
      <c r="F184" s="188">
        <v>17.9167752268032</v>
      </c>
      <c r="G184" s="189">
        <v>0.307901786361718</v>
      </c>
      <c r="H184" s="189">
        <v>0.27256941511291899</v>
      </c>
      <c r="I184" s="189">
        <v>0.58047120147463704</v>
      </c>
      <c r="J184" s="189">
        <v>2.61128739717824</v>
      </c>
      <c r="K184" s="189">
        <v>0.18122784399010999</v>
      </c>
      <c r="L184" s="189">
        <v>0.27363204716411699</v>
      </c>
      <c r="M184" s="189">
        <v>5.4193800005968304E-3</v>
      </c>
      <c r="N184" s="189">
        <v>6.76244839664541E-3</v>
      </c>
      <c r="O184" s="189">
        <v>0.522608164804366</v>
      </c>
      <c r="P184" s="189">
        <v>0.991347502988709</v>
      </c>
      <c r="Q184" s="189">
        <v>-0.127587910112821</v>
      </c>
      <c r="R184" s="189">
        <v>0.247009660216398</v>
      </c>
      <c r="S184" s="189">
        <v>3.81544269454493E-2</v>
      </c>
      <c r="T184" s="189">
        <v>0.15457889314683601</v>
      </c>
      <c r="U184" s="189">
        <v>0.25229159899011</v>
      </c>
      <c r="V184" s="189">
        <v>0.379921611751602</v>
      </c>
      <c r="W184" s="189"/>
      <c r="X184" s="90"/>
      <c r="Y184" s="188"/>
      <c r="Z184" s="188"/>
      <c r="AA184" s="188"/>
      <c r="AB184" s="188"/>
      <c r="AC184" s="188"/>
      <c r="AD184" s="190"/>
      <c r="AE184" s="189"/>
    </row>
    <row r="185" spans="1:31" ht="21.25" customHeight="1" x14ac:dyDescent="0.15">
      <c r="A185" s="10" t="s">
        <v>180</v>
      </c>
      <c r="B185" s="186" t="s">
        <v>850</v>
      </c>
      <c r="C185" s="187">
        <v>26</v>
      </c>
      <c r="D185" s="186" t="s">
        <v>827</v>
      </c>
      <c r="E185" s="90">
        <v>81.862499999999997</v>
      </c>
      <c r="F185" s="188">
        <v>23.100003836553601</v>
      </c>
      <c r="G185" s="189">
        <v>0.12932199056757801</v>
      </c>
      <c r="H185" s="189">
        <v>0.446421710809282</v>
      </c>
      <c r="I185" s="189">
        <v>0.57574370137686004</v>
      </c>
      <c r="J185" s="189">
        <v>2.0873412283305601</v>
      </c>
      <c r="K185" s="189">
        <v>1.1899549301859399E-2</v>
      </c>
      <c r="L185" s="189">
        <v>9.7375589307512597E-2</v>
      </c>
      <c r="M185" s="189">
        <v>2.5094825671776101E-4</v>
      </c>
      <c r="N185" s="189">
        <v>8.0526573777104597E-3</v>
      </c>
      <c r="O185" s="189">
        <v>2.1281363690994999</v>
      </c>
      <c r="P185" s="189">
        <v>0.81260587724590205</v>
      </c>
      <c r="Q185" s="189">
        <v>3.2682745617741302E-2</v>
      </c>
      <c r="R185" s="189">
        <v>0.45787755062017699</v>
      </c>
      <c r="S185" s="189">
        <v>2.1530838077893698E-2</v>
      </c>
      <c r="T185" s="189">
        <v>0</v>
      </c>
      <c r="U185" s="189">
        <v>0</v>
      </c>
      <c r="V185" s="189">
        <v>0</v>
      </c>
      <c r="W185" s="189"/>
      <c r="X185" s="90"/>
      <c r="Y185" s="189"/>
      <c r="Z185" s="189"/>
      <c r="AA185" s="189"/>
      <c r="AB185" s="189"/>
      <c r="AC185" s="188"/>
      <c r="AD185" s="190"/>
      <c r="AE185" s="189"/>
    </row>
    <row r="186" spans="1:31" ht="21.25" customHeight="1" x14ac:dyDescent="0.15">
      <c r="A186" s="10" t="s">
        <v>530</v>
      </c>
      <c r="B186" s="186" t="s">
        <v>870</v>
      </c>
      <c r="C186" s="187">
        <v>25</v>
      </c>
      <c r="D186" s="186" t="s">
        <v>826</v>
      </c>
      <c r="E186" s="90">
        <v>78.5</v>
      </c>
      <c r="F186" s="188">
        <v>15.105915917478701</v>
      </c>
      <c r="G186" s="189">
        <v>0.21026882433631899</v>
      </c>
      <c r="H186" s="189">
        <v>0.36547251173045298</v>
      </c>
      <c r="I186" s="189">
        <v>0.57574133606677202</v>
      </c>
      <c r="J186" s="189">
        <v>1.43674859272099</v>
      </c>
      <c r="K186" s="189">
        <v>4.5707291170613097E-2</v>
      </c>
      <c r="L186" s="189">
        <v>0.12535318363238901</v>
      </c>
      <c r="M186" s="189">
        <v>5.33612244472741E-5</v>
      </c>
      <c r="N186" s="189">
        <v>8.7386141414745304E-5</v>
      </c>
      <c r="O186" s="189">
        <v>0.27665905065754398</v>
      </c>
      <c r="P186" s="189">
        <v>0.65434710652005001</v>
      </c>
      <c r="Q186" s="189">
        <v>-6.9962505433026498E-2</v>
      </c>
      <c r="R186" s="189">
        <v>0.32815972369424201</v>
      </c>
      <c r="S186" s="189">
        <v>2.89698261076511E-2</v>
      </c>
      <c r="T186" s="189">
        <v>0.34746412340281801</v>
      </c>
      <c r="U186" s="189">
        <v>0.35120430518629803</v>
      </c>
      <c r="V186" s="189">
        <v>0.49732334993937499</v>
      </c>
      <c r="W186" s="189"/>
      <c r="X186" s="90"/>
      <c r="Y186" s="188"/>
      <c r="Z186" s="188"/>
      <c r="AA186" s="188"/>
      <c r="AB186" s="188"/>
      <c r="AC186" s="188"/>
      <c r="AD186" s="190"/>
      <c r="AE186" s="189"/>
    </row>
    <row r="187" spans="1:31" ht="21.25" customHeight="1" x14ac:dyDescent="0.15">
      <c r="A187" s="10" t="s">
        <v>441</v>
      </c>
      <c r="B187" s="186" t="s">
        <v>859</v>
      </c>
      <c r="C187" s="187">
        <v>35</v>
      </c>
      <c r="D187" s="186" t="s">
        <v>825</v>
      </c>
      <c r="E187" s="90">
        <v>80.862499999999997</v>
      </c>
      <c r="F187" s="188">
        <v>16.843202289126001</v>
      </c>
      <c r="G187" s="189">
        <v>0.28632650455327902</v>
      </c>
      <c r="H187" s="189">
        <v>0.28918640908385601</v>
      </c>
      <c r="I187" s="189">
        <v>0.57551291363713497</v>
      </c>
      <c r="J187" s="189">
        <v>2.02813753703987</v>
      </c>
      <c r="K187" s="189">
        <v>0.101178548482958</v>
      </c>
      <c r="L187" s="189">
        <v>0.18362180858688401</v>
      </c>
      <c r="M187" s="189">
        <v>9.4115536321394393E-3</v>
      </c>
      <c r="N187" s="189">
        <v>1.2952721960985999E-2</v>
      </c>
      <c r="O187" s="189">
        <v>0.31845527481962099</v>
      </c>
      <c r="P187" s="189">
        <v>1.0183597130131701</v>
      </c>
      <c r="Q187" s="189">
        <v>-2.2856338941678E-2</v>
      </c>
      <c r="R187" s="189">
        <v>0.37859162526400503</v>
      </c>
      <c r="S187" s="189">
        <v>4.1831481394444002E-2</v>
      </c>
      <c r="T187" s="189">
        <v>0.25886048198251599</v>
      </c>
      <c r="U187" s="189">
        <v>0.43822397808403102</v>
      </c>
      <c r="V187" s="189">
        <v>0.371347371533436</v>
      </c>
      <c r="W187" s="189"/>
      <c r="X187" s="90"/>
      <c r="Y187" s="188"/>
      <c r="Z187" s="188"/>
      <c r="AA187" s="188"/>
      <c r="AB187" s="188"/>
      <c r="AC187" s="188"/>
      <c r="AD187" s="190"/>
      <c r="AE187" s="189"/>
    </row>
    <row r="188" spans="1:31" ht="21.25" customHeight="1" x14ac:dyDescent="0.15">
      <c r="A188" s="10" t="s">
        <v>514</v>
      </c>
      <c r="B188" s="186" t="s">
        <v>860</v>
      </c>
      <c r="C188" s="187">
        <v>34</v>
      </c>
      <c r="D188" s="186" t="s">
        <v>825</v>
      </c>
      <c r="E188" s="90">
        <v>75.787499999999994</v>
      </c>
      <c r="F188" s="188">
        <v>15.5540474784796</v>
      </c>
      <c r="G188" s="189">
        <v>0.229199699198117</v>
      </c>
      <c r="H188" s="189">
        <v>0.34485298642022999</v>
      </c>
      <c r="I188" s="189">
        <v>0.57405268561834699</v>
      </c>
      <c r="J188" s="189">
        <v>1.84586975941831</v>
      </c>
      <c r="K188" s="189">
        <v>4.5274158476145097E-2</v>
      </c>
      <c r="L188" s="189">
        <v>9.9876175123538802E-2</v>
      </c>
      <c r="M188" s="189">
        <v>7.3862768361136901E-5</v>
      </c>
      <c r="N188" s="189">
        <v>1.19961393816524E-4</v>
      </c>
      <c r="O188" s="189">
        <v>0.44980812144908899</v>
      </c>
      <c r="P188" s="189">
        <v>0.72735381100494401</v>
      </c>
      <c r="Q188" s="189">
        <v>8.57090637146041E-2</v>
      </c>
      <c r="R188" s="189">
        <v>0.44229382122304101</v>
      </c>
      <c r="S188" s="189">
        <v>3.9359495730599103E-2</v>
      </c>
      <c r="T188" s="189">
        <v>0.33573635244664102</v>
      </c>
      <c r="U188" s="189">
        <v>0.42231399438281297</v>
      </c>
      <c r="V188" s="189">
        <v>0.44289453048977301</v>
      </c>
      <c r="W188" s="189"/>
      <c r="X188" s="90"/>
      <c r="Y188" s="188"/>
      <c r="Z188" s="188"/>
      <c r="AA188" s="188"/>
      <c r="AB188" s="188"/>
      <c r="AC188" s="188"/>
      <c r="AD188" s="190"/>
      <c r="AE188" s="189"/>
    </row>
    <row r="189" spans="1:31" ht="21.25" customHeight="1" x14ac:dyDescent="0.15">
      <c r="A189" s="10" t="s">
        <v>444</v>
      </c>
      <c r="B189" s="186" t="s">
        <v>858</v>
      </c>
      <c r="C189" s="187">
        <v>25</v>
      </c>
      <c r="D189" s="186" t="s">
        <v>839</v>
      </c>
      <c r="E189" s="90">
        <v>83.12</v>
      </c>
      <c r="F189" s="188">
        <v>16.5887930709135</v>
      </c>
      <c r="G189" s="189">
        <v>0.22591412454009999</v>
      </c>
      <c r="H189" s="189">
        <v>0.34707004469842201</v>
      </c>
      <c r="I189" s="189">
        <v>0.57298416923852202</v>
      </c>
      <c r="J189" s="189">
        <v>1.8367268899371401</v>
      </c>
      <c r="K189" s="189">
        <v>3.1949284153590697E-2</v>
      </c>
      <c r="L189" s="189">
        <v>8.2338809180239697E-2</v>
      </c>
      <c r="M189" s="189">
        <v>3.83300568468762E-3</v>
      </c>
      <c r="N189" s="189">
        <v>1.8845488745862601E-2</v>
      </c>
      <c r="O189" s="189">
        <v>0.53362863042626696</v>
      </c>
      <c r="P189" s="189">
        <v>0.60052013156651796</v>
      </c>
      <c r="Q189" s="189">
        <v>-2.7165296466914301E-2</v>
      </c>
      <c r="R189" s="189">
        <v>0.42088461005918198</v>
      </c>
      <c r="S189" s="189">
        <v>3.2574793544170498E-2</v>
      </c>
      <c r="T189" s="189">
        <v>3.2203383782301902</v>
      </c>
      <c r="U189" s="189">
        <v>4.0711834969640801</v>
      </c>
      <c r="V189" s="189">
        <v>0.44165517615544198</v>
      </c>
      <c r="W189" s="189"/>
      <c r="X189" s="90"/>
      <c r="Y189" s="188"/>
      <c r="Z189" s="188"/>
      <c r="AA189" s="188"/>
      <c r="AB189" s="188"/>
      <c r="AC189" s="188"/>
      <c r="AD189" s="190"/>
      <c r="AE189" s="189"/>
    </row>
    <row r="190" spans="1:31" ht="21.25" customHeight="1" x14ac:dyDescent="0.15">
      <c r="A190" s="10" t="s">
        <v>214</v>
      </c>
      <c r="B190" s="186" t="s">
        <v>842</v>
      </c>
      <c r="C190" s="187">
        <v>22</v>
      </c>
      <c r="D190" s="186" t="s">
        <v>827</v>
      </c>
      <c r="E190" s="90">
        <v>80.032499999999999</v>
      </c>
      <c r="F190" s="188">
        <v>23.1619522770579</v>
      </c>
      <c r="G190" s="189">
        <v>0.10491519321362</v>
      </c>
      <c r="H190" s="189">
        <v>0.46331219319663702</v>
      </c>
      <c r="I190" s="189">
        <v>0.56822738641025705</v>
      </c>
      <c r="J190" s="189">
        <v>2.0210829230131702</v>
      </c>
      <c r="K190" s="189">
        <v>1.8302588422895599E-2</v>
      </c>
      <c r="L190" s="189">
        <v>0.19658069211336099</v>
      </c>
      <c r="M190" s="189">
        <v>4.9700309157457701E-4</v>
      </c>
      <c r="N190" s="189">
        <v>1.6799034761048001E-3</v>
      </c>
      <c r="O190" s="189">
        <v>0.97891330143063704</v>
      </c>
      <c r="P190" s="189">
        <v>0.39255854298409398</v>
      </c>
      <c r="Q190" s="189">
        <v>-3.01254285585763E-3</v>
      </c>
      <c r="R190" s="189">
        <v>0.41479311432444199</v>
      </c>
      <c r="S190" s="189">
        <v>1.5681235067736301E-2</v>
      </c>
      <c r="T190" s="189">
        <v>0</v>
      </c>
      <c r="U190" s="189">
        <v>2.1319233742965E-3</v>
      </c>
      <c r="V190" s="189">
        <v>0</v>
      </c>
      <c r="W190" s="189"/>
      <c r="X190" s="90"/>
      <c r="Y190" s="188"/>
      <c r="Z190" s="188"/>
      <c r="AA190" s="188"/>
      <c r="AB190" s="188"/>
      <c r="AC190" s="188"/>
      <c r="AD190" s="190"/>
      <c r="AE190" s="189"/>
    </row>
    <row r="191" spans="1:31" ht="21.25" customHeight="1" x14ac:dyDescent="0.15">
      <c r="A191" s="10" t="s">
        <v>446</v>
      </c>
      <c r="B191" s="186" t="s">
        <v>867</v>
      </c>
      <c r="C191" s="187">
        <v>24</v>
      </c>
      <c r="D191" s="186" t="s">
        <v>848</v>
      </c>
      <c r="E191" s="90">
        <v>73.984999999999999</v>
      </c>
      <c r="F191" s="188">
        <v>17.363458857627201</v>
      </c>
      <c r="G191" s="189">
        <v>0.32961169816385699</v>
      </c>
      <c r="H191" s="189">
        <v>0.23812144986551601</v>
      </c>
      <c r="I191" s="189">
        <v>0.56773314802937302</v>
      </c>
      <c r="J191" s="189">
        <v>2.00739190496797</v>
      </c>
      <c r="K191" s="189">
        <v>6.0279129048706699E-2</v>
      </c>
      <c r="L191" s="189">
        <v>0.113211884148573</v>
      </c>
      <c r="M191" s="189">
        <v>6.3505073520065602E-3</v>
      </c>
      <c r="N191" s="189">
        <v>7.9795786159938299E-3</v>
      </c>
      <c r="O191" s="189">
        <v>0.71464259542652198</v>
      </c>
      <c r="P191" s="189">
        <v>0.99129662777333005</v>
      </c>
      <c r="Q191" s="189">
        <v>2.7655416654042302E-2</v>
      </c>
      <c r="R191" s="189">
        <v>0.44093616104814398</v>
      </c>
      <c r="S191" s="189">
        <v>5.20901712607824E-2</v>
      </c>
      <c r="T191" s="189">
        <v>1.0537325532816499E-2</v>
      </c>
      <c r="U191" s="189">
        <v>3.9246580191467199E-2</v>
      </c>
      <c r="V191" s="189">
        <v>0.21166128650441701</v>
      </c>
      <c r="W191" s="189"/>
      <c r="X191" s="90"/>
      <c r="Y191" s="188"/>
      <c r="Z191" s="188"/>
      <c r="AA191" s="188"/>
      <c r="AB191" s="188"/>
      <c r="AC191" s="188"/>
      <c r="AD191" s="190"/>
      <c r="AE191" s="189"/>
    </row>
    <row r="192" spans="1:31" ht="21.25" customHeight="1" x14ac:dyDescent="0.15">
      <c r="A192" s="10" t="s">
        <v>167</v>
      </c>
      <c r="B192" s="186" t="s">
        <v>849</v>
      </c>
      <c r="C192" s="187">
        <v>23</v>
      </c>
      <c r="D192" s="186" t="s">
        <v>827</v>
      </c>
      <c r="E192" s="90">
        <v>82.28</v>
      </c>
      <c r="F192" s="188">
        <v>21.113925261250401</v>
      </c>
      <c r="G192" s="189">
        <v>0.11521835583081901</v>
      </c>
      <c r="H192" s="189">
        <v>0.45069587323754501</v>
      </c>
      <c r="I192" s="189">
        <v>0.56591422906836397</v>
      </c>
      <c r="J192" s="189">
        <v>2.1047109893975802</v>
      </c>
      <c r="K192" s="189">
        <v>2.7448453670038099E-2</v>
      </c>
      <c r="L192" s="189">
        <v>0.18467425610557101</v>
      </c>
      <c r="M192" s="189">
        <v>2.9005417282653399E-5</v>
      </c>
      <c r="N192" s="189">
        <v>9.3121855653663705E-5</v>
      </c>
      <c r="O192" s="189">
        <v>2.09403510042057</v>
      </c>
      <c r="P192" s="189">
        <v>0.53081637999718001</v>
      </c>
      <c r="Q192" s="189">
        <v>3.1726127123132802E-2</v>
      </c>
      <c r="R192" s="189">
        <v>0.685387858023351</v>
      </c>
      <c r="S192" s="189">
        <v>1.8200371045554699E-2</v>
      </c>
      <c r="T192" s="189">
        <v>0</v>
      </c>
      <c r="U192" s="189">
        <v>0</v>
      </c>
      <c r="V192" s="189">
        <v>0</v>
      </c>
      <c r="W192" s="189"/>
      <c r="X192" s="90"/>
      <c r="Y192" s="188"/>
      <c r="Z192" s="188"/>
      <c r="AA192" s="188"/>
      <c r="AB192" s="188"/>
      <c r="AC192" s="188"/>
      <c r="AD192" s="190"/>
      <c r="AE192" s="189"/>
    </row>
    <row r="193" spans="1:31" ht="21.25" customHeight="1" x14ac:dyDescent="0.15">
      <c r="A193" s="10" t="s">
        <v>511</v>
      </c>
      <c r="B193" s="186" t="s">
        <v>864</v>
      </c>
      <c r="C193" s="187">
        <v>21</v>
      </c>
      <c r="D193" s="186" t="s">
        <v>826</v>
      </c>
      <c r="E193" s="90">
        <v>79</v>
      </c>
      <c r="F193" s="188">
        <v>15.6569081793103</v>
      </c>
      <c r="G193" s="189">
        <v>0.245014442554533</v>
      </c>
      <c r="H193" s="189">
        <v>0.31783575768734901</v>
      </c>
      <c r="I193" s="189">
        <v>0.56285020024188204</v>
      </c>
      <c r="J193" s="189">
        <v>1.54146982877906</v>
      </c>
      <c r="K193" s="189">
        <v>5.4712587360891303E-2</v>
      </c>
      <c r="L193" s="189">
        <v>0.11823523381889001</v>
      </c>
      <c r="M193" s="189">
        <v>0</v>
      </c>
      <c r="N193" s="189">
        <v>0</v>
      </c>
      <c r="O193" s="189">
        <v>0.44013534820851702</v>
      </c>
      <c r="P193" s="189">
        <v>0.62603308036070904</v>
      </c>
      <c r="Q193" s="189">
        <v>-1.66157195705187E-3</v>
      </c>
      <c r="R193" s="189">
        <v>0.28113758765880098</v>
      </c>
      <c r="S193" s="189">
        <v>3.8492698030105001E-2</v>
      </c>
      <c r="T193" s="189">
        <v>9.2989689224331498E-2</v>
      </c>
      <c r="U193" s="189">
        <v>0.107203871676136</v>
      </c>
      <c r="V193" s="189">
        <v>0.464498901992978</v>
      </c>
      <c r="W193" s="189"/>
      <c r="X193" s="90"/>
      <c r="Y193" s="188"/>
      <c r="Z193" s="188"/>
      <c r="AA193" s="188"/>
      <c r="AB193" s="188"/>
      <c r="AC193" s="188"/>
      <c r="AD193" s="190"/>
      <c r="AE193" s="189"/>
    </row>
    <row r="194" spans="1:31" ht="21.25" customHeight="1" x14ac:dyDescent="0.15">
      <c r="A194" s="10" t="s">
        <v>471</v>
      </c>
      <c r="B194" s="186" t="s">
        <v>857</v>
      </c>
      <c r="C194" s="187">
        <v>25</v>
      </c>
      <c r="D194" s="186" t="s">
        <v>825</v>
      </c>
      <c r="E194" s="90">
        <v>78.72</v>
      </c>
      <c r="F194" s="188">
        <v>15.1187832627223</v>
      </c>
      <c r="G194" s="189">
        <v>0.27656185388975901</v>
      </c>
      <c r="H194" s="189">
        <v>0.28312980978289498</v>
      </c>
      <c r="I194" s="189">
        <v>0.55969166367265399</v>
      </c>
      <c r="J194" s="189">
        <v>1.90023275066015</v>
      </c>
      <c r="K194" s="189">
        <v>0.105001576400301</v>
      </c>
      <c r="L194" s="189">
        <v>0.154284952398936</v>
      </c>
      <c r="M194" s="189">
        <v>3.7485798946806599E-5</v>
      </c>
      <c r="N194" s="189">
        <v>6.1574814333765896E-5</v>
      </c>
      <c r="O194" s="189">
        <v>0.506441566715916</v>
      </c>
      <c r="P194" s="189">
        <v>1.3880683586694</v>
      </c>
      <c r="Q194" s="189">
        <v>4.34993779149579E-2</v>
      </c>
      <c r="R194" s="189">
        <v>0.64210603597540095</v>
      </c>
      <c r="S194" s="189">
        <v>4.4565519140898097E-2</v>
      </c>
      <c r="T194" s="189">
        <v>0.71992558056036104</v>
      </c>
      <c r="U194" s="189">
        <v>1.2962486782454199</v>
      </c>
      <c r="V194" s="189">
        <v>0.35707507791850701</v>
      </c>
      <c r="W194" s="189"/>
      <c r="X194" s="90"/>
      <c r="Y194" s="188"/>
      <c r="Z194" s="188"/>
      <c r="AA194" s="188"/>
      <c r="AB194" s="188"/>
      <c r="AC194" s="188"/>
      <c r="AD194" s="190"/>
      <c r="AE194" s="189"/>
    </row>
    <row r="195" spans="1:31" ht="21.25" customHeight="1" x14ac:dyDescent="0.15">
      <c r="A195" s="10" t="s">
        <v>422</v>
      </c>
      <c r="B195" s="186" t="s">
        <v>840</v>
      </c>
      <c r="C195" s="187">
        <v>31</v>
      </c>
      <c r="D195" s="186" t="s">
        <v>824</v>
      </c>
      <c r="E195" s="90">
        <v>82.6875</v>
      </c>
      <c r="F195" s="188">
        <v>19.467213002623701</v>
      </c>
      <c r="G195" s="189">
        <v>0.183897240130419</v>
      </c>
      <c r="H195" s="189">
        <v>0.36773418216883302</v>
      </c>
      <c r="I195" s="189">
        <v>0.55163142229925199</v>
      </c>
      <c r="J195" s="189">
        <v>1.1999058268385701</v>
      </c>
      <c r="K195" s="189">
        <v>6.6803651606020406E-2</v>
      </c>
      <c r="L195" s="189">
        <v>0.14096263812993201</v>
      </c>
      <c r="M195" s="189">
        <v>4.4768087279043302E-3</v>
      </c>
      <c r="N195" s="189">
        <v>1.3913605597459199E-2</v>
      </c>
      <c r="O195" s="189">
        <v>1.0634833272570501</v>
      </c>
      <c r="P195" s="189">
        <v>0.44958737312807701</v>
      </c>
      <c r="Q195" s="189">
        <v>-4.2479434460018201E-2</v>
      </c>
      <c r="R195" s="189">
        <v>0.248410621858314</v>
      </c>
      <c r="S195" s="189">
        <v>2.5714266215013298E-2</v>
      </c>
      <c r="T195" s="189">
        <v>7.6536149176810699</v>
      </c>
      <c r="U195" s="189">
        <v>8.6407876440293396</v>
      </c>
      <c r="V195" s="189">
        <v>0.46970822579687599</v>
      </c>
      <c r="W195" s="189"/>
      <c r="X195" s="90"/>
      <c r="Y195" s="189"/>
      <c r="Z195" s="189"/>
      <c r="AA195" s="189"/>
      <c r="AB195" s="189"/>
      <c r="AC195" s="188"/>
      <c r="AD195" s="190"/>
      <c r="AE195" s="189"/>
    </row>
    <row r="196" spans="1:31" ht="21.25" customHeight="1" x14ac:dyDescent="0.15">
      <c r="A196" s="10" t="s">
        <v>438</v>
      </c>
      <c r="B196" s="186" t="s">
        <v>870</v>
      </c>
      <c r="C196" s="187">
        <v>30</v>
      </c>
      <c r="D196" s="186" t="s">
        <v>848</v>
      </c>
      <c r="E196" s="90">
        <v>79.62</v>
      </c>
      <c r="F196" s="188">
        <v>16.1041657234932</v>
      </c>
      <c r="G196" s="189">
        <v>0.32065095170032998</v>
      </c>
      <c r="H196" s="189">
        <v>0.22844837284730099</v>
      </c>
      <c r="I196" s="189">
        <v>0.549099324547631</v>
      </c>
      <c r="J196" s="189">
        <v>2.3840797872410699</v>
      </c>
      <c r="K196" s="189">
        <v>4.0576685023515198E-2</v>
      </c>
      <c r="L196" s="189">
        <v>7.1120380699771696E-2</v>
      </c>
      <c r="M196" s="189">
        <v>6.9641886161660497E-4</v>
      </c>
      <c r="N196" s="189">
        <v>1.1360681747802099E-3</v>
      </c>
      <c r="O196" s="189">
        <v>0.373286477819885</v>
      </c>
      <c r="P196" s="189">
        <v>1.9781357896187099</v>
      </c>
      <c r="Q196" s="189">
        <v>-7.5885299884569504E-2</v>
      </c>
      <c r="R196" s="189">
        <v>0.45523753809704098</v>
      </c>
      <c r="S196" s="189">
        <v>4.4177744091789803E-2</v>
      </c>
      <c r="T196" s="189">
        <v>8.3907135601676106E-2</v>
      </c>
      <c r="U196" s="189">
        <v>0.13174535560904799</v>
      </c>
      <c r="V196" s="189">
        <v>0.38908493535410499</v>
      </c>
      <c r="W196" s="189"/>
      <c r="X196" s="90"/>
      <c r="Y196" s="188"/>
      <c r="Z196" s="188"/>
      <c r="AA196" s="188"/>
      <c r="AB196" s="188"/>
      <c r="AC196" s="188"/>
      <c r="AD196" s="190"/>
      <c r="AE196" s="189"/>
    </row>
    <row r="197" spans="1:31" ht="21.25" customHeight="1" x14ac:dyDescent="0.15">
      <c r="A197" s="10" t="s">
        <v>272</v>
      </c>
      <c r="B197" s="186" t="s">
        <v>837</v>
      </c>
      <c r="C197" s="187">
        <v>35</v>
      </c>
      <c r="D197" s="186" t="s">
        <v>827</v>
      </c>
      <c r="E197" s="90">
        <v>74.52</v>
      </c>
      <c r="F197" s="188">
        <v>18.9809584770485</v>
      </c>
      <c r="G197" s="189">
        <v>0.101829853438443</v>
      </c>
      <c r="H197" s="189">
        <v>0.44344627777773998</v>
      </c>
      <c r="I197" s="189">
        <v>0.54527613121618301</v>
      </c>
      <c r="J197" s="189">
        <v>1.6002631192221799</v>
      </c>
      <c r="K197" s="189">
        <v>1.6612349432004E-2</v>
      </c>
      <c r="L197" s="189">
        <v>0.13463138267194699</v>
      </c>
      <c r="M197" s="189">
        <v>1.4978091737845401E-4</v>
      </c>
      <c r="N197" s="189">
        <v>5.3159865578598399E-4</v>
      </c>
      <c r="O197" s="189">
        <v>1.36095818008967</v>
      </c>
      <c r="P197" s="189">
        <v>0.66108196470160396</v>
      </c>
      <c r="Q197" s="189">
        <v>9.1104795141405598E-2</v>
      </c>
      <c r="R197" s="189">
        <v>0.38681368293663498</v>
      </c>
      <c r="S197" s="189">
        <v>1.8075760100225699E-2</v>
      </c>
      <c r="T197" s="189">
        <v>0</v>
      </c>
      <c r="U197" s="189">
        <v>0</v>
      </c>
      <c r="V197" s="189">
        <v>0</v>
      </c>
      <c r="W197" s="189"/>
      <c r="X197" s="90"/>
      <c r="Y197" s="188"/>
      <c r="Z197" s="188"/>
      <c r="AA197" s="188"/>
      <c r="AB197" s="188"/>
      <c r="AC197" s="188"/>
      <c r="AD197" s="190"/>
      <c r="AE197" s="189"/>
    </row>
    <row r="198" spans="1:31" ht="21.25" customHeight="1" x14ac:dyDescent="0.15">
      <c r="A198" s="10" t="s">
        <v>485</v>
      </c>
      <c r="B198" s="186" t="s">
        <v>865</v>
      </c>
      <c r="C198" s="187">
        <v>24</v>
      </c>
      <c r="D198" s="186" t="s">
        <v>846</v>
      </c>
      <c r="E198" s="90">
        <v>81.592500000000001</v>
      </c>
      <c r="F198" s="188">
        <v>16.290951381478699</v>
      </c>
      <c r="G198" s="189">
        <v>0.24381519008910499</v>
      </c>
      <c r="H198" s="189">
        <v>0.29637994866535899</v>
      </c>
      <c r="I198" s="189">
        <v>0.54019513875446401</v>
      </c>
      <c r="J198" s="189">
        <v>1.82685917849743</v>
      </c>
      <c r="K198" s="189">
        <v>2.85554429179222E-2</v>
      </c>
      <c r="L198" s="189">
        <v>9.9114378160200897E-2</v>
      </c>
      <c r="M198" s="189">
        <v>1.4674888052882301E-3</v>
      </c>
      <c r="N198" s="189">
        <v>2.4087713438381299E-3</v>
      </c>
      <c r="O198" s="189">
        <v>0.37194633861558901</v>
      </c>
      <c r="P198" s="189">
        <v>0.96360026370832996</v>
      </c>
      <c r="Q198" s="189">
        <v>-3.0172150906486801E-2</v>
      </c>
      <c r="R198" s="189">
        <v>0.27664914971230498</v>
      </c>
      <c r="S198" s="189">
        <v>3.3774503246626397E-2</v>
      </c>
      <c r="T198" s="189">
        <v>1.57035967423268</v>
      </c>
      <c r="U198" s="189">
        <v>1.8697248658461001</v>
      </c>
      <c r="V198" s="189">
        <v>0.45648868681486299</v>
      </c>
      <c r="W198" s="189"/>
      <c r="X198" s="90"/>
      <c r="Y198" s="188"/>
      <c r="Z198" s="188"/>
      <c r="AA198" s="188"/>
      <c r="AB198" s="188"/>
      <c r="AC198" s="188"/>
      <c r="AD198" s="190"/>
      <c r="AE198" s="189"/>
    </row>
    <row r="199" spans="1:31" ht="21.25" customHeight="1" x14ac:dyDescent="0.15">
      <c r="A199" s="10" t="s">
        <v>599</v>
      </c>
      <c r="B199" s="186" t="s">
        <v>838</v>
      </c>
      <c r="C199" s="187">
        <v>33</v>
      </c>
      <c r="D199" s="186" t="s">
        <v>848</v>
      </c>
      <c r="E199" s="90">
        <v>62</v>
      </c>
      <c r="F199" s="188">
        <v>16.030970268281798</v>
      </c>
      <c r="G199" s="189">
        <v>0.21300306414825801</v>
      </c>
      <c r="H199" s="189">
        <v>0.326530943449511</v>
      </c>
      <c r="I199" s="189">
        <v>0.53953400759776904</v>
      </c>
      <c r="J199" s="189">
        <v>2.0754096977848802</v>
      </c>
      <c r="K199" s="189">
        <v>4.1400667961031902E-2</v>
      </c>
      <c r="L199" s="189">
        <v>9.7099593435601497E-2</v>
      </c>
      <c r="M199" s="189">
        <v>1.8869116304042101E-4</v>
      </c>
      <c r="N199" s="189">
        <v>3.16191200626373E-4</v>
      </c>
      <c r="O199" s="189">
        <v>0.50744911796025605</v>
      </c>
      <c r="P199" s="189">
        <v>1.3189395509198301</v>
      </c>
      <c r="Q199" s="189">
        <v>0.10683210122216499</v>
      </c>
      <c r="R199" s="189">
        <v>0.59411576106917297</v>
      </c>
      <c r="S199" s="189">
        <v>3.84443290567833E-2</v>
      </c>
      <c r="T199" s="189">
        <v>2.6371546776555701</v>
      </c>
      <c r="U199" s="189">
        <v>1.5953157926558399</v>
      </c>
      <c r="V199" s="189">
        <v>0.62307692307692297</v>
      </c>
      <c r="W199" s="189"/>
      <c r="X199" s="90"/>
      <c r="Y199" s="188"/>
      <c r="Z199" s="188"/>
      <c r="AA199" s="188"/>
      <c r="AB199" s="188"/>
      <c r="AC199" s="188"/>
      <c r="AD199" s="190"/>
      <c r="AE199" s="189"/>
    </row>
    <row r="200" spans="1:31" ht="21.25" customHeight="1" x14ac:dyDescent="0.15">
      <c r="A200" s="10" t="s">
        <v>445</v>
      </c>
      <c r="B200" s="186" t="s">
        <v>857</v>
      </c>
      <c r="C200" s="187">
        <v>34</v>
      </c>
      <c r="D200" s="186" t="s">
        <v>824</v>
      </c>
      <c r="E200" s="90">
        <v>84.167500000000004</v>
      </c>
      <c r="F200" s="188">
        <v>16.7791348439297</v>
      </c>
      <c r="G200" s="189">
        <v>0.20980596672471499</v>
      </c>
      <c r="H200" s="189">
        <v>0.32976336824240798</v>
      </c>
      <c r="I200" s="189">
        <v>0.539569334967123</v>
      </c>
      <c r="J200" s="189">
        <v>1.5473485999901999</v>
      </c>
      <c r="K200" s="189">
        <v>4.4090661803457797E-2</v>
      </c>
      <c r="L200" s="189">
        <v>8.4928883858840898E-2</v>
      </c>
      <c r="M200" s="189">
        <v>2.6414927170289402E-3</v>
      </c>
      <c r="N200" s="189">
        <v>1.02398852687861E-2</v>
      </c>
      <c r="O200" s="189">
        <v>0.64663900477824898</v>
      </c>
      <c r="P200" s="189">
        <v>1.2878742343451299</v>
      </c>
      <c r="Q200" s="189">
        <v>2.9612792515598702E-2</v>
      </c>
      <c r="R200" s="189">
        <v>0.29130386500545702</v>
      </c>
      <c r="S200" s="189">
        <v>3.3808392930689497E-2</v>
      </c>
      <c r="T200" s="189">
        <v>6.875861938271</v>
      </c>
      <c r="U200" s="189">
        <v>6.8139265873921797</v>
      </c>
      <c r="V200" s="189">
        <v>0.502262100351759</v>
      </c>
      <c r="W200" s="189"/>
      <c r="X200" s="90"/>
      <c r="Y200" s="188"/>
      <c r="Z200" s="188"/>
      <c r="AA200" s="188"/>
      <c r="AB200" s="188"/>
      <c r="AC200" s="188"/>
      <c r="AD200" s="190"/>
      <c r="AE200" s="189"/>
    </row>
    <row r="201" spans="1:31" ht="21.25" customHeight="1" x14ac:dyDescent="0.15">
      <c r="A201" s="10" t="s">
        <v>206</v>
      </c>
      <c r="B201" s="186" t="s">
        <v>844</v>
      </c>
      <c r="C201" s="187">
        <v>24</v>
      </c>
      <c r="D201" s="186" t="s">
        <v>827</v>
      </c>
      <c r="E201" s="90">
        <v>83.125</v>
      </c>
      <c r="F201" s="188">
        <v>24.9432635003811</v>
      </c>
      <c r="G201" s="189">
        <v>0.15545954860436001</v>
      </c>
      <c r="H201" s="189">
        <v>0.38359017522822803</v>
      </c>
      <c r="I201" s="189">
        <v>0.53904972383258798</v>
      </c>
      <c r="J201" s="189">
        <v>1.9397633783621899</v>
      </c>
      <c r="K201" s="189">
        <v>1.39043131772813E-2</v>
      </c>
      <c r="L201" s="189">
        <v>0.10059779553536601</v>
      </c>
      <c r="M201" s="189">
        <v>6.5484984107005897E-3</v>
      </c>
      <c r="N201" s="189">
        <v>1.7335488511573498E-2</v>
      </c>
      <c r="O201" s="189">
        <v>1.76525483145983</v>
      </c>
      <c r="P201" s="189">
        <v>0.51419746784429299</v>
      </c>
      <c r="Q201" s="189">
        <v>3.6699891364890901E-2</v>
      </c>
      <c r="R201" s="189">
        <v>0.38049882414228797</v>
      </c>
      <c r="S201" s="189">
        <v>2.53219500538731E-2</v>
      </c>
      <c r="T201" s="189">
        <v>0</v>
      </c>
      <c r="U201" s="189">
        <v>0</v>
      </c>
      <c r="V201" s="189">
        <v>0</v>
      </c>
      <c r="W201" s="189"/>
      <c r="X201" s="90"/>
      <c r="Y201" s="188"/>
      <c r="Z201" s="188"/>
      <c r="AA201" s="188"/>
      <c r="AB201" s="188"/>
      <c r="AC201" s="188"/>
      <c r="AD201" s="190"/>
      <c r="AE201" s="189"/>
    </row>
    <row r="202" spans="1:31" ht="21.25" customHeight="1" x14ac:dyDescent="0.15">
      <c r="A202" s="10" t="s">
        <v>233</v>
      </c>
      <c r="B202" s="186" t="s">
        <v>853</v>
      </c>
      <c r="C202" s="187">
        <v>31</v>
      </c>
      <c r="D202" s="186" t="s">
        <v>827</v>
      </c>
      <c r="E202" s="90">
        <v>74.592500000000001</v>
      </c>
      <c r="F202" s="188">
        <v>24.567048556984801</v>
      </c>
      <c r="G202" s="189">
        <v>0.114217919682167</v>
      </c>
      <c r="H202" s="189">
        <v>0.42386859088509798</v>
      </c>
      <c r="I202" s="189">
        <v>0.53808651056726498</v>
      </c>
      <c r="J202" s="189">
        <v>1.8886492659426299</v>
      </c>
      <c r="K202" s="189">
        <v>6.2257349970873503E-2</v>
      </c>
      <c r="L202" s="189">
        <v>0.25014765267681199</v>
      </c>
      <c r="M202" s="189">
        <v>1.83122901160629E-4</v>
      </c>
      <c r="N202" s="189">
        <v>1.4623804942800001E-3</v>
      </c>
      <c r="O202" s="189">
        <v>1.48050553470806</v>
      </c>
      <c r="P202" s="189">
        <v>1.1112764559872099</v>
      </c>
      <c r="Q202" s="189">
        <v>3.5886901479102201E-2</v>
      </c>
      <c r="R202" s="189">
        <v>0.42959794755061997</v>
      </c>
      <c r="S202" s="189">
        <v>1.9016800254320398E-2</v>
      </c>
      <c r="T202" s="189">
        <v>0</v>
      </c>
      <c r="U202" s="189">
        <v>0</v>
      </c>
      <c r="V202" s="189">
        <v>0</v>
      </c>
      <c r="W202" s="189"/>
      <c r="X202" s="90"/>
      <c r="Y202" s="188"/>
      <c r="Z202" s="188"/>
      <c r="AA202" s="188"/>
      <c r="AB202" s="188"/>
      <c r="AC202" s="188"/>
      <c r="AD202" s="190"/>
      <c r="AE202" s="189"/>
    </row>
    <row r="203" spans="1:31" ht="21.25" customHeight="1" x14ac:dyDescent="0.15">
      <c r="A203" s="10" t="s">
        <v>221</v>
      </c>
      <c r="B203" s="186" t="s">
        <v>842</v>
      </c>
      <c r="C203" s="187">
        <v>33</v>
      </c>
      <c r="D203" s="186" t="s">
        <v>827</v>
      </c>
      <c r="E203" s="90">
        <v>74.467500000000001</v>
      </c>
      <c r="F203" s="188">
        <v>22.571750996510701</v>
      </c>
      <c r="G203" s="189">
        <v>0.12741282616913399</v>
      </c>
      <c r="H203" s="189">
        <v>0.40879222753272598</v>
      </c>
      <c r="I203" s="189">
        <v>0.53620505370186</v>
      </c>
      <c r="J203" s="189">
        <v>2.65888396401186</v>
      </c>
      <c r="K203" s="189">
        <v>5.7315010035792702E-2</v>
      </c>
      <c r="L203" s="189">
        <v>0.199430769989626</v>
      </c>
      <c r="M203" s="189">
        <v>3.3908664352900802E-4</v>
      </c>
      <c r="N203" s="189">
        <v>1.29496426999942E-3</v>
      </c>
      <c r="O203" s="189">
        <v>1.2612589996974599</v>
      </c>
      <c r="P203" s="189">
        <v>1.17172751190069</v>
      </c>
      <c r="Q203" s="189">
        <v>1.2174040350627E-2</v>
      </c>
      <c r="R203" s="189">
        <v>0.63806429224595895</v>
      </c>
      <c r="S203" s="189">
        <v>1.9043862157644399E-2</v>
      </c>
      <c r="T203" s="189">
        <v>0</v>
      </c>
      <c r="U203" s="189">
        <v>0</v>
      </c>
      <c r="V203" s="189">
        <v>0</v>
      </c>
      <c r="W203" s="189"/>
      <c r="X203" s="90"/>
      <c r="Y203" s="188"/>
      <c r="Z203" s="188"/>
      <c r="AA203" s="188"/>
      <c r="AB203" s="188"/>
      <c r="AC203" s="188"/>
      <c r="AD203" s="190"/>
      <c r="AE203" s="189"/>
    </row>
    <row r="204" spans="1:31" ht="21.25" customHeight="1" x14ac:dyDescent="0.15">
      <c r="A204" s="10" t="s">
        <v>268</v>
      </c>
      <c r="B204" s="186" t="s">
        <v>868</v>
      </c>
      <c r="C204" s="187">
        <v>20</v>
      </c>
      <c r="D204" s="186" t="s">
        <v>827</v>
      </c>
      <c r="E204" s="90">
        <v>81.540000000000006</v>
      </c>
      <c r="F204" s="188">
        <v>22.786230257816801</v>
      </c>
      <c r="G204" s="189">
        <v>0.136707683864489</v>
      </c>
      <c r="H204" s="189">
        <v>0.39694153757524803</v>
      </c>
      <c r="I204" s="189">
        <v>0.53364922143973703</v>
      </c>
      <c r="J204" s="189">
        <v>1.3351127044459901</v>
      </c>
      <c r="K204" s="189">
        <v>6.7386704247593507E-2</v>
      </c>
      <c r="L204" s="189">
        <v>0.26465733368912198</v>
      </c>
      <c r="M204" s="189">
        <v>4.81097049925555E-4</v>
      </c>
      <c r="N204" s="189">
        <v>1.5029497773302099E-3</v>
      </c>
      <c r="O204" s="189">
        <v>1.0236575866325901</v>
      </c>
      <c r="P204" s="189">
        <v>0.595425266588826</v>
      </c>
      <c r="Q204" s="189">
        <v>-0.15486391255943499</v>
      </c>
      <c r="R204" s="189">
        <v>0.50488595436668304</v>
      </c>
      <c r="S204" s="189">
        <v>1.6940477671544101E-2</v>
      </c>
      <c r="T204" s="189">
        <v>0</v>
      </c>
      <c r="U204" s="189">
        <v>0</v>
      </c>
      <c r="V204" s="189">
        <v>0</v>
      </c>
      <c r="W204" s="189"/>
      <c r="X204" s="90"/>
      <c r="Y204" s="188"/>
      <c r="Z204" s="188"/>
      <c r="AA204" s="188"/>
      <c r="AB204" s="188"/>
      <c r="AC204" s="188"/>
      <c r="AD204" s="190"/>
      <c r="AE204" s="189"/>
    </row>
    <row r="205" spans="1:31" ht="21.25" customHeight="1" x14ac:dyDescent="0.15">
      <c r="A205" s="10" t="s">
        <v>406</v>
      </c>
      <c r="B205" s="186" t="s">
        <v>864</v>
      </c>
      <c r="C205" s="187">
        <v>24</v>
      </c>
      <c r="D205" s="186" t="s">
        <v>848</v>
      </c>
      <c r="E205" s="90">
        <v>83.93</v>
      </c>
      <c r="F205" s="188">
        <v>16.735027801067101</v>
      </c>
      <c r="G205" s="189">
        <v>0.25602953531684203</v>
      </c>
      <c r="H205" s="189">
        <v>0.27609379784958099</v>
      </c>
      <c r="I205" s="189">
        <v>0.53212333316642302</v>
      </c>
      <c r="J205" s="189">
        <v>1.96253853876479</v>
      </c>
      <c r="K205" s="189">
        <v>4.3240633789035497E-2</v>
      </c>
      <c r="L205" s="189">
        <v>8.7605956877652602E-2</v>
      </c>
      <c r="M205" s="189">
        <v>9.8026478295626905E-3</v>
      </c>
      <c r="N205" s="189">
        <v>1.50472567852459E-2</v>
      </c>
      <c r="O205" s="189">
        <v>0.74457400210659797</v>
      </c>
      <c r="P205" s="189">
        <v>3.4298481387899602</v>
      </c>
      <c r="Q205" s="189">
        <v>1.52807199256902E-3</v>
      </c>
      <c r="R205" s="189">
        <v>0.66527289041981397</v>
      </c>
      <c r="S205" s="189">
        <v>4.02232108727461E-2</v>
      </c>
      <c r="T205" s="189">
        <v>0.32463065835593102</v>
      </c>
      <c r="U205" s="189">
        <v>0.55496833308982096</v>
      </c>
      <c r="V205" s="189">
        <v>0.36906665595688298</v>
      </c>
      <c r="W205" s="189"/>
      <c r="X205" s="90"/>
      <c r="Y205" s="188"/>
      <c r="Z205" s="188"/>
      <c r="AA205" s="188"/>
      <c r="AB205" s="188"/>
      <c r="AC205" s="188"/>
      <c r="AD205" s="190"/>
      <c r="AE205" s="189"/>
    </row>
    <row r="206" spans="1:31" ht="21.25" customHeight="1" x14ac:dyDescent="0.15">
      <c r="A206" s="10" t="s">
        <v>428</v>
      </c>
      <c r="B206" s="186" t="s">
        <v>841</v>
      </c>
      <c r="C206" s="187">
        <v>31</v>
      </c>
      <c r="D206" s="186" t="s">
        <v>824</v>
      </c>
      <c r="E206" s="90">
        <v>81.022499999999994</v>
      </c>
      <c r="F206" s="188">
        <v>16.833435831179301</v>
      </c>
      <c r="G206" s="189">
        <v>0.19325431685640401</v>
      </c>
      <c r="H206" s="189">
        <v>0.338752882307575</v>
      </c>
      <c r="I206" s="189">
        <v>0.53200719916397898</v>
      </c>
      <c r="J206" s="189">
        <v>1.6396282504200801</v>
      </c>
      <c r="K206" s="189">
        <v>4.1815151165999299E-2</v>
      </c>
      <c r="L206" s="189">
        <v>0.135457558736259</v>
      </c>
      <c r="M206" s="189">
        <v>3.3372069190373199E-3</v>
      </c>
      <c r="N206" s="189">
        <v>7.7192564167276297E-3</v>
      </c>
      <c r="O206" s="189">
        <v>0.82134576667310499</v>
      </c>
      <c r="P206" s="189">
        <v>0.89416339252472199</v>
      </c>
      <c r="Q206" s="189">
        <v>-3.4749392196960202E-2</v>
      </c>
      <c r="R206" s="189">
        <v>0.30371953655797301</v>
      </c>
      <c r="S206" s="189">
        <v>2.6016220901735498E-2</v>
      </c>
      <c r="T206" s="189">
        <v>8.8489871098550807</v>
      </c>
      <c r="U206" s="189">
        <v>6.9975134505804801</v>
      </c>
      <c r="V206" s="189">
        <v>0.55841900715597803</v>
      </c>
      <c r="W206" s="189"/>
      <c r="X206" s="90"/>
      <c r="Y206" s="188"/>
      <c r="Z206" s="188"/>
      <c r="AA206" s="188"/>
      <c r="AB206" s="188"/>
      <c r="AC206" s="188"/>
      <c r="AD206" s="190"/>
      <c r="AE206" s="189"/>
    </row>
    <row r="207" spans="1:31" ht="21.25" customHeight="1" x14ac:dyDescent="0.15">
      <c r="A207" s="10" t="s">
        <v>476</v>
      </c>
      <c r="B207" s="186" t="s">
        <v>867</v>
      </c>
      <c r="C207" s="187">
        <v>30</v>
      </c>
      <c r="D207" s="186" t="s">
        <v>824</v>
      </c>
      <c r="E207" s="90">
        <v>78.474999999999994</v>
      </c>
      <c r="F207" s="188">
        <v>17.441206933082402</v>
      </c>
      <c r="G207" s="189">
        <v>0.194962295508396</v>
      </c>
      <c r="H207" s="189">
        <v>0.33688101688003802</v>
      </c>
      <c r="I207" s="189">
        <v>0.53184331238843396</v>
      </c>
      <c r="J207" s="189">
        <v>1.6892533198325601</v>
      </c>
      <c r="K207" s="189">
        <v>3.1792614040886902E-2</v>
      </c>
      <c r="L207" s="189">
        <v>6.1081249593075503E-2</v>
      </c>
      <c r="M207" s="189">
        <v>9.43668890529711E-4</v>
      </c>
      <c r="N207" s="189">
        <v>6.9315274807873603E-3</v>
      </c>
      <c r="O207" s="189">
        <v>0.69772940995593702</v>
      </c>
      <c r="P207" s="189">
        <v>0.575210115965612</v>
      </c>
      <c r="Q207" s="189">
        <v>3.2470456893291099E-3</v>
      </c>
      <c r="R207" s="189">
        <v>0.30430405924333798</v>
      </c>
      <c r="S207" s="189">
        <v>3.0810858410064802E-2</v>
      </c>
      <c r="T207" s="189">
        <v>7.60103707670081</v>
      </c>
      <c r="U207" s="189">
        <v>6.1461706762533304</v>
      </c>
      <c r="V207" s="189">
        <v>0.55291497832113701</v>
      </c>
      <c r="W207" s="189"/>
      <c r="X207" s="90"/>
      <c r="Y207" s="188"/>
      <c r="Z207" s="188"/>
      <c r="AA207" s="188"/>
      <c r="AB207" s="188"/>
      <c r="AC207" s="188"/>
      <c r="AD207" s="190"/>
      <c r="AE207" s="189"/>
    </row>
    <row r="208" spans="1:31" ht="21.25" customHeight="1" x14ac:dyDescent="0.15">
      <c r="A208" s="10" t="s">
        <v>241</v>
      </c>
      <c r="B208" s="186" t="s">
        <v>858</v>
      </c>
      <c r="C208" s="187">
        <v>25</v>
      </c>
      <c r="D208" s="186" t="s">
        <v>827</v>
      </c>
      <c r="E208" s="90">
        <v>80.527500000000003</v>
      </c>
      <c r="F208" s="188">
        <v>24.714642277716599</v>
      </c>
      <c r="G208" s="189">
        <v>0.119950359953002</v>
      </c>
      <c r="H208" s="189">
        <v>0.41042293457477302</v>
      </c>
      <c r="I208" s="189">
        <v>0.53037329452777504</v>
      </c>
      <c r="J208" s="189">
        <v>1.54824998369984</v>
      </c>
      <c r="K208" s="189">
        <v>4.4110779549961697E-2</v>
      </c>
      <c r="L208" s="189">
        <v>0.15838449480307701</v>
      </c>
      <c r="M208" s="189">
        <v>3.9049100399460898E-4</v>
      </c>
      <c r="N208" s="189">
        <v>2.0581305403773102E-3</v>
      </c>
      <c r="O208" s="189">
        <v>1.4267580455706099</v>
      </c>
      <c r="P208" s="189">
        <v>0.60890182714153196</v>
      </c>
      <c r="Q208" s="189">
        <v>6.9192244462418402E-3</v>
      </c>
      <c r="R208" s="189">
        <v>0.30284991569394298</v>
      </c>
      <c r="S208" s="189">
        <v>1.7295767668233701E-2</v>
      </c>
      <c r="T208" s="189">
        <v>0</v>
      </c>
      <c r="U208" s="189">
        <v>0</v>
      </c>
      <c r="V208" s="189">
        <v>0</v>
      </c>
      <c r="W208" s="189"/>
      <c r="X208" s="90"/>
      <c r="Y208" s="188"/>
      <c r="Z208" s="188"/>
      <c r="AA208" s="188"/>
      <c r="AB208" s="188"/>
      <c r="AC208" s="188"/>
      <c r="AD208" s="190"/>
      <c r="AE208" s="189"/>
    </row>
    <row r="209" spans="1:31" ht="21.25" customHeight="1" x14ac:dyDescent="0.15">
      <c r="A209" s="10" t="s">
        <v>543</v>
      </c>
      <c r="B209" s="186" t="s">
        <v>845</v>
      </c>
      <c r="C209" s="187">
        <v>21</v>
      </c>
      <c r="D209" s="186" t="s">
        <v>825</v>
      </c>
      <c r="E209" s="90">
        <v>77.39</v>
      </c>
      <c r="F209" s="188">
        <v>15.800339048198</v>
      </c>
      <c r="G209" s="189">
        <v>0.21079520817525299</v>
      </c>
      <c r="H209" s="189">
        <v>0.318031009318681</v>
      </c>
      <c r="I209" s="189">
        <v>0.52882621749393399</v>
      </c>
      <c r="J209" s="189">
        <v>1.58088532396721</v>
      </c>
      <c r="K209" s="189">
        <v>3.45734858217671E-2</v>
      </c>
      <c r="L209" s="189">
        <v>9.6489693470848598E-2</v>
      </c>
      <c r="M209" s="189">
        <v>1.8382280804504401E-3</v>
      </c>
      <c r="N209" s="189">
        <v>2.9845971074213499E-3</v>
      </c>
      <c r="O209" s="189">
        <v>0.52276111543996495</v>
      </c>
      <c r="P209" s="189">
        <v>1.1411818642300899</v>
      </c>
      <c r="Q209" s="189">
        <v>1.1364352670384501E-2</v>
      </c>
      <c r="R209" s="189">
        <v>0.48227966907821601</v>
      </c>
      <c r="S209" s="189">
        <v>2.8786345305497899E-2</v>
      </c>
      <c r="T209" s="189">
        <v>3.2557879761380602E-2</v>
      </c>
      <c r="U209" s="189">
        <v>6.5115759522761205E-2</v>
      </c>
      <c r="V209" s="189">
        <v>0.33333333333333298</v>
      </c>
      <c r="W209" s="189"/>
      <c r="X209" s="90"/>
      <c r="Y209" s="188"/>
      <c r="Z209" s="188"/>
      <c r="AA209" s="188"/>
      <c r="AB209" s="188"/>
      <c r="AC209" s="188"/>
      <c r="AD209" s="190"/>
      <c r="AE209" s="189"/>
    </row>
    <row r="210" spans="1:31" ht="21.25" customHeight="1" x14ac:dyDescent="0.15">
      <c r="A210" s="10" t="s">
        <v>419</v>
      </c>
      <c r="B210" s="186" t="s">
        <v>871</v>
      </c>
      <c r="C210" s="187">
        <v>27</v>
      </c>
      <c r="D210" s="186" t="s">
        <v>824</v>
      </c>
      <c r="E210" s="90">
        <v>82.792500000000004</v>
      </c>
      <c r="F210" s="188">
        <v>15.878958522180801</v>
      </c>
      <c r="G210" s="189">
        <v>0.22773028100794199</v>
      </c>
      <c r="H210" s="189">
        <v>0.300487723932023</v>
      </c>
      <c r="I210" s="189">
        <v>0.52821800493996496</v>
      </c>
      <c r="J210" s="189">
        <v>1.79424045659377</v>
      </c>
      <c r="K210" s="189">
        <v>6.5853908752291898E-2</v>
      </c>
      <c r="L210" s="189">
        <v>0.18062191862935101</v>
      </c>
      <c r="M210" s="189">
        <v>1.20410439383942E-4</v>
      </c>
      <c r="N210" s="189">
        <v>1.98357900047709E-4</v>
      </c>
      <c r="O210" s="189">
        <v>0.56450507315319898</v>
      </c>
      <c r="P210" s="189">
        <v>0.81132203127978397</v>
      </c>
      <c r="Q210" s="189">
        <v>-9.2910124204586803E-2</v>
      </c>
      <c r="R210" s="189">
        <v>0.33222988076156601</v>
      </c>
      <c r="S210" s="189">
        <v>3.2741914057320402E-2</v>
      </c>
      <c r="T210" s="189">
        <v>6.8839820976520301</v>
      </c>
      <c r="U210" s="189">
        <v>6.0755179700790602</v>
      </c>
      <c r="V210" s="189">
        <v>0.53119194889261301</v>
      </c>
      <c r="W210" s="189"/>
      <c r="X210" s="90"/>
      <c r="Y210" s="188"/>
      <c r="Z210" s="188"/>
      <c r="AA210" s="188"/>
      <c r="AB210" s="188"/>
      <c r="AC210" s="188"/>
      <c r="AD210" s="190"/>
      <c r="AE210" s="189"/>
    </row>
    <row r="211" spans="1:31" ht="21.25" customHeight="1" x14ac:dyDescent="0.15">
      <c r="A211" s="10" t="s">
        <v>501</v>
      </c>
      <c r="B211" s="186" t="s">
        <v>861</v>
      </c>
      <c r="C211" s="187">
        <v>32</v>
      </c>
      <c r="D211" s="186" t="s">
        <v>839</v>
      </c>
      <c r="E211" s="90">
        <v>79.622500000000002</v>
      </c>
      <c r="F211" s="188">
        <v>17.249922009831401</v>
      </c>
      <c r="G211" s="189">
        <v>0.14957375892305799</v>
      </c>
      <c r="H211" s="189">
        <v>0.377337079541398</v>
      </c>
      <c r="I211" s="189">
        <v>0.52691083846445597</v>
      </c>
      <c r="J211" s="189">
        <v>1.5373682718653801</v>
      </c>
      <c r="K211" s="189">
        <v>2.4052016546879398E-2</v>
      </c>
      <c r="L211" s="189">
        <v>0.120527006544802</v>
      </c>
      <c r="M211" s="189">
        <v>6.2604899300188798E-3</v>
      </c>
      <c r="N211" s="189">
        <v>1.18055667212759E-2</v>
      </c>
      <c r="O211" s="189">
        <v>0.756963936123772</v>
      </c>
      <c r="P211" s="189">
        <v>0.56797099849670096</v>
      </c>
      <c r="Q211" s="189">
        <v>-1.07314284925141E-2</v>
      </c>
      <c r="R211" s="189">
        <v>0.32145002281983798</v>
      </c>
      <c r="S211" s="189">
        <v>2.3439389969994E-2</v>
      </c>
      <c r="T211" s="189">
        <v>6.9433433175685497</v>
      </c>
      <c r="U211" s="189">
        <v>6.1778131879995</v>
      </c>
      <c r="V211" s="189">
        <v>0.52917159509697898</v>
      </c>
      <c r="W211" s="189"/>
      <c r="X211" s="90"/>
      <c r="Y211" s="188"/>
      <c r="Z211" s="188"/>
      <c r="AA211" s="188"/>
      <c r="AB211" s="188"/>
      <c r="AC211" s="188"/>
      <c r="AD211" s="190"/>
      <c r="AE211" s="189"/>
    </row>
    <row r="212" spans="1:31" ht="21.25" customHeight="1" x14ac:dyDescent="0.15">
      <c r="A212" s="10" t="s">
        <v>573</v>
      </c>
      <c r="B212" s="186" t="s">
        <v>841</v>
      </c>
      <c r="C212" s="187">
        <v>27</v>
      </c>
      <c r="D212" s="186" t="s">
        <v>839</v>
      </c>
      <c r="E212" s="90">
        <v>81.739999999999995</v>
      </c>
      <c r="F212" s="188">
        <v>15.070809329221101</v>
      </c>
      <c r="G212" s="189">
        <v>0.18852337169029401</v>
      </c>
      <c r="H212" s="189">
        <v>0.33536716520271098</v>
      </c>
      <c r="I212" s="189">
        <v>0.52389053689300502</v>
      </c>
      <c r="J212" s="189">
        <v>1.2042060175813201</v>
      </c>
      <c r="K212" s="189">
        <v>2.7651929483413398E-2</v>
      </c>
      <c r="L212" s="189">
        <v>9.6218184729378806E-2</v>
      </c>
      <c r="M212" s="189">
        <v>8.1714360040227094E-5</v>
      </c>
      <c r="N212" s="189">
        <v>1.3524514587530501E-4</v>
      </c>
      <c r="O212" s="189">
        <v>0.346700592650941</v>
      </c>
      <c r="P212" s="189">
        <v>0.41469849860980401</v>
      </c>
      <c r="Q212" s="189">
        <v>-2.0207302576476099E-2</v>
      </c>
      <c r="R212" s="189">
        <v>0.27431380013222101</v>
      </c>
      <c r="S212" s="189">
        <v>2.53793331130556E-2</v>
      </c>
      <c r="T212" s="189">
        <v>2.6633166485970898</v>
      </c>
      <c r="U212" s="189">
        <v>3.0268141383512499</v>
      </c>
      <c r="V212" s="189">
        <v>0.46805895124696201</v>
      </c>
      <c r="W212" s="189"/>
      <c r="X212" s="90"/>
      <c r="Y212" s="188"/>
      <c r="Z212" s="188"/>
      <c r="AA212" s="188"/>
      <c r="AB212" s="188"/>
      <c r="AC212" s="188"/>
      <c r="AD212" s="190"/>
      <c r="AE212" s="189"/>
    </row>
    <row r="213" spans="1:31" ht="21.25" customHeight="1" x14ac:dyDescent="0.15">
      <c r="A213" s="10" t="s">
        <v>250</v>
      </c>
      <c r="B213" s="186" t="s">
        <v>840</v>
      </c>
      <c r="C213" s="187">
        <v>35</v>
      </c>
      <c r="D213" s="186" t="s">
        <v>827</v>
      </c>
      <c r="E213" s="90">
        <v>83.204999999999998</v>
      </c>
      <c r="F213" s="188">
        <v>22.643240774434702</v>
      </c>
      <c r="G213" s="189">
        <v>6.8944383599403594E-2</v>
      </c>
      <c r="H213" s="189">
        <v>0.45494997360169398</v>
      </c>
      <c r="I213" s="189">
        <v>0.523894357201098</v>
      </c>
      <c r="J213" s="189">
        <v>1.4165736299448799</v>
      </c>
      <c r="K213" s="189">
        <v>1.3944392030609201E-2</v>
      </c>
      <c r="L213" s="189">
        <v>0.22910312652968801</v>
      </c>
      <c r="M213" s="189">
        <v>2.55469332388641E-4</v>
      </c>
      <c r="N213" s="189">
        <v>9.5382901439427104E-4</v>
      </c>
      <c r="O213" s="189">
        <v>1.07849263742965</v>
      </c>
      <c r="P213" s="189">
        <v>1.4437197455883199</v>
      </c>
      <c r="Q213" s="189">
        <v>-4.072423448846E-2</v>
      </c>
      <c r="R213" s="189">
        <v>0.51447102002850098</v>
      </c>
      <c r="S213" s="189">
        <v>9.6404613394293608E-3</v>
      </c>
      <c r="T213" s="189">
        <v>0</v>
      </c>
      <c r="U213" s="189">
        <v>0</v>
      </c>
      <c r="V213" s="189">
        <v>0</v>
      </c>
      <c r="W213" s="189"/>
      <c r="X213" s="90"/>
      <c r="Y213" s="188"/>
      <c r="Z213" s="188"/>
      <c r="AA213" s="188"/>
      <c r="AB213" s="188"/>
      <c r="AC213" s="188"/>
      <c r="AD213" s="190"/>
      <c r="AE213" s="189"/>
    </row>
    <row r="214" spans="1:31" ht="21.25" customHeight="1" x14ac:dyDescent="0.15">
      <c r="A214" s="10" t="s">
        <v>548</v>
      </c>
      <c r="B214" s="186" t="s">
        <v>862</v>
      </c>
      <c r="C214" s="187">
        <v>22</v>
      </c>
      <c r="D214" s="186" t="s">
        <v>824</v>
      </c>
      <c r="E214" s="90">
        <v>66.655000000000001</v>
      </c>
      <c r="F214" s="188">
        <v>16.1621125201601</v>
      </c>
      <c r="G214" s="189">
        <v>0.27698495922554101</v>
      </c>
      <c r="H214" s="189">
        <v>0.243644224593909</v>
      </c>
      <c r="I214" s="189">
        <v>0.52062918381945</v>
      </c>
      <c r="J214" s="189">
        <v>2.0554539088723698</v>
      </c>
      <c r="K214" s="189">
        <v>1.56605555236249E-2</v>
      </c>
      <c r="L214" s="189">
        <v>3.9639746215224703E-2</v>
      </c>
      <c r="M214" s="189">
        <v>9.0979706783542904E-5</v>
      </c>
      <c r="N214" s="189">
        <v>1.5044269944361599E-4</v>
      </c>
      <c r="O214" s="189">
        <v>0.66973064938408899</v>
      </c>
      <c r="P214" s="189">
        <v>0.78501977204023299</v>
      </c>
      <c r="Q214" s="189">
        <v>1.0671141990032501E-2</v>
      </c>
      <c r="R214" s="189">
        <v>0.35545161335235398</v>
      </c>
      <c r="S214" s="189">
        <v>4.17610168007349E-2</v>
      </c>
      <c r="T214" s="189">
        <v>5.1317491394698198</v>
      </c>
      <c r="U214" s="189">
        <v>6.4433650932987598</v>
      </c>
      <c r="V214" s="189">
        <v>0.44334328251742799</v>
      </c>
      <c r="W214" s="189"/>
      <c r="X214" s="90"/>
      <c r="Y214" s="188"/>
      <c r="Z214" s="188"/>
      <c r="AA214" s="188"/>
      <c r="AB214" s="188"/>
      <c r="AC214" s="188"/>
      <c r="AD214" s="190"/>
      <c r="AE214" s="189"/>
    </row>
    <row r="215" spans="1:31" ht="21.25" customHeight="1" x14ac:dyDescent="0.15">
      <c r="A215" s="10" t="s">
        <v>531</v>
      </c>
      <c r="B215" s="186" t="s">
        <v>858</v>
      </c>
      <c r="C215" s="187">
        <v>24</v>
      </c>
      <c r="D215" s="186" t="s">
        <v>848</v>
      </c>
      <c r="E215" s="90">
        <v>81.222499999999997</v>
      </c>
      <c r="F215" s="188">
        <v>14.490044264492401</v>
      </c>
      <c r="G215" s="189">
        <v>0.23667675946425301</v>
      </c>
      <c r="H215" s="189">
        <v>0.28169354712019701</v>
      </c>
      <c r="I215" s="189">
        <v>0.51837030658445005</v>
      </c>
      <c r="J215" s="189">
        <v>1.34909081877909</v>
      </c>
      <c r="K215" s="189">
        <v>4.0262175059534402E-2</v>
      </c>
      <c r="L215" s="189">
        <v>0.11744262019245801</v>
      </c>
      <c r="M215" s="189">
        <v>1.8472944838606801E-4</v>
      </c>
      <c r="N215" s="189">
        <v>3.0306913858821501E-4</v>
      </c>
      <c r="O215" s="189">
        <v>0.53228151983824601</v>
      </c>
      <c r="P215" s="189">
        <v>1.8893191811583201</v>
      </c>
      <c r="Q215" s="189">
        <v>-1.1659044205210099E-2</v>
      </c>
      <c r="R215" s="189">
        <v>0.47547871918447498</v>
      </c>
      <c r="S215" s="189">
        <v>3.4126669113523501E-2</v>
      </c>
      <c r="T215" s="189">
        <v>8.79865698439527E-2</v>
      </c>
      <c r="U215" s="189">
        <v>0.186125074724805</v>
      </c>
      <c r="V215" s="189">
        <v>0.32098807762208098</v>
      </c>
      <c r="W215" s="189"/>
      <c r="X215" s="90"/>
      <c r="Y215" s="188"/>
      <c r="Z215" s="188"/>
      <c r="AA215" s="188"/>
      <c r="AB215" s="188"/>
      <c r="AC215" s="188"/>
      <c r="AD215" s="190"/>
      <c r="AE215" s="189"/>
    </row>
    <row r="216" spans="1:31" ht="21.25" customHeight="1" x14ac:dyDescent="0.15">
      <c r="A216" s="10" t="s">
        <v>492</v>
      </c>
      <c r="B216" s="186" t="s">
        <v>870</v>
      </c>
      <c r="C216" s="187">
        <v>22</v>
      </c>
      <c r="D216" s="186" t="s">
        <v>846</v>
      </c>
      <c r="E216" s="90">
        <v>80.997500000000002</v>
      </c>
      <c r="F216" s="188">
        <v>15.0134772847598</v>
      </c>
      <c r="G216" s="189">
        <v>0.22481599907835301</v>
      </c>
      <c r="H216" s="189">
        <v>0.29198619543339599</v>
      </c>
      <c r="I216" s="189">
        <v>0.51680219451174902</v>
      </c>
      <c r="J216" s="189">
        <v>1.45210684628329</v>
      </c>
      <c r="K216" s="189">
        <v>5.3317766549944502E-2</v>
      </c>
      <c r="L216" s="189">
        <v>0.121393795322356</v>
      </c>
      <c r="M216" s="189">
        <v>1.6678538713538801E-4</v>
      </c>
      <c r="N216" s="189">
        <v>2.7280354444358203E-4</v>
      </c>
      <c r="O216" s="189">
        <v>0.792451360918772</v>
      </c>
      <c r="P216" s="189">
        <v>0.79981578740594605</v>
      </c>
      <c r="Q216" s="189">
        <v>-6.3749638171332404E-2</v>
      </c>
      <c r="R216" s="189">
        <v>0.233636918133663</v>
      </c>
      <c r="S216" s="189">
        <v>3.0974065794464E-2</v>
      </c>
      <c r="T216" s="189">
        <v>3.6516565374796199</v>
      </c>
      <c r="U216" s="189">
        <v>5.0068085843589998</v>
      </c>
      <c r="V216" s="189">
        <v>0.42174409506707</v>
      </c>
      <c r="W216" s="189"/>
      <c r="X216" s="90"/>
      <c r="Y216" s="189"/>
      <c r="Z216" s="189"/>
      <c r="AA216" s="189"/>
      <c r="AB216" s="189"/>
      <c r="AC216" s="188"/>
      <c r="AD216" s="190"/>
      <c r="AE216" s="189"/>
    </row>
    <row r="217" spans="1:31" ht="21.25" customHeight="1" x14ac:dyDescent="0.15">
      <c r="A217" s="10" t="s">
        <v>234</v>
      </c>
      <c r="B217" s="186" t="s">
        <v>863</v>
      </c>
      <c r="C217" s="187">
        <v>29</v>
      </c>
      <c r="D217" s="186" t="s">
        <v>827</v>
      </c>
      <c r="E217" s="90">
        <v>76.217500000000001</v>
      </c>
      <c r="F217" s="188">
        <v>21.995708923700199</v>
      </c>
      <c r="G217" s="189">
        <v>0.118629722560559</v>
      </c>
      <c r="H217" s="189">
        <v>0.39797904408302798</v>
      </c>
      <c r="I217" s="189">
        <v>0.51660876664358701</v>
      </c>
      <c r="J217" s="189">
        <v>1.8477574328551101</v>
      </c>
      <c r="K217" s="189">
        <v>2.0063048091528399E-2</v>
      </c>
      <c r="L217" s="189">
        <v>0.103966227420817</v>
      </c>
      <c r="M217" s="189">
        <v>5.7603575557809202E-3</v>
      </c>
      <c r="N217" s="189">
        <v>1.21659416468488E-2</v>
      </c>
      <c r="O217" s="189">
        <v>1.76352469576133</v>
      </c>
      <c r="P217" s="189">
        <v>0.75119492300173896</v>
      </c>
      <c r="Q217" s="189">
        <v>3.3252936446757399E-2</v>
      </c>
      <c r="R217" s="189">
        <v>0.39323664222219701</v>
      </c>
      <c r="S217" s="189">
        <v>2.10431545487678E-2</v>
      </c>
      <c r="T217" s="189">
        <v>0</v>
      </c>
      <c r="U217" s="189">
        <v>0</v>
      </c>
      <c r="V217" s="189">
        <v>0</v>
      </c>
      <c r="W217" s="189"/>
      <c r="X217" s="90"/>
      <c r="Y217" s="188"/>
      <c r="Z217" s="188"/>
      <c r="AA217" s="188"/>
      <c r="AB217" s="188"/>
      <c r="AC217" s="188"/>
      <c r="AD217" s="190"/>
      <c r="AE217" s="189"/>
    </row>
    <row r="218" spans="1:31" ht="21.25" customHeight="1" x14ac:dyDescent="0.15">
      <c r="A218" s="10" t="s">
        <v>415</v>
      </c>
      <c r="B218" s="186" t="s">
        <v>849</v>
      </c>
      <c r="C218" s="187">
        <v>24</v>
      </c>
      <c r="D218" s="186" t="s">
        <v>852</v>
      </c>
      <c r="E218" s="90">
        <v>83.242500000000007</v>
      </c>
      <c r="F218" s="188">
        <v>16.608543082833901</v>
      </c>
      <c r="G218" s="189">
        <v>0.23862968114052599</v>
      </c>
      <c r="H218" s="189">
        <v>0.27442552141641902</v>
      </c>
      <c r="I218" s="189">
        <v>0.51305520255694503</v>
      </c>
      <c r="J218" s="189">
        <v>2.2982287002102502</v>
      </c>
      <c r="K218" s="189">
        <v>2.58889668419637E-2</v>
      </c>
      <c r="L218" s="189">
        <v>6.2365509635859899E-2</v>
      </c>
      <c r="M218" s="189">
        <v>1.8480331910753399E-2</v>
      </c>
      <c r="N218" s="189">
        <v>1.9785691586619299E-2</v>
      </c>
      <c r="O218" s="189">
        <v>0.54440153523401102</v>
      </c>
      <c r="P218" s="189">
        <v>2.2837660584165902</v>
      </c>
      <c r="Q218" s="189">
        <v>1.1573328064724799E-2</v>
      </c>
      <c r="R218" s="189">
        <v>0.33764449017868903</v>
      </c>
      <c r="S218" s="189">
        <v>3.7694937650535901E-2</v>
      </c>
      <c r="T218" s="189">
        <v>1.76110603649164</v>
      </c>
      <c r="U218" s="189">
        <v>2.3471598471085899</v>
      </c>
      <c r="V218" s="189">
        <v>0.42867382160482698</v>
      </c>
      <c r="W218" s="189"/>
      <c r="X218" s="90"/>
      <c r="Y218" s="188"/>
      <c r="Z218" s="188"/>
      <c r="AA218" s="188"/>
      <c r="AB218" s="188"/>
      <c r="AC218" s="188"/>
      <c r="AD218" s="190"/>
      <c r="AE218" s="189"/>
    </row>
    <row r="219" spans="1:31" ht="21.25" customHeight="1" x14ac:dyDescent="0.15">
      <c r="A219" s="10" t="s">
        <v>544</v>
      </c>
      <c r="B219" s="186" t="s">
        <v>855</v>
      </c>
      <c r="C219" s="187">
        <v>29</v>
      </c>
      <c r="D219" s="186" t="s">
        <v>839</v>
      </c>
      <c r="E219" s="90">
        <v>79.08</v>
      </c>
      <c r="F219" s="188">
        <v>14.500131352324701</v>
      </c>
      <c r="G219" s="189">
        <v>0.21727308133130799</v>
      </c>
      <c r="H219" s="189">
        <v>0.29483696274346199</v>
      </c>
      <c r="I219" s="189">
        <v>0.51211004407477001</v>
      </c>
      <c r="J219" s="189">
        <v>1.6488695997838201</v>
      </c>
      <c r="K219" s="189">
        <v>5.0401934072381298E-2</v>
      </c>
      <c r="L219" s="189">
        <v>9.7366243065654098E-2</v>
      </c>
      <c r="M219" s="189">
        <v>4.8506278783515898E-5</v>
      </c>
      <c r="N219" s="189">
        <v>7.9190446064341001E-5</v>
      </c>
      <c r="O219" s="189">
        <v>0.441232510888595</v>
      </c>
      <c r="P219" s="189">
        <v>0.25945028476118998</v>
      </c>
      <c r="Q219" s="189">
        <v>1.77212850436827E-2</v>
      </c>
      <c r="R219" s="189">
        <v>0.237567098937468</v>
      </c>
      <c r="S219" s="189">
        <v>3.1501835585357102E-2</v>
      </c>
      <c r="T219" s="189">
        <v>2.6442722366717901</v>
      </c>
      <c r="U219" s="189">
        <v>3.5543373989539999</v>
      </c>
      <c r="V219" s="189">
        <v>0.426591186106339</v>
      </c>
      <c r="W219" s="189"/>
      <c r="X219" s="90"/>
      <c r="Y219" s="188"/>
      <c r="Z219" s="188"/>
      <c r="AA219" s="188"/>
      <c r="AB219" s="188"/>
      <c r="AC219" s="188"/>
      <c r="AD219" s="190"/>
      <c r="AE219" s="189"/>
    </row>
    <row r="220" spans="1:31" ht="21.25" customHeight="1" x14ac:dyDescent="0.15">
      <c r="A220" s="10" t="s">
        <v>585</v>
      </c>
      <c r="B220" s="186" t="s">
        <v>847</v>
      </c>
      <c r="C220" s="187">
        <v>37</v>
      </c>
      <c r="D220" s="186" t="s">
        <v>852</v>
      </c>
      <c r="E220" s="90">
        <v>79.849999999999994</v>
      </c>
      <c r="F220" s="188">
        <v>12.4986425247547</v>
      </c>
      <c r="G220" s="189">
        <v>0.18847578493655801</v>
      </c>
      <c r="H220" s="189">
        <v>0.29635218212449499</v>
      </c>
      <c r="I220" s="189">
        <v>0.48482796706105302</v>
      </c>
      <c r="J220" s="189">
        <v>1.2869965433061601</v>
      </c>
      <c r="K220" s="189">
        <v>2.20986015281593E-2</v>
      </c>
      <c r="L220" s="189">
        <v>7.9262190270037405E-2</v>
      </c>
      <c r="M220" s="189">
        <v>0</v>
      </c>
      <c r="N220" s="189">
        <v>0</v>
      </c>
      <c r="O220" s="189">
        <v>0.42733171920392998</v>
      </c>
      <c r="P220" s="189">
        <v>1.3224969859070499</v>
      </c>
      <c r="Q220" s="189">
        <v>6.9606181355513497E-2</v>
      </c>
      <c r="R220" s="189">
        <v>0.70703276717396801</v>
      </c>
      <c r="S220" s="189">
        <v>3.18755511730354E-2</v>
      </c>
      <c r="T220" s="189">
        <v>1.8820405699081799</v>
      </c>
      <c r="U220" s="189">
        <v>1.53357815054265</v>
      </c>
      <c r="V220" s="189">
        <v>0.55101014602114895</v>
      </c>
      <c r="W220" s="189"/>
      <c r="X220" s="90"/>
      <c r="Y220" s="188"/>
      <c r="Z220" s="188"/>
      <c r="AA220" s="188"/>
      <c r="AB220" s="188"/>
      <c r="AC220" s="188"/>
      <c r="AD220" s="190"/>
      <c r="AE220" s="189"/>
    </row>
    <row r="221" spans="1:31" ht="21.25" customHeight="1" x14ac:dyDescent="0.15">
      <c r="A221" s="10" t="s">
        <v>506</v>
      </c>
      <c r="B221" s="186" t="s">
        <v>857</v>
      </c>
      <c r="C221" s="187">
        <v>31</v>
      </c>
      <c r="D221" s="186" t="s">
        <v>824</v>
      </c>
      <c r="E221" s="90">
        <v>79.569999999999993</v>
      </c>
      <c r="F221" s="188">
        <v>15.6897659587879</v>
      </c>
      <c r="G221" s="189">
        <v>0.18645714256085799</v>
      </c>
      <c r="H221" s="189">
        <v>0.32033513825901599</v>
      </c>
      <c r="I221" s="189">
        <v>0.50679228081987404</v>
      </c>
      <c r="J221" s="189">
        <v>1.6032779136186399</v>
      </c>
      <c r="K221" s="189">
        <v>3.08668167706714E-2</v>
      </c>
      <c r="L221" s="189">
        <v>0.100659507612209</v>
      </c>
      <c r="M221" s="189">
        <v>1.72087537968202E-2</v>
      </c>
      <c r="N221" s="189">
        <v>2.9323787169689499E-2</v>
      </c>
      <c r="O221" s="189">
        <v>0.46367369297754102</v>
      </c>
      <c r="P221" s="189">
        <v>0.58517376926806297</v>
      </c>
      <c r="Q221" s="189">
        <v>3.75077530229318E-2</v>
      </c>
      <c r="R221" s="189">
        <v>0.21836587556877901</v>
      </c>
      <c r="S221" s="189">
        <v>3.0045934531034001E-2</v>
      </c>
      <c r="T221" s="189">
        <v>7.7311022228507698</v>
      </c>
      <c r="U221" s="189">
        <v>6.8353083632246197</v>
      </c>
      <c r="V221" s="189">
        <v>0.530748613542532</v>
      </c>
      <c r="W221" s="189"/>
      <c r="X221" s="90"/>
      <c r="Y221" s="188"/>
      <c r="Z221" s="188"/>
      <c r="AA221" s="188"/>
      <c r="AB221" s="188"/>
      <c r="AC221" s="188"/>
      <c r="AD221" s="190"/>
      <c r="AE221" s="189"/>
    </row>
    <row r="222" spans="1:31" ht="21.25" customHeight="1" x14ac:dyDescent="0.15">
      <c r="A222" s="10" t="s">
        <v>497</v>
      </c>
      <c r="B222" s="186" t="s">
        <v>865</v>
      </c>
      <c r="C222" s="187">
        <v>35</v>
      </c>
      <c r="D222" s="186" t="s">
        <v>848</v>
      </c>
      <c r="E222" s="90">
        <v>79.930000000000007</v>
      </c>
      <c r="F222" s="188">
        <v>15.413712890181801</v>
      </c>
      <c r="G222" s="189">
        <v>0.209933358907583</v>
      </c>
      <c r="H222" s="189">
        <v>0.29207277767838002</v>
      </c>
      <c r="I222" s="189">
        <v>0.50200613658596305</v>
      </c>
      <c r="J222" s="189">
        <v>2.1119977096255398</v>
      </c>
      <c r="K222" s="189">
        <v>4.7990465074211501E-2</v>
      </c>
      <c r="L222" s="189">
        <v>0.140963938905737</v>
      </c>
      <c r="M222" s="189">
        <v>1.21732648800086E-5</v>
      </c>
      <c r="N222" s="189">
        <v>2.03069881143423E-5</v>
      </c>
      <c r="O222" s="189">
        <v>0.22644785285307201</v>
      </c>
      <c r="P222" s="189">
        <v>1.03807683883798</v>
      </c>
      <c r="Q222" s="189">
        <v>-5.62329569212199E-2</v>
      </c>
      <c r="R222" s="189">
        <v>0.37406465761737301</v>
      </c>
      <c r="S222" s="189">
        <v>2.9081022020851399E-2</v>
      </c>
      <c r="T222" s="189">
        <v>0.17482721807586099</v>
      </c>
      <c r="U222" s="189">
        <v>0.40069562743335402</v>
      </c>
      <c r="V222" s="189">
        <v>0.303771117758455</v>
      </c>
      <c r="W222" s="189"/>
      <c r="X222" s="90"/>
      <c r="Y222" s="188"/>
      <c r="Z222" s="188"/>
      <c r="AA222" s="188"/>
      <c r="AB222" s="188"/>
      <c r="AC222" s="188"/>
      <c r="AD222" s="190"/>
      <c r="AE222" s="189"/>
    </row>
    <row r="223" spans="1:31" ht="21.25" customHeight="1" x14ac:dyDescent="0.15">
      <c r="A223" s="10" t="s">
        <v>256</v>
      </c>
      <c r="B223" s="186" t="s">
        <v>871</v>
      </c>
      <c r="C223" s="187">
        <v>22</v>
      </c>
      <c r="D223" s="186" t="s">
        <v>827</v>
      </c>
      <c r="E223" s="90">
        <v>71.782499999999999</v>
      </c>
      <c r="F223" s="188">
        <v>23.598076362117698</v>
      </c>
      <c r="G223" s="189">
        <v>0.15497221313970899</v>
      </c>
      <c r="H223" s="189">
        <v>0.34641357180267102</v>
      </c>
      <c r="I223" s="189">
        <v>0.50138578494237995</v>
      </c>
      <c r="J223" s="189">
        <v>1.9018927518614099</v>
      </c>
      <c r="K223" s="189">
        <v>2.6756544152796002E-2</v>
      </c>
      <c r="L223" s="189">
        <v>0.12995948314209399</v>
      </c>
      <c r="M223" s="189">
        <v>2.5251466277331102E-4</v>
      </c>
      <c r="N223" s="189">
        <v>8.6738178656614205E-4</v>
      </c>
      <c r="O223" s="189">
        <v>1.65471688604876</v>
      </c>
      <c r="P223" s="189">
        <v>0.46287196550111498</v>
      </c>
      <c r="Q223" s="189">
        <v>-0.117173936008591</v>
      </c>
      <c r="R223" s="189">
        <v>0.56100985613795795</v>
      </c>
      <c r="S223" s="189">
        <v>2.2281125116234E-2</v>
      </c>
      <c r="T223" s="189">
        <v>0</v>
      </c>
      <c r="U223" s="189">
        <v>0</v>
      </c>
      <c r="V223" s="189">
        <v>0</v>
      </c>
      <c r="W223" s="189"/>
      <c r="X223" s="90"/>
      <c r="Y223" s="188"/>
      <c r="Z223" s="188"/>
      <c r="AA223" s="188"/>
      <c r="AB223" s="188"/>
      <c r="AC223" s="188"/>
      <c r="AD223" s="190"/>
      <c r="AE223" s="189"/>
    </row>
    <row r="224" spans="1:31" ht="21.25" customHeight="1" x14ac:dyDescent="0.15">
      <c r="A224" s="10" t="s">
        <v>592</v>
      </c>
      <c r="B224" s="186" t="s">
        <v>866</v>
      </c>
      <c r="C224" s="187">
        <v>25</v>
      </c>
      <c r="D224" s="186" t="s">
        <v>848</v>
      </c>
      <c r="E224" s="90">
        <v>78.364999999999995</v>
      </c>
      <c r="F224" s="188">
        <v>14.2639334504359</v>
      </c>
      <c r="G224" s="189">
        <v>0.18472047992499799</v>
      </c>
      <c r="H224" s="189">
        <v>0.31476061456493198</v>
      </c>
      <c r="I224" s="189">
        <v>0.49948109448993</v>
      </c>
      <c r="J224" s="189">
        <v>1.3846367557467401</v>
      </c>
      <c r="K224" s="189">
        <v>2.0543362165043499E-2</v>
      </c>
      <c r="L224" s="189">
        <v>8.3457528908518694E-2</v>
      </c>
      <c r="M224" s="189">
        <v>0</v>
      </c>
      <c r="N224" s="189">
        <v>0</v>
      </c>
      <c r="O224" s="189">
        <v>0.25958018108533198</v>
      </c>
      <c r="P224" s="189">
        <v>0.40380977140944002</v>
      </c>
      <c r="Q224" s="189">
        <v>-3.5771984579460701E-2</v>
      </c>
      <c r="R224" s="189">
        <v>0.204474809238823</v>
      </c>
      <c r="S224" s="189">
        <v>2.6976851061731699E-2</v>
      </c>
      <c r="T224" s="189">
        <v>5.3456194971195997E-2</v>
      </c>
      <c r="U224" s="189">
        <v>7.0944006301630599E-2</v>
      </c>
      <c r="V224" s="189">
        <v>0.42971148297388401</v>
      </c>
      <c r="W224" s="189"/>
      <c r="X224" s="90"/>
      <c r="Y224" s="188"/>
      <c r="Z224" s="188"/>
      <c r="AA224" s="188"/>
      <c r="AB224" s="188"/>
      <c r="AC224" s="188"/>
      <c r="AD224" s="190"/>
      <c r="AE224" s="189"/>
    </row>
    <row r="225" spans="1:31" ht="21.25" customHeight="1" x14ac:dyDescent="0.15">
      <c r="A225" s="10" t="s">
        <v>232</v>
      </c>
      <c r="B225" s="186" t="s">
        <v>862</v>
      </c>
      <c r="C225" s="187">
        <v>23</v>
      </c>
      <c r="D225" s="186" t="s">
        <v>827</v>
      </c>
      <c r="E225" s="90">
        <v>82.84</v>
      </c>
      <c r="F225" s="188">
        <v>23.895102615845701</v>
      </c>
      <c r="G225" s="189">
        <v>0.114360572952727</v>
      </c>
      <c r="H225" s="189">
        <v>0.383466108034141</v>
      </c>
      <c r="I225" s="189">
        <v>0.497826680986868</v>
      </c>
      <c r="J225" s="189">
        <v>1.7646893815431799</v>
      </c>
      <c r="K225" s="189">
        <v>6.59269406550174E-3</v>
      </c>
      <c r="L225" s="189">
        <v>5.5063172167071697E-2</v>
      </c>
      <c r="M225" s="189">
        <v>3.3692876907724298E-4</v>
      </c>
      <c r="N225" s="189">
        <v>1.7885592692942699E-2</v>
      </c>
      <c r="O225" s="189">
        <v>1.4242627281184499</v>
      </c>
      <c r="P225" s="189">
        <v>0.486975312346626</v>
      </c>
      <c r="Q225" s="189">
        <v>9.7292504463984304E-3</v>
      </c>
      <c r="R225" s="189">
        <v>0.293640718618846</v>
      </c>
      <c r="S225" s="189">
        <v>1.7242141312560199E-2</v>
      </c>
      <c r="T225" s="189">
        <v>0</v>
      </c>
      <c r="U225" s="189">
        <v>0</v>
      </c>
      <c r="V225" s="189">
        <v>0</v>
      </c>
      <c r="W225" s="189"/>
      <c r="X225" s="90"/>
      <c r="Y225" s="188"/>
      <c r="Z225" s="188"/>
      <c r="AA225" s="188"/>
      <c r="AB225" s="188"/>
      <c r="AC225" s="188"/>
      <c r="AD225" s="190"/>
      <c r="AE225" s="189"/>
    </row>
    <row r="226" spans="1:31" ht="21.25" customHeight="1" x14ac:dyDescent="0.15">
      <c r="A226" s="10" t="s">
        <v>499</v>
      </c>
      <c r="B226" s="186" t="s">
        <v>840</v>
      </c>
      <c r="C226" s="187">
        <v>34</v>
      </c>
      <c r="D226" s="186" t="s">
        <v>848</v>
      </c>
      <c r="E226" s="90">
        <v>82.647499999999994</v>
      </c>
      <c r="F226" s="188">
        <v>13.538540029963899</v>
      </c>
      <c r="G226" s="189">
        <v>0.24019154425329101</v>
      </c>
      <c r="H226" s="189">
        <v>0.255379066102639</v>
      </c>
      <c r="I226" s="189">
        <v>0.49557061035592997</v>
      </c>
      <c r="J226" s="189">
        <v>1.92975615452319</v>
      </c>
      <c r="K226" s="189">
        <v>3.8322123869825302E-2</v>
      </c>
      <c r="L226" s="189">
        <v>8.8085486821941797E-2</v>
      </c>
      <c r="M226" s="189">
        <v>1.9805502167573001E-5</v>
      </c>
      <c r="N226" s="189">
        <v>3.1998216274818503E-5</v>
      </c>
      <c r="O226" s="189">
        <v>0.365188360081109</v>
      </c>
      <c r="P226" s="189">
        <v>0.665402768288618</v>
      </c>
      <c r="Q226" s="189">
        <v>-2.6617357179255199E-2</v>
      </c>
      <c r="R226" s="189">
        <v>0.17133044168896</v>
      </c>
      <c r="S226" s="189">
        <v>3.3585872779515497E-2</v>
      </c>
      <c r="T226" s="189">
        <v>0.128911396468915</v>
      </c>
      <c r="U226" s="189">
        <v>0.19625396829925201</v>
      </c>
      <c r="V226" s="189">
        <v>0.39644873174246098</v>
      </c>
      <c r="W226" s="189"/>
      <c r="X226" s="90"/>
      <c r="Y226" s="188"/>
      <c r="Z226" s="188"/>
      <c r="AA226" s="188"/>
      <c r="AB226" s="188"/>
      <c r="AC226" s="188"/>
      <c r="AD226" s="190"/>
      <c r="AE226" s="189"/>
    </row>
    <row r="227" spans="1:31" ht="21.25" customHeight="1" x14ac:dyDescent="0.15">
      <c r="A227" s="10" t="s">
        <v>558</v>
      </c>
      <c r="B227" s="186" t="s">
        <v>862</v>
      </c>
      <c r="C227" s="187">
        <v>22</v>
      </c>
      <c r="D227" s="186" t="s">
        <v>824</v>
      </c>
      <c r="E227" s="90">
        <v>74.900000000000006</v>
      </c>
      <c r="F227" s="188">
        <v>16.0967375810711</v>
      </c>
      <c r="G227" s="189">
        <v>0.203813173039326</v>
      </c>
      <c r="H227" s="189">
        <v>0.28819111094539801</v>
      </c>
      <c r="I227" s="189">
        <v>0.49200428398472401</v>
      </c>
      <c r="J227" s="189">
        <v>1.2669811762822101</v>
      </c>
      <c r="K227" s="189">
        <v>3.4178239430348499E-2</v>
      </c>
      <c r="L227" s="189">
        <v>9.7044201985527101E-2</v>
      </c>
      <c r="M227" s="189">
        <v>7.84501428054569E-3</v>
      </c>
      <c r="N227" s="189">
        <v>1.29642073537297E-2</v>
      </c>
      <c r="O227" s="189">
        <v>0.69670600557717599</v>
      </c>
      <c r="P227" s="189">
        <v>0.33014362401469499</v>
      </c>
      <c r="Q227" s="189">
        <v>2.9806929046233499E-2</v>
      </c>
      <c r="R227" s="189">
        <v>0.32525417320699701</v>
      </c>
      <c r="S227" s="189">
        <v>3.0728908050836602E-2</v>
      </c>
      <c r="T227" s="189">
        <v>1.664557289482</v>
      </c>
      <c r="U227" s="189">
        <v>3.5573664695682998</v>
      </c>
      <c r="V227" s="189">
        <v>0.318763231002194</v>
      </c>
      <c r="W227" s="189"/>
      <c r="X227" s="90"/>
      <c r="Y227" s="188"/>
      <c r="Z227" s="188"/>
      <c r="AA227" s="188"/>
      <c r="AB227" s="188"/>
      <c r="AC227" s="188"/>
      <c r="AD227" s="190"/>
      <c r="AE227" s="189"/>
    </row>
    <row r="228" spans="1:31" ht="21.25" customHeight="1" x14ac:dyDescent="0.15">
      <c r="A228" s="10" t="s">
        <v>472</v>
      </c>
      <c r="B228" s="186" t="s">
        <v>842</v>
      </c>
      <c r="C228" s="187">
        <v>24</v>
      </c>
      <c r="D228" s="186" t="s">
        <v>846</v>
      </c>
      <c r="E228" s="90">
        <v>84.03</v>
      </c>
      <c r="F228" s="188">
        <v>17.824040936512301</v>
      </c>
      <c r="G228" s="189">
        <v>0.24110040129230001</v>
      </c>
      <c r="H228" s="189">
        <v>0.24868475243764501</v>
      </c>
      <c r="I228" s="189">
        <v>0.48978515372994502</v>
      </c>
      <c r="J228" s="189">
        <v>1.8362102228011099</v>
      </c>
      <c r="K228" s="189">
        <v>4.4593054735207603E-2</v>
      </c>
      <c r="L228" s="189">
        <v>7.9578610633654095E-2</v>
      </c>
      <c r="M228" s="189">
        <v>1.6451721436156801E-2</v>
      </c>
      <c r="N228" s="189">
        <v>1.76360099433127E-2</v>
      </c>
      <c r="O228" s="189">
        <v>0.60862536704339998</v>
      </c>
      <c r="P228" s="189">
        <v>0.49478505049008698</v>
      </c>
      <c r="Q228" s="189">
        <v>-7.91505170180405E-4</v>
      </c>
      <c r="R228" s="189">
        <v>0.27657936282022899</v>
      </c>
      <c r="S228" s="189">
        <v>3.6036268454389002E-2</v>
      </c>
      <c r="T228" s="189">
        <v>1.37662165798494</v>
      </c>
      <c r="U228" s="189">
        <v>1.99951300725619</v>
      </c>
      <c r="V228" s="189">
        <v>0.40775081401755198</v>
      </c>
      <c r="W228" s="189"/>
      <c r="X228" s="90"/>
      <c r="Y228" s="188"/>
      <c r="Z228" s="188"/>
      <c r="AA228" s="188"/>
      <c r="AB228" s="188"/>
      <c r="AC228" s="188"/>
      <c r="AD228" s="190"/>
      <c r="AE228" s="189"/>
    </row>
    <row r="229" spans="1:31" ht="21.25" customHeight="1" x14ac:dyDescent="0.15">
      <c r="A229" s="10" t="s">
        <v>493</v>
      </c>
      <c r="B229" s="186" t="s">
        <v>836</v>
      </c>
      <c r="C229" s="187">
        <v>22</v>
      </c>
      <c r="D229" s="186" t="s">
        <v>846</v>
      </c>
      <c r="E229" s="90">
        <v>80.655000000000001</v>
      </c>
      <c r="F229" s="188">
        <v>15.7648800253183</v>
      </c>
      <c r="G229" s="189">
        <v>0.216592524711052</v>
      </c>
      <c r="H229" s="189">
        <v>0.27312090884020501</v>
      </c>
      <c r="I229" s="189">
        <v>0.48971343355125702</v>
      </c>
      <c r="J229" s="189">
        <v>1.80809740791761</v>
      </c>
      <c r="K229" s="189">
        <v>4.2960930712306999E-2</v>
      </c>
      <c r="L229" s="189">
        <v>6.8858859672906697E-2</v>
      </c>
      <c r="M229" s="189">
        <v>1.57101759645338E-2</v>
      </c>
      <c r="N229" s="189">
        <v>1.6915274923233501E-2</v>
      </c>
      <c r="O229" s="189">
        <v>0.49256021399185002</v>
      </c>
      <c r="P229" s="189">
        <v>0.36103656233250397</v>
      </c>
      <c r="Q229" s="189">
        <v>5.7140114455426001E-2</v>
      </c>
      <c r="R229" s="189">
        <v>0.25550588998026602</v>
      </c>
      <c r="S229" s="189">
        <v>3.8020988441929401E-2</v>
      </c>
      <c r="T229" s="189">
        <v>0.42725711180022702</v>
      </c>
      <c r="U229" s="189">
        <v>0.61972714664761097</v>
      </c>
      <c r="V229" s="189">
        <v>0.40808360617917899</v>
      </c>
      <c r="W229" s="189"/>
      <c r="X229" s="90"/>
      <c r="Y229" s="188"/>
      <c r="Z229" s="188"/>
      <c r="AA229" s="188"/>
      <c r="AB229" s="188"/>
      <c r="AC229" s="188"/>
      <c r="AD229" s="190"/>
      <c r="AE229" s="189"/>
    </row>
    <row r="230" spans="1:31" ht="21.25" customHeight="1" x14ac:dyDescent="0.15">
      <c r="A230" s="10" t="s">
        <v>423</v>
      </c>
      <c r="B230" s="186" t="s">
        <v>855</v>
      </c>
      <c r="C230" s="187">
        <v>19</v>
      </c>
      <c r="D230" s="186" t="s">
        <v>824</v>
      </c>
      <c r="E230" s="90">
        <v>81.954999999999998</v>
      </c>
      <c r="F230" s="188">
        <v>15.899421135028801</v>
      </c>
      <c r="G230" s="189">
        <v>0.224583692158176</v>
      </c>
      <c r="H230" s="189">
        <v>0.26432043625151402</v>
      </c>
      <c r="I230" s="189">
        <v>0.48890412840969</v>
      </c>
      <c r="J230" s="189">
        <v>1.95085768467118</v>
      </c>
      <c r="K230" s="189">
        <v>4.48319084543242E-2</v>
      </c>
      <c r="L230" s="189">
        <v>0.114253763584653</v>
      </c>
      <c r="M230" s="189">
        <v>3.25233080636391E-3</v>
      </c>
      <c r="N230" s="189">
        <v>2.0843287901646398E-2</v>
      </c>
      <c r="O230" s="189">
        <v>0.75581393639372596</v>
      </c>
      <c r="P230" s="189">
        <v>0.52792859547151605</v>
      </c>
      <c r="Q230" s="189">
        <v>-3.4497473462380599E-3</v>
      </c>
      <c r="R230" s="189">
        <v>0.299064154996867</v>
      </c>
      <c r="S230" s="189">
        <v>3.2561781248599903E-2</v>
      </c>
      <c r="T230" s="189">
        <v>3.86553733949316</v>
      </c>
      <c r="U230" s="189">
        <v>5.0306815730283398</v>
      </c>
      <c r="V230" s="189">
        <v>0.43451463790446798</v>
      </c>
      <c r="W230" s="189"/>
      <c r="X230" s="90"/>
      <c r="Y230" s="188"/>
      <c r="Z230" s="188"/>
      <c r="AA230" s="188"/>
      <c r="AB230" s="188"/>
      <c r="AC230" s="188"/>
      <c r="AD230" s="190"/>
      <c r="AE230" s="189"/>
    </row>
    <row r="231" spans="1:31" ht="21.25" customHeight="1" x14ac:dyDescent="0.15">
      <c r="A231" s="10" t="s">
        <v>475</v>
      </c>
      <c r="B231" s="186" t="s">
        <v>840</v>
      </c>
      <c r="C231" s="187">
        <v>31</v>
      </c>
      <c r="D231" s="186" t="s">
        <v>848</v>
      </c>
      <c r="E231" s="90">
        <v>80.305000000000007</v>
      </c>
      <c r="F231" s="188">
        <v>17.038570123068801</v>
      </c>
      <c r="G231" s="189">
        <v>0.25571660718646899</v>
      </c>
      <c r="H231" s="189">
        <v>0.23158960453709501</v>
      </c>
      <c r="I231" s="189">
        <v>0.48730621172356398</v>
      </c>
      <c r="J231" s="189">
        <v>2.1842438241484698</v>
      </c>
      <c r="K231" s="189">
        <v>4.9380002510831598E-2</v>
      </c>
      <c r="L231" s="189">
        <v>9.8185762076778593E-2</v>
      </c>
      <c r="M231" s="189">
        <v>1.9128595874092501E-2</v>
      </c>
      <c r="N231" s="189">
        <v>2.7193884080465001E-2</v>
      </c>
      <c r="O231" s="189">
        <v>0.454585568171399</v>
      </c>
      <c r="P231" s="189">
        <v>4.4160037992603298</v>
      </c>
      <c r="Q231" s="189">
        <v>-1.6190101833160501E-2</v>
      </c>
      <c r="R231" s="189">
        <v>0.54824914871874797</v>
      </c>
      <c r="S231" s="189">
        <v>3.5756735164320499E-2</v>
      </c>
      <c r="T231" s="189">
        <v>0.25905097017363998</v>
      </c>
      <c r="U231" s="189">
        <v>0.36895441230677301</v>
      </c>
      <c r="V231" s="189">
        <v>0.41249800941271397</v>
      </c>
      <c r="W231" s="189"/>
      <c r="X231" s="90"/>
      <c r="Y231" s="188"/>
      <c r="Z231" s="188"/>
      <c r="AA231" s="188"/>
      <c r="AB231" s="188"/>
      <c r="AC231" s="188"/>
      <c r="AD231" s="190"/>
      <c r="AE231" s="189"/>
    </row>
    <row r="232" spans="1:31" ht="21.25" customHeight="1" x14ac:dyDescent="0.15">
      <c r="A232" s="10" t="s">
        <v>484</v>
      </c>
      <c r="B232" s="186" t="s">
        <v>859</v>
      </c>
      <c r="C232" s="187">
        <v>20</v>
      </c>
      <c r="D232" s="186" t="s">
        <v>827</v>
      </c>
      <c r="E232" s="90">
        <v>68</v>
      </c>
      <c r="F232" s="188">
        <v>16.875655918704201</v>
      </c>
      <c r="G232" s="189">
        <v>8.7621710468174102E-2</v>
      </c>
      <c r="H232" s="189">
        <v>0.19808056245310501</v>
      </c>
      <c r="I232" s="189">
        <v>0.28570227292127898</v>
      </c>
      <c r="J232" s="189">
        <v>1.2478159951257</v>
      </c>
      <c r="K232" s="189">
        <v>9.8398688065715403E-4</v>
      </c>
      <c r="L232" s="189">
        <v>6.9887103309767802E-3</v>
      </c>
      <c r="M232" s="189">
        <v>0</v>
      </c>
      <c r="N232" s="189">
        <v>0</v>
      </c>
      <c r="O232" s="189">
        <v>1.2024103567573601</v>
      </c>
      <c r="P232" s="189">
        <v>0.87324733319839998</v>
      </c>
      <c r="Q232" s="189">
        <v>-3.8185024426823901E-2</v>
      </c>
      <c r="R232" s="189">
        <v>0.37111251598240202</v>
      </c>
      <c r="S232" s="189">
        <v>1.28012806810092E-2</v>
      </c>
      <c r="T232" s="189">
        <v>0</v>
      </c>
      <c r="U232" s="189">
        <v>0</v>
      </c>
      <c r="V232" s="189">
        <v>0</v>
      </c>
      <c r="W232" s="189"/>
      <c r="X232" s="90"/>
      <c r="Y232" s="188"/>
      <c r="Z232" s="188"/>
      <c r="AA232" s="188"/>
      <c r="AB232" s="188"/>
      <c r="AC232" s="188"/>
      <c r="AD232" s="190"/>
      <c r="AE232" s="189"/>
    </row>
    <row r="233" spans="1:31" ht="21.25" customHeight="1" x14ac:dyDescent="0.15">
      <c r="A233" s="10" t="s">
        <v>473</v>
      </c>
      <c r="B233" s="186" t="s">
        <v>871</v>
      </c>
      <c r="C233" s="187">
        <v>26</v>
      </c>
      <c r="D233" s="186" t="s">
        <v>848</v>
      </c>
      <c r="E233" s="90">
        <v>83.892499999999998</v>
      </c>
      <c r="F233" s="188">
        <v>17.119818721417602</v>
      </c>
      <c r="G233" s="189">
        <v>0.232754578462886</v>
      </c>
      <c r="H233" s="189">
        <v>0.24433606588689999</v>
      </c>
      <c r="I233" s="189">
        <v>0.47709064434978599</v>
      </c>
      <c r="J233" s="189">
        <v>1.88153128958397</v>
      </c>
      <c r="K233" s="189">
        <v>1.19672845757757E-2</v>
      </c>
      <c r="L233" s="189">
        <v>4.45719763449356E-2</v>
      </c>
      <c r="M233" s="189">
        <v>3.1606971314980102E-2</v>
      </c>
      <c r="N233" s="189">
        <v>4.3555588317750499E-2</v>
      </c>
      <c r="O233" s="189">
        <v>0.663883407782763</v>
      </c>
      <c r="P233" s="189">
        <v>0.812832429630023</v>
      </c>
      <c r="Q233" s="189">
        <v>-9.1267110579556596E-2</v>
      </c>
      <c r="R233" s="189">
        <v>0.38954240166991499</v>
      </c>
      <c r="S233" s="189">
        <v>3.3464282267380498E-2</v>
      </c>
      <c r="T233" s="189">
        <v>0.31359729069825099</v>
      </c>
      <c r="U233" s="189">
        <v>0.45362469231504898</v>
      </c>
      <c r="V233" s="189">
        <v>0.408743880703969</v>
      </c>
      <c r="W233" s="189"/>
      <c r="X233" s="90"/>
      <c r="Y233" s="188"/>
      <c r="Z233" s="188"/>
      <c r="AA233" s="188"/>
      <c r="AB233" s="188"/>
      <c r="AC233" s="188"/>
      <c r="AD233" s="190"/>
      <c r="AE233" s="189"/>
    </row>
    <row r="234" spans="1:31" ht="21.25" customHeight="1" x14ac:dyDescent="0.15">
      <c r="A234" s="10" t="s">
        <v>579</v>
      </c>
      <c r="B234" s="186" t="s">
        <v>862</v>
      </c>
      <c r="C234" s="187">
        <v>34</v>
      </c>
      <c r="D234" s="186" t="s">
        <v>825</v>
      </c>
      <c r="E234" s="90">
        <v>77.942499999999995</v>
      </c>
      <c r="F234" s="188">
        <v>13.251516238990201</v>
      </c>
      <c r="G234" s="189">
        <v>0.20900241132744299</v>
      </c>
      <c r="H234" s="189">
        <v>0.267133335927487</v>
      </c>
      <c r="I234" s="189">
        <v>0.47613574725493002</v>
      </c>
      <c r="J234" s="189">
        <v>1.6865931189949701</v>
      </c>
      <c r="K234" s="189">
        <v>5.8176657390662898E-2</v>
      </c>
      <c r="L234" s="189">
        <v>0.104668428430683</v>
      </c>
      <c r="M234" s="189">
        <v>2.3772737735457402E-5</v>
      </c>
      <c r="N234" s="189">
        <v>3.9394461552221799E-5</v>
      </c>
      <c r="O234" s="189">
        <v>0.31997173610198398</v>
      </c>
      <c r="P234" s="189">
        <v>0.90341484574522002</v>
      </c>
      <c r="Q234" s="189">
        <v>2.2205634602517801E-2</v>
      </c>
      <c r="R234" s="189">
        <v>0.41209827160434198</v>
      </c>
      <c r="S234" s="189">
        <v>3.15112894044631E-2</v>
      </c>
      <c r="T234" s="189">
        <v>0.56435783895064595</v>
      </c>
      <c r="U234" s="189">
        <v>0.87469574619442803</v>
      </c>
      <c r="V234" s="189">
        <v>0.39217291473809301</v>
      </c>
      <c r="W234" s="189"/>
      <c r="X234" s="90"/>
      <c r="Y234" s="188"/>
      <c r="Z234" s="188"/>
      <c r="AA234" s="188"/>
      <c r="AB234" s="188"/>
      <c r="AC234" s="188"/>
      <c r="AD234" s="190"/>
      <c r="AE234" s="189"/>
    </row>
    <row r="235" spans="1:31" ht="21.25" customHeight="1" x14ac:dyDescent="0.15">
      <c r="A235" s="10" t="s">
        <v>578</v>
      </c>
      <c r="B235" s="186" t="s">
        <v>844</v>
      </c>
      <c r="C235" s="187">
        <v>25</v>
      </c>
      <c r="D235" s="186" t="s">
        <v>826</v>
      </c>
      <c r="E235" s="90">
        <v>78.632499999999993</v>
      </c>
      <c r="F235" s="188">
        <v>14.652614156527999</v>
      </c>
      <c r="G235" s="189">
        <v>0.19155092943715801</v>
      </c>
      <c r="H235" s="189">
        <v>0.28379029323976801</v>
      </c>
      <c r="I235" s="189">
        <v>0.47534122267692602</v>
      </c>
      <c r="J235" s="189">
        <v>1.4539019246385501</v>
      </c>
      <c r="K235" s="189">
        <v>2.82056446605842E-2</v>
      </c>
      <c r="L235" s="189">
        <v>6.2808847019337199E-2</v>
      </c>
      <c r="M235" s="189">
        <v>1.56686200108994E-4</v>
      </c>
      <c r="N235" s="189">
        <v>2.5685485483785902E-4</v>
      </c>
      <c r="O235" s="189">
        <v>0.50685946836198204</v>
      </c>
      <c r="P235" s="189">
        <v>1.1539710207082099</v>
      </c>
      <c r="Q235" s="189">
        <v>2.53041152449907E-2</v>
      </c>
      <c r="R235" s="189">
        <v>0.30520527992332802</v>
      </c>
      <c r="S235" s="189">
        <v>3.1200676391547499E-2</v>
      </c>
      <c r="T235" s="189">
        <v>0.24230130606779399</v>
      </c>
      <c r="U235" s="189">
        <v>0.40332221013061598</v>
      </c>
      <c r="V235" s="189">
        <v>0.37529814201088002</v>
      </c>
      <c r="W235" s="189"/>
      <c r="X235" s="90"/>
      <c r="Y235" s="188"/>
      <c r="Z235" s="188"/>
      <c r="AA235" s="188"/>
      <c r="AB235" s="188"/>
      <c r="AC235" s="188"/>
      <c r="AD235" s="190"/>
      <c r="AE235" s="189"/>
    </row>
    <row r="236" spans="1:31" ht="21.25" customHeight="1" x14ac:dyDescent="0.15">
      <c r="A236" s="10" t="s">
        <v>449</v>
      </c>
      <c r="B236" s="186" t="s">
        <v>844</v>
      </c>
      <c r="C236" s="187">
        <v>34</v>
      </c>
      <c r="D236" s="186" t="s">
        <v>839</v>
      </c>
      <c r="E236" s="90">
        <v>81.322500000000005</v>
      </c>
      <c r="F236" s="188">
        <v>17.172854437577399</v>
      </c>
      <c r="G236" s="189">
        <v>0.229029134646376</v>
      </c>
      <c r="H236" s="189">
        <v>0.24378681265920801</v>
      </c>
      <c r="I236" s="189">
        <v>0.47281594730558402</v>
      </c>
      <c r="J236" s="189">
        <v>2.3936345375189898</v>
      </c>
      <c r="K236" s="189">
        <v>2.50522340100671E-2</v>
      </c>
      <c r="L236" s="189">
        <v>4.4668267746020597E-2</v>
      </c>
      <c r="M236" s="189">
        <v>3.0236113916035E-2</v>
      </c>
      <c r="N236" s="189">
        <v>3.8064792556751E-2</v>
      </c>
      <c r="O236" s="189">
        <v>0.69400224757125994</v>
      </c>
      <c r="P236" s="189">
        <v>1.9863184159067899</v>
      </c>
      <c r="Q236" s="189">
        <v>4.4247800130141603E-2</v>
      </c>
      <c r="R236" s="189">
        <v>0.59575319282368899</v>
      </c>
      <c r="S236" s="189">
        <v>3.7305294917308503E-2</v>
      </c>
      <c r="T236" s="189">
        <v>0.274540773713709</v>
      </c>
      <c r="U236" s="189">
        <v>0.36091878561431301</v>
      </c>
      <c r="V236" s="189">
        <v>0.43203500472009199</v>
      </c>
      <c r="W236" s="189"/>
      <c r="X236" s="90"/>
      <c r="Y236" s="188"/>
      <c r="Z236" s="188"/>
      <c r="AA236" s="188"/>
      <c r="AB236" s="188"/>
      <c r="AC236" s="188"/>
      <c r="AD236" s="190"/>
      <c r="AE236" s="189"/>
    </row>
    <row r="237" spans="1:31" ht="21.25" customHeight="1" x14ac:dyDescent="0.15">
      <c r="A237" s="10" t="s">
        <v>498</v>
      </c>
      <c r="B237" s="186" t="s">
        <v>857</v>
      </c>
      <c r="C237" s="187">
        <v>30</v>
      </c>
      <c r="D237" s="186" t="s">
        <v>826</v>
      </c>
      <c r="E237" s="90">
        <v>81.94</v>
      </c>
      <c r="F237" s="188">
        <v>16.573759557033</v>
      </c>
      <c r="G237" s="189">
        <v>0.181319441354681</v>
      </c>
      <c r="H237" s="189">
        <v>0.28936087811681099</v>
      </c>
      <c r="I237" s="189">
        <v>0.47068031947149203</v>
      </c>
      <c r="J237" s="189">
        <v>1.9317256050552201</v>
      </c>
      <c r="K237" s="189">
        <v>3.2914473230851303E-2</v>
      </c>
      <c r="L237" s="189">
        <v>0.106525010330957</v>
      </c>
      <c r="M237" s="189">
        <v>1.7465513074448799E-3</v>
      </c>
      <c r="N237" s="189">
        <v>2.92461826506235E-3</v>
      </c>
      <c r="O237" s="189">
        <v>0.51878123290728295</v>
      </c>
      <c r="P237" s="189">
        <v>0.66089483399932103</v>
      </c>
      <c r="Q237" s="189">
        <v>1.7158886918969399E-2</v>
      </c>
      <c r="R237" s="189">
        <v>0.434872705401122</v>
      </c>
      <c r="S237" s="189">
        <v>2.92180390052274E-2</v>
      </c>
      <c r="T237" s="189">
        <v>0.11456733739915199</v>
      </c>
      <c r="U237" s="189">
        <v>0.24695104288240299</v>
      </c>
      <c r="V237" s="189">
        <v>0.31690598223505401</v>
      </c>
      <c r="W237" s="189"/>
      <c r="X237" s="90"/>
      <c r="Y237" s="188"/>
      <c r="Z237" s="188"/>
      <c r="AA237" s="188"/>
      <c r="AB237" s="188"/>
      <c r="AC237" s="188"/>
      <c r="AD237" s="190"/>
      <c r="AE237" s="189"/>
    </row>
    <row r="238" spans="1:31" ht="21.25" customHeight="1" x14ac:dyDescent="0.15">
      <c r="A238" s="10" t="s">
        <v>554</v>
      </c>
      <c r="B238" s="186" t="s">
        <v>845</v>
      </c>
      <c r="C238" s="187">
        <v>29</v>
      </c>
      <c r="D238" s="186" t="s">
        <v>846</v>
      </c>
      <c r="E238" s="90">
        <v>79.284999999999997</v>
      </c>
      <c r="F238" s="188">
        <v>14.465238203807001</v>
      </c>
      <c r="G238" s="189">
        <v>0.23802375063184</v>
      </c>
      <c r="H238" s="189">
        <v>0.23174892667852401</v>
      </c>
      <c r="I238" s="189">
        <v>0.46977267731036398</v>
      </c>
      <c r="J238" s="189">
        <v>1.8357175693305701</v>
      </c>
      <c r="K238" s="189">
        <v>2.7095290614103301E-2</v>
      </c>
      <c r="L238" s="189">
        <v>5.4207108312017999E-2</v>
      </c>
      <c r="M238" s="189">
        <v>3.26256714056403E-5</v>
      </c>
      <c r="N238" s="189">
        <v>4.0798186130213399E-5</v>
      </c>
      <c r="O238" s="189">
        <v>0.359790483501428</v>
      </c>
      <c r="P238" s="189">
        <v>0.55990646778479303</v>
      </c>
      <c r="Q238" s="189">
        <v>1.4051022882231299E-3</v>
      </c>
      <c r="R238" s="189">
        <v>0.22994044635658301</v>
      </c>
      <c r="S238" s="189">
        <v>3.2504694655588799E-2</v>
      </c>
      <c r="T238" s="189">
        <v>1.8048495124966399</v>
      </c>
      <c r="U238" s="189">
        <v>1.7170949948882099</v>
      </c>
      <c r="V238" s="189">
        <v>0.51245824819562502</v>
      </c>
      <c r="W238" s="189"/>
      <c r="X238" s="90"/>
      <c r="Y238" s="188"/>
      <c r="Z238" s="188"/>
      <c r="AA238" s="188"/>
      <c r="AB238" s="188"/>
      <c r="AC238" s="188"/>
      <c r="AD238" s="190"/>
      <c r="AE238" s="189"/>
    </row>
    <row r="239" spans="1:31" ht="21.25" customHeight="1" x14ac:dyDescent="0.15">
      <c r="A239" s="10" t="s">
        <v>574</v>
      </c>
      <c r="B239" s="186" t="s">
        <v>850</v>
      </c>
      <c r="C239" s="187">
        <v>23</v>
      </c>
      <c r="D239" s="186" t="s">
        <v>848</v>
      </c>
      <c r="E239" s="90">
        <v>76.245000000000005</v>
      </c>
      <c r="F239" s="188">
        <v>14.450712452599999</v>
      </c>
      <c r="G239" s="189">
        <v>0.21959077197317001</v>
      </c>
      <c r="H239" s="189">
        <v>0.24930466714855701</v>
      </c>
      <c r="I239" s="189">
        <v>0.46889543912172699</v>
      </c>
      <c r="J239" s="189">
        <v>1.52998291430074</v>
      </c>
      <c r="K239" s="189">
        <v>5.14120095750236E-2</v>
      </c>
      <c r="L239" s="189">
        <v>9.7527694709157994E-2</v>
      </c>
      <c r="M239" s="189">
        <v>5.8582295400606898E-5</v>
      </c>
      <c r="N239" s="189">
        <v>9.6725168462084905E-5</v>
      </c>
      <c r="O239" s="189">
        <v>0.56503431990393704</v>
      </c>
      <c r="P239" s="189">
        <v>1.9636301635881801</v>
      </c>
      <c r="Q239" s="189">
        <v>5.0887524462332398E-2</v>
      </c>
      <c r="R239" s="189">
        <v>0.37936506983613699</v>
      </c>
      <c r="S239" s="189">
        <v>3.6559701362494597E-2</v>
      </c>
      <c r="T239" s="189">
        <v>0.18590678458395399</v>
      </c>
      <c r="U239" s="189">
        <v>0.269663693223747</v>
      </c>
      <c r="V239" s="189">
        <v>0.40807469675949098</v>
      </c>
      <c r="W239" s="189"/>
      <c r="X239" s="90"/>
      <c r="Y239" s="188"/>
      <c r="Z239" s="188"/>
      <c r="AA239" s="188"/>
      <c r="AB239" s="188"/>
      <c r="AC239" s="188"/>
      <c r="AD239" s="190"/>
      <c r="AE239" s="189"/>
    </row>
    <row r="240" spans="1:31" ht="21.25" customHeight="1" x14ac:dyDescent="0.15">
      <c r="A240" s="10" t="s">
        <v>541</v>
      </c>
      <c r="B240" s="186" t="s">
        <v>867</v>
      </c>
      <c r="C240" s="187">
        <v>27</v>
      </c>
      <c r="D240" s="186" t="s">
        <v>824</v>
      </c>
      <c r="E240" s="90">
        <v>81.180000000000007</v>
      </c>
      <c r="F240" s="188">
        <v>14.9073393292683</v>
      </c>
      <c r="G240" s="189">
        <v>0.18545655030171099</v>
      </c>
      <c r="H240" s="189">
        <v>0.27738167054220397</v>
      </c>
      <c r="I240" s="189">
        <v>0.46283822084391502</v>
      </c>
      <c r="J240" s="189">
        <v>1.4137834406965</v>
      </c>
      <c r="K240" s="189">
        <v>1.5511677809124699E-2</v>
      </c>
      <c r="L240" s="189">
        <v>4.4670449856389703E-2</v>
      </c>
      <c r="M240" s="189">
        <v>6.5535388673331699E-3</v>
      </c>
      <c r="N240" s="189">
        <v>1.1095877120627101E-2</v>
      </c>
      <c r="O240" s="189">
        <v>0.60758771934891298</v>
      </c>
      <c r="P240" s="189">
        <v>1.1433270038166401</v>
      </c>
      <c r="Q240" s="189">
        <v>2.2546318875990099E-2</v>
      </c>
      <c r="R240" s="189">
        <v>0.27033667339234002</v>
      </c>
      <c r="S240" s="189">
        <v>2.9308618354460199E-2</v>
      </c>
      <c r="T240" s="189">
        <v>5.05413873245163</v>
      </c>
      <c r="U240" s="189">
        <v>6.2077939914943299</v>
      </c>
      <c r="V240" s="189">
        <v>0.44878076049106103</v>
      </c>
      <c r="W240" s="189"/>
      <c r="X240" s="90"/>
      <c r="Y240" s="188"/>
      <c r="Z240" s="188"/>
      <c r="AA240" s="188"/>
      <c r="AB240" s="188"/>
      <c r="AC240" s="188"/>
      <c r="AD240" s="190"/>
      <c r="AE240" s="189"/>
    </row>
    <row r="241" spans="1:31" ht="21.25" customHeight="1" x14ac:dyDescent="0.15">
      <c r="A241" s="10" t="s">
        <v>628</v>
      </c>
      <c r="B241" s="186" t="s">
        <v>868</v>
      </c>
      <c r="C241" s="187">
        <v>26</v>
      </c>
      <c r="D241" s="186" t="s">
        <v>824</v>
      </c>
      <c r="E241" s="90">
        <v>60.83</v>
      </c>
      <c r="F241" s="188">
        <v>15.367199186991799</v>
      </c>
      <c r="G241" s="189">
        <v>0.22260947626278299</v>
      </c>
      <c r="H241" s="189">
        <v>0.238528121310258</v>
      </c>
      <c r="I241" s="189">
        <v>0.46113759757304101</v>
      </c>
      <c r="J241" s="189">
        <v>2.11351425541885</v>
      </c>
      <c r="K241" s="189">
        <v>1.98479733289018E-2</v>
      </c>
      <c r="L241" s="189">
        <v>6.9041921641058698E-2</v>
      </c>
      <c r="M241" s="189">
        <v>1.5767221029304201E-3</v>
      </c>
      <c r="N241" s="189">
        <v>2.5954998881883001E-3</v>
      </c>
      <c r="O241" s="189">
        <v>0.34805401702556699</v>
      </c>
      <c r="P241" s="189">
        <v>0.57822163433093898</v>
      </c>
      <c r="Q241" s="189">
        <v>-0.10574682719550001</v>
      </c>
      <c r="R241" s="189">
        <v>0.36878876152531298</v>
      </c>
      <c r="S241" s="189">
        <v>2.7585215077170801E-2</v>
      </c>
      <c r="T241" s="189">
        <v>4.6984675332683796</v>
      </c>
      <c r="U241" s="189">
        <v>5.3450317176068696</v>
      </c>
      <c r="V241" s="189">
        <v>0.467811807011279</v>
      </c>
      <c r="W241" s="189"/>
      <c r="X241" s="90"/>
      <c r="Y241" s="188"/>
      <c r="Z241" s="188"/>
      <c r="AA241" s="188"/>
      <c r="AB241" s="188"/>
      <c r="AC241" s="188"/>
      <c r="AD241" s="190"/>
      <c r="AE241" s="189"/>
    </row>
    <row r="242" spans="1:31" ht="21.25" customHeight="1" x14ac:dyDescent="0.15">
      <c r="A242" s="10" t="s">
        <v>577</v>
      </c>
      <c r="B242" s="186" t="s">
        <v>843</v>
      </c>
      <c r="C242" s="187">
        <v>33</v>
      </c>
      <c r="D242" s="186" t="s">
        <v>824</v>
      </c>
      <c r="E242" s="90">
        <v>66.772499999999994</v>
      </c>
      <c r="F242" s="188">
        <v>15.343661239607901</v>
      </c>
      <c r="G242" s="189">
        <v>0.19533199515708899</v>
      </c>
      <c r="H242" s="189">
        <v>0.264841809539068</v>
      </c>
      <c r="I242" s="189">
        <v>0.46017380469615699</v>
      </c>
      <c r="J242" s="189">
        <v>1.97675913116793</v>
      </c>
      <c r="K242" s="189">
        <v>1.54581921097565E-2</v>
      </c>
      <c r="L242" s="189">
        <v>4.2872710859468997E-2</v>
      </c>
      <c r="M242" s="189">
        <v>2.36457351585708E-2</v>
      </c>
      <c r="N242" s="189">
        <v>2.8524056164703999E-2</v>
      </c>
      <c r="O242" s="189">
        <v>0.68634027317091595</v>
      </c>
      <c r="P242" s="189">
        <v>0.53877105985490603</v>
      </c>
      <c r="Q242" s="189">
        <v>5.3288731001495497E-2</v>
      </c>
      <c r="R242" s="189">
        <v>0.212192808530109</v>
      </c>
      <c r="S242" s="189">
        <v>3.7264936494025999E-2</v>
      </c>
      <c r="T242" s="189">
        <v>6.7945670814498298</v>
      </c>
      <c r="U242" s="189">
        <v>5.0702937615685304</v>
      </c>
      <c r="V242" s="189">
        <v>0.57266302330448005</v>
      </c>
      <c r="W242" s="189"/>
      <c r="X242" s="90"/>
      <c r="Y242" s="189"/>
      <c r="Z242" s="189"/>
      <c r="AA242" s="189"/>
      <c r="AB242" s="189"/>
      <c r="AC242" s="188"/>
      <c r="AD242" s="190"/>
      <c r="AE242" s="189"/>
    </row>
    <row r="243" spans="1:31" ht="21.25" customHeight="1" x14ac:dyDescent="0.15">
      <c r="A243" s="10" t="s">
        <v>621</v>
      </c>
      <c r="B243" s="186" t="s">
        <v>868</v>
      </c>
      <c r="C243" s="187">
        <v>26</v>
      </c>
      <c r="D243" s="186" t="s">
        <v>826</v>
      </c>
      <c r="E243" s="90">
        <v>74.272499999999994</v>
      </c>
      <c r="F243" s="188">
        <v>14.009279279781801</v>
      </c>
      <c r="G243" s="189">
        <v>0.19685245655577199</v>
      </c>
      <c r="H243" s="189">
        <v>0.26321073174698401</v>
      </c>
      <c r="I243" s="189">
        <v>0.460063188302756</v>
      </c>
      <c r="J243" s="189">
        <v>1.59399055981191</v>
      </c>
      <c r="K243" s="189">
        <v>2.9590457546395599E-2</v>
      </c>
      <c r="L243" s="189">
        <v>6.46591234148685E-2</v>
      </c>
      <c r="M243" s="189">
        <v>1.8542016349975101E-4</v>
      </c>
      <c r="N243" s="189">
        <v>3.0523018996940401E-4</v>
      </c>
      <c r="O243" s="189">
        <v>0.34863327848143399</v>
      </c>
      <c r="P243" s="189">
        <v>1.1871630311174799</v>
      </c>
      <c r="Q243" s="189">
        <v>-0.12005330936507</v>
      </c>
      <c r="R243" s="189">
        <v>0.31798538035970703</v>
      </c>
      <c r="S243" s="189">
        <v>2.4393468974115901E-2</v>
      </c>
      <c r="T243" s="189">
        <v>0.19911133893002</v>
      </c>
      <c r="U243" s="189">
        <v>0.52064982200182897</v>
      </c>
      <c r="V243" s="189">
        <v>0.276635292007474</v>
      </c>
      <c r="W243" s="189"/>
      <c r="X243" s="90"/>
      <c r="Y243" s="188"/>
      <c r="Z243" s="188"/>
      <c r="AA243" s="188"/>
      <c r="AB243" s="188"/>
      <c r="AC243" s="188"/>
      <c r="AD243" s="190"/>
      <c r="AE243" s="189"/>
    </row>
    <row r="244" spans="1:31" ht="21.25" customHeight="1" x14ac:dyDescent="0.15">
      <c r="A244" s="10" t="s">
        <v>569</v>
      </c>
      <c r="B244" s="186" t="s">
        <v>866</v>
      </c>
      <c r="C244" s="187">
        <v>35</v>
      </c>
      <c r="D244" s="186" t="s">
        <v>839</v>
      </c>
      <c r="E244" s="90">
        <v>83.674999999999997</v>
      </c>
      <c r="F244" s="188">
        <v>15.5870327254102</v>
      </c>
      <c r="G244" s="189">
        <v>0.19031211760278699</v>
      </c>
      <c r="H244" s="189">
        <v>0.26949637912504698</v>
      </c>
      <c r="I244" s="189">
        <v>0.45980849672783403</v>
      </c>
      <c r="J244" s="189">
        <v>1.4244781740729899</v>
      </c>
      <c r="K244" s="189">
        <v>2.49196342087343E-2</v>
      </c>
      <c r="L244" s="189">
        <v>7.1968118164998596E-2</v>
      </c>
      <c r="M244" s="189">
        <v>3.3352770767284401E-4</v>
      </c>
      <c r="N244" s="189">
        <v>4.2508047100218202E-4</v>
      </c>
      <c r="O244" s="189">
        <v>0.49795366769504301</v>
      </c>
      <c r="P244" s="189">
        <v>2.0535380334125599</v>
      </c>
      <c r="Q244" s="189">
        <v>-6.1281144777623198E-2</v>
      </c>
      <c r="R244" s="189">
        <v>0.594886994633676</v>
      </c>
      <c r="S244" s="189">
        <v>2.7793462067106499E-2</v>
      </c>
      <c r="T244" s="189">
        <v>5.3185558697897397</v>
      </c>
      <c r="U244" s="189">
        <v>4.8169364064564997</v>
      </c>
      <c r="V244" s="189">
        <v>0.524745688204452</v>
      </c>
      <c r="W244" s="189"/>
      <c r="X244" s="90"/>
      <c r="Y244" s="189"/>
      <c r="Z244" s="189"/>
      <c r="AA244" s="189"/>
      <c r="AB244" s="189"/>
      <c r="AC244" s="188"/>
      <c r="AD244" s="190"/>
      <c r="AE244" s="189"/>
    </row>
    <row r="245" spans="1:31" ht="21.25" customHeight="1" x14ac:dyDescent="0.15">
      <c r="A245" s="10" t="s">
        <v>488</v>
      </c>
      <c r="B245" s="186" t="s">
        <v>856</v>
      </c>
      <c r="C245" s="187">
        <v>36</v>
      </c>
      <c r="D245" s="186" t="s">
        <v>825</v>
      </c>
      <c r="E245" s="90">
        <v>83.93</v>
      </c>
      <c r="F245" s="188">
        <v>14.902346290957199</v>
      </c>
      <c r="G245" s="189">
        <v>0.22022206395875099</v>
      </c>
      <c r="H245" s="189">
        <v>0.23801531836362899</v>
      </c>
      <c r="I245" s="189">
        <v>0.45823738232237998</v>
      </c>
      <c r="J245" s="189">
        <v>2.2288568844020999</v>
      </c>
      <c r="K245" s="189">
        <v>3.6391679319655097E-2</v>
      </c>
      <c r="L245" s="189">
        <v>6.2414613031486203E-2</v>
      </c>
      <c r="M245" s="189">
        <v>8.9683496546634405E-5</v>
      </c>
      <c r="N245" s="189">
        <v>1.47414178746367E-4</v>
      </c>
      <c r="O245" s="189">
        <v>0.45249668418699801</v>
      </c>
      <c r="P245" s="189">
        <v>1.1862252647151901</v>
      </c>
      <c r="Q245" s="189">
        <v>4.5490804064097903E-2</v>
      </c>
      <c r="R245" s="189">
        <v>0.48102272368677002</v>
      </c>
      <c r="S245" s="189">
        <v>3.55977089179218E-2</v>
      </c>
      <c r="T245" s="189">
        <v>0.52883724257400799</v>
      </c>
      <c r="U245" s="189">
        <v>0.57555067264630499</v>
      </c>
      <c r="V245" s="189">
        <v>0.47885098640228302</v>
      </c>
      <c r="W245" s="189"/>
      <c r="X245" s="90"/>
      <c r="Y245" s="188"/>
      <c r="Z245" s="188"/>
      <c r="AA245" s="188"/>
      <c r="AB245" s="188"/>
      <c r="AC245" s="188"/>
      <c r="AD245" s="190"/>
      <c r="AE245" s="189"/>
    </row>
    <row r="246" spans="1:31" ht="21.25" customHeight="1" x14ac:dyDescent="0.15">
      <c r="A246" s="10" t="s">
        <v>524</v>
      </c>
      <c r="B246" s="186" t="s">
        <v>871</v>
      </c>
      <c r="C246" s="187">
        <v>28</v>
      </c>
      <c r="D246" s="186" t="s">
        <v>852</v>
      </c>
      <c r="E246" s="90">
        <v>82.082499999999996</v>
      </c>
      <c r="F246" s="188">
        <v>16.320008176252699</v>
      </c>
      <c r="G246" s="189">
        <v>0.22707186590345299</v>
      </c>
      <c r="H246" s="189">
        <v>0.223741918249064</v>
      </c>
      <c r="I246" s="189">
        <v>0.45081378415251699</v>
      </c>
      <c r="J246" s="189">
        <v>1.8379527421935999</v>
      </c>
      <c r="K246" s="189">
        <v>4.8219907844496403E-2</v>
      </c>
      <c r="L246" s="189">
        <v>9.8935945897889205E-2</v>
      </c>
      <c r="M246" s="189">
        <v>1.8431261778582699E-2</v>
      </c>
      <c r="N246" s="189">
        <v>2.86612616905681E-2</v>
      </c>
      <c r="O246" s="189">
        <v>0.43401192646876202</v>
      </c>
      <c r="P246" s="189">
        <v>0.35471973265491502</v>
      </c>
      <c r="Q246" s="189">
        <v>-0.117097778449452</v>
      </c>
      <c r="R246" s="189">
        <v>0.17888723069793599</v>
      </c>
      <c r="S246" s="189">
        <v>3.2647250446184398E-2</v>
      </c>
      <c r="T246" s="189">
        <v>0.85869005189181302</v>
      </c>
      <c r="U246" s="189">
        <v>1.2833620253584901</v>
      </c>
      <c r="V246" s="189">
        <v>0.40087263097454201</v>
      </c>
      <c r="W246" s="189"/>
      <c r="X246" s="90"/>
      <c r="Y246" s="189"/>
      <c r="Z246" s="189"/>
      <c r="AA246" s="189"/>
      <c r="AB246" s="189"/>
      <c r="AC246" s="188"/>
      <c r="AD246" s="190"/>
      <c r="AE246" s="189"/>
    </row>
    <row r="247" spans="1:31" ht="21.25" customHeight="1" x14ac:dyDescent="0.15">
      <c r="A247" s="10" t="s">
        <v>521</v>
      </c>
      <c r="B247" s="186" t="s">
        <v>863</v>
      </c>
      <c r="C247" s="187">
        <v>19</v>
      </c>
      <c r="D247" s="186" t="s">
        <v>852</v>
      </c>
      <c r="E247" s="90">
        <v>83.892499999999998</v>
      </c>
      <c r="F247" s="188">
        <v>15.2679221079251</v>
      </c>
      <c r="G247" s="189">
        <v>0.14531371093173101</v>
      </c>
      <c r="H247" s="189">
        <v>0.34740214646276402</v>
      </c>
      <c r="I247" s="189">
        <v>0.49271585739449503</v>
      </c>
      <c r="J247" s="189">
        <v>1.5640539839896701</v>
      </c>
      <c r="K247" s="189">
        <v>2.0487791987880099E-2</v>
      </c>
      <c r="L247" s="189">
        <v>0.13549246252661801</v>
      </c>
      <c r="M247" s="189">
        <v>2.58241317433036E-3</v>
      </c>
      <c r="N247" s="189">
        <v>5.9831083671739501E-3</v>
      </c>
      <c r="O247" s="189">
        <v>0.35233857297124299</v>
      </c>
      <c r="P247" s="189">
        <v>0.75742840052409999</v>
      </c>
      <c r="Q247" s="189">
        <v>3.6905020233877102E-2</v>
      </c>
      <c r="R247" s="189">
        <v>0.30023822541878498</v>
      </c>
      <c r="S247" s="189">
        <v>2.5776498597393099E-2</v>
      </c>
      <c r="T247" s="189">
        <v>5.8322680013653496</v>
      </c>
      <c r="U247" s="189">
        <v>3.7093449645466499</v>
      </c>
      <c r="V247" s="189">
        <v>0.61124550138446099</v>
      </c>
      <c r="W247" s="189"/>
      <c r="X247" s="90"/>
      <c r="Y247" s="188"/>
      <c r="Z247" s="188"/>
      <c r="AA247" s="188"/>
      <c r="AB247" s="188"/>
      <c r="AC247" s="188"/>
      <c r="AD247" s="190"/>
      <c r="AE247" s="189"/>
    </row>
    <row r="248" spans="1:31" ht="21.25" customHeight="1" x14ac:dyDescent="0.15">
      <c r="A248" s="10" t="s">
        <v>603</v>
      </c>
      <c r="B248" s="186" t="s">
        <v>840</v>
      </c>
      <c r="C248" s="187">
        <v>23</v>
      </c>
      <c r="D248" s="186" t="s">
        <v>848</v>
      </c>
      <c r="E248" s="90">
        <v>80.052499999999995</v>
      </c>
      <c r="F248" s="188">
        <v>14.771576378870501</v>
      </c>
      <c r="G248" s="189">
        <v>0.20769666679509</v>
      </c>
      <c r="H248" s="189">
        <v>0.24057019267191701</v>
      </c>
      <c r="I248" s="189">
        <v>0.44826685946700701</v>
      </c>
      <c r="J248" s="189">
        <v>1.3053447534568201</v>
      </c>
      <c r="K248" s="189">
        <v>2.7332329033100699E-3</v>
      </c>
      <c r="L248" s="189">
        <v>1.0866005248628499E-2</v>
      </c>
      <c r="M248" s="189">
        <v>2.6335194444346201E-2</v>
      </c>
      <c r="N248" s="189">
        <v>3.7686013373810202E-2</v>
      </c>
      <c r="O248" s="189">
        <v>0.54513510819133904</v>
      </c>
      <c r="P248" s="189">
        <v>0.94559478948868902</v>
      </c>
      <c r="Q248" s="189">
        <v>-3.0192623193166099E-2</v>
      </c>
      <c r="R248" s="189">
        <v>0.209528449414768</v>
      </c>
      <c r="S248" s="189">
        <v>2.9042129061600998E-2</v>
      </c>
      <c r="T248" s="189">
        <v>7.7620113087289805E-2</v>
      </c>
      <c r="U248" s="189">
        <v>0.18942580221688801</v>
      </c>
      <c r="V248" s="189">
        <v>0.29066204962872</v>
      </c>
      <c r="W248" s="189"/>
      <c r="X248" s="90"/>
      <c r="Y248" s="188"/>
      <c r="Z248" s="188"/>
      <c r="AA248" s="188"/>
      <c r="AB248" s="188"/>
      <c r="AC248" s="188"/>
      <c r="AD248" s="190"/>
      <c r="AE248" s="189"/>
    </row>
    <row r="249" spans="1:31" ht="21.25" customHeight="1" x14ac:dyDescent="0.15">
      <c r="A249" s="10" t="s">
        <v>550</v>
      </c>
      <c r="B249" s="186" t="s">
        <v>842</v>
      </c>
      <c r="C249" s="187">
        <v>25</v>
      </c>
      <c r="D249" s="186" t="s">
        <v>848</v>
      </c>
      <c r="E249" s="90">
        <v>77.39</v>
      </c>
      <c r="F249" s="188">
        <v>14.3537363043048</v>
      </c>
      <c r="G249" s="189">
        <v>0.185948905756574</v>
      </c>
      <c r="H249" s="189">
        <v>0.26210217381546203</v>
      </c>
      <c r="I249" s="189">
        <v>0.44805107957203599</v>
      </c>
      <c r="J249" s="189">
        <v>2.0315028303923799</v>
      </c>
      <c r="K249" s="189">
        <v>1.56851156305504E-2</v>
      </c>
      <c r="L249" s="189">
        <v>3.3556167867753901E-2</v>
      </c>
      <c r="M249" s="189">
        <v>4.5000409453070898E-5</v>
      </c>
      <c r="N249" s="189">
        <v>7.4027910861577503E-5</v>
      </c>
      <c r="O249" s="189">
        <v>0.29881166288118399</v>
      </c>
      <c r="P249" s="189">
        <v>0.89082836177834002</v>
      </c>
      <c r="Q249" s="189">
        <v>1.44903943841615E-2</v>
      </c>
      <c r="R249" s="189">
        <v>0.366070504276236</v>
      </c>
      <c r="S249" s="189">
        <v>2.7793005116237401E-2</v>
      </c>
      <c r="T249" s="189">
        <v>5.7337539538841603E-2</v>
      </c>
      <c r="U249" s="189">
        <v>0.12900946396239299</v>
      </c>
      <c r="V249" s="189">
        <v>0.30769230769230799</v>
      </c>
      <c r="W249" s="189"/>
      <c r="X249" s="90"/>
      <c r="Y249" s="188"/>
      <c r="Z249" s="188"/>
      <c r="AA249" s="188"/>
      <c r="AB249" s="188"/>
      <c r="AC249" s="188"/>
      <c r="AD249" s="190"/>
      <c r="AE249" s="189"/>
    </row>
    <row r="250" spans="1:31" ht="21.25" customHeight="1" x14ac:dyDescent="0.15">
      <c r="A250" s="10" t="s">
        <v>643</v>
      </c>
      <c r="B250" s="186" t="s">
        <v>850</v>
      </c>
      <c r="C250" s="187">
        <v>25</v>
      </c>
      <c r="D250" s="186" t="s">
        <v>839</v>
      </c>
      <c r="E250" s="90">
        <v>74.23</v>
      </c>
      <c r="F250" s="188">
        <v>14.668333443531299</v>
      </c>
      <c r="G250" s="189">
        <v>0.22557842463986999</v>
      </c>
      <c r="H250" s="189">
        <v>0.22168474935007099</v>
      </c>
      <c r="I250" s="189">
        <v>0.44726317398994098</v>
      </c>
      <c r="J250" s="189">
        <v>1.3955857183098299</v>
      </c>
      <c r="K250" s="189">
        <v>1.8034605442844302E-2</v>
      </c>
      <c r="L250" s="189">
        <v>4.4756206819125302E-2</v>
      </c>
      <c r="M250" s="189">
        <v>2.1914670346410599E-3</v>
      </c>
      <c r="N250" s="189">
        <v>3.6073144889486502E-3</v>
      </c>
      <c r="O250" s="189">
        <v>0.42653499436735198</v>
      </c>
      <c r="P250" s="189">
        <v>1.0902544164446</v>
      </c>
      <c r="Q250" s="189">
        <v>2.2187716107583199E-2</v>
      </c>
      <c r="R250" s="189">
        <v>0.29818764749637799</v>
      </c>
      <c r="S250" s="189">
        <v>3.7556586574882499E-2</v>
      </c>
      <c r="T250" s="189">
        <v>3.0139821368545601</v>
      </c>
      <c r="U250" s="189">
        <v>3.6726112876992301</v>
      </c>
      <c r="V250" s="189">
        <v>0.45075002254315999</v>
      </c>
      <c r="W250" s="189"/>
      <c r="X250" s="90"/>
      <c r="Y250" s="188"/>
      <c r="Z250" s="188"/>
      <c r="AA250" s="188"/>
      <c r="AB250" s="188"/>
      <c r="AC250" s="188"/>
      <c r="AD250" s="190"/>
      <c r="AE250" s="189"/>
    </row>
    <row r="251" spans="1:31" ht="21.25" customHeight="1" x14ac:dyDescent="0.15">
      <c r="A251" s="10" t="s">
        <v>287</v>
      </c>
      <c r="B251" s="186" t="s">
        <v>867</v>
      </c>
      <c r="C251" s="187">
        <v>24</v>
      </c>
      <c r="D251" s="186" t="s">
        <v>827</v>
      </c>
      <c r="E251" s="90">
        <v>76.87</v>
      </c>
      <c r="F251" s="188">
        <v>22.029978598244998</v>
      </c>
      <c r="G251" s="189">
        <v>0.120300169008853</v>
      </c>
      <c r="H251" s="189">
        <v>0.322621018218957</v>
      </c>
      <c r="I251" s="189">
        <v>0.44292118722780999</v>
      </c>
      <c r="J251" s="189">
        <v>1.39030564117595</v>
      </c>
      <c r="K251" s="189">
        <v>2.96357751373677E-2</v>
      </c>
      <c r="L251" s="189">
        <v>0.15091849426268</v>
      </c>
      <c r="M251" s="189">
        <v>3.7607867179591902E-5</v>
      </c>
      <c r="N251" s="189">
        <v>3.3830879415902999E-4</v>
      </c>
      <c r="O251" s="189">
        <v>1.3123888534416099</v>
      </c>
      <c r="P251" s="189">
        <v>0.39301844300782801</v>
      </c>
      <c r="Q251" s="189">
        <v>2.40445593292193E-3</v>
      </c>
      <c r="R251" s="189">
        <v>0.35442377939671998</v>
      </c>
      <c r="S251" s="189">
        <v>1.90116322972767E-2</v>
      </c>
      <c r="T251" s="189">
        <v>0</v>
      </c>
      <c r="U251" s="189">
        <v>0</v>
      </c>
      <c r="V251" s="189">
        <v>0</v>
      </c>
      <c r="W251" s="189"/>
      <c r="X251" s="90"/>
      <c r="Y251" s="188"/>
      <c r="Z251" s="188"/>
      <c r="AA251" s="188"/>
      <c r="AB251" s="188"/>
      <c r="AC251" s="188"/>
      <c r="AD251" s="190"/>
      <c r="AE251" s="189"/>
    </row>
    <row r="252" spans="1:31" ht="21.25" customHeight="1" x14ac:dyDescent="0.15">
      <c r="A252" s="10" t="s">
        <v>612</v>
      </c>
      <c r="B252" s="186" t="s">
        <v>857</v>
      </c>
      <c r="C252" s="187">
        <v>23</v>
      </c>
      <c r="D252" s="186" t="s">
        <v>848</v>
      </c>
      <c r="E252" s="90">
        <v>77.040000000000006</v>
      </c>
      <c r="F252" s="188">
        <v>13.629316554697599</v>
      </c>
      <c r="G252" s="189">
        <v>0.174627070438585</v>
      </c>
      <c r="H252" s="189">
        <v>0.26831077153546201</v>
      </c>
      <c r="I252" s="189">
        <v>0.44293784197404701</v>
      </c>
      <c r="J252" s="189">
        <v>1.48997754434619</v>
      </c>
      <c r="K252" s="189">
        <v>2.3321747816091799E-2</v>
      </c>
      <c r="L252" s="189">
        <v>7.0982861574224995E-2</v>
      </c>
      <c r="M252" s="189">
        <v>4.4429021889634399E-4</v>
      </c>
      <c r="N252" s="189">
        <v>1.1802746539974699E-3</v>
      </c>
      <c r="O252" s="189">
        <v>0.45868874205952398</v>
      </c>
      <c r="P252" s="189">
        <v>0.28245831338345501</v>
      </c>
      <c r="Q252" s="189">
        <v>1.32410739776409E-2</v>
      </c>
      <c r="R252" s="189">
        <v>0.256759240958088</v>
      </c>
      <c r="S252" s="189">
        <v>2.8139622079811001E-2</v>
      </c>
      <c r="T252" s="189">
        <v>3.9097912788587704E-3</v>
      </c>
      <c r="U252" s="189">
        <v>6.3724807772042494E-2</v>
      </c>
      <c r="V252" s="189">
        <v>5.7807562012991198E-2</v>
      </c>
      <c r="W252" s="189"/>
      <c r="X252" s="90"/>
      <c r="Y252" s="188"/>
      <c r="Z252" s="188"/>
      <c r="AA252" s="188"/>
      <c r="AB252" s="188"/>
      <c r="AC252" s="188"/>
      <c r="AD252" s="190"/>
      <c r="AE252" s="189"/>
    </row>
    <row r="253" spans="1:31" ht="21.25" customHeight="1" x14ac:dyDescent="0.15">
      <c r="A253" s="10" t="s">
        <v>609</v>
      </c>
      <c r="B253" s="186" t="s">
        <v>871</v>
      </c>
      <c r="C253" s="187">
        <v>24</v>
      </c>
      <c r="D253" s="186" t="s">
        <v>852</v>
      </c>
      <c r="E253" s="90">
        <v>76.86</v>
      </c>
      <c r="F253" s="188">
        <v>15.258012593353801</v>
      </c>
      <c r="G253" s="189">
        <v>0.207133717166576</v>
      </c>
      <c r="H253" s="189">
        <v>0.23527360930188401</v>
      </c>
      <c r="I253" s="189">
        <v>0.44240732646845998</v>
      </c>
      <c r="J253" s="189">
        <v>1.6219325018583499</v>
      </c>
      <c r="K253" s="189">
        <v>2.4332539532163099E-2</v>
      </c>
      <c r="L253" s="189">
        <v>9.3823295867898698E-2</v>
      </c>
      <c r="M253" s="189">
        <v>8.44862599971409E-5</v>
      </c>
      <c r="N253" s="189">
        <v>1.3899099329125499E-4</v>
      </c>
      <c r="O253" s="189">
        <v>0.33525710890443899</v>
      </c>
      <c r="P253" s="189">
        <v>0.66283059421045698</v>
      </c>
      <c r="Q253" s="189">
        <v>-8.73669624453626E-2</v>
      </c>
      <c r="R253" s="189">
        <v>0.32927277887400203</v>
      </c>
      <c r="S253" s="189">
        <v>2.9780643732683201E-2</v>
      </c>
      <c r="T253" s="189">
        <v>1.0845130151565101</v>
      </c>
      <c r="U253" s="189">
        <v>1.4377699871198499</v>
      </c>
      <c r="V253" s="189">
        <v>0.42997277235652798</v>
      </c>
      <c r="W253" s="189"/>
      <c r="X253" s="90"/>
      <c r="Y253" s="188"/>
      <c r="Z253" s="188"/>
      <c r="AA253" s="188"/>
      <c r="AB253" s="188"/>
      <c r="AC253" s="188"/>
      <c r="AD253" s="190"/>
      <c r="AE253" s="189"/>
    </row>
    <row r="254" spans="1:31" ht="21.25" customHeight="1" x14ac:dyDescent="0.15">
      <c r="A254" s="10" t="s">
        <v>273</v>
      </c>
      <c r="B254" s="186" t="s">
        <v>859</v>
      </c>
      <c r="C254" s="187">
        <v>22</v>
      </c>
      <c r="D254" s="186" t="s">
        <v>827</v>
      </c>
      <c r="E254" s="90">
        <v>78.607500000000002</v>
      </c>
      <c r="F254" s="188">
        <v>22.1590318520898</v>
      </c>
      <c r="G254" s="189">
        <v>0.119638708854004</v>
      </c>
      <c r="H254" s="189">
        <v>0.32041237245655602</v>
      </c>
      <c r="I254" s="189">
        <v>0.44005108131055998</v>
      </c>
      <c r="J254" s="189">
        <v>1.43579468891332</v>
      </c>
      <c r="K254" s="189">
        <v>3.40212862813231E-3</v>
      </c>
      <c r="L254" s="189">
        <v>8.1163635620234403E-2</v>
      </c>
      <c r="M254" s="189">
        <v>4.2105484776636202E-4</v>
      </c>
      <c r="N254" s="189">
        <v>1.3726557540315499E-2</v>
      </c>
      <c r="O254" s="189">
        <v>1.7138447738642599</v>
      </c>
      <c r="P254" s="189">
        <v>0.95470287488741301</v>
      </c>
      <c r="Q254" s="189">
        <v>-5.93830069651465E-2</v>
      </c>
      <c r="R254" s="189">
        <v>0.38488186747846198</v>
      </c>
      <c r="S254" s="189">
        <v>1.74788723499061E-2</v>
      </c>
      <c r="T254" s="189">
        <v>0</v>
      </c>
      <c r="U254" s="189">
        <v>0</v>
      </c>
      <c r="V254" s="189">
        <v>0</v>
      </c>
      <c r="W254" s="189"/>
      <c r="X254" s="90"/>
      <c r="Y254" s="188"/>
      <c r="Z254" s="188"/>
      <c r="AA254" s="188"/>
      <c r="AB254" s="188"/>
      <c r="AC254" s="188"/>
      <c r="AD254" s="190"/>
      <c r="AE254" s="189"/>
    </row>
    <row r="255" spans="1:31" ht="21.25" customHeight="1" x14ac:dyDescent="0.15">
      <c r="A255" s="10" t="s">
        <v>591</v>
      </c>
      <c r="B255" s="186" t="s">
        <v>862</v>
      </c>
      <c r="C255" s="187">
        <v>20</v>
      </c>
      <c r="D255" s="186" t="s">
        <v>824</v>
      </c>
      <c r="E255" s="90">
        <v>76</v>
      </c>
      <c r="F255" s="188">
        <v>12.900373403030301</v>
      </c>
      <c r="G255" s="189">
        <v>0.169738950239397</v>
      </c>
      <c r="H255" s="189">
        <v>0.27037611522407001</v>
      </c>
      <c r="I255" s="189">
        <v>0.44011506546346701</v>
      </c>
      <c r="J255" s="189">
        <v>1.5185258212530399</v>
      </c>
      <c r="K255" s="189">
        <v>0</v>
      </c>
      <c r="L255" s="189">
        <v>0</v>
      </c>
      <c r="M255" s="189">
        <v>0</v>
      </c>
      <c r="N255" s="189">
        <v>0</v>
      </c>
      <c r="O255" s="189">
        <v>0.41819657219241002</v>
      </c>
      <c r="P255" s="189">
        <v>1.11145932044006</v>
      </c>
      <c r="Q255" s="189">
        <v>2.2467379577014401E-2</v>
      </c>
      <c r="R255" s="189">
        <v>0.26870931981331803</v>
      </c>
      <c r="S255" s="189">
        <v>2.5591538156101198E-2</v>
      </c>
      <c r="T255" s="189">
        <v>1.20361759684925</v>
      </c>
      <c r="U255" s="189">
        <v>1.68506463558896</v>
      </c>
      <c r="V255" s="189">
        <v>0.41666666666666702</v>
      </c>
      <c r="W255" s="189"/>
      <c r="X255" s="90"/>
      <c r="Y255" s="188"/>
      <c r="Z255" s="188"/>
      <c r="AA255" s="188"/>
      <c r="AB255" s="188"/>
      <c r="AC255" s="188"/>
      <c r="AD255" s="190"/>
      <c r="AE255" s="189"/>
    </row>
    <row r="256" spans="1:31" ht="21.25" customHeight="1" x14ac:dyDescent="0.15">
      <c r="A256" s="10" t="s">
        <v>297</v>
      </c>
      <c r="B256" s="186" t="s">
        <v>860</v>
      </c>
      <c r="C256" s="187">
        <v>26</v>
      </c>
      <c r="D256" s="186" t="s">
        <v>827</v>
      </c>
      <c r="E256" s="90">
        <v>80.954999999999998</v>
      </c>
      <c r="F256" s="188">
        <v>22.5729270939194</v>
      </c>
      <c r="G256" s="189">
        <v>0.104858086357691</v>
      </c>
      <c r="H256" s="189">
        <v>0.33512397466775801</v>
      </c>
      <c r="I256" s="189">
        <v>0.43998206102544901</v>
      </c>
      <c r="J256" s="189">
        <v>1.58064222854409</v>
      </c>
      <c r="K256" s="189">
        <v>7.0934507050307502E-3</v>
      </c>
      <c r="L256" s="189">
        <v>3.7500086251439302E-2</v>
      </c>
      <c r="M256" s="189">
        <v>6.2170493493461697E-3</v>
      </c>
      <c r="N256" s="189">
        <v>1.5803920405105198E-2</v>
      </c>
      <c r="O256" s="189">
        <v>1.32843556402565</v>
      </c>
      <c r="P256" s="189">
        <v>1.36906580957383</v>
      </c>
      <c r="Q256" s="189">
        <v>6.4607287691666099E-2</v>
      </c>
      <c r="R256" s="189">
        <v>0.55846668489206597</v>
      </c>
      <c r="S256" s="189">
        <v>1.80068360331785E-2</v>
      </c>
      <c r="T256" s="189">
        <v>0</v>
      </c>
      <c r="U256" s="189">
        <v>9.8060448168912906E-3</v>
      </c>
      <c r="V256" s="189">
        <v>0</v>
      </c>
      <c r="W256" s="189"/>
      <c r="X256" s="90"/>
      <c r="Y256" s="188"/>
      <c r="Z256" s="188"/>
      <c r="AA256" s="188"/>
      <c r="AB256" s="188"/>
      <c r="AC256" s="188"/>
      <c r="AD256" s="190"/>
      <c r="AE256" s="189"/>
    </row>
    <row r="257" spans="1:31" ht="21.25" customHeight="1" x14ac:dyDescent="0.15">
      <c r="A257" s="10" t="s">
        <v>255</v>
      </c>
      <c r="B257" s="186" t="s">
        <v>843</v>
      </c>
      <c r="C257" s="187">
        <v>29</v>
      </c>
      <c r="D257" s="186" t="s">
        <v>827</v>
      </c>
      <c r="E257" s="90">
        <v>81.602500000000006</v>
      </c>
      <c r="F257" s="188">
        <v>22.559549122294801</v>
      </c>
      <c r="G257" s="189">
        <v>9.52888710507723E-2</v>
      </c>
      <c r="H257" s="189">
        <v>0.34345703266677802</v>
      </c>
      <c r="I257" s="189">
        <v>0.43874590371755001</v>
      </c>
      <c r="J257" s="189">
        <v>1.8533980361928899</v>
      </c>
      <c r="K257" s="189">
        <v>1.35479906656014E-2</v>
      </c>
      <c r="L257" s="189">
        <v>7.1406572922873696E-2</v>
      </c>
      <c r="M257" s="189">
        <v>1.93568247952029E-4</v>
      </c>
      <c r="N257" s="189">
        <v>5.0308357928510999E-3</v>
      </c>
      <c r="O257" s="189">
        <v>1.5561178595079601</v>
      </c>
      <c r="P257" s="189">
        <v>0.58575773969606304</v>
      </c>
      <c r="Q257" s="189">
        <v>7.1989224065105106E-2</v>
      </c>
      <c r="R257" s="189">
        <v>0.285081011447055</v>
      </c>
      <c r="S257" s="189">
        <v>1.8178966151647401E-2</v>
      </c>
      <c r="T257" s="189">
        <v>0</v>
      </c>
      <c r="U257" s="189">
        <v>0</v>
      </c>
      <c r="V257" s="189">
        <v>0</v>
      </c>
      <c r="W257" s="189"/>
      <c r="X257" s="90"/>
      <c r="Y257" s="188"/>
      <c r="Z257" s="188"/>
      <c r="AA257" s="188"/>
      <c r="AB257" s="188"/>
      <c r="AC257" s="188"/>
      <c r="AD257" s="190"/>
      <c r="AE257" s="189"/>
    </row>
    <row r="258" spans="1:31" ht="21.25" customHeight="1" x14ac:dyDescent="0.15">
      <c r="A258" s="10" t="s">
        <v>532</v>
      </c>
      <c r="B258" s="186" t="s">
        <v>870</v>
      </c>
      <c r="C258" s="187">
        <v>23</v>
      </c>
      <c r="D258" s="186" t="s">
        <v>826</v>
      </c>
      <c r="E258" s="90">
        <v>80.567499999999995</v>
      </c>
      <c r="F258" s="188">
        <v>14.945272569484001</v>
      </c>
      <c r="G258" s="189">
        <v>0.18664477277287</v>
      </c>
      <c r="H258" s="189">
        <v>0.251729909101228</v>
      </c>
      <c r="I258" s="189">
        <v>0.438374681874098</v>
      </c>
      <c r="J258" s="189">
        <v>1.9857568132169701</v>
      </c>
      <c r="K258" s="189">
        <v>3.09274448146429E-2</v>
      </c>
      <c r="L258" s="189">
        <v>7.9871000703696904E-2</v>
      </c>
      <c r="M258" s="189">
        <v>1.7221022879836801E-4</v>
      </c>
      <c r="N258" s="189">
        <v>2.82040077869371E-4</v>
      </c>
      <c r="O258" s="189">
        <v>0.48886282359104499</v>
      </c>
      <c r="P258" s="189">
        <v>1.86342696311078</v>
      </c>
      <c r="Q258" s="189">
        <v>-6.7183227057384803E-2</v>
      </c>
      <c r="R258" s="189">
        <v>0.323962044970243</v>
      </c>
      <c r="S258" s="189">
        <v>2.57150180403522E-2</v>
      </c>
      <c r="T258" s="189">
        <v>3.3069074624731999E-2</v>
      </c>
      <c r="U258" s="189">
        <v>0.106498039067046</v>
      </c>
      <c r="V258" s="189">
        <v>0.23694030599330301</v>
      </c>
      <c r="W258" s="189"/>
      <c r="X258" s="90"/>
      <c r="Y258" s="188"/>
      <c r="Z258" s="188"/>
      <c r="AA258" s="188"/>
      <c r="AB258" s="188"/>
      <c r="AC258" s="188"/>
      <c r="AD258" s="190"/>
      <c r="AE258" s="189"/>
    </row>
    <row r="259" spans="1:31" ht="21.25" customHeight="1" x14ac:dyDescent="0.15">
      <c r="A259" s="10" t="s">
        <v>588</v>
      </c>
      <c r="B259" s="186" t="s">
        <v>854</v>
      </c>
      <c r="C259" s="187">
        <v>31</v>
      </c>
      <c r="D259" s="186" t="s">
        <v>848</v>
      </c>
      <c r="E259" s="90">
        <v>82.1875</v>
      </c>
      <c r="F259" s="188">
        <v>16.4009556402439</v>
      </c>
      <c r="G259" s="189">
        <v>0.15036561009476099</v>
      </c>
      <c r="H259" s="189">
        <v>0.28535054661124998</v>
      </c>
      <c r="I259" s="189">
        <v>0.43571615670601099</v>
      </c>
      <c r="J259" s="189">
        <v>1.2001658743749599</v>
      </c>
      <c r="K259" s="189">
        <v>4.3988664839323503E-2</v>
      </c>
      <c r="L259" s="189">
        <v>0.123978295228812</v>
      </c>
      <c r="M259" s="189">
        <v>1.01096025675997E-2</v>
      </c>
      <c r="N259" s="189">
        <v>2.65642471338116E-2</v>
      </c>
      <c r="O259" s="189">
        <v>0.52216422315827904</v>
      </c>
      <c r="P259" s="189">
        <v>0.39107491670768801</v>
      </c>
      <c r="Q259" s="189">
        <v>-0.1087821493496</v>
      </c>
      <c r="R259" s="189">
        <v>0.166485215026214</v>
      </c>
      <c r="S259" s="189">
        <v>1.8557529459514201E-2</v>
      </c>
      <c r="T259" s="189">
        <v>0.64630483980564302</v>
      </c>
      <c r="U259" s="189">
        <v>0.93013203334845596</v>
      </c>
      <c r="V259" s="189">
        <v>0.40997825590854797</v>
      </c>
      <c r="W259" s="189"/>
      <c r="X259" s="90"/>
      <c r="Y259" s="188"/>
      <c r="Z259" s="188"/>
      <c r="AA259" s="188"/>
      <c r="AB259" s="188"/>
      <c r="AC259" s="188"/>
      <c r="AD259" s="190"/>
      <c r="AE259" s="189"/>
    </row>
    <row r="260" spans="1:31" ht="21.25" customHeight="1" x14ac:dyDescent="0.15">
      <c r="A260" s="10" t="s">
        <v>285</v>
      </c>
      <c r="B260" s="186" t="s">
        <v>836</v>
      </c>
      <c r="C260" s="187">
        <v>36</v>
      </c>
      <c r="D260" s="186" t="s">
        <v>827</v>
      </c>
      <c r="E260" s="90">
        <v>81.392499999999998</v>
      </c>
      <c r="F260" s="188">
        <v>20.708944306402401</v>
      </c>
      <c r="G260" s="189">
        <v>8.5197337536551093E-2</v>
      </c>
      <c r="H260" s="189">
        <v>0.35027845613945402</v>
      </c>
      <c r="I260" s="189">
        <v>0.43547579367600497</v>
      </c>
      <c r="J260" s="189">
        <v>1.71375234107633</v>
      </c>
      <c r="K260" s="189">
        <v>9.7669653736099996E-3</v>
      </c>
      <c r="L260" s="189">
        <v>3.3854184636246197E-2</v>
      </c>
      <c r="M260" s="189">
        <v>1.8033484410788401E-3</v>
      </c>
      <c r="N260" s="189">
        <v>3.03398260005815E-3</v>
      </c>
      <c r="O260" s="189">
        <v>1.48978681428912</v>
      </c>
      <c r="P260" s="189">
        <v>0.85950146401759897</v>
      </c>
      <c r="Q260" s="189">
        <v>0.116837860717321</v>
      </c>
      <c r="R260" s="189">
        <v>0.45118746149375799</v>
      </c>
      <c r="S260" s="189">
        <v>1.4955673055114801E-2</v>
      </c>
      <c r="T260" s="189">
        <v>0</v>
      </c>
      <c r="U260" s="189">
        <v>0</v>
      </c>
      <c r="V260" s="189">
        <v>0</v>
      </c>
      <c r="W260" s="189"/>
      <c r="X260" s="90"/>
      <c r="Y260" s="188"/>
      <c r="Z260" s="188"/>
      <c r="AA260" s="188"/>
      <c r="AB260" s="188"/>
      <c r="AC260" s="188"/>
      <c r="AD260" s="190"/>
      <c r="AE260" s="189"/>
    </row>
    <row r="261" spans="1:31" ht="21.25" customHeight="1" x14ac:dyDescent="0.15">
      <c r="A261" s="10" t="s">
        <v>556</v>
      </c>
      <c r="B261" s="186" t="s">
        <v>863</v>
      </c>
      <c r="C261" s="187">
        <v>24</v>
      </c>
      <c r="D261" s="186" t="s">
        <v>852</v>
      </c>
      <c r="E261" s="90">
        <v>81.592500000000001</v>
      </c>
      <c r="F261" s="188">
        <v>16.290443782442999</v>
      </c>
      <c r="G261" s="189">
        <v>0.17335467133658</v>
      </c>
      <c r="H261" s="189">
        <v>0.26153529390925401</v>
      </c>
      <c r="I261" s="189">
        <v>0.43488996524583401</v>
      </c>
      <c r="J261" s="189">
        <v>1.57703322596497</v>
      </c>
      <c r="K261" s="189">
        <v>1.49596461219658E-2</v>
      </c>
      <c r="L261" s="189">
        <v>4.5344336781636602E-2</v>
      </c>
      <c r="M261" s="189">
        <v>1.87638167206974E-2</v>
      </c>
      <c r="N261" s="189">
        <v>2.82354953324375E-2</v>
      </c>
      <c r="O261" s="189">
        <v>0.63690364150591805</v>
      </c>
      <c r="P261" s="189">
        <v>1.3630586627872301</v>
      </c>
      <c r="Q261" s="189">
        <v>2.0003283652920902E-2</v>
      </c>
      <c r="R261" s="189">
        <v>0.74404516815959698</v>
      </c>
      <c r="S261" s="189">
        <v>3.0750549372854499E-2</v>
      </c>
      <c r="T261" s="189">
        <v>3.1874900131717201</v>
      </c>
      <c r="U261" s="189">
        <v>3.0665011005588401</v>
      </c>
      <c r="V261" s="189">
        <v>0.50967293608294795</v>
      </c>
      <c r="W261" s="189"/>
      <c r="X261" s="90"/>
      <c r="Y261" s="188"/>
      <c r="Z261" s="188"/>
      <c r="AA261" s="188"/>
      <c r="AB261" s="188"/>
      <c r="AC261" s="188"/>
      <c r="AD261" s="190"/>
      <c r="AE261" s="189"/>
    </row>
    <row r="262" spans="1:31" ht="21.25" customHeight="1" x14ac:dyDescent="0.15">
      <c r="A262" s="10" t="s">
        <v>590</v>
      </c>
      <c r="B262" s="186" t="s">
        <v>865</v>
      </c>
      <c r="C262" s="187">
        <v>21</v>
      </c>
      <c r="D262" s="186" t="s">
        <v>846</v>
      </c>
      <c r="E262" s="90">
        <v>79.465000000000003</v>
      </c>
      <c r="F262" s="188">
        <v>13.4018109740272</v>
      </c>
      <c r="G262" s="189">
        <v>0.216005761766841</v>
      </c>
      <c r="H262" s="189">
        <v>0.21885689036207601</v>
      </c>
      <c r="I262" s="189">
        <v>0.434862652128917</v>
      </c>
      <c r="J262" s="189">
        <v>1.54853335133767</v>
      </c>
      <c r="K262" s="189">
        <v>4.2390270461398802E-2</v>
      </c>
      <c r="L262" s="189">
        <v>0.103114042727144</v>
      </c>
      <c r="M262" s="189">
        <v>1.79228679683202E-4</v>
      </c>
      <c r="N262" s="189">
        <v>2.0246413674426201E-4</v>
      </c>
      <c r="O262" s="189">
        <v>0.390080833504098</v>
      </c>
      <c r="P262" s="189">
        <v>0.84386892411728498</v>
      </c>
      <c r="Q262" s="189">
        <v>-3.5915281793625402E-2</v>
      </c>
      <c r="R262" s="189">
        <v>0.271830889769896</v>
      </c>
      <c r="S262" s="189">
        <v>2.99222017275378E-2</v>
      </c>
      <c r="T262" s="189">
        <v>1.22726059336005</v>
      </c>
      <c r="U262" s="189">
        <v>1.88715648105794</v>
      </c>
      <c r="V262" s="189">
        <v>0.39405788114920198</v>
      </c>
      <c r="W262" s="189"/>
      <c r="X262" s="90"/>
      <c r="Y262" s="188"/>
      <c r="Z262" s="188"/>
      <c r="AA262" s="188"/>
      <c r="AB262" s="188"/>
      <c r="AC262" s="188"/>
      <c r="AD262" s="190"/>
      <c r="AE262" s="189"/>
    </row>
    <row r="263" spans="1:31" ht="21.25" customHeight="1" x14ac:dyDescent="0.15">
      <c r="A263" s="10" t="s">
        <v>615</v>
      </c>
      <c r="B263" s="186" t="s">
        <v>869</v>
      </c>
      <c r="C263" s="187">
        <v>33</v>
      </c>
      <c r="D263" s="186" t="s">
        <v>839</v>
      </c>
      <c r="E263" s="90">
        <v>71.267499999999998</v>
      </c>
      <c r="F263" s="188">
        <v>14.437819161748299</v>
      </c>
      <c r="G263" s="189">
        <v>0.161629068558928</v>
      </c>
      <c r="H263" s="189">
        <v>0.27283716380975798</v>
      </c>
      <c r="I263" s="189">
        <v>0.43446623236868598</v>
      </c>
      <c r="J263" s="189">
        <v>1.72118657684154</v>
      </c>
      <c r="K263" s="189">
        <v>1.05604820911188E-2</v>
      </c>
      <c r="L263" s="189">
        <v>2.1959157131051701E-2</v>
      </c>
      <c r="M263" s="189">
        <v>5.5870396777378296E-3</v>
      </c>
      <c r="N263" s="189">
        <v>1.4172961684045899E-2</v>
      </c>
      <c r="O263" s="189">
        <v>0.81894068855931201</v>
      </c>
      <c r="P263" s="189">
        <v>1.74602378682654</v>
      </c>
      <c r="Q263" s="189">
        <v>5.6134410340269503E-2</v>
      </c>
      <c r="R263" s="189">
        <v>0.41012065262283598</v>
      </c>
      <c r="S263" s="189">
        <v>2.4207074837656301E-2</v>
      </c>
      <c r="T263" s="189">
        <v>3.51936101158697</v>
      </c>
      <c r="U263" s="189">
        <v>3.1336837173442</v>
      </c>
      <c r="V263" s="189">
        <v>0.52898502189273</v>
      </c>
      <c r="W263" s="189"/>
      <c r="X263" s="90"/>
      <c r="Y263" s="188"/>
      <c r="Z263" s="188"/>
      <c r="AA263" s="188"/>
      <c r="AB263" s="188"/>
      <c r="AC263" s="188"/>
      <c r="AD263" s="190"/>
      <c r="AE263" s="189"/>
    </row>
    <row r="264" spans="1:31" ht="21.25" customHeight="1" x14ac:dyDescent="0.15">
      <c r="A264" s="10" t="s">
        <v>545</v>
      </c>
      <c r="B264" s="186" t="s">
        <v>849</v>
      </c>
      <c r="C264" s="187">
        <v>31</v>
      </c>
      <c r="D264" s="186" t="s">
        <v>848</v>
      </c>
      <c r="E264" s="90">
        <v>80.209999999999994</v>
      </c>
      <c r="F264" s="188">
        <v>14.7897505159786</v>
      </c>
      <c r="G264" s="189">
        <v>0.196568950471294</v>
      </c>
      <c r="H264" s="189">
        <v>0.23762921969967801</v>
      </c>
      <c r="I264" s="189">
        <v>0.43419817017097201</v>
      </c>
      <c r="J264" s="189">
        <v>1.9995456567822001</v>
      </c>
      <c r="K264" s="189">
        <v>6.8695194774697496E-3</v>
      </c>
      <c r="L264" s="189">
        <v>2.31420623899053E-2</v>
      </c>
      <c r="M264" s="189">
        <v>1.11546938993716E-2</v>
      </c>
      <c r="N264" s="189">
        <v>1.7573601444534199E-2</v>
      </c>
      <c r="O264" s="189">
        <v>0.46230278194827101</v>
      </c>
      <c r="P264" s="189">
        <v>0.82540167896693695</v>
      </c>
      <c r="Q264" s="189">
        <v>1.26962294842085E-2</v>
      </c>
      <c r="R264" s="189">
        <v>0.221149453143174</v>
      </c>
      <c r="S264" s="189">
        <v>3.1050849570063498E-2</v>
      </c>
      <c r="T264" s="189">
        <v>5.2210257206823402E-2</v>
      </c>
      <c r="U264" s="189">
        <v>0.21982520708822201</v>
      </c>
      <c r="V264" s="189">
        <v>0.19192445125535901</v>
      </c>
      <c r="W264" s="189"/>
      <c r="X264" s="90"/>
      <c r="Y264" s="188"/>
      <c r="Z264" s="188"/>
      <c r="AA264" s="188"/>
      <c r="AB264" s="188"/>
      <c r="AC264" s="188"/>
      <c r="AD264" s="190"/>
      <c r="AE264" s="189"/>
    </row>
    <row r="265" spans="1:31" ht="21.25" customHeight="1" x14ac:dyDescent="0.15">
      <c r="A265" s="10" t="s">
        <v>325</v>
      </c>
      <c r="B265" s="186" t="s">
        <v>857</v>
      </c>
      <c r="C265" s="187">
        <v>22</v>
      </c>
      <c r="D265" s="186" t="s">
        <v>827</v>
      </c>
      <c r="E265" s="90">
        <v>75.5</v>
      </c>
      <c r="F265" s="188">
        <v>20.6560979414079</v>
      </c>
      <c r="G265" s="189">
        <v>0.15791676652391601</v>
      </c>
      <c r="H265" s="189">
        <v>0.27599557474207398</v>
      </c>
      <c r="I265" s="189">
        <v>0.43391234126598999</v>
      </c>
      <c r="J265" s="189">
        <v>1.2887100239374401</v>
      </c>
      <c r="K265" s="189">
        <v>8.6678212197695802E-3</v>
      </c>
      <c r="L265" s="189">
        <v>3.1280091891876097E-2</v>
      </c>
      <c r="M265" s="189">
        <v>3.79110789771085E-4</v>
      </c>
      <c r="N265" s="189">
        <v>2.6074930684310302E-3</v>
      </c>
      <c r="O265" s="189">
        <v>1.4313658797053499</v>
      </c>
      <c r="P265" s="189">
        <v>0.58625785136976305</v>
      </c>
      <c r="Q265" s="189">
        <v>2.9498949183028901E-2</v>
      </c>
      <c r="R265" s="189">
        <v>0.30397853925270202</v>
      </c>
      <c r="S265" s="189">
        <v>2.5446903042512899E-2</v>
      </c>
      <c r="T265" s="189">
        <v>0</v>
      </c>
      <c r="U265" s="189">
        <v>0</v>
      </c>
      <c r="V265" s="189">
        <v>0</v>
      </c>
      <c r="W265" s="189"/>
      <c r="X265" s="90"/>
      <c r="Y265" s="188"/>
      <c r="Z265" s="188"/>
      <c r="AA265" s="188"/>
      <c r="AB265" s="188"/>
      <c r="AC265" s="188"/>
      <c r="AD265" s="190"/>
      <c r="AE265" s="189"/>
    </row>
    <row r="266" spans="1:31" ht="21.25" customHeight="1" x14ac:dyDescent="0.15">
      <c r="A266" s="10" t="s">
        <v>597</v>
      </c>
      <c r="B266" s="186" t="s">
        <v>841</v>
      </c>
      <c r="C266" s="187">
        <v>22</v>
      </c>
      <c r="D266" s="186" t="s">
        <v>824</v>
      </c>
      <c r="E266" s="90">
        <v>74.805000000000007</v>
      </c>
      <c r="F266" s="188">
        <v>15.454413919588401</v>
      </c>
      <c r="G266" s="189">
        <v>0.205290036375156</v>
      </c>
      <c r="H266" s="189">
        <v>0.22869844570035799</v>
      </c>
      <c r="I266" s="189">
        <v>0.43398848207551399</v>
      </c>
      <c r="J266" s="189">
        <v>1.4460159078120101</v>
      </c>
      <c r="K266" s="189">
        <v>1.72919263808138E-2</v>
      </c>
      <c r="L266" s="189">
        <v>5.2134649814629702E-2</v>
      </c>
      <c r="M266" s="189">
        <v>1.69562426613906E-3</v>
      </c>
      <c r="N266" s="189">
        <v>1.08724150768968E-2</v>
      </c>
      <c r="O266" s="189">
        <v>0.59351905919486003</v>
      </c>
      <c r="P266" s="189">
        <v>1.6758537262259401</v>
      </c>
      <c r="Q266" s="189">
        <v>-3.6562337256348301E-3</v>
      </c>
      <c r="R266" s="189">
        <v>0.282296937175677</v>
      </c>
      <c r="S266" s="189">
        <v>2.76364896895414E-2</v>
      </c>
      <c r="T266" s="189">
        <v>4.9513521447025202</v>
      </c>
      <c r="U266" s="189">
        <v>5.2025243582078096</v>
      </c>
      <c r="V266" s="189">
        <v>0.48763170827253499</v>
      </c>
      <c r="W266" s="189"/>
      <c r="X266" s="90"/>
      <c r="Y266" s="188"/>
      <c r="Z266" s="188"/>
      <c r="AA266" s="188"/>
      <c r="AB266" s="188"/>
      <c r="AC266" s="188"/>
      <c r="AD266" s="190"/>
      <c r="AE266" s="189"/>
    </row>
    <row r="267" spans="1:31" ht="21.25" customHeight="1" x14ac:dyDescent="0.15">
      <c r="A267" s="10" t="s">
        <v>270</v>
      </c>
      <c r="B267" s="186" t="s">
        <v>861</v>
      </c>
      <c r="C267" s="187">
        <v>34</v>
      </c>
      <c r="D267" s="186" t="s">
        <v>827</v>
      </c>
      <c r="E267" s="90">
        <v>80.569999999999993</v>
      </c>
      <c r="F267" s="188">
        <v>21.800901973401398</v>
      </c>
      <c r="G267" s="189">
        <v>9.9737115137208496E-2</v>
      </c>
      <c r="H267" s="189">
        <v>0.33282954272861898</v>
      </c>
      <c r="I267" s="189">
        <v>0.43256665786582799</v>
      </c>
      <c r="J267" s="189">
        <v>1.70635440237206</v>
      </c>
      <c r="K267" s="189">
        <v>1.45667118298863E-2</v>
      </c>
      <c r="L267" s="189">
        <v>8.3373019760209E-2</v>
      </c>
      <c r="M267" s="189">
        <v>2.3789050942938899E-4</v>
      </c>
      <c r="N267" s="189">
        <v>1.0560810088614E-2</v>
      </c>
      <c r="O267" s="189">
        <v>1.61795078897552</v>
      </c>
      <c r="P267" s="189">
        <v>0.95794573681306305</v>
      </c>
      <c r="Q267" s="189">
        <v>-3.9025556263061499E-2</v>
      </c>
      <c r="R267" s="189">
        <v>0.47668469857690798</v>
      </c>
      <c r="S267" s="189">
        <v>1.5629594074625101E-2</v>
      </c>
      <c r="T267" s="189">
        <v>0</v>
      </c>
      <c r="U267" s="189">
        <v>0</v>
      </c>
      <c r="V267" s="189">
        <v>0</v>
      </c>
      <c r="W267" s="189"/>
      <c r="X267" s="90"/>
      <c r="Y267" s="188"/>
      <c r="Z267" s="188"/>
      <c r="AA267" s="188"/>
      <c r="AB267" s="188"/>
      <c r="AC267" s="188"/>
      <c r="AD267" s="190"/>
      <c r="AE267" s="189"/>
    </row>
    <row r="268" spans="1:31" ht="21.25" customHeight="1" x14ac:dyDescent="0.15">
      <c r="A268" s="10" t="s">
        <v>527</v>
      </c>
      <c r="B268" s="186" t="s">
        <v>856</v>
      </c>
      <c r="C268" s="187">
        <v>29</v>
      </c>
      <c r="D268" s="186" t="s">
        <v>848</v>
      </c>
      <c r="E268" s="90">
        <v>83.614999999999995</v>
      </c>
      <c r="F268" s="188">
        <v>16.470797783753</v>
      </c>
      <c r="G268" s="189">
        <v>0.23045963126000901</v>
      </c>
      <c r="H268" s="189">
        <v>0.200442818576716</v>
      </c>
      <c r="I268" s="189">
        <v>0.43090244983672499</v>
      </c>
      <c r="J268" s="189">
        <v>1.7457870610958299</v>
      </c>
      <c r="K268" s="189">
        <v>1.8019480347732601E-2</v>
      </c>
      <c r="L268" s="189">
        <v>2.8093361167070299E-2</v>
      </c>
      <c r="M268" s="189">
        <v>9.0119326860651303E-3</v>
      </c>
      <c r="N268" s="189">
        <v>2.0437705659018299E-2</v>
      </c>
      <c r="O268" s="189">
        <v>0.66769492289702603</v>
      </c>
      <c r="P268" s="189">
        <v>2.40060975425328</v>
      </c>
      <c r="Q268" s="189">
        <v>2.0640732493704801E-2</v>
      </c>
      <c r="R268" s="189">
        <v>0.458498893329782</v>
      </c>
      <c r="S268" s="189">
        <v>3.7252556458021502E-2</v>
      </c>
      <c r="T268" s="189">
        <v>0.356912861110456</v>
      </c>
      <c r="U268" s="189">
        <v>0.60240516115890397</v>
      </c>
      <c r="V268" s="189">
        <v>0.372048531170241</v>
      </c>
      <c r="W268" s="189"/>
      <c r="X268" s="90"/>
      <c r="Y268" s="188"/>
      <c r="Z268" s="188"/>
      <c r="AA268" s="188"/>
      <c r="AB268" s="188"/>
      <c r="AC268" s="188"/>
      <c r="AD268" s="190"/>
      <c r="AE268" s="189"/>
    </row>
    <row r="269" spans="1:31" ht="21.25" customHeight="1" x14ac:dyDescent="0.15">
      <c r="A269" s="10" t="s">
        <v>540</v>
      </c>
      <c r="B269" s="186" t="s">
        <v>865</v>
      </c>
      <c r="C269" s="187">
        <v>29</v>
      </c>
      <c r="D269" s="186" t="s">
        <v>839</v>
      </c>
      <c r="E269" s="90">
        <v>79.344999999999999</v>
      </c>
      <c r="F269" s="188">
        <v>14.7541908645058</v>
      </c>
      <c r="G269" s="189">
        <v>0.18484887027320901</v>
      </c>
      <c r="H269" s="189">
        <v>0.24585464561747</v>
      </c>
      <c r="I269" s="189">
        <v>0.43070351589067901</v>
      </c>
      <c r="J269" s="189">
        <v>2.1972512449063601</v>
      </c>
      <c r="K269" s="189">
        <v>1.8465331580135198E-2</v>
      </c>
      <c r="L269" s="189">
        <v>3.4717142135601703E-2</v>
      </c>
      <c r="M269" s="189">
        <v>1.26498450597652E-3</v>
      </c>
      <c r="N269" s="189">
        <v>2.0987143475291801E-3</v>
      </c>
      <c r="O269" s="189">
        <v>0.506109144808087</v>
      </c>
      <c r="P269" s="189">
        <v>2.26021209258144</v>
      </c>
      <c r="Q269" s="189">
        <v>-2.43760228257448E-2</v>
      </c>
      <c r="R269" s="189">
        <v>0.368742621376278</v>
      </c>
      <c r="S269" s="189">
        <v>2.5606192817174699E-2</v>
      </c>
      <c r="T269" s="189">
        <v>1.5355149458330599</v>
      </c>
      <c r="U269" s="189">
        <v>1.7773510826386301</v>
      </c>
      <c r="V269" s="189">
        <v>0.46350046534825801</v>
      </c>
      <c r="W269" s="189"/>
      <c r="X269" s="90"/>
      <c r="Y269" s="189"/>
      <c r="Z269" s="189"/>
      <c r="AA269" s="189"/>
      <c r="AB269" s="189"/>
      <c r="AC269" s="188"/>
      <c r="AD269" s="190"/>
      <c r="AE269" s="189"/>
    </row>
    <row r="270" spans="1:31" ht="21.25" customHeight="1" x14ac:dyDescent="0.15">
      <c r="A270" s="10" t="s">
        <v>581</v>
      </c>
      <c r="B270" s="186" t="s">
        <v>836</v>
      </c>
      <c r="C270" s="187">
        <v>25</v>
      </c>
      <c r="D270" s="186" t="s">
        <v>848</v>
      </c>
      <c r="E270" s="90">
        <v>77.73</v>
      </c>
      <c r="F270" s="188">
        <v>15.4630295683498</v>
      </c>
      <c r="G270" s="189">
        <v>0.19011393036382199</v>
      </c>
      <c r="H270" s="189">
        <v>0.23869039619841301</v>
      </c>
      <c r="I270" s="189">
        <v>0.42880432656223499</v>
      </c>
      <c r="J270" s="189">
        <v>1.6728697014579901</v>
      </c>
      <c r="K270" s="189">
        <v>9.3370431637332003E-3</v>
      </c>
      <c r="L270" s="189">
        <v>2.5253932434559902E-2</v>
      </c>
      <c r="M270" s="189">
        <v>1.2770646743736501E-3</v>
      </c>
      <c r="N270" s="189">
        <v>2.1055488924634999E-3</v>
      </c>
      <c r="O270" s="189">
        <v>0.63421986122267604</v>
      </c>
      <c r="P270" s="189">
        <v>2.7314252765240399</v>
      </c>
      <c r="Q270" s="189">
        <v>8.2788572469203195E-2</v>
      </c>
      <c r="R270" s="189">
        <v>0.498679716340374</v>
      </c>
      <c r="S270" s="189">
        <v>3.3372894834000799E-2</v>
      </c>
      <c r="T270" s="189">
        <v>0.23449277944605301</v>
      </c>
      <c r="U270" s="189">
        <v>0.55960935125300604</v>
      </c>
      <c r="V270" s="189">
        <v>0.29529297351163802</v>
      </c>
      <c r="W270" s="189"/>
      <c r="X270" s="90"/>
      <c r="Y270" s="188"/>
      <c r="Z270" s="188"/>
      <c r="AA270" s="188"/>
      <c r="AB270" s="188"/>
      <c r="AC270" s="188"/>
      <c r="AD270" s="190"/>
      <c r="AE270" s="189"/>
    </row>
    <row r="271" spans="1:31" ht="21.25" customHeight="1" x14ac:dyDescent="0.15">
      <c r="A271" s="10" t="s">
        <v>629</v>
      </c>
      <c r="B271" s="186" t="s">
        <v>843</v>
      </c>
      <c r="C271" s="187">
        <v>28</v>
      </c>
      <c r="D271" s="186" t="s">
        <v>839</v>
      </c>
      <c r="E271" s="90">
        <v>78.495000000000005</v>
      </c>
      <c r="F271" s="188">
        <v>15.439399037418699</v>
      </c>
      <c r="G271" s="189">
        <v>0.21996662612349099</v>
      </c>
      <c r="H271" s="189">
        <v>0.20871235347025399</v>
      </c>
      <c r="I271" s="189">
        <v>0.42867897959374501</v>
      </c>
      <c r="J271" s="189">
        <v>1.32165313606317</v>
      </c>
      <c r="K271" s="189">
        <v>6.37425755493081E-3</v>
      </c>
      <c r="L271" s="189">
        <v>3.4553585190071498E-2</v>
      </c>
      <c r="M271" s="189">
        <v>7.2130035921772698E-3</v>
      </c>
      <c r="N271" s="189">
        <v>8.1507866843187494E-3</v>
      </c>
      <c r="O271" s="189">
        <v>0.50026862465701705</v>
      </c>
      <c r="P271" s="189">
        <v>1.57578637213423</v>
      </c>
      <c r="Q271" s="189">
        <v>3.7912011366913002E-2</v>
      </c>
      <c r="R271" s="189">
        <v>0.56131061796718096</v>
      </c>
      <c r="S271" s="189">
        <v>4.1964668136957699E-2</v>
      </c>
      <c r="T271" s="189">
        <v>4.13508682993068</v>
      </c>
      <c r="U271" s="189">
        <v>4.1295522815546502</v>
      </c>
      <c r="V271" s="189">
        <v>0.50033483303392701</v>
      </c>
      <c r="W271" s="189"/>
      <c r="X271" s="90"/>
      <c r="Y271" s="188"/>
      <c r="Z271" s="188"/>
      <c r="AA271" s="188"/>
      <c r="AB271" s="188"/>
      <c r="AC271" s="188"/>
      <c r="AD271" s="190"/>
      <c r="AE271" s="189"/>
    </row>
    <row r="272" spans="1:31" ht="21.25" customHeight="1" x14ac:dyDescent="0.15">
      <c r="A272" s="10" t="s">
        <v>566</v>
      </c>
      <c r="B272" s="186" t="s">
        <v>860</v>
      </c>
      <c r="C272" s="187">
        <v>37</v>
      </c>
      <c r="D272" s="186" t="s">
        <v>824</v>
      </c>
      <c r="E272" s="90">
        <v>81.625</v>
      </c>
      <c r="F272" s="188">
        <v>15.785414734502099</v>
      </c>
      <c r="G272" s="189">
        <v>0.19197605983948901</v>
      </c>
      <c r="H272" s="189">
        <v>0.236622254704736</v>
      </c>
      <c r="I272" s="189">
        <v>0.42859831454422498</v>
      </c>
      <c r="J272" s="189">
        <v>1.39993268234117</v>
      </c>
      <c r="K272" s="189">
        <v>1.400765260571E-2</v>
      </c>
      <c r="L272" s="189">
        <v>1.70206636650987E-2</v>
      </c>
      <c r="M272" s="189">
        <v>1.00984886042149E-2</v>
      </c>
      <c r="N272" s="189">
        <v>2.0918139245483199E-2</v>
      </c>
      <c r="O272" s="189">
        <v>0.61005058075998997</v>
      </c>
      <c r="P272" s="189">
        <v>1.9501289802527799</v>
      </c>
      <c r="Q272" s="189">
        <v>6.9272130456234801E-2</v>
      </c>
      <c r="R272" s="189">
        <v>0.33236220829069502</v>
      </c>
      <c r="S272" s="189">
        <v>3.2967237453039797E-2</v>
      </c>
      <c r="T272" s="189">
        <v>10.6874395281215</v>
      </c>
      <c r="U272" s="189">
        <v>8.4589863752249208</v>
      </c>
      <c r="V272" s="189">
        <v>0.55819501676569006</v>
      </c>
      <c r="W272" s="189"/>
      <c r="X272" s="90"/>
      <c r="Y272" s="188"/>
      <c r="Z272" s="188"/>
      <c r="AA272" s="188"/>
      <c r="AB272" s="188"/>
      <c r="AC272" s="188"/>
      <c r="AD272" s="190"/>
      <c r="AE272" s="189"/>
    </row>
    <row r="273" spans="1:31" ht="21.25" customHeight="1" x14ac:dyDescent="0.15">
      <c r="A273" s="10" t="s">
        <v>576</v>
      </c>
      <c r="B273" s="186" t="s">
        <v>857</v>
      </c>
      <c r="C273" s="187">
        <v>23</v>
      </c>
      <c r="D273" s="186" t="s">
        <v>846</v>
      </c>
      <c r="E273" s="90">
        <v>81.152500000000003</v>
      </c>
      <c r="F273" s="188">
        <v>14.526269925250901</v>
      </c>
      <c r="G273" s="189">
        <v>0.135113693992755</v>
      </c>
      <c r="H273" s="189">
        <v>0.292478292669624</v>
      </c>
      <c r="I273" s="189">
        <v>0.42759198666237902</v>
      </c>
      <c r="J273" s="189">
        <v>1.6506657712602</v>
      </c>
      <c r="K273" s="189">
        <v>4.9782910938731299E-3</v>
      </c>
      <c r="L273" s="189">
        <v>1.04541674672458E-2</v>
      </c>
      <c r="M273" s="189">
        <v>3.8855897446386698E-3</v>
      </c>
      <c r="N273" s="189">
        <v>8.9712605108779597E-3</v>
      </c>
      <c r="O273" s="189">
        <v>0.53424592139308003</v>
      </c>
      <c r="P273" s="189">
        <v>1.2184914817371399</v>
      </c>
      <c r="Q273" s="189">
        <v>-3.8454284645705601E-3</v>
      </c>
      <c r="R273" s="189">
        <v>0.41119812901854502</v>
      </c>
      <c r="S273" s="189">
        <v>2.1772387735843599E-2</v>
      </c>
      <c r="T273" s="189">
        <v>1.68015056136092</v>
      </c>
      <c r="U273" s="189">
        <v>2.1210721909081398</v>
      </c>
      <c r="V273" s="189">
        <v>0.44200265831777202</v>
      </c>
      <c r="W273" s="189"/>
      <c r="X273" s="90"/>
      <c r="Y273" s="188"/>
      <c r="Z273" s="188"/>
      <c r="AA273" s="188"/>
      <c r="AB273" s="188"/>
      <c r="AC273" s="188"/>
      <c r="AD273" s="190"/>
      <c r="AE273" s="189"/>
    </row>
    <row r="274" spans="1:31" ht="21.25" customHeight="1" x14ac:dyDescent="0.15">
      <c r="A274" s="10" t="s">
        <v>535</v>
      </c>
      <c r="B274" s="186" t="s">
        <v>859</v>
      </c>
      <c r="C274" s="187">
        <v>27</v>
      </c>
      <c r="D274" s="186" t="s">
        <v>824</v>
      </c>
      <c r="E274" s="90">
        <v>80.362499999999997</v>
      </c>
      <c r="F274" s="188">
        <v>14.776851075330301</v>
      </c>
      <c r="G274" s="189">
        <v>0.14742350563613299</v>
      </c>
      <c r="H274" s="189">
        <v>0.27845786053419902</v>
      </c>
      <c r="I274" s="189">
        <v>0.42588136617033201</v>
      </c>
      <c r="J274" s="189">
        <v>1.2481840127063299</v>
      </c>
      <c r="K274" s="189">
        <v>1.0015055803238801E-3</v>
      </c>
      <c r="L274" s="189">
        <v>1.87248753172991E-3</v>
      </c>
      <c r="M274" s="189">
        <v>2.4263126631333998E-2</v>
      </c>
      <c r="N274" s="189">
        <v>4.8220409077325603E-2</v>
      </c>
      <c r="O274" s="189">
        <v>1.12108108188872</v>
      </c>
      <c r="P274" s="189">
        <v>0.62007140754234602</v>
      </c>
      <c r="Q274" s="189">
        <v>-3.9770405659209897E-2</v>
      </c>
      <c r="R274" s="189">
        <v>0.206192945322585</v>
      </c>
      <c r="S274" s="189">
        <v>2.15381514985598E-2</v>
      </c>
      <c r="T274" s="189">
        <v>6.4137847595067603</v>
      </c>
      <c r="U274" s="189">
        <v>6.5624073502210303</v>
      </c>
      <c r="V274" s="189">
        <v>0.494273258693402</v>
      </c>
      <c r="W274" s="189"/>
      <c r="X274" s="90"/>
      <c r="Y274" s="188"/>
      <c r="Z274" s="188"/>
      <c r="AA274" s="188"/>
      <c r="AB274" s="188"/>
      <c r="AC274" s="188"/>
      <c r="AD274" s="190"/>
      <c r="AE274" s="189"/>
    </row>
    <row r="275" spans="1:31" ht="21.25" customHeight="1" x14ac:dyDescent="0.15">
      <c r="A275" s="10" t="s">
        <v>478</v>
      </c>
      <c r="B275" s="186" t="s">
        <v>871</v>
      </c>
      <c r="C275" s="187">
        <v>37</v>
      </c>
      <c r="D275" s="186" t="s">
        <v>824</v>
      </c>
      <c r="E275" s="90">
        <v>83.204999999999998</v>
      </c>
      <c r="F275" s="188">
        <v>18.218013500381101</v>
      </c>
      <c r="G275" s="189">
        <v>0.17361308986909499</v>
      </c>
      <c r="H275" s="189">
        <v>0.251955207841281</v>
      </c>
      <c r="I275" s="189">
        <v>0.42556829771037602</v>
      </c>
      <c r="J275" s="189">
        <v>2.2196137594162502</v>
      </c>
      <c r="K275" s="189">
        <v>1.22708489932904E-2</v>
      </c>
      <c r="L275" s="189">
        <v>3.8147927128872099E-2</v>
      </c>
      <c r="M275" s="189">
        <v>8.5567498895995197E-3</v>
      </c>
      <c r="N275" s="189">
        <v>3.4520737129116602E-2</v>
      </c>
      <c r="O275" s="189">
        <v>0.45137415685321702</v>
      </c>
      <c r="P275" s="189">
        <v>0.46624931680031501</v>
      </c>
      <c r="Q275" s="189">
        <v>-9.3840235880681994E-2</v>
      </c>
      <c r="R275" s="189">
        <v>0.31261241163074099</v>
      </c>
      <c r="S275" s="189">
        <v>2.4961216587272898E-2</v>
      </c>
      <c r="T275" s="189">
        <v>8.8953600064569809</v>
      </c>
      <c r="U275" s="189">
        <v>9.0507294604913593</v>
      </c>
      <c r="V275" s="189">
        <v>0.495671216999098</v>
      </c>
      <c r="W275" s="189"/>
      <c r="X275" s="90"/>
      <c r="Y275" s="188"/>
      <c r="Z275" s="188"/>
      <c r="AA275" s="188"/>
      <c r="AB275" s="188"/>
      <c r="AC275" s="188"/>
      <c r="AD275" s="190"/>
      <c r="AE275" s="189"/>
    </row>
    <row r="276" spans="1:31" ht="21.25" customHeight="1" x14ac:dyDescent="0.15">
      <c r="A276" s="10" t="s">
        <v>244</v>
      </c>
      <c r="B276" s="186" t="s">
        <v>870</v>
      </c>
      <c r="C276" s="187">
        <v>32</v>
      </c>
      <c r="D276" s="186" t="s">
        <v>827</v>
      </c>
      <c r="E276" s="90">
        <v>79.097499999999997</v>
      </c>
      <c r="F276" s="188">
        <v>22.522137787957298</v>
      </c>
      <c r="G276" s="189">
        <v>0.13530545899737401</v>
      </c>
      <c r="H276" s="189">
        <v>0.28935121646241202</v>
      </c>
      <c r="I276" s="189">
        <v>0.42465667545978603</v>
      </c>
      <c r="J276" s="189">
        <v>2.5259648514873101</v>
      </c>
      <c r="K276" s="189">
        <v>2.30029386020001E-2</v>
      </c>
      <c r="L276" s="189">
        <v>0.10147006744689201</v>
      </c>
      <c r="M276" s="189">
        <v>1.7090972245660901E-4</v>
      </c>
      <c r="N276" s="189">
        <v>6.2586618685082495E-4</v>
      </c>
      <c r="O276" s="189">
        <v>1.2555678873831999</v>
      </c>
      <c r="P276" s="189">
        <v>1.0686397797373499</v>
      </c>
      <c r="Q276" s="189">
        <v>-0.109840906317342</v>
      </c>
      <c r="R276" s="189">
        <v>0.67003565715360203</v>
      </c>
      <c r="S276" s="189">
        <v>1.8641734603035E-2</v>
      </c>
      <c r="T276" s="189">
        <v>0</v>
      </c>
      <c r="U276" s="189">
        <v>0</v>
      </c>
      <c r="V276" s="189">
        <v>0</v>
      </c>
      <c r="W276" s="189"/>
      <c r="X276" s="90"/>
      <c r="Y276" s="188"/>
      <c r="Z276" s="188"/>
      <c r="AA276" s="188"/>
      <c r="AB276" s="188"/>
      <c r="AC276" s="188"/>
      <c r="AD276" s="190"/>
      <c r="AE276" s="189"/>
    </row>
    <row r="277" spans="1:31" ht="21.25" customHeight="1" x14ac:dyDescent="0.15">
      <c r="A277" s="10" t="s">
        <v>587</v>
      </c>
      <c r="B277" s="186" t="s">
        <v>855</v>
      </c>
      <c r="C277" s="187">
        <v>24</v>
      </c>
      <c r="D277" s="186" t="s">
        <v>826</v>
      </c>
      <c r="E277" s="90">
        <v>78.932500000000005</v>
      </c>
      <c r="F277" s="188">
        <v>13.209040968278</v>
      </c>
      <c r="G277" s="189">
        <v>0.22103486389342999</v>
      </c>
      <c r="H277" s="189">
        <v>0.20122522838566501</v>
      </c>
      <c r="I277" s="189">
        <v>0.422260092279095</v>
      </c>
      <c r="J277" s="189">
        <v>1.7053054270149699</v>
      </c>
      <c r="K277" s="189">
        <v>2.7746700451959299E-2</v>
      </c>
      <c r="L277" s="189">
        <v>5.4610627756104299E-2</v>
      </c>
      <c r="M277" s="189">
        <v>4.6958446443879699E-4</v>
      </c>
      <c r="N277" s="189">
        <v>7.7332195819219995E-4</v>
      </c>
      <c r="O277" s="189">
        <v>0.48376798838860502</v>
      </c>
      <c r="P277" s="189">
        <v>1.05958171352091</v>
      </c>
      <c r="Q277" s="189">
        <v>-1.63183301198929E-2</v>
      </c>
      <c r="R277" s="189">
        <v>0.20457727589942301</v>
      </c>
      <c r="S277" s="189">
        <v>3.2047246250376998E-2</v>
      </c>
      <c r="T277" s="189">
        <v>0.124959610282246</v>
      </c>
      <c r="U277" s="189">
        <v>0.16916430221060599</v>
      </c>
      <c r="V277" s="189">
        <v>0.42485362452562497</v>
      </c>
      <c r="W277" s="189"/>
      <c r="X277" s="90"/>
      <c r="Y277" s="188"/>
      <c r="Z277" s="188"/>
      <c r="AA277" s="188"/>
      <c r="AB277" s="188"/>
      <c r="AC277" s="188"/>
      <c r="AD277" s="190"/>
      <c r="AE277" s="189"/>
    </row>
    <row r="278" spans="1:31" ht="21.25" customHeight="1" x14ac:dyDescent="0.15">
      <c r="A278" s="10" t="s">
        <v>542</v>
      </c>
      <c r="B278" s="186" t="s">
        <v>861</v>
      </c>
      <c r="C278" s="187">
        <v>22</v>
      </c>
      <c r="D278" s="186" t="s">
        <v>839</v>
      </c>
      <c r="E278" s="90">
        <v>82.265000000000001</v>
      </c>
      <c r="F278" s="188">
        <v>15.3575853869018</v>
      </c>
      <c r="G278" s="189">
        <v>0.199618538925557</v>
      </c>
      <c r="H278" s="189">
        <v>0.220704018925761</v>
      </c>
      <c r="I278" s="189">
        <v>0.420322557851318</v>
      </c>
      <c r="J278" s="189">
        <v>1.8559883701861699</v>
      </c>
      <c r="K278" s="189">
        <v>3.1027323398335999E-2</v>
      </c>
      <c r="L278" s="189">
        <v>6.8627883251763E-2</v>
      </c>
      <c r="M278" s="189">
        <v>1.3011780539054401E-3</v>
      </c>
      <c r="N278" s="189">
        <v>8.2853481864263601E-3</v>
      </c>
      <c r="O278" s="189">
        <v>0.62094612391471804</v>
      </c>
      <c r="P278" s="189">
        <v>2.1483065766264802</v>
      </c>
      <c r="Q278" s="189">
        <v>-2.1309253023153299E-2</v>
      </c>
      <c r="R278" s="189">
        <v>0.32764661511840698</v>
      </c>
      <c r="S278" s="189">
        <v>3.1281802455225098E-2</v>
      </c>
      <c r="T278" s="189">
        <v>3.14058193019634</v>
      </c>
      <c r="U278" s="189">
        <v>3.3515977765076901</v>
      </c>
      <c r="V278" s="189">
        <v>0.48374845923523602</v>
      </c>
      <c r="W278" s="189"/>
      <c r="X278" s="90"/>
      <c r="Y278" s="188"/>
      <c r="Z278" s="188"/>
      <c r="AA278" s="188"/>
      <c r="AB278" s="188"/>
      <c r="AC278" s="188"/>
      <c r="AD278" s="190"/>
      <c r="AE278" s="189"/>
    </row>
    <row r="279" spans="1:31" ht="21.25" customHeight="1" x14ac:dyDescent="0.15">
      <c r="A279" s="10" t="s">
        <v>694</v>
      </c>
      <c r="B279" s="186" t="s">
        <v>867</v>
      </c>
      <c r="C279" s="187">
        <v>22</v>
      </c>
      <c r="D279" s="186" t="s">
        <v>825</v>
      </c>
      <c r="E279" s="90">
        <v>67</v>
      </c>
      <c r="F279" s="188">
        <v>12.1732900580456</v>
      </c>
      <c r="G279" s="189">
        <v>0.203869212286653</v>
      </c>
      <c r="H279" s="189">
        <v>0.21413028026932299</v>
      </c>
      <c r="I279" s="189">
        <v>0.41799949255597602</v>
      </c>
      <c r="J279" s="189">
        <v>1.2578108408426201</v>
      </c>
      <c r="K279" s="189">
        <v>5.9353947674185698E-3</v>
      </c>
      <c r="L279" s="189">
        <v>1.38368633738711E-2</v>
      </c>
      <c r="M279" s="189">
        <v>1.6850822447680801E-4</v>
      </c>
      <c r="N279" s="189">
        <v>2.77156366838318E-4</v>
      </c>
      <c r="O279" s="189">
        <v>0.40951577739154099</v>
      </c>
      <c r="P279" s="189">
        <v>0.95991385918397099</v>
      </c>
      <c r="Q279" s="189">
        <v>1.1410560253373401E-2</v>
      </c>
      <c r="R279" s="189">
        <v>0.25059584790322698</v>
      </c>
      <c r="S279" s="189">
        <v>3.2218462639433801E-2</v>
      </c>
      <c r="T279" s="189">
        <v>0</v>
      </c>
      <c r="U279" s="189">
        <v>0.11329260175007499</v>
      </c>
      <c r="V279" s="189">
        <v>0</v>
      </c>
      <c r="W279" s="189"/>
      <c r="X279" s="90"/>
      <c r="Y279" s="188"/>
      <c r="Z279" s="188"/>
      <c r="AA279" s="188"/>
      <c r="AB279" s="188"/>
      <c r="AC279" s="188"/>
      <c r="AD279" s="190"/>
      <c r="AE279" s="189"/>
    </row>
    <row r="280" spans="1:31" ht="21.25" customHeight="1" x14ac:dyDescent="0.15">
      <c r="A280" s="10" t="s">
        <v>291</v>
      </c>
      <c r="B280" s="186" t="s">
        <v>860</v>
      </c>
      <c r="C280" s="187">
        <v>24</v>
      </c>
      <c r="D280" s="186" t="s">
        <v>827</v>
      </c>
      <c r="E280" s="90">
        <v>83.277500000000003</v>
      </c>
      <c r="F280" s="188">
        <v>19.195055660445298</v>
      </c>
      <c r="G280" s="189">
        <v>0.12525726611099</v>
      </c>
      <c r="H280" s="189">
        <v>0.29168104264925199</v>
      </c>
      <c r="I280" s="189">
        <v>0.41693830876024202</v>
      </c>
      <c r="J280" s="189">
        <v>1.564057707708</v>
      </c>
      <c r="K280" s="189">
        <v>4.0600679828981801E-2</v>
      </c>
      <c r="L280" s="189">
        <v>0.11282785303970699</v>
      </c>
      <c r="M280" s="189">
        <v>6.7185776210070703E-3</v>
      </c>
      <c r="N280" s="189">
        <v>7.6059664003660498E-3</v>
      </c>
      <c r="O280" s="189">
        <v>1.24612766427735</v>
      </c>
      <c r="P280" s="189">
        <v>1.4972823750853801</v>
      </c>
      <c r="Q280" s="189">
        <v>9.2069751270332206E-2</v>
      </c>
      <c r="R280" s="189">
        <v>0.43852776700402701</v>
      </c>
      <c r="S280" s="189">
        <v>2.1509900963964799E-2</v>
      </c>
      <c r="T280" s="189">
        <v>0</v>
      </c>
      <c r="U280" s="189">
        <v>0</v>
      </c>
      <c r="V280" s="189">
        <v>0</v>
      </c>
      <c r="W280" s="189"/>
      <c r="X280" s="90"/>
      <c r="Y280" s="188"/>
      <c r="Z280" s="188"/>
      <c r="AA280" s="188"/>
      <c r="AB280" s="188"/>
      <c r="AC280" s="188"/>
      <c r="AD280" s="190"/>
      <c r="AE280" s="189"/>
    </row>
    <row r="281" spans="1:31" ht="21.25" customHeight="1" x14ac:dyDescent="0.15">
      <c r="A281" s="10" t="s">
        <v>562</v>
      </c>
      <c r="B281" s="186" t="s">
        <v>850</v>
      </c>
      <c r="C281" s="187">
        <v>23</v>
      </c>
      <c r="D281" s="186" t="s">
        <v>824</v>
      </c>
      <c r="E281" s="90">
        <v>78.492500000000007</v>
      </c>
      <c r="F281" s="188">
        <v>14.095800476372</v>
      </c>
      <c r="G281" s="189">
        <v>0.22173556073071601</v>
      </c>
      <c r="H281" s="189">
        <v>0.19460418138876201</v>
      </c>
      <c r="I281" s="189">
        <v>0.416339742119478</v>
      </c>
      <c r="J281" s="189">
        <v>1.5378347211824099</v>
      </c>
      <c r="K281" s="189">
        <v>1.3478130168852701E-2</v>
      </c>
      <c r="L281" s="189">
        <v>2.7641900279214499E-2</v>
      </c>
      <c r="M281" s="189">
        <v>9.1646528430379508E-3</v>
      </c>
      <c r="N281" s="189">
        <v>2.57107363033071E-2</v>
      </c>
      <c r="O281" s="189">
        <v>0.71979322696626302</v>
      </c>
      <c r="P281" s="189">
        <v>0.48537786759838503</v>
      </c>
      <c r="Q281" s="189">
        <v>9.6622526401556608E-3</v>
      </c>
      <c r="R281" s="189">
        <v>0.284663955650092</v>
      </c>
      <c r="S281" s="189">
        <v>3.69167875722516E-2</v>
      </c>
      <c r="T281" s="189">
        <v>3.5499805419416899</v>
      </c>
      <c r="U281" s="189">
        <v>4.3017069393379304</v>
      </c>
      <c r="V281" s="189">
        <v>0.452129628236698</v>
      </c>
      <c r="W281" s="189"/>
      <c r="X281" s="90"/>
      <c r="Y281" s="188"/>
      <c r="Z281" s="188"/>
      <c r="AA281" s="188"/>
      <c r="AB281" s="188"/>
      <c r="AC281" s="188"/>
      <c r="AD281" s="190"/>
      <c r="AE281" s="189"/>
    </row>
    <row r="282" spans="1:31" ht="21.25" customHeight="1" x14ac:dyDescent="0.15">
      <c r="A282" s="10" t="s">
        <v>582</v>
      </c>
      <c r="B282" s="186" t="s">
        <v>861</v>
      </c>
      <c r="C282" s="187">
        <v>21</v>
      </c>
      <c r="D282" s="186" t="s">
        <v>839</v>
      </c>
      <c r="E282" s="90">
        <v>83.355000000000004</v>
      </c>
      <c r="F282" s="188">
        <v>15.320136413872</v>
      </c>
      <c r="G282" s="189">
        <v>0.17553687763079401</v>
      </c>
      <c r="H282" s="189">
        <v>0.239715809032195</v>
      </c>
      <c r="I282" s="189">
        <v>0.41525268666298898</v>
      </c>
      <c r="J282" s="189">
        <v>1.5187299492708399</v>
      </c>
      <c r="K282" s="189">
        <v>4.4818865204243399E-2</v>
      </c>
      <c r="L282" s="189">
        <v>9.6837548344714502E-2</v>
      </c>
      <c r="M282" s="189">
        <v>1.1414805871449499E-3</v>
      </c>
      <c r="N282" s="189">
        <v>1.8930028701908299E-3</v>
      </c>
      <c r="O282" s="189">
        <v>0.49293473254030701</v>
      </c>
      <c r="P282" s="189">
        <v>1.50752913849479</v>
      </c>
      <c r="Q282" s="189">
        <v>-2.41463380881979E-2</v>
      </c>
      <c r="R282" s="189">
        <v>0.184313281288876</v>
      </c>
      <c r="S282" s="189">
        <v>2.7508015834648E-2</v>
      </c>
      <c r="T282" s="189">
        <v>0.56651959988354395</v>
      </c>
      <c r="U282" s="189">
        <v>0.72321651048962998</v>
      </c>
      <c r="V282" s="189">
        <v>0.43925233644859801</v>
      </c>
      <c r="W282" s="189"/>
      <c r="X282" s="90"/>
      <c r="Y282" s="188"/>
      <c r="Z282" s="188"/>
      <c r="AA282" s="188"/>
      <c r="AB282" s="188"/>
      <c r="AC282" s="188"/>
      <c r="AD282" s="190"/>
      <c r="AE282" s="189"/>
    </row>
    <row r="283" spans="1:31" ht="21.25" customHeight="1" x14ac:dyDescent="0.15">
      <c r="A283" s="10" t="s">
        <v>571</v>
      </c>
      <c r="B283" s="186" t="s">
        <v>864</v>
      </c>
      <c r="C283" s="187">
        <v>31</v>
      </c>
      <c r="D283" s="186" t="s">
        <v>826</v>
      </c>
      <c r="E283" s="90">
        <v>83.262500000000003</v>
      </c>
      <c r="F283" s="188">
        <v>14.181241117637899</v>
      </c>
      <c r="G283" s="189">
        <v>0.15090200547447399</v>
      </c>
      <c r="H283" s="189">
        <v>0.26216208356811299</v>
      </c>
      <c r="I283" s="189">
        <v>0.41306408904258701</v>
      </c>
      <c r="J283" s="189">
        <v>1.6209347214826599</v>
      </c>
      <c r="K283" s="189">
        <v>3.4681822355421603E-2</v>
      </c>
      <c r="L283" s="189">
        <v>7.3619350060937394E-2</v>
      </c>
      <c r="M283" s="189">
        <v>0</v>
      </c>
      <c r="N283" s="189">
        <v>0</v>
      </c>
      <c r="O283" s="189">
        <v>0.48514669009725597</v>
      </c>
      <c r="P283" s="189">
        <v>1.1135977024261401</v>
      </c>
      <c r="Q283" s="189">
        <v>-1.05740205167053E-2</v>
      </c>
      <c r="R283" s="189">
        <v>0.22025460399204699</v>
      </c>
      <c r="S283" s="189">
        <v>2.3707277286616899E-2</v>
      </c>
      <c r="T283" s="189">
        <v>7.51484687661928E-2</v>
      </c>
      <c r="U283" s="189">
        <v>0.13463871601440799</v>
      </c>
      <c r="V283" s="189">
        <v>0.35821286626628102</v>
      </c>
      <c r="W283" s="189"/>
      <c r="X283" s="90"/>
      <c r="Y283" s="188"/>
      <c r="Z283" s="188"/>
      <c r="AA283" s="188"/>
      <c r="AB283" s="188"/>
      <c r="AC283" s="188"/>
      <c r="AD283" s="190"/>
      <c r="AE283" s="189"/>
    </row>
    <row r="284" spans="1:31" ht="21.25" customHeight="1" x14ac:dyDescent="0.15">
      <c r="A284" s="10" t="s">
        <v>346</v>
      </c>
      <c r="B284" s="186" t="s">
        <v>864</v>
      </c>
      <c r="C284" s="187">
        <v>27</v>
      </c>
      <c r="D284" s="186" t="s">
        <v>827</v>
      </c>
      <c r="E284" s="90">
        <v>72.375</v>
      </c>
      <c r="F284" s="188">
        <v>20.277003092576599</v>
      </c>
      <c r="G284" s="189">
        <v>9.0601627282898806E-2</v>
      </c>
      <c r="H284" s="189">
        <v>0.320864294666451</v>
      </c>
      <c r="I284" s="189">
        <v>0.41146592194935</v>
      </c>
      <c r="J284" s="189">
        <v>1.4034464410231</v>
      </c>
      <c r="K284" s="189">
        <v>9.7646501805697707E-3</v>
      </c>
      <c r="L284" s="189">
        <v>6.2824904708912999E-2</v>
      </c>
      <c r="M284" s="189">
        <v>1.8854879897785301E-4</v>
      </c>
      <c r="N284" s="189">
        <v>6.7569465115238398E-4</v>
      </c>
      <c r="O284" s="189">
        <v>1.5417953784491001</v>
      </c>
      <c r="P284" s="189">
        <v>0.76270716800903804</v>
      </c>
      <c r="Q284" s="189">
        <v>-1.3678597409034101E-2</v>
      </c>
      <c r="R284" s="189">
        <v>0.55677117845618695</v>
      </c>
      <c r="S284" s="189">
        <v>1.4233859211219901E-2</v>
      </c>
      <c r="T284" s="189">
        <v>0</v>
      </c>
      <c r="U284" s="189">
        <v>0</v>
      </c>
      <c r="V284" s="189">
        <v>0</v>
      </c>
      <c r="W284" s="189"/>
      <c r="X284" s="90"/>
      <c r="Y284" s="188"/>
      <c r="Z284" s="188"/>
      <c r="AA284" s="188"/>
      <c r="AB284" s="188"/>
      <c r="AC284" s="188"/>
      <c r="AD284" s="190"/>
      <c r="AE284" s="189"/>
    </row>
    <row r="285" spans="1:31" ht="21.25" customHeight="1" x14ac:dyDescent="0.15">
      <c r="A285" s="10" t="s">
        <v>640</v>
      </c>
      <c r="B285" s="186" t="s">
        <v>858</v>
      </c>
      <c r="C285" s="187">
        <v>30</v>
      </c>
      <c r="D285" s="186" t="s">
        <v>839</v>
      </c>
      <c r="E285" s="90">
        <v>79.197500000000005</v>
      </c>
      <c r="F285" s="188">
        <v>14.3794651333434</v>
      </c>
      <c r="G285" s="189">
        <v>0.204189508708848</v>
      </c>
      <c r="H285" s="189">
        <v>0.20677680705347401</v>
      </c>
      <c r="I285" s="189">
        <v>0.41096631576232201</v>
      </c>
      <c r="J285" s="189">
        <v>1.3746402414585699</v>
      </c>
      <c r="K285" s="189">
        <v>9.5478873844753107E-3</v>
      </c>
      <c r="L285" s="189">
        <v>3.03217256767301E-2</v>
      </c>
      <c r="M285" s="189">
        <v>1.01431643330474E-2</v>
      </c>
      <c r="N285" s="189">
        <v>2.0082035974998899E-2</v>
      </c>
      <c r="O285" s="189">
        <v>0.39776758645738303</v>
      </c>
      <c r="P285" s="189">
        <v>0.669032498362511</v>
      </c>
      <c r="Q285" s="189">
        <v>-3.3193021363174301E-3</v>
      </c>
      <c r="R285" s="189">
        <v>0.25810329305588497</v>
      </c>
      <c r="S285" s="189">
        <v>2.9442298500002299E-2</v>
      </c>
      <c r="T285" s="189">
        <v>3.5383525533114302</v>
      </c>
      <c r="U285" s="189">
        <v>4.1193595571666597</v>
      </c>
      <c r="V285" s="189">
        <v>0.46206393009602498</v>
      </c>
      <c r="W285" s="189"/>
      <c r="X285" s="90"/>
      <c r="Y285" s="188"/>
      <c r="Z285" s="188"/>
      <c r="AA285" s="188"/>
      <c r="AB285" s="188"/>
      <c r="AC285" s="188"/>
      <c r="AD285" s="190"/>
      <c r="AE285" s="189"/>
    </row>
    <row r="286" spans="1:31" ht="21.25" customHeight="1" x14ac:dyDescent="0.15">
      <c r="A286" s="10" t="s">
        <v>310</v>
      </c>
      <c r="B286" s="186" t="s">
        <v>838</v>
      </c>
      <c r="C286" s="187">
        <v>32</v>
      </c>
      <c r="D286" s="186" t="s">
        <v>827</v>
      </c>
      <c r="E286" s="90">
        <v>80.72</v>
      </c>
      <c r="F286" s="188">
        <v>22.088133384258398</v>
      </c>
      <c r="G286" s="189">
        <v>6.8440879604869595E-2</v>
      </c>
      <c r="H286" s="189">
        <v>0.34160061701222</v>
      </c>
      <c r="I286" s="189">
        <v>0.41004149661709</v>
      </c>
      <c r="J286" s="189">
        <v>1.54978946468992</v>
      </c>
      <c r="K286" s="189">
        <v>6.2837102439310998E-3</v>
      </c>
      <c r="L286" s="189">
        <v>2.7074390842983801E-2</v>
      </c>
      <c r="M286" s="189">
        <v>1.9045227242621001E-4</v>
      </c>
      <c r="N286" s="189">
        <v>3.06498072535334E-3</v>
      </c>
      <c r="O286" s="189">
        <v>1.30622413549217</v>
      </c>
      <c r="P286" s="189">
        <v>0.57682657822555705</v>
      </c>
      <c r="Q286" s="189">
        <v>0.118789178308061</v>
      </c>
      <c r="R286" s="189">
        <v>0.36930354877719401</v>
      </c>
      <c r="S286" s="189">
        <v>1.2352703502114501E-2</v>
      </c>
      <c r="T286" s="189">
        <v>0</v>
      </c>
      <c r="U286" s="189">
        <v>0</v>
      </c>
      <c r="V286" s="189">
        <v>0</v>
      </c>
      <c r="W286" s="189"/>
      <c r="X286" s="90"/>
      <c r="Y286" s="188"/>
      <c r="Z286" s="188"/>
      <c r="AA286" s="188"/>
      <c r="AB286" s="188"/>
      <c r="AC286" s="188"/>
      <c r="AD286" s="190"/>
      <c r="AE286" s="189"/>
    </row>
    <row r="287" spans="1:31" ht="21.25" customHeight="1" x14ac:dyDescent="0.15">
      <c r="A287" s="10" t="s">
        <v>600</v>
      </c>
      <c r="B287" s="186" t="s">
        <v>842</v>
      </c>
      <c r="C287" s="187">
        <v>32</v>
      </c>
      <c r="D287" s="186" t="s">
        <v>826</v>
      </c>
      <c r="E287" s="90">
        <v>81.6875</v>
      </c>
      <c r="F287" s="188">
        <v>15.520441059788199</v>
      </c>
      <c r="G287" s="189">
        <v>0.16893823521165899</v>
      </c>
      <c r="H287" s="189">
        <v>0.23984784707512</v>
      </c>
      <c r="I287" s="189">
        <v>0.40878608228677898</v>
      </c>
      <c r="J287" s="189">
        <v>1.4662430891728899</v>
      </c>
      <c r="K287" s="189">
        <v>2.7497960309758498E-2</v>
      </c>
      <c r="L287" s="189">
        <v>5.9433291579287603E-2</v>
      </c>
      <c r="M287" s="189">
        <v>1.6312956989299399E-2</v>
      </c>
      <c r="N287" s="189">
        <v>2.12197587895127E-2</v>
      </c>
      <c r="O287" s="189">
        <v>0.473016870326677</v>
      </c>
      <c r="P287" s="189">
        <v>0.39186283820735501</v>
      </c>
      <c r="Q287" s="189">
        <v>-9.6709366369112301E-3</v>
      </c>
      <c r="R287" s="189">
        <v>0.196541019647862</v>
      </c>
      <c r="S287" s="189">
        <v>2.5250491345791399E-2</v>
      </c>
      <c r="T287" s="189">
        <v>0.134683948400912</v>
      </c>
      <c r="U287" s="189">
        <v>0.25334819456678098</v>
      </c>
      <c r="V287" s="189">
        <v>0.34709482408039999</v>
      </c>
      <c r="W287" s="189"/>
      <c r="X287" s="90"/>
      <c r="Y287" s="188"/>
      <c r="Z287" s="188"/>
      <c r="AA287" s="188"/>
      <c r="AB287" s="188"/>
      <c r="AC287" s="188"/>
      <c r="AD287" s="190"/>
      <c r="AE287" s="189"/>
    </row>
    <row r="288" spans="1:31" ht="21.25" customHeight="1" x14ac:dyDescent="0.15">
      <c r="A288" s="10" t="s">
        <v>583</v>
      </c>
      <c r="B288" s="186" t="s">
        <v>856</v>
      </c>
      <c r="C288" s="187">
        <v>26</v>
      </c>
      <c r="D288" s="186" t="s">
        <v>824</v>
      </c>
      <c r="E288" s="90">
        <v>76.467500000000001</v>
      </c>
      <c r="F288" s="188">
        <v>15.3024117542873</v>
      </c>
      <c r="G288" s="189">
        <v>0.16693897385623099</v>
      </c>
      <c r="H288" s="189">
        <v>0.24016455188652899</v>
      </c>
      <c r="I288" s="189">
        <v>0.40710352574275999</v>
      </c>
      <c r="J288" s="189">
        <v>1.6695383228068701</v>
      </c>
      <c r="K288" s="189">
        <v>4.7304820508862602E-2</v>
      </c>
      <c r="L288" s="189">
        <v>8.7653077780638397E-2</v>
      </c>
      <c r="M288" s="189">
        <v>3.32823193238021E-3</v>
      </c>
      <c r="N288" s="189">
        <v>5.48473911045704E-3</v>
      </c>
      <c r="O288" s="189">
        <v>0.48166721736592599</v>
      </c>
      <c r="P288" s="189">
        <v>0.53522732326060896</v>
      </c>
      <c r="Q288" s="189">
        <v>2.0478286222102401E-2</v>
      </c>
      <c r="R288" s="189">
        <v>0.48302041646131699</v>
      </c>
      <c r="S288" s="189">
        <v>2.69847847738988E-2</v>
      </c>
      <c r="T288" s="189">
        <v>6.2178217262417403</v>
      </c>
      <c r="U288" s="189">
        <v>5.4924415134575604</v>
      </c>
      <c r="V288" s="189">
        <v>0.53097198576736704</v>
      </c>
      <c r="W288" s="189"/>
      <c r="X288" s="90"/>
      <c r="Y288" s="188"/>
      <c r="Z288" s="188"/>
      <c r="AA288" s="188"/>
      <c r="AB288" s="188"/>
      <c r="AC288" s="188"/>
      <c r="AD288" s="190"/>
      <c r="AE288" s="189"/>
    </row>
    <row r="289" spans="1:31" ht="21.25" customHeight="1" x14ac:dyDescent="0.15">
      <c r="A289" s="10" t="s">
        <v>668</v>
      </c>
      <c r="B289" s="186" t="s">
        <v>837</v>
      </c>
      <c r="C289" s="187">
        <v>25</v>
      </c>
      <c r="D289" s="186" t="s">
        <v>839</v>
      </c>
      <c r="E289" s="90">
        <v>77.385000000000005</v>
      </c>
      <c r="F289" s="188">
        <v>12.939665368428701</v>
      </c>
      <c r="G289" s="189">
        <v>0.14915299526814799</v>
      </c>
      <c r="H289" s="189">
        <v>0.25776862949084201</v>
      </c>
      <c r="I289" s="189">
        <v>0.40692162475899002</v>
      </c>
      <c r="J289" s="189">
        <v>1.0804554700225699</v>
      </c>
      <c r="K289" s="189">
        <v>1.1253420591813E-2</v>
      </c>
      <c r="L289" s="189">
        <v>3.9246274356975003E-2</v>
      </c>
      <c r="M289" s="189">
        <v>2.31513345088005E-4</v>
      </c>
      <c r="N289" s="189">
        <v>3.7973652923163598E-4</v>
      </c>
      <c r="O289" s="189">
        <v>0.38253699474863201</v>
      </c>
      <c r="P289" s="189">
        <v>1.1205790727017</v>
      </c>
      <c r="Q289" s="189">
        <v>0.107787524247497</v>
      </c>
      <c r="R289" s="189">
        <v>0.36369424328040101</v>
      </c>
      <c r="S289" s="189">
        <v>2.6476064431605301E-2</v>
      </c>
      <c r="T289" s="189">
        <v>0.106052089574416</v>
      </c>
      <c r="U289" s="189">
        <v>0.17363593209627901</v>
      </c>
      <c r="V289" s="189">
        <v>0.37917994821845402</v>
      </c>
      <c r="W289" s="189"/>
      <c r="X289" s="90"/>
      <c r="Y289" s="188"/>
      <c r="Z289" s="188"/>
      <c r="AA289" s="188"/>
      <c r="AB289" s="188"/>
      <c r="AC289" s="188"/>
      <c r="AD289" s="190"/>
      <c r="AE289" s="189"/>
    </row>
    <row r="290" spans="1:31" ht="21.25" customHeight="1" x14ac:dyDescent="0.15">
      <c r="A290" s="10" t="s">
        <v>290</v>
      </c>
      <c r="B290" s="186" t="s">
        <v>861</v>
      </c>
      <c r="C290" s="187">
        <v>23</v>
      </c>
      <c r="D290" s="186" t="s">
        <v>827</v>
      </c>
      <c r="E290" s="90">
        <v>80.504999999999995</v>
      </c>
      <c r="F290" s="188">
        <v>22.552208649855999</v>
      </c>
      <c r="G290" s="189">
        <v>0.12372679758723699</v>
      </c>
      <c r="H290" s="189">
        <v>0.28295439327247701</v>
      </c>
      <c r="I290" s="189">
        <v>0.40668119085971399</v>
      </c>
      <c r="J290" s="189">
        <v>1.3101479164519001</v>
      </c>
      <c r="K290" s="189">
        <v>5.6731966642013505E-4</v>
      </c>
      <c r="L290" s="189">
        <v>7.1219640107353299E-3</v>
      </c>
      <c r="M290" s="189">
        <v>2.8910222777331601E-4</v>
      </c>
      <c r="N290" s="189">
        <v>1.37853986999641E-2</v>
      </c>
      <c r="O290" s="189">
        <v>1.95356400121437</v>
      </c>
      <c r="P290" s="189">
        <v>1.17372464771234</v>
      </c>
      <c r="Q290" s="189">
        <v>5.5759306375154603E-4</v>
      </c>
      <c r="R290" s="189">
        <v>0.74029195074304599</v>
      </c>
      <c r="S290" s="189">
        <v>1.93889668834063E-2</v>
      </c>
      <c r="T290" s="189">
        <v>0</v>
      </c>
      <c r="U290" s="189">
        <v>0</v>
      </c>
      <c r="V290" s="189">
        <v>0</v>
      </c>
      <c r="W290" s="189"/>
      <c r="X290" s="90"/>
      <c r="Y290" s="188"/>
      <c r="Z290" s="188"/>
      <c r="AA290" s="188"/>
      <c r="AB290" s="188"/>
      <c r="AC290" s="188"/>
      <c r="AD290" s="190"/>
      <c r="AE290" s="189"/>
    </row>
    <row r="291" spans="1:31" ht="21.25" customHeight="1" x14ac:dyDescent="0.15">
      <c r="A291" s="10" t="s">
        <v>625</v>
      </c>
      <c r="B291" s="186" t="s">
        <v>854</v>
      </c>
      <c r="C291" s="187">
        <v>30</v>
      </c>
      <c r="D291" s="186" t="s">
        <v>852</v>
      </c>
      <c r="E291" s="90">
        <v>83.355000000000004</v>
      </c>
      <c r="F291" s="188">
        <v>13.399955434021299</v>
      </c>
      <c r="G291" s="189">
        <v>0.19583774165863299</v>
      </c>
      <c r="H291" s="189">
        <v>0.20875421277984599</v>
      </c>
      <c r="I291" s="189">
        <v>0.40459195443847901</v>
      </c>
      <c r="J291" s="189">
        <v>1.4402365109208899</v>
      </c>
      <c r="K291" s="189">
        <v>7.5534384709648999E-3</v>
      </c>
      <c r="L291" s="189">
        <v>1.9631129090435299E-2</v>
      </c>
      <c r="M291" s="189">
        <v>6.6984865449658003E-6</v>
      </c>
      <c r="N291" s="189">
        <v>1.1033780308360499E-5</v>
      </c>
      <c r="O291" s="189">
        <v>0.26180406095228798</v>
      </c>
      <c r="P291" s="189">
        <v>1.0191429117500801</v>
      </c>
      <c r="Q291" s="189">
        <v>-9.8794846772795902E-2</v>
      </c>
      <c r="R291" s="189">
        <v>0.34936893900108201</v>
      </c>
      <c r="S291" s="189">
        <v>2.4169520263473E-2</v>
      </c>
      <c r="T291" s="189">
        <v>1.8496767090900099</v>
      </c>
      <c r="U291" s="189">
        <v>2.2256088020632201</v>
      </c>
      <c r="V291" s="189">
        <v>0.45387659441966</v>
      </c>
      <c r="W291" s="189"/>
      <c r="X291" s="90"/>
      <c r="Y291" s="188"/>
      <c r="Z291" s="188"/>
      <c r="AA291" s="188"/>
      <c r="AB291" s="188"/>
      <c r="AC291" s="188"/>
      <c r="AD291" s="190"/>
      <c r="AE291" s="189"/>
    </row>
    <row r="292" spans="1:31" ht="21.25" customHeight="1" x14ac:dyDescent="0.15">
      <c r="A292" s="10" t="s">
        <v>707</v>
      </c>
      <c r="B292" s="186" t="s">
        <v>851</v>
      </c>
      <c r="C292" s="187">
        <v>22</v>
      </c>
      <c r="D292" s="186" t="s">
        <v>824</v>
      </c>
      <c r="E292" s="90">
        <v>55.225000000000001</v>
      </c>
      <c r="F292" s="188">
        <v>13.856038707641099</v>
      </c>
      <c r="G292" s="189">
        <v>0.173593743942352</v>
      </c>
      <c r="H292" s="189">
        <v>0.230561729067944</v>
      </c>
      <c r="I292" s="189">
        <v>0.40415547301029597</v>
      </c>
      <c r="J292" s="189">
        <v>1.4232665151594901</v>
      </c>
      <c r="K292" s="189">
        <v>2.2635254714443599E-2</v>
      </c>
      <c r="L292" s="189">
        <v>7.3640865916134196E-2</v>
      </c>
      <c r="M292" s="189">
        <v>0</v>
      </c>
      <c r="N292" s="189">
        <v>0</v>
      </c>
      <c r="O292" s="189">
        <v>0.39662781125163898</v>
      </c>
      <c r="P292" s="189">
        <v>1.09726486475725</v>
      </c>
      <c r="Q292" s="189">
        <v>-1.48960747183643E-3</v>
      </c>
      <c r="R292" s="189">
        <v>0.32634742610661299</v>
      </c>
      <c r="S292" s="189">
        <v>3.01653422800322E-2</v>
      </c>
      <c r="T292" s="189">
        <v>0.26698009855647398</v>
      </c>
      <c r="U292" s="189">
        <v>0.634062783798781</v>
      </c>
      <c r="V292" s="189">
        <v>0.29630121250012997</v>
      </c>
      <c r="W292" s="189"/>
      <c r="X292" s="90"/>
      <c r="Y292" s="188"/>
      <c r="Z292" s="188"/>
      <c r="AA292" s="188"/>
      <c r="AB292" s="188"/>
      <c r="AC292" s="188"/>
      <c r="AD292" s="190"/>
      <c r="AE292" s="189"/>
    </row>
    <row r="293" spans="1:31" ht="21.25" customHeight="1" x14ac:dyDescent="0.15">
      <c r="A293" s="10" t="s">
        <v>247</v>
      </c>
      <c r="B293" s="186" t="s">
        <v>843</v>
      </c>
      <c r="C293" s="187">
        <v>29</v>
      </c>
      <c r="D293" s="186" t="s">
        <v>827</v>
      </c>
      <c r="E293" s="90">
        <v>83.314999999999998</v>
      </c>
      <c r="F293" s="188">
        <v>21.131642476798</v>
      </c>
      <c r="G293" s="189">
        <v>0.125145955686916</v>
      </c>
      <c r="H293" s="189">
        <v>0.27829091986985299</v>
      </c>
      <c r="I293" s="189">
        <v>0.40343687555676899</v>
      </c>
      <c r="J293" s="189">
        <v>1.8147092213250899</v>
      </c>
      <c r="K293" s="189">
        <v>2.2891984440947599E-2</v>
      </c>
      <c r="L293" s="189">
        <v>6.5421774709180605E-2</v>
      </c>
      <c r="M293" s="189">
        <v>5.6355290655074799E-3</v>
      </c>
      <c r="N293" s="189">
        <v>6.6168971708053899E-3</v>
      </c>
      <c r="O293" s="189">
        <v>1.7962472470522299</v>
      </c>
      <c r="P293" s="189">
        <v>0.54245120350342702</v>
      </c>
      <c r="Q293" s="189">
        <v>3.5605106828415702E-2</v>
      </c>
      <c r="R293" s="189">
        <v>0.56314341283875302</v>
      </c>
      <c r="S293" s="189">
        <v>2.3875024096316699E-2</v>
      </c>
      <c r="T293" s="189">
        <v>0</v>
      </c>
      <c r="U293" s="189">
        <v>0</v>
      </c>
      <c r="V293" s="189">
        <v>0</v>
      </c>
      <c r="W293" s="189"/>
      <c r="X293" s="90"/>
      <c r="Y293" s="188"/>
      <c r="Z293" s="188"/>
      <c r="AA293" s="188"/>
      <c r="AB293" s="188"/>
      <c r="AC293" s="188"/>
      <c r="AD293" s="190"/>
      <c r="AE293" s="189"/>
    </row>
    <row r="294" spans="1:31" ht="21.25" customHeight="1" x14ac:dyDescent="0.15">
      <c r="A294" s="10" t="s">
        <v>314</v>
      </c>
      <c r="B294" s="186" t="s">
        <v>855</v>
      </c>
      <c r="C294" s="187">
        <v>39</v>
      </c>
      <c r="D294" s="186" t="s">
        <v>827</v>
      </c>
      <c r="E294" s="90">
        <v>81.510000000000005</v>
      </c>
      <c r="F294" s="188">
        <v>21.8570841293466</v>
      </c>
      <c r="G294" s="189">
        <v>6.9143812589147105E-2</v>
      </c>
      <c r="H294" s="189">
        <v>0.33240137537627801</v>
      </c>
      <c r="I294" s="189">
        <v>0.40154518796542499</v>
      </c>
      <c r="J294" s="189">
        <v>1.5646358025107201</v>
      </c>
      <c r="K294" s="189">
        <v>1.3957914369717699E-2</v>
      </c>
      <c r="L294" s="189">
        <v>8.3322413682855298E-2</v>
      </c>
      <c r="M294" s="189">
        <v>2.2301549289669299E-4</v>
      </c>
      <c r="N294" s="189">
        <v>8.4637805579219504E-4</v>
      </c>
      <c r="O294" s="189">
        <v>1.3342387175361601</v>
      </c>
      <c r="P294" s="189">
        <v>1.29269128439924</v>
      </c>
      <c r="Q294" s="189">
        <v>-2.14158458182237E-2</v>
      </c>
      <c r="R294" s="189">
        <v>0.56887117699277001</v>
      </c>
      <c r="S294" s="189">
        <v>1.00249741135981E-2</v>
      </c>
      <c r="T294" s="189">
        <v>0</v>
      </c>
      <c r="U294" s="189">
        <v>0</v>
      </c>
      <c r="V294" s="189">
        <v>0</v>
      </c>
      <c r="W294" s="189"/>
      <c r="X294" s="90"/>
      <c r="Y294" s="188"/>
      <c r="Z294" s="188"/>
      <c r="AA294" s="188"/>
      <c r="AB294" s="188"/>
      <c r="AC294" s="188"/>
      <c r="AD294" s="190"/>
      <c r="AE294" s="189"/>
    </row>
    <row r="295" spans="1:31" ht="21.25" customHeight="1" x14ac:dyDescent="0.15">
      <c r="A295" s="10" t="s">
        <v>624</v>
      </c>
      <c r="B295" s="186" t="s">
        <v>863</v>
      </c>
      <c r="C295" s="187">
        <v>30</v>
      </c>
      <c r="D295" s="186" t="s">
        <v>848</v>
      </c>
      <c r="E295" s="90">
        <v>81.577500000000001</v>
      </c>
      <c r="F295" s="188">
        <v>15.2074857993455</v>
      </c>
      <c r="G295" s="189">
        <v>0.17116413301980399</v>
      </c>
      <c r="H295" s="189">
        <v>0.229919932394717</v>
      </c>
      <c r="I295" s="189">
        <v>0.40108406541452102</v>
      </c>
      <c r="J295" s="189">
        <v>1.24404725535469</v>
      </c>
      <c r="K295" s="189">
        <v>1.6952966263667701E-3</v>
      </c>
      <c r="L295" s="189">
        <v>2.8256042759171301E-3</v>
      </c>
      <c r="M295" s="189">
        <v>1.68386187605236E-3</v>
      </c>
      <c r="N295" s="189">
        <v>1.0613792749159801E-2</v>
      </c>
      <c r="O295" s="189">
        <v>0.60309444082652797</v>
      </c>
      <c r="P295" s="189">
        <v>1.2548365895809599</v>
      </c>
      <c r="Q295" s="189">
        <v>3.0539366964198001E-2</v>
      </c>
      <c r="R295" s="189">
        <v>0.26617001549691699</v>
      </c>
      <c r="S295" s="189">
        <v>3.0361980341839699E-2</v>
      </c>
      <c r="T295" s="189">
        <v>0.26068311533524102</v>
      </c>
      <c r="U295" s="189">
        <v>0.327408039675398</v>
      </c>
      <c r="V295" s="189">
        <v>0.44326991337001997</v>
      </c>
      <c r="W295" s="189"/>
      <c r="X295" s="90"/>
      <c r="Y295" s="188"/>
      <c r="Z295" s="188"/>
      <c r="AA295" s="188"/>
      <c r="AB295" s="188"/>
      <c r="AC295" s="188"/>
      <c r="AD295" s="190"/>
      <c r="AE295" s="189"/>
    </row>
    <row r="296" spans="1:31" ht="21.25" customHeight="1" x14ac:dyDescent="0.15">
      <c r="A296" s="10" t="s">
        <v>570</v>
      </c>
      <c r="B296" s="186" t="s">
        <v>866</v>
      </c>
      <c r="C296" s="187">
        <v>24</v>
      </c>
      <c r="D296" s="186" t="s">
        <v>848</v>
      </c>
      <c r="E296" s="90">
        <v>79.08</v>
      </c>
      <c r="F296" s="188">
        <v>15.603944753028999</v>
      </c>
      <c r="G296" s="189">
        <v>0.23757073709042301</v>
      </c>
      <c r="H296" s="189">
        <v>0.162700252095244</v>
      </c>
      <c r="I296" s="189">
        <v>0.400270989185667</v>
      </c>
      <c r="J296" s="189">
        <v>1.86938372180361</v>
      </c>
      <c r="K296" s="189">
        <v>3.70942443274868E-2</v>
      </c>
      <c r="L296" s="189">
        <v>5.71172763197213E-2</v>
      </c>
      <c r="M296" s="189">
        <v>1.92901834892372E-3</v>
      </c>
      <c r="N296" s="189">
        <v>3.1955178974362201E-3</v>
      </c>
      <c r="O296" s="189">
        <v>0.60141627994062097</v>
      </c>
      <c r="P296" s="189">
        <v>2.7162059875297699</v>
      </c>
      <c r="Q296" s="189">
        <v>-6.56993136601665E-2</v>
      </c>
      <c r="R296" s="189">
        <v>0.300459065114766</v>
      </c>
      <c r="S296" s="189">
        <v>3.4695180489550302E-2</v>
      </c>
      <c r="T296" s="189">
        <v>6.3940380978882896E-2</v>
      </c>
      <c r="U296" s="189">
        <v>0.16096665847491301</v>
      </c>
      <c r="V296" s="189">
        <v>0.28429693056369898</v>
      </c>
      <c r="W296" s="189"/>
      <c r="X296" s="90"/>
      <c r="Y296" s="189"/>
      <c r="Z296" s="189"/>
      <c r="AA296" s="189"/>
      <c r="AB296" s="189"/>
      <c r="AC296" s="188"/>
      <c r="AD296" s="190"/>
      <c r="AE296" s="189"/>
    </row>
    <row r="297" spans="1:31" ht="21.25" customHeight="1" x14ac:dyDescent="0.15">
      <c r="A297" s="10" t="s">
        <v>312</v>
      </c>
      <c r="B297" s="186" t="s">
        <v>862</v>
      </c>
      <c r="C297" s="187">
        <v>26</v>
      </c>
      <c r="D297" s="186" t="s">
        <v>827</v>
      </c>
      <c r="E297" s="90">
        <v>76.47</v>
      </c>
      <c r="F297" s="188">
        <v>22.9272605376818</v>
      </c>
      <c r="G297" s="189">
        <v>0.114399700158127</v>
      </c>
      <c r="H297" s="189">
        <v>0.28545197924700999</v>
      </c>
      <c r="I297" s="189">
        <v>0.39985167940513699</v>
      </c>
      <c r="J297" s="189">
        <v>1.34381748378398</v>
      </c>
      <c r="K297" s="189">
        <v>1.2744280933578501E-4</v>
      </c>
      <c r="L297" s="189">
        <v>1.6369562294076001E-3</v>
      </c>
      <c r="M297" s="189">
        <v>7.2522981983237696E-3</v>
      </c>
      <c r="N297" s="189">
        <v>2.2819974801062799E-2</v>
      </c>
      <c r="O297" s="189">
        <v>1.88006333050817</v>
      </c>
      <c r="P297" s="189">
        <v>1.5907875369655899</v>
      </c>
      <c r="Q297" s="189">
        <v>3.0616927177062599E-2</v>
      </c>
      <c r="R297" s="189">
        <v>0.41185621319326499</v>
      </c>
      <c r="S297" s="189">
        <v>1.72480405205412E-2</v>
      </c>
      <c r="T297" s="189">
        <v>0</v>
      </c>
      <c r="U297" s="189">
        <v>0</v>
      </c>
      <c r="V297" s="189">
        <v>0</v>
      </c>
      <c r="W297" s="189"/>
      <c r="X297" s="90"/>
      <c r="Y297" s="188"/>
      <c r="Z297" s="188"/>
      <c r="AA297" s="188"/>
      <c r="AB297" s="188"/>
      <c r="AC297" s="188"/>
      <c r="AD297" s="190"/>
      <c r="AE297" s="189"/>
    </row>
    <row r="298" spans="1:31" ht="21.25" customHeight="1" x14ac:dyDescent="0.15">
      <c r="A298" s="10" t="s">
        <v>305</v>
      </c>
      <c r="B298" s="186" t="s">
        <v>845</v>
      </c>
      <c r="C298" s="187">
        <v>32</v>
      </c>
      <c r="D298" s="186" t="s">
        <v>827</v>
      </c>
      <c r="E298" s="90">
        <v>82.32</v>
      </c>
      <c r="F298" s="188">
        <v>18.902960383619401</v>
      </c>
      <c r="G298" s="189">
        <v>8.3109948471383005E-2</v>
      </c>
      <c r="H298" s="189">
        <v>0.31554273313925801</v>
      </c>
      <c r="I298" s="189">
        <v>0.39865268161064099</v>
      </c>
      <c r="J298" s="189">
        <v>1.47300998634071</v>
      </c>
      <c r="K298" s="189">
        <v>6.1798584762590104E-3</v>
      </c>
      <c r="L298" s="189">
        <v>6.6057474141347702E-2</v>
      </c>
      <c r="M298" s="189">
        <v>2.73849744883571E-4</v>
      </c>
      <c r="N298" s="189">
        <v>3.6509935965051699E-3</v>
      </c>
      <c r="O298" s="189">
        <v>1.3793189984919401</v>
      </c>
      <c r="P298" s="189">
        <v>0.52388812265709594</v>
      </c>
      <c r="Q298" s="189">
        <v>2.4267847596014E-3</v>
      </c>
      <c r="R298" s="189">
        <v>0.305154638576422</v>
      </c>
      <c r="S298" s="189">
        <v>1.1349554364776301E-2</v>
      </c>
      <c r="T298" s="189">
        <v>0</v>
      </c>
      <c r="U298" s="189">
        <v>0</v>
      </c>
      <c r="V298" s="189">
        <v>0</v>
      </c>
      <c r="W298" s="189"/>
      <c r="X298" s="90"/>
      <c r="Y298" s="188"/>
      <c r="Z298" s="188"/>
      <c r="AA298" s="188"/>
      <c r="AB298" s="188"/>
      <c r="AC298" s="188"/>
      <c r="AD298" s="190"/>
      <c r="AE298" s="189"/>
    </row>
    <row r="299" spans="1:31" ht="21.25" customHeight="1" x14ac:dyDescent="0.15">
      <c r="A299" s="10" t="s">
        <v>620</v>
      </c>
      <c r="B299" s="186" t="s">
        <v>854</v>
      </c>
      <c r="C299" s="187">
        <v>22</v>
      </c>
      <c r="D299" s="186" t="s">
        <v>846</v>
      </c>
      <c r="E299" s="90">
        <v>82.94</v>
      </c>
      <c r="F299" s="188">
        <v>16.217444361493701</v>
      </c>
      <c r="G299" s="189">
        <v>0.16993985568520001</v>
      </c>
      <c r="H299" s="189">
        <v>0.227455159047314</v>
      </c>
      <c r="I299" s="189">
        <v>0.39739501473251398</v>
      </c>
      <c r="J299" s="189">
        <v>1.35904392398598</v>
      </c>
      <c r="K299" s="189">
        <v>1.2956131328430501E-2</v>
      </c>
      <c r="L299" s="189">
        <v>4.12465341957238E-2</v>
      </c>
      <c r="M299" s="189">
        <v>1.45882066405741E-2</v>
      </c>
      <c r="N299" s="189">
        <v>1.66143616532041E-2</v>
      </c>
      <c r="O299" s="189">
        <v>0.47499243839632099</v>
      </c>
      <c r="P299" s="189">
        <v>0.66870811475147895</v>
      </c>
      <c r="Q299" s="189">
        <v>-0.11168680191401199</v>
      </c>
      <c r="R299" s="189">
        <v>0.247131517385072</v>
      </c>
      <c r="S299" s="189">
        <v>2.0973305506732799E-2</v>
      </c>
      <c r="T299" s="189">
        <v>4.0636347644025399</v>
      </c>
      <c r="U299" s="189">
        <v>5.4556965975289202</v>
      </c>
      <c r="V299" s="189">
        <v>0.426882373341192</v>
      </c>
      <c r="W299" s="189"/>
      <c r="X299" s="90"/>
      <c r="Y299" s="188"/>
      <c r="Z299" s="188"/>
      <c r="AA299" s="188"/>
      <c r="AB299" s="188"/>
      <c r="AC299" s="188"/>
      <c r="AD299" s="190"/>
      <c r="AE299" s="189"/>
    </row>
    <row r="300" spans="1:31" ht="21.25" customHeight="1" x14ac:dyDescent="0.15">
      <c r="A300" s="10" t="s">
        <v>326</v>
      </c>
      <c r="B300" s="186" t="s">
        <v>854</v>
      </c>
      <c r="C300" s="187">
        <v>20</v>
      </c>
      <c r="D300" s="186" t="s">
        <v>827</v>
      </c>
      <c r="E300" s="90">
        <v>78.22</v>
      </c>
      <c r="F300" s="188">
        <v>20.779301530995301</v>
      </c>
      <c r="G300" s="189">
        <v>6.4008019014250406E-2</v>
      </c>
      <c r="H300" s="189">
        <v>0.33266353808960197</v>
      </c>
      <c r="I300" s="189">
        <v>0.39667155710385199</v>
      </c>
      <c r="J300" s="189">
        <v>1.4731963347941801</v>
      </c>
      <c r="K300" s="189">
        <v>1.44733905208631E-2</v>
      </c>
      <c r="L300" s="189">
        <v>0.113830667121899</v>
      </c>
      <c r="M300" s="189">
        <v>8.3725503283282204E-4</v>
      </c>
      <c r="N300" s="189">
        <v>2.1492266921968499E-3</v>
      </c>
      <c r="O300" s="189">
        <v>1.2728474530962</v>
      </c>
      <c r="P300" s="189">
        <v>1.3729321420282901</v>
      </c>
      <c r="Q300" s="189">
        <v>-0.14618968482948</v>
      </c>
      <c r="R300" s="189">
        <v>0.59651365920652999</v>
      </c>
      <c r="S300" s="189">
        <v>7.8996167923870396E-3</v>
      </c>
      <c r="T300" s="189">
        <v>0</v>
      </c>
      <c r="U300" s="189">
        <v>0</v>
      </c>
      <c r="V300" s="189">
        <v>0</v>
      </c>
      <c r="W300" s="189"/>
      <c r="X300" s="90"/>
      <c r="Y300" s="188"/>
      <c r="Z300" s="188"/>
      <c r="AA300" s="188"/>
      <c r="AB300" s="188"/>
      <c r="AC300" s="188"/>
      <c r="AD300" s="190"/>
      <c r="AE300" s="189"/>
    </row>
    <row r="301" spans="1:31" ht="21.25" customHeight="1" x14ac:dyDescent="0.15">
      <c r="A301" s="10" t="s">
        <v>678</v>
      </c>
      <c r="B301" s="186" t="s">
        <v>843</v>
      </c>
      <c r="C301" s="187">
        <v>23</v>
      </c>
      <c r="D301" s="186" t="s">
        <v>848</v>
      </c>
      <c r="E301" s="90">
        <v>72.41</v>
      </c>
      <c r="F301" s="188">
        <v>12.3247008518724</v>
      </c>
      <c r="G301" s="189">
        <v>0.13226791236475099</v>
      </c>
      <c r="H301" s="189">
        <v>0.26408538263716802</v>
      </c>
      <c r="I301" s="189">
        <v>0.39635329500191901</v>
      </c>
      <c r="J301" s="189">
        <v>1.1820968178585201</v>
      </c>
      <c r="K301" s="189">
        <v>1.09856575023201E-2</v>
      </c>
      <c r="L301" s="189">
        <v>2.2793451750498499E-2</v>
      </c>
      <c r="M301" s="189">
        <v>5.3649121902339501E-5</v>
      </c>
      <c r="N301" s="189">
        <v>8.6555548998689202E-5</v>
      </c>
      <c r="O301" s="189">
        <v>0.41092831689248699</v>
      </c>
      <c r="P301" s="189">
        <v>0.48768501888642801</v>
      </c>
      <c r="Q301" s="189">
        <v>3.09696966045209E-2</v>
      </c>
      <c r="R301" s="189">
        <v>0.24865258353018299</v>
      </c>
      <c r="S301" s="189">
        <v>2.5233732704700602E-2</v>
      </c>
      <c r="T301" s="189">
        <v>4.845376966454E-2</v>
      </c>
      <c r="U301" s="189">
        <v>0.14536130899361999</v>
      </c>
      <c r="V301" s="189">
        <v>0.25</v>
      </c>
      <c r="W301" s="189"/>
      <c r="X301" s="90"/>
      <c r="Y301" s="188"/>
      <c r="Z301" s="188"/>
      <c r="AA301" s="188"/>
      <c r="AB301" s="188"/>
      <c r="AC301" s="188"/>
      <c r="AD301" s="190"/>
      <c r="AE301" s="189"/>
    </row>
    <row r="302" spans="1:31" ht="21.25" customHeight="1" x14ac:dyDescent="0.15">
      <c r="A302" s="10" t="s">
        <v>598</v>
      </c>
      <c r="B302" s="186" t="s">
        <v>866</v>
      </c>
      <c r="C302" s="187">
        <v>33</v>
      </c>
      <c r="D302" s="186" t="s">
        <v>824</v>
      </c>
      <c r="E302" s="90">
        <v>82.197500000000005</v>
      </c>
      <c r="F302" s="188">
        <v>14.785422377912999</v>
      </c>
      <c r="G302" s="189">
        <v>0.15848233221484101</v>
      </c>
      <c r="H302" s="189">
        <v>0.23741716776688901</v>
      </c>
      <c r="I302" s="189">
        <v>0.39589949998173002</v>
      </c>
      <c r="J302" s="189">
        <v>1.1362583128611401</v>
      </c>
      <c r="K302" s="189">
        <v>9.4781598733067703E-4</v>
      </c>
      <c r="L302" s="189">
        <v>2.7077284757482602E-3</v>
      </c>
      <c r="M302" s="189">
        <v>2.4132167540905702E-2</v>
      </c>
      <c r="N302" s="189">
        <v>7.09679946710816E-2</v>
      </c>
      <c r="O302" s="189">
        <v>0.67833586357482001</v>
      </c>
      <c r="P302" s="189">
        <v>1.51000377800135</v>
      </c>
      <c r="Q302" s="189">
        <v>-5.1101750971622402E-2</v>
      </c>
      <c r="R302" s="189">
        <v>0.15913137331591701</v>
      </c>
      <c r="S302" s="189">
        <v>2.3144993309954402E-2</v>
      </c>
      <c r="T302" s="189">
        <v>7.8964351368590497</v>
      </c>
      <c r="U302" s="189">
        <v>5.6426622189446798</v>
      </c>
      <c r="V302" s="189">
        <v>0.58323202273703501</v>
      </c>
      <c r="W302" s="189"/>
      <c r="X302" s="90"/>
      <c r="Y302" s="188"/>
      <c r="Z302" s="188"/>
      <c r="AA302" s="188"/>
      <c r="AB302" s="188"/>
      <c r="AC302" s="188"/>
      <c r="AD302" s="190"/>
      <c r="AE302" s="189"/>
    </row>
    <row r="303" spans="1:31" ht="21.25" customHeight="1" x14ac:dyDescent="0.15">
      <c r="A303" s="10" t="s">
        <v>644</v>
      </c>
      <c r="B303" s="186" t="s">
        <v>838</v>
      </c>
      <c r="C303" s="187">
        <v>34</v>
      </c>
      <c r="D303" s="186" t="s">
        <v>839</v>
      </c>
      <c r="E303" s="90">
        <v>76.212500000000006</v>
      </c>
      <c r="F303" s="188">
        <v>13.2667465083747</v>
      </c>
      <c r="G303" s="189">
        <v>0.18547781767954</v>
      </c>
      <c r="H303" s="189">
        <v>0.209498517357322</v>
      </c>
      <c r="I303" s="189">
        <v>0.39497633503686203</v>
      </c>
      <c r="J303" s="189">
        <v>1.4499989842282399</v>
      </c>
      <c r="K303" s="189">
        <v>2.7664219073292601E-2</v>
      </c>
      <c r="L303" s="189">
        <v>4.6781733272035102E-2</v>
      </c>
      <c r="M303" s="189">
        <v>1.3650206350367599E-3</v>
      </c>
      <c r="N303" s="189">
        <v>2.2041742081887498E-3</v>
      </c>
      <c r="O303" s="189">
        <v>0.54530994828549395</v>
      </c>
      <c r="P303" s="189">
        <v>0.58179180400750896</v>
      </c>
      <c r="Q303" s="189">
        <v>6.7428608253197395E-2</v>
      </c>
      <c r="R303" s="189">
        <v>0.237886146556024</v>
      </c>
      <c r="S303" s="189">
        <v>3.3476374079967001E-2</v>
      </c>
      <c r="T303" s="189">
        <v>0.55656875414961604</v>
      </c>
      <c r="U303" s="189">
        <v>0.46457572460052399</v>
      </c>
      <c r="V303" s="189">
        <v>0.54504408115768799</v>
      </c>
      <c r="W303" s="189"/>
      <c r="X303" s="90"/>
      <c r="Y303" s="188"/>
      <c r="Z303" s="188"/>
      <c r="AA303" s="188"/>
      <c r="AB303" s="188"/>
      <c r="AC303" s="188"/>
      <c r="AD303" s="190"/>
      <c r="AE303" s="189"/>
    </row>
    <row r="304" spans="1:31" ht="21.25" customHeight="1" x14ac:dyDescent="0.15">
      <c r="A304" s="10" t="s">
        <v>675</v>
      </c>
      <c r="B304" s="186" t="s">
        <v>850</v>
      </c>
      <c r="C304" s="187">
        <v>25</v>
      </c>
      <c r="D304" s="186" t="s">
        <v>846</v>
      </c>
      <c r="E304" s="90">
        <v>64.605000000000004</v>
      </c>
      <c r="F304" s="188">
        <v>13.983018364541101</v>
      </c>
      <c r="G304" s="189">
        <v>0.19144276721502301</v>
      </c>
      <c r="H304" s="189">
        <v>0.20351205918366899</v>
      </c>
      <c r="I304" s="189">
        <v>0.394954826398692</v>
      </c>
      <c r="J304" s="189">
        <v>1.3735942657835101</v>
      </c>
      <c r="K304" s="189">
        <v>1.1124695120809901E-2</v>
      </c>
      <c r="L304" s="189">
        <v>5.6649793173921298E-2</v>
      </c>
      <c r="M304" s="189">
        <v>1.3824579678556101E-4</v>
      </c>
      <c r="N304" s="189">
        <v>2.2776821136278E-4</v>
      </c>
      <c r="O304" s="189">
        <v>0.67880735998963004</v>
      </c>
      <c r="P304" s="189">
        <v>1.45001051635261</v>
      </c>
      <c r="Q304" s="189">
        <v>2.1657232826649799E-2</v>
      </c>
      <c r="R304" s="189">
        <v>0.57634863083988097</v>
      </c>
      <c r="S304" s="189">
        <v>3.1873335725810803E-2</v>
      </c>
      <c r="T304" s="189">
        <v>1.36595382167202</v>
      </c>
      <c r="U304" s="189">
        <v>1.98858758621747</v>
      </c>
      <c r="V304" s="189">
        <v>0.40719539739752703</v>
      </c>
      <c r="W304" s="189"/>
      <c r="X304" s="90"/>
      <c r="Y304" s="188"/>
      <c r="Z304" s="188"/>
      <c r="AA304" s="188"/>
      <c r="AB304" s="188"/>
      <c r="AC304" s="188"/>
      <c r="AD304" s="190"/>
      <c r="AE304" s="189"/>
    </row>
    <row r="305" spans="1:31" ht="21.25" customHeight="1" x14ac:dyDescent="0.15">
      <c r="A305" s="10" t="s">
        <v>674</v>
      </c>
      <c r="B305" s="186" t="s">
        <v>850</v>
      </c>
      <c r="C305" s="187">
        <v>26</v>
      </c>
      <c r="D305" s="186" t="s">
        <v>848</v>
      </c>
      <c r="E305" s="90">
        <v>71.114999999999995</v>
      </c>
      <c r="F305" s="188">
        <v>13.260442714423499</v>
      </c>
      <c r="G305" s="189">
        <v>0.161448878841885</v>
      </c>
      <c r="H305" s="189">
        <v>0.23036246912720101</v>
      </c>
      <c r="I305" s="189">
        <v>0.39181134796908601</v>
      </c>
      <c r="J305" s="189">
        <v>1.40183505393545</v>
      </c>
      <c r="K305" s="189">
        <v>8.8158377902226494E-3</v>
      </c>
      <c r="L305" s="189">
        <v>2.6294240636404499E-2</v>
      </c>
      <c r="M305" s="189">
        <v>9.7306487949573898E-4</v>
      </c>
      <c r="N305" s="189">
        <v>1.1316364140719301E-3</v>
      </c>
      <c r="O305" s="189">
        <v>0.33031287302659301</v>
      </c>
      <c r="P305" s="189">
        <v>1.1211909745516699</v>
      </c>
      <c r="Q305" s="189">
        <v>3.3759102693266603E-2</v>
      </c>
      <c r="R305" s="189">
        <v>0.34602149399607801</v>
      </c>
      <c r="S305" s="189">
        <v>2.6879648642475999E-2</v>
      </c>
      <c r="T305" s="189">
        <v>5.98454860292576E-2</v>
      </c>
      <c r="U305" s="189">
        <v>0.21036776814246699</v>
      </c>
      <c r="V305" s="189">
        <v>0.221475020582169</v>
      </c>
      <c r="W305" s="189"/>
      <c r="X305" s="90"/>
      <c r="Y305" s="188"/>
      <c r="Z305" s="188"/>
      <c r="AA305" s="188"/>
      <c r="AB305" s="188"/>
      <c r="AC305" s="188"/>
      <c r="AD305" s="190"/>
      <c r="AE305" s="189"/>
    </row>
    <row r="306" spans="1:31" ht="21.25" customHeight="1" x14ac:dyDescent="0.15">
      <c r="A306" s="10" t="s">
        <v>227</v>
      </c>
      <c r="B306" s="186" t="s">
        <v>856</v>
      </c>
      <c r="C306" s="187">
        <v>32</v>
      </c>
      <c r="D306" s="186" t="s">
        <v>827</v>
      </c>
      <c r="E306" s="90">
        <v>83.36</v>
      </c>
      <c r="F306" s="188">
        <v>22.521005436646199</v>
      </c>
      <c r="G306" s="189">
        <v>7.4309216183948298E-2</v>
      </c>
      <c r="H306" s="189">
        <v>0.317215739918013</v>
      </c>
      <c r="I306" s="189">
        <v>0.39152495610196097</v>
      </c>
      <c r="J306" s="189">
        <v>1.8413031481308599</v>
      </c>
      <c r="K306" s="189">
        <v>1.1897053462196E-2</v>
      </c>
      <c r="L306" s="189">
        <v>9.5023859388816703E-2</v>
      </c>
      <c r="M306" s="189">
        <v>2.0856732372107699E-4</v>
      </c>
      <c r="N306" s="189">
        <v>1.6986321799518801E-2</v>
      </c>
      <c r="O306" s="189">
        <v>2.16176653448988</v>
      </c>
      <c r="P306" s="189">
        <v>2.0423354204381798</v>
      </c>
      <c r="Q306" s="189">
        <v>-1.3158168448848401E-2</v>
      </c>
      <c r="R306" s="189">
        <v>0.58342014021214506</v>
      </c>
      <c r="S306" s="189">
        <v>1.2011684025132899E-2</v>
      </c>
      <c r="T306" s="189">
        <v>0</v>
      </c>
      <c r="U306" s="189">
        <v>1.80833310860116E-3</v>
      </c>
      <c r="V306" s="189">
        <v>0</v>
      </c>
      <c r="W306" s="189"/>
      <c r="X306" s="90"/>
      <c r="Y306" s="188"/>
      <c r="Z306" s="188"/>
      <c r="AA306" s="188"/>
      <c r="AB306" s="188"/>
      <c r="AC306" s="188"/>
      <c r="AD306" s="190"/>
      <c r="AE306" s="189"/>
    </row>
    <row r="307" spans="1:31" ht="21.25" customHeight="1" x14ac:dyDescent="0.15">
      <c r="A307" s="10" t="s">
        <v>645</v>
      </c>
      <c r="B307" s="186" t="s">
        <v>844</v>
      </c>
      <c r="C307" s="187">
        <v>22</v>
      </c>
      <c r="D307" s="186" t="s">
        <v>846</v>
      </c>
      <c r="E307" s="90">
        <v>80.295000000000002</v>
      </c>
      <c r="F307" s="188">
        <v>13.249117498172801</v>
      </c>
      <c r="G307" s="189">
        <v>0.17282631530034401</v>
      </c>
      <c r="H307" s="189">
        <v>0.217458992464311</v>
      </c>
      <c r="I307" s="189">
        <v>0.39028530776465498</v>
      </c>
      <c r="J307" s="189">
        <v>1.1411542826121801</v>
      </c>
      <c r="K307" s="189">
        <v>1.1620567163693699E-2</v>
      </c>
      <c r="L307" s="189">
        <v>3.1293934267302398E-2</v>
      </c>
      <c r="M307" s="189">
        <v>1.0755801470978201E-3</v>
      </c>
      <c r="N307" s="189">
        <v>1.76257548700136E-3</v>
      </c>
      <c r="O307" s="189">
        <v>0.57650502592456698</v>
      </c>
      <c r="P307" s="189">
        <v>0.87857036136012201</v>
      </c>
      <c r="Q307" s="189">
        <v>2.090108516299E-2</v>
      </c>
      <c r="R307" s="189">
        <v>0.35964272441062101</v>
      </c>
      <c r="S307" s="189">
        <v>2.8150727075425801E-2</v>
      </c>
      <c r="T307" s="189">
        <v>3.99908462477813</v>
      </c>
      <c r="U307" s="189">
        <v>6.1282900905303199</v>
      </c>
      <c r="V307" s="189">
        <v>0.39487870619946103</v>
      </c>
      <c r="W307" s="189"/>
      <c r="X307" s="90"/>
      <c r="Y307" s="188"/>
      <c r="Z307" s="188"/>
      <c r="AA307" s="188"/>
      <c r="AB307" s="188"/>
      <c r="AC307" s="188"/>
      <c r="AD307" s="190"/>
      <c r="AE307" s="189"/>
    </row>
    <row r="308" spans="1:31" ht="21.25" customHeight="1" x14ac:dyDescent="0.15">
      <c r="A308" s="10" t="s">
        <v>647</v>
      </c>
      <c r="B308" s="186" t="s">
        <v>845</v>
      </c>
      <c r="C308" s="187">
        <v>31</v>
      </c>
      <c r="D308" s="186" t="s">
        <v>839</v>
      </c>
      <c r="E308" s="90">
        <v>77.702500000000001</v>
      </c>
      <c r="F308" s="188">
        <v>14.470078714647901</v>
      </c>
      <c r="G308" s="189">
        <v>0.19499073835872899</v>
      </c>
      <c r="H308" s="189">
        <v>0.192705064743035</v>
      </c>
      <c r="I308" s="189">
        <v>0.38769580310176399</v>
      </c>
      <c r="J308" s="189">
        <v>1.4779603631866201</v>
      </c>
      <c r="K308" s="189">
        <v>2.1900341633094698E-2</v>
      </c>
      <c r="L308" s="189">
        <v>4.2272247149259E-2</v>
      </c>
      <c r="M308" s="189">
        <v>2.0811862343613299E-3</v>
      </c>
      <c r="N308" s="189">
        <v>8.8968282831124804E-3</v>
      </c>
      <c r="O308" s="189">
        <v>0.44330955238018399</v>
      </c>
      <c r="P308" s="189">
        <v>1.17121505553037</v>
      </c>
      <c r="Q308" s="189">
        <v>-8.0711704917509897E-3</v>
      </c>
      <c r="R308" s="189">
        <v>0.28933613784186801</v>
      </c>
      <c r="S308" s="189">
        <v>2.6628075535292599E-2</v>
      </c>
      <c r="T308" s="189">
        <v>5.60307021442968</v>
      </c>
      <c r="U308" s="189">
        <v>5.0812733657734199</v>
      </c>
      <c r="V308" s="189">
        <v>0.52441876025136003</v>
      </c>
      <c r="W308" s="189"/>
      <c r="X308" s="90"/>
      <c r="Y308" s="188"/>
      <c r="Z308" s="188"/>
      <c r="AA308" s="188"/>
      <c r="AB308" s="188"/>
      <c r="AC308" s="188"/>
      <c r="AD308" s="190"/>
      <c r="AE308" s="189"/>
    </row>
    <row r="309" spans="1:31" ht="21.25" customHeight="1" x14ac:dyDescent="0.15">
      <c r="A309" s="10" t="s">
        <v>425</v>
      </c>
      <c r="B309" s="186" t="s">
        <v>856</v>
      </c>
      <c r="C309" s="187">
        <v>29</v>
      </c>
      <c r="D309" s="186" t="s">
        <v>827</v>
      </c>
      <c r="E309" s="90">
        <v>76.512500000000003</v>
      </c>
      <c r="F309" s="188">
        <v>20.714720840320101</v>
      </c>
      <c r="G309" s="189">
        <v>5.0865091822972899E-2</v>
      </c>
      <c r="H309" s="189">
        <v>0.33650602910911598</v>
      </c>
      <c r="I309" s="189">
        <v>0.38737112093208897</v>
      </c>
      <c r="J309" s="189">
        <v>0.78409895841910704</v>
      </c>
      <c r="K309" s="189">
        <v>9.64505019430712E-5</v>
      </c>
      <c r="L309" s="189">
        <v>7.6026816450257002E-4</v>
      </c>
      <c r="M309" s="189">
        <v>3.0853518940605098E-4</v>
      </c>
      <c r="N309" s="189">
        <v>8.6146840175503701E-3</v>
      </c>
      <c r="O309" s="189">
        <v>1.09971858452464</v>
      </c>
      <c r="P309" s="189">
        <v>0.513779732191744</v>
      </c>
      <c r="Q309" s="189">
        <v>4.5843303230577601E-2</v>
      </c>
      <c r="R309" s="189">
        <v>0.29089132595283701</v>
      </c>
      <c r="S309" s="189">
        <v>8.2220677630952792E-3</v>
      </c>
      <c r="T309" s="189">
        <v>0</v>
      </c>
      <c r="U309" s="189">
        <v>0</v>
      </c>
      <c r="V309" s="189">
        <v>0</v>
      </c>
      <c r="W309" s="189"/>
      <c r="X309" s="90"/>
      <c r="Y309" s="188"/>
      <c r="Z309" s="188"/>
      <c r="AA309" s="188"/>
      <c r="AB309" s="188"/>
      <c r="AC309" s="188"/>
      <c r="AD309" s="190"/>
      <c r="AE309" s="189"/>
    </row>
    <row r="310" spans="1:31" ht="21.25" customHeight="1" x14ac:dyDescent="0.15">
      <c r="A310" s="10" t="s">
        <v>361</v>
      </c>
      <c r="B310" s="186" t="s">
        <v>863</v>
      </c>
      <c r="C310" s="187">
        <v>25</v>
      </c>
      <c r="D310" s="186" t="s">
        <v>827</v>
      </c>
      <c r="E310" s="90">
        <v>80.92</v>
      </c>
      <c r="F310" s="188">
        <v>18.116108130246602</v>
      </c>
      <c r="G310" s="189">
        <v>7.1264714382730798E-2</v>
      </c>
      <c r="H310" s="189">
        <v>0.315003979268065</v>
      </c>
      <c r="I310" s="189">
        <v>0.38626869365079602</v>
      </c>
      <c r="J310" s="189">
        <v>1.3686491008963499</v>
      </c>
      <c r="K310" s="189">
        <v>2.39850531819666E-3</v>
      </c>
      <c r="L310" s="189">
        <v>3.4187150579579002E-2</v>
      </c>
      <c r="M310" s="189">
        <v>5.48960152104325E-5</v>
      </c>
      <c r="N310" s="189">
        <v>1.8380308020737399E-4</v>
      </c>
      <c r="O310" s="189">
        <v>0.96177409531428004</v>
      </c>
      <c r="P310" s="189">
        <v>0.87398658325339396</v>
      </c>
      <c r="Q310" s="189">
        <v>7.1456210320091598E-2</v>
      </c>
      <c r="R310" s="189">
        <v>0.29090017685227498</v>
      </c>
      <c r="S310" s="189">
        <v>1.26413041037338E-2</v>
      </c>
      <c r="T310" s="189">
        <v>0</v>
      </c>
      <c r="U310" s="189">
        <v>0</v>
      </c>
      <c r="V310" s="189">
        <v>0</v>
      </c>
      <c r="W310" s="189"/>
      <c r="X310" s="90"/>
      <c r="Y310" s="188"/>
      <c r="Z310" s="188"/>
      <c r="AA310" s="188"/>
      <c r="AB310" s="188"/>
      <c r="AC310" s="188"/>
      <c r="AD310" s="190"/>
      <c r="AE310" s="189"/>
    </row>
    <row r="311" spans="1:31" ht="21.25" customHeight="1" x14ac:dyDescent="0.15">
      <c r="A311" s="10" t="s">
        <v>705</v>
      </c>
      <c r="B311" s="186" t="s">
        <v>867</v>
      </c>
      <c r="C311" s="187">
        <v>21</v>
      </c>
      <c r="D311" s="186" t="s">
        <v>825</v>
      </c>
      <c r="E311" s="90">
        <v>70</v>
      </c>
      <c r="F311" s="188">
        <v>12.7519204708851</v>
      </c>
      <c r="G311" s="189">
        <v>0.13821250291762299</v>
      </c>
      <c r="H311" s="189">
        <v>0.24621206982448801</v>
      </c>
      <c r="I311" s="189">
        <v>0.384424572742111</v>
      </c>
      <c r="J311" s="189">
        <v>1.04498733808343</v>
      </c>
      <c r="K311" s="189">
        <v>1.7031564230463599E-2</v>
      </c>
      <c r="L311" s="189">
        <v>5.3245843047467399E-2</v>
      </c>
      <c r="M311" s="189">
        <v>3.4180852422090198E-5</v>
      </c>
      <c r="N311" s="189">
        <v>5.4953377727503099E-5</v>
      </c>
      <c r="O311" s="189">
        <v>0.425064729535646</v>
      </c>
      <c r="P311" s="189">
        <v>0.99049026642692395</v>
      </c>
      <c r="Q311" s="189">
        <v>1.02950583091457E-2</v>
      </c>
      <c r="R311" s="189">
        <v>0.32392302207745099</v>
      </c>
      <c r="S311" s="189">
        <v>2.1842407255161601E-2</v>
      </c>
      <c r="T311" s="189">
        <v>0.15483147730555</v>
      </c>
      <c r="U311" s="189">
        <v>0.243306607194436</v>
      </c>
      <c r="V311" s="189">
        <v>0.38888888888888901</v>
      </c>
      <c r="W311" s="189"/>
      <c r="X311" s="90"/>
      <c r="Y311" s="188"/>
      <c r="Z311" s="188"/>
      <c r="AA311" s="188"/>
      <c r="AB311" s="188"/>
      <c r="AC311" s="188"/>
      <c r="AD311" s="190"/>
      <c r="AE311" s="189"/>
    </row>
    <row r="312" spans="1:31" ht="21.25" customHeight="1" x14ac:dyDescent="0.15">
      <c r="A312" s="10" t="s">
        <v>594</v>
      </c>
      <c r="B312" s="186" t="s">
        <v>849</v>
      </c>
      <c r="C312" s="187">
        <v>35</v>
      </c>
      <c r="D312" s="186" t="s">
        <v>839</v>
      </c>
      <c r="E312" s="90">
        <v>81.465000000000003</v>
      </c>
      <c r="F312" s="188">
        <v>15.9682595761349</v>
      </c>
      <c r="G312" s="189">
        <v>0.15471226055946199</v>
      </c>
      <c r="H312" s="189">
        <v>0.22948895723102</v>
      </c>
      <c r="I312" s="189">
        <v>0.384201217790482</v>
      </c>
      <c r="J312" s="189">
        <v>1.59615349695445</v>
      </c>
      <c r="K312" s="189">
        <v>3.4129419817096197E-2</v>
      </c>
      <c r="L312" s="189">
        <v>9.6788401763071699E-2</v>
      </c>
      <c r="M312" s="189">
        <v>6.11811628611108E-3</v>
      </c>
      <c r="N312" s="189">
        <v>1.2372772566837401E-2</v>
      </c>
      <c r="O312" s="189">
        <v>0.57881773979409001</v>
      </c>
      <c r="P312" s="189">
        <v>1.3933984034525</v>
      </c>
      <c r="Q312" s="189">
        <v>-2.9517262429880599E-2</v>
      </c>
      <c r="R312" s="189">
        <v>0.58394236153901102</v>
      </c>
      <c r="S312" s="189">
        <v>2.4438992616882701E-2</v>
      </c>
      <c r="T312" s="189">
        <v>6.0447108538418703</v>
      </c>
      <c r="U312" s="189">
        <v>5.6687720776177697</v>
      </c>
      <c r="V312" s="189">
        <v>0.51604726700093695</v>
      </c>
      <c r="W312" s="189"/>
      <c r="X312" s="90"/>
      <c r="Y312" s="188"/>
      <c r="Z312" s="188"/>
      <c r="AA312" s="188"/>
      <c r="AB312" s="188"/>
      <c r="AC312" s="188"/>
      <c r="AD312" s="190"/>
      <c r="AE312" s="189"/>
    </row>
    <row r="313" spans="1:31" ht="21.25" customHeight="1" x14ac:dyDescent="0.15">
      <c r="A313" s="10" t="s">
        <v>303</v>
      </c>
      <c r="B313" s="186" t="s">
        <v>853</v>
      </c>
      <c r="C313" s="187">
        <v>30</v>
      </c>
      <c r="D313" s="186" t="s">
        <v>827</v>
      </c>
      <c r="E313" s="90">
        <v>83.1</v>
      </c>
      <c r="F313" s="188">
        <v>23.431048825218902</v>
      </c>
      <c r="G313" s="189">
        <v>7.7270310188313499E-2</v>
      </c>
      <c r="H313" s="189">
        <v>0.30574911197826699</v>
      </c>
      <c r="I313" s="189">
        <v>0.38301942216658103</v>
      </c>
      <c r="J313" s="189">
        <v>1.73694544937113</v>
      </c>
      <c r="K313" s="189">
        <v>1.04155275584317E-3</v>
      </c>
      <c r="L313" s="189">
        <v>8.6825129469466893E-3</v>
      </c>
      <c r="M313" s="189">
        <v>1.9308991114317699E-4</v>
      </c>
      <c r="N313" s="189">
        <v>3.9369998416044901E-3</v>
      </c>
      <c r="O313" s="189">
        <v>1.3012430622846101</v>
      </c>
      <c r="P313" s="189">
        <v>0.82595211234945998</v>
      </c>
      <c r="Q313" s="189">
        <v>5.6516887654627701E-2</v>
      </c>
      <c r="R313" s="189">
        <v>0.42860132235428</v>
      </c>
      <c r="S313" s="189">
        <v>1.28651796366937E-2</v>
      </c>
      <c r="T313" s="189">
        <v>0</v>
      </c>
      <c r="U313" s="189">
        <v>0</v>
      </c>
      <c r="V313" s="189">
        <v>0</v>
      </c>
      <c r="W313" s="189"/>
      <c r="X313" s="90"/>
      <c r="Y313" s="188"/>
      <c r="Z313" s="188"/>
      <c r="AA313" s="188"/>
      <c r="AB313" s="188"/>
      <c r="AC313" s="188"/>
      <c r="AD313" s="190"/>
      <c r="AE313" s="189"/>
    </row>
    <row r="314" spans="1:31" ht="21.25" customHeight="1" x14ac:dyDescent="0.15">
      <c r="A314" s="10" t="s">
        <v>616</v>
      </c>
      <c r="B314" s="186" t="s">
        <v>867</v>
      </c>
      <c r="C314" s="187">
        <v>33</v>
      </c>
      <c r="D314" s="186" t="s">
        <v>824</v>
      </c>
      <c r="E314" s="90">
        <v>82.107500000000002</v>
      </c>
      <c r="F314" s="188">
        <v>14.3356740553191</v>
      </c>
      <c r="G314" s="189">
        <v>0.13106736278876099</v>
      </c>
      <c r="H314" s="189">
        <v>0.251710895046868</v>
      </c>
      <c r="I314" s="189">
        <v>0.38277825783562902</v>
      </c>
      <c r="J314" s="189">
        <v>1.3896653946217601</v>
      </c>
      <c r="K314" s="189">
        <v>1.2688323917732401E-3</v>
      </c>
      <c r="L314" s="189">
        <v>3.7753092167328501E-3</v>
      </c>
      <c r="M314" s="189">
        <v>1.63538591751218E-3</v>
      </c>
      <c r="N314" s="189">
        <v>8.3795970983240198E-3</v>
      </c>
      <c r="O314" s="189">
        <v>0.50764659031659598</v>
      </c>
      <c r="P314" s="189">
        <v>0.95186257371492</v>
      </c>
      <c r="Q314" s="189">
        <v>1.5965057949215499E-2</v>
      </c>
      <c r="R314" s="189">
        <v>0.35863882898721</v>
      </c>
      <c r="S314" s="189">
        <v>2.07132253266437E-2</v>
      </c>
      <c r="T314" s="189">
        <v>7.1118555250925999</v>
      </c>
      <c r="U314" s="189">
        <v>5.8835887462229302</v>
      </c>
      <c r="V314" s="189">
        <v>0.54725759093826398</v>
      </c>
      <c r="W314" s="189"/>
      <c r="X314" s="90"/>
      <c r="Y314" s="188"/>
      <c r="Z314" s="188"/>
      <c r="AA314" s="188"/>
      <c r="AB314" s="188"/>
      <c r="AC314" s="188"/>
      <c r="AD314" s="190"/>
      <c r="AE314" s="189"/>
    </row>
    <row r="315" spans="1:31" ht="21.25" customHeight="1" x14ac:dyDescent="0.15">
      <c r="A315" s="10" t="s">
        <v>289</v>
      </c>
      <c r="B315" s="186" t="s">
        <v>867</v>
      </c>
      <c r="C315" s="187">
        <v>30</v>
      </c>
      <c r="D315" s="186" t="s">
        <v>827</v>
      </c>
      <c r="E315" s="90">
        <v>83.752499999999998</v>
      </c>
      <c r="F315" s="188">
        <v>23.358043512637298</v>
      </c>
      <c r="G315" s="189">
        <v>9.2461055038474502E-2</v>
      </c>
      <c r="H315" s="189">
        <v>0.290079319398522</v>
      </c>
      <c r="I315" s="189">
        <v>0.38254037443699701</v>
      </c>
      <c r="J315" s="189">
        <v>1.30324287448326</v>
      </c>
      <c r="K315" s="189">
        <v>2.0484152972042699E-3</v>
      </c>
      <c r="L315" s="189">
        <v>1.5811453830754E-2</v>
      </c>
      <c r="M315" s="189">
        <v>6.4920043519638504E-3</v>
      </c>
      <c r="N315" s="189">
        <v>3.02608492650937E-2</v>
      </c>
      <c r="O315" s="189">
        <v>1.8327056310496099</v>
      </c>
      <c r="P315" s="189">
        <v>0.71876607374178403</v>
      </c>
      <c r="Q315" s="189">
        <v>1.4162021187572401E-2</v>
      </c>
      <c r="R315" s="189">
        <v>0.42121641753642203</v>
      </c>
      <c r="S315" s="189">
        <v>1.4612079057681001E-2</v>
      </c>
      <c r="T315" s="189">
        <v>0</v>
      </c>
      <c r="U315" s="189">
        <v>0</v>
      </c>
      <c r="V315" s="189">
        <v>0</v>
      </c>
      <c r="W315" s="189"/>
      <c r="X315" s="90"/>
      <c r="Y315" s="188"/>
      <c r="Z315" s="188"/>
      <c r="AA315" s="188"/>
      <c r="AB315" s="188"/>
      <c r="AC315" s="188"/>
      <c r="AD315" s="190"/>
      <c r="AE315" s="189"/>
    </row>
    <row r="316" spans="1:31" ht="21.25" customHeight="1" x14ac:dyDescent="0.15">
      <c r="A316" s="10" t="s">
        <v>572</v>
      </c>
      <c r="B316" s="186" t="s">
        <v>851</v>
      </c>
      <c r="C316" s="187">
        <v>32</v>
      </c>
      <c r="D316" s="186" t="s">
        <v>848</v>
      </c>
      <c r="E316" s="90">
        <v>83.497500000000002</v>
      </c>
      <c r="F316" s="188">
        <v>15.7401108333253</v>
      </c>
      <c r="G316" s="189">
        <v>0.16774970413021401</v>
      </c>
      <c r="H316" s="189">
        <v>0.21357295454049099</v>
      </c>
      <c r="I316" s="189">
        <v>0.38132265867070497</v>
      </c>
      <c r="J316" s="189">
        <v>1.51556411549246</v>
      </c>
      <c r="K316" s="189">
        <v>3.8616968435608197E-2</v>
      </c>
      <c r="L316" s="189">
        <v>8.3809636467648399E-2</v>
      </c>
      <c r="M316" s="189">
        <v>7.3755374425249205E-4</v>
      </c>
      <c r="N316" s="189">
        <v>5.9794778756252099E-3</v>
      </c>
      <c r="O316" s="189">
        <v>0.71418514305232705</v>
      </c>
      <c r="P316" s="189">
        <v>1.2699140831170399</v>
      </c>
      <c r="Q316" s="189">
        <v>8.3630001468280191E-3</v>
      </c>
      <c r="R316" s="189">
        <v>0.209895695692458</v>
      </c>
      <c r="S316" s="189">
        <v>2.91498249161702E-2</v>
      </c>
      <c r="T316" s="189">
        <v>0.19176663788902701</v>
      </c>
      <c r="U316" s="189">
        <v>0.26998886594079002</v>
      </c>
      <c r="V316" s="189">
        <v>0.41529908425239698</v>
      </c>
      <c r="W316" s="189"/>
      <c r="X316" s="90"/>
      <c r="Y316" s="188"/>
      <c r="Z316" s="188"/>
      <c r="AA316" s="188"/>
      <c r="AB316" s="188"/>
      <c r="AC316" s="188"/>
      <c r="AD316" s="190"/>
      <c r="AE316" s="189"/>
    </row>
    <row r="317" spans="1:31" ht="21.25" customHeight="1" x14ac:dyDescent="0.15">
      <c r="A317" s="10" t="s">
        <v>701</v>
      </c>
      <c r="B317" s="186" t="s">
        <v>854</v>
      </c>
      <c r="C317" s="187">
        <v>21</v>
      </c>
      <c r="D317" s="186" t="s">
        <v>825</v>
      </c>
      <c r="E317" s="90">
        <v>67.015000000000001</v>
      </c>
      <c r="F317" s="188">
        <v>12.657496496688401</v>
      </c>
      <c r="G317" s="189">
        <v>0.209618229245355</v>
      </c>
      <c r="H317" s="189">
        <v>0.17059884348346299</v>
      </c>
      <c r="I317" s="189">
        <v>0.380217072728818</v>
      </c>
      <c r="J317" s="189">
        <v>1.35882878035397</v>
      </c>
      <c r="K317" s="189">
        <v>2.62737932942094E-2</v>
      </c>
      <c r="L317" s="189">
        <v>4.9010874121644302E-2</v>
      </c>
      <c r="M317" s="189">
        <v>2.18041512075438E-5</v>
      </c>
      <c r="N317" s="189">
        <v>3.6278451606217998E-5</v>
      </c>
      <c r="O317" s="189">
        <v>0.35574630840515598</v>
      </c>
      <c r="P317" s="189">
        <v>1.2895007454908201</v>
      </c>
      <c r="Q317" s="189">
        <v>-0.115371339949492</v>
      </c>
      <c r="R317" s="189">
        <v>0.27718619276784001</v>
      </c>
      <c r="S317" s="189">
        <v>2.5870253590700599E-2</v>
      </c>
      <c r="T317" s="189">
        <v>2.4328707203352899E-2</v>
      </c>
      <c r="U317" s="189">
        <v>2.4328707203352899E-2</v>
      </c>
      <c r="V317" s="189">
        <v>0.5</v>
      </c>
      <c r="W317" s="189"/>
      <c r="X317" s="90"/>
      <c r="Y317" s="188"/>
      <c r="Z317" s="188"/>
      <c r="AA317" s="188"/>
      <c r="AB317" s="188"/>
      <c r="AC317" s="188"/>
      <c r="AD317" s="190"/>
      <c r="AE317" s="189"/>
    </row>
    <row r="318" spans="1:31" ht="21.25" customHeight="1" x14ac:dyDescent="0.15">
      <c r="A318" s="10" t="s">
        <v>307</v>
      </c>
      <c r="B318" s="186" t="s">
        <v>865</v>
      </c>
      <c r="C318" s="187">
        <v>32</v>
      </c>
      <c r="D318" s="186" t="s">
        <v>827</v>
      </c>
      <c r="E318" s="90">
        <v>83.83</v>
      </c>
      <c r="F318" s="188">
        <v>22.9898475038109</v>
      </c>
      <c r="G318" s="189">
        <v>7.2550824919606002E-2</v>
      </c>
      <c r="H318" s="189">
        <v>0.30737108263637603</v>
      </c>
      <c r="I318" s="189">
        <v>0.37992190755598199</v>
      </c>
      <c r="J318" s="189">
        <v>1.55764058147787</v>
      </c>
      <c r="K318" s="189">
        <v>9.0317044521628607E-3</v>
      </c>
      <c r="L318" s="189">
        <v>8.9475803816740099E-2</v>
      </c>
      <c r="M318" s="189">
        <v>6.0881686005704204E-3</v>
      </c>
      <c r="N318" s="189">
        <v>1.96112387803693E-2</v>
      </c>
      <c r="O318" s="189">
        <v>1.21120201417055</v>
      </c>
      <c r="P318" s="189">
        <v>0.86429180159223795</v>
      </c>
      <c r="Q318" s="189">
        <v>-5.1414482282215498E-2</v>
      </c>
      <c r="R318" s="189">
        <v>0.52362523483949397</v>
      </c>
      <c r="S318" s="189">
        <v>1.00501042240114E-2</v>
      </c>
      <c r="T318" s="189">
        <v>0</v>
      </c>
      <c r="U318" s="189">
        <v>0</v>
      </c>
      <c r="V318" s="189">
        <v>0</v>
      </c>
      <c r="W318" s="189"/>
      <c r="X318" s="90"/>
      <c r="Y318" s="188"/>
      <c r="Z318" s="188"/>
      <c r="AA318" s="188"/>
      <c r="AB318" s="188"/>
      <c r="AC318" s="188"/>
      <c r="AD318" s="190"/>
      <c r="AE318" s="189"/>
    </row>
    <row r="319" spans="1:31" ht="21.25" customHeight="1" x14ac:dyDescent="0.15">
      <c r="A319" s="10" t="s">
        <v>659</v>
      </c>
      <c r="B319" s="186" t="s">
        <v>861</v>
      </c>
      <c r="C319" s="187">
        <v>21</v>
      </c>
      <c r="D319" s="186" t="s">
        <v>824</v>
      </c>
      <c r="E319" s="90">
        <v>68</v>
      </c>
      <c r="F319" s="188">
        <v>13.6401021461576</v>
      </c>
      <c r="G319" s="189">
        <v>0.143540558650471</v>
      </c>
      <c r="H319" s="189">
        <v>0.23645736597653499</v>
      </c>
      <c r="I319" s="189">
        <v>0.37999792462700599</v>
      </c>
      <c r="J319" s="189">
        <v>1.4262290867868099</v>
      </c>
      <c r="K319" s="189">
        <v>2.3928160204313698E-2</v>
      </c>
      <c r="L319" s="189">
        <v>0.11258931261790001</v>
      </c>
      <c r="M319" s="189">
        <v>1.82107393922325E-4</v>
      </c>
      <c r="N319" s="189">
        <v>3.01112865220721E-4</v>
      </c>
      <c r="O319" s="189">
        <v>0.41033052696219902</v>
      </c>
      <c r="P319" s="189">
        <v>0.65555024242252002</v>
      </c>
      <c r="Q319" s="189">
        <v>-2.3976192794784901E-2</v>
      </c>
      <c r="R319" s="189">
        <v>0.281451973964987</v>
      </c>
      <c r="S319" s="189">
        <v>2.2493939812329802E-2</v>
      </c>
      <c r="T319" s="189">
        <v>2.4240843286760598</v>
      </c>
      <c r="U319" s="189">
        <v>4.01075770744586</v>
      </c>
      <c r="V319" s="189">
        <v>0.37671232876712302</v>
      </c>
      <c r="W319" s="189"/>
      <c r="X319" s="90"/>
      <c r="Y319" s="188"/>
      <c r="Z319" s="188"/>
      <c r="AA319" s="188"/>
      <c r="AB319" s="188"/>
      <c r="AC319" s="188"/>
      <c r="AD319" s="190"/>
      <c r="AE319" s="189"/>
    </row>
    <row r="320" spans="1:31" ht="21.25" customHeight="1" x14ac:dyDescent="0.15">
      <c r="A320" s="10" t="s">
        <v>639</v>
      </c>
      <c r="B320" s="186" t="s">
        <v>853</v>
      </c>
      <c r="C320" s="187">
        <v>27</v>
      </c>
      <c r="D320" s="186" t="s">
        <v>825</v>
      </c>
      <c r="E320" s="90">
        <v>82.157499999999999</v>
      </c>
      <c r="F320" s="188">
        <v>14.8880391223532</v>
      </c>
      <c r="G320" s="189">
        <v>0.13314390004030299</v>
      </c>
      <c r="H320" s="189">
        <v>0.243276115683556</v>
      </c>
      <c r="I320" s="189">
        <v>0.37642001572385902</v>
      </c>
      <c r="J320" s="189">
        <v>1.22018399677376</v>
      </c>
      <c r="K320" s="189">
        <v>6.3430848377189395E-4</v>
      </c>
      <c r="L320" s="189">
        <v>1.0304370773644199E-3</v>
      </c>
      <c r="M320" s="189">
        <v>2.8354325249546702E-3</v>
      </c>
      <c r="N320" s="189">
        <v>1.04943380604743E-2</v>
      </c>
      <c r="O320" s="189">
        <v>0.68801170255135902</v>
      </c>
      <c r="P320" s="189">
        <v>1.7117094307477401</v>
      </c>
      <c r="Q320" s="189">
        <v>4.2872821429987003E-2</v>
      </c>
      <c r="R320" s="189">
        <v>0.35159269840205398</v>
      </c>
      <c r="S320" s="189">
        <v>2.2167895888782801E-2</v>
      </c>
      <c r="T320" s="189">
        <v>1.21946456595729</v>
      </c>
      <c r="U320" s="189">
        <v>1.36875804385776</v>
      </c>
      <c r="V320" s="189">
        <v>0.471159073154233</v>
      </c>
      <c r="W320" s="189"/>
      <c r="X320" s="90"/>
      <c r="Y320" s="188"/>
      <c r="Z320" s="188"/>
      <c r="AA320" s="188"/>
      <c r="AB320" s="188"/>
      <c r="AC320" s="188"/>
      <c r="AD320" s="190"/>
      <c r="AE320" s="189"/>
    </row>
    <row r="321" spans="1:31" ht="21.25" customHeight="1" x14ac:dyDescent="0.15">
      <c r="A321" s="10" t="s">
        <v>604</v>
      </c>
      <c r="B321" s="186" t="s">
        <v>859</v>
      </c>
      <c r="C321" s="187">
        <v>36</v>
      </c>
      <c r="D321" s="186" t="s">
        <v>848</v>
      </c>
      <c r="E321" s="90">
        <v>82.13</v>
      </c>
      <c r="F321" s="188">
        <v>16.868051505335401</v>
      </c>
      <c r="G321" s="189">
        <v>0.17564440996310601</v>
      </c>
      <c r="H321" s="189">
        <v>0.19920316637009999</v>
      </c>
      <c r="I321" s="189">
        <v>0.37484757633320598</v>
      </c>
      <c r="J321" s="189">
        <v>1.75808155190493</v>
      </c>
      <c r="K321" s="189">
        <v>2.40156940450999E-2</v>
      </c>
      <c r="L321" s="189">
        <v>5.0081349909660997E-2</v>
      </c>
      <c r="M321" s="189">
        <v>4.8725226053769003E-3</v>
      </c>
      <c r="N321" s="189">
        <v>1.5934909259250198E-2</v>
      </c>
      <c r="O321" s="189">
        <v>0.37829887098479997</v>
      </c>
      <c r="P321" s="189">
        <v>0.91624569894335395</v>
      </c>
      <c r="Q321" s="189">
        <v>-3.2398471791118197E-2</v>
      </c>
      <c r="R321" s="189">
        <v>0.418580029810669</v>
      </c>
      <c r="S321" s="189">
        <v>2.5661144709160401E-2</v>
      </c>
      <c r="T321" s="189">
        <v>0.41887773504892301</v>
      </c>
      <c r="U321" s="189">
        <v>0.780532064673787</v>
      </c>
      <c r="V321" s="189">
        <v>0.34923654546241201</v>
      </c>
      <c r="W321" s="189"/>
      <c r="X321" s="90"/>
      <c r="Y321" s="188"/>
      <c r="Z321" s="188"/>
      <c r="AA321" s="188"/>
      <c r="AB321" s="188"/>
      <c r="AC321" s="188"/>
      <c r="AD321" s="190"/>
      <c r="AE321" s="189"/>
    </row>
    <row r="322" spans="1:31" ht="21.25" customHeight="1" x14ac:dyDescent="0.15">
      <c r="A322" s="10" t="s">
        <v>364</v>
      </c>
      <c r="B322" s="186" t="s">
        <v>857</v>
      </c>
      <c r="C322" s="187">
        <v>32</v>
      </c>
      <c r="D322" s="186" t="s">
        <v>827</v>
      </c>
      <c r="E322" s="90">
        <v>78.927499999999995</v>
      </c>
      <c r="F322" s="188">
        <v>19.519478532889401</v>
      </c>
      <c r="G322" s="189">
        <v>9.4977207664058497E-2</v>
      </c>
      <c r="H322" s="189">
        <v>0.27818700120450202</v>
      </c>
      <c r="I322" s="189">
        <v>0.373164208868561</v>
      </c>
      <c r="J322" s="189">
        <v>1.2269928802865899</v>
      </c>
      <c r="K322" s="189">
        <v>5.7262795946053397E-3</v>
      </c>
      <c r="L322" s="189">
        <v>3.3111123947488302E-2</v>
      </c>
      <c r="M322" s="189">
        <v>2.0308539718826501E-4</v>
      </c>
      <c r="N322" s="189">
        <v>1.89969396198704E-3</v>
      </c>
      <c r="O322" s="189">
        <v>1.2523730773706501</v>
      </c>
      <c r="P322" s="189">
        <v>0.64448936035693305</v>
      </c>
      <c r="Q322" s="189">
        <v>3.7581079808349897E-2</v>
      </c>
      <c r="R322" s="189">
        <v>0.62250048323132101</v>
      </c>
      <c r="S322" s="189">
        <v>1.53047446947939E-2</v>
      </c>
      <c r="T322" s="189">
        <v>0</v>
      </c>
      <c r="U322" s="189">
        <v>0</v>
      </c>
      <c r="V322" s="189">
        <v>0</v>
      </c>
      <c r="W322" s="189"/>
      <c r="X322" s="90"/>
      <c r="Y322" s="188"/>
      <c r="Z322" s="188"/>
      <c r="AA322" s="188"/>
      <c r="AB322" s="188"/>
      <c r="AC322" s="188"/>
      <c r="AD322" s="190"/>
      <c r="AE322" s="189"/>
    </row>
    <row r="323" spans="1:31" ht="21.25" customHeight="1" x14ac:dyDescent="0.15">
      <c r="A323" s="10" t="s">
        <v>682</v>
      </c>
      <c r="B323" s="186" t="s">
        <v>858</v>
      </c>
      <c r="C323" s="187">
        <v>31</v>
      </c>
      <c r="D323" s="186" t="s">
        <v>848</v>
      </c>
      <c r="E323" s="90">
        <v>75.172499999999999</v>
      </c>
      <c r="F323" s="188">
        <v>13.4348534636572</v>
      </c>
      <c r="G323" s="189">
        <v>0.10031211885567901</v>
      </c>
      <c r="H323" s="189">
        <v>0.26992537573212599</v>
      </c>
      <c r="I323" s="189">
        <v>0.37023749458780503</v>
      </c>
      <c r="J323" s="189">
        <v>1.1101837158858801</v>
      </c>
      <c r="K323" s="189">
        <v>1.37669882153796E-2</v>
      </c>
      <c r="L323" s="189">
        <v>5.8559087068092E-2</v>
      </c>
      <c r="M323" s="189">
        <v>3.6764580697856997E-5</v>
      </c>
      <c r="N323" s="189">
        <v>6.4236926813635102E-5</v>
      </c>
      <c r="O323" s="189">
        <v>0.38079730791314598</v>
      </c>
      <c r="P323" s="189">
        <v>0.37540133596148501</v>
      </c>
      <c r="Q323" s="189">
        <v>-2.48760473716137E-2</v>
      </c>
      <c r="R323" s="189">
        <v>0.199747348077079</v>
      </c>
      <c r="S323" s="189">
        <v>1.44641091757945E-2</v>
      </c>
      <c r="T323" s="189">
        <v>1.0581369486773</v>
      </c>
      <c r="U323" s="189">
        <v>1.1373165896181801</v>
      </c>
      <c r="V323" s="189">
        <v>0.48196736128555201</v>
      </c>
      <c r="W323" s="189"/>
      <c r="X323" s="90"/>
      <c r="Y323" s="188"/>
      <c r="Z323" s="188"/>
      <c r="AA323" s="188"/>
      <c r="AB323" s="188"/>
      <c r="AC323" s="188"/>
      <c r="AD323" s="190"/>
      <c r="AE323" s="189"/>
    </row>
    <row r="324" spans="1:31" ht="21.25" customHeight="1" x14ac:dyDescent="0.15">
      <c r="A324" s="10" t="s">
        <v>567</v>
      </c>
      <c r="B324" s="186" t="s">
        <v>859</v>
      </c>
      <c r="C324" s="187">
        <v>32</v>
      </c>
      <c r="D324" s="186" t="s">
        <v>848</v>
      </c>
      <c r="E324" s="90">
        <v>78.212500000000006</v>
      </c>
      <c r="F324" s="188">
        <v>13.9089466544494</v>
      </c>
      <c r="G324" s="189">
        <v>0.18444539257115999</v>
      </c>
      <c r="H324" s="189">
        <v>0.18497508962380399</v>
      </c>
      <c r="I324" s="189">
        <v>0.36942048219496398</v>
      </c>
      <c r="J324" s="189">
        <v>2.07435356387795</v>
      </c>
      <c r="K324" s="189">
        <v>3.6158270505452401E-2</v>
      </c>
      <c r="L324" s="189">
        <v>6.8250827298930297E-2</v>
      </c>
      <c r="M324" s="189">
        <v>6.2049462637221997E-3</v>
      </c>
      <c r="N324" s="189">
        <v>8.3060371203826106E-3</v>
      </c>
      <c r="O324" s="189">
        <v>0.62509323686531604</v>
      </c>
      <c r="P324" s="189">
        <v>1.6560542196735699</v>
      </c>
      <c r="Q324" s="189">
        <v>-6.4435476177381004E-2</v>
      </c>
      <c r="R324" s="189">
        <v>0.63547813206223602</v>
      </c>
      <c r="S324" s="189">
        <v>2.6946943035082101E-2</v>
      </c>
      <c r="T324" s="189">
        <v>0.12851541216946</v>
      </c>
      <c r="U324" s="189">
        <v>0.18079615393297399</v>
      </c>
      <c r="V324" s="189">
        <v>0.41548854376464001</v>
      </c>
      <c r="W324" s="189"/>
      <c r="X324" s="90"/>
      <c r="Y324" s="188"/>
      <c r="Z324" s="188"/>
      <c r="AA324" s="188"/>
      <c r="AB324" s="188"/>
      <c r="AC324" s="188"/>
      <c r="AD324" s="190"/>
      <c r="AE324" s="189"/>
    </row>
    <row r="325" spans="1:31" ht="21.25" customHeight="1" x14ac:dyDescent="0.15">
      <c r="A325" s="10" t="s">
        <v>718</v>
      </c>
      <c r="B325" s="186" t="s">
        <v>851</v>
      </c>
      <c r="C325" s="187">
        <v>23</v>
      </c>
      <c r="D325" s="186" t="s">
        <v>826</v>
      </c>
      <c r="E325" s="90">
        <v>58.3675</v>
      </c>
      <c r="F325" s="188">
        <v>13.887313185659799</v>
      </c>
      <c r="G325" s="189">
        <v>0.17737371020880499</v>
      </c>
      <c r="H325" s="189">
        <v>0.19129408827326</v>
      </c>
      <c r="I325" s="189">
        <v>0.36866779848206499</v>
      </c>
      <c r="J325" s="189">
        <v>1.28781079417655</v>
      </c>
      <c r="K325" s="189">
        <v>3.1251229281572403E-2</v>
      </c>
      <c r="L325" s="189">
        <v>8.6313477559227206E-2</v>
      </c>
      <c r="M325" s="189">
        <v>0</v>
      </c>
      <c r="N325" s="189">
        <v>0</v>
      </c>
      <c r="O325" s="189">
        <v>0.56619944636601005</v>
      </c>
      <c r="P325" s="189">
        <v>0.72947308956641699</v>
      </c>
      <c r="Q325" s="189">
        <v>-3.5395465736530901E-3</v>
      </c>
      <c r="R325" s="189">
        <v>0.19828168703111901</v>
      </c>
      <c r="S325" s="189">
        <v>3.08221860904427E-2</v>
      </c>
      <c r="T325" s="189">
        <v>3.6474521978978901E-2</v>
      </c>
      <c r="U325" s="189">
        <v>9.3099549549792396E-2</v>
      </c>
      <c r="V325" s="189">
        <v>0.281495530306616</v>
      </c>
      <c r="W325" s="189"/>
      <c r="X325" s="90"/>
      <c r="Y325" s="188"/>
      <c r="Z325" s="188"/>
      <c r="AA325" s="188"/>
      <c r="AB325" s="188"/>
      <c r="AC325" s="188"/>
      <c r="AD325" s="190"/>
      <c r="AE325" s="189"/>
    </row>
    <row r="326" spans="1:31" ht="21.25" customHeight="1" x14ac:dyDescent="0.15">
      <c r="A326" s="10" t="s">
        <v>355</v>
      </c>
      <c r="B326" s="186" t="s">
        <v>853</v>
      </c>
      <c r="C326" s="187">
        <v>30</v>
      </c>
      <c r="D326" s="186" t="s">
        <v>827</v>
      </c>
      <c r="E326" s="90">
        <v>75.58</v>
      </c>
      <c r="F326" s="188">
        <v>22.386520013308299</v>
      </c>
      <c r="G326" s="189">
        <v>4.4620464788031902E-2</v>
      </c>
      <c r="H326" s="189">
        <v>0.32285980058825903</v>
      </c>
      <c r="I326" s="189">
        <v>0.36748026537629103</v>
      </c>
      <c r="J326" s="189">
        <v>1.36810108177543</v>
      </c>
      <c r="K326" s="189">
        <v>4.72667481361302E-3</v>
      </c>
      <c r="L326" s="189">
        <v>5.3254442213963998E-2</v>
      </c>
      <c r="M326" s="189">
        <v>2.0083428428357999E-4</v>
      </c>
      <c r="N326" s="189">
        <v>1.3780034779200799E-2</v>
      </c>
      <c r="O326" s="189">
        <v>1.4394624633117901</v>
      </c>
      <c r="P326" s="189">
        <v>1.2411171831076999</v>
      </c>
      <c r="Q326" s="189">
        <v>4.1461448245517799E-2</v>
      </c>
      <c r="R326" s="189">
        <v>0.77268635257541596</v>
      </c>
      <c r="S326" s="189">
        <v>7.4291185524141597E-3</v>
      </c>
      <c r="T326" s="189">
        <v>0</v>
      </c>
      <c r="U326" s="189">
        <v>1.0616490399834101E-2</v>
      </c>
      <c r="V326" s="189">
        <v>0</v>
      </c>
      <c r="W326" s="189"/>
      <c r="X326" s="90"/>
      <c r="Y326" s="188"/>
      <c r="Z326" s="188"/>
      <c r="AA326" s="188"/>
      <c r="AB326" s="188"/>
      <c r="AC326" s="188"/>
      <c r="AD326" s="190"/>
      <c r="AE326" s="189"/>
    </row>
    <row r="327" spans="1:31" ht="21.25" customHeight="1" x14ac:dyDescent="0.15">
      <c r="A327" s="10" t="s">
        <v>650</v>
      </c>
      <c r="B327" s="186" t="s">
        <v>870</v>
      </c>
      <c r="C327" s="187">
        <v>20</v>
      </c>
      <c r="D327" s="186" t="s">
        <v>839</v>
      </c>
      <c r="E327" s="90">
        <v>77.39</v>
      </c>
      <c r="F327" s="188">
        <v>14.4453757240684</v>
      </c>
      <c r="G327" s="189">
        <v>0.15072595541567901</v>
      </c>
      <c r="H327" s="189">
        <v>0.216569217009391</v>
      </c>
      <c r="I327" s="189">
        <v>0.36729517242506998</v>
      </c>
      <c r="J327" s="189">
        <v>1.41830905332755</v>
      </c>
      <c r="K327" s="189">
        <v>2.7609557328627798E-2</v>
      </c>
      <c r="L327" s="189">
        <v>6.3922195376617405E-2</v>
      </c>
      <c r="M327" s="189">
        <v>0</v>
      </c>
      <c r="N327" s="189">
        <v>0</v>
      </c>
      <c r="O327" s="189">
        <v>0.48341211131825401</v>
      </c>
      <c r="P327" s="189">
        <v>0.3271841163186</v>
      </c>
      <c r="Q327" s="189">
        <v>-8.7903499421202999E-2</v>
      </c>
      <c r="R327" s="189">
        <v>0.448654860252166</v>
      </c>
      <c r="S327" s="189">
        <v>2.0766296345090599E-2</v>
      </c>
      <c r="T327" s="189">
        <v>1.1843939100261001</v>
      </c>
      <c r="U327" s="189">
        <v>1.4889523440328201</v>
      </c>
      <c r="V327" s="189">
        <v>0.443037974683544</v>
      </c>
      <c r="W327" s="189"/>
      <c r="X327" s="90"/>
      <c r="Y327" s="188"/>
      <c r="Z327" s="188"/>
      <c r="AA327" s="188"/>
      <c r="AB327" s="188"/>
      <c r="AC327" s="188"/>
      <c r="AD327" s="190"/>
      <c r="AE327" s="189"/>
    </row>
    <row r="328" spans="1:31" ht="21.25" customHeight="1" x14ac:dyDescent="0.15">
      <c r="A328" s="10" t="s">
        <v>627</v>
      </c>
      <c r="B328" s="186" t="s">
        <v>858</v>
      </c>
      <c r="C328" s="187">
        <v>21</v>
      </c>
      <c r="D328" s="186" t="s">
        <v>824</v>
      </c>
      <c r="E328" s="90">
        <v>78.790000000000006</v>
      </c>
      <c r="F328" s="188">
        <v>14.7198167734738</v>
      </c>
      <c r="G328" s="189">
        <v>0.182309048884054</v>
      </c>
      <c r="H328" s="189">
        <v>0.18449716622208101</v>
      </c>
      <c r="I328" s="189">
        <v>0.36680621510613498</v>
      </c>
      <c r="J328" s="189">
        <v>1.3728508458740101</v>
      </c>
      <c r="K328" s="189">
        <v>6.1165708684912702E-2</v>
      </c>
      <c r="L328" s="189">
        <v>0.103867688046658</v>
      </c>
      <c r="M328" s="189">
        <v>7.2254527459136999E-5</v>
      </c>
      <c r="N328" s="189">
        <v>1.2033482226056099E-4</v>
      </c>
      <c r="O328" s="189">
        <v>0.36806592107602898</v>
      </c>
      <c r="P328" s="189">
        <v>1.1109491668492</v>
      </c>
      <c r="Q328" s="189">
        <v>-4.5147642643245202E-2</v>
      </c>
      <c r="R328" s="189">
        <v>0.36892499929130701</v>
      </c>
      <c r="S328" s="189">
        <v>2.6287332147654299E-2</v>
      </c>
      <c r="T328" s="189">
        <v>4.8398517892956798</v>
      </c>
      <c r="U328" s="189">
        <v>5.6782563161263502</v>
      </c>
      <c r="V328" s="189">
        <v>0.46014470860978901</v>
      </c>
      <c r="W328" s="189"/>
      <c r="X328" s="90"/>
      <c r="Y328" s="188"/>
      <c r="Z328" s="188"/>
      <c r="AA328" s="188"/>
      <c r="AB328" s="188"/>
      <c r="AC328" s="188"/>
      <c r="AD328" s="190"/>
      <c r="AE328" s="189"/>
    </row>
    <row r="329" spans="1:31" ht="21.25" customHeight="1" x14ac:dyDescent="0.15">
      <c r="A329" s="10" t="s">
        <v>634</v>
      </c>
      <c r="B329" s="186" t="s">
        <v>864</v>
      </c>
      <c r="C329" s="187">
        <v>23</v>
      </c>
      <c r="D329" s="186" t="s">
        <v>824</v>
      </c>
      <c r="E329" s="90">
        <v>80.709999999999994</v>
      </c>
      <c r="F329" s="188">
        <v>14.095032652368101</v>
      </c>
      <c r="G329" s="189">
        <v>0.14093342443354301</v>
      </c>
      <c r="H329" s="189">
        <v>0.223347449671709</v>
      </c>
      <c r="I329" s="189">
        <v>0.36428087410525201</v>
      </c>
      <c r="J329" s="189">
        <v>1.1164588092590599</v>
      </c>
      <c r="K329" s="189">
        <v>2.8933276725808602E-2</v>
      </c>
      <c r="L329" s="189">
        <v>5.3139818828895902E-2</v>
      </c>
      <c r="M329" s="189">
        <v>2.3536800543635201E-3</v>
      </c>
      <c r="N329" s="189">
        <v>3.8277987791925502E-3</v>
      </c>
      <c r="O329" s="189">
        <v>0.58187962757681</v>
      </c>
      <c r="P329" s="189">
        <v>1.4362613424419</v>
      </c>
      <c r="Q329" s="189">
        <v>-3.0487104308622799E-3</v>
      </c>
      <c r="R329" s="189">
        <v>0.40136825329286202</v>
      </c>
      <c r="S329" s="189">
        <v>2.2141175403819598E-2</v>
      </c>
      <c r="T329" s="189">
        <v>4.69433800530292</v>
      </c>
      <c r="U329" s="189">
        <v>4.52466313764136</v>
      </c>
      <c r="V329" s="189">
        <v>0.50920245398773001</v>
      </c>
      <c r="W329" s="189"/>
      <c r="X329" s="90"/>
      <c r="Y329" s="188"/>
      <c r="Z329" s="188"/>
      <c r="AA329" s="188"/>
      <c r="AB329" s="188"/>
      <c r="AC329" s="188"/>
      <c r="AD329" s="190"/>
      <c r="AE329" s="189"/>
    </row>
    <row r="330" spans="1:31" ht="21.25" customHeight="1" x14ac:dyDescent="0.15">
      <c r="A330" s="10" t="s">
        <v>601</v>
      </c>
      <c r="B330" s="186" t="s">
        <v>868</v>
      </c>
      <c r="C330" s="187">
        <v>28</v>
      </c>
      <c r="D330" s="186" t="s">
        <v>848</v>
      </c>
      <c r="E330" s="90">
        <v>84.004999999999995</v>
      </c>
      <c r="F330" s="188">
        <v>15.0411930849847</v>
      </c>
      <c r="G330" s="189">
        <v>0.182277910007867</v>
      </c>
      <c r="H330" s="189">
        <v>0.18191162963204199</v>
      </c>
      <c r="I330" s="189">
        <v>0.36418953963990902</v>
      </c>
      <c r="J330" s="189">
        <v>1.6614759488570301</v>
      </c>
      <c r="K330" s="189">
        <v>5.7217269028269095E-4</v>
      </c>
      <c r="L330" s="189">
        <v>1.2024385017789299E-3</v>
      </c>
      <c r="M330" s="189">
        <v>2.41549195430165E-2</v>
      </c>
      <c r="N330" s="189">
        <v>4.0503419565876199E-2</v>
      </c>
      <c r="O330" s="189">
        <v>0.49335773544837802</v>
      </c>
      <c r="P330" s="189">
        <v>0.95092436832671201</v>
      </c>
      <c r="Q330" s="189">
        <v>-0.12244309976763899</v>
      </c>
      <c r="R330" s="189">
        <v>0.385261872536103</v>
      </c>
      <c r="S330" s="189">
        <v>2.2587427255112001E-2</v>
      </c>
      <c r="T330" s="189">
        <v>0.58221411668614598</v>
      </c>
      <c r="U330" s="189">
        <v>0.68946801329243002</v>
      </c>
      <c r="V330" s="189">
        <v>0.45782991123415001</v>
      </c>
      <c r="W330" s="189"/>
      <c r="X330" s="90"/>
      <c r="Y330" s="188"/>
      <c r="Z330" s="188"/>
      <c r="AA330" s="188"/>
      <c r="AB330" s="188"/>
      <c r="AC330" s="188"/>
      <c r="AD330" s="190"/>
      <c r="AE330" s="189"/>
    </row>
    <row r="331" spans="1:31" ht="21.25" customHeight="1" x14ac:dyDescent="0.15">
      <c r="A331" s="10" t="s">
        <v>292</v>
      </c>
      <c r="B331" s="186" t="s">
        <v>857</v>
      </c>
      <c r="C331" s="187">
        <v>29</v>
      </c>
      <c r="D331" s="186" t="s">
        <v>827</v>
      </c>
      <c r="E331" s="90">
        <v>84.03</v>
      </c>
      <c r="F331" s="188">
        <v>24.3576304782775</v>
      </c>
      <c r="G331" s="189">
        <v>7.3756857042389198E-2</v>
      </c>
      <c r="H331" s="189">
        <v>0.28960415952354501</v>
      </c>
      <c r="I331" s="189">
        <v>0.363361016565934</v>
      </c>
      <c r="J331" s="189">
        <v>1.5509118572090499</v>
      </c>
      <c r="K331" s="189">
        <v>4.1321314276837797E-3</v>
      </c>
      <c r="L331" s="189">
        <v>3.0023491829318301E-2</v>
      </c>
      <c r="M331" s="189">
        <v>2.90370225440751E-3</v>
      </c>
      <c r="N331" s="189">
        <v>1.0628871971483E-2</v>
      </c>
      <c r="O331" s="189">
        <v>1.6726985591641801</v>
      </c>
      <c r="P331" s="189">
        <v>0.45783594946595002</v>
      </c>
      <c r="Q331" s="189">
        <v>2.1141580026633699E-2</v>
      </c>
      <c r="R331" s="189">
        <v>0.39171456012691702</v>
      </c>
      <c r="S331" s="189">
        <v>1.18852711538639E-2</v>
      </c>
      <c r="T331" s="189">
        <v>0</v>
      </c>
      <c r="U331" s="189">
        <v>0</v>
      </c>
      <c r="V331" s="189">
        <v>0</v>
      </c>
      <c r="W331" s="189"/>
      <c r="X331" s="90"/>
      <c r="Y331" s="189"/>
      <c r="Z331" s="189"/>
      <c r="AA331" s="189"/>
      <c r="AB331" s="189"/>
      <c r="AC331" s="188"/>
      <c r="AD331" s="190"/>
      <c r="AE331" s="189"/>
    </row>
    <row r="332" spans="1:31" ht="21.25" customHeight="1" x14ac:dyDescent="0.15">
      <c r="A332" s="10" t="s">
        <v>636</v>
      </c>
      <c r="B332" s="186" t="s">
        <v>837</v>
      </c>
      <c r="C332" s="187">
        <v>34</v>
      </c>
      <c r="D332" s="186" t="s">
        <v>824</v>
      </c>
      <c r="E332" s="90">
        <v>80.392499999999998</v>
      </c>
      <c r="F332" s="188">
        <v>15.1277387420135</v>
      </c>
      <c r="G332" s="189">
        <v>0.114127303589212</v>
      </c>
      <c r="H332" s="189">
        <v>0.24874558737449101</v>
      </c>
      <c r="I332" s="189">
        <v>0.36287289096370301</v>
      </c>
      <c r="J332" s="189">
        <v>1.3592368855960599</v>
      </c>
      <c r="K332" s="189">
        <v>9.7428859155460805E-4</v>
      </c>
      <c r="L332" s="189">
        <v>3.7823078156365999E-3</v>
      </c>
      <c r="M332" s="189">
        <v>3.01260998715772E-3</v>
      </c>
      <c r="N332" s="189">
        <v>5.9041589530511298E-3</v>
      </c>
      <c r="O332" s="189">
        <v>0.434088671649691</v>
      </c>
      <c r="P332" s="189">
        <v>1.3786126437092301</v>
      </c>
      <c r="Q332" s="189">
        <v>7.3564391918432795E-2</v>
      </c>
      <c r="R332" s="189">
        <v>0.57536494130440996</v>
      </c>
      <c r="S332" s="189">
        <v>2.0258673570725399E-2</v>
      </c>
      <c r="T332" s="189">
        <v>4.7506408987991096</v>
      </c>
      <c r="U332" s="189">
        <v>5.3625326357203402</v>
      </c>
      <c r="V332" s="189">
        <v>0.46974778812839302</v>
      </c>
      <c r="W332" s="189"/>
      <c r="X332" s="90"/>
      <c r="Y332" s="188"/>
      <c r="Z332" s="188"/>
      <c r="AA332" s="188"/>
      <c r="AB332" s="188"/>
      <c r="AC332" s="188"/>
      <c r="AD332" s="190"/>
      <c r="AE332" s="189"/>
    </row>
    <row r="333" spans="1:31" ht="21.25" customHeight="1" x14ac:dyDescent="0.15">
      <c r="A333" s="10" t="s">
        <v>378</v>
      </c>
      <c r="B333" s="186" t="s">
        <v>858</v>
      </c>
      <c r="C333" s="187">
        <v>34</v>
      </c>
      <c r="D333" s="186" t="s">
        <v>827</v>
      </c>
      <c r="E333" s="90">
        <v>82.004999999999995</v>
      </c>
      <c r="F333" s="188">
        <v>20.838128887195101</v>
      </c>
      <c r="G333" s="189">
        <v>4.1712789032339902E-2</v>
      </c>
      <c r="H333" s="189">
        <v>0.320698115207731</v>
      </c>
      <c r="I333" s="189">
        <v>0.362410904240071</v>
      </c>
      <c r="J333" s="189">
        <v>1.02299330158873</v>
      </c>
      <c r="K333" s="189">
        <v>1.00083370184903E-2</v>
      </c>
      <c r="L333" s="189">
        <v>9.1886402672674505E-2</v>
      </c>
      <c r="M333" s="189">
        <v>1.2775884031382301E-4</v>
      </c>
      <c r="N333" s="189">
        <v>5.0827697726188699E-3</v>
      </c>
      <c r="O333" s="189">
        <v>1.0786341494337299</v>
      </c>
      <c r="P333" s="189">
        <v>0.32135988607487898</v>
      </c>
      <c r="Q333" s="189">
        <v>-3.5575596108246503E-2</v>
      </c>
      <c r="R333" s="189">
        <v>0.24999472675414999</v>
      </c>
      <c r="S333" s="189">
        <v>6.01461061209046E-3</v>
      </c>
      <c r="T333" s="189">
        <v>0</v>
      </c>
      <c r="U333" s="189">
        <v>0</v>
      </c>
      <c r="V333" s="189">
        <v>0</v>
      </c>
      <c r="W333" s="189"/>
      <c r="X333" s="90"/>
      <c r="Y333" s="188"/>
      <c r="Z333" s="188"/>
      <c r="AA333" s="188"/>
      <c r="AB333" s="188"/>
      <c r="AC333" s="188"/>
      <c r="AD333" s="190"/>
      <c r="AE333" s="189"/>
    </row>
    <row r="334" spans="1:31" ht="21.25" customHeight="1" x14ac:dyDescent="0.15">
      <c r="A334" s="10" t="s">
        <v>306</v>
      </c>
      <c r="B334" s="186" t="s">
        <v>867</v>
      </c>
      <c r="C334" s="187">
        <v>25</v>
      </c>
      <c r="D334" s="186" t="s">
        <v>827</v>
      </c>
      <c r="E334" s="90">
        <v>80.41</v>
      </c>
      <c r="F334" s="188">
        <v>22.190730934049601</v>
      </c>
      <c r="G334" s="189">
        <v>8.1507218590943203E-2</v>
      </c>
      <c r="H334" s="189">
        <v>0.28069101925719397</v>
      </c>
      <c r="I334" s="189">
        <v>0.36219823784813698</v>
      </c>
      <c r="J334" s="189">
        <v>1.2966846848726701</v>
      </c>
      <c r="K334" s="189">
        <v>9.2744985186723004E-3</v>
      </c>
      <c r="L334" s="189">
        <v>8.2117139039443399E-2</v>
      </c>
      <c r="M334" s="189">
        <v>2.7841143807641298E-4</v>
      </c>
      <c r="N334" s="189">
        <v>5.6911645654309602E-3</v>
      </c>
      <c r="O334" s="189">
        <v>1.8646845339424001</v>
      </c>
      <c r="P334" s="189">
        <v>0.62639528183203796</v>
      </c>
      <c r="Q334" s="189">
        <v>3.84147853023729E-3</v>
      </c>
      <c r="R334" s="189">
        <v>0.45670610057535899</v>
      </c>
      <c r="S334" s="189">
        <v>1.2880989961957001E-2</v>
      </c>
      <c r="T334" s="189">
        <v>0</v>
      </c>
      <c r="U334" s="189">
        <v>0</v>
      </c>
      <c r="V334" s="189">
        <v>0</v>
      </c>
      <c r="W334" s="189"/>
      <c r="X334" s="90"/>
      <c r="Y334" s="188"/>
      <c r="Z334" s="188"/>
      <c r="AA334" s="188"/>
      <c r="AB334" s="188"/>
      <c r="AC334" s="188"/>
      <c r="AD334" s="190"/>
      <c r="AE334" s="189"/>
    </row>
    <row r="335" spans="1:31" ht="21.25" customHeight="1" x14ac:dyDescent="0.15">
      <c r="A335" s="10" t="s">
        <v>606</v>
      </c>
      <c r="B335" s="186" t="s">
        <v>863</v>
      </c>
      <c r="C335" s="187">
        <v>27</v>
      </c>
      <c r="D335" s="186" t="s">
        <v>848</v>
      </c>
      <c r="E335" s="90">
        <v>84.305000000000007</v>
      </c>
      <c r="F335" s="188">
        <v>12.752470854268299</v>
      </c>
      <c r="G335" s="189">
        <v>0.17712157168048301</v>
      </c>
      <c r="H335" s="189">
        <v>0.18455879258687499</v>
      </c>
      <c r="I335" s="189">
        <v>0.361680364267358</v>
      </c>
      <c r="J335" s="189">
        <v>1.5848670360111701</v>
      </c>
      <c r="K335" s="189">
        <v>3.3170196991349099E-2</v>
      </c>
      <c r="L335" s="189">
        <v>6.2996477633557105E-2</v>
      </c>
      <c r="M335" s="189">
        <v>4.9046351450488402E-4</v>
      </c>
      <c r="N335" s="189">
        <v>6.1495063257752298E-4</v>
      </c>
      <c r="O335" s="189">
        <v>0.51441374021003905</v>
      </c>
      <c r="P335" s="189">
        <v>1.60513205302079</v>
      </c>
      <c r="Q335" s="189">
        <v>2.81621947336082E-2</v>
      </c>
      <c r="R335" s="189">
        <v>0.218207064876659</v>
      </c>
      <c r="S335" s="189">
        <v>3.1418741663923E-2</v>
      </c>
      <c r="T335" s="189">
        <v>0.123168420640481</v>
      </c>
      <c r="U335" s="189">
        <v>0.15504895222131301</v>
      </c>
      <c r="V335" s="189">
        <v>0.442705713786123</v>
      </c>
      <c r="W335" s="189"/>
      <c r="X335" s="90"/>
      <c r="Y335" s="188"/>
      <c r="Z335" s="188"/>
      <c r="AA335" s="188"/>
      <c r="AB335" s="188"/>
      <c r="AC335" s="188"/>
      <c r="AD335" s="190"/>
      <c r="AE335" s="189"/>
    </row>
    <row r="336" spans="1:31" ht="21.25" customHeight="1" x14ac:dyDescent="0.15">
      <c r="A336" s="10" t="s">
        <v>324</v>
      </c>
      <c r="B336" s="186" t="s">
        <v>836</v>
      </c>
      <c r="C336" s="187">
        <v>30</v>
      </c>
      <c r="D336" s="186" t="s">
        <v>827</v>
      </c>
      <c r="E336" s="90">
        <v>74.644999999999996</v>
      </c>
      <c r="F336" s="188">
        <v>18.650069941648901</v>
      </c>
      <c r="G336" s="189">
        <v>0.10399777149785799</v>
      </c>
      <c r="H336" s="189">
        <v>0.25747165861045301</v>
      </c>
      <c r="I336" s="189">
        <v>0.36146943010831101</v>
      </c>
      <c r="J336" s="189">
        <v>1.7314745025398199</v>
      </c>
      <c r="K336" s="189">
        <v>4.8193266229405096E-3</v>
      </c>
      <c r="L336" s="189">
        <v>2.9328294237579201E-2</v>
      </c>
      <c r="M336" s="189">
        <v>6.0357181565305201E-3</v>
      </c>
      <c r="N336" s="189">
        <v>8.0637833218499804E-3</v>
      </c>
      <c r="O336" s="189">
        <v>1.6714571556295701</v>
      </c>
      <c r="P336" s="189">
        <v>0.59667643301186002</v>
      </c>
      <c r="Q336" s="189">
        <v>3.6681530746555703E-2</v>
      </c>
      <c r="R336" s="189">
        <v>0.41690980743357198</v>
      </c>
      <c r="S336" s="189">
        <v>1.8255930454578202E-2</v>
      </c>
      <c r="T336" s="189">
        <v>0</v>
      </c>
      <c r="U336" s="189">
        <v>0</v>
      </c>
      <c r="V336" s="189">
        <v>0</v>
      </c>
      <c r="W336" s="189"/>
      <c r="X336" s="90"/>
      <c r="Y336" s="188"/>
      <c r="Z336" s="188"/>
      <c r="AA336" s="188"/>
      <c r="AB336" s="188"/>
      <c r="AC336" s="188"/>
      <c r="AD336" s="190"/>
      <c r="AE336" s="189"/>
    </row>
    <row r="337" spans="1:31" ht="21.25" customHeight="1" x14ac:dyDescent="0.15">
      <c r="A337" s="10" t="s">
        <v>666</v>
      </c>
      <c r="B337" s="186" t="s">
        <v>847</v>
      </c>
      <c r="C337" s="187">
        <v>25</v>
      </c>
      <c r="D337" s="186" t="s">
        <v>839</v>
      </c>
      <c r="E337" s="90">
        <v>80.715000000000003</v>
      </c>
      <c r="F337" s="188">
        <v>13.5499352731365</v>
      </c>
      <c r="G337" s="189">
        <v>0.162791037969234</v>
      </c>
      <c r="H337" s="189">
        <v>0.19810151366446399</v>
      </c>
      <c r="I337" s="189">
        <v>0.36089255163369799</v>
      </c>
      <c r="J337" s="189">
        <v>1.0862243449184601</v>
      </c>
      <c r="K337" s="189">
        <v>1.2641130450505401E-2</v>
      </c>
      <c r="L337" s="189">
        <v>3.1183894059260999E-2</v>
      </c>
      <c r="M337" s="189">
        <v>1.98308085111892E-3</v>
      </c>
      <c r="N337" s="189">
        <v>3.2649329714384201E-3</v>
      </c>
      <c r="O337" s="189">
        <v>0.54823137459319304</v>
      </c>
      <c r="P337" s="189">
        <v>1.4434070746909899</v>
      </c>
      <c r="Q337" s="189">
        <v>6.4058048962507302E-2</v>
      </c>
      <c r="R337" s="189">
        <v>0.44136841765078699</v>
      </c>
      <c r="S337" s="189">
        <v>2.7531675026829201E-2</v>
      </c>
      <c r="T337" s="189">
        <v>2.3727537045051399</v>
      </c>
      <c r="U337" s="189">
        <v>1.9221146418363499</v>
      </c>
      <c r="V337" s="189">
        <v>0.55246250016635001</v>
      </c>
      <c r="W337" s="189"/>
      <c r="X337" s="90"/>
      <c r="Y337" s="188"/>
      <c r="Z337" s="188"/>
      <c r="AA337" s="188"/>
      <c r="AB337" s="188"/>
      <c r="AC337" s="188"/>
      <c r="AD337" s="190"/>
      <c r="AE337" s="189"/>
    </row>
    <row r="338" spans="1:31" ht="21.25" customHeight="1" x14ac:dyDescent="0.15">
      <c r="A338" s="10" t="s">
        <v>398</v>
      </c>
      <c r="B338" s="186" t="s">
        <v>866</v>
      </c>
      <c r="C338" s="187">
        <v>30</v>
      </c>
      <c r="D338" s="186" t="s">
        <v>827</v>
      </c>
      <c r="E338" s="90">
        <v>71.402500000000003</v>
      </c>
      <c r="F338" s="188">
        <v>16.952804189875199</v>
      </c>
      <c r="G338" s="189">
        <v>6.4911835581284799E-2</v>
      </c>
      <c r="H338" s="189">
        <v>0.29600354915356603</v>
      </c>
      <c r="I338" s="189">
        <v>0.36091538473485102</v>
      </c>
      <c r="J338" s="189">
        <v>1.5823890769334501</v>
      </c>
      <c r="K338" s="189">
        <v>1.19426123937054E-2</v>
      </c>
      <c r="L338" s="189">
        <v>7.7214723552441397E-2</v>
      </c>
      <c r="M338" s="189">
        <v>4.50056754498449E-5</v>
      </c>
      <c r="N338" s="189">
        <v>1.5761877674871E-4</v>
      </c>
      <c r="O338" s="189">
        <v>0.91644891702673803</v>
      </c>
      <c r="P338" s="189">
        <v>0.565116197860562</v>
      </c>
      <c r="Q338" s="189">
        <v>-5.51948433670683E-2</v>
      </c>
      <c r="R338" s="189">
        <v>0.33554172539869997</v>
      </c>
      <c r="S338" s="189">
        <v>9.4798201116137199E-3</v>
      </c>
      <c r="T338" s="189">
        <v>0</v>
      </c>
      <c r="U338" s="189">
        <v>0</v>
      </c>
      <c r="V338" s="189">
        <v>0</v>
      </c>
      <c r="W338" s="189"/>
      <c r="X338" s="90"/>
      <c r="Y338" s="188"/>
      <c r="Z338" s="188"/>
      <c r="AA338" s="188"/>
      <c r="AB338" s="188"/>
      <c r="AC338" s="188"/>
      <c r="AD338" s="190"/>
      <c r="AE338" s="189"/>
    </row>
    <row r="339" spans="1:31" ht="21.25" customHeight="1" x14ac:dyDescent="0.15">
      <c r="A339" s="10" t="s">
        <v>648</v>
      </c>
      <c r="B339" s="186" t="s">
        <v>843</v>
      </c>
      <c r="C339" s="187">
        <v>31</v>
      </c>
      <c r="D339" s="186" t="s">
        <v>848</v>
      </c>
      <c r="E339" s="90">
        <v>76.644999999999996</v>
      </c>
      <c r="F339" s="188">
        <v>13.1221541609199</v>
      </c>
      <c r="G339" s="189">
        <v>0.158544735041483</v>
      </c>
      <c r="H339" s="189">
        <v>0.20102805487268099</v>
      </c>
      <c r="I339" s="189">
        <v>0.35957278991416403</v>
      </c>
      <c r="J339" s="189">
        <v>1.6476495452522599</v>
      </c>
      <c r="K339" s="189">
        <v>2.54405557709531E-2</v>
      </c>
      <c r="L339" s="189">
        <v>5.78260960777435E-2</v>
      </c>
      <c r="M339" s="189">
        <v>1.73765016358387E-5</v>
      </c>
      <c r="N339" s="189">
        <v>2.8857806853568501E-5</v>
      </c>
      <c r="O339" s="189">
        <v>0.29567551371836698</v>
      </c>
      <c r="P339" s="189">
        <v>0.40408458355041299</v>
      </c>
      <c r="Q339" s="189">
        <v>5.6394108781802101E-2</v>
      </c>
      <c r="R339" s="189">
        <v>0.18203414883417199</v>
      </c>
      <c r="S339" s="189">
        <v>3.0246757465573499E-2</v>
      </c>
      <c r="T339" s="189">
        <v>2.2843319147611198E-2</v>
      </c>
      <c r="U339" s="189">
        <v>8.29332840725686E-2</v>
      </c>
      <c r="V339" s="189">
        <v>0.21595814624583501</v>
      </c>
      <c r="W339" s="189"/>
      <c r="X339" s="90"/>
      <c r="Y339" s="188"/>
      <c r="Z339" s="188"/>
      <c r="AA339" s="188"/>
      <c r="AB339" s="188"/>
      <c r="AC339" s="188"/>
      <c r="AD339" s="190"/>
      <c r="AE339" s="189"/>
    </row>
    <row r="340" spans="1:31" ht="21.25" customHeight="1" x14ac:dyDescent="0.15">
      <c r="A340" s="10" t="s">
        <v>661</v>
      </c>
      <c r="B340" s="186" t="s">
        <v>871</v>
      </c>
      <c r="C340" s="187">
        <v>33</v>
      </c>
      <c r="D340" s="186" t="s">
        <v>824</v>
      </c>
      <c r="E340" s="90">
        <v>78.405000000000001</v>
      </c>
      <c r="F340" s="188">
        <v>12.961920452397999</v>
      </c>
      <c r="G340" s="189">
        <v>0.110003073974586</v>
      </c>
      <c r="H340" s="189">
        <v>0.24866309441864501</v>
      </c>
      <c r="I340" s="189">
        <v>0.35866616839323101</v>
      </c>
      <c r="J340" s="189">
        <v>1.20221338136883</v>
      </c>
      <c r="K340" s="189">
        <v>7.4125508915116201E-3</v>
      </c>
      <c r="L340" s="189">
        <v>3.5006551933923602E-2</v>
      </c>
      <c r="M340" s="189">
        <v>3.44747769853906E-4</v>
      </c>
      <c r="N340" s="189">
        <v>5.9915523839128998E-4</v>
      </c>
      <c r="O340" s="189">
        <v>0.33239131790422799</v>
      </c>
      <c r="P340" s="189">
        <v>0.57407249402798199</v>
      </c>
      <c r="Q340" s="189">
        <v>-9.2951003688086203E-2</v>
      </c>
      <c r="R340" s="189">
        <v>0.573561790670297</v>
      </c>
      <c r="S340" s="189">
        <v>1.5815688533714799E-2</v>
      </c>
      <c r="T340" s="189">
        <v>3.5128324770536001</v>
      </c>
      <c r="U340" s="189">
        <v>4.4790304806934103</v>
      </c>
      <c r="V340" s="189">
        <v>0.43955114040693</v>
      </c>
      <c r="W340" s="189"/>
      <c r="X340" s="90"/>
      <c r="Y340" s="188"/>
      <c r="Z340" s="188"/>
      <c r="AA340" s="188"/>
      <c r="AB340" s="188"/>
      <c r="AC340" s="188"/>
      <c r="AD340" s="190"/>
      <c r="AE340" s="189"/>
    </row>
    <row r="341" spans="1:31" ht="21.25" customHeight="1" x14ac:dyDescent="0.15">
      <c r="A341" s="10" t="s">
        <v>688</v>
      </c>
      <c r="B341" s="186" t="s">
        <v>868</v>
      </c>
      <c r="C341" s="187">
        <v>22</v>
      </c>
      <c r="D341" s="186" t="s">
        <v>825</v>
      </c>
      <c r="E341" s="90">
        <v>65.947500000000005</v>
      </c>
      <c r="F341" s="188">
        <v>14.624377942473</v>
      </c>
      <c r="G341" s="189">
        <v>0.155938010610322</v>
      </c>
      <c r="H341" s="189">
        <v>0.20164859779549801</v>
      </c>
      <c r="I341" s="189">
        <v>0.35758660840582002</v>
      </c>
      <c r="J341" s="189">
        <v>1.4854632030645301</v>
      </c>
      <c r="K341" s="189">
        <v>3.4421290308352202E-3</v>
      </c>
      <c r="L341" s="189">
        <v>1.0183439286011E-2</v>
      </c>
      <c r="M341" s="189">
        <v>3.3712680301990301E-3</v>
      </c>
      <c r="N341" s="189">
        <v>2.1362985903983299E-2</v>
      </c>
      <c r="O341" s="189">
        <v>0.63445801587167805</v>
      </c>
      <c r="P341" s="189">
        <v>1.10211472340404</v>
      </c>
      <c r="Q341" s="189">
        <v>-0.15754063382327799</v>
      </c>
      <c r="R341" s="189">
        <v>0.16876658651075699</v>
      </c>
      <c r="S341" s="189">
        <v>1.9323452144121699E-2</v>
      </c>
      <c r="T341" s="189">
        <v>0.107561407132354</v>
      </c>
      <c r="U341" s="189">
        <v>0.19864693456869101</v>
      </c>
      <c r="V341" s="189">
        <v>0.35126870331105198</v>
      </c>
      <c r="W341" s="189"/>
      <c r="X341" s="90"/>
      <c r="Y341" s="188"/>
      <c r="Z341" s="188"/>
      <c r="AA341" s="188"/>
      <c r="AB341" s="188"/>
      <c r="AC341" s="188"/>
      <c r="AD341" s="190"/>
      <c r="AE341" s="189"/>
    </row>
    <row r="342" spans="1:31" ht="21.25" customHeight="1" x14ac:dyDescent="0.15">
      <c r="A342" s="10" t="s">
        <v>679</v>
      </c>
      <c r="B342" s="186" t="s">
        <v>841</v>
      </c>
      <c r="C342" s="187">
        <v>24</v>
      </c>
      <c r="D342" s="186" t="s">
        <v>839</v>
      </c>
      <c r="E342" s="90">
        <v>81.28</v>
      </c>
      <c r="F342" s="188">
        <v>13.842773492561101</v>
      </c>
      <c r="G342" s="189">
        <v>0.16021149887984601</v>
      </c>
      <c r="H342" s="189">
        <v>0.197050974998707</v>
      </c>
      <c r="I342" s="189">
        <v>0.35726247387855298</v>
      </c>
      <c r="J342" s="189">
        <v>0.96080048504817095</v>
      </c>
      <c r="K342" s="189">
        <v>2.23762805599641E-3</v>
      </c>
      <c r="L342" s="189">
        <v>7.2847495619138003E-3</v>
      </c>
      <c r="M342" s="189">
        <v>1.02710219541873E-3</v>
      </c>
      <c r="N342" s="189">
        <v>4.4538885803264202E-3</v>
      </c>
      <c r="O342" s="189">
        <v>0.54231936155286997</v>
      </c>
      <c r="P342" s="189">
        <v>0.69538728372073499</v>
      </c>
      <c r="Q342" s="189">
        <v>-2.9168757317002001E-2</v>
      </c>
      <c r="R342" s="189">
        <v>0.27472414309826398</v>
      </c>
      <c r="S342" s="189">
        <v>2.1567941216823001E-2</v>
      </c>
      <c r="T342" s="189">
        <v>1.0901408204255001</v>
      </c>
      <c r="U342" s="189">
        <v>1.2785019485554501</v>
      </c>
      <c r="V342" s="189">
        <v>0.46023859515739002</v>
      </c>
      <c r="W342" s="189"/>
      <c r="X342" s="90"/>
      <c r="Y342" s="188"/>
      <c r="Z342" s="188"/>
      <c r="AA342" s="188"/>
      <c r="AB342" s="188"/>
      <c r="AC342" s="188"/>
      <c r="AD342" s="190"/>
      <c r="AE342" s="189"/>
    </row>
    <row r="343" spans="1:31" ht="21.25" customHeight="1" x14ac:dyDescent="0.15">
      <c r="A343" s="10" t="s">
        <v>677</v>
      </c>
      <c r="B343" s="186" t="s">
        <v>869</v>
      </c>
      <c r="C343" s="187">
        <v>24</v>
      </c>
      <c r="D343" s="186" t="s">
        <v>846</v>
      </c>
      <c r="E343" s="90">
        <v>78.995000000000005</v>
      </c>
      <c r="F343" s="188">
        <v>12.0509768302556</v>
      </c>
      <c r="G343" s="189">
        <v>0.14234281755516501</v>
      </c>
      <c r="H343" s="189">
        <v>0.21396925807990999</v>
      </c>
      <c r="I343" s="189">
        <v>0.356312075635075</v>
      </c>
      <c r="J343" s="189">
        <v>1.1060259200028</v>
      </c>
      <c r="K343" s="189">
        <v>2.6151389425369399E-3</v>
      </c>
      <c r="L343" s="189">
        <v>3.27167172858961E-3</v>
      </c>
      <c r="M343" s="189">
        <v>1.30800159969589E-3</v>
      </c>
      <c r="N343" s="189">
        <v>2.1560419069277599E-3</v>
      </c>
      <c r="O343" s="189">
        <v>0.44260281943232699</v>
      </c>
      <c r="P343" s="189">
        <v>1.04943722358696</v>
      </c>
      <c r="Q343" s="189">
        <v>7.2599716335716102E-2</v>
      </c>
      <c r="R343" s="189">
        <v>0.32998791698057001</v>
      </c>
      <c r="S343" s="189">
        <v>2.1318586241214799E-2</v>
      </c>
      <c r="T343" s="189">
        <v>3.2255017617520698</v>
      </c>
      <c r="U343" s="189">
        <v>3.9298685513207201</v>
      </c>
      <c r="V343" s="189">
        <v>0.45078054952084201</v>
      </c>
      <c r="W343" s="189"/>
      <c r="X343" s="90"/>
      <c r="Y343" s="188"/>
      <c r="Z343" s="188"/>
      <c r="AA343" s="188"/>
      <c r="AB343" s="188"/>
      <c r="AC343" s="188"/>
      <c r="AD343" s="190"/>
      <c r="AE343" s="189"/>
    </row>
    <row r="344" spans="1:31" ht="21.25" customHeight="1" x14ac:dyDescent="0.15">
      <c r="A344" s="10" t="s">
        <v>631</v>
      </c>
      <c r="B344" s="186" t="s">
        <v>850</v>
      </c>
      <c r="C344" s="187">
        <v>30</v>
      </c>
      <c r="D344" s="186" t="s">
        <v>824</v>
      </c>
      <c r="E344" s="90">
        <v>81.545000000000002</v>
      </c>
      <c r="F344" s="188">
        <v>15.388980286158301</v>
      </c>
      <c r="G344" s="189">
        <v>0.14066807961759301</v>
      </c>
      <c r="H344" s="189">
        <v>0.21550957825728401</v>
      </c>
      <c r="I344" s="189">
        <v>0.35617765787487699</v>
      </c>
      <c r="J344" s="189">
        <v>1.0761422628388</v>
      </c>
      <c r="K344" s="189">
        <v>3.7696161091103599E-4</v>
      </c>
      <c r="L344" s="189">
        <v>8.3900380584841605E-4</v>
      </c>
      <c r="M344" s="189">
        <v>1.9428501890942401E-2</v>
      </c>
      <c r="N344" s="189">
        <v>3.1530524785894298E-2</v>
      </c>
      <c r="O344" s="189">
        <v>0.71338632960622195</v>
      </c>
      <c r="P344" s="189">
        <v>1.3035567771912799</v>
      </c>
      <c r="Q344" s="189">
        <v>1.08622271812156E-2</v>
      </c>
      <c r="R344" s="189">
        <v>0.25296686007742503</v>
      </c>
      <c r="S344" s="189">
        <v>2.34198501869795E-2</v>
      </c>
      <c r="T344" s="189">
        <v>6.8772337826765897</v>
      </c>
      <c r="U344" s="189">
        <v>5.9058570656617499</v>
      </c>
      <c r="V344" s="189">
        <v>0.53799459491211798</v>
      </c>
      <c r="W344" s="189"/>
      <c r="X344" s="90"/>
      <c r="Y344" s="188"/>
      <c r="Z344" s="188"/>
      <c r="AA344" s="188"/>
      <c r="AB344" s="188"/>
      <c r="AC344" s="188"/>
      <c r="AD344" s="190"/>
      <c r="AE344" s="189"/>
    </row>
    <row r="345" spans="1:31" ht="21.25" customHeight="1" x14ac:dyDescent="0.15">
      <c r="A345" s="10" t="s">
        <v>646</v>
      </c>
      <c r="B345" s="186" t="s">
        <v>857</v>
      </c>
      <c r="C345" s="187">
        <v>29</v>
      </c>
      <c r="D345" s="186" t="s">
        <v>826</v>
      </c>
      <c r="E345" s="90">
        <v>77.502499999999998</v>
      </c>
      <c r="F345" s="188">
        <v>13.646511476668</v>
      </c>
      <c r="G345" s="189">
        <v>0.189348572779174</v>
      </c>
      <c r="H345" s="189">
        <v>0.16622694345342801</v>
      </c>
      <c r="I345" s="189">
        <v>0.35557551623260197</v>
      </c>
      <c r="J345" s="189">
        <v>1.3591143538216599</v>
      </c>
      <c r="K345" s="189">
        <v>3.0521675622085501E-4</v>
      </c>
      <c r="L345" s="189">
        <v>6.63333014640848E-4</v>
      </c>
      <c r="M345" s="189">
        <v>9.3054993406310703E-3</v>
      </c>
      <c r="N345" s="189">
        <v>1.5227192414413599E-2</v>
      </c>
      <c r="O345" s="189">
        <v>0.738068739390074</v>
      </c>
      <c r="P345" s="189">
        <v>2.97047062142427</v>
      </c>
      <c r="Q345" s="189">
        <v>2.5980169236111701E-2</v>
      </c>
      <c r="R345" s="189">
        <v>1.0854841812515199</v>
      </c>
      <c r="S345" s="189">
        <v>3.0511863172047099E-2</v>
      </c>
      <c r="T345" s="189">
        <v>6.8230159116723602E-2</v>
      </c>
      <c r="U345" s="189">
        <v>0.17114729070735499</v>
      </c>
      <c r="V345" s="189">
        <v>0.28503169018997798</v>
      </c>
      <c r="W345" s="189"/>
      <c r="X345" s="90"/>
      <c r="Y345" s="188"/>
      <c r="Z345" s="188"/>
      <c r="AA345" s="188"/>
      <c r="AB345" s="188"/>
      <c r="AC345" s="188"/>
      <c r="AD345" s="190"/>
      <c r="AE345" s="189"/>
    </row>
    <row r="346" spans="1:31" ht="21.25" customHeight="1" x14ac:dyDescent="0.15">
      <c r="A346" s="10" t="s">
        <v>383</v>
      </c>
      <c r="B346" s="186" t="s">
        <v>849</v>
      </c>
      <c r="C346" s="187">
        <v>36</v>
      </c>
      <c r="D346" s="186" t="s">
        <v>827</v>
      </c>
      <c r="E346" s="90">
        <v>75.105000000000004</v>
      </c>
      <c r="F346" s="188">
        <v>22.9425977843411</v>
      </c>
      <c r="G346" s="189">
        <v>7.1767104116241306E-2</v>
      </c>
      <c r="H346" s="189">
        <v>0.28286850638114702</v>
      </c>
      <c r="I346" s="189">
        <v>0.35463561049738801</v>
      </c>
      <c r="J346" s="189">
        <v>1.32299592577818</v>
      </c>
      <c r="K346" s="189">
        <v>8.7543344908595395E-3</v>
      </c>
      <c r="L346" s="189">
        <v>6.1476222571827797E-2</v>
      </c>
      <c r="M346" s="189">
        <v>1.79206192030025E-4</v>
      </c>
      <c r="N346" s="189">
        <v>4.6241001386616203E-3</v>
      </c>
      <c r="O346" s="189">
        <v>1.22393392340944</v>
      </c>
      <c r="P346" s="189">
        <v>0.775500532950404</v>
      </c>
      <c r="Q346" s="189">
        <v>1.8446513993736698E-2</v>
      </c>
      <c r="R346" s="189">
        <v>0.53861813742870501</v>
      </c>
      <c r="S346" s="189">
        <v>1.1336630473172999E-2</v>
      </c>
      <c r="T346" s="189">
        <v>0</v>
      </c>
      <c r="U346" s="189">
        <v>0</v>
      </c>
      <c r="V346" s="189">
        <v>0</v>
      </c>
      <c r="W346" s="189"/>
      <c r="X346" s="90"/>
      <c r="Y346" s="189"/>
      <c r="Z346" s="189"/>
      <c r="AA346" s="189"/>
      <c r="AB346" s="189"/>
      <c r="AC346" s="188"/>
      <c r="AD346" s="190"/>
      <c r="AE346" s="189"/>
    </row>
    <row r="347" spans="1:31" ht="21.25" customHeight="1" x14ac:dyDescent="0.15">
      <c r="A347" s="10" t="s">
        <v>379</v>
      </c>
      <c r="B347" s="186" t="s">
        <v>868</v>
      </c>
      <c r="C347" s="187">
        <v>21</v>
      </c>
      <c r="D347" s="186" t="s">
        <v>827</v>
      </c>
      <c r="E347" s="90">
        <v>79.05</v>
      </c>
      <c r="F347" s="188">
        <v>19.432071182156498</v>
      </c>
      <c r="G347" s="189">
        <v>8.3637942823953995E-2</v>
      </c>
      <c r="H347" s="189">
        <v>0.27081907727249199</v>
      </c>
      <c r="I347" s="189">
        <v>0.35445702009644597</v>
      </c>
      <c r="J347" s="189">
        <v>1.05723971810994</v>
      </c>
      <c r="K347" s="189">
        <v>3.23770863582381E-3</v>
      </c>
      <c r="L347" s="189">
        <v>4.8388411507297599E-2</v>
      </c>
      <c r="M347" s="189">
        <v>5.7186393505481801E-4</v>
      </c>
      <c r="N347" s="189">
        <v>1.9506831236003599E-3</v>
      </c>
      <c r="O347" s="189">
        <v>1.3203301224950601</v>
      </c>
      <c r="P347" s="189">
        <v>0.70474524237885505</v>
      </c>
      <c r="Q347" s="189">
        <v>-0.15745636707524099</v>
      </c>
      <c r="R347" s="189">
        <v>0.36565269949428097</v>
      </c>
      <c r="S347" s="189">
        <v>1.0364206772075399E-2</v>
      </c>
      <c r="T347" s="189">
        <v>0</v>
      </c>
      <c r="U347" s="189">
        <v>0</v>
      </c>
      <c r="V347" s="189">
        <v>0</v>
      </c>
      <c r="W347" s="189"/>
      <c r="X347" s="90"/>
      <c r="Y347" s="188"/>
      <c r="Z347" s="188"/>
      <c r="AA347" s="188"/>
      <c r="AB347" s="188"/>
      <c r="AC347" s="188"/>
      <c r="AD347" s="190"/>
      <c r="AE347" s="189"/>
    </row>
    <row r="348" spans="1:31" ht="21.25" customHeight="1" x14ac:dyDescent="0.15">
      <c r="A348" s="10" t="s">
        <v>605</v>
      </c>
      <c r="B348" s="186" t="s">
        <v>865</v>
      </c>
      <c r="C348" s="187">
        <v>26</v>
      </c>
      <c r="D348" s="186" t="s">
        <v>824</v>
      </c>
      <c r="E348" s="90">
        <v>81.855000000000004</v>
      </c>
      <c r="F348" s="188">
        <v>15.643106562044499</v>
      </c>
      <c r="G348" s="189">
        <v>0.13550648677440499</v>
      </c>
      <c r="H348" s="189">
        <v>0.21859832959235101</v>
      </c>
      <c r="I348" s="189">
        <v>0.354104816366756</v>
      </c>
      <c r="J348" s="189">
        <v>1.4006655853324299</v>
      </c>
      <c r="K348" s="189">
        <v>7.4810578011861497E-3</v>
      </c>
      <c r="L348" s="189">
        <v>1.9724211926135601E-2</v>
      </c>
      <c r="M348" s="189">
        <v>1.91814006853309E-3</v>
      </c>
      <c r="N348" s="189">
        <v>3.45733741214655E-3</v>
      </c>
      <c r="O348" s="189">
        <v>0.75303448339191603</v>
      </c>
      <c r="P348" s="189">
        <v>0.68596309622506102</v>
      </c>
      <c r="Q348" s="189">
        <v>-3.0072063002368199E-2</v>
      </c>
      <c r="R348" s="189">
        <v>0.41748049454052799</v>
      </c>
      <c r="S348" s="189">
        <v>1.8771038325497601E-2</v>
      </c>
      <c r="T348" s="189">
        <v>7.2193578331889903</v>
      </c>
      <c r="U348" s="189">
        <v>5.3594403277941201</v>
      </c>
      <c r="V348" s="189">
        <v>0.57393065226072104</v>
      </c>
      <c r="W348" s="189"/>
      <c r="X348" s="90"/>
      <c r="Y348" s="188"/>
      <c r="Z348" s="188"/>
      <c r="AA348" s="188"/>
      <c r="AB348" s="188"/>
      <c r="AC348" s="188"/>
      <c r="AD348" s="190"/>
      <c r="AE348" s="189"/>
    </row>
    <row r="349" spans="1:31" ht="21.25" customHeight="1" x14ac:dyDescent="0.15">
      <c r="A349" s="10" t="s">
        <v>333</v>
      </c>
      <c r="B349" s="186" t="s">
        <v>854</v>
      </c>
      <c r="C349" s="187">
        <v>26</v>
      </c>
      <c r="D349" s="186" t="s">
        <v>826</v>
      </c>
      <c r="E349" s="90">
        <v>76.792500000000004</v>
      </c>
      <c r="F349" s="188">
        <v>17.383654857003101</v>
      </c>
      <c r="G349" s="189">
        <v>0.232249375580177</v>
      </c>
      <c r="H349" s="189">
        <v>0.50244130829557299</v>
      </c>
      <c r="I349" s="189">
        <v>0.73469068387574998</v>
      </c>
      <c r="J349" s="189">
        <v>2.4126329856197599</v>
      </c>
      <c r="K349" s="189">
        <v>6.4129810913669205E-2</v>
      </c>
      <c r="L349" s="189">
        <v>0.26665052899890801</v>
      </c>
      <c r="M349" s="189">
        <v>0</v>
      </c>
      <c r="N349" s="189">
        <v>0</v>
      </c>
      <c r="O349" s="189">
        <v>0.34705574372459302</v>
      </c>
      <c r="P349" s="189">
        <v>0.37446326435273503</v>
      </c>
      <c r="Q349" s="189">
        <v>-6.7085441285435005E-2</v>
      </c>
      <c r="R349" s="189">
        <v>0.223648024880056</v>
      </c>
      <c r="S349" s="189">
        <v>2.8663300249084499E-2</v>
      </c>
      <c r="T349" s="189">
        <v>5.4042586983287497E-2</v>
      </c>
      <c r="U349" s="189">
        <v>0.13317660641758899</v>
      </c>
      <c r="V349" s="189">
        <v>0.28865943711001202</v>
      </c>
      <c r="W349" s="189"/>
      <c r="X349" s="90"/>
      <c r="Y349" s="188"/>
      <c r="Z349" s="188"/>
      <c r="AA349" s="188"/>
      <c r="AB349" s="188"/>
      <c r="AC349" s="188"/>
      <c r="AD349" s="190"/>
      <c r="AE349" s="189"/>
    </row>
    <row r="350" spans="1:31" ht="21.25" customHeight="1" x14ac:dyDescent="0.15">
      <c r="A350" s="10" t="s">
        <v>630</v>
      </c>
      <c r="B350" s="186" t="s">
        <v>863</v>
      </c>
      <c r="C350" s="187">
        <v>30</v>
      </c>
      <c r="D350" s="186" t="s">
        <v>848</v>
      </c>
      <c r="E350" s="90">
        <v>81.545000000000002</v>
      </c>
      <c r="F350" s="188">
        <v>13.121431765752201</v>
      </c>
      <c r="G350" s="189">
        <v>0.19463369683288401</v>
      </c>
      <c r="H350" s="189">
        <v>0.15706268588413899</v>
      </c>
      <c r="I350" s="189">
        <v>0.35169638271702303</v>
      </c>
      <c r="J350" s="189">
        <v>1.70968014603911</v>
      </c>
      <c r="K350" s="189">
        <v>1.36807427187597E-2</v>
      </c>
      <c r="L350" s="189">
        <v>2.2981055133838801E-2</v>
      </c>
      <c r="M350" s="189">
        <v>1.9224615594522899E-3</v>
      </c>
      <c r="N350" s="189">
        <v>3.58858522727502E-3</v>
      </c>
      <c r="O350" s="189">
        <v>0.331532588329709</v>
      </c>
      <c r="P350" s="189">
        <v>0.95502841697098395</v>
      </c>
      <c r="Q350" s="189">
        <v>3.0442155394771801E-2</v>
      </c>
      <c r="R350" s="189">
        <v>0.29596654160612401</v>
      </c>
      <c r="S350" s="189">
        <v>3.4525133115451599E-2</v>
      </c>
      <c r="T350" s="189">
        <v>0.17440166749879901</v>
      </c>
      <c r="U350" s="189">
        <v>0.22886732412892999</v>
      </c>
      <c r="V350" s="189">
        <v>0.43246981820956498</v>
      </c>
      <c r="W350" s="189"/>
      <c r="X350" s="90"/>
      <c r="Y350" s="188"/>
      <c r="Z350" s="188"/>
      <c r="AA350" s="188"/>
      <c r="AB350" s="188"/>
      <c r="AC350" s="188"/>
      <c r="AD350" s="190"/>
      <c r="AE350" s="189"/>
    </row>
    <row r="351" spans="1:31" ht="21.25" customHeight="1" x14ac:dyDescent="0.15">
      <c r="A351" s="10" t="s">
        <v>619</v>
      </c>
      <c r="B351" s="186" t="s">
        <v>842</v>
      </c>
      <c r="C351" s="187">
        <v>33</v>
      </c>
      <c r="D351" s="186" t="s">
        <v>852</v>
      </c>
      <c r="E351" s="90">
        <v>81.522499999999994</v>
      </c>
      <c r="F351" s="188">
        <v>13.9965925802051</v>
      </c>
      <c r="G351" s="189">
        <v>0.14076105237571501</v>
      </c>
      <c r="H351" s="189">
        <v>0.210753890742259</v>
      </c>
      <c r="I351" s="189">
        <v>0.35151494311797399</v>
      </c>
      <c r="J351" s="189">
        <v>1.84936040723918</v>
      </c>
      <c r="K351" s="189">
        <v>1.9050714523061198E-2</v>
      </c>
      <c r="L351" s="189">
        <v>5.2988796135571503E-2</v>
      </c>
      <c r="M351" s="189">
        <v>8.7119551162024699E-3</v>
      </c>
      <c r="N351" s="189">
        <v>9.6544811369469793E-3</v>
      </c>
      <c r="O351" s="189">
        <v>0.32923559059955898</v>
      </c>
      <c r="P351" s="189">
        <v>0.98751094747727397</v>
      </c>
      <c r="Q351" s="189">
        <v>6.7838595568177401E-3</v>
      </c>
      <c r="R351" s="189">
        <v>0.40759830183235102</v>
      </c>
      <c r="S351" s="189">
        <v>2.1038965692901899E-2</v>
      </c>
      <c r="T351" s="189">
        <v>3.3689813390633998</v>
      </c>
      <c r="U351" s="189">
        <v>3.8071420462388001</v>
      </c>
      <c r="V351" s="189">
        <v>0.46947093272721402</v>
      </c>
      <c r="W351" s="189"/>
      <c r="X351" s="90"/>
      <c r="Y351" s="188"/>
      <c r="Z351" s="188"/>
      <c r="AA351" s="188"/>
      <c r="AB351" s="188"/>
      <c r="AC351" s="188"/>
      <c r="AD351" s="190"/>
      <c r="AE351" s="189"/>
    </row>
    <row r="352" spans="1:31" ht="21.25" customHeight="1" x14ac:dyDescent="0.15">
      <c r="A352" s="10" t="s">
        <v>652</v>
      </c>
      <c r="B352" s="186" t="s">
        <v>837</v>
      </c>
      <c r="C352" s="187">
        <v>31</v>
      </c>
      <c r="D352" s="186" t="s">
        <v>848</v>
      </c>
      <c r="E352" s="90">
        <v>82.467500000000001</v>
      </c>
      <c r="F352" s="188">
        <v>14.2812526722602</v>
      </c>
      <c r="G352" s="189">
        <v>0.17530644832516901</v>
      </c>
      <c r="H352" s="189">
        <v>0.175475595268722</v>
      </c>
      <c r="I352" s="189">
        <v>0.35078204359389098</v>
      </c>
      <c r="J352" s="189">
        <v>1.40813870563179</v>
      </c>
      <c r="K352" s="189">
        <v>3.7352079874271098E-4</v>
      </c>
      <c r="L352" s="189">
        <v>8.1763235442732201E-4</v>
      </c>
      <c r="M352" s="189">
        <v>1.7282336467329899E-2</v>
      </c>
      <c r="N352" s="189">
        <v>3.0400793403296399E-2</v>
      </c>
      <c r="O352" s="189">
        <v>0.26935828210741097</v>
      </c>
      <c r="P352" s="189">
        <v>0.43863362654230997</v>
      </c>
      <c r="Q352" s="189">
        <v>7.3104300623728205E-2</v>
      </c>
      <c r="R352" s="189">
        <v>0.19575118289298099</v>
      </c>
      <c r="S352" s="189">
        <v>3.11185491970087E-2</v>
      </c>
      <c r="T352" s="189">
        <v>2.5350681059880399E-2</v>
      </c>
      <c r="U352" s="189">
        <v>0.11079000904564899</v>
      </c>
      <c r="V352" s="189">
        <v>0.186209435549576</v>
      </c>
      <c r="W352" s="189"/>
      <c r="X352" s="90"/>
      <c r="Y352" s="188"/>
      <c r="Z352" s="188"/>
      <c r="AA352" s="188"/>
      <c r="AB352" s="188"/>
      <c r="AC352" s="188"/>
      <c r="AD352" s="190"/>
      <c r="AE352" s="189"/>
    </row>
    <row r="353" spans="1:31" ht="21.25" customHeight="1" x14ac:dyDescent="0.15">
      <c r="A353" s="10" t="s">
        <v>657</v>
      </c>
      <c r="B353" s="186" t="s">
        <v>855</v>
      </c>
      <c r="C353" s="187">
        <v>28</v>
      </c>
      <c r="D353" s="186" t="s">
        <v>826</v>
      </c>
      <c r="E353" s="90">
        <v>76.81</v>
      </c>
      <c r="F353" s="188">
        <v>11.6206056310936</v>
      </c>
      <c r="G353" s="189">
        <v>0.16540909614492799</v>
      </c>
      <c r="H353" s="189">
        <v>0.18486357549975499</v>
      </c>
      <c r="I353" s="189">
        <v>0.35027267164468301</v>
      </c>
      <c r="J353" s="189">
        <v>1.32271253889455</v>
      </c>
      <c r="K353" s="189">
        <v>1.7142594736184701E-2</v>
      </c>
      <c r="L353" s="189">
        <v>2.6807112496151399E-2</v>
      </c>
      <c r="M353" s="189">
        <v>4.1086792008948001E-5</v>
      </c>
      <c r="N353" s="189">
        <v>6.7713066716930693E-5</v>
      </c>
      <c r="O353" s="189">
        <v>0.59233301644834102</v>
      </c>
      <c r="P353" s="189">
        <v>1.49606477143933</v>
      </c>
      <c r="Q353" s="189">
        <v>4.4142121162120502E-3</v>
      </c>
      <c r="R353" s="189">
        <v>0.19606571433558601</v>
      </c>
      <c r="S353" s="189">
        <v>2.3982216845052001E-2</v>
      </c>
      <c r="T353" s="189">
        <v>1.0794300547393399E-2</v>
      </c>
      <c r="U353" s="189">
        <v>7.5721839888297907E-2</v>
      </c>
      <c r="V353" s="189">
        <v>0.124766320978188</v>
      </c>
      <c r="W353" s="189"/>
      <c r="X353" s="90"/>
      <c r="Y353" s="188"/>
      <c r="Z353" s="188"/>
      <c r="AA353" s="188"/>
      <c r="AB353" s="188"/>
      <c r="AC353" s="188"/>
      <c r="AD353" s="190"/>
      <c r="AE353" s="189"/>
    </row>
    <row r="354" spans="1:31" ht="21.25" customHeight="1" x14ac:dyDescent="0.15">
      <c r="A354" s="10" t="s">
        <v>706</v>
      </c>
      <c r="B354" s="186" t="s">
        <v>854</v>
      </c>
      <c r="C354" s="187">
        <v>21</v>
      </c>
      <c r="D354" s="186" t="s">
        <v>846</v>
      </c>
      <c r="E354" s="90">
        <v>71.165000000000006</v>
      </c>
      <c r="F354" s="188">
        <v>12.675920695652501</v>
      </c>
      <c r="G354" s="189">
        <v>0.100371473607051</v>
      </c>
      <c r="H354" s="189">
        <v>0.24973187218437101</v>
      </c>
      <c r="I354" s="189">
        <v>0.35010334579142199</v>
      </c>
      <c r="J354" s="189">
        <v>1.1238577262487801</v>
      </c>
      <c r="K354" s="189">
        <v>1.8672495009836799E-2</v>
      </c>
      <c r="L354" s="189">
        <v>4.6306967420907501E-2</v>
      </c>
      <c r="M354" s="189">
        <v>2.3054362817911699E-3</v>
      </c>
      <c r="N354" s="189">
        <v>3.79239748969864E-3</v>
      </c>
      <c r="O354" s="189">
        <v>0.32633179805822199</v>
      </c>
      <c r="P354" s="189">
        <v>0.81600445522422604</v>
      </c>
      <c r="Q354" s="189">
        <v>-9.3281873129337306E-2</v>
      </c>
      <c r="R354" s="189">
        <v>0.344637715562436</v>
      </c>
      <c r="S354" s="189">
        <v>1.2387450675615599E-2</v>
      </c>
      <c r="T354" s="189">
        <v>1.8554275955947099</v>
      </c>
      <c r="U354" s="189">
        <v>2.0688596853229102</v>
      </c>
      <c r="V354" s="189">
        <v>0.47280626079975702</v>
      </c>
      <c r="W354" s="189"/>
      <c r="X354" s="90"/>
      <c r="Y354" s="188"/>
      <c r="Z354" s="188"/>
      <c r="AA354" s="188"/>
      <c r="AB354" s="188"/>
      <c r="AC354" s="188"/>
      <c r="AD354" s="190"/>
      <c r="AE354" s="189"/>
    </row>
    <row r="355" spans="1:31" ht="21.25" customHeight="1" x14ac:dyDescent="0.15">
      <c r="A355" s="10" t="s">
        <v>348</v>
      </c>
      <c r="B355" s="186" t="s">
        <v>838</v>
      </c>
      <c r="C355" s="187">
        <v>28</v>
      </c>
      <c r="D355" s="186" t="s">
        <v>827</v>
      </c>
      <c r="E355" s="90">
        <v>77.305000000000007</v>
      </c>
      <c r="F355" s="188">
        <v>17.6045964653201</v>
      </c>
      <c r="G355" s="189">
        <v>8.28519788161695E-2</v>
      </c>
      <c r="H355" s="189">
        <v>0.266759475556265</v>
      </c>
      <c r="I355" s="189">
        <v>0.34961145437243502</v>
      </c>
      <c r="J355" s="189">
        <v>1.79008830423495</v>
      </c>
      <c r="K355" s="189">
        <v>2.09818932300543E-3</v>
      </c>
      <c r="L355" s="189">
        <v>1.21828431294946E-2</v>
      </c>
      <c r="M355" s="189">
        <v>3.0235651394202201E-4</v>
      </c>
      <c r="N355" s="189">
        <v>1.0383363076254099E-3</v>
      </c>
      <c r="O355" s="189">
        <v>1.26797173274661</v>
      </c>
      <c r="P355" s="189">
        <v>0.68567428811835596</v>
      </c>
      <c r="Q355" s="189">
        <v>0.130700591215687</v>
      </c>
      <c r="R355" s="189">
        <v>0.297186953446613</v>
      </c>
      <c r="S355" s="189">
        <v>1.4953722611227099E-2</v>
      </c>
      <c r="T355" s="189">
        <v>0</v>
      </c>
      <c r="U355" s="189">
        <v>0</v>
      </c>
      <c r="V355" s="189">
        <v>0</v>
      </c>
      <c r="W355" s="189"/>
      <c r="X355" s="90"/>
      <c r="Y355" s="188"/>
      <c r="Z355" s="188"/>
      <c r="AA355" s="188"/>
      <c r="AB355" s="188"/>
      <c r="AC355" s="188"/>
      <c r="AD355" s="190"/>
      <c r="AE355" s="189"/>
    </row>
    <row r="356" spans="1:31" ht="21.25" customHeight="1" x14ac:dyDescent="0.15">
      <c r="A356" s="10" t="s">
        <v>667</v>
      </c>
      <c r="B356" s="186" t="s">
        <v>838</v>
      </c>
      <c r="C356" s="187">
        <v>29</v>
      </c>
      <c r="D356" s="186" t="s">
        <v>846</v>
      </c>
      <c r="E356" s="90">
        <v>79.897499999999994</v>
      </c>
      <c r="F356" s="188">
        <v>13.3573914742152</v>
      </c>
      <c r="G356" s="189">
        <v>0.13193128456316</v>
      </c>
      <c r="H356" s="189">
        <v>0.21767977220642601</v>
      </c>
      <c r="I356" s="189">
        <v>0.34961105676958598</v>
      </c>
      <c r="J356" s="189">
        <v>1.0660772651249899</v>
      </c>
      <c r="K356" s="189">
        <v>1.5946710294597599E-2</v>
      </c>
      <c r="L356" s="189">
        <v>3.2462866217147897E-2</v>
      </c>
      <c r="M356" s="189">
        <v>3.8623728666044399E-3</v>
      </c>
      <c r="N356" s="189">
        <v>1.17237532112562E-2</v>
      </c>
      <c r="O356" s="189">
        <v>0.54093855045971495</v>
      </c>
      <c r="P356" s="189">
        <v>0.98782421774220497</v>
      </c>
      <c r="Q356" s="189">
        <v>6.7330553749327601E-2</v>
      </c>
      <c r="R356" s="189">
        <v>0.34068356285311302</v>
      </c>
      <c r="S356" s="189">
        <v>2.3811909640416899E-2</v>
      </c>
      <c r="T356" s="189">
        <v>4.5259830309840696</v>
      </c>
      <c r="U356" s="189">
        <v>4.6345390384381604</v>
      </c>
      <c r="V356" s="189">
        <v>0.49407479144576</v>
      </c>
      <c r="W356" s="189"/>
      <c r="X356" s="90"/>
      <c r="Y356" s="188"/>
      <c r="Z356" s="188"/>
      <c r="AA356" s="188"/>
      <c r="AB356" s="188"/>
      <c r="AC356" s="188"/>
      <c r="AD356" s="190"/>
      <c r="AE356" s="189"/>
    </row>
    <row r="357" spans="1:31" ht="21.25" customHeight="1" x14ac:dyDescent="0.15">
      <c r="A357" s="10" t="s">
        <v>403</v>
      </c>
      <c r="B357" s="186" t="s">
        <v>837</v>
      </c>
      <c r="C357" s="187">
        <v>28</v>
      </c>
      <c r="D357" s="186" t="s">
        <v>827</v>
      </c>
      <c r="E357" s="90">
        <v>79.05</v>
      </c>
      <c r="F357" s="188">
        <v>17.378821382761899</v>
      </c>
      <c r="G357" s="189">
        <v>7.2344340173417995E-2</v>
      </c>
      <c r="H357" s="189">
        <v>0.27658580136770999</v>
      </c>
      <c r="I357" s="189">
        <v>0.348930141541128</v>
      </c>
      <c r="J357" s="189">
        <v>1.07175122979619</v>
      </c>
      <c r="K357" s="189">
        <v>2.59267815697808E-3</v>
      </c>
      <c r="L357" s="189">
        <v>3.3444337689420303E-2</v>
      </c>
      <c r="M357" s="189">
        <v>1.4908478305770601E-4</v>
      </c>
      <c r="N357" s="189">
        <v>5.1345492622852898E-4</v>
      </c>
      <c r="O357" s="189">
        <v>1.05790609992674</v>
      </c>
      <c r="P357" s="189">
        <v>1.2294494857226199</v>
      </c>
      <c r="Q357" s="189">
        <v>9.2745327323729407E-2</v>
      </c>
      <c r="R357" s="189">
        <v>0.83339817936414196</v>
      </c>
      <c r="S357" s="189">
        <v>1.28418031984533E-2</v>
      </c>
      <c r="T357" s="189">
        <v>0</v>
      </c>
      <c r="U357" s="189">
        <v>0</v>
      </c>
      <c r="V357" s="189">
        <v>0</v>
      </c>
      <c r="W357" s="189"/>
      <c r="X357" s="90"/>
      <c r="Y357" s="188"/>
      <c r="Z357" s="188"/>
      <c r="AA357" s="188"/>
      <c r="AB357" s="188"/>
      <c r="AC357" s="188"/>
      <c r="AD357" s="190"/>
      <c r="AE357" s="189"/>
    </row>
    <row r="358" spans="1:31" ht="21.25" customHeight="1" x14ac:dyDescent="0.15">
      <c r="A358" s="10" t="s">
        <v>686</v>
      </c>
      <c r="B358" s="186" t="s">
        <v>847</v>
      </c>
      <c r="C358" s="187">
        <v>28</v>
      </c>
      <c r="D358" s="186" t="s">
        <v>839</v>
      </c>
      <c r="E358" s="90">
        <v>81.52</v>
      </c>
      <c r="F358" s="188">
        <v>13.9752781672232</v>
      </c>
      <c r="G358" s="189">
        <v>0.119269081757033</v>
      </c>
      <c r="H358" s="189">
        <v>0.22874667465573501</v>
      </c>
      <c r="I358" s="189">
        <v>0.348015756412768</v>
      </c>
      <c r="J358" s="189">
        <v>1.06995617500776</v>
      </c>
      <c r="K358" s="189">
        <v>6.5421096332154904E-3</v>
      </c>
      <c r="L358" s="189">
        <v>1.79702250178373E-2</v>
      </c>
      <c r="M358" s="189">
        <v>4.9245361035484296E-3</v>
      </c>
      <c r="N358" s="189">
        <v>1.23505181899322E-2</v>
      </c>
      <c r="O358" s="189">
        <v>0.362352693360318</v>
      </c>
      <c r="P358" s="189">
        <v>0.918538463275829</v>
      </c>
      <c r="Q358" s="189">
        <v>4.7661288573921601E-2</v>
      </c>
      <c r="R358" s="189">
        <v>0.34453852095693099</v>
      </c>
      <c r="S358" s="189">
        <v>2.0171120232697001E-2</v>
      </c>
      <c r="T358" s="189">
        <v>1.6597951310379699</v>
      </c>
      <c r="U358" s="189">
        <v>1.6373307883713299</v>
      </c>
      <c r="V358" s="189">
        <v>0.50340665525304895</v>
      </c>
      <c r="W358" s="189"/>
      <c r="X358" s="90"/>
      <c r="Y358" s="188"/>
      <c r="Z358" s="188"/>
      <c r="AA358" s="188"/>
      <c r="AB358" s="188"/>
      <c r="AC358" s="188"/>
      <c r="AD358" s="190"/>
      <c r="AE358" s="189"/>
    </row>
    <row r="359" spans="1:31" ht="21.25" customHeight="1" x14ac:dyDescent="0.15">
      <c r="A359" s="10" t="s">
        <v>343</v>
      </c>
      <c r="B359" s="186" t="s">
        <v>840</v>
      </c>
      <c r="C359" s="187">
        <v>20</v>
      </c>
      <c r="D359" s="186" t="s">
        <v>827</v>
      </c>
      <c r="E359" s="90">
        <v>79.88</v>
      </c>
      <c r="F359" s="188">
        <v>19.887362814846199</v>
      </c>
      <c r="G359" s="189">
        <v>5.25228420776691E-2</v>
      </c>
      <c r="H359" s="189">
        <v>0.29360898889778603</v>
      </c>
      <c r="I359" s="189">
        <v>0.34613183097545502</v>
      </c>
      <c r="J359" s="189">
        <v>1.32690035839238</v>
      </c>
      <c r="K359" s="189">
        <v>1.9418618728436601E-2</v>
      </c>
      <c r="L359" s="189">
        <v>0.10510320515607401</v>
      </c>
      <c r="M359" s="189">
        <v>4.76638452434122E-4</v>
      </c>
      <c r="N359" s="189">
        <v>1.58317289279727E-3</v>
      </c>
      <c r="O359" s="189">
        <v>1.1425128473786501</v>
      </c>
      <c r="P359" s="189">
        <v>1.0458183980448501</v>
      </c>
      <c r="Q359" s="189">
        <v>-3.8602940613074802E-2</v>
      </c>
      <c r="R359" s="189">
        <v>0.40531745491130799</v>
      </c>
      <c r="S359" s="189">
        <v>7.3442447673301497E-3</v>
      </c>
      <c r="T359" s="189">
        <v>0</v>
      </c>
      <c r="U359" s="189">
        <v>0</v>
      </c>
      <c r="V359" s="189">
        <v>0</v>
      </c>
      <c r="W359" s="189"/>
      <c r="X359" s="90"/>
      <c r="Y359" s="188"/>
      <c r="Z359" s="188"/>
      <c r="AA359" s="188"/>
      <c r="AB359" s="188"/>
      <c r="AC359" s="188"/>
      <c r="AD359" s="190"/>
      <c r="AE359" s="189"/>
    </row>
    <row r="360" spans="1:31" ht="21.25" customHeight="1" x14ac:dyDescent="0.15">
      <c r="A360" s="10" t="s">
        <v>673</v>
      </c>
      <c r="B360" s="186" t="s">
        <v>845</v>
      </c>
      <c r="C360" s="187">
        <v>31</v>
      </c>
      <c r="D360" s="186" t="s">
        <v>839</v>
      </c>
      <c r="E360" s="90">
        <v>82.375</v>
      </c>
      <c r="F360" s="188">
        <v>12.593727527463701</v>
      </c>
      <c r="G360" s="189">
        <v>0.10422852576531901</v>
      </c>
      <c r="H360" s="189">
        <v>0.24050720502598799</v>
      </c>
      <c r="I360" s="189">
        <v>0.34473573079130698</v>
      </c>
      <c r="J360" s="189">
        <v>1.19478147729927</v>
      </c>
      <c r="K360" s="189">
        <v>4.9915388139748296E-3</v>
      </c>
      <c r="L360" s="189">
        <v>2.4066942885501399E-2</v>
      </c>
      <c r="M360" s="189">
        <v>1.1738973855810601E-5</v>
      </c>
      <c r="N360" s="189">
        <v>2.02563874092901E-5</v>
      </c>
      <c r="O360" s="189">
        <v>0.38151681622015599</v>
      </c>
      <c r="P360" s="189">
        <v>0.49716999199133299</v>
      </c>
      <c r="Q360" s="189">
        <v>-1.3208046975968399E-2</v>
      </c>
      <c r="R360" s="189">
        <v>0.65024163972513005</v>
      </c>
      <c r="S360" s="189">
        <v>1.42335224758477E-2</v>
      </c>
      <c r="T360" s="189">
        <v>2.4760658346377</v>
      </c>
      <c r="U360" s="189">
        <v>2.4202452347762402</v>
      </c>
      <c r="V360" s="189">
        <v>0.50570027098667703</v>
      </c>
      <c r="W360" s="189"/>
      <c r="X360" s="90"/>
      <c r="Y360" s="188"/>
      <c r="Z360" s="188"/>
      <c r="AA360" s="188"/>
      <c r="AB360" s="188"/>
      <c r="AC360" s="188"/>
      <c r="AD360" s="190"/>
      <c r="AE360" s="189"/>
    </row>
    <row r="361" spans="1:31" ht="21.25" customHeight="1" x14ac:dyDescent="0.15">
      <c r="A361" s="10" t="s">
        <v>685</v>
      </c>
      <c r="B361" s="186" t="s">
        <v>862</v>
      </c>
      <c r="C361" s="187">
        <v>25</v>
      </c>
      <c r="D361" s="186" t="s">
        <v>839</v>
      </c>
      <c r="E361" s="90">
        <v>83.692499999999995</v>
      </c>
      <c r="F361" s="188">
        <v>12.227688354697101</v>
      </c>
      <c r="G361" s="189">
        <v>0.113049434983613</v>
      </c>
      <c r="H361" s="189">
        <v>0.23025902161621301</v>
      </c>
      <c r="I361" s="189">
        <v>0.34330845659982601</v>
      </c>
      <c r="J361" s="189">
        <v>0.99632127877022503</v>
      </c>
      <c r="K361" s="189">
        <v>1.0074063757098E-3</v>
      </c>
      <c r="L361" s="189">
        <v>2.46740753330106E-3</v>
      </c>
      <c r="M361" s="189">
        <v>4.9245458948883498E-3</v>
      </c>
      <c r="N361" s="189">
        <v>5.8240914073616904E-3</v>
      </c>
      <c r="O361" s="189">
        <v>0.416657081969732</v>
      </c>
      <c r="P361" s="189">
        <v>1.7938845043259399</v>
      </c>
      <c r="Q361" s="189">
        <v>1.4982764410655E-2</v>
      </c>
      <c r="R361" s="189">
        <v>0.51725620589126498</v>
      </c>
      <c r="S361" s="189">
        <v>1.7044461066999798E-2</v>
      </c>
      <c r="T361" s="189">
        <v>2.6737820055633401</v>
      </c>
      <c r="U361" s="189">
        <v>3.10328717036526</v>
      </c>
      <c r="V361" s="189">
        <v>0.46282672478706399</v>
      </c>
      <c r="W361" s="189"/>
      <c r="X361" s="90"/>
      <c r="Y361" s="188"/>
      <c r="Z361" s="188"/>
      <c r="AA361" s="188"/>
      <c r="AB361" s="188"/>
      <c r="AC361" s="188"/>
      <c r="AD361" s="190"/>
      <c r="AE361" s="189"/>
    </row>
    <row r="362" spans="1:31" ht="21.25" customHeight="1" x14ac:dyDescent="0.15">
      <c r="A362" s="10" t="s">
        <v>695</v>
      </c>
      <c r="B362" s="186" t="s">
        <v>844</v>
      </c>
      <c r="C362" s="187">
        <v>25</v>
      </c>
      <c r="D362" s="186" t="s">
        <v>826</v>
      </c>
      <c r="E362" s="90">
        <v>68.260000000000005</v>
      </c>
      <c r="F362" s="188">
        <v>13.052506987943399</v>
      </c>
      <c r="G362" s="189">
        <v>0.13440489420819199</v>
      </c>
      <c r="H362" s="189">
        <v>0.237105500663365</v>
      </c>
      <c r="I362" s="189">
        <v>0.37151039487155701</v>
      </c>
      <c r="J362" s="189">
        <v>1.2628323756398101</v>
      </c>
      <c r="K362" s="189">
        <v>8.4216513679393999E-3</v>
      </c>
      <c r="L362" s="189">
        <v>5.8537816784746698E-2</v>
      </c>
      <c r="M362" s="189">
        <v>0</v>
      </c>
      <c r="N362" s="189">
        <v>0</v>
      </c>
      <c r="O362" s="189">
        <v>0.38041263342930698</v>
      </c>
      <c r="P362" s="189">
        <v>0.73315534713040098</v>
      </c>
      <c r="Q362" s="189">
        <v>1.5928816922592199E-2</v>
      </c>
      <c r="R362" s="189">
        <v>0.21117089440586401</v>
      </c>
      <c r="S362" s="189">
        <v>2.18924733069789E-2</v>
      </c>
      <c r="T362" s="189">
        <v>0</v>
      </c>
      <c r="U362" s="189">
        <v>4.3360209244891298E-2</v>
      </c>
      <c r="V362" s="189">
        <v>0</v>
      </c>
      <c r="W362" s="189"/>
      <c r="X362" s="90"/>
      <c r="Y362" s="188"/>
      <c r="Z362" s="188"/>
      <c r="AA362" s="188"/>
      <c r="AB362" s="188"/>
      <c r="AC362" s="188"/>
      <c r="AD362" s="190"/>
      <c r="AE362" s="189"/>
    </row>
    <row r="363" spans="1:31" ht="21.25" customHeight="1" x14ac:dyDescent="0.15">
      <c r="A363" s="10" t="s">
        <v>642</v>
      </c>
      <c r="B363" s="186" t="s">
        <v>861</v>
      </c>
      <c r="C363" s="187">
        <v>31</v>
      </c>
      <c r="D363" s="186" t="s">
        <v>824</v>
      </c>
      <c r="E363" s="90">
        <v>82.704999999999998</v>
      </c>
      <c r="F363" s="188">
        <v>14.423988976167999</v>
      </c>
      <c r="G363" s="189">
        <v>0.13044820508698901</v>
      </c>
      <c r="H363" s="189">
        <v>0.211146648728299</v>
      </c>
      <c r="I363" s="189">
        <v>0.34159485381528798</v>
      </c>
      <c r="J363" s="189">
        <v>1.0734900009011501</v>
      </c>
      <c r="K363" s="189">
        <v>1.51956749170599E-2</v>
      </c>
      <c r="L363" s="189">
        <v>3.2762959891583301E-2</v>
      </c>
      <c r="M363" s="189">
        <v>4.8571625571069204E-3</v>
      </c>
      <c r="N363" s="189">
        <v>5.7361082116939403E-3</v>
      </c>
      <c r="O363" s="189">
        <v>0.63322941401514599</v>
      </c>
      <c r="P363" s="189">
        <v>0.38232649675893399</v>
      </c>
      <c r="Q363" s="189">
        <v>-3.6855418376678897E-2</v>
      </c>
      <c r="R363" s="189">
        <v>0.26071305317104099</v>
      </c>
      <c r="S363" s="189">
        <v>2.0442264551849401E-2</v>
      </c>
      <c r="T363" s="189">
        <v>5.3207938289639003</v>
      </c>
      <c r="U363" s="189">
        <v>5.9233225464008203</v>
      </c>
      <c r="V363" s="189">
        <v>0.47320693341643899</v>
      </c>
      <c r="W363" s="189"/>
      <c r="X363" s="90"/>
      <c r="Y363" s="188"/>
      <c r="Z363" s="188"/>
      <c r="AA363" s="188"/>
      <c r="AB363" s="188"/>
      <c r="AC363" s="188"/>
      <c r="AD363" s="190"/>
      <c r="AE363" s="189"/>
    </row>
    <row r="364" spans="1:31" ht="21.25" customHeight="1" x14ac:dyDescent="0.15">
      <c r="A364" s="10" t="s">
        <v>381</v>
      </c>
      <c r="B364" s="186" t="s">
        <v>845</v>
      </c>
      <c r="C364" s="187">
        <v>35</v>
      </c>
      <c r="D364" s="186" t="s">
        <v>827</v>
      </c>
      <c r="E364" s="90">
        <v>82.432500000000005</v>
      </c>
      <c r="F364" s="188">
        <v>18.470112554238298</v>
      </c>
      <c r="G364" s="189">
        <v>6.5844398421785799E-2</v>
      </c>
      <c r="H364" s="189">
        <v>0.27567161294620302</v>
      </c>
      <c r="I364" s="189">
        <v>0.34151601136798898</v>
      </c>
      <c r="J364" s="189">
        <v>1.2425599947030599</v>
      </c>
      <c r="K364" s="189">
        <v>6.2994961886792197E-3</v>
      </c>
      <c r="L364" s="189">
        <v>5.84584132682981E-2</v>
      </c>
      <c r="M364" s="189">
        <v>2.1205709337671601E-4</v>
      </c>
      <c r="N364" s="189">
        <v>7.6399964960483999E-4</v>
      </c>
      <c r="O364" s="189">
        <v>0.97500880429805703</v>
      </c>
      <c r="P364" s="189">
        <v>1.04897232879153</v>
      </c>
      <c r="Q364" s="189">
        <v>1.2450056255376599E-2</v>
      </c>
      <c r="R364" s="189">
        <v>0.62650257581393798</v>
      </c>
      <c r="S364" s="189">
        <v>8.9917584266264606E-3</v>
      </c>
      <c r="T364" s="189">
        <v>0</v>
      </c>
      <c r="U364" s="189">
        <v>0</v>
      </c>
      <c r="V364" s="189">
        <v>0</v>
      </c>
      <c r="W364" s="189"/>
      <c r="X364" s="90"/>
      <c r="Y364" s="188"/>
      <c r="Z364" s="188"/>
      <c r="AA364" s="188"/>
      <c r="AB364" s="188"/>
      <c r="AC364" s="188"/>
      <c r="AD364" s="190"/>
      <c r="AE364" s="189"/>
    </row>
    <row r="365" spans="1:31" ht="21.25" customHeight="1" x14ac:dyDescent="0.15">
      <c r="A365" s="10" t="s">
        <v>637</v>
      </c>
      <c r="B365" s="186" t="s">
        <v>860</v>
      </c>
      <c r="C365" s="187">
        <v>34</v>
      </c>
      <c r="D365" s="186" t="s">
        <v>848</v>
      </c>
      <c r="E365" s="90">
        <v>82.73</v>
      </c>
      <c r="F365" s="188">
        <v>14.300218389072599</v>
      </c>
      <c r="G365" s="189">
        <v>0.139859740499857</v>
      </c>
      <c r="H365" s="189">
        <v>0.20140723574623801</v>
      </c>
      <c r="I365" s="189">
        <v>0.34126697624609498</v>
      </c>
      <c r="J365" s="189">
        <v>1.3857991583045399</v>
      </c>
      <c r="K365" s="189">
        <v>3.3996108279599598E-4</v>
      </c>
      <c r="L365" s="189">
        <v>7.5904240146973802E-4</v>
      </c>
      <c r="M365" s="189">
        <v>8.5284034168369698E-3</v>
      </c>
      <c r="N365" s="189">
        <v>1.29913078528007E-2</v>
      </c>
      <c r="O365" s="189">
        <v>0.60207619842137605</v>
      </c>
      <c r="P365" s="189">
        <v>1.20787180260939</v>
      </c>
      <c r="Q365" s="189">
        <v>7.5429986474424005E-2</v>
      </c>
      <c r="R365" s="189">
        <v>0.36169787471408499</v>
      </c>
      <c r="S365" s="189">
        <v>2.4017522179767499E-2</v>
      </c>
      <c r="T365" s="189">
        <v>0.43887298484750298</v>
      </c>
      <c r="U365" s="189">
        <v>0.49653462690901601</v>
      </c>
      <c r="V365" s="189">
        <v>0.46917833394939201</v>
      </c>
      <c r="W365" s="189"/>
      <c r="X365" s="90"/>
      <c r="Y365" s="188"/>
      <c r="Z365" s="188"/>
      <c r="AA365" s="188"/>
      <c r="AB365" s="188"/>
      <c r="AC365" s="188"/>
      <c r="AD365" s="190"/>
      <c r="AE365" s="189"/>
    </row>
    <row r="366" spans="1:31" ht="21.25" customHeight="1" x14ac:dyDescent="0.15">
      <c r="A366" s="10" t="s">
        <v>349</v>
      </c>
      <c r="B366" s="186" t="s">
        <v>851</v>
      </c>
      <c r="C366" s="187">
        <v>31</v>
      </c>
      <c r="D366" s="186" t="s">
        <v>827</v>
      </c>
      <c r="E366" s="90">
        <v>76.739999999999995</v>
      </c>
      <c r="F366" s="188">
        <v>20.6662877588182</v>
      </c>
      <c r="G366" s="189">
        <v>6.3333214351714795E-2</v>
      </c>
      <c r="H366" s="189">
        <v>0.27776590867142498</v>
      </c>
      <c r="I366" s="189">
        <v>0.34109912302313999</v>
      </c>
      <c r="J366" s="189">
        <v>1.5802174140363501</v>
      </c>
      <c r="K366" s="189">
        <v>2.0659987256136301E-2</v>
      </c>
      <c r="L366" s="189">
        <v>8.9025541779718206E-2</v>
      </c>
      <c r="M366" s="189">
        <v>2.6238719732058798E-4</v>
      </c>
      <c r="N366" s="189">
        <v>5.5674208082222704E-3</v>
      </c>
      <c r="O366" s="189">
        <v>1.3985108174057901</v>
      </c>
      <c r="P366" s="189">
        <v>1.65124647738779</v>
      </c>
      <c r="Q366" s="189">
        <v>9.3189255528817808E-3</v>
      </c>
      <c r="R366" s="189">
        <v>0.54695283649222304</v>
      </c>
      <c r="S366" s="189">
        <v>1.1005397114129701E-2</v>
      </c>
      <c r="T366" s="189">
        <v>0</v>
      </c>
      <c r="U366" s="189">
        <v>0</v>
      </c>
      <c r="V366" s="189">
        <v>0</v>
      </c>
      <c r="W366" s="189"/>
      <c r="X366" s="90"/>
      <c r="Y366" s="188"/>
      <c r="Z366" s="188"/>
      <c r="AA366" s="188"/>
      <c r="AB366" s="188"/>
      <c r="AC366" s="188"/>
      <c r="AD366" s="190"/>
      <c r="AE366" s="189"/>
    </row>
    <row r="367" spans="1:31" ht="21.25" customHeight="1" x14ac:dyDescent="0.15">
      <c r="A367" s="10" t="s">
        <v>377</v>
      </c>
      <c r="B367" s="186" t="s">
        <v>841</v>
      </c>
      <c r="C367" s="187">
        <v>32</v>
      </c>
      <c r="D367" s="186" t="s">
        <v>827</v>
      </c>
      <c r="E367" s="90">
        <v>71.53</v>
      </c>
      <c r="F367" s="188">
        <v>22.470512101410101</v>
      </c>
      <c r="G367" s="189">
        <v>5.2425385732864302E-2</v>
      </c>
      <c r="H367" s="189">
        <v>0.287309708781602</v>
      </c>
      <c r="I367" s="189">
        <v>0.33973509451446599</v>
      </c>
      <c r="J367" s="189">
        <v>1.4222033985389999</v>
      </c>
      <c r="K367" s="189">
        <v>7.8245482464445806E-3</v>
      </c>
      <c r="L367" s="189">
        <v>5.2809306941760802E-2</v>
      </c>
      <c r="M367" s="189">
        <v>2.1953755023166799E-4</v>
      </c>
      <c r="N367" s="189">
        <v>1.5817152902101699E-3</v>
      </c>
      <c r="O367" s="189">
        <v>1.5624338730229399</v>
      </c>
      <c r="P367" s="189">
        <v>0.47460290399020899</v>
      </c>
      <c r="Q367" s="189">
        <v>-1.7584817925355201E-2</v>
      </c>
      <c r="R367" s="189">
        <v>0.71251736956398204</v>
      </c>
      <c r="S367" s="189">
        <v>7.0575935289369498E-3</v>
      </c>
      <c r="T367" s="189">
        <v>0</v>
      </c>
      <c r="U367" s="189">
        <v>0</v>
      </c>
      <c r="V367" s="189">
        <v>0</v>
      </c>
      <c r="W367" s="189"/>
      <c r="X367" s="90"/>
      <c r="Y367" s="188"/>
      <c r="Z367" s="188"/>
      <c r="AA367" s="188"/>
      <c r="AB367" s="188"/>
      <c r="AC367" s="188"/>
      <c r="AD367" s="190"/>
      <c r="AE367" s="189"/>
    </row>
    <row r="368" spans="1:31" ht="21.25" customHeight="1" x14ac:dyDescent="0.15">
      <c r="A368" s="10" t="s">
        <v>641</v>
      </c>
      <c r="B368" s="186" t="s">
        <v>851</v>
      </c>
      <c r="C368" s="187">
        <v>33</v>
      </c>
      <c r="D368" s="186" t="s">
        <v>824</v>
      </c>
      <c r="E368" s="90">
        <v>80.5625</v>
      </c>
      <c r="F368" s="188">
        <v>15.0209353933472</v>
      </c>
      <c r="G368" s="189">
        <v>0.119831820422382</v>
      </c>
      <c r="H368" s="189">
        <v>0.21959461999672999</v>
      </c>
      <c r="I368" s="189">
        <v>0.33942644041911202</v>
      </c>
      <c r="J368" s="189">
        <v>1.15284009644178</v>
      </c>
      <c r="K368" s="189">
        <v>3.5928383610128002E-4</v>
      </c>
      <c r="L368" s="189">
        <v>1.18439507691875E-3</v>
      </c>
      <c r="M368" s="189">
        <v>6.3843561003695103E-3</v>
      </c>
      <c r="N368" s="189">
        <v>1.8550313905709201E-2</v>
      </c>
      <c r="O368" s="189">
        <v>0.70991914490025199</v>
      </c>
      <c r="P368" s="189">
        <v>1.91598562141212</v>
      </c>
      <c r="Q368" s="189">
        <v>1.3466429041538899E-2</v>
      </c>
      <c r="R368" s="189">
        <v>0.45880929665616599</v>
      </c>
      <c r="S368" s="189">
        <v>2.0823146024668501E-2</v>
      </c>
      <c r="T368" s="189">
        <v>7.4870309993752402</v>
      </c>
      <c r="U368" s="189">
        <v>6.8722829336665798</v>
      </c>
      <c r="V368" s="189">
        <v>0.52140589963334105</v>
      </c>
      <c r="W368" s="189"/>
      <c r="X368" s="90"/>
      <c r="Y368" s="188"/>
      <c r="Z368" s="188"/>
      <c r="AA368" s="188"/>
      <c r="AB368" s="188"/>
      <c r="AC368" s="188"/>
      <c r="AD368" s="190"/>
      <c r="AE368" s="189"/>
    </row>
    <row r="369" spans="1:31" ht="21.25" customHeight="1" x14ac:dyDescent="0.15">
      <c r="A369" s="10" t="s">
        <v>344</v>
      </c>
      <c r="B369" s="186" t="s">
        <v>864</v>
      </c>
      <c r="C369" s="187">
        <v>30</v>
      </c>
      <c r="D369" s="186" t="s">
        <v>827</v>
      </c>
      <c r="E369" s="90">
        <v>83.53</v>
      </c>
      <c r="F369" s="188">
        <v>22.818930935594501</v>
      </c>
      <c r="G369" s="189">
        <v>8.0606338103999697E-2</v>
      </c>
      <c r="H369" s="189">
        <v>0.25785618025123003</v>
      </c>
      <c r="I369" s="189">
        <v>0.33846251835523</v>
      </c>
      <c r="J369" s="189">
        <v>1.34350685434852</v>
      </c>
      <c r="K369" s="189">
        <v>4.0516120071482503E-3</v>
      </c>
      <c r="L369" s="189">
        <v>1.0536335057556899E-2</v>
      </c>
      <c r="M369" s="189">
        <v>1.7963250771616299E-4</v>
      </c>
      <c r="N369" s="189">
        <v>7.0506732552133699E-3</v>
      </c>
      <c r="O369" s="189">
        <v>1.41995698093371</v>
      </c>
      <c r="P369" s="189">
        <v>0.62938387948200203</v>
      </c>
      <c r="Q369" s="189">
        <v>1.7651514904111201E-3</v>
      </c>
      <c r="R369" s="189">
        <v>0.45760113253707102</v>
      </c>
      <c r="S369" s="189">
        <v>1.2663561378669501E-2</v>
      </c>
      <c r="T369" s="189">
        <v>0</v>
      </c>
      <c r="U369" s="189">
        <v>0</v>
      </c>
      <c r="V369" s="189">
        <v>0</v>
      </c>
      <c r="W369" s="189"/>
      <c r="X369" s="90"/>
      <c r="Y369" s="188"/>
      <c r="Z369" s="188"/>
      <c r="AA369" s="188"/>
      <c r="AB369" s="188"/>
      <c r="AC369" s="188"/>
      <c r="AD369" s="190"/>
      <c r="AE369" s="189"/>
    </row>
    <row r="370" spans="1:31" ht="21.25" customHeight="1" x14ac:dyDescent="0.15">
      <c r="A370" s="10" t="s">
        <v>702</v>
      </c>
      <c r="B370" s="186" t="s">
        <v>837</v>
      </c>
      <c r="C370" s="187">
        <v>24</v>
      </c>
      <c r="D370" s="186" t="s">
        <v>824</v>
      </c>
      <c r="E370" s="90">
        <v>67.844999999999999</v>
      </c>
      <c r="F370" s="188">
        <v>11.7726747877061</v>
      </c>
      <c r="G370" s="189">
        <v>0.15212274602006601</v>
      </c>
      <c r="H370" s="189">
        <v>0.18571279647261499</v>
      </c>
      <c r="I370" s="189">
        <v>0.337835542492681</v>
      </c>
      <c r="J370" s="189">
        <v>1.2504595491291</v>
      </c>
      <c r="K370" s="189">
        <v>8.4366331317909694E-3</v>
      </c>
      <c r="L370" s="189">
        <v>2.01598903191199E-2</v>
      </c>
      <c r="M370" s="189">
        <v>3.3437813592152997E-4</v>
      </c>
      <c r="N370" s="189">
        <v>5.4922810249902003E-4</v>
      </c>
      <c r="O370" s="189">
        <v>0.34431071082591302</v>
      </c>
      <c r="P370" s="189">
        <v>1.39626115458961</v>
      </c>
      <c r="Q370" s="189">
        <v>8.4106396280653695E-2</v>
      </c>
      <c r="R370" s="189">
        <v>0.244856133294544</v>
      </c>
      <c r="S370" s="189">
        <v>2.7003223219883299E-2</v>
      </c>
      <c r="T370" s="189">
        <v>3.1099657826050899</v>
      </c>
      <c r="U370" s="189">
        <v>3.0652180735028698</v>
      </c>
      <c r="V370" s="189">
        <v>0.50362318840579701</v>
      </c>
      <c r="W370" s="189"/>
      <c r="X370" s="90"/>
      <c r="Y370" s="188"/>
      <c r="Z370" s="188"/>
      <c r="AA370" s="188"/>
      <c r="AB370" s="188"/>
      <c r="AC370" s="188"/>
      <c r="AD370" s="190"/>
      <c r="AE370" s="189"/>
    </row>
    <row r="371" spans="1:31" ht="21.25" customHeight="1" x14ac:dyDescent="0.15">
      <c r="A371" s="10" t="s">
        <v>371</v>
      </c>
      <c r="B371" s="186" t="s">
        <v>837</v>
      </c>
      <c r="C371" s="187">
        <v>26</v>
      </c>
      <c r="D371" s="186" t="s">
        <v>827</v>
      </c>
      <c r="E371" s="90">
        <v>79.447500000000005</v>
      </c>
      <c r="F371" s="188">
        <v>21.4456115068588</v>
      </c>
      <c r="G371" s="189">
        <v>7.2690637489509199E-2</v>
      </c>
      <c r="H371" s="189">
        <v>0.264689324916348</v>
      </c>
      <c r="I371" s="189">
        <v>0.33737996240585699</v>
      </c>
      <c r="J371" s="189">
        <v>1.2869125210452601</v>
      </c>
      <c r="K371" s="189">
        <v>1.01848188035476E-4</v>
      </c>
      <c r="L371" s="189">
        <v>3.1711554652703402E-3</v>
      </c>
      <c r="M371" s="189">
        <v>3.91678425372543E-3</v>
      </c>
      <c r="N371" s="189">
        <v>2.2716897806481701E-2</v>
      </c>
      <c r="O371" s="189">
        <v>1.3146474174915901</v>
      </c>
      <c r="P371" s="189">
        <v>0.85947531196887395</v>
      </c>
      <c r="Q371" s="189">
        <v>0.112597664685162</v>
      </c>
      <c r="R371" s="189">
        <v>0.53244907285152998</v>
      </c>
      <c r="S371" s="189">
        <v>1.29032742405657E-2</v>
      </c>
      <c r="T371" s="189">
        <v>0</v>
      </c>
      <c r="U371" s="189">
        <v>0</v>
      </c>
      <c r="V371" s="189">
        <v>0</v>
      </c>
      <c r="W371" s="189"/>
      <c r="X371" s="90"/>
      <c r="Y371" s="188"/>
      <c r="Z371" s="188"/>
      <c r="AA371" s="188"/>
      <c r="AB371" s="188"/>
      <c r="AC371" s="188"/>
      <c r="AD371" s="190"/>
      <c r="AE371" s="189"/>
    </row>
    <row r="372" spans="1:31" ht="21.25" customHeight="1" x14ac:dyDescent="0.15">
      <c r="A372" s="10" t="s">
        <v>709</v>
      </c>
      <c r="B372" s="186" t="s">
        <v>865</v>
      </c>
      <c r="C372" s="187">
        <v>25</v>
      </c>
      <c r="D372" s="186" t="s">
        <v>825</v>
      </c>
      <c r="E372" s="90">
        <v>74.644999999999996</v>
      </c>
      <c r="F372" s="188">
        <v>12.644038955574</v>
      </c>
      <c r="G372" s="189">
        <v>0.155857138511901</v>
      </c>
      <c r="H372" s="189">
        <v>0.17894147462818299</v>
      </c>
      <c r="I372" s="189">
        <v>0.33479861314008402</v>
      </c>
      <c r="J372" s="189">
        <v>1.23224527373863</v>
      </c>
      <c r="K372" s="189">
        <v>3.0044027815736801E-3</v>
      </c>
      <c r="L372" s="189">
        <v>8.9341497068973694E-3</v>
      </c>
      <c r="M372" s="189">
        <v>1.0443663239500101E-5</v>
      </c>
      <c r="N372" s="189">
        <v>1.7205206860597599E-5</v>
      </c>
      <c r="O372" s="189">
        <v>0.306512323548365</v>
      </c>
      <c r="P372" s="189">
        <v>1.2488737582388201</v>
      </c>
      <c r="Q372" s="189">
        <v>-1.48404449374538E-2</v>
      </c>
      <c r="R372" s="189">
        <v>0.37730395422573698</v>
      </c>
      <c r="S372" s="189">
        <v>2.1590112694604102E-2</v>
      </c>
      <c r="T372" s="189">
        <v>4.7179077161259497E-3</v>
      </c>
      <c r="U372" s="189">
        <v>1.3944575391807899E-2</v>
      </c>
      <c r="V372" s="189">
        <v>0.25280171394342799</v>
      </c>
      <c r="W372" s="189"/>
      <c r="X372" s="90"/>
      <c r="Y372" s="188"/>
      <c r="Z372" s="188"/>
      <c r="AA372" s="188"/>
      <c r="AB372" s="188"/>
      <c r="AC372" s="188"/>
      <c r="AD372" s="190"/>
      <c r="AE372" s="189"/>
    </row>
    <row r="373" spans="1:31" ht="21.25" customHeight="1" x14ac:dyDescent="0.15">
      <c r="A373" s="10" t="s">
        <v>384</v>
      </c>
      <c r="B373" s="186" t="s">
        <v>837</v>
      </c>
      <c r="C373" s="187">
        <v>37</v>
      </c>
      <c r="D373" s="186" t="s">
        <v>827</v>
      </c>
      <c r="E373" s="90">
        <v>77.194999999999993</v>
      </c>
      <c r="F373" s="188">
        <v>20.235603880013901</v>
      </c>
      <c r="G373" s="189">
        <v>5.40300987419602E-2</v>
      </c>
      <c r="H373" s="189">
        <v>0.28030449088001302</v>
      </c>
      <c r="I373" s="189">
        <v>0.33433458962197299</v>
      </c>
      <c r="J373" s="189">
        <v>0.90533998601413401</v>
      </c>
      <c r="K373" s="189">
        <v>1.14441837918178E-4</v>
      </c>
      <c r="L373" s="189">
        <v>3.38742946059876E-3</v>
      </c>
      <c r="M373" s="189">
        <v>3.60088962183196E-3</v>
      </c>
      <c r="N373" s="189">
        <v>1.2858456924317399E-2</v>
      </c>
      <c r="O373" s="189">
        <v>1.70805009281048</v>
      </c>
      <c r="P373" s="189">
        <v>0.55712802649989901</v>
      </c>
      <c r="Q373" s="189">
        <v>0.106635620113188</v>
      </c>
      <c r="R373" s="189">
        <v>0.276659874645937</v>
      </c>
      <c r="S373" s="189">
        <v>9.5908524865113802E-3</v>
      </c>
      <c r="T373" s="189">
        <v>0</v>
      </c>
      <c r="U373" s="189">
        <v>0</v>
      </c>
      <c r="V373" s="189">
        <v>0</v>
      </c>
      <c r="W373" s="189"/>
      <c r="X373" s="90"/>
      <c r="Y373" s="188"/>
      <c r="Z373" s="188"/>
      <c r="AA373" s="188"/>
      <c r="AB373" s="188"/>
      <c r="AC373" s="188"/>
      <c r="AD373" s="190"/>
      <c r="AE373" s="189"/>
    </row>
    <row r="374" spans="1:31" ht="21.25" customHeight="1" x14ac:dyDescent="0.15">
      <c r="A374" s="10" t="s">
        <v>669</v>
      </c>
      <c r="B374" s="186" t="s">
        <v>842</v>
      </c>
      <c r="C374" s="187">
        <v>27</v>
      </c>
      <c r="D374" s="186" t="s">
        <v>846</v>
      </c>
      <c r="E374" s="90">
        <v>75.462500000000006</v>
      </c>
      <c r="F374" s="188">
        <v>13.0440887768601</v>
      </c>
      <c r="G374" s="189">
        <v>0.178169208536819</v>
      </c>
      <c r="H374" s="189">
        <v>0.153560843527631</v>
      </c>
      <c r="I374" s="189">
        <v>0.33173005206445</v>
      </c>
      <c r="J374" s="189">
        <v>1.4072543485379101</v>
      </c>
      <c r="K374" s="189">
        <v>2.1870207897609299E-3</v>
      </c>
      <c r="L374" s="189">
        <v>4.8755776073812398E-3</v>
      </c>
      <c r="M374" s="189">
        <v>1.51978297908784E-3</v>
      </c>
      <c r="N374" s="189">
        <v>2.4933475974533198E-3</v>
      </c>
      <c r="O374" s="189">
        <v>0.55028295856333398</v>
      </c>
      <c r="P374" s="189">
        <v>0.69901070489366801</v>
      </c>
      <c r="Q374" s="189">
        <v>1.0553297689138001E-3</v>
      </c>
      <c r="R374" s="189">
        <v>0.34207837742871799</v>
      </c>
      <c r="S374" s="189">
        <v>2.66302063153964E-2</v>
      </c>
      <c r="T374" s="189">
        <v>5.6157563593328002</v>
      </c>
      <c r="U374" s="189">
        <v>5.2249246129245801</v>
      </c>
      <c r="V374" s="189">
        <v>0.518026162166768</v>
      </c>
      <c r="W374" s="189"/>
      <c r="X374" s="90"/>
      <c r="Y374" s="188"/>
      <c r="Z374" s="188"/>
      <c r="AA374" s="188"/>
      <c r="AB374" s="188"/>
      <c r="AC374" s="188"/>
      <c r="AD374" s="190"/>
      <c r="AE374" s="189"/>
    </row>
    <row r="375" spans="1:31" ht="21.25" customHeight="1" x14ac:dyDescent="0.15">
      <c r="A375" s="10" t="s">
        <v>407</v>
      </c>
      <c r="B375" s="186" t="s">
        <v>841</v>
      </c>
      <c r="C375" s="187">
        <v>25</v>
      </c>
      <c r="D375" s="186" t="s">
        <v>827</v>
      </c>
      <c r="E375" s="90">
        <v>77.644999999999996</v>
      </c>
      <c r="F375" s="188">
        <v>16.076794311883699</v>
      </c>
      <c r="G375" s="189">
        <v>7.3044452952641101E-2</v>
      </c>
      <c r="H375" s="189">
        <v>0.258352860694955</v>
      </c>
      <c r="I375" s="189">
        <v>0.331397313647596</v>
      </c>
      <c r="J375" s="189">
        <v>0.96334839940577499</v>
      </c>
      <c r="K375" s="189">
        <v>1.9225247436243199E-2</v>
      </c>
      <c r="L375" s="189">
        <v>0.107025815820568</v>
      </c>
      <c r="M375" s="189">
        <v>7.6049902497511799E-5</v>
      </c>
      <c r="N375" s="189">
        <v>2.5972242843417799E-4</v>
      </c>
      <c r="O375" s="189">
        <v>1.15325761969328</v>
      </c>
      <c r="P375" s="189">
        <v>0.54009189187962803</v>
      </c>
      <c r="Q375" s="189">
        <v>-2.6008848745048298E-2</v>
      </c>
      <c r="R375" s="189">
        <v>0.28430770822475399</v>
      </c>
      <c r="S375" s="189">
        <v>9.8333670086881708E-3</v>
      </c>
      <c r="T375" s="189">
        <v>0</v>
      </c>
      <c r="U375" s="189">
        <v>0</v>
      </c>
      <c r="V375" s="189">
        <v>0</v>
      </c>
      <c r="W375" s="189"/>
      <c r="X375" s="90"/>
      <c r="Y375" s="188"/>
      <c r="Z375" s="188"/>
      <c r="AA375" s="188"/>
      <c r="AB375" s="188"/>
      <c r="AC375" s="188"/>
      <c r="AD375" s="190"/>
      <c r="AE375" s="189"/>
    </row>
    <row r="376" spans="1:31" ht="21.25" customHeight="1" x14ac:dyDescent="0.15">
      <c r="A376" s="10" t="s">
        <v>749</v>
      </c>
      <c r="B376" s="186" t="s">
        <v>868</v>
      </c>
      <c r="C376" s="187">
        <v>22</v>
      </c>
      <c r="D376" s="186" t="s">
        <v>826</v>
      </c>
      <c r="E376" s="90">
        <v>59.307499999999997</v>
      </c>
      <c r="F376" s="188">
        <v>12.8317751476638</v>
      </c>
      <c r="G376" s="189">
        <v>0.15656483797958101</v>
      </c>
      <c r="H376" s="189">
        <v>0.17424262394323201</v>
      </c>
      <c r="I376" s="189">
        <v>0.33080746192281302</v>
      </c>
      <c r="J376" s="189">
        <v>1.17971353955392</v>
      </c>
      <c r="K376" s="189">
        <v>2.61411532646172E-2</v>
      </c>
      <c r="L376" s="189">
        <v>8.8177461249432196E-2</v>
      </c>
      <c r="M376" s="189">
        <v>0</v>
      </c>
      <c r="N376" s="189">
        <v>0</v>
      </c>
      <c r="O376" s="189">
        <v>0.40197788254625599</v>
      </c>
      <c r="P376" s="189">
        <v>1.1890155965733</v>
      </c>
      <c r="Q376" s="189">
        <v>-0.121088861444916</v>
      </c>
      <c r="R376" s="189">
        <v>0.228386520845589</v>
      </c>
      <c r="S376" s="189">
        <v>1.94011270395823E-2</v>
      </c>
      <c r="T376" s="189">
        <v>0</v>
      </c>
      <c r="U376" s="189">
        <v>1.2369365639073201E-2</v>
      </c>
      <c r="V376" s="189">
        <v>0</v>
      </c>
      <c r="W376" s="189"/>
      <c r="X376" s="90"/>
      <c r="Y376" s="188"/>
      <c r="Z376" s="188"/>
      <c r="AA376" s="188"/>
      <c r="AB376" s="188"/>
      <c r="AC376" s="188"/>
      <c r="AD376" s="190"/>
      <c r="AE376" s="189"/>
    </row>
    <row r="377" spans="1:31" ht="21.25" customHeight="1" x14ac:dyDescent="0.15">
      <c r="A377" s="10" t="s">
        <v>339</v>
      </c>
      <c r="B377" s="186" t="s">
        <v>860</v>
      </c>
      <c r="C377" s="187">
        <v>32</v>
      </c>
      <c r="D377" s="186" t="s">
        <v>827</v>
      </c>
      <c r="E377" s="90">
        <v>79.572500000000005</v>
      </c>
      <c r="F377" s="188">
        <v>21.434859649581199</v>
      </c>
      <c r="G377" s="189">
        <v>5.9284413243904002E-2</v>
      </c>
      <c r="H377" s="189">
        <v>0.27024994439587302</v>
      </c>
      <c r="I377" s="189">
        <v>0.32953435763977701</v>
      </c>
      <c r="J377" s="189">
        <v>1.49382743051853</v>
      </c>
      <c r="K377" s="189">
        <v>1.6071387418744001E-4</v>
      </c>
      <c r="L377" s="189">
        <v>1.26600499108259E-3</v>
      </c>
      <c r="M377" s="189">
        <v>5.0585213366892796E-3</v>
      </c>
      <c r="N377" s="189">
        <v>3.3743496162843202E-2</v>
      </c>
      <c r="O377" s="189">
        <v>1.5685204414173699</v>
      </c>
      <c r="P377" s="189">
        <v>0.47659450395334901</v>
      </c>
      <c r="Q377" s="189">
        <v>8.9667909942825405E-2</v>
      </c>
      <c r="R377" s="189">
        <v>0.18378881876106701</v>
      </c>
      <c r="S377" s="189">
        <v>1.01806617466263E-2</v>
      </c>
      <c r="T377" s="189">
        <v>0</v>
      </c>
      <c r="U377" s="189">
        <v>0</v>
      </c>
      <c r="V377" s="189">
        <v>0</v>
      </c>
      <c r="W377" s="189"/>
      <c r="X377" s="90"/>
      <c r="Y377" s="188"/>
      <c r="Z377" s="188"/>
      <c r="AA377" s="188"/>
      <c r="AB377" s="188"/>
      <c r="AC377" s="188"/>
      <c r="AD377" s="190"/>
      <c r="AE377" s="189"/>
    </row>
    <row r="378" spans="1:31" ht="21.25" customHeight="1" x14ac:dyDescent="0.15">
      <c r="A378" s="10" t="s">
        <v>362</v>
      </c>
      <c r="B378" s="186" t="s">
        <v>838</v>
      </c>
      <c r="C378" s="187">
        <v>34</v>
      </c>
      <c r="D378" s="186" t="s">
        <v>827</v>
      </c>
      <c r="E378" s="90">
        <v>78.222499999999997</v>
      </c>
      <c r="F378" s="188">
        <v>18.900739737808301</v>
      </c>
      <c r="G378" s="189">
        <v>5.7340829432913999E-2</v>
      </c>
      <c r="H378" s="189">
        <v>0.26581639166464499</v>
      </c>
      <c r="I378" s="189">
        <v>0.32315722109755901</v>
      </c>
      <c r="J378" s="189">
        <v>1.55164281052248</v>
      </c>
      <c r="K378" s="189">
        <v>1.4121641274945001E-4</v>
      </c>
      <c r="L378" s="189">
        <v>1.9067147427709299E-3</v>
      </c>
      <c r="M378" s="189">
        <v>1.9480818007027199E-4</v>
      </c>
      <c r="N378" s="189">
        <v>6.6086104606108498E-3</v>
      </c>
      <c r="O378" s="189">
        <v>1.3617191831925499</v>
      </c>
      <c r="P378" s="189">
        <v>2.0169827505314801</v>
      </c>
      <c r="Q378" s="189">
        <v>0.10228647819404101</v>
      </c>
      <c r="R378" s="189">
        <v>0.92692355298679296</v>
      </c>
      <c r="S378" s="189">
        <v>1.03492864007509E-2</v>
      </c>
      <c r="T378" s="189">
        <v>0</v>
      </c>
      <c r="U378" s="189">
        <v>2.0904303836468902E-3</v>
      </c>
      <c r="V378" s="189">
        <v>0</v>
      </c>
      <c r="W378" s="189"/>
      <c r="X378" s="90"/>
      <c r="Y378" s="188"/>
      <c r="Z378" s="188"/>
      <c r="AA378" s="188"/>
      <c r="AB378" s="188"/>
      <c r="AC378" s="188"/>
      <c r="AD378" s="190"/>
      <c r="AE378" s="189"/>
    </row>
    <row r="379" spans="1:31" ht="21.25" customHeight="1" x14ac:dyDescent="0.15">
      <c r="A379" s="10" t="s">
        <v>317</v>
      </c>
      <c r="B379" s="186" t="s">
        <v>850</v>
      </c>
      <c r="C379" s="187">
        <v>32</v>
      </c>
      <c r="D379" s="186" t="s">
        <v>827</v>
      </c>
      <c r="E379" s="90">
        <v>83.045000000000002</v>
      </c>
      <c r="F379" s="188">
        <v>22.423260570790401</v>
      </c>
      <c r="G379" s="189">
        <v>4.8020628332181299E-2</v>
      </c>
      <c r="H379" s="189">
        <v>0.27343681809263998</v>
      </c>
      <c r="I379" s="189">
        <v>0.32145744642482099</v>
      </c>
      <c r="J379" s="189">
        <v>1.32732263957834</v>
      </c>
      <c r="K379" s="189">
        <v>1.3455000564654999E-3</v>
      </c>
      <c r="L379" s="189">
        <v>1.46340948710862E-2</v>
      </c>
      <c r="M379" s="189">
        <v>2.7349102119576798E-3</v>
      </c>
      <c r="N379" s="189">
        <v>1.2815367723182199E-2</v>
      </c>
      <c r="O379" s="189">
        <v>1.85399395849971</v>
      </c>
      <c r="P379" s="189">
        <v>0.77841605349903897</v>
      </c>
      <c r="Q379" s="189">
        <v>4.5594341171882099E-3</v>
      </c>
      <c r="R379" s="189">
        <v>0.490270207680992</v>
      </c>
      <c r="S379" s="189">
        <v>7.9949617886420094E-3</v>
      </c>
      <c r="T379" s="189">
        <v>0</v>
      </c>
      <c r="U379" s="189">
        <v>0</v>
      </c>
      <c r="V379" s="189">
        <v>0</v>
      </c>
      <c r="W379" s="189"/>
      <c r="X379" s="90"/>
      <c r="Y379" s="188"/>
      <c r="Z379" s="188"/>
      <c r="AA379" s="188"/>
      <c r="AB379" s="188"/>
      <c r="AC379" s="188"/>
      <c r="AD379" s="190"/>
      <c r="AE379" s="189"/>
    </row>
    <row r="380" spans="1:31" ht="21.25" customHeight="1" x14ac:dyDescent="0.15">
      <c r="A380" s="10" t="s">
        <v>352</v>
      </c>
      <c r="B380" s="186" t="s">
        <v>862</v>
      </c>
      <c r="C380" s="187">
        <v>22</v>
      </c>
      <c r="D380" s="186" t="s">
        <v>827</v>
      </c>
      <c r="E380" s="90">
        <v>77.515000000000001</v>
      </c>
      <c r="F380" s="188">
        <v>19.278480792118899</v>
      </c>
      <c r="G380" s="189">
        <v>9.6864200548725604E-2</v>
      </c>
      <c r="H380" s="189">
        <v>0.22438558138322401</v>
      </c>
      <c r="I380" s="189">
        <v>0.32124978193194997</v>
      </c>
      <c r="J380" s="189">
        <v>1.73623915038706</v>
      </c>
      <c r="K380" s="189">
        <v>6.4814585231034996E-3</v>
      </c>
      <c r="L380" s="189">
        <v>3.0763466734185101E-2</v>
      </c>
      <c r="M380" s="189">
        <v>5.3076629344439596E-4</v>
      </c>
      <c r="N380" s="189">
        <v>1.82862617211564E-3</v>
      </c>
      <c r="O380" s="189">
        <v>1.3097194944309001</v>
      </c>
      <c r="P380" s="189">
        <v>0.65009875934767802</v>
      </c>
      <c r="Q380" s="189">
        <v>2.44855898630441E-2</v>
      </c>
      <c r="R380" s="189">
        <v>0.44457969174810902</v>
      </c>
      <c r="S380" s="189">
        <v>1.4604213592736E-2</v>
      </c>
      <c r="T380" s="189">
        <v>0</v>
      </c>
      <c r="U380" s="189">
        <v>0</v>
      </c>
      <c r="V380" s="189">
        <v>0</v>
      </c>
      <c r="W380" s="189"/>
      <c r="X380" s="90"/>
      <c r="Y380" s="188"/>
      <c r="Z380" s="188"/>
      <c r="AA380" s="188"/>
      <c r="AB380" s="188"/>
      <c r="AC380" s="188"/>
      <c r="AD380" s="190"/>
      <c r="AE380" s="189"/>
    </row>
    <row r="381" spans="1:31" ht="21.25" customHeight="1" x14ac:dyDescent="0.15">
      <c r="A381" s="10" t="s">
        <v>711</v>
      </c>
      <c r="B381" s="186" t="s">
        <v>847</v>
      </c>
      <c r="C381" s="187">
        <v>25</v>
      </c>
      <c r="D381" s="186" t="s">
        <v>846</v>
      </c>
      <c r="E381" s="90">
        <v>67</v>
      </c>
      <c r="F381" s="188">
        <v>13.3781263483614</v>
      </c>
      <c r="G381" s="189">
        <v>0.151174399771732</v>
      </c>
      <c r="H381" s="189">
        <v>0.168708174569842</v>
      </c>
      <c r="I381" s="189">
        <v>0.31988257434157402</v>
      </c>
      <c r="J381" s="189">
        <v>1.38365013914588</v>
      </c>
      <c r="K381" s="189">
        <v>5.0466814854953801E-4</v>
      </c>
      <c r="L381" s="189">
        <v>1.1040356287098201E-3</v>
      </c>
      <c r="M381" s="189">
        <v>2.93571618511176E-2</v>
      </c>
      <c r="N381" s="189">
        <v>3.3686495825157599E-2</v>
      </c>
      <c r="O381" s="189">
        <v>0.43434078898308998</v>
      </c>
      <c r="P381" s="189">
        <v>1.37438441381229</v>
      </c>
      <c r="Q381" s="189">
        <v>5.2090153773651199E-2</v>
      </c>
      <c r="R381" s="189">
        <v>0.26142613360783701</v>
      </c>
      <c r="S381" s="189">
        <v>2.55670367288762E-2</v>
      </c>
      <c r="T381" s="189">
        <v>6.88841048469365</v>
      </c>
      <c r="U381" s="189">
        <v>4.7098665045147996</v>
      </c>
      <c r="V381" s="189">
        <v>0.59391670772330496</v>
      </c>
      <c r="W381" s="189"/>
      <c r="X381" s="90"/>
      <c r="Y381" s="188"/>
      <c r="Z381" s="188"/>
      <c r="AA381" s="188"/>
      <c r="AB381" s="188"/>
      <c r="AC381" s="188"/>
      <c r="AD381" s="190"/>
      <c r="AE381" s="189"/>
    </row>
    <row r="382" spans="1:31" ht="21.25" customHeight="1" x14ac:dyDescent="0.15">
      <c r="A382" s="10" t="s">
        <v>649</v>
      </c>
      <c r="B382" s="186" t="s">
        <v>838</v>
      </c>
      <c r="C382" s="187">
        <v>27</v>
      </c>
      <c r="D382" s="186" t="s">
        <v>839</v>
      </c>
      <c r="E382" s="90">
        <v>83.555000000000007</v>
      </c>
      <c r="F382" s="188">
        <v>12.730019626333901</v>
      </c>
      <c r="G382" s="189">
        <v>0.16695684613872799</v>
      </c>
      <c r="H382" s="189">
        <v>0.15280002816001401</v>
      </c>
      <c r="I382" s="189">
        <v>0.319756874298742</v>
      </c>
      <c r="J382" s="189">
        <v>1.21958661773846</v>
      </c>
      <c r="K382" s="189">
        <v>4.77322013976851E-4</v>
      </c>
      <c r="L382" s="189">
        <v>1.0436544955678599E-3</v>
      </c>
      <c r="M382" s="189">
        <v>1.4870367698830701E-2</v>
      </c>
      <c r="N382" s="189">
        <v>2.16169648306812E-2</v>
      </c>
      <c r="O382" s="189">
        <v>0.74356192533357401</v>
      </c>
      <c r="P382" s="189">
        <v>2.0319205503037199</v>
      </c>
      <c r="Q382" s="189">
        <v>7.6187867044815005E-2</v>
      </c>
      <c r="R382" s="189">
        <v>0.35633122243633197</v>
      </c>
      <c r="S382" s="189">
        <v>3.0133575575102801E-2</v>
      </c>
      <c r="T382" s="189">
        <v>1.0888804834016801</v>
      </c>
      <c r="U382" s="189">
        <v>1.9521133378802</v>
      </c>
      <c r="V382" s="189">
        <v>0.35806731200219399</v>
      </c>
      <c r="W382" s="189"/>
      <c r="X382" s="90"/>
      <c r="Y382" s="188"/>
      <c r="Z382" s="188"/>
      <c r="AA382" s="188"/>
      <c r="AB382" s="188"/>
      <c r="AC382" s="188"/>
      <c r="AD382" s="190"/>
      <c r="AE382" s="189"/>
    </row>
    <row r="383" spans="1:31" ht="21.25" customHeight="1" x14ac:dyDescent="0.15">
      <c r="A383" s="10" t="s">
        <v>259</v>
      </c>
      <c r="B383" s="186" t="s">
        <v>840</v>
      </c>
      <c r="C383" s="187">
        <v>31</v>
      </c>
      <c r="D383" s="186" t="s">
        <v>827</v>
      </c>
      <c r="E383" s="90">
        <v>83.105000000000004</v>
      </c>
      <c r="F383" s="188">
        <v>22.384778458460399</v>
      </c>
      <c r="G383" s="189">
        <v>6.3479357448357907E-2</v>
      </c>
      <c r="H383" s="189">
        <v>0.25361735280671899</v>
      </c>
      <c r="I383" s="189">
        <v>0.31709671025507702</v>
      </c>
      <c r="J383" s="189">
        <v>1.9655675552693599</v>
      </c>
      <c r="K383" s="189">
        <v>7.5474771125867105E-4</v>
      </c>
      <c r="L383" s="189">
        <v>7.8904532200273093E-3</v>
      </c>
      <c r="M383" s="189">
        <v>6.0274762360480703E-3</v>
      </c>
      <c r="N383" s="189">
        <v>1.65971316110399E-2</v>
      </c>
      <c r="O383" s="189">
        <v>2.1409101261861001</v>
      </c>
      <c r="P383" s="189">
        <v>1.7037912158518</v>
      </c>
      <c r="Q383" s="189">
        <v>-2.6304906390988699E-2</v>
      </c>
      <c r="R383" s="189">
        <v>0.76664584910257605</v>
      </c>
      <c r="S383" s="189">
        <v>8.8762892549525303E-3</v>
      </c>
      <c r="T383" s="189">
        <v>0</v>
      </c>
      <c r="U383" s="189">
        <v>0</v>
      </c>
      <c r="V383" s="189">
        <v>0</v>
      </c>
      <c r="W383" s="189"/>
      <c r="X383" s="90"/>
      <c r="Y383" s="188"/>
      <c r="Z383" s="188"/>
      <c r="AA383" s="188"/>
      <c r="AB383" s="188"/>
      <c r="AC383" s="188"/>
      <c r="AD383" s="190"/>
      <c r="AE383" s="189"/>
    </row>
    <row r="384" spans="1:31" ht="21.25" customHeight="1" x14ac:dyDescent="0.15">
      <c r="A384" s="10" t="s">
        <v>400</v>
      </c>
      <c r="B384" s="186" t="s">
        <v>854</v>
      </c>
      <c r="C384" s="187">
        <v>22</v>
      </c>
      <c r="D384" s="186" t="s">
        <v>827</v>
      </c>
      <c r="E384" s="90">
        <v>72.41</v>
      </c>
      <c r="F384" s="188">
        <v>18.875844016856099</v>
      </c>
      <c r="G384" s="189">
        <v>7.4675537393011901E-2</v>
      </c>
      <c r="H384" s="189">
        <v>0.23975577564199901</v>
      </c>
      <c r="I384" s="189">
        <v>0.31443131303501098</v>
      </c>
      <c r="J384" s="189">
        <v>1.5200842607071701</v>
      </c>
      <c r="K384" s="189">
        <v>2.5193837192601198E-3</v>
      </c>
      <c r="L384" s="189">
        <v>3.78065533024773E-2</v>
      </c>
      <c r="M384" s="189">
        <v>3.5065560977026001E-4</v>
      </c>
      <c r="N384" s="189">
        <v>1.1975424324523799E-3</v>
      </c>
      <c r="O384" s="189">
        <v>1.2527012452849999</v>
      </c>
      <c r="P384" s="189">
        <v>0.95995769052484903</v>
      </c>
      <c r="Q384" s="189">
        <v>-9.8307344815347406E-2</v>
      </c>
      <c r="R384" s="189">
        <v>0.516013254742414</v>
      </c>
      <c r="S384" s="189">
        <v>9.2161597602173802E-3</v>
      </c>
      <c r="T384" s="189">
        <v>0</v>
      </c>
      <c r="U384" s="189">
        <v>0</v>
      </c>
      <c r="V384" s="189">
        <v>0</v>
      </c>
      <c r="W384" s="189"/>
      <c r="X384" s="90"/>
      <c r="Y384" s="188"/>
      <c r="Z384" s="188"/>
      <c r="AA384" s="188"/>
      <c r="AB384" s="188"/>
      <c r="AC384" s="188"/>
      <c r="AD384" s="190"/>
      <c r="AE384" s="189"/>
    </row>
    <row r="385" spans="1:31" ht="21.25" customHeight="1" x14ac:dyDescent="0.15">
      <c r="A385" s="10" t="s">
        <v>768</v>
      </c>
      <c r="B385" s="186" t="s">
        <v>855</v>
      </c>
      <c r="C385" s="187">
        <v>26</v>
      </c>
      <c r="D385" s="186" t="s">
        <v>825</v>
      </c>
      <c r="E385" s="90">
        <v>55.395000000000003</v>
      </c>
      <c r="F385" s="188">
        <v>12.7981791623994</v>
      </c>
      <c r="G385" s="189">
        <v>0.12448349327215</v>
      </c>
      <c r="H385" s="189">
        <v>0.18960870322133899</v>
      </c>
      <c r="I385" s="189">
        <v>0.31409219649348902</v>
      </c>
      <c r="J385" s="189">
        <v>1.37503208397396</v>
      </c>
      <c r="K385" s="189">
        <v>2.9905506650754598E-3</v>
      </c>
      <c r="L385" s="189">
        <v>6.7674027754660998E-3</v>
      </c>
      <c r="M385" s="189">
        <v>3.3768727939712001E-2</v>
      </c>
      <c r="N385" s="189">
        <v>3.7987790350049601E-2</v>
      </c>
      <c r="O385" s="189">
        <v>0.47251108521857699</v>
      </c>
      <c r="P385" s="189">
        <v>1.0919494075463601</v>
      </c>
      <c r="Q385" s="189">
        <v>-4.9866748491866498E-3</v>
      </c>
      <c r="R385" s="189">
        <v>0.27560514645434298</v>
      </c>
      <c r="S385" s="189">
        <v>1.8048524530153601E-2</v>
      </c>
      <c r="T385" s="189">
        <v>0</v>
      </c>
      <c r="U385" s="189">
        <v>0.14981705683228</v>
      </c>
      <c r="V385" s="189">
        <v>0</v>
      </c>
      <c r="W385" s="189"/>
      <c r="X385" s="90"/>
      <c r="Y385" s="188"/>
      <c r="Z385" s="188"/>
      <c r="AA385" s="188"/>
      <c r="AB385" s="188"/>
      <c r="AC385" s="188"/>
      <c r="AD385" s="190"/>
      <c r="AE385" s="189"/>
    </row>
    <row r="386" spans="1:31" ht="21.25" customHeight="1" x14ac:dyDescent="0.15">
      <c r="A386" s="10" t="s">
        <v>684</v>
      </c>
      <c r="B386" s="186" t="s">
        <v>856</v>
      </c>
      <c r="C386" s="187">
        <v>26</v>
      </c>
      <c r="D386" s="186" t="s">
        <v>839</v>
      </c>
      <c r="E386" s="90">
        <v>81.287499999999994</v>
      </c>
      <c r="F386" s="188">
        <v>12.7212489841717</v>
      </c>
      <c r="G386" s="189">
        <v>0.123806110217558</v>
      </c>
      <c r="H386" s="189">
        <v>0.18948671446953499</v>
      </c>
      <c r="I386" s="189">
        <v>0.31329282468709302</v>
      </c>
      <c r="J386" s="189">
        <v>1.1500213414962801</v>
      </c>
      <c r="K386" s="189">
        <v>1.8116763243809801E-3</v>
      </c>
      <c r="L386" s="189">
        <v>4.6722578921501801E-3</v>
      </c>
      <c r="M386" s="189">
        <v>7.2132916328915197E-3</v>
      </c>
      <c r="N386" s="189">
        <v>1.41586738785164E-2</v>
      </c>
      <c r="O386" s="189">
        <v>0.55775413891250902</v>
      </c>
      <c r="P386" s="189">
        <v>3.0810825802020698</v>
      </c>
      <c r="Q386" s="189">
        <v>2.4054691318887399E-2</v>
      </c>
      <c r="R386" s="189">
        <v>0.69654125320793203</v>
      </c>
      <c r="S386" s="189">
        <v>2.0012589994662301E-2</v>
      </c>
      <c r="T386" s="189">
        <v>3.7895986164322299</v>
      </c>
      <c r="U386" s="189">
        <v>3.8806427197044502</v>
      </c>
      <c r="V386" s="189">
        <v>0.49406510830087602</v>
      </c>
      <c r="W386" s="189"/>
      <c r="X386" s="90"/>
      <c r="Y386" s="188"/>
      <c r="Z386" s="188"/>
      <c r="AA386" s="188"/>
      <c r="AB386" s="188"/>
      <c r="AC386" s="188"/>
      <c r="AD386" s="190"/>
      <c r="AE386" s="189"/>
    </row>
    <row r="387" spans="1:31" ht="21.25" customHeight="1" x14ac:dyDescent="0.15">
      <c r="A387" s="10" t="s">
        <v>680</v>
      </c>
      <c r="B387" s="186" t="s">
        <v>855</v>
      </c>
      <c r="C387" s="187">
        <v>27</v>
      </c>
      <c r="D387" s="186" t="s">
        <v>839</v>
      </c>
      <c r="E387" s="90">
        <v>77.844999999999999</v>
      </c>
      <c r="F387" s="188">
        <v>13.339163220453001</v>
      </c>
      <c r="G387" s="189">
        <v>0.14559299996764799</v>
      </c>
      <c r="H387" s="189">
        <v>0.16653909694682101</v>
      </c>
      <c r="I387" s="189">
        <v>0.31213209691446903</v>
      </c>
      <c r="J387" s="189">
        <v>1.29153113091109</v>
      </c>
      <c r="K387" s="189">
        <v>3.1306426394366401E-4</v>
      </c>
      <c r="L387" s="189">
        <v>6.8429611918283302E-4</v>
      </c>
      <c r="M387" s="189">
        <v>1.1853926900559499E-2</v>
      </c>
      <c r="N387" s="189">
        <v>1.7704592502572902E-2</v>
      </c>
      <c r="O387" s="189">
        <v>0.62504444025725703</v>
      </c>
      <c r="P387" s="189">
        <v>1.9282756706114801</v>
      </c>
      <c r="Q387" s="189">
        <v>-7.18709434058744E-3</v>
      </c>
      <c r="R387" s="189">
        <v>0.30782202918616203</v>
      </c>
      <c r="S387" s="189">
        <v>2.1109134731541399E-2</v>
      </c>
      <c r="T387" s="189">
        <v>1.01117621509347</v>
      </c>
      <c r="U387" s="189">
        <v>1.1764525446165099</v>
      </c>
      <c r="V387" s="189">
        <v>0.462224776761263</v>
      </c>
      <c r="W387" s="189"/>
      <c r="X387" s="90"/>
      <c r="Y387" s="188"/>
      <c r="Z387" s="188"/>
      <c r="AA387" s="188"/>
      <c r="AB387" s="188"/>
      <c r="AC387" s="188"/>
      <c r="AD387" s="190"/>
      <c r="AE387" s="189"/>
    </row>
    <row r="388" spans="1:31" ht="21.25" customHeight="1" x14ac:dyDescent="0.15">
      <c r="A388" s="10" t="s">
        <v>331</v>
      </c>
      <c r="B388" s="186" t="s">
        <v>847</v>
      </c>
      <c r="C388" s="187">
        <v>32</v>
      </c>
      <c r="D388" s="186" t="s">
        <v>827</v>
      </c>
      <c r="E388" s="90">
        <v>83.754999999999995</v>
      </c>
      <c r="F388" s="188">
        <v>22.463356192835398</v>
      </c>
      <c r="G388" s="189">
        <v>4.1850136483203099E-2</v>
      </c>
      <c r="H388" s="189">
        <v>0.26880128894733901</v>
      </c>
      <c r="I388" s="189">
        <v>0.31065142543054203</v>
      </c>
      <c r="J388" s="189">
        <v>1.0024748924251401</v>
      </c>
      <c r="K388" s="189">
        <v>4.4828425554164202E-3</v>
      </c>
      <c r="L388" s="189">
        <v>1.38633667325008E-2</v>
      </c>
      <c r="M388" s="189">
        <v>1.47147134942605E-4</v>
      </c>
      <c r="N388" s="189">
        <v>1.1786852410794E-2</v>
      </c>
      <c r="O388" s="189">
        <v>2.0394513997531201</v>
      </c>
      <c r="P388" s="189">
        <v>0.60089718461734298</v>
      </c>
      <c r="Q388" s="189">
        <v>9.7470365844868498E-2</v>
      </c>
      <c r="R388" s="189">
        <v>0.25267971880200002</v>
      </c>
      <c r="S388" s="189">
        <v>7.0778119720678601E-3</v>
      </c>
      <c r="T388" s="189">
        <v>0</v>
      </c>
      <c r="U388" s="189">
        <v>0</v>
      </c>
      <c r="V388" s="189">
        <v>0</v>
      </c>
      <c r="W388" s="189"/>
      <c r="X388" s="90"/>
      <c r="Y388" s="188"/>
      <c r="Z388" s="188"/>
      <c r="AA388" s="188"/>
      <c r="AB388" s="188"/>
      <c r="AC388" s="188"/>
      <c r="AD388" s="190"/>
      <c r="AE388" s="189"/>
    </row>
    <row r="389" spans="1:31" ht="21.25" customHeight="1" x14ac:dyDescent="0.15">
      <c r="A389" s="10" t="s">
        <v>354</v>
      </c>
      <c r="B389" s="186" t="s">
        <v>869</v>
      </c>
      <c r="C389" s="187">
        <v>26</v>
      </c>
      <c r="D389" s="186" t="s">
        <v>827</v>
      </c>
      <c r="E389" s="90">
        <v>82.114999999999995</v>
      </c>
      <c r="F389" s="188">
        <v>19.310793659901002</v>
      </c>
      <c r="G389" s="189">
        <v>5.992707070758E-2</v>
      </c>
      <c r="H389" s="189">
        <v>0.24851154615465401</v>
      </c>
      <c r="I389" s="189">
        <v>0.30843861686223401</v>
      </c>
      <c r="J389" s="189">
        <v>0.96542333166779704</v>
      </c>
      <c r="K389" s="189">
        <v>2.07583901986027E-3</v>
      </c>
      <c r="L389" s="189">
        <v>1.3801724402609201E-2</v>
      </c>
      <c r="M389" s="189">
        <v>2.38952888075948E-4</v>
      </c>
      <c r="N389" s="189">
        <v>9.0428300463081205E-3</v>
      </c>
      <c r="O389" s="189">
        <v>1.87890572999868</v>
      </c>
      <c r="P389" s="189">
        <v>1.4691831154167201</v>
      </c>
      <c r="Q389" s="189">
        <v>3.8935498574487699E-2</v>
      </c>
      <c r="R389" s="189">
        <v>0.36491648623754003</v>
      </c>
      <c r="S389" s="189">
        <v>8.9752363133306992E-3</v>
      </c>
      <c r="T389" s="189">
        <v>0</v>
      </c>
      <c r="U389" s="189">
        <v>0</v>
      </c>
      <c r="V389" s="189">
        <v>0</v>
      </c>
      <c r="W389" s="189"/>
      <c r="X389" s="90"/>
      <c r="Y389" s="188"/>
      <c r="Z389" s="188"/>
      <c r="AA389" s="188"/>
      <c r="AB389" s="188"/>
      <c r="AC389" s="188"/>
      <c r="AD389" s="190"/>
      <c r="AE389" s="189"/>
    </row>
    <row r="390" spans="1:31" ht="21.25" customHeight="1" x14ac:dyDescent="0.15">
      <c r="A390" s="10" t="s">
        <v>692</v>
      </c>
      <c r="B390" s="186" t="s">
        <v>856</v>
      </c>
      <c r="C390" s="187">
        <v>30</v>
      </c>
      <c r="D390" s="186" t="s">
        <v>825</v>
      </c>
      <c r="E390" s="90">
        <v>78.709999999999994</v>
      </c>
      <c r="F390" s="188">
        <v>11.1021789273544</v>
      </c>
      <c r="G390" s="189">
        <v>0.15430534578942701</v>
      </c>
      <c r="H390" s="189">
        <v>0.15307184762669401</v>
      </c>
      <c r="I390" s="189">
        <v>0.30737719341612102</v>
      </c>
      <c r="J390" s="189">
        <v>1.4743190951507299</v>
      </c>
      <c r="K390" s="189">
        <v>7.7327996175751701E-3</v>
      </c>
      <c r="L390" s="189">
        <v>1.44436071507932E-2</v>
      </c>
      <c r="M390" s="189">
        <v>4.8308522622064202E-5</v>
      </c>
      <c r="N390" s="189">
        <v>6.0507634775081099E-5</v>
      </c>
      <c r="O390" s="189">
        <v>0.23506452949030399</v>
      </c>
      <c r="P390" s="189">
        <v>1.5008746089746501</v>
      </c>
      <c r="Q390" s="189">
        <v>1.9372553382563398E-2</v>
      </c>
      <c r="R390" s="189">
        <v>0.28952274312155801</v>
      </c>
      <c r="S390" s="189">
        <v>2.4942626933694301E-2</v>
      </c>
      <c r="T390" s="189">
        <v>0.130576991833633</v>
      </c>
      <c r="U390" s="189">
        <v>0.174188730716065</v>
      </c>
      <c r="V390" s="189">
        <v>0.428450387206323</v>
      </c>
      <c r="W390" s="189"/>
      <c r="X390" s="90"/>
      <c r="Y390" s="188"/>
      <c r="Z390" s="188"/>
      <c r="AA390" s="188"/>
      <c r="AB390" s="188"/>
      <c r="AC390" s="188"/>
      <c r="AD390" s="190"/>
      <c r="AE390" s="189"/>
    </row>
    <row r="391" spans="1:31" ht="21.25" customHeight="1" x14ac:dyDescent="0.15">
      <c r="A391" s="10" t="s">
        <v>696</v>
      </c>
      <c r="B391" s="186" t="s">
        <v>865</v>
      </c>
      <c r="C391" s="187">
        <v>32</v>
      </c>
      <c r="D391" s="186" t="s">
        <v>852</v>
      </c>
      <c r="E391" s="90">
        <v>75.372500000000002</v>
      </c>
      <c r="F391" s="188">
        <v>13.2154249911541</v>
      </c>
      <c r="G391" s="189">
        <v>0.12726185640079801</v>
      </c>
      <c r="H391" s="189">
        <v>0.18002159862051001</v>
      </c>
      <c r="I391" s="189">
        <v>0.30728345502130799</v>
      </c>
      <c r="J391" s="189">
        <v>0.95832743591233305</v>
      </c>
      <c r="K391" s="189">
        <v>4.09487485696666E-3</v>
      </c>
      <c r="L391" s="189">
        <v>1.81036783437485E-2</v>
      </c>
      <c r="M391" s="189">
        <v>9.2901512058766907E-3</v>
      </c>
      <c r="N391" s="189">
        <v>1.94921004376537E-2</v>
      </c>
      <c r="O391" s="189">
        <v>0.72394719052546697</v>
      </c>
      <c r="P391" s="189">
        <v>0.92863905337219599</v>
      </c>
      <c r="Q391" s="189">
        <v>-4.2501799018744103E-2</v>
      </c>
      <c r="R391" s="189">
        <v>0.299936863060971</v>
      </c>
      <c r="S391" s="189">
        <v>1.76289507663966E-2</v>
      </c>
      <c r="T391" s="189">
        <v>3.4221731728940599</v>
      </c>
      <c r="U391" s="189">
        <v>3.3498845944622002</v>
      </c>
      <c r="V391" s="189">
        <v>0.50533726829534098</v>
      </c>
      <c r="W391" s="189"/>
      <c r="X391" s="90"/>
      <c r="Y391" s="188"/>
      <c r="Z391" s="188"/>
      <c r="AA391" s="188"/>
      <c r="AB391" s="188"/>
      <c r="AC391" s="188"/>
      <c r="AD391" s="190"/>
      <c r="AE391" s="189"/>
    </row>
    <row r="392" spans="1:31" ht="21.25" customHeight="1" x14ac:dyDescent="0.15">
      <c r="A392" s="10" t="s">
        <v>660</v>
      </c>
      <c r="B392" s="186" t="s">
        <v>849</v>
      </c>
      <c r="C392" s="187">
        <v>32</v>
      </c>
      <c r="D392" s="186" t="s">
        <v>839</v>
      </c>
      <c r="E392" s="90">
        <v>80.56</v>
      </c>
      <c r="F392" s="188">
        <v>13.640115131292101</v>
      </c>
      <c r="G392" s="189">
        <v>0.147333267260817</v>
      </c>
      <c r="H392" s="189">
        <v>0.15946306485342701</v>
      </c>
      <c r="I392" s="189">
        <v>0.30679633211424401</v>
      </c>
      <c r="J392" s="189">
        <v>1.42111312512196</v>
      </c>
      <c r="K392" s="189">
        <v>6.0041756124230405E-4</v>
      </c>
      <c r="L392" s="189">
        <v>1.35629916784169E-3</v>
      </c>
      <c r="M392" s="189">
        <v>2.3582103952620601E-2</v>
      </c>
      <c r="N392" s="189">
        <v>4.3369032654080299E-2</v>
      </c>
      <c r="O392" s="189">
        <v>0.62372684270228496</v>
      </c>
      <c r="P392" s="189">
        <v>1.7300755942836199</v>
      </c>
      <c r="Q392" s="189">
        <v>-2.2231917829507002E-2</v>
      </c>
      <c r="R392" s="189">
        <v>0.44913207443964098</v>
      </c>
      <c r="S392" s="189">
        <v>2.3273376122795598E-2</v>
      </c>
      <c r="T392" s="189">
        <v>5.4071661817123102</v>
      </c>
      <c r="U392" s="189">
        <v>4.8613613801248503</v>
      </c>
      <c r="V392" s="189">
        <v>0.52657658550851705</v>
      </c>
      <c r="W392" s="189"/>
      <c r="X392" s="90"/>
      <c r="Y392" s="188"/>
      <c r="Z392" s="188"/>
      <c r="AA392" s="188"/>
      <c r="AB392" s="188"/>
      <c r="AC392" s="188"/>
      <c r="AD392" s="190"/>
      <c r="AE392" s="189"/>
    </row>
    <row r="393" spans="1:31" ht="21.25" customHeight="1" x14ac:dyDescent="0.15">
      <c r="A393" s="10" t="s">
        <v>756</v>
      </c>
      <c r="B393" s="186" t="s">
        <v>858</v>
      </c>
      <c r="C393" s="187">
        <v>26</v>
      </c>
      <c r="D393" s="186" t="s">
        <v>826</v>
      </c>
      <c r="E393" s="90">
        <v>70.564999999999998</v>
      </c>
      <c r="F393" s="188">
        <v>11.4551794407286</v>
      </c>
      <c r="G393" s="189">
        <v>0.113807231333097</v>
      </c>
      <c r="H393" s="189">
        <v>0.191071219630292</v>
      </c>
      <c r="I393" s="189">
        <v>0.304878450963389</v>
      </c>
      <c r="J393" s="189">
        <v>0.98344898963223704</v>
      </c>
      <c r="K393" s="189">
        <v>8.1100562896781608E-3</v>
      </c>
      <c r="L393" s="189">
        <v>1.1374830173146701E-2</v>
      </c>
      <c r="M393" s="189">
        <v>5.5701831658919798E-5</v>
      </c>
      <c r="N393" s="189">
        <v>9.1743309062459902E-5</v>
      </c>
      <c r="O393" s="189">
        <v>0.27317598215331501</v>
      </c>
      <c r="P393" s="189">
        <v>0.81220338992132202</v>
      </c>
      <c r="Q393" s="189">
        <v>-2.9409635697898302E-2</v>
      </c>
      <c r="R393" s="189">
        <v>0.211237608783896</v>
      </c>
      <c r="S393" s="189">
        <v>1.6409983537134899E-2</v>
      </c>
      <c r="T393" s="189">
        <v>4.3381197399266103E-2</v>
      </c>
      <c r="U393" s="189">
        <v>6.0975925389840903E-2</v>
      </c>
      <c r="V393" s="189">
        <v>0.41569943900172701</v>
      </c>
      <c r="W393" s="189"/>
      <c r="X393" s="90"/>
      <c r="Y393" s="188"/>
      <c r="Z393" s="188"/>
      <c r="AA393" s="188"/>
      <c r="AB393" s="188"/>
      <c r="AC393" s="188"/>
      <c r="AD393" s="190"/>
      <c r="AE393" s="189"/>
    </row>
    <row r="394" spans="1:31" ht="21.25" customHeight="1" x14ac:dyDescent="0.15">
      <c r="A394" s="10" t="s">
        <v>390</v>
      </c>
      <c r="B394" s="186" t="s">
        <v>869</v>
      </c>
      <c r="C394" s="187">
        <v>26</v>
      </c>
      <c r="D394" s="186" t="s">
        <v>827</v>
      </c>
      <c r="E394" s="90">
        <v>81.032499999999999</v>
      </c>
      <c r="F394" s="188">
        <v>17.486063592821999</v>
      </c>
      <c r="G394" s="189">
        <v>4.8578885585726601E-2</v>
      </c>
      <c r="H394" s="189">
        <v>0.25532449063555301</v>
      </c>
      <c r="I394" s="189">
        <v>0.30390337622128</v>
      </c>
      <c r="J394" s="189">
        <v>1.026343240721</v>
      </c>
      <c r="K394" s="189">
        <v>2.2077378575708498E-3</v>
      </c>
      <c r="L394" s="189">
        <v>2.07697703602043E-2</v>
      </c>
      <c r="M394" s="189">
        <v>3.6283507962778499E-4</v>
      </c>
      <c r="N394" s="189">
        <v>1.24184673513825E-3</v>
      </c>
      <c r="O394" s="189">
        <v>1.4733154153836601</v>
      </c>
      <c r="P394" s="189">
        <v>1.09708039882973</v>
      </c>
      <c r="Q394" s="189">
        <v>4.2806522912315202E-2</v>
      </c>
      <c r="R394" s="189">
        <v>0.25716613182617798</v>
      </c>
      <c r="S394" s="189">
        <v>7.2756264042620998E-3</v>
      </c>
      <c r="T394" s="189">
        <v>0</v>
      </c>
      <c r="U394" s="189">
        <v>0</v>
      </c>
      <c r="V394" s="189">
        <v>0</v>
      </c>
      <c r="W394" s="189"/>
      <c r="X394" s="90"/>
      <c r="Y394" s="188"/>
      <c r="Z394" s="188"/>
      <c r="AA394" s="188"/>
      <c r="AB394" s="188"/>
      <c r="AC394" s="188"/>
      <c r="AD394" s="190"/>
      <c r="AE394" s="189"/>
    </row>
    <row r="395" spans="1:31" ht="21.25" customHeight="1" x14ac:dyDescent="0.15">
      <c r="A395" s="10" t="s">
        <v>697</v>
      </c>
      <c r="B395" s="186" t="s">
        <v>855</v>
      </c>
      <c r="C395" s="187">
        <v>28</v>
      </c>
      <c r="D395" s="186" t="s">
        <v>824</v>
      </c>
      <c r="E395" s="90">
        <v>74.075000000000003</v>
      </c>
      <c r="F395" s="188">
        <v>13.515683031794801</v>
      </c>
      <c r="G395" s="189">
        <v>0.13253711722285499</v>
      </c>
      <c r="H395" s="189">
        <v>0.169762376929605</v>
      </c>
      <c r="I395" s="189">
        <v>0.30229949415245999</v>
      </c>
      <c r="J395" s="189">
        <v>0.973777119467788</v>
      </c>
      <c r="K395" s="189">
        <v>8.9029817960976703E-4</v>
      </c>
      <c r="L395" s="189">
        <v>1.4769759369728499E-3</v>
      </c>
      <c r="M395" s="189">
        <v>5.8719332560226503E-3</v>
      </c>
      <c r="N395" s="189">
        <v>7.63753306255552E-3</v>
      </c>
      <c r="O395" s="189">
        <v>0.62531527207641702</v>
      </c>
      <c r="P395" s="189">
        <v>1.0547640037360499</v>
      </c>
      <c r="Q395" s="189">
        <v>-9.3835338596791502E-3</v>
      </c>
      <c r="R395" s="189">
        <v>0.39741030955569501</v>
      </c>
      <c r="S395" s="189">
        <v>1.9216197653795401E-2</v>
      </c>
      <c r="T395" s="189">
        <v>3.9085562155244</v>
      </c>
      <c r="U395" s="189">
        <v>3.9638936229648101</v>
      </c>
      <c r="V395" s="189">
        <v>0.49648537567239498</v>
      </c>
      <c r="W395" s="189"/>
      <c r="X395" s="90"/>
      <c r="Y395" s="188"/>
      <c r="Z395" s="188"/>
      <c r="AA395" s="188"/>
      <c r="AB395" s="188"/>
      <c r="AC395" s="188"/>
      <c r="AD395" s="190"/>
      <c r="AE395" s="189"/>
    </row>
    <row r="396" spans="1:31" ht="21.25" customHeight="1" x14ac:dyDescent="0.15">
      <c r="A396" s="10" t="s">
        <v>745</v>
      </c>
      <c r="B396" s="186" t="s">
        <v>858</v>
      </c>
      <c r="C396" s="187">
        <v>21</v>
      </c>
      <c r="D396" s="186" t="s">
        <v>824</v>
      </c>
      <c r="E396" s="90">
        <v>63.28</v>
      </c>
      <c r="F396" s="188">
        <v>11.9244889186071</v>
      </c>
      <c r="G396" s="189">
        <v>0.11254904601358399</v>
      </c>
      <c r="H396" s="189">
        <v>0.18905656506351001</v>
      </c>
      <c r="I396" s="189">
        <v>0.30160561107709399</v>
      </c>
      <c r="J396" s="189">
        <v>0.95505415392651805</v>
      </c>
      <c r="K396" s="189">
        <v>3.0030732232050601E-3</v>
      </c>
      <c r="L396" s="189">
        <v>6.6286222358022404E-3</v>
      </c>
      <c r="M396" s="189">
        <v>3.4133225516234499E-3</v>
      </c>
      <c r="N396" s="189">
        <v>2.1244731539085099E-2</v>
      </c>
      <c r="O396" s="189">
        <v>0.44488826983292601</v>
      </c>
      <c r="P396" s="189">
        <v>1.43724461451526</v>
      </c>
      <c r="Q396" s="189">
        <v>-2.50125522460635E-2</v>
      </c>
      <c r="R396" s="189">
        <v>0.230355649135152</v>
      </c>
      <c r="S396" s="189">
        <v>1.6228564481965701E-2</v>
      </c>
      <c r="T396" s="189">
        <v>0.109449186953714</v>
      </c>
      <c r="U396" s="189">
        <v>0.27362296738428399</v>
      </c>
      <c r="V396" s="189">
        <v>0.28571428571428598</v>
      </c>
      <c r="W396" s="189"/>
      <c r="X396" s="90"/>
      <c r="Y396" s="189"/>
      <c r="Z396" s="189"/>
      <c r="AA396" s="189"/>
      <c r="AB396" s="189"/>
      <c r="AC396" s="188"/>
      <c r="AD396" s="190"/>
      <c r="AE396" s="189"/>
    </row>
    <row r="397" spans="1:31" ht="21.25" customHeight="1" x14ac:dyDescent="0.15">
      <c r="A397" s="10" t="s">
        <v>699</v>
      </c>
      <c r="B397" s="186" t="s">
        <v>837</v>
      </c>
      <c r="C397" s="187">
        <v>27</v>
      </c>
      <c r="D397" s="186" t="s">
        <v>826</v>
      </c>
      <c r="E397" s="90">
        <v>77.174999999999997</v>
      </c>
      <c r="F397" s="188">
        <v>12.2475352370564</v>
      </c>
      <c r="G397" s="189">
        <v>0.13254963530597799</v>
      </c>
      <c r="H397" s="189">
        <v>0.16895541477307299</v>
      </c>
      <c r="I397" s="189">
        <v>0.30150505007905098</v>
      </c>
      <c r="J397" s="189">
        <v>1.1447347686106599</v>
      </c>
      <c r="K397" s="189">
        <v>9.4570869523602399E-4</v>
      </c>
      <c r="L397" s="189">
        <v>2.80848636007977E-3</v>
      </c>
      <c r="M397" s="189">
        <v>8.2955077993618299E-4</v>
      </c>
      <c r="N397" s="189">
        <v>9.7943299003499596E-4</v>
      </c>
      <c r="O397" s="189">
        <v>0.50134796827720596</v>
      </c>
      <c r="P397" s="189">
        <v>0.86359437524067795</v>
      </c>
      <c r="Q397" s="189">
        <v>9.0182210796561205E-2</v>
      </c>
      <c r="R397" s="189">
        <v>0.36025584531455102</v>
      </c>
      <c r="S397" s="189">
        <v>2.3528811328513099E-2</v>
      </c>
      <c r="T397" s="189">
        <v>0.64222867779416704</v>
      </c>
      <c r="U397" s="189">
        <v>0.86350190684311301</v>
      </c>
      <c r="V397" s="189">
        <v>0.42652296788464</v>
      </c>
      <c r="W397" s="189"/>
      <c r="X397" s="90"/>
      <c r="Y397" s="188"/>
      <c r="Z397" s="188"/>
      <c r="AA397" s="188"/>
      <c r="AB397" s="188"/>
      <c r="AC397" s="188"/>
      <c r="AD397" s="190"/>
      <c r="AE397" s="189"/>
    </row>
    <row r="398" spans="1:31" ht="21.25" customHeight="1" x14ac:dyDescent="0.15">
      <c r="A398" s="10" t="s">
        <v>424</v>
      </c>
      <c r="B398" s="186" t="s">
        <v>871</v>
      </c>
      <c r="C398" s="187">
        <v>20</v>
      </c>
      <c r="D398" s="186" t="s">
        <v>827</v>
      </c>
      <c r="E398" s="90">
        <v>74</v>
      </c>
      <c r="F398" s="188">
        <v>17.545074950125599</v>
      </c>
      <c r="G398" s="189">
        <v>0.100982326207434</v>
      </c>
      <c r="H398" s="189">
        <v>0.19957197143598099</v>
      </c>
      <c r="I398" s="189">
        <v>0.30055429764341501</v>
      </c>
      <c r="J398" s="189">
        <v>1.2867881289726899</v>
      </c>
      <c r="K398" s="189">
        <v>5.0658669957400697E-2</v>
      </c>
      <c r="L398" s="189">
        <v>0.12876581292971401</v>
      </c>
      <c r="M398" s="189">
        <v>8.7959350185161497E-5</v>
      </c>
      <c r="N398" s="189">
        <v>3.0459550294609699E-4</v>
      </c>
      <c r="O398" s="189">
        <v>1.02209557505809</v>
      </c>
      <c r="P398" s="189">
        <v>0.78323164647656296</v>
      </c>
      <c r="Q398" s="189">
        <v>-9.9945490263826195E-2</v>
      </c>
      <c r="R398" s="189">
        <v>0.343072120795822</v>
      </c>
      <c r="S398" s="189">
        <v>1.45187308045204E-2</v>
      </c>
      <c r="T398" s="189">
        <v>0</v>
      </c>
      <c r="U398" s="189">
        <v>0</v>
      </c>
      <c r="V398" s="189">
        <v>0</v>
      </c>
      <c r="W398" s="189"/>
      <c r="X398" s="90"/>
      <c r="Y398" s="188"/>
      <c r="Z398" s="188"/>
      <c r="AA398" s="188"/>
      <c r="AB398" s="188"/>
      <c r="AC398" s="188"/>
      <c r="AD398" s="190"/>
      <c r="AE398" s="189"/>
    </row>
    <row r="399" spans="1:31" ht="21.25" customHeight="1" x14ac:dyDescent="0.15">
      <c r="A399" s="10" t="s">
        <v>769</v>
      </c>
      <c r="B399" s="186" t="s">
        <v>841</v>
      </c>
      <c r="C399" s="187">
        <v>26</v>
      </c>
      <c r="D399" s="186" t="s">
        <v>839</v>
      </c>
      <c r="E399" s="90">
        <v>58.695</v>
      </c>
      <c r="F399" s="188">
        <v>11.447457224846699</v>
      </c>
      <c r="G399" s="189">
        <v>0.155675812040379</v>
      </c>
      <c r="H399" s="189">
        <v>0.14360271609563299</v>
      </c>
      <c r="I399" s="189">
        <v>0.29927852813601202</v>
      </c>
      <c r="J399" s="189">
        <v>1.1817865858613801</v>
      </c>
      <c r="K399" s="189">
        <v>8.9569470391204602E-3</v>
      </c>
      <c r="L399" s="189">
        <v>2.41461562020596E-2</v>
      </c>
      <c r="M399" s="189">
        <v>1.0361069871434401E-2</v>
      </c>
      <c r="N399" s="189">
        <v>1.16188558464048E-2</v>
      </c>
      <c r="O399" s="189">
        <v>0.53256327533700998</v>
      </c>
      <c r="P399" s="189">
        <v>2.7383239416577698</v>
      </c>
      <c r="Q399" s="189">
        <v>-1.1157201423924E-2</v>
      </c>
      <c r="R399" s="189">
        <v>0.36009034088939001</v>
      </c>
      <c r="S399" s="189">
        <v>2.0957339432210099E-2</v>
      </c>
      <c r="T399" s="189">
        <v>5.7744756174491797E-2</v>
      </c>
      <c r="U399" s="189">
        <v>9.3658506862718593E-2</v>
      </c>
      <c r="V399" s="189">
        <v>0.38139703871705799</v>
      </c>
      <c r="W399" s="189"/>
      <c r="X399" s="90"/>
      <c r="Y399" s="188"/>
      <c r="Z399" s="188"/>
      <c r="AA399" s="188"/>
      <c r="AB399" s="188"/>
      <c r="AC399" s="188"/>
      <c r="AD399" s="190"/>
      <c r="AE399" s="189"/>
    </row>
    <row r="400" spans="1:31" ht="21.25" customHeight="1" x14ac:dyDescent="0.15">
      <c r="A400" s="10" t="s">
        <v>687</v>
      </c>
      <c r="B400" s="186" t="s">
        <v>869</v>
      </c>
      <c r="C400" s="187">
        <v>28</v>
      </c>
      <c r="D400" s="186" t="s">
        <v>826</v>
      </c>
      <c r="E400" s="90">
        <v>75.73</v>
      </c>
      <c r="F400" s="188">
        <v>10.9875646669072</v>
      </c>
      <c r="G400" s="189">
        <v>0.149493402339689</v>
      </c>
      <c r="H400" s="189">
        <v>0.14975476177623301</v>
      </c>
      <c r="I400" s="189">
        <v>0.29924816411592198</v>
      </c>
      <c r="J400" s="189">
        <v>1.22173546286049</v>
      </c>
      <c r="K400" s="189">
        <v>4.1620351612209E-3</v>
      </c>
      <c r="L400" s="189">
        <v>9.4877613777786703E-3</v>
      </c>
      <c r="M400" s="189">
        <v>1.5574821769173401E-4</v>
      </c>
      <c r="N400" s="189">
        <v>2.5456642825935898E-4</v>
      </c>
      <c r="O400" s="189">
        <v>0.64913117799289499</v>
      </c>
      <c r="P400" s="189">
        <v>0.95190065045689998</v>
      </c>
      <c r="Q400" s="189">
        <v>5.5801529170634898E-2</v>
      </c>
      <c r="R400" s="189">
        <v>0.25968293120592201</v>
      </c>
      <c r="S400" s="189">
        <v>2.23895244242736E-2</v>
      </c>
      <c r="T400" s="189">
        <v>1.08978000716283E-2</v>
      </c>
      <c r="U400" s="189">
        <v>7.3059438013670805E-2</v>
      </c>
      <c r="V400" s="189">
        <v>0.129801793391016</v>
      </c>
      <c r="W400" s="189"/>
      <c r="X400" s="90"/>
      <c r="Y400" s="188"/>
      <c r="Z400" s="188"/>
      <c r="AA400" s="188"/>
      <c r="AB400" s="188"/>
      <c r="AC400" s="188"/>
      <c r="AD400" s="190"/>
      <c r="AE400" s="189"/>
    </row>
    <row r="401" spans="1:31" ht="21.25" customHeight="1" x14ac:dyDescent="0.15">
      <c r="A401" s="10" t="s">
        <v>681</v>
      </c>
      <c r="B401" s="186" t="s">
        <v>870</v>
      </c>
      <c r="C401" s="187">
        <v>33</v>
      </c>
      <c r="D401" s="186" t="s">
        <v>846</v>
      </c>
      <c r="E401" s="90">
        <v>80.045000000000002</v>
      </c>
      <c r="F401" s="188">
        <v>15.0299601680729</v>
      </c>
      <c r="G401" s="189">
        <v>0.10517848455038099</v>
      </c>
      <c r="H401" s="189">
        <v>0.19360140932629299</v>
      </c>
      <c r="I401" s="189">
        <v>0.29877989387667397</v>
      </c>
      <c r="J401" s="189">
        <v>1.0644188934280101</v>
      </c>
      <c r="K401" s="189">
        <v>8.46274206975247E-3</v>
      </c>
      <c r="L401" s="189">
        <v>1.702833542325E-2</v>
      </c>
      <c r="M401" s="189">
        <v>1.33223775293865E-3</v>
      </c>
      <c r="N401" s="189">
        <v>2.5296731652336298E-3</v>
      </c>
      <c r="O401" s="189">
        <v>0.71210242239193799</v>
      </c>
      <c r="P401" s="189">
        <v>0.59242070439245098</v>
      </c>
      <c r="Q401" s="189">
        <v>-0.11701489817182099</v>
      </c>
      <c r="R401" s="189">
        <v>0.18975131906284901</v>
      </c>
      <c r="S401" s="189">
        <v>1.4490985134425901E-2</v>
      </c>
      <c r="T401" s="189">
        <v>4.5804514006901096</v>
      </c>
      <c r="U401" s="189">
        <v>5.2746854699810299</v>
      </c>
      <c r="V401" s="189">
        <v>0.46477806049772102</v>
      </c>
      <c r="W401" s="189"/>
      <c r="X401" s="90"/>
      <c r="Y401" s="188"/>
      <c r="Z401" s="188"/>
      <c r="AA401" s="188"/>
      <c r="AB401" s="188"/>
      <c r="AC401" s="188"/>
      <c r="AD401" s="190"/>
      <c r="AE401" s="189"/>
    </row>
    <row r="402" spans="1:31" ht="21.25" customHeight="1" x14ac:dyDescent="0.15">
      <c r="A402" s="10" t="s">
        <v>351</v>
      </c>
      <c r="B402" s="186" t="s">
        <v>845</v>
      </c>
      <c r="C402" s="187">
        <v>32</v>
      </c>
      <c r="D402" s="186" t="s">
        <v>827</v>
      </c>
      <c r="E402" s="90">
        <v>80.575000000000003</v>
      </c>
      <c r="F402" s="188">
        <v>22.153952410442098</v>
      </c>
      <c r="G402" s="189">
        <v>3.8134917512142097E-2</v>
      </c>
      <c r="H402" s="189">
        <v>0.260109543407126</v>
      </c>
      <c r="I402" s="189">
        <v>0.29824446091926798</v>
      </c>
      <c r="J402" s="189">
        <v>0.89485864570933504</v>
      </c>
      <c r="K402" s="189">
        <v>9.4148877684381495E-4</v>
      </c>
      <c r="L402" s="189">
        <v>4.61392752199588E-3</v>
      </c>
      <c r="M402" s="189">
        <v>1.5557209298955199E-4</v>
      </c>
      <c r="N402" s="189">
        <v>5.8867312373926802E-3</v>
      </c>
      <c r="O402" s="189">
        <v>2.1427505531790199</v>
      </c>
      <c r="P402" s="189">
        <v>1.4343407137051301</v>
      </c>
      <c r="Q402" s="189">
        <v>1.11371088649588E-2</v>
      </c>
      <c r="R402" s="189">
        <v>0.66920437391904497</v>
      </c>
      <c r="S402" s="189">
        <v>5.2077317753282696E-3</v>
      </c>
      <c r="T402" s="189">
        <v>0</v>
      </c>
      <c r="U402" s="189">
        <v>0</v>
      </c>
      <c r="V402" s="189">
        <v>0</v>
      </c>
      <c r="W402" s="189"/>
      <c r="X402" s="90"/>
      <c r="Y402" s="188"/>
      <c r="Z402" s="188"/>
      <c r="AA402" s="188"/>
      <c r="AB402" s="188"/>
      <c r="AC402" s="188"/>
      <c r="AD402" s="190"/>
      <c r="AE402" s="189"/>
    </row>
    <row r="403" spans="1:31" ht="21.25" customHeight="1" x14ac:dyDescent="0.15">
      <c r="A403" s="10" t="s">
        <v>698</v>
      </c>
      <c r="B403" s="186" t="s">
        <v>851</v>
      </c>
      <c r="C403" s="187">
        <v>33</v>
      </c>
      <c r="D403" s="186" t="s">
        <v>839</v>
      </c>
      <c r="E403" s="90">
        <v>79.174999999999997</v>
      </c>
      <c r="F403" s="188">
        <v>12.278906416253101</v>
      </c>
      <c r="G403" s="189">
        <v>0.116631292737249</v>
      </c>
      <c r="H403" s="189">
        <v>0.181587980093431</v>
      </c>
      <c r="I403" s="189">
        <v>0.29821927283068</v>
      </c>
      <c r="J403" s="189">
        <v>1.0913948445616399</v>
      </c>
      <c r="K403" s="189">
        <v>2.5174975804977899E-2</v>
      </c>
      <c r="L403" s="189">
        <v>6.0485567604858299E-2</v>
      </c>
      <c r="M403" s="189">
        <v>1.78530637434689E-3</v>
      </c>
      <c r="N403" s="189">
        <v>2.20853835347604E-3</v>
      </c>
      <c r="O403" s="189">
        <v>0.51469870121873895</v>
      </c>
      <c r="P403" s="189">
        <v>1.1325836834437</v>
      </c>
      <c r="Q403" s="189">
        <v>1.18190182868844E-2</v>
      </c>
      <c r="R403" s="189">
        <v>0.28885779731078098</v>
      </c>
      <c r="S403" s="189">
        <v>2.0266991114323198E-2</v>
      </c>
      <c r="T403" s="189">
        <v>1.9198582402370701</v>
      </c>
      <c r="U403" s="189">
        <v>2.6648958793919899</v>
      </c>
      <c r="V403" s="189">
        <v>0.41874835381409697</v>
      </c>
      <c r="W403" s="189"/>
      <c r="X403" s="90"/>
      <c r="Y403" s="188"/>
      <c r="Z403" s="188"/>
      <c r="AA403" s="188"/>
      <c r="AB403" s="188"/>
      <c r="AC403" s="188"/>
      <c r="AD403" s="190"/>
      <c r="AE403" s="189"/>
    </row>
    <row r="404" spans="1:31" ht="21.25" customHeight="1" x14ac:dyDescent="0.15">
      <c r="A404" s="10" t="s">
        <v>437</v>
      </c>
      <c r="B404" s="186" t="s">
        <v>859</v>
      </c>
      <c r="C404" s="187">
        <v>25</v>
      </c>
      <c r="D404" s="186" t="s">
        <v>827</v>
      </c>
      <c r="E404" s="90">
        <v>73.75</v>
      </c>
      <c r="F404" s="188">
        <v>19.196620193662</v>
      </c>
      <c r="G404" s="189">
        <v>6.1991740900555301E-2</v>
      </c>
      <c r="H404" s="189">
        <v>0.23395355865130099</v>
      </c>
      <c r="I404" s="189">
        <v>0.295945299551856</v>
      </c>
      <c r="J404" s="189">
        <v>0.98890865620333901</v>
      </c>
      <c r="K404" s="189">
        <v>1.4795393657523499E-4</v>
      </c>
      <c r="L404" s="189">
        <v>1.1038897735109899E-3</v>
      </c>
      <c r="M404" s="189">
        <v>3.65400839177359E-4</v>
      </c>
      <c r="N404" s="189">
        <v>2.72500537503042E-2</v>
      </c>
      <c r="O404" s="189">
        <v>1.4857469384901201</v>
      </c>
      <c r="P404" s="189">
        <v>1.2821758314023399</v>
      </c>
      <c r="Q404" s="189">
        <v>-6.2734232389015196E-2</v>
      </c>
      <c r="R404" s="189">
        <v>0.50875992847993201</v>
      </c>
      <c r="S404" s="189">
        <v>9.0568156103349295E-3</v>
      </c>
      <c r="T404" s="189">
        <v>0</v>
      </c>
      <c r="U404" s="189">
        <v>0</v>
      </c>
      <c r="V404" s="189">
        <v>0</v>
      </c>
      <c r="W404" s="189"/>
      <c r="X404" s="90"/>
      <c r="Y404" s="188"/>
      <c r="Z404" s="188"/>
      <c r="AA404" s="188"/>
      <c r="AB404" s="188"/>
      <c r="AC404" s="188"/>
      <c r="AD404" s="190"/>
      <c r="AE404" s="189"/>
    </row>
    <row r="405" spans="1:31" ht="21.25" customHeight="1" x14ac:dyDescent="0.15">
      <c r="A405" s="10" t="s">
        <v>353</v>
      </c>
      <c r="B405" s="186" t="s">
        <v>851</v>
      </c>
      <c r="C405" s="187">
        <v>27</v>
      </c>
      <c r="D405" s="186" t="s">
        <v>827</v>
      </c>
      <c r="E405" s="90">
        <v>77.765000000000001</v>
      </c>
      <c r="F405" s="188">
        <v>21.9782774008569</v>
      </c>
      <c r="G405" s="189">
        <v>5.3837231141686301E-2</v>
      </c>
      <c r="H405" s="189">
        <v>0.24177155237065401</v>
      </c>
      <c r="I405" s="189">
        <v>0.29560878351233999</v>
      </c>
      <c r="J405" s="189">
        <v>1.3992074878049101</v>
      </c>
      <c r="K405" s="189">
        <v>1.14500632791885E-4</v>
      </c>
      <c r="L405" s="189">
        <v>1.9244649436813001E-3</v>
      </c>
      <c r="M405" s="189">
        <v>3.42201265795935E-4</v>
      </c>
      <c r="N405" s="189">
        <v>1.86760419527356E-3</v>
      </c>
      <c r="O405" s="189">
        <v>1.82562282336312</v>
      </c>
      <c r="P405" s="189">
        <v>0.90784410053260201</v>
      </c>
      <c r="Q405" s="189">
        <v>3.2038185143827801E-2</v>
      </c>
      <c r="R405" s="189">
        <v>0.36165641110789198</v>
      </c>
      <c r="S405" s="189">
        <v>9.3552824423067307E-3</v>
      </c>
      <c r="T405" s="189">
        <v>0</v>
      </c>
      <c r="U405" s="189">
        <v>0</v>
      </c>
      <c r="V405" s="189">
        <v>0</v>
      </c>
      <c r="W405" s="189"/>
      <c r="X405" s="90"/>
      <c r="Y405" s="188"/>
      <c r="Z405" s="188"/>
      <c r="AA405" s="188"/>
      <c r="AB405" s="188"/>
      <c r="AC405" s="188"/>
      <c r="AD405" s="190"/>
      <c r="AE405" s="189"/>
    </row>
    <row r="406" spans="1:31" ht="21.25" customHeight="1" x14ac:dyDescent="0.15">
      <c r="A406" s="10" t="s">
        <v>664</v>
      </c>
      <c r="B406" s="186" t="s">
        <v>850</v>
      </c>
      <c r="C406" s="187">
        <v>33</v>
      </c>
      <c r="D406" s="186" t="s">
        <v>824</v>
      </c>
      <c r="E406" s="90">
        <v>82.112499999999997</v>
      </c>
      <c r="F406" s="188">
        <v>13.944970818048599</v>
      </c>
      <c r="G406" s="189">
        <v>7.4701262839839994E-2</v>
      </c>
      <c r="H406" s="189">
        <v>0.22025420349793001</v>
      </c>
      <c r="I406" s="189">
        <v>0.29495546633776998</v>
      </c>
      <c r="J406" s="189">
        <v>1.1490710750822399</v>
      </c>
      <c r="K406" s="189">
        <v>2.0943155115434298E-3</v>
      </c>
      <c r="L406" s="189">
        <v>5.0390765393383196E-3</v>
      </c>
      <c r="M406" s="189">
        <v>8.2254302531766302E-4</v>
      </c>
      <c r="N406" s="189">
        <v>1.1141560756030299E-2</v>
      </c>
      <c r="O406" s="189">
        <v>0.57647565552291102</v>
      </c>
      <c r="P406" s="189">
        <v>0.82994481033800904</v>
      </c>
      <c r="Q406" s="189">
        <v>3.0152295020958401E-2</v>
      </c>
      <c r="R406" s="189">
        <v>0.27153545050904998</v>
      </c>
      <c r="S406" s="189">
        <v>1.24370247268836E-2</v>
      </c>
      <c r="T406" s="189">
        <v>6.2610977213681096</v>
      </c>
      <c r="U406" s="189">
        <v>5.54588022614801</v>
      </c>
      <c r="V406" s="189">
        <v>0.53028791526499697</v>
      </c>
      <c r="W406" s="189"/>
      <c r="X406" s="90"/>
      <c r="Y406" s="188"/>
      <c r="Z406" s="188"/>
      <c r="AA406" s="188"/>
      <c r="AB406" s="188"/>
      <c r="AC406" s="188"/>
      <c r="AD406" s="190"/>
      <c r="AE406" s="189"/>
    </row>
    <row r="407" spans="1:31" ht="21.25" customHeight="1" x14ac:dyDescent="0.15">
      <c r="A407" s="10" t="s">
        <v>672</v>
      </c>
      <c r="B407" s="186" t="s">
        <v>851</v>
      </c>
      <c r="C407" s="187">
        <v>27</v>
      </c>
      <c r="D407" s="186" t="s">
        <v>839</v>
      </c>
      <c r="E407" s="90">
        <v>79.712500000000006</v>
      </c>
      <c r="F407" s="188">
        <v>12.7838186278744</v>
      </c>
      <c r="G407" s="189">
        <v>0.14791466844200901</v>
      </c>
      <c r="H407" s="189">
        <v>0.146031439793742</v>
      </c>
      <c r="I407" s="189">
        <v>0.29394610823575101</v>
      </c>
      <c r="J407" s="189">
        <v>1.40048315229368</v>
      </c>
      <c r="K407" s="189">
        <v>4.0201246443037999E-4</v>
      </c>
      <c r="L407" s="189">
        <v>1.0742050405665999E-3</v>
      </c>
      <c r="M407" s="189">
        <v>1.6280675042208401E-2</v>
      </c>
      <c r="N407" s="189">
        <v>1.7683881188194101E-2</v>
      </c>
      <c r="O407" s="189">
        <v>0.61938373682375503</v>
      </c>
      <c r="P407" s="189">
        <v>1.9359696908686199</v>
      </c>
      <c r="Q407" s="189">
        <v>1.25749024821687E-2</v>
      </c>
      <c r="R407" s="189">
        <v>0.35816005591703298</v>
      </c>
      <c r="S407" s="189">
        <v>2.5703095632711299E-2</v>
      </c>
      <c r="T407" s="189">
        <v>3.4183022264640699</v>
      </c>
      <c r="U407" s="189">
        <v>3.6843782516862</v>
      </c>
      <c r="V407" s="189">
        <v>0.48126932317731003</v>
      </c>
      <c r="W407" s="189"/>
      <c r="X407" s="90"/>
      <c r="Y407" s="188"/>
      <c r="Z407" s="188"/>
      <c r="AA407" s="188"/>
      <c r="AB407" s="188"/>
      <c r="AC407" s="188"/>
      <c r="AD407" s="190"/>
      <c r="AE407" s="189"/>
    </row>
    <row r="408" spans="1:31" ht="21.25" customHeight="1" x14ac:dyDescent="0.15">
      <c r="A408" s="10" t="s">
        <v>482</v>
      </c>
      <c r="B408" s="186" t="s">
        <v>858</v>
      </c>
      <c r="C408" s="187">
        <v>21</v>
      </c>
      <c r="D408" s="186" t="s">
        <v>827</v>
      </c>
      <c r="E408" s="90">
        <v>70</v>
      </c>
      <c r="F408" s="188">
        <v>16.870116309436099</v>
      </c>
      <c r="G408" s="189">
        <v>9.6383043139728203E-2</v>
      </c>
      <c r="H408" s="189">
        <v>0.19558494932512599</v>
      </c>
      <c r="I408" s="189">
        <v>0.291967992464854</v>
      </c>
      <c r="J408" s="189">
        <v>1.18023285920528</v>
      </c>
      <c r="K408" s="189">
        <v>1.6843386847182801E-4</v>
      </c>
      <c r="L408" s="189">
        <v>1.22634431118259E-3</v>
      </c>
      <c r="M408" s="189">
        <v>3.5969422674001498E-4</v>
      </c>
      <c r="N408" s="189">
        <v>1.17268809736337E-3</v>
      </c>
      <c r="O408" s="189">
        <v>1.1415830799622999</v>
      </c>
      <c r="P408" s="189">
        <v>0.96932105463241702</v>
      </c>
      <c r="Q408" s="189">
        <v>-7.2398069064537303E-3</v>
      </c>
      <c r="R408" s="189">
        <v>0.39389515713943701</v>
      </c>
      <c r="S408" s="189">
        <v>1.3897571645097501E-2</v>
      </c>
      <c r="T408" s="189">
        <v>0</v>
      </c>
      <c r="U408" s="189">
        <v>0</v>
      </c>
      <c r="V408" s="189">
        <v>0</v>
      </c>
      <c r="W408" s="189"/>
      <c r="X408" s="90"/>
      <c r="Y408" s="188"/>
      <c r="Z408" s="188"/>
      <c r="AA408" s="188"/>
      <c r="AB408" s="188"/>
      <c r="AC408" s="188"/>
      <c r="AD408" s="190"/>
      <c r="AE408" s="189"/>
    </row>
    <row r="409" spans="1:31" ht="21.25" customHeight="1" x14ac:dyDescent="0.15">
      <c r="A409" s="10" t="s">
        <v>462</v>
      </c>
      <c r="B409" s="186" t="s">
        <v>855</v>
      </c>
      <c r="C409" s="187">
        <v>25</v>
      </c>
      <c r="D409" s="186" t="s">
        <v>827</v>
      </c>
      <c r="E409" s="90">
        <v>71.944999999999993</v>
      </c>
      <c r="F409" s="188">
        <v>18.983406655728899</v>
      </c>
      <c r="G409" s="189">
        <v>4.5712536043295601E-2</v>
      </c>
      <c r="H409" s="189">
        <v>0.245107559151995</v>
      </c>
      <c r="I409" s="189">
        <v>0.29082009519529101</v>
      </c>
      <c r="J409" s="189">
        <v>1.0091886096903799</v>
      </c>
      <c r="K409" s="189">
        <v>1.2720174381739401E-4</v>
      </c>
      <c r="L409" s="189">
        <v>1.41322825739028E-3</v>
      </c>
      <c r="M409" s="189">
        <v>7.0299345237398502E-4</v>
      </c>
      <c r="N409" s="189">
        <v>2.33061455308829E-3</v>
      </c>
      <c r="O409" s="189">
        <v>1.4161288834224499</v>
      </c>
      <c r="P409" s="189">
        <v>1.40506721561241</v>
      </c>
      <c r="Q409" s="189">
        <v>2.20428420803035E-2</v>
      </c>
      <c r="R409" s="189">
        <v>0.35827418581209097</v>
      </c>
      <c r="S409" s="189">
        <v>6.62773679004342E-3</v>
      </c>
      <c r="T409" s="189">
        <v>0</v>
      </c>
      <c r="U409" s="189">
        <v>0</v>
      </c>
      <c r="V409" s="189">
        <v>0</v>
      </c>
      <c r="W409" s="189"/>
      <c r="X409" s="90"/>
      <c r="Y409" s="188"/>
      <c r="Z409" s="188"/>
      <c r="AA409" s="188"/>
      <c r="AB409" s="188"/>
      <c r="AC409" s="188"/>
      <c r="AD409" s="190"/>
      <c r="AE409" s="189"/>
    </row>
    <row r="410" spans="1:31" ht="21.25" customHeight="1" x14ac:dyDescent="0.15">
      <c r="A410" s="10" t="s">
        <v>717</v>
      </c>
      <c r="B410" s="186" t="s">
        <v>864</v>
      </c>
      <c r="C410" s="187">
        <v>25</v>
      </c>
      <c r="D410" s="186" t="s">
        <v>825</v>
      </c>
      <c r="E410" s="90">
        <v>77.722499999999997</v>
      </c>
      <c r="F410" s="188">
        <v>11.629529540339201</v>
      </c>
      <c r="G410" s="189">
        <v>0.120224060163667</v>
      </c>
      <c r="H410" s="189">
        <v>0.16925572276682299</v>
      </c>
      <c r="I410" s="189">
        <v>0.28947978293048998</v>
      </c>
      <c r="J410" s="189">
        <v>0.99359093324278103</v>
      </c>
      <c r="K410" s="189">
        <v>4.3521380522575402E-4</v>
      </c>
      <c r="L410" s="189">
        <v>9.5187948443513002E-4</v>
      </c>
      <c r="M410" s="189">
        <v>5.6808180360054103E-3</v>
      </c>
      <c r="N410" s="189">
        <v>6.7405685405901999E-3</v>
      </c>
      <c r="O410" s="189">
        <v>0.55828658913748497</v>
      </c>
      <c r="P410" s="189">
        <v>2.5988434842311801</v>
      </c>
      <c r="Q410" s="189">
        <v>-2.3469151637067101E-2</v>
      </c>
      <c r="R410" s="189">
        <v>0.43053464391447999</v>
      </c>
      <c r="S410" s="189">
        <v>1.8887655746265702E-2</v>
      </c>
      <c r="T410" s="189">
        <v>0.10729747334390601</v>
      </c>
      <c r="U410" s="189">
        <v>0.24842873032363599</v>
      </c>
      <c r="V410" s="189">
        <v>0.301629377419116</v>
      </c>
      <c r="W410" s="189"/>
      <c r="X410" s="90"/>
      <c r="Y410" s="188"/>
      <c r="Z410" s="188"/>
      <c r="AA410" s="188"/>
      <c r="AB410" s="188"/>
      <c r="AC410" s="188"/>
      <c r="AD410" s="190"/>
      <c r="AE410" s="189"/>
    </row>
    <row r="411" spans="1:31" ht="21.25" customHeight="1" x14ac:dyDescent="0.15">
      <c r="A411" s="10" t="s">
        <v>741</v>
      </c>
      <c r="B411" s="186" t="s">
        <v>868</v>
      </c>
      <c r="C411" s="187">
        <v>25</v>
      </c>
      <c r="D411" s="186" t="s">
        <v>839</v>
      </c>
      <c r="E411" s="90">
        <v>70.502499999999998</v>
      </c>
      <c r="F411" s="188">
        <v>12.0686426312477</v>
      </c>
      <c r="G411" s="189">
        <v>0.16829800051576299</v>
      </c>
      <c r="H411" s="189">
        <v>0.120629788490474</v>
      </c>
      <c r="I411" s="189">
        <v>0.288927789006237</v>
      </c>
      <c r="J411" s="189">
        <v>0.99916583077434495</v>
      </c>
      <c r="K411" s="189">
        <v>2.14863401790599E-3</v>
      </c>
      <c r="L411" s="189">
        <v>7.5715754287559696E-3</v>
      </c>
      <c r="M411" s="189">
        <v>3.6885887412140298E-3</v>
      </c>
      <c r="N411" s="189">
        <v>6.0917437948765502E-3</v>
      </c>
      <c r="O411" s="189">
        <v>0.54910904104443303</v>
      </c>
      <c r="P411" s="189">
        <v>0.72724927607516598</v>
      </c>
      <c r="Q411" s="189">
        <v>-0.12517560759952701</v>
      </c>
      <c r="R411" s="189">
        <v>0.303174043885093</v>
      </c>
      <c r="S411" s="189">
        <v>2.0855071487634099E-2</v>
      </c>
      <c r="T411" s="189">
        <v>1.90795688295528</v>
      </c>
      <c r="U411" s="189">
        <v>2.6101586695308598</v>
      </c>
      <c r="V411" s="189">
        <v>0.42229041306953802</v>
      </c>
      <c r="W411" s="189"/>
      <c r="X411" s="90"/>
      <c r="Y411" s="188"/>
      <c r="Z411" s="188"/>
      <c r="AA411" s="188"/>
      <c r="AB411" s="188"/>
      <c r="AC411" s="188"/>
      <c r="AD411" s="190"/>
      <c r="AE411" s="189"/>
    </row>
    <row r="412" spans="1:31" ht="21.25" customHeight="1" x14ac:dyDescent="0.15">
      <c r="A412" s="10" t="s">
        <v>683</v>
      </c>
      <c r="B412" s="186" t="s">
        <v>851</v>
      </c>
      <c r="C412" s="187">
        <v>33</v>
      </c>
      <c r="D412" s="186" t="s">
        <v>848</v>
      </c>
      <c r="E412" s="90">
        <v>79.802499999999995</v>
      </c>
      <c r="F412" s="188">
        <v>12.6765363656777</v>
      </c>
      <c r="G412" s="189">
        <v>0.130901206151215</v>
      </c>
      <c r="H412" s="189">
        <v>0.156680842896322</v>
      </c>
      <c r="I412" s="189">
        <v>0.28758204904753698</v>
      </c>
      <c r="J412" s="189">
        <v>1.4154258449224999</v>
      </c>
      <c r="K412" s="189">
        <v>1.6787787495857999E-2</v>
      </c>
      <c r="L412" s="189">
        <v>4.8439459625391701E-2</v>
      </c>
      <c r="M412" s="189">
        <v>8.5158860789095497E-6</v>
      </c>
      <c r="N412" s="189">
        <v>1.4169421284676501E-5</v>
      </c>
      <c r="O412" s="189">
        <v>0.36911227598999402</v>
      </c>
      <c r="P412" s="189">
        <v>1.2399301487365</v>
      </c>
      <c r="Q412" s="189">
        <v>1.6283190320416498E-2</v>
      </c>
      <c r="R412" s="189">
        <v>0.29430935238749001</v>
      </c>
      <c r="S412" s="189">
        <v>2.2746670466026402E-2</v>
      </c>
      <c r="T412" s="189">
        <v>0.118059923064063</v>
      </c>
      <c r="U412" s="189">
        <v>0.151209479033901</v>
      </c>
      <c r="V412" s="189">
        <v>0.43844537160264302</v>
      </c>
      <c r="W412" s="189"/>
      <c r="X412" s="90"/>
      <c r="Y412" s="188"/>
      <c r="Z412" s="188"/>
      <c r="AA412" s="188"/>
      <c r="AB412" s="188"/>
      <c r="AC412" s="188"/>
      <c r="AD412" s="190"/>
      <c r="AE412" s="189"/>
    </row>
    <row r="413" spans="1:31" ht="21.25" customHeight="1" x14ac:dyDescent="0.15">
      <c r="A413" s="10" t="s">
        <v>430</v>
      </c>
      <c r="B413" s="186" t="s">
        <v>850</v>
      </c>
      <c r="C413" s="187">
        <v>24</v>
      </c>
      <c r="D413" s="186" t="s">
        <v>827</v>
      </c>
      <c r="E413" s="90">
        <v>71.484999999999999</v>
      </c>
      <c r="F413" s="188">
        <v>18.518178546683298</v>
      </c>
      <c r="G413" s="189">
        <v>7.3023267917235499E-2</v>
      </c>
      <c r="H413" s="189">
        <v>0.21434523265803901</v>
      </c>
      <c r="I413" s="189">
        <v>0.28736850057527502</v>
      </c>
      <c r="J413" s="189">
        <v>1.0965834733136599</v>
      </c>
      <c r="K413" s="189">
        <v>4.7336774845724301E-5</v>
      </c>
      <c r="L413" s="189">
        <v>3.6742014375954998E-4</v>
      </c>
      <c r="M413" s="189">
        <v>2.8197974536429699E-4</v>
      </c>
      <c r="N413" s="189">
        <v>6.3394467765065902E-3</v>
      </c>
      <c r="O413" s="189">
        <v>1.6507991349970199</v>
      </c>
      <c r="P413" s="189">
        <v>1.5810091860986699</v>
      </c>
      <c r="Q413" s="189">
        <v>1.5302080772742E-2</v>
      </c>
      <c r="R413" s="189">
        <v>0.66483442559788197</v>
      </c>
      <c r="S413" s="189">
        <v>1.21576550944215E-2</v>
      </c>
      <c r="T413" s="189">
        <v>0</v>
      </c>
      <c r="U413" s="189">
        <v>0</v>
      </c>
      <c r="V413" s="189">
        <v>0</v>
      </c>
      <c r="W413" s="189"/>
      <c r="X413" s="90"/>
      <c r="Y413" s="188"/>
      <c r="Z413" s="188"/>
      <c r="AA413" s="188"/>
      <c r="AB413" s="188"/>
      <c r="AC413" s="188"/>
      <c r="AD413" s="190"/>
      <c r="AE413" s="189"/>
    </row>
    <row r="414" spans="1:31" ht="21.25" customHeight="1" x14ac:dyDescent="0.15">
      <c r="A414" s="10" t="s">
        <v>716</v>
      </c>
      <c r="B414" s="186" t="s">
        <v>871</v>
      </c>
      <c r="C414" s="187">
        <v>25</v>
      </c>
      <c r="D414" s="186" t="s">
        <v>826</v>
      </c>
      <c r="E414" s="90">
        <v>68.885000000000005</v>
      </c>
      <c r="F414" s="188">
        <v>11.8783617199582</v>
      </c>
      <c r="G414" s="189">
        <v>0.11785700462851099</v>
      </c>
      <c r="H414" s="189">
        <v>0.16904286867090401</v>
      </c>
      <c r="I414" s="189">
        <v>0.28689987329941502</v>
      </c>
      <c r="J414" s="189">
        <v>1.2107126157044501</v>
      </c>
      <c r="K414" s="189">
        <v>4.37346968671773E-3</v>
      </c>
      <c r="L414" s="189">
        <v>9.3159959279807292E-3</v>
      </c>
      <c r="M414" s="189">
        <v>1.02650344114572E-5</v>
      </c>
      <c r="N414" s="189">
        <v>1.6921805669349699E-5</v>
      </c>
      <c r="O414" s="189">
        <v>0.68058688353143304</v>
      </c>
      <c r="P414" s="189">
        <v>3.6153938061641702</v>
      </c>
      <c r="Q414" s="189">
        <v>-0.100740655316225</v>
      </c>
      <c r="R414" s="189">
        <v>0.78316601446975997</v>
      </c>
      <c r="S414" s="189">
        <v>1.6944887168805399E-2</v>
      </c>
      <c r="T414" s="189">
        <v>0.17188347935537401</v>
      </c>
      <c r="U414" s="189">
        <v>0.35902854014416802</v>
      </c>
      <c r="V414" s="189">
        <v>0.32375134305190201</v>
      </c>
      <c r="W414" s="189"/>
      <c r="X414" s="90"/>
      <c r="Y414" s="188"/>
      <c r="Z414" s="188"/>
      <c r="AA414" s="188"/>
      <c r="AB414" s="188"/>
      <c r="AC414" s="188"/>
      <c r="AD414" s="190"/>
      <c r="AE414" s="189"/>
    </row>
    <row r="415" spans="1:31" ht="21.25" customHeight="1" x14ac:dyDescent="0.15">
      <c r="A415" s="10" t="s">
        <v>387</v>
      </c>
      <c r="B415" s="186" t="s">
        <v>864</v>
      </c>
      <c r="C415" s="187">
        <v>30</v>
      </c>
      <c r="D415" s="186" t="s">
        <v>827</v>
      </c>
      <c r="E415" s="90">
        <v>83.48</v>
      </c>
      <c r="F415" s="188">
        <v>20.8332519961446</v>
      </c>
      <c r="G415" s="189">
        <v>4.30497937944508E-2</v>
      </c>
      <c r="H415" s="189">
        <v>0.24378828309533601</v>
      </c>
      <c r="I415" s="189">
        <v>0.28683807688978702</v>
      </c>
      <c r="J415" s="189">
        <v>0.86031959076708997</v>
      </c>
      <c r="K415" s="189">
        <v>8.1095610827135802E-5</v>
      </c>
      <c r="L415" s="189">
        <v>6.5208385517782495E-4</v>
      </c>
      <c r="M415" s="189">
        <v>2.5785342164027499E-4</v>
      </c>
      <c r="N415" s="189">
        <v>1.4615367201308699E-3</v>
      </c>
      <c r="O415" s="189">
        <v>1.67292452234721</v>
      </c>
      <c r="P415" s="189">
        <v>0.97917985879497804</v>
      </c>
      <c r="Q415" s="189">
        <v>2.7147118668824398E-3</v>
      </c>
      <c r="R415" s="189">
        <v>0.58736826668837805</v>
      </c>
      <c r="S415" s="189">
        <v>6.76328585168714E-3</v>
      </c>
      <c r="T415" s="189">
        <v>0</v>
      </c>
      <c r="U415" s="189">
        <v>0</v>
      </c>
      <c r="V415" s="189">
        <v>0</v>
      </c>
      <c r="W415" s="189"/>
      <c r="X415" s="90"/>
      <c r="Y415" s="188"/>
      <c r="Z415" s="188"/>
      <c r="AA415" s="188"/>
      <c r="AB415" s="188"/>
      <c r="AC415" s="188"/>
      <c r="AD415" s="190"/>
      <c r="AE415" s="189"/>
    </row>
    <row r="416" spans="1:31" ht="21.25" customHeight="1" x14ac:dyDescent="0.15">
      <c r="A416" s="10" t="s">
        <v>470</v>
      </c>
      <c r="B416" s="186" t="s">
        <v>855</v>
      </c>
      <c r="C416" s="187">
        <v>28</v>
      </c>
      <c r="D416" s="186" t="s">
        <v>827</v>
      </c>
      <c r="E416" s="90">
        <v>76.587500000000006</v>
      </c>
      <c r="F416" s="188">
        <v>18.331920631986801</v>
      </c>
      <c r="G416" s="189">
        <v>4.1078971225637903E-2</v>
      </c>
      <c r="H416" s="189">
        <v>0.244951233469028</v>
      </c>
      <c r="I416" s="189">
        <v>0.286030204694666</v>
      </c>
      <c r="J416" s="189">
        <v>0.90087967871906105</v>
      </c>
      <c r="K416" s="189">
        <v>4.8865471402511001E-5</v>
      </c>
      <c r="L416" s="189">
        <v>9.2879714776016205E-4</v>
      </c>
      <c r="M416" s="189">
        <v>2.6827842556049401E-4</v>
      </c>
      <c r="N416" s="189">
        <v>1.05124225428094E-3</v>
      </c>
      <c r="O416" s="189">
        <v>1.2033022568721099</v>
      </c>
      <c r="P416" s="189">
        <v>0.64150766528240699</v>
      </c>
      <c r="Q416" s="189">
        <v>2.7156945790650002E-3</v>
      </c>
      <c r="R416" s="189">
        <v>0.29190570507737301</v>
      </c>
      <c r="S416" s="189">
        <v>5.95592877698647E-3</v>
      </c>
      <c r="T416" s="189">
        <v>0</v>
      </c>
      <c r="U416" s="189">
        <v>0</v>
      </c>
      <c r="V416" s="189">
        <v>0</v>
      </c>
      <c r="W416" s="189"/>
      <c r="X416" s="90"/>
      <c r="Y416" s="188"/>
      <c r="Z416" s="188"/>
      <c r="AA416" s="188"/>
      <c r="AB416" s="188"/>
      <c r="AC416" s="188"/>
      <c r="AD416" s="190"/>
      <c r="AE416" s="189"/>
    </row>
    <row r="417" spans="1:31" ht="21.25" customHeight="1" x14ac:dyDescent="0.15">
      <c r="A417" s="10" t="s">
        <v>396</v>
      </c>
      <c r="B417" s="186" t="s">
        <v>863</v>
      </c>
      <c r="C417" s="187">
        <v>29</v>
      </c>
      <c r="D417" s="186" t="s">
        <v>827</v>
      </c>
      <c r="E417" s="90">
        <v>78.977500000000006</v>
      </c>
      <c r="F417" s="188">
        <v>20.790505645966</v>
      </c>
      <c r="G417" s="189">
        <v>3.9406084741837002E-2</v>
      </c>
      <c r="H417" s="189">
        <v>0.24640009076525801</v>
      </c>
      <c r="I417" s="189">
        <v>0.28580617550709497</v>
      </c>
      <c r="J417" s="189">
        <v>1.0394500508976501</v>
      </c>
      <c r="K417" s="189">
        <v>1.5913240237902E-4</v>
      </c>
      <c r="L417" s="189">
        <v>2.6169022657757299E-3</v>
      </c>
      <c r="M417" s="189">
        <v>1.95598485984061E-4</v>
      </c>
      <c r="N417" s="189">
        <v>7.9226412808118402E-3</v>
      </c>
      <c r="O417" s="189">
        <v>1.62277309634774</v>
      </c>
      <c r="P417" s="189">
        <v>0.95344014417887801</v>
      </c>
      <c r="Q417" s="189">
        <v>3.6539925514914397E-2</v>
      </c>
      <c r="R417" s="189">
        <v>0.59524989160001895</v>
      </c>
      <c r="S417" s="189">
        <v>6.9900553881933397E-3</v>
      </c>
      <c r="T417" s="189">
        <v>0</v>
      </c>
      <c r="U417" s="189">
        <v>0</v>
      </c>
      <c r="V417" s="189">
        <v>0</v>
      </c>
      <c r="W417" s="189"/>
      <c r="X417" s="90"/>
      <c r="Y417" s="188"/>
      <c r="Z417" s="188"/>
      <c r="AA417" s="188"/>
      <c r="AB417" s="188"/>
      <c r="AC417" s="188"/>
      <c r="AD417" s="190"/>
      <c r="AE417" s="189"/>
    </row>
    <row r="418" spans="1:31" ht="21.25" customHeight="1" x14ac:dyDescent="0.15">
      <c r="A418" s="10" t="s">
        <v>710</v>
      </c>
      <c r="B418" s="186" t="s">
        <v>849</v>
      </c>
      <c r="C418" s="187">
        <v>41</v>
      </c>
      <c r="D418" s="186" t="s">
        <v>826</v>
      </c>
      <c r="E418" s="90">
        <v>79.317499999999995</v>
      </c>
      <c r="F418" s="188">
        <v>11.17809657335</v>
      </c>
      <c r="G418" s="189">
        <v>0.15090565524206601</v>
      </c>
      <c r="H418" s="189">
        <v>0.13411585845853999</v>
      </c>
      <c r="I418" s="189">
        <v>0.28502151370060602</v>
      </c>
      <c r="J418" s="189">
        <v>1.14153607649639</v>
      </c>
      <c r="K418" s="189">
        <v>1.9337571727026E-2</v>
      </c>
      <c r="L418" s="189">
        <v>4.1006247369066003E-2</v>
      </c>
      <c r="M418" s="189">
        <v>0</v>
      </c>
      <c r="N418" s="189">
        <v>0</v>
      </c>
      <c r="O418" s="189">
        <v>0.29749570414547299</v>
      </c>
      <c r="P418" s="189">
        <v>0.58425745788138195</v>
      </c>
      <c r="Q418" s="189">
        <v>1.0475959223628299E-3</v>
      </c>
      <c r="R418" s="189">
        <v>0.55417987382350897</v>
      </c>
      <c r="S418" s="189">
        <v>2.3837685397203899E-2</v>
      </c>
      <c r="T418" s="189">
        <v>9.0211912092632296E-2</v>
      </c>
      <c r="U418" s="189">
        <v>0.22014154887095699</v>
      </c>
      <c r="V418" s="189">
        <v>0.290674741672096</v>
      </c>
      <c r="W418" s="189"/>
      <c r="X418" s="90"/>
      <c r="Y418" s="188"/>
      <c r="Z418" s="188"/>
      <c r="AA418" s="188"/>
      <c r="AB418" s="188"/>
      <c r="AC418" s="188"/>
      <c r="AD418" s="190"/>
      <c r="AE418" s="189"/>
    </row>
    <row r="419" spans="1:31" ht="21.25" customHeight="1" x14ac:dyDescent="0.15">
      <c r="A419" s="10" t="s">
        <v>767</v>
      </c>
      <c r="B419" s="186" t="s">
        <v>836</v>
      </c>
      <c r="C419" s="187">
        <v>24</v>
      </c>
      <c r="D419" s="186" t="s">
        <v>824</v>
      </c>
      <c r="E419" s="90">
        <v>59.96</v>
      </c>
      <c r="F419" s="188">
        <v>12.480752040155</v>
      </c>
      <c r="G419" s="189">
        <v>0.12765112668753101</v>
      </c>
      <c r="H419" s="189">
        <v>0.15704670055598</v>
      </c>
      <c r="I419" s="189">
        <v>0.284697827243511</v>
      </c>
      <c r="J419" s="189">
        <v>0.82064615331949897</v>
      </c>
      <c r="K419" s="189">
        <v>2.7502724274579803E-4</v>
      </c>
      <c r="L419" s="189">
        <v>6.0193954030630405E-4</v>
      </c>
      <c r="M419" s="189">
        <v>2.4184000908943201E-3</v>
      </c>
      <c r="N419" s="189">
        <v>4.0059305426541096E-3</v>
      </c>
      <c r="O419" s="189">
        <v>0.57831469545718395</v>
      </c>
      <c r="P419" s="189">
        <v>1.18116444476477</v>
      </c>
      <c r="Q419" s="189">
        <v>6.8558812378503795E-2</v>
      </c>
      <c r="R419" s="189">
        <v>0.30651032829335101</v>
      </c>
      <c r="S419" s="189">
        <v>2.2408077189462802E-2</v>
      </c>
      <c r="T419" s="189">
        <v>2.6601958167293098</v>
      </c>
      <c r="U419" s="189">
        <v>2.85724735870925</v>
      </c>
      <c r="V419" s="189">
        <v>0.48214285714285698</v>
      </c>
      <c r="W419" s="189"/>
      <c r="X419" s="90"/>
      <c r="Y419" s="188"/>
      <c r="Z419" s="188"/>
      <c r="AA419" s="188"/>
      <c r="AB419" s="188"/>
      <c r="AC419" s="188"/>
      <c r="AD419" s="190"/>
      <c r="AE419" s="189"/>
    </row>
    <row r="420" spans="1:31" ht="21.25" customHeight="1" x14ac:dyDescent="0.15">
      <c r="A420" s="10" t="s">
        <v>405</v>
      </c>
      <c r="B420" s="186" t="s">
        <v>840</v>
      </c>
      <c r="C420" s="187">
        <v>26</v>
      </c>
      <c r="D420" s="186" t="s">
        <v>827</v>
      </c>
      <c r="E420" s="90">
        <v>73.81</v>
      </c>
      <c r="F420" s="188">
        <v>18.479025284455599</v>
      </c>
      <c r="G420" s="189">
        <v>6.1156299212523198E-2</v>
      </c>
      <c r="H420" s="189">
        <v>0.22253111636796799</v>
      </c>
      <c r="I420" s="189">
        <v>0.28368741558049099</v>
      </c>
      <c r="J420" s="189">
        <v>1.5570806858376001</v>
      </c>
      <c r="K420" s="189">
        <v>8.37825572616083E-6</v>
      </c>
      <c r="L420" s="189">
        <v>3.2428752072846303E-5</v>
      </c>
      <c r="M420" s="189">
        <v>5.9681795808615601E-4</v>
      </c>
      <c r="N420" s="189">
        <v>4.3077746488495499E-3</v>
      </c>
      <c r="O420" s="189">
        <v>1.2863787790452099</v>
      </c>
      <c r="P420" s="189">
        <v>1.06386422347384</v>
      </c>
      <c r="Q420" s="189">
        <v>-1.73315688611618E-2</v>
      </c>
      <c r="R420" s="189">
        <v>0.92648629173528796</v>
      </c>
      <c r="S420" s="189">
        <v>8.5514570939757301E-3</v>
      </c>
      <c r="T420" s="189">
        <v>0</v>
      </c>
      <c r="U420" s="189">
        <v>0</v>
      </c>
      <c r="V420" s="189">
        <v>0</v>
      </c>
      <c r="W420" s="189"/>
      <c r="X420" s="90"/>
      <c r="Y420" s="188"/>
      <c r="Z420" s="188"/>
      <c r="AA420" s="188"/>
      <c r="AB420" s="188"/>
      <c r="AC420" s="188"/>
      <c r="AD420" s="190"/>
      <c r="AE420" s="189"/>
    </row>
    <row r="421" spans="1:31" ht="21.25" customHeight="1" x14ac:dyDescent="0.15">
      <c r="A421" s="10" t="s">
        <v>721</v>
      </c>
      <c r="B421" s="186" t="s">
        <v>863</v>
      </c>
      <c r="C421" s="187">
        <v>31</v>
      </c>
      <c r="D421" s="186" t="s">
        <v>848</v>
      </c>
      <c r="E421" s="90">
        <v>79.075000000000003</v>
      </c>
      <c r="F421" s="188">
        <v>11.784238587733601</v>
      </c>
      <c r="G421" s="189">
        <v>9.2719164495291204E-2</v>
      </c>
      <c r="H421" s="189">
        <v>0.190321604433311</v>
      </c>
      <c r="I421" s="189">
        <v>0.28304076892860203</v>
      </c>
      <c r="J421" s="189">
        <v>0.94299592846301294</v>
      </c>
      <c r="K421" s="189">
        <v>1.11839153254204E-2</v>
      </c>
      <c r="L421" s="189">
        <v>4.0130177631127702E-2</v>
      </c>
      <c r="M421" s="189">
        <v>1.13765085157583E-4</v>
      </c>
      <c r="N421" s="189">
        <v>1.9578454689349399E-4</v>
      </c>
      <c r="O421" s="189">
        <v>0.35206067593706702</v>
      </c>
      <c r="P421" s="189">
        <v>0.41039455794087298</v>
      </c>
      <c r="Q421" s="189">
        <v>1.64195565212717E-3</v>
      </c>
      <c r="R421" s="189">
        <v>0.18607379606959101</v>
      </c>
      <c r="S421" s="189">
        <v>1.6447005573253601E-2</v>
      </c>
      <c r="T421" s="189">
        <v>4.12179335735555E-2</v>
      </c>
      <c r="U421" s="189">
        <v>4.9859766695600397E-2</v>
      </c>
      <c r="V421" s="189">
        <v>0.45255790881573499</v>
      </c>
      <c r="W421" s="189"/>
      <c r="X421" s="90"/>
      <c r="Y421" s="189"/>
      <c r="Z421" s="189"/>
      <c r="AA421" s="189"/>
      <c r="AB421" s="189"/>
      <c r="AC421" s="188"/>
      <c r="AD421" s="190"/>
      <c r="AE421" s="189"/>
    </row>
    <row r="422" spans="1:31" ht="21.25" customHeight="1" x14ac:dyDescent="0.15">
      <c r="A422" s="10" t="s">
        <v>323</v>
      </c>
      <c r="B422" s="186" t="s">
        <v>858</v>
      </c>
      <c r="C422" s="187">
        <v>33</v>
      </c>
      <c r="D422" s="186" t="s">
        <v>827</v>
      </c>
      <c r="E422" s="90">
        <v>80.667500000000004</v>
      </c>
      <c r="F422" s="188">
        <v>22.115375914658902</v>
      </c>
      <c r="G422" s="189">
        <v>8.7707775198351906E-2</v>
      </c>
      <c r="H422" s="189">
        <v>0.19459631830590199</v>
      </c>
      <c r="I422" s="189">
        <v>0.28230409350425401</v>
      </c>
      <c r="J422" s="189">
        <v>1.4138905450647199</v>
      </c>
      <c r="K422" s="189">
        <v>5.2868214336149499E-5</v>
      </c>
      <c r="L422" s="189">
        <v>6.7751106798079699E-4</v>
      </c>
      <c r="M422" s="189">
        <v>1.92328899271141E-3</v>
      </c>
      <c r="N422" s="189">
        <v>8.3609652051449806E-3</v>
      </c>
      <c r="O422" s="189">
        <v>2.1183917453952201</v>
      </c>
      <c r="P422" s="189">
        <v>1.2052639735352899</v>
      </c>
      <c r="Q422" s="189">
        <v>-1.9421762955098801E-2</v>
      </c>
      <c r="R422" s="189">
        <v>0.283957506258745</v>
      </c>
      <c r="S422" s="189">
        <v>1.2646675700871E-2</v>
      </c>
      <c r="T422" s="189">
        <v>0</v>
      </c>
      <c r="U422" s="189">
        <v>0</v>
      </c>
      <c r="V422" s="189">
        <v>0</v>
      </c>
      <c r="W422" s="189"/>
      <c r="X422" s="90"/>
      <c r="Y422" s="188"/>
      <c r="Z422" s="188"/>
      <c r="AA422" s="188"/>
      <c r="AB422" s="188"/>
      <c r="AC422" s="188"/>
      <c r="AD422" s="190"/>
      <c r="AE422" s="189"/>
    </row>
    <row r="423" spans="1:31" ht="21.25" customHeight="1" x14ac:dyDescent="0.15">
      <c r="A423" s="10" t="s">
        <v>360</v>
      </c>
      <c r="B423" s="186" t="s">
        <v>869</v>
      </c>
      <c r="C423" s="187">
        <v>31</v>
      </c>
      <c r="D423" s="186" t="s">
        <v>827</v>
      </c>
      <c r="E423" s="90">
        <v>81.61</v>
      </c>
      <c r="F423" s="188">
        <v>20.410812762836802</v>
      </c>
      <c r="G423" s="189">
        <v>4.13469927342573E-2</v>
      </c>
      <c r="H423" s="189">
        <v>0.24017521628899399</v>
      </c>
      <c r="I423" s="189">
        <v>0.28152220902325098</v>
      </c>
      <c r="J423" s="189">
        <v>1.2109011810810499</v>
      </c>
      <c r="K423" s="189">
        <v>8.6570381996094295E-5</v>
      </c>
      <c r="L423" s="189">
        <v>1.0616663438883301E-3</v>
      </c>
      <c r="M423" s="189">
        <v>2.4023921157610199E-4</v>
      </c>
      <c r="N423" s="189">
        <v>3.3225212081702E-3</v>
      </c>
      <c r="O423" s="189">
        <v>1.78397039280183</v>
      </c>
      <c r="P423" s="189">
        <v>1.42885881450846</v>
      </c>
      <c r="Q423" s="189">
        <v>5.2280111428247698E-2</v>
      </c>
      <c r="R423" s="189">
        <v>0.31284518143769302</v>
      </c>
      <c r="S423" s="189">
        <v>6.1925107677353501E-3</v>
      </c>
      <c r="T423" s="189">
        <v>0</v>
      </c>
      <c r="U423" s="189">
        <v>0</v>
      </c>
      <c r="V423" s="189">
        <v>0</v>
      </c>
      <c r="W423" s="189"/>
      <c r="X423" s="90"/>
      <c r="Y423" s="188"/>
      <c r="Z423" s="188"/>
      <c r="AA423" s="188"/>
      <c r="AB423" s="188"/>
      <c r="AC423" s="188"/>
      <c r="AD423" s="190"/>
      <c r="AE423" s="189"/>
    </row>
    <row r="424" spans="1:31" ht="21.25" customHeight="1" x14ac:dyDescent="0.15">
      <c r="A424" s="10" t="s">
        <v>329</v>
      </c>
      <c r="B424" s="186" t="s">
        <v>860</v>
      </c>
      <c r="C424" s="187">
        <v>31</v>
      </c>
      <c r="D424" s="186" t="s">
        <v>827</v>
      </c>
      <c r="E424" s="90">
        <v>83.752499999999998</v>
      </c>
      <c r="F424" s="188">
        <v>20.011130235567901</v>
      </c>
      <c r="G424" s="189">
        <v>7.30275586757205E-2</v>
      </c>
      <c r="H424" s="189">
        <v>0.20830709400375</v>
      </c>
      <c r="I424" s="189">
        <v>0.281334652679471</v>
      </c>
      <c r="J424" s="189">
        <v>1.8406226185335299</v>
      </c>
      <c r="K424" s="189">
        <v>1.9153504685879099E-4</v>
      </c>
      <c r="L424" s="189">
        <v>3.5109685870341099E-3</v>
      </c>
      <c r="M424" s="189">
        <v>2.5244392236219099E-3</v>
      </c>
      <c r="N424" s="189">
        <v>4.79820364681328E-3</v>
      </c>
      <c r="O424" s="189">
        <v>1.43025388888289</v>
      </c>
      <c r="P424" s="189">
        <v>1.42649787139846</v>
      </c>
      <c r="Q424" s="189">
        <v>7.9450627926818507E-2</v>
      </c>
      <c r="R424" s="189">
        <v>0.63493151203007703</v>
      </c>
      <c r="S424" s="189">
        <v>1.25407140322142E-2</v>
      </c>
      <c r="T424" s="189">
        <v>0</v>
      </c>
      <c r="U424" s="189">
        <v>0</v>
      </c>
      <c r="V424" s="189">
        <v>0</v>
      </c>
      <c r="W424" s="189"/>
      <c r="X424" s="90"/>
      <c r="Y424" s="188"/>
      <c r="Z424" s="188"/>
      <c r="AA424" s="188"/>
      <c r="AB424" s="188"/>
      <c r="AC424" s="188"/>
      <c r="AD424" s="190"/>
      <c r="AE424" s="189"/>
    </row>
    <row r="425" spans="1:31" ht="21.25" customHeight="1" x14ac:dyDescent="0.15">
      <c r="A425" s="10" t="s">
        <v>757</v>
      </c>
      <c r="B425" s="186" t="s">
        <v>837</v>
      </c>
      <c r="C425" s="187">
        <v>22</v>
      </c>
      <c r="D425" s="186" t="s">
        <v>824</v>
      </c>
      <c r="E425" s="90">
        <v>62.935000000000002</v>
      </c>
      <c r="F425" s="188">
        <v>11.488731723591499</v>
      </c>
      <c r="G425" s="189">
        <v>0.13359146725119</v>
      </c>
      <c r="H425" s="189">
        <v>0.14655393630373401</v>
      </c>
      <c r="I425" s="189">
        <v>0.28014540355492401</v>
      </c>
      <c r="J425" s="189">
        <v>1.03010013308299</v>
      </c>
      <c r="K425" s="189">
        <v>8.8961004353533598E-3</v>
      </c>
      <c r="L425" s="189">
        <v>1.9742409223893899E-2</v>
      </c>
      <c r="M425" s="189">
        <v>0</v>
      </c>
      <c r="N425" s="189">
        <v>0</v>
      </c>
      <c r="O425" s="189">
        <v>0.46392943149224503</v>
      </c>
      <c r="P425" s="189">
        <v>1.97737933104399</v>
      </c>
      <c r="Q425" s="189">
        <v>6.3837785880857395E-2</v>
      </c>
      <c r="R425" s="189">
        <v>0.32556274328005802</v>
      </c>
      <c r="S425" s="189">
        <v>2.3713746332055901E-2</v>
      </c>
      <c r="T425" s="189">
        <v>1.9051710675728899</v>
      </c>
      <c r="U425" s="189">
        <v>2.5300378827713899</v>
      </c>
      <c r="V425" s="189">
        <v>0.42955610184386001</v>
      </c>
      <c r="W425" s="189"/>
      <c r="X425" s="90"/>
      <c r="Y425" s="188"/>
      <c r="Z425" s="188"/>
      <c r="AA425" s="188"/>
      <c r="AB425" s="188"/>
      <c r="AC425" s="188"/>
      <c r="AD425" s="190"/>
      <c r="AE425" s="189"/>
    </row>
    <row r="426" spans="1:31" ht="21.25" customHeight="1" x14ac:dyDescent="0.15">
      <c r="A426" s="10" t="s">
        <v>302</v>
      </c>
      <c r="B426" s="186" t="s">
        <v>840</v>
      </c>
      <c r="C426" s="187">
        <v>32</v>
      </c>
      <c r="D426" s="186" t="s">
        <v>827</v>
      </c>
      <c r="E426" s="90">
        <v>81.864999999999995</v>
      </c>
      <c r="F426" s="188">
        <v>22.467631136258799</v>
      </c>
      <c r="G426" s="189">
        <v>4.2050066250512497E-2</v>
      </c>
      <c r="H426" s="189">
        <v>0.237890333955593</v>
      </c>
      <c r="I426" s="189">
        <v>0.279940400206106</v>
      </c>
      <c r="J426" s="189">
        <v>1.6646246295682501</v>
      </c>
      <c r="K426" s="189">
        <v>2.12509934221158E-4</v>
      </c>
      <c r="L426" s="189">
        <v>4.7869179342242699E-3</v>
      </c>
      <c r="M426" s="189">
        <v>1.7576404799891601E-4</v>
      </c>
      <c r="N426" s="189">
        <v>8.5703335277737495E-3</v>
      </c>
      <c r="O426" s="189">
        <v>2.0820961032471499</v>
      </c>
      <c r="P426" s="189">
        <v>1.77506844655862</v>
      </c>
      <c r="Q426" s="189">
        <v>-4.72522211128946E-2</v>
      </c>
      <c r="R426" s="189">
        <v>0.63159196671867102</v>
      </c>
      <c r="S426" s="189">
        <v>5.8798413568239604E-3</v>
      </c>
      <c r="T426" s="189">
        <v>0</v>
      </c>
      <c r="U426" s="189">
        <v>3.4687641633033101E-7</v>
      </c>
      <c r="V426" s="189">
        <v>0</v>
      </c>
      <c r="W426" s="189"/>
      <c r="X426" s="90"/>
      <c r="Y426" s="188"/>
      <c r="Z426" s="188"/>
      <c r="AA426" s="188"/>
      <c r="AB426" s="188"/>
      <c r="AC426" s="188"/>
      <c r="AD426" s="190"/>
      <c r="AE426" s="189"/>
    </row>
    <row r="427" spans="1:31" ht="21.25" customHeight="1" x14ac:dyDescent="0.15">
      <c r="A427" s="10" t="s">
        <v>479</v>
      </c>
      <c r="B427" s="186" t="s">
        <v>870</v>
      </c>
      <c r="C427" s="187">
        <v>24</v>
      </c>
      <c r="D427" s="186" t="s">
        <v>827</v>
      </c>
      <c r="E427" s="90">
        <v>75.53</v>
      </c>
      <c r="F427" s="188">
        <v>18.182856888202199</v>
      </c>
      <c r="G427" s="189">
        <v>8.9573569875940298E-2</v>
      </c>
      <c r="H427" s="189">
        <v>0.18950934464892399</v>
      </c>
      <c r="I427" s="189">
        <v>0.279082914524864</v>
      </c>
      <c r="J427" s="189">
        <v>0.80738744067442703</v>
      </c>
      <c r="K427" s="189">
        <v>5.7776719214334298E-4</v>
      </c>
      <c r="L427" s="189">
        <v>1.8393102937957002E-2</v>
      </c>
      <c r="M427" s="189">
        <v>8.6209011275320494E-3</v>
      </c>
      <c r="N427" s="189">
        <v>9.7593996019698908E-3</v>
      </c>
      <c r="O427" s="189">
        <v>1.2484008475259301</v>
      </c>
      <c r="P427" s="189">
        <v>1.07428317765984</v>
      </c>
      <c r="Q427" s="189">
        <v>-8.46323964112526E-2</v>
      </c>
      <c r="R427" s="189">
        <v>0.49622884217429403</v>
      </c>
      <c r="S427" s="189">
        <v>1.2341015133070799E-2</v>
      </c>
      <c r="T427" s="189">
        <v>0</v>
      </c>
      <c r="U427" s="189">
        <v>0</v>
      </c>
      <c r="V427" s="189">
        <v>0</v>
      </c>
      <c r="W427" s="189"/>
      <c r="X427" s="90"/>
      <c r="Y427" s="188"/>
      <c r="Z427" s="188"/>
      <c r="AA427" s="188"/>
      <c r="AB427" s="188"/>
      <c r="AC427" s="188"/>
      <c r="AD427" s="190"/>
      <c r="AE427" s="189"/>
    </row>
    <row r="428" spans="1:31" ht="21.25" customHeight="1" x14ac:dyDescent="0.15">
      <c r="A428" s="10" t="s">
        <v>385</v>
      </c>
      <c r="B428" s="186" t="s">
        <v>844</v>
      </c>
      <c r="C428" s="187">
        <v>33</v>
      </c>
      <c r="D428" s="186" t="s">
        <v>827</v>
      </c>
      <c r="E428" s="90">
        <v>74.08</v>
      </c>
      <c r="F428" s="188">
        <v>20.6698262158856</v>
      </c>
      <c r="G428" s="189">
        <v>4.8600212975726399E-2</v>
      </c>
      <c r="H428" s="189">
        <v>0.23037160119852301</v>
      </c>
      <c r="I428" s="189">
        <v>0.27897181417424899</v>
      </c>
      <c r="J428" s="189">
        <v>1.1762520984559</v>
      </c>
      <c r="K428" s="189">
        <v>5.7432954452764797E-5</v>
      </c>
      <c r="L428" s="189">
        <v>1.43996570720422E-3</v>
      </c>
      <c r="M428" s="189">
        <v>2.2885971351454799E-4</v>
      </c>
      <c r="N428" s="189">
        <v>5.3999870175278804E-3</v>
      </c>
      <c r="O428" s="189">
        <v>1.9485524218522701</v>
      </c>
      <c r="P428" s="189">
        <v>0.45173553808046002</v>
      </c>
      <c r="Q428" s="189">
        <v>6.2498187066648898E-2</v>
      </c>
      <c r="R428" s="189">
        <v>0.31648019282907103</v>
      </c>
      <c r="S428" s="189">
        <v>7.9162211432307304E-3</v>
      </c>
      <c r="T428" s="189">
        <v>0</v>
      </c>
      <c r="U428" s="189">
        <v>0</v>
      </c>
      <c r="V428" s="189">
        <v>0</v>
      </c>
      <c r="W428" s="189"/>
      <c r="X428" s="90"/>
      <c r="Y428" s="188"/>
      <c r="Z428" s="188"/>
      <c r="AA428" s="188"/>
      <c r="AB428" s="188"/>
      <c r="AC428" s="188"/>
      <c r="AD428" s="190"/>
      <c r="AE428" s="189"/>
    </row>
    <row r="429" spans="1:31" ht="21.25" customHeight="1" x14ac:dyDescent="0.15">
      <c r="A429" s="10" t="s">
        <v>759</v>
      </c>
      <c r="B429" s="186" t="s">
        <v>842</v>
      </c>
      <c r="C429" s="187">
        <v>21</v>
      </c>
      <c r="D429" s="186" t="s">
        <v>826</v>
      </c>
      <c r="E429" s="90">
        <v>63.695</v>
      </c>
      <c r="F429" s="188">
        <v>11.2923988657562</v>
      </c>
      <c r="G429" s="189">
        <v>9.8530871254933497E-2</v>
      </c>
      <c r="H429" s="189">
        <v>0.180184405646794</v>
      </c>
      <c r="I429" s="189">
        <v>0.27871527690172798</v>
      </c>
      <c r="J429" s="189">
        <v>1.2787304751202599</v>
      </c>
      <c r="K429" s="189">
        <v>4.7958555527410402E-4</v>
      </c>
      <c r="L429" s="189">
        <v>1.0201986480061699E-3</v>
      </c>
      <c r="M429" s="189">
        <v>0</v>
      </c>
      <c r="N429" s="189">
        <v>0</v>
      </c>
      <c r="O429" s="189">
        <v>0.464280511636944</v>
      </c>
      <c r="P429" s="189">
        <v>0.95125533611600399</v>
      </c>
      <c r="Q429" s="189">
        <v>-1.6822451259084601E-3</v>
      </c>
      <c r="R429" s="189">
        <v>0.31000728848444897</v>
      </c>
      <c r="S429" s="189">
        <v>1.47269971702906E-2</v>
      </c>
      <c r="T429" s="189">
        <v>0</v>
      </c>
      <c r="U429" s="189">
        <v>0.14045971025618401</v>
      </c>
      <c r="V429" s="189">
        <v>0</v>
      </c>
      <c r="W429" s="189"/>
      <c r="X429" s="90"/>
      <c r="Y429" s="188"/>
      <c r="Z429" s="188"/>
      <c r="AA429" s="188"/>
      <c r="AB429" s="188"/>
      <c r="AC429" s="188"/>
      <c r="AD429" s="190"/>
      <c r="AE429" s="189"/>
    </row>
    <row r="430" spans="1:31" ht="21.25" customHeight="1" x14ac:dyDescent="0.15">
      <c r="A430" s="10" t="s">
        <v>733</v>
      </c>
      <c r="B430" s="186" t="s">
        <v>856</v>
      </c>
      <c r="C430" s="187">
        <v>21</v>
      </c>
      <c r="D430" s="186" t="s">
        <v>848</v>
      </c>
      <c r="E430" s="90">
        <v>62.034999999999997</v>
      </c>
      <c r="F430" s="188">
        <v>12.527925927775501</v>
      </c>
      <c r="G430" s="189">
        <v>0.12934300496721499</v>
      </c>
      <c r="H430" s="189">
        <v>0.14832278166454099</v>
      </c>
      <c r="I430" s="189">
        <v>0.27766578663175601</v>
      </c>
      <c r="J430" s="189">
        <v>1.37735437488679</v>
      </c>
      <c r="K430" s="189">
        <v>2.1877533090717299E-2</v>
      </c>
      <c r="L430" s="189">
        <v>5.9653912146598799E-2</v>
      </c>
      <c r="M430" s="189">
        <v>3.8243140104808298E-3</v>
      </c>
      <c r="N430" s="189">
        <v>6.3087498773045101E-3</v>
      </c>
      <c r="O430" s="189">
        <v>0.58419281429445202</v>
      </c>
      <c r="P430" s="189">
        <v>0.99830508468169299</v>
      </c>
      <c r="Q430" s="189">
        <v>2.6080648233885902E-2</v>
      </c>
      <c r="R430" s="189">
        <v>0.30006394275758203</v>
      </c>
      <c r="S430" s="189">
        <v>2.0907599168876401E-2</v>
      </c>
      <c r="T430" s="189">
        <v>0.24250727696042401</v>
      </c>
      <c r="U430" s="189">
        <v>0.48501455392084802</v>
      </c>
      <c r="V430" s="189">
        <v>0.33333333333333298</v>
      </c>
      <c r="W430" s="189"/>
      <c r="X430" s="90"/>
      <c r="Y430" s="189"/>
      <c r="Z430" s="189"/>
      <c r="AA430" s="189"/>
      <c r="AB430" s="189"/>
      <c r="AC430" s="188"/>
      <c r="AD430" s="190"/>
      <c r="AE430" s="189"/>
    </row>
    <row r="431" spans="1:31" ht="21.25" customHeight="1" x14ac:dyDescent="0.15">
      <c r="A431" s="10" t="s">
        <v>752</v>
      </c>
      <c r="B431" s="186" t="s">
        <v>845</v>
      </c>
      <c r="C431" s="187">
        <v>30</v>
      </c>
      <c r="D431" s="186" t="s">
        <v>839</v>
      </c>
      <c r="E431" s="90">
        <v>73.900000000000006</v>
      </c>
      <c r="F431" s="188">
        <v>11.6363576207689</v>
      </c>
      <c r="G431" s="189">
        <v>0.143427110751387</v>
      </c>
      <c r="H431" s="189">
        <v>0.13403052434662299</v>
      </c>
      <c r="I431" s="189">
        <v>0.27745763509801002</v>
      </c>
      <c r="J431" s="189">
        <v>0.90214107900545804</v>
      </c>
      <c r="K431" s="189">
        <v>6.8019351106765396E-4</v>
      </c>
      <c r="L431" s="189">
        <v>1.2775855559440199E-3</v>
      </c>
      <c r="M431" s="189">
        <v>4.4028595316872301E-3</v>
      </c>
      <c r="N431" s="189">
        <v>5.2073459666322599E-3</v>
      </c>
      <c r="O431" s="189">
        <v>0.52960822053650902</v>
      </c>
      <c r="P431" s="189">
        <v>2.9827830844564298</v>
      </c>
      <c r="Q431" s="189">
        <v>1.01749431659892E-2</v>
      </c>
      <c r="R431" s="189">
        <v>0.503432887841191</v>
      </c>
      <c r="S431" s="189">
        <v>1.9586509446774199E-2</v>
      </c>
      <c r="T431" s="189">
        <v>0.22953981080063801</v>
      </c>
      <c r="U431" s="189">
        <v>0.32799762156179602</v>
      </c>
      <c r="V431" s="189">
        <v>0.411702959257851</v>
      </c>
      <c r="W431" s="189"/>
      <c r="X431" s="90"/>
      <c r="Y431" s="188"/>
      <c r="Z431" s="188"/>
      <c r="AA431" s="188"/>
      <c r="AB431" s="188"/>
      <c r="AC431" s="188"/>
      <c r="AD431" s="190"/>
      <c r="AE431" s="189"/>
    </row>
    <row r="432" spans="1:31" ht="21.25" customHeight="1" x14ac:dyDescent="0.15">
      <c r="A432" s="10" t="s">
        <v>358</v>
      </c>
      <c r="B432" s="186" t="s">
        <v>838</v>
      </c>
      <c r="C432" s="187">
        <v>41</v>
      </c>
      <c r="D432" s="186" t="s">
        <v>827</v>
      </c>
      <c r="E432" s="90">
        <v>84.03</v>
      </c>
      <c r="F432" s="188">
        <v>18.403035880335398</v>
      </c>
      <c r="G432" s="189">
        <v>6.2862327825375999E-2</v>
      </c>
      <c r="H432" s="189">
        <v>0.21363748997693299</v>
      </c>
      <c r="I432" s="189">
        <v>0.27649981780230898</v>
      </c>
      <c r="J432" s="189">
        <v>1.75065613632516</v>
      </c>
      <c r="K432" s="189">
        <v>2.5254744479443099E-3</v>
      </c>
      <c r="L432" s="189">
        <v>1.9078539686370199E-2</v>
      </c>
      <c r="M432" s="189">
        <v>1.13163217034156E-4</v>
      </c>
      <c r="N432" s="189">
        <v>9.4947747457913598E-4</v>
      </c>
      <c r="O432" s="189">
        <v>1.14832157889958</v>
      </c>
      <c r="P432" s="189">
        <v>0.441251769193587</v>
      </c>
      <c r="Q432" s="189">
        <v>0.105014020105274</v>
      </c>
      <c r="R432" s="189">
        <v>0.33190754136686401</v>
      </c>
      <c r="S432" s="189">
        <v>1.1345846248070999E-2</v>
      </c>
      <c r="T432" s="189">
        <v>1.38918385277092E-14</v>
      </c>
      <c r="U432" s="189">
        <v>3.1080274173049698E-7</v>
      </c>
      <c r="V432" s="189">
        <v>4.4696638869539397E-8</v>
      </c>
      <c r="W432" s="189"/>
      <c r="X432" s="90"/>
      <c r="Y432" s="188"/>
      <c r="Z432" s="188"/>
      <c r="AA432" s="188"/>
      <c r="AB432" s="188"/>
      <c r="AC432" s="188"/>
      <c r="AD432" s="190"/>
      <c r="AE432" s="189"/>
    </row>
    <row r="433" spans="1:31" ht="21.25" customHeight="1" x14ac:dyDescent="0.15">
      <c r="A433" s="10" t="s">
        <v>370</v>
      </c>
      <c r="B433" s="186" t="s">
        <v>854</v>
      </c>
      <c r="C433" s="187">
        <v>25</v>
      </c>
      <c r="D433" s="186" t="s">
        <v>827</v>
      </c>
      <c r="E433" s="90">
        <v>83.252499999999998</v>
      </c>
      <c r="F433" s="188">
        <v>21.917520260470599</v>
      </c>
      <c r="G433" s="189">
        <v>4.3151714751857702E-2</v>
      </c>
      <c r="H433" s="189">
        <v>0.23208724296002001</v>
      </c>
      <c r="I433" s="189">
        <v>0.27523895771187801</v>
      </c>
      <c r="J433" s="189">
        <v>1.14165785728664</v>
      </c>
      <c r="K433" s="189">
        <v>2.8000835703436702E-4</v>
      </c>
      <c r="L433" s="189">
        <v>3.3163375112262999E-3</v>
      </c>
      <c r="M433" s="189">
        <v>3.1246596875682102E-4</v>
      </c>
      <c r="N433" s="189">
        <v>7.9193661390237896E-3</v>
      </c>
      <c r="O433" s="189">
        <v>1.6571532619740399</v>
      </c>
      <c r="P433" s="189">
        <v>0.59330475726111598</v>
      </c>
      <c r="Q433" s="189">
        <v>-0.135331657045972</v>
      </c>
      <c r="R433" s="189">
        <v>0.29368419055064099</v>
      </c>
      <c r="S433" s="189">
        <v>5.3256141296636403E-3</v>
      </c>
      <c r="T433" s="189">
        <v>0</v>
      </c>
      <c r="U433" s="189">
        <v>0</v>
      </c>
      <c r="V433" s="189">
        <v>0</v>
      </c>
      <c r="W433" s="189"/>
      <c r="X433" s="90"/>
      <c r="Y433" s="188"/>
      <c r="Z433" s="188"/>
      <c r="AA433" s="188"/>
      <c r="AB433" s="188"/>
      <c r="AC433" s="188"/>
      <c r="AD433" s="190"/>
      <c r="AE433" s="189"/>
    </row>
    <row r="434" spans="1:31" ht="21.25" customHeight="1" x14ac:dyDescent="0.15">
      <c r="A434" s="10" t="s">
        <v>722</v>
      </c>
      <c r="B434" s="186" t="s">
        <v>840</v>
      </c>
      <c r="C434" s="187">
        <v>29</v>
      </c>
      <c r="D434" s="186" t="s">
        <v>846</v>
      </c>
      <c r="E434" s="90">
        <v>73.052499999999995</v>
      </c>
      <c r="F434" s="188">
        <v>10.538537724281699</v>
      </c>
      <c r="G434" s="189">
        <v>0.182851000093529</v>
      </c>
      <c r="H434" s="189">
        <v>9.2048749767942195E-2</v>
      </c>
      <c r="I434" s="189">
        <v>0.27489974986147098</v>
      </c>
      <c r="J434" s="189">
        <v>1.1954996383669101</v>
      </c>
      <c r="K434" s="189">
        <v>1.34442229731301E-3</v>
      </c>
      <c r="L434" s="189">
        <v>2.2871090204465601E-3</v>
      </c>
      <c r="M434" s="189">
        <v>5.9653476800860898E-5</v>
      </c>
      <c r="N434" s="189">
        <v>9.6833386803946701E-5</v>
      </c>
      <c r="O434" s="189">
        <v>0.4612345714171</v>
      </c>
      <c r="P434" s="189">
        <v>0.97358264606966805</v>
      </c>
      <c r="Q434" s="189">
        <v>-2.1907828558620002E-2</v>
      </c>
      <c r="R434" s="189">
        <v>0.245626751785324</v>
      </c>
      <c r="S434" s="189">
        <v>2.5567970953516601E-2</v>
      </c>
      <c r="T434" s="189">
        <v>3.2059785116383501E-3</v>
      </c>
      <c r="U434" s="189">
        <v>3.3734149743093601E-3</v>
      </c>
      <c r="V434" s="189">
        <v>0.48727569167062101</v>
      </c>
      <c r="W434" s="189"/>
      <c r="X434" s="90"/>
      <c r="Y434" s="188"/>
      <c r="Z434" s="188"/>
      <c r="AA434" s="188"/>
      <c r="AB434" s="188"/>
      <c r="AC434" s="188"/>
      <c r="AD434" s="190"/>
      <c r="AE434" s="189"/>
    </row>
    <row r="435" spans="1:31" ht="21.25" customHeight="1" x14ac:dyDescent="0.15">
      <c r="A435" s="10" t="s">
        <v>747</v>
      </c>
      <c r="B435" s="186" t="s">
        <v>849</v>
      </c>
      <c r="C435" s="187">
        <v>25</v>
      </c>
      <c r="D435" s="186" t="s">
        <v>839</v>
      </c>
      <c r="E435" s="90">
        <v>72.355000000000004</v>
      </c>
      <c r="F435" s="188">
        <v>10.7610905293458</v>
      </c>
      <c r="G435" s="189">
        <v>8.59566979151343E-2</v>
      </c>
      <c r="H435" s="189">
        <v>0.18841002097273599</v>
      </c>
      <c r="I435" s="189">
        <v>0.27436671888787001</v>
      </c>
      <c r="J435" s="189">
        <v>1.04619687895811</v>
      </c>
      <c r="K435" s="189">
        <v>2.9053065798634601E-3</v>
      </c>
      <c r="L435" s="189">
        <v>5.02660493489928E-3</v>
      </c>
      <c r="M435" s="189">
        <v>6.9771342142204494E-5</v>
      </c>
      <c r="N435" s="189">
        <v>1.14220212341711E-4</v>
      </c>
      <c r="O435" s="189">
        <v>0.49732518215567301</v>
      </c>
      <c r="P435" s="189">
        <v>0.90047252345720996</v>
      </c>
      <c r="Q435" s="189">
        <v>1.30332085605089E-4</v>
      </c>
      <c r="R435" s="189">
        <v>0.29463452147588498</v>
      </c>
      <c r="S435" s="189">
        <v>1.3578077769164301E-2</v>
      </c>
      <c r="T435" s="189">
        <v>3.10218352776511</v>
      </c>
      <c r="U435" s="189">
        <v>3.15907096645621</v>
      </c>
      <c r="V435" s="189">
        <v>0.49545718523790999</v>
      </c>
      <c r="W435" s="189"/>
      <c r="X435" s="90"/>
      <c r="Y435" s="188"/>
      <c r="Z435" s="188"/>
      <c r="AA435" s="188"/>
      <c r="AB435" s="188"/>
      <c r="AC435" s="188"/>
      <c r="AD435" s="190"/>
      <c r="AE435" s="189"/>
    </row>
    <row r="436" spans="1:31" ht="21.25" customHeight="1" x14ac:dyDescent="0.15">
      <c r="A436" s="10" t="s">
        <v>460</v>
      </c>
      <c r="B436" s="186" t="s">
        <v>862</v>
      </c>
      <c r="C436" s="187">
        <v>25</v>
      </c>
      <c r="D436" s="186" t="s">
        <v>827</v>
      </c>
      <c r="E436" s="90">
        <v>70.644999999999996</v>
      </c>
      <c r="F436" s="188">
        <v>17.321868122996801</v>
      </c>
      <c r="G436" s="189">
        <v>7.8377299430567995E-2</v>
      </c>
      <c r="H436" s="189">
        <v>0.19395570758817099</v>
      </c>
      <c r="I436" s="189">
        <v>0.27233300701873903</v>
      </c>
      <c r="J436" s="189">
        <v>1.2827676200231299</v>
      </c>
      <c r="K436" s="189">
        <v>1.3803736466581299E-4</v>
      </c>
      <c r="L436" s="189">
        <v>1.0440002894688001E-3</v>
      </c>
      <c r="M436" s="189">
        <v>9.2093684840418698E-3</v>
      </c>
      <c r="N436" s="189">
        <v>1.9816572722362299E-2</v>
      </c>
      <c r="O436" s="189">
        <v>1.31342255700578</v>
      </c>
      <c r="P436" s="189">
        <v>1.5366532858750499</v>
      </c>
      <c r="Q436" s="189">
        <v>-7.5397173338129404E-3</v>
      </c>
      <c r="R436" s="189">
        <v>0.512824136861874</v>
      </c>
      <c r="S436" s="189">
        <v>1.1816943878353201E-2</v>
      </c>
      <c r="T436" s="189">
        <v>0</v>
      </c>
      <c r="U436" s="189">
        <v>0</v>
      </c>
      <c r="V436" s="189">
        <v>0</v>
      </c>
      <c r="W436" s="189"/>
      <c r="X436" s="90"/>
      <c r="Y436" s="188"/>
      <c r="Z436" s="188"/>
      <c r="AA436" s="188"/>
      <c r="AB436" s="188"/>
      <c r="AC436" s="188"/>
      <c r="AD436" s="190"/>
      <c r="AE436" s="189"/>
    </row>
    <row r="437" spans="1:31" ht="21.25" customHeight="1" x14ac:dyDescent="0.15">
      <c r="A437" s="10" t="s">
        <v>742</v>
      </c>
      <c r="B437" s="186" t="s">
        <v>855</v>
      </c>
      <c r="C437" s="187">
        <v>24</v>
      </c>
      <c r="D437" s="186" t="s">
        <v>824</v>
      </c>
      <c r="E437" s="90">
        <v>71.947500000000005</v>
      </c>
      <c r="F437" s="188">
        <v>10.163106274282001</v>
      </c>
      <c r="G437" s="189">
        <v>7.3383547926229503E-2</v>
      </c>
      <c r="H437" s="189">
        <v>0.19875610653266401</v>
      </c>
      <c r="I437" s="189">
        <v>0.27213965445889399</v>
      </c>
      <c r="J437" s="189">
        <v>0.85665006211177697</v>
      </c>
      <c r="K437" s="189">
        <v>3.5178621049959902E-4</v>
      </c>
      <c r="L437" s="189">
        <v>1.1054745689792599E-3</v>
      </c>
      <c r="M437" s="189">
        <v>3.7428077069977002E-5</v>
      </c>
      <c r="N437" s="189">
        <v>6.1476395884286106E-5</v>
      </c>
      <c r="O437" s="189">
        <v>0.39529913995514998</v>
      </c>
      <c r="P437" s="189">
        <v>0.88632268385103696</v>
      </c>
      <c r="Q437" s="189">
        <v>-5.6393607557645902E-3</v>
      </c>
      <c r="R437" s="189">
        <v>0.23540278326799899</v>
      </c>
      <c r="S437" s="189">
        <v>1.06396818569404E-2</v>
      </c>
      <c r="T437" s="189">
        <v>1.82217969122652</v>
      </c>
      <c r="U437" s="189">
        <v>2.83193417355786</v>
      </c>
      <c r="V437" s="189">
        <v>0.391520221499982</v>
      </c>
      <c r="W437" s="189"/>
      <c r="X437" s="90"/>
      <c r="Y437" s="188"/>
      <c r="Z437" s="188"/>
      <c r="AA437" s="188"/>
      <c r="AB437" s="188"/>
      <c r="AC437" s="188"/>
      <c r="AD437" s="190"/>
      <c r="AE437" s="189"/>
    </row>
    <row r="438" spans="1:31" ht="21.25" customHeight="1" x14ac:dyDescent="0.15">
      <c r="A438" s="10" t="s">
        <v>730</v>
      </c>
      <c r="B438" s="186" t="s">
        <v>836</v>
      </c>
      <c r="C438" s="187">
        <v>30</v>
      </c>
      <c r="D438" s="186" t="s">
        <v>826</v>
      </c>
      <c r="E438" s="90">
        <v>73.790000000000006</v>
      </c>
      <c r="F438" s="188">
        <v>12.0497511995496</v>
      </c>
      <c r="G438" s="189">
        <v>0.11360656753634001</v>
      </c>
      <c r="H438" s="189">
        <v>0.158184516323886</v>
      </c>
      <c r="I438" s="189">
        <v>0.27179108386022599</v>
      </c>
      <c r="J438" s="189">
        <v>1.18505174654511</v>
      </c>
      <c r="K438" s="189">
        <v>2.3063244850317702E-3</v>
      </c>
      <c r="L438" s="189">
        <v>5.1929684561135003E-3</v>
      </c>
      <c r="M438" s="189">
        <v>3.9463043924526896E-3</v>
      </c>
      <c r="N438" s="189">
        <v>7.3478748749590201E-3</v>
      </c>
      <c r="O438" s="189">
        <v>0.34058303217026997</v>
      </c>
      <c r="P438" s="189">
        <v>1.4218367179170599</v>
      </c>
      <c r="Q438" s="189">
        <v>4.29825991169289E-2</v>
      </c>
      <c r="R438" s="189">
        <v>0.24500454741677799</v>
      </c>
      <c r="S438" s="189">
        <v>1.9942673446319802E-2</v>
      </c>
      <c r="T438" s="189">
        <v>9.6168686595174899E-2</v>
      </c>
      <c r="U438" s="189">
        <v>0.275392072449267</v>
      </c>
      <c r="V438" s="189">
        <v>0.25882358202328998</v>
      </c>
      <c r="W438" s="189"/>
      <c r="X438" s="90"/>
      <c r="Y438" s="188"/>
      <c r="Z438" s="188"/>
      <c r="AA438" s="188"/>
      <c r="AB438" s="188"/>
      <c r="AC438" s="188"/>
      <c r="AD438" s="190"/>
      <c r="AE438" s="189"/>
    </row>
    <row r="439" spans="1:31" ht="21.25" customHeight="1" x14ac:dyDescent="0.15">
      <c r="A439" s="10" t="s">
        <v>771</v>
      </c>
      <c r="B439" s="186" t="s">
        <v>836</v>
      </c>
      <c r="C439" s="187">
        <v>22</v>
      </c>
      <c r="D439" s="186" t="s">
        <v>825</v>
      </c>
      <c r="E439" s="90">
        <v>62.034999999999997</v>
      </c>
      <c r="F439" s="188">
        <v>11.9034813031169</v>
      </c>
      <c r="G439" s="189">
        <v>0.112714918708417</v>
      </c>
      <c r="H439" s="189">
        <v>0.15893125464839999</v>
      </c>
      <c r="I439" s="189">
        <v>0.27164617335681701</v>
      </c>
      <c r="J439" s="189">
        <v>1.35793506700842</v>
      </c>
      <c r="K439" s="189">
        <v>9.1591832965093097E-3</v>
      </c>
      <c r="L439" s="189">
        <v>2.2028149310202801E-2</v>
      </c>
      <c r="M439" s="189">
        <v>0</v>
      </c>
      <c r="N439" s="189">
        <v>0</v>
      </c>
      <c r="O439" s="189">
        <v>0.31496441906238898</v>
      </c>
      <c r="P439" s="189">
        <v>0.88110510707491596</v>
      </c>
      <c r="Q439" s="189">
        <v>4.6818331534637103E-2</v>
      </c>
      <c r="R439" s="189">
        <v>0.33586192041040902</v>
      </c>
      <c r="S439" s="189">
        <v>1.97861520251583E-2</v>
      </c>
      <c r="T439" s="189">
        <v>0</v>
      </c>
      <c r="U439" s="189">
        <v>0</v>
      </c>
      <c r="V439" s="189">
        <v>0</v>
      </c>
      <c r="W439" s="189"/>
      <c r="X439" s="90"/>
      <c r="Y439" s="188"/>
      <c r="Z439" s="188"/>
      <c r="AA439" s="188"/>
      <c r="AB439" s="188"/>
      <c r="AC439" s="188"/>
      <c r="AD439" s="190"/>
      <c r="AE439" s="189"/>
    </row>
    <row r="440" spans="1:31" ht="21.25" customHeight="1" x14ac:dyDescent="0.15">
      <c r="A440" s="10" t="s">
        <v>402</v>
      </c>
      <c r="B440" s="186" t="s">
        <v>849</v>
      </c>
      <c r="C440" s="187">
        <v>27</v>
      </c>
      <c r="D440" s="186" t="s">
        <v>827</v>
      </c>
      <c r="E440" s="90">
        <v>82.1875</v>
      </c>
      <c r="F440" s="188">
        <v>20.5817078639482</v>
      </c>
      <c r="G440" s="189">
        <v>5.2484329604449001E-2</v>
      </c>
      <c r="H440" s="189">
        <v>0.218886748022734</v>
      </c>
      <c r="I440" s="189">
        <v>0.27137107762718299</v>
      </c>
      <c r="J440" s="189">
        <v>0.90974771611973304</v>
      </c>
      <c r="K440" s="189">
        <v>1.09205081872255E-4</v>
      </c>
      <c r="L440" s="189">
        <v>8.8913361316891003E-4</v>
      </c>
      <c r="M440" s="189">
        <v>2.2298262273967999E-4</v>
      </c>
      <c r="N440" s="189">
        <v>1.2802306995004899E-3</v>
      </c>
      <c r="O440" s="189">
        <v>1.60922353973732</v>
      </c>
      <c r="P440" s="189">
        <v>1.3374533552641199</v>
      </c>
      <c r="Q440" s="189">
        <v>3.4915839179740001E-3</v>
      </c>
      <c r="R440" s="189">
        <v>0.32025692775868703</v>
      </c>
      <c r="S440" s="189">
        <v>8.2906431530821497E-3</v>
      </c>
      <c r="T440" s="189">
        <v>0</v>
      </c>
      <c r="U440" s="189">
        <v>0</v>
      </c>
      <c r="V440" s="189">
        <v>0</v>
      </c>
      <c r="W440" s="189"/>
      <c r="X440" s="90"/>
      <c r="Y440" s="188"/>
      <c r="Z440" s="188"/>
      <c r="AA440" s="188"/>
      <c r="AB440" s="188"/>
      <c r="AC440" s="188"/>
      <c r="AD440" s="190"/>
      <c r="AE440" s="189"/>
    </row>
    <row r="441" spans="1:31" ht="21.25" customHeight="1" x14ac:dyDescent="0.15">
      <c r="A441" s="10" t="s">
        <v>671</v>
      </c>
      <c r="B441" s="186" t="s">
        <v>841</v>
      </c>
      <c r="C441" s="187">
        <v>29</v>
      </c>
      <c r="D441" s="186" t="s">
        <v>825</v>
      </c>
      <c r="E441" s="90">
        <v>78.627499999999998</v>
      </c>
      <c r="F441" s="188">
        <v>11.7585873078357</v>
      </c>
      <c r="G441" s="189">
        <v>0.130429340448867</v>
      </c>
      <c r="H441" s="189">
        <v>0.139064849559485</v>
      </c>
      <c r="I441" s="189">
        <v>0.26949419000835201</v>
      </c>
      <c r="J441" s="189">
        <v>1.86730287132767</v>
      </c>
      <c r="K441" s="189">
        <v>2.0151438945893501E-3</v>
      </c>
      <c r="L441" s="189">
        <v>5.79196517511576E-3</v>
      </c>
      <c r="M441" s="189">
        <v>2.1737947600003501E-4</v>
      </c>
      <c r="N441" s="189">
        <v>3.5396120797395497E-4</v>
      </c>
      <c r="O441" s="189">
        <v>0.39532670786370699</v>
      </c>
      <c r="P441" s="189">
        <v>1.23938142741345</v>
      </c>
      <c r="Q441" s="189">
        <v>-1.6227397839415E-2</v>
      </c>
      <c r="R441" s="189">
        <v>0.65127991691123199</v>
      </c>
      <c r="S441" s="189">
        <v>1.7558616999519501E-2</v>
      </c>
      <c r="T441" s="189">
        <v>6.3691998892648899E-2</v>
      </c>
      <c r="U441" s="189">
        <v>8.5352453394926697E-2</v>
      </c>
      <c r="V441" s="189">
        <v>0.42733558958476098</v>
      </c>
      <c r="W441" s="189"/>
      <c r="X441" s="90"/>
      <c r="Y441" s="188"/>
      <c r="Z441" s="188"/>
      <c r="AA441" s="188"/>
      <c r="AB441" s="188"/>
      <c r="AC441" s="188"/>
      <c r="AD441" s="190"/>
      <c r="AE441" s="189"/>
    </row>
    <row r="442" spans="1:31" ht="21.25" customHeight="1" x14ac:dyDescent="0.15">
      <c r="A442" s="10" t="s">
        <v>762</v>
      </c>
      <c r="B442" s="186" t="s">
        <v>855</v>
      </c>
      <c r="C442" s="187">
        <v>25</v>
      </c>
      <c r="D442" s="186" t="s">
        <v>848</v>
      </c>
      <c r="E442" s="90">
        <v>68.347499999999997</v>
      </c>
      <c r="F442" s="188">
        <v>11.045674958583099</v>
      </c>
      <c r="G442" s="189">
        <v>0.122360350075259</v>
      </c>
      <c r="H442" s="189">
        <v>0.14547298972056</v>
      </c>
      <c r="I442" s="189">
        <v>0.26783333979581903</v>
      </c>
      <c r="J442" s="189">
        <v>1.16597092327379</v>
      </c>
      <c r="K442" s="189">
        <v>9.5533790355735698E-4</v>
      </c>
      <c r="L442" s="189">
        <v>2.10897576735508E-3</v>
      </c>
      <c r="M442" s="189">
        <v>5.5077123727979198E-4</v>
      </c>
      <c r="N442" s="189">
        <v>9.0758145804202095E-4</v>
      </c>
      <c r="O442" s="189">
        <v>0.35212570885179401</v>
      </c>
      <c r="P442" s="189">
        <v>1.6185129635567801</v>
      </c>
      <c r="Q442" s="189">
        <v>2.1639872780709101E-3</v>
      </c>
      <c r="R442" s="189">
        <v>0.29984658512600898</v>
      </c>
      <c r="S442" s="189">
        <v>1.7740695748498701E-2</v>
      </c>
      <c r="T442" s="189">
        <v>5.7597740910103903E-2</v>
      </c>
      <c r="U442" s="189">
        <v>0.110863839419144</v>
      </c>
      <c r="V442" s="189">
        <v>0.34190431312310299</v>
      </c>
      <c r="W442" s="189"/>
      <c r="X442" s="90"/>
      <c r="Y442" s="188"/>
      <c r="Z442" s="188"/>
      <c r="AA442" s="188"/>
      <c r="AB442" s="188"/>
      <c r="AC442" s="188"/>
      <c r="AD442" s="190"/>
      <c r="AE442" s="189"/>
    </row>
    <row r="443" spans="1:31" ht="21.25" customHeight="1" x14ac:dyDescent="0.15">
      <c r="A443" s="10" t="s">
        <v>410</v>
      </c>
      <c r="B443" s="186" t="s">
        <v>871</v>
      </c>
      <c r="C443" s="187">
        <v>26</v>
      </c>
      <c r="D443" s="186" t="s">
        <v>827</v>
      </c>
      <c r="E443" s="90">
        <v>81.727500000000006</v>
      </c>
      <c r="F443" s="188">
        <v>22.2042744469071</v>
      </c>
      <c r="G443" s="189">
        <v>4.6975499330649803E-2</v>
      </c>
      <c r="H443" s="189">
        <v>0.22039395878694201</v>
      </c>
      <c r="I443" s="189">
        <v>0.267369458117592</v>
      </c>
      <c r="J443" s="189">
        <v>0.95658244998053699</v>
      </c>
      <c r="K443" s="189">
        <v>2.9272088957306899E-3</v>
      </c>
      <c r="L443" s="189">
        <v>1.00274334797637E-2</v>
      </c>
      <c r="M443" s="189">
        <v>3.20850301720444E-4</v>
      </c>
      <c r="N443" s="189">
        <v>8.7827627444798505E-3</v>
      </c>
      <c r="O443" s="189">
        <v>1.4829160592323201</v>
      </c>
      <c r="P443" s="189">
        <v>1.4500675438767101</v>
      </c>
      <c r="Q443" s="189">
        <v>-0.115554808154544</v>
      </c>
      <c r="R443" s="189">
        <v>0.63210222884902401</v>
      </c>
      <c r="S443" s="189">
        <v>6.7539009528127204E-3</v>
      </c>
      <c r="T443" s="189">
        <v>0</v>
      </c>
      <c r="U443" s="189">
        <v>0</v>
      </c>
      <c r="V443" s="189">
        <v>0</v>
      </c>
      <c r="W443" s="189"/>
      <c r="X443" s="90"/>
      <c r="Y443" s="188"/>
      <c r="Z443" s="188"/>
      <c r="AA443" s="188"/>
      <c r="AB443" s="188"/>
      <c r="AC443" s="188"/>
      <c r="AD443" s="190"/>
      <c r="AE443" s="189"/>
    </row>
    <row r="444" spans="1:31" ht="21.25" customHeight="1" x14ac:dyDescent="0.15">
      <c r="A444" s="10" t="s">
        <v>689</v>
      </c>
      <c r="B444" s="186" t="s">
        <v>850</v>
      </c>
      <c r="C444" s="187">
        <v>32</v>
      </c>
      <c r="D444" s="186" t="s">
        <v>826</v>
      </c>
      <c r="E444" s="90">
        <v>81.717500000000001</v>
      </c>
      <c r="F444" s="188">
        <v>13.2481546140458</v>
      </c>
      <c r="G444" s="189">
        <v>0.148115883199334</v>
      </c>
      <c r="H444" s="189">
        <v>0.11844172461609601</v>
      </c>
      <c r="I444" s="189">
        <v>0.26655760781542998</v>
      </c>
      <c r="J444" s="189">
        <v>1.1969345046390001</v>
      </c>
      <c r="K444" s="189">
        <v>4.31537792755009E-4</v>
      </c>
      <c r="L444" s="189">
        <v>1.34509862548006E-3</v>
      </c>
      <c r="M444" s="189">
        <v>1.7566830991084699E-2</v>
      </c>
      <c r="N444" s="189">
        <v>2.49730942194815E-2</v>
      </c>
      <c r="O444" s="189">
        <v>0.53556404050236595</v>
      </c>
      <c r="P444" s="189">
        <v>1.7813118296508501</v>
      </c>
      <c r="Q444" s="189">
        <v>9.6648415101132593E-3</v>
      </c>
      <c r="R444" s="189">
        <v>0.76928514028768702</v>
      </c>
      <c r="S444" s="189">
        <v>2.4659836149541901E-2</v>
      </c>
      <c r="T444" s="189">
        <v>0.26398179230213098</v>
      </c>
      <c r="U444" s="189">
        <v>0.17390404962637901</v>
      </c>
      <c r="V444" s="189">
        <v>0.60285528104658204</v>
      </c>
      <c r="W444" s="189"/>
      <c r="X444" s="90"/>
      <c r="Y444" s="188"/>
      <c r="Z444" s="188"/>
      <c r="AA444" s="188"/>
      <c r="AB444" s="188"/>
      <c r="AC444" s="188"/>
      <c r="AD444" s="190"/>
      <c r="AE444" s="189"/>
    </row>
    <row r="445" spans="1:31" ht="21.25" customHeight="1" x14ac:dyDescent="0.15">
      <c r="A445" s="10" t="s">
        <v>744</v>
      </c>
      <c r="B445" s="186" t="s">
        <v>866</v>
      </c>
      <c r="C445" s="187">
        <v>31</v>
      </c>
      <c r="D445" s="186" t="s">
        <v>825</v>
      </c>
      <c r="E445" s="90">
        <v>74.355000000000004</v>
      </c>
      <c r="F445" s="188">
        <v>10.964187616276201</v>
      </c>
      <c r="G445" s="189">
        <v>0.12634712054976999</v>
      </c>
      <c r="H445" s="189">
        <v>0.140210977833511</v>
      </c>
      <c r="I445" s="189">
        <v>0.26655809838328098</v>
      </c>
      <c r="J445" s="189">
        <v>0.96742220795654199</v>
      </c>
      <c r="K445" s="189">
        <v>1.6436395011318199E-2</v>
      </c>
      <c r="L445" s="189">
        <v>2.7916670954543699E-2</v>
      </c>
      <c r="M445" s="189">
        <v>1.6726312339933399E-5</v>
      </c>
      <c r="N445" s="189">
        <v>2.76694251820699E-5</v>
      </c>
      <c r="O445" s="189">
        <v>0.50346041495137295</v>
      </c>
      <c r="P445" s="189">
        <v>0.45926899218223</v>
      </c>
      <c r="Q445" s="189">
        <v>-5.20814258077089E-2</v>
      </c>
      <c r="R445" s="189">
        <v>0.20631562499529299</v>
      </c>
      <c r="S445" s="189">
        <v>1.8451919649265399E-2</v>
      </c>
      <c r="T445" s="189">
        <v>5.1147055563027101E-2</v>
      </c>
      <c r="U445" s="189">
        <v>0.12984090355140199</v>
      </c>
      <c r="V445" s="189">
        <v>0.282599217170517</v>
      </c>
      <c r="W445" s="189"/>
      <c r="X445" s="90"/>
      <c r="Y445" s="188"/>
      <c r="Z445" s="188"/>
      <c r="AA445" s="188"/>
      <c r="AB445" s="188"/>
      <c r="AC445" s="188"/>
      <c r="AD445" s="190"/>
      <c r="AE445" s="189"/>
    </row>
    <row r="446" spans="1:31" ht="21.25" customHeight="1" x14ac:dyDescent="0.15">
      <c r="A446" s="10" t="s">
        <v>739</v>
      </c>
      <c r="B446" s="186" t="s">
        <v>871</v>
      </c>
      <c r="C446" s="187">
        <v>26</v>
      </c>
      <c r="D446" s="186" t="s">
        <v>846</v>
      </c>
      <c r="E446" s="90">
        <v>71.342500000000001</v>
      </c>
      <c r="F446" s="188">
        <v>11.9411100611082</v>
      </c>
      <c r="G446" s="189">
        <v>7.5808105808046297E-2</v>
      </c>
      <c r="H446" s="189">
        <v>0.18779787693206401</v>
      </c>
      <c r="I446" s="189">
        <v>0.26360598274010999</v>
      </c>
      <c r="J446" s="189">
        <v>1.2483601645134299</v>
      </c>
      <c r="K446" s="189">
        <v>7.3139846075490197E-4</v>
      </c>
      <c r="L446" s="189">
        <v>2.2202229506158499E-3</v>
      </c>
      <c r="M446" s="189">
        <v>2.7953449542689399E-3</v>
      </c>
      <c r="N446" s="189">
        <v>4.6527313733232102E-3</v>
      </c>
      <c r="O446" s="189">
        <v>0.361303738023385</v>
      </c>
      <c r="P446" s="189">
        <v>3.1712417889739601</v>
      </c>
      <c r="Q446" s="189">
        <v>-9.0101743590722802E-2</v>
      </c>
      <c r="R446" s="189">
        <v>0.67774515388212697</v>
      </c>
      <c r="S446" s="189">
        <v>1.08993080508636E-2</v>
      </c>
      <c r="T446" s="189">
        <v>0.66507150882446997</v>
      </c>
      <c r="U446" s="189">
        <v>0.88957707061382296</v>
      </c>
      <c r="V446" s="189">
        <v>0.42779539866479999</v>
      </c>
      <c r="W446" s="189"/>
      <c r="X446" s="90"/>
      <c r="Y446" s="188"/>
      <c r="Z446" s="188"/>
      <c r="AA446" s="188"/>
      <c r="AB446" s="188"/>
      <c r="AC446" s="188"/>
      <c r="AD446" s="190"/>
      <c r="AE446" s="189"/>
    </row>
    <row r="447" spans="1:31" ht="21.25" customHeight="1" x14ac:dyDescent="0.15">
      <c r="A447" s="10" t="s">
        <v>729</v>
      </c>
      <c r="B447" s="186" t="s">
        <v>854</v>
      </c>
      <c r="C447" s="187">
        <v>30</v>
      </c>
      <c r="D447" s="186" t="s">
        <v>848</v>
      </c>
      <c r="E447" s="90">
        <v>79.642499999999998</v>
      </c>
      <c r="F447" s="188">
        <v>11.5464797277633</v>
      </c>
      <c r="G447" s="189">
        <v>0.124517029245113</v>
      </c>
      <c r="H447" s="189">
        <v>0.138010639625854</v>
      </c>
      <c r="I447" s="189">
        <v>0.26252766887096701</v>
      </c>
      <c r="J447" s="189">
        <v>0.93280072207777998</v>
      </c>
      <c r="K447" s="189">
        <v>3.9707953332204798E-4</v>
      </c>
      <c r="L447" s="189">
        <v>1.39118669027164E-3</v>
      </c>
      <c r="M447" s="189">
        <v>1.3436453063855901E-2</v>
      </c>
      <c r="N447" s="189">
        <v>1.52809209014678E-2</v>
      </c>
      <c r="O447" s="189">
        <v>0.42455976783319499</v>
      </c>
      <c r="P447" s="189">
        <v>0.99315034930014401</v>
      </c>
      <c r="Q447" s="189">
        <v>-9.2309677631934497E-2</v>
      </c>
      <c r="R447" s="189">
        <v>0.30387764045454901</v>
      </c>
      <c r="S447" s="189">
        <v>1.53673997463326E-2</v>
      </c>
      <c r="T447" s="189">
        <v>4.9999335072456498E-2</v>
      </c>
      <c r="U447" s="189">
        <v>6.6836949665950995E-2</v>
      </c>
      <c r="V447" s="189">
        <v>0.427943555244018</v>
      </c>
      <c r="W447" s="189"/>
      <c r="X447" s="90"/>
      <c r="Y447" s="188"/>
      <c r="Z447" s="188"/>
      <c r="AA447" s="188"/>
      <c r="AB447" s="188"/>
      <c r="AC447" s="188"/>
      <c r="AD447" s="190"/>
      <c r="AE447" s="189"/>
    </row>
    <row r="448" spans="1:31" ht="21.25" customHeight="1" x14ac:dyDescent="0.15">
      <c r="A448" s="10" t="s">
        <v>743</v>
      </c>
      <c r="B448" s="186" t="s">
        <v>838</v>
      </c>
      <c r="C448" s="187">
        <v>23</v>
      </c>
      <c r="D448" s="186" t="s">
        <v>825</v>
      </c>
      <c r="E448" s="90">
        <v>69.162499999999994</v>
      </c>
      <c r="F448" s="188">
        <v>13.0469880525915</v>
      </c>
      <c r="G448" s="189">
        <v>0.12218910680199201</v>
      </c>
      <c r="H448" s="189">
        <v>0.13848303381045099</v>
      </c>
      <c r="I448" s="189">
        <v>0.26067214061244298</v>
      </c>
      <c r="J448" s="189">
        <v>1.21746194631618</v>
      </c>
      <c r="K448" s="189">
        <v>5.5375918565875697E-3</v>
      </c>
      <c r="L448" s="189">
        <v>2.2803854133230401E-2</v>
      </c>
      <c r="M448" s="189">
        <v>3.2155978932074001E-3</v>
      </c>
      <c r="N448" s="189">
        <v>5.3588098426125197E-3</v>
      </c>
      <c r="O448" s="189">
        <v>0.526479093494712</v>
      </c>
      <c r="P448" s="189">
        <v>2.5397315764131498</v>
      </c>
      <c r="Q448" s="189">
        <v>8.3520734518737094E-2</v>
      </c>
      <c r="R448" s="189">
        <v>0.53374460192421203</v>
      </c>
      <c r="S448" s="189">
        <v>2.2053571143843299E-2</v>
      </c>
      <c r="T448" s="189">
        <v>3.14233802027424E-2</v>
      </c>
      <c r="U448" s="189">
        <v>0.177527950349821</v>
      </c>
      <c r="V448" s="189">
        <v>0.15038612158938899</v>
      </c>
      <c r="W448" s="189"/>
      <c r="X448" s="90"/>
      <c r="Y448" s="188"/>
      <c r="Z448" s="188"/>
      <c r="AA448" s="188"/>
      <c r="AB448" s="188"/>
      <c r="AC448" s="188"/>
      <c r="AD448" s="190"/>
      <c r="AE448" s="189"/>
    </row>
    <row r="449" spans="1:31" ht="21.25" customHeight="1" x14ac:dyDescent="0.15">
      <c r="A449" s="10" t="s">
        <v>691</v>
      </c>
      <c r="B449" s="186" t="s">
        <v>836</v>
      </c>
      <c r="C449" s="187">
        <v>31</v>
      </c>
      <c r="D449" s="186" t="s">
        <v>824</v>
      </c>
      <c r="E449" s="90">
        <v>77.672499999999999</v>
      </c>
      <c r="F449" s="188">
        <v>13.5813807354898</v>
      </c>
      <c r="G449" s="189">
        <v>0.12399255295252</v>
      </c>
      <c r="H449" s="189">
        <v>0.136502458148027</v>
      </c>
      <c r="I449" s="189">
        <v>0.26049501110054701</v>
      </c>
      <c r="J449" s="189">
        <v>1.01376882931228</v>
      </c>
      <c r="K449" s="189">
        <v>1.3362300373801199E-3</v>
      </c>
      <c r="L449" s="189">
        <v>2.1411403130832799E-3</v>
      </c>
      <c r="M449" s="189">
        <v>7.93002835104069E-3</v>
      </c>
      <c r="N449" s="189">
        <v>1.54942480552707E-2</v>
      </c>
      <c r="O449" s="189">
        <v>0.69746858781211996</v>
      </c>
      <c r="P449" s="189">
        <v>1.30562199874556</v>
      </c>
      <c r="Q449" s="189">
        <v>5.6937398018061101E-2</v>
      </c>
      <c r="R449" s="189">
        <v>0.32726838519687002</v>
      </c>
      <c r="S449" s="189">
        <v>2.17658454694237E-2</v>
      </c>
      <c r="T449" s="189">
        <v>6.1232226019531604</v>
      </c>
      <c r="U449" s="189">
        <v>6.2298270771865196</v>
      </c>
      <c r="V449" s="189">
        <v>0.49568509485502299</v>
      </c>
      <c r="W449" s="189"/>
      <c r="X449" s="90"/>
      <c r="Y449" s="188"/>
      <c r="Z449" s="188"/>
      <c r="AA449" s="188"/>
      <c r="AB449" s="188"/>
      <c r="AC449" s="188"/>
      <c r="AD449" s="190"/>
      <c r="AE449" s="189"/>
    </row>
    <row r="450" spans="1:31" ht="21.25" customHeight="1" x14ac:dyDescent="0.15">
      <c r="A450" s="10" t="s">
        <v>457</v>
      </c>
      <c r="B450" s="186" t="s">
        <v>867</v>
      </c>
      <c r="C450" s="187">
        <v>31</v>
      </c>
      <c r="D450" s="186" t="s">
        <v>827</v>
      </c>
      <c r="E450" s="90">
        <v>69.572500000000005</v>
      </c>
      <c r="F450" s="188">
        <v>21.007060188296901</v>
      </c>
      <c r="G450" s="189">
        <v>3.1574047773009997E-2</v>
      </c>
      <c r="H450" s="189">
        <v>0.22878492982071</v>
      </c>
      <c r="I450" s="189">
        <v>0.26035897759372001</v>
      </c>
      <c r="J450" s="189">
        <v>1.2686058058382199</v>
      </c>
      <c r="K450" s="189">
        <v>6.4969358003780502E-4</v>
      </c>
      <c r="L450" s="189">
        <v>1.8105152105523499E-2</v>
      </c>
      <c r="M450" s="189">
        <v>1.8821843226384801E-4</v>
      </c>
      <c r="N450" s="189">
        <v>9.6544622135834694E-3</v>
      </c>
      <c r="O450" s="189">
        <v>1.5136874666054001</v>
      </c>
      <c r="P450" s="189">
        <v>1.22575482088523</v>
      </c>
      <c r="Q450" s="189">
        <v>1.3256900026552901E-2</v>
      </c>
      <c r="R450" s="189">
        <v>0.35326929648102501</v>
      </c>
      <c r="S450" s="189">
        <v>4.98980335059164E-3</v>
      </c>
      <c r="T450" s="189">
        <v>0</v>
      </c>
      <c r="U450" s="189">
        <v>0</v>
      </c>
      <c r="V450" s="189">
        <v>0</v>
      </c>
      <c r="W450" s="189"/>
      <c r="X450" s="90"/>
      <c r="Y450" s="188"/>
      <c r="Z450" s="188"/>
      <c r="AA450" s="188"/>
      <c r="AB450" s="188"/>
      <c r="AC450" s="188"/>
      <c r="AD450" s="190"/>
      <c r="AE450" s="189"/>
    </row>
    <row r="451" spans="1:31" ht="21.25" customHeight="1" x14ac:dyDescent="0.15">
      <c r="A451" s="10" t="s">
        <v>764</v>
      </c>
      <c r="B451" s="186" t="s">
        <v>843</v>
      </c>
      <c r="C451" s="187">
        <v>24</v>
      </c>
      <c r="D451" s="186" t="s">
        <v>826</v>
      </c>
      <c r="E451" s="90">
        <v>70.457499999999996</v>
      </c>
      <c r="F451" s="188">
        <v>10.563652780709599</v>
      </c>
      <c r="G451" s="189">
        <v>0.104798234907545</v>
      </c>
      <c r="H451" s="189">
        <v>0.15444275509203401</v>
      </c>
      <c r="I451" s="189">
        <v>0.25924098999957901</v>
      </c>
      <c r="J451" s="189">
        <v>1.11381218188753</v>
      </c>
      <c r="K451" s="189">
        <v>6.2899631703997798E-4</v>
      </c>
      <c r="L451" s="189">
        <v>1.3118457325747999E-3</v>
      </c>
      <c r="M451" s="189">
        <v>3.86786188666891E-4</v>
      </c>
      <c r="N451" s="189">
        <v>6.3422772855076205E-4</v>
      </c>
      <c r="O451" s="189">
        <v>0.34641291273527203</v>
      </c>
      <c r="P451" s="189">
        <v>0.99911338575400099</v>
      </c>
      <c r="Q451" s="189">
        <v>3.7160580573545002E-2</v>
      </c>
      <c r="R451" s="189">
        <v>0.22052244036683399</v>
      </c>
      <c r="S451" s="189">
        <v>1.9993138171629201E-2</v>
      </c>
      <c r="T451" s="189">
        <v>9.2370759561309801E-2</v>
      </c>
      <c r="U451" s="189">
        <v>0.27218262971422502</v>
      </c>
      <c r="V451" s="189">
        <v>0.25338060837913301</v>
      </c>
      <c r="W451" s="189"/>
      <c r="X451" s="90"/>
      <c r="Y451" s="188"/>
      <c r="Z451" s="188"/>
      <c r="AA451" s="188"/>
      <c r="AB451" s="188"/>
      <c r="AC451" s="188"/>
      <c r="AD451" s="190"/>
      <c r="AE451" s="189"/>
    </row>
    <row r="452" spans="1:31" ht="21.25" customHeight="1" x14ac:dyDescent="0.15">
      <c r="A452" s="10" t="s">
        <v>503</v>
      </c>
      <c r="B452" s="186" t="s">
        <v>865</v>
      </c>
      <c r="C452" s="187">
        <v>26</v>
      </c>
      <c r="D452" s="186" t="s">
        <v>827</v>
      </c>
      <c r="E452" s="90">
        <v>74.069999999999993</v>
      </c>
      <c r="F452" s="188">
        <v>17.4495263224368</v>
      </c>
      <c r="G452" s="189">
        <v>3.6189270886184198E-2</v>
      </c>
      <c r="H452" s="189">
        <v>0.22253268789012401</v>
      </c>
      <c r="I452" s="189">
        <v>0.25872195877630799</v>
      </c>
      <c r="J452" s="189">
        <v>1.0734437660040499</v>
      </c>
      <c r="K452" s="189">
        <v>9.8041885367499806E-5</v>
      </c>
      <c r="L452" s="189">
        <v>7.5216294642650901E-4</v>
      </c>
      <c r="M452" s="189">
        <v>6.1744966350590804E-4</v>
      </c>
      <c r="N452" s="189">
        <v>2.10701830362641E-3</v>
      </c>
      <c r="O452" s="189">
        <v>1.00408144142926</v>
      </c>
      <c r="P452" s="189">
        <v>0.76088166093189602</v>
      </c>
      <c r="Q452" s="189">
        <v>-3.42538141014435E-2</v>
      </c>
      <c r="R452" s="189">
        <v>0.45404626680986199</v>
      </c>
      <c r="S452" s="189">
        <v>5.0131193490929602E-3</v>
      </c>
      <c r="T452" s="189">
        <v>0</v>
      </c>
      <c r="U452" s="189">
        <v>0</v>
      </c>
      <c r="V452" s="189">
        <v>0</v>
      </c>
      <c r="W452" s="189"/>
      <c r="X452" s="90"/>
      <c r="Y452" s="188"/>
      <c r="Z452" s="188"/>
      <c r="AA452" s="188"/>
      <c r="AB452" s="188"/>
      <c r="AC452" s="188"/>
      <c r="AD452" s="190"/>
      <c r="AE452" s="189"/>
    </row>
    <row r="453" spans="1:31" ht="21.25" customHeight="1" x14ac:dyDescent="0.15">
      <c r="A453" s="10" t="s">
        <v>382</v>
      </c>
      <c r="B453" s="186" t="s">
        <v>866</v>
      </c>
      <c r="C453" s="187">
        <v>31</v>
      </c>
      <c r="D453" s="186" t="s">
        <v>827</v>
      </c>
      <c r="E453" s="90">
        <v>79.465000000000003</v>
      </c>
      <c r="F453" s="188">
        <v>20.6677937668486</v>
      </c>
      <c r="G453" s="189">
        <v>2.86546587710041E-2</v>
      </c>
      <c r="H453" s="189">
        <v>0.229029636709772</v>
      </c>
      <c r="I453" s="189">
        <v>0.25768429548077598</v>
      </c>
      <c r="J453" s="189">
        <v>1.0417394082251401</v>
      </c>
      <c r="K453" s="189">
        <v>3.4857134193587999E-4</v>
      </c>
      <c r="L453" s="189">
        <v>1.9393964836129699E-3</v>
      </c>
      <c r="M453" s="189">
        <v>1.61970406986576E-4</v>
      </c>
      <c r="N453" s="189">
        <v>1.31911328435893E-2</v>
      </c>
      <c r="O453" s="189">
        <v>1.92760224578655</v>
      </c>
      <c r="P453" s="189">
        <v>0.90573874652082298</v>
      </c>
      <c r="Q453" s="189">
        <v>-4.3540908700370397E-2</v>
      </c>
      <c r="R453" s="189">
        <v>0.25802740393373702</v>
      </c>
      <c r="S453" s="189">
        <v>4.1847685876735801E-3</v>
      </c>
      <c r="T453" s="189">
        <v>0</v>
      </c>
      <c r="U453" s="189">
        <v>0</v>
      </c>
      <c r="V453" s="189">
        <v>0</v>
      </c>
      <c r="W453" s="189"/>
      <c r="X453" s="90"/>
      <c r="Y453" s="188"/>
      <c r="Z453" s="188"/>
      <c r="AA453" s="188"/>
      <c r="AB453" s="188"/>
      <c r="AC453" s="188"/>
      <c r="AD453" s="190"/>
      <c r="AE453" s="189"/>
    </row>
    <row r="454" spans="1:31" ht="21.25" customHeight="1" x14ac:dyDescent="0.15">
      <c r="A454" s="10" t="s">
        <v>734</v>
      </c>
      <c r="B454" s="186" t="s">
        <v>860</v>
      </c>
      <c r="C454" s="187">
        <v>31</v>
      </c>
      <c r="D454" s="186" t="s">
        <v>848</v>
      </c>
      <c r="E454" s="90">
        <v>77.867500000000007</v>
      </c>
      <c r="F454" s="188">
        <v>11.318439723473601</v>
      </c>
      <c r="G454" s="189">
        <v>0.13236876176187001</v>
      </c>
      <c r="H454" s="189">
        <v>0.12404174914116201</v>
      </c>
      <c r="I454" s="189">
        <v>0.25641051090303202</v>
      </c>
      <c r="J454" s="189">
        <v>1.1987447281408501</v>
      </c>
      <c r="K454" s="189">
        <v>4.7699944970990498E-4</v>
      </c>
      <c r="L454" s="189">
        <v>1.04088363411872E-3</v>
      </c>
      <c r="M454" s="189">
        <v>1.2805654264665301E-3</v>
      </c>
      <c r="N454" s="189">
        <v>8.1397059486656501E-3</v>
      </c>
      <c r="O454" s="189">
        <v>0.23907613132952099</v>
      </c>
      <c r="P454" s="189">
        <v>1.3974408224664301</v>
      </c>
      <c r="Q454" s="189">
        <v>7.9576993597945997E-2</v>
      </c>
      <c r="R454" s="189">
        <v>0.17083525605073699</v>
      </c>
      <c r="S454" s="189">
        <v>2.2731128058451702E-2</v>
      </c>
      <c r="T454" s="189">
        <v>4.51204688938045E-2</v>
      </c>
      <c r="U454" s="189">
        <v>0.17480674883393801</v>
      </c>
      <c r="V454" s="189">
        <v>0.20516091350576299</v>
      </c>
      <c r="W454" s="189"/>
      <c r="X454" s="90"/>
      <c r="Y454" s="188"/>
      <c r="Z454" s="188"/>
      <c r="AA454" s="188"/>
      <c r="AB454" s="188"/>
      <c r="AC454" s="188"/>
      <c r="AD454" s="190"/>
      <c r="AE454" s="189"/>
    </row>
    <row r="455" spans="1:31" ht="21.25" customHeight="1" x14ac:dyDescent="0.15">
      <c r="A455" s="10" t="s">
        <v>436</v>
      </c>
      <c r="B455" s="186" t="s">
        <v>865</v>
      </c>
      <c r="C455" s="187">
        <v>28</v>
      </c>
      <c r="D455" s="186" t="s">
        <v>827</v>
      </c>
      <c r="E455" s="90">
        <v>81.897499999999994</v>
      </c>
      <c r="F455" s="188">
        <v>19.158189761000202</v>
      </c>
      <c r="G455" s="189">
        <v>5.1625038653310501E-2</v>
      </c>
      <c r="H455" s="189">
        <v>0.20437439244884201</v>
      </c>
      <c r="I455" s="189">
        <v>0.25599943110215301</v>
      </c>
      <c r="J455" s="189">
        <v>0.99178104900605801</v>
      </c>
      <c r="K455" s="189">
        <v>2.0332057978897399E-4</v>
      </c>
      <c r="L455" s="189">
        <v>1.5558148528574099E-3</v>
      </c>
      <c r="M455" s="189">
        <v>4.1487376026339701E-4</v>
      </c>
      <c r="N455" s="189">
        <v>2.0519759808294898E-2</v>
      </c>
      <c r="O455" s="189">
        <v>1.3087899543430399</v>
      </c>
      <c r="P455" s="189">
        <v>0.70423497328602802</v>
      </c>
      <c r="Q455" s="189">
        <v>-5.6490556059398803E-2</v>
      </c>
      <c r="R455" s="189">
        <v>0.29319674094734199</v>
      </c>
      <c r="S455" s="189">
        <v>7.1513593347741202E-3</v>
      </c>
      <c r="T455" s="189">
        <v>0</v>
      </c>
      <c r="U455" s="189">
        <v>0</v>
      </c>
      <c r="V455" s="189">
        <v>0</v>
      </c>
      <c r="W455" s="189"/>
      <c r="X455" s="90"/>
      <c r="Y455" s="188"/>
      <c r="Z455" s="188"/>
      <c r="AA455" s="188"/>
      <c r="AB455" s="188"/>
      <c r="AC455" s="188"/>
      <c r="AD455" s="190"/>
      <c r="AE455" s="189"/>
    </row>
    <row r="456" spans="1:31" ht="21.25" customHeight="1" x14ac:dyDescent="0.15">
      <c r="A456" s="10" t="s">
        <v>714</v>
      </c>
      <c r="B456" s="186" t="s">
        <v>849</v>
      </c>
      <c r="C456" s="187">
        <v>33</v>
      </c>
      <c r="D456" s="186" t="s">
        <v>826</v>
      </c>
      <c r="E456" s="90">
        <v>79.63</v>
      </c>
      <c r="F456" s="188">
        <v>11.5205479683659</v>
      </c>
      <c r="G456" s="189">
        <v>0.116222520535478</v>
      </c>
      <c r="H456" s="189">
        <v>0.13950922890044501</v>
      </c>
      <c r="I456" s="189">
        <v>0.25573174943592297</v>
      </c>
      <c r="J456" s="189">
        <v>1.1115064613804999</v>
      </c>
      <c r="K456" s="189">
        <v>4.78451023314808E-4</v>
      </c>
      <c r="L456" s="189">
        <v>1.2138054434507599E-3</v>
      </c>
      <c r="M456" s="189">
        <v>1.49825763300223E-2</v>
      </c>
      <c r="N456" s="189">
        <v>1.8406482342034701E-2</v>
      </c>
      <c r="O456" s="189">
        <v>0.46815594482686301</v>
      </c>
      <c r="P456" s="189">
        <v>1.02096518029434</v>
      </c>
      <c r="Q456" s="189">
        <v>-2.16002070961245E-2</v>
      </c>
      <c r="R456" s="189">
        <v>0.29128061174709502</v>
      </c>
      <c r="S456" s="189">
        <v>1.8358993081807998E-2</v>
      </c>
      <c r="T456" s="189">
        <v>0.23944566467564299</v>
      </c>
      <c r="U456" s="189">
        <v>0.56448815641854999</v>
      </c>
      <c r="V456" s="189">
        <v>0.29784250692394798</v>
      </c>
      <c r="W456" s="189"/>
      <c r="X456" s="90"/>
      <c r="Y456" s="188"/>
      <c r="Z456" s="188"/>
      <c r="AA456" s="188"/>
      <c r="AB456" s="188"/>
      <c r="AC456" s="188"/>
      <c r="AD456" s="190"/>
      <c r="AE456" s="189"/>
    </row>
    <row r="457" spans="1:31" ht="21.25" customHeight="1" x14ac:dyDescent="0.15">
      <c r="A457" s="10" t="s">
        <v>750</v>
      </c>
      <c r="B457" s="186" t="s">
        <v>868</v>
      </c>
      <c r="C457" s="187">
        <v>23</v>
      </c>
      <c r="D457" s="186" t="s">
        <v>824</v>
      </c>
      <c r="E457" s="90">
        <v>71.252499999999998</v>
      </c>
      <c r="F457" s="188">
        <v>12.3662514066845</v>
      </c>
      <c r="G457" s="189">
        <v>0.109919066031418</v>
      </c>
      <c r="H457" s="189">
        <v>0.14567697424940201</v>
      </c>
      <c r="I457" s="189">
        <v>0.25559604028082</v>
      </c>
      <c r="J457" s="189">
        <v>1.00368955510472</v>
      </c>
      <c r="K457" s="189">
        <v>5.0830360217945505E-4</v>
      </c>
      <c r="L457" s="189">
        <v>1.5114484504608801E-3</v>
      </c>
      <c r="M457" s="189">
        <v>4.0625547969727503E-3</v>
      </c>
      <c r="N457" s="189">
        <v>7.5277242687663897E-3</v>
      </c>
      <c r="O457" s="189">
        <v>0.31794819679011599</v>
      </c>
      <c r="P457" s="189">
        <v>2.2298974734316599</v>
      </c>
      <c r="Q457" s="189">
        <v>-0.118941940468533</v>
      </c>
      <c r="R457" s="189">
        <v>0.34213888680058202</v>
      </c>
      <c r="S457" s="189">
        <v>1.36208984831313E-2</v>
      </c>
      <c r="T457" s="189">
        <v>7.1906421338921698</v>
      </c>
      <c r="U457" s="189">
        <v>4.8864099031897297</v>
      </c>
      <c r="V457" s="189">
        <v>0.595397131006285</v>
      </c>
      <c r="W457" s="189"/>
      <c r="X457" s="90"/>
      <c r="Y457" s="188"/>
      <c r="Z457" s="188"/>
      <c r="AA457" s="188"/>
      <c r="AB457" s="188"/>
      <c r="AC457" s="188"/>
      <c r="AD457" s="190"/>
      <c r="AE457" s="189"/>
    </row>
    <row r="458" spans="1:31" ht="21.25" customHeight="1" x14ac:dyDescent="0.15">
      <c r="A458" s="10" t="s">
        <v>526</v>
      </c>
      <c r="B458" s="186" t="s">
        <v>836</v>
      </c>
      <c r="C458" s="187">
        <v>29</v>
      </c>
      <c r="D458" s="186" t="s">
        <v>827</v>
      </c>
      <c r="E458" s="90">
        <v>72.662499999999994</v>
      </c>
      <c r="F458" s="188">
        <v>17.487351246478699</v>
      </c>
      <c r="G458" s="189">
        <v>4.6595616415900903E-2</v>
      </c>
      <c r="H458" s="189">
        <v>0.207257720417135</v>
      </c>
      <c r="I458" s="189">
        <v>0.25385333683303601</v>
      </c>
      <c r="J458" s="189">
        <v>0.75550087806399202</v>
      </c>
      <c r="K458" s="189">
        <v>3.3776566790931202E-4</v>
      </c>
      <c r="L458" s="189">
        <v>4.6238632442740703E-3</v>
      </c>
      <c r="M458" s="189">
        <v>2.5417979611376198E-4</v>
      </c>
      <c r="N458" s="189">
        <v>1.59591563067546E-3</v>
      </c>
      <c r="O458" s="189">
        <v>1.1672556132679699</v>
      </c>
      <c r="P458" s="189">
        <v>0.64994118379580601</v>
      </c>
      <c r="Q458" s="189">
        <v>7.3075776231478901E-2</v>
      </c>
      <c r="R458" s="189">
        <v>0.25795473642907701</v>
      </c>
      <c r="S458" s="189">
        <v>8.1794669301582992E-3</v>
      </c>
      <c r="T458" s="189">
        <v>0</v>
      </c>
      <c r="U458" s="189">
        <v>0</v>
      </c>
      <c r="V458" s="189">
        <v>0</v>
      </c>
      <c r="W458" s="189"/>
      <c r="X458" s="90"/>
      <c r="Y458" s="188"/>
      <c r="Z458" s="188"/>
      <c r="AA458" s="188"/>
      <c r="AB458" s="188"/>
      <c r="AC458" s="188"/>
      <c r="AD458" s="190"/>
      <c r="AE458" s="189"/>
    </row>
    <row r="459" spans="1:31" ht="21.25" customHeight="1" x14ac:dyDescent="0.15">
      <c r="A459" s="10" t="s">
        <v>392</v>
      </c>
      <c r="B459" s="186" t="s">
        <v>866</v>
      </c>
      <c r="C459" s="187">
        <v>26</v>
      </c>
      <c r="D459" s="186" t="s">
        <v>827</v>
      </c>
      <c r="E459" s="90">
        <v>75.775000000000006</v>
      </c>
      <c r="F459" s="188">
        <v>18.891691406885101</v>
      </c>
      <c r="G459" s="189">
        <v>5.8946886534580703E-2</v>
      </c>
      <c r="H459" s="189">
        <v>0.19337701800694099</v>
      </c>
      <c r="I459" s="189">
        <v>0.25232390454152198</v>
      </c>
      <c r="J459" s="189">
        <v>1.26031178090545</v>
      </c>
      <c r="K459" s="189">
        <v>1.23865639019334E-4</v>
      </c>
      <c r="L459" s="189">
        <v>9.7245073513139004E-4</v>
      </c>
      <c r="M459" s="189">
        <v>2.5722803455446099E-4</v>
      </c>
      <c r="N459" s="189">
        <v>5.9308138100184898E-3</v>
      </c>
      <c r="O459" s="189">
        <v>1.83405452578362</v>
      </c>
      <c r="P459" s="189">
        <v>1.5702761112178401</v>
      </c>
      <c r="Q459" s="189">
        <v>-6.15736865562121E-2</v>
      </c>
      <c r="R459" s="189">
        <v>0.309685350828519</v>
      </c>
      <c r="S459" s="189">
        <v>8.6086901638727197E-3</v>
      </c>
      <c r="T459" s="189">
        <v>0</v>
      </c>
      <c r="U459" s="189">
        <v>0</v>
      </c>
      <c r="V459" s="189">
        <v>0</v>
      </c>
      <c r="W459" s="189"/>
      <c r="X459" s="90"/>
      <c r="Y459" s="188"/>
      <c r="Z459" s="188"/>
      <c r="AA459" s="188"/>
      <c r="AB459" s="188"/>
      <c r="AC459" s="188"/>
      <c r="AD459" s="190"/>
      <c r="AE459" s="189"/>
    </row>
    <row r="460" spans="1:31" ht="21.25" customHeight="1" x14ac:dyDescent="0.15">
      <c r="A460" s="10" t="s">
        <v>753</v>
      </c>
      <c r="B460" s="186" t="s">
        <v>836</v>
      </c>
      <c r="C460" s="187">
        <v>23</v>
      </c>
      <c r="D460" s="186" t="s">
        <v>839</v>
      </c>
      <c r="E460" s="90">
        <v>75.314999999999998</v>
      </c>
      <c r="F460" s="188">
        <v>11.477978508659101</v>
      </c>
      <c r="G460" s="189">
        <v>9.6307958417194403E-2</v>
      </c>
      <c r="H460" s="189">
        <v>0.155613596689294</v>
      </c>
      <c r="I460" s="189">
        <v>0.251921555106488</v>
      </c>
      <c r="J460" s="189">
        <v>0.99674295032700599</v>
      </c>
      <c r="K460" s="189">
        <v>9.7971231978247302E-3</v>
      </c>
      <c r="L460" s="189">
        <v>2.1136067770362199E-2</v>
      </c>
      <c r="M460" s="189">
        <v>1.6334898233212501E-3</v>
      </c>
      <c r="N460" s="189">
        <v>2.66077063805865E-3</v>
      </c>
      <c r="O460" s="189">
        <v>0.47769708227757901</v>
      </c>
      <c r="P460" s="189">
        <v>3.0942166658585899</v>
      </c>
      <c r="Q460" s="189">
        <v>5.0237024801233897E-2</v>
      </c>
      <c r="R460" s="189">
        <v>0.49079856125062699</v>
      </c>
      <c r="S460" s="189">
        <v>1.6906048713966199E-2</v>
      </c>
      <c r="T460" s="189">
        <v>0.46841120254892199</v>
      </c>
      <c r="U460" s="189">
        <v>0.63742985353945103</v>
      </c>
      <c r="V460" s="189">
        <v>0.423579139126744</v>
      </c>
      <c r="W460" s="189"/>
      <c r="X460" s="90"/>
      <c r="Y460" s="188"/>
      <c r="Z460" s="188"/>
      <c r="AA460" s="188"/>
      <c r="AB460" s="188"/>
      <c r="AC460" s="188"/>
      <c r="AD460" s="190"/>
      <c r="AE460" s="189"/>
    </row>
    <row r="461" spans="1:31" ht="21.25" customHeight="1" x14ac:dyDescent="0.15">
      <c r="A461" s="10" t="s">
        <v>732</v>
      </c>
      <c r="B461" s="186" t="s">
        <v>864</v>
      </c>
      <c r="C461" s="187">
        <v>28</v>
      </c>
      <c r="D461" s="186" t="s">
        <v>826</v>
      </c>
      <c r="E461" s="90">
        <v>80.37</v>
      </c>
      <c r="F461" s="188">
        <v>11.391747945996199</v>
      </c>
      <c r="G461" s="189">
        <v>9.7577789712521207E-2</v>
      </c>
      <c r="H461" s="189">
        <v>0.154043359020061</v>
      </c>
      <c r="I461" s="189">
        <v>0.25162114873258201</v>
      </c>
      <c r="J461" s="189">
        <v>0.90669132092602001</v>
      </c>
      <c r="K461" s="189">
        <v>1.64981088221374E-3</v>
      </c>
      <c r="L461" s="189">
        <v>6.3618510456383203E-3</v>
      </c>
      <c r="M461" s="189">
        <v>4.7275403711021097E-3</v>
      </c>
      <c r="N461" s="189">
        <v>5.2882907046325296E-3</v>
      </c>
      <c r="O461" s="189">
        <v>0.46902131855560603</v>
      </c>
      <c r="P461" s="189">
        <v>0.85452141580132301</v>
      </c>
      <c r="Q461" s="189">
        <v>-1.14200794847455E-2</v>
      </c>
      <c r="R461" s="189">
        <v>0.22324830962118</v>
      </c>
      <c r="S461" s="189">
        <v>1.53298407828069E-2</v>
      </c>
      <c r="T461" s="189">
        <v>8.3205579944188507E-2</v>
      </c>
      <c r="U461" s="189">
        <v>0.21541924889800301</v>
      </c>
      <c r="V461" s="189">
        <v>0.27862914234823599</v>
      </c>
      <c r="W461" s="189"/>
      <c r="X461" s="90"/>
      <c r="Y461" s="188"/>
      <c r="Z461" s="188"/>
      <c r="AA461" s="188"/>
      <c r="AB461" s="188"/>
      <c r="AC461" s="188"/>
      <c r="AD461" s="190"/>
      <c r="AE461" s="189"/>
    </row>
    <row r="462" spans="1:31" ht="21.25" customHeight="1" x14ac:dyDescent="0.15">
      <c r="A462" s="10" t="s">
        <v>700</v>
      </c>
      <c r="B462" s="186" t="s">
        <v>861</v>
      </c>
      <c r="C462" s="187">
        <v>27</v>
      </c>
      <c r="D462" s="186" t="s">
        <v>839</v>
      </c>
      <c r="E462" s="90">
        <v>79.447500000000005</v>
      </c>
      <c r="F462" s="188">
        <v>12.634399914253001</v>
      </c>
      <c r="G462" s="189">
        <v>0.112299554202502</v>
      </c>
      <c r="H462" s="189">
        <v>0.13802945011748999</v>
      </c>
      <c r="I462" s="189">
        <v>0.250329004319992</v>
      </c>
      <c r="J462" s="189">
        <v>1.0769053614580699</v>
      </c>
      <c r="K462" s="189">
        <v>3.67501562659298E-3</v>
      </c>
      <c r="L462" s="189">
        <v>7.8518744540603692E-3</v>
      </c>
      <c r="M462" s="189">
        <v>7.8933170538939904E-3</v>
      </c>
      <c r="N462" s="189">
        <v>1.35220183151683E-2</v>
      </c>
      <c r="O462" s="189">
        <v>0.85142825438401304</v>
      </c>
      <c r="P462" s="189">
        <v>1.3239541705220601</v>
      </c>
      <c r="Q462" s="189">
        <v>-2.9369158493576498E-2</v>
      </c>
      <c r="R462" s="189">
        <v>0.29991442251570499</v>
      </c>
      <c r="S462" s="189">
        <v>1.7598227545802099E-2</v>
      </c>
      <c r="T462" s="189">
        <v>1.6544663786523399</v>
      </c>
      <c r="U462" s="189">
        <v>1.8747044613538899</v>
      </c>
      <c r="V462" s="189">
        <v>0.468797475003907</v>
      </c>
      <c r="W462" s="189"/>
      <c r="X462" s="90"/>
      <c r="Y462" s="188"/>
      <c r="Z462" s="188"/>
      <c r="AA462" s="188"/>
      <c r="AB462" s="188"/>
      <c r="AC462" s="188"/>
      <c r="AD462" s="190"/>
      <c r="AE462" s="189"/>
    </row>
    <row r="463" spans="1:31" ht="21.25" customHeight="1" x14ac:dyDescent="0.15">
      <c r="A463" s="10" t="s">
        <v>464</v>
      </c>
      <c r="B463" s="186" t="s">
        <v>864</v>
      </c>
      <c r="C463" s="187">
        <v>25</v>
      </c>
      <c r="D463" s="186" t="s">
        <v>827</v>
      </c>
      <c r="E463" s="90">
        <v>79.88</v>
      </c>
      <c r="F463" s="188">
        <v>17.380032446201799</v>
      </c>
      <c r="G463" s="189">
        <v>7.2264234904621097E-2</v>
      </c>
      <c r="H463" s="189">
        <v>0.17797179044356801</v>
      </c>
      <c r="I463" s="189">
        <v>0.25023602534818901</v>
      </c>
      <c r="J463" s="189">
        <v>1.07489136319486</v>
      </c>
      <c r="K463" s="189">
        <v>2.8251868699386099E-4</v>
      </c>
      <c r="L463" s="189">
        <v>2.1281441442079201E-3</v>
      </c>
      <c r="M463" s="189">
        <v>5.0393130137150804E-4</v>
      </c>
      <c r="N463" s="189">
        <v>1.7354075486720501E-3</v>
      </c>
      <c r="O463" s="189">
        <v>1.16937741627984</v>
      </c>
      <c r="P463" s="189">
        <v>1.37363334230143</v>
      </c>
      <c r="Q463" s="189">
        <v>-8.1735392594681593E-3</v>
      </c>
      <c r="R463" s="189">
        <v>0.47657149156345202</v>
      </c>
      <c r="S463" s="189">
        <v>1.1352985332450501E-2</v>
      </c>
      <c r="T463" s="189">
        <v>0</v>
      </c>
      <c r="U463" s="189">
        <v>0</v>
      </c>
      <c r="V463" s="189">
        <v>0</v>
      </c>
      <c r="W463" s="189"/>
      <c r="X463" s="90"/>
      <c r="Y463" s="188"/>
      <c r="Z463" s="188"/>
      <c r="AA463" s="188"/>
      <c r="AB463" s="188"/>
      <c r="AC463" s="188"/>
      <c r="AD463" s="190"/>
      <c r="AE463" s="189"/>
    </row>
    <row r="464" spans="1:31" ht="21.25" customHeight="1" x14ac:dyDescent="0.15">
      <c r="A464" s="10" t="s">
        <v>551</v>
      </c>
      <c r="B464" s="186" t="s">
        <v>871</v>
      </c>
      <c r="C464" s="187">
        <v>21</v>
      </c>
      <c r="D464" s="186" t="s">
        <v>827</v>
      </c>
      <c r="E464" s="90">
        <v>64.11</v>
      </c>
      <c r="F464" s="188">
        <v>16.8450765653022</v>
      </c>
      <c r="G464" s="189">
        <v>5.9846533533440098E-2</v>
      </c>
      <c r="H464" s="189">
        <v>0.190418444361071</v>
      </c>
      <c r="I464" s="189">
        <v>0.25026497789451102</v>
      </c>
      <c r="J464" s="189">
        <v>1.04450613464836</v>
      </c>
      <c r="K464" s="189">
        <v>5.4119231877490298E-3</v>
      </c>
      <c r="L464" s="189">
        <v>4.84545116180473E-2</v>
      </c>
      <c r="M464" s="189">
        <v>6.1998703111723695E-4</v>
      </c>
      <c r="N464" s="189">
        <v>2.1202767172612E-3</v>
      </c>
      <c r="O464" s="189">
        <v>0.95820150036747798</v>
      </c>
      <c r="P464" s="189">
        <v>0.92340295149969798</v>
      </c>
      <c r="Q464" s="189">
        <v>-8.8909629645769095E-2</v>
      </c>
      <c r="R464" s="189">
        <v>0.30695116871306499</v>
      </c>
      <c r="S464" s="189">
        <v>8.6044334943410593E-3</v>
      </c>
      <c r="T464" s="189">
        <v>0</v>
      </c>
      <c r="U464" s="189">
        <v>0</v>
      </c>
      <c r="V464" s="189">
        <v>0</v>
      </c>
      <c r="W464" s="189"/>
      <c r="X464" s="90"/>
      <c r="Y464" s="188"/>
      <c r="Z464" s="188"/>
      <c r="AA464" s="188"/>
      <c r="AB464" s="188"/>
      <c r="AC464" s="188"/>
      <c r="AD464" s="190"/>
      <c r="AE464" s="189"/>
    </row>
    <row r="465" spans="1:31" ht="21.25" customHeight="1" x14ac:dyDescent="0.15">
      <c r="A465" s="10" t="s">
        <v>746</v>
      </c>
      <c r="B465" s="186" t="s">
        <v>851</v>
      </c>
      <c r="C465" s="187">
        <v>28</v>
      </c>
      <c r="D465" s="186" t="s">
        <v>825</v>
      </c>
      <c r="E465" s="90">
        <v>72.652500000000003</v>
      </c>
      <c r="F465" s="188">
        <v>11.502154608114299</v>
      </c>
      <c r="G465" s="189">
        <v>0.121240838848635</v>
      </c>
      <c r="H465" s="189">
        <v>0.12882098326291599</v>
      </c>
      <c r="I465" s="189">
        <v>0.25006182211155098</v>
      </c>
      <c r="J465" s="189">
        <v>1.3095566002982699</v>
      </c>
      <c r="K465" s="189">
        <v>1.2842903409756399E-4</v>
      </c>
      <c r="L465" s="189">
        <v>2.7988978712483798E-4</v>
      </c>
      <c r="M465" s="189">
        <v>9.1240594713170899E-3</v>
      </c>
      <c r="N465" s="189">
        <v>1.0287963687752401E-2</v>
      </c>
      <c r="O465" s="189">
        <v>0.361679667489263</v>
      </c>
      <c r="P465" s="189">
        <v>2.6603213255065099</v>
      </c>
      <c r="Q465" s="189">
        <v>7.1655233221005503E-3</v>
      </c>
      <c r="R465" s="189">
        <v>0.20432625316452599</v>
      </c>
      <c r="S465" s="189">
        <v>2.1067990810785399E-2</v>
      </c>
      <c r="T465" s="189">
        <v>0</v>
      </c>
      <c r="U465" s="189">
        <v>3.1823525500448001E-2</v>
      </c>
      <c r="V465" s="189">
        <v>0</v>
      </c>
      <c r="W465" s="189"/>
      <c r="X465" s="90"/>
      <c r="Y465" s="188"/>
      <c r="Z465" s="188"/>
      <c r="AA465" s="188"/>
      <c r="AB465" s="188"/>
      <c r="AC465" s="188"/>
      <c r="AD465" s="190"/>
      <c r="AE465" s="189"/>
    </row>
    <row r="466" spans="1:31" ht="21.25" customHeight="1" x14ac:dyDescent="0.15">
      <c r="A466" s="10" t="s">
        <v>481</v>
      </c>
      <c r="B466" s="186" t="s">
        <v>854</v>
      </c>
      <c r="C466" s="187">
        <v>24</v>
      </c>
      <c r="D466" s="186" t="s">
        <v>827</v>
      </c>
      <c r="E466" s="90">
        <v>74.704999999999998</v>
      </c>
      <c r="F466" s="188">
        <v>19.8329276735479</v>
      </c>
      <c r="G466" s="189">
        <v>7.9031560200667594E-2</v>
      </c>
      <c r="H466" s="189">
        <v>0.170653038703768</v>
      </c>
      <c r="I466" s="189">
        <v>0.24968459890443601</v>
      </c>
      <c r="J466" s="189">
        <v>1.0998561371598901</v>
      </c>
      <c r="K466" s="189">
        <v>1.40385432740729E-4</v>
      </c>
      <c r="L466" s="189">
        <v>1.0420945181696499E-3</v>
      </c>
      <c r="M466" s="189">
        <v>3.9864208284018501E-4</v>
      </c>
      <c r="N466" s="189">
        <v>2.0879633925147802E-3</v>
      </c>
      <c r="O466" s="189">
        <v>1.22106231392543</v>
      </c>
      <c r="P466" s="189">
        <v>0.756234114700294</v>
      </c>
      <c r="Q466" s="189">
        <v>-0.11227270204537899</v>
      </c>
      <c r="R466" s="189">
        <v>0.44527510046379198</v>
      </c>
      <c r="S466" s="189">
        <v>9.7537628832216495E-3</v>
      </c>
      <c r="T466" s="189">
        <v>0</v>
      </c>
      <c r="U466" s="189">
        <v>0</v>
      </c>
      <c r="V466" s="189">
        <v>0</v>
      </c>
      <c r="W466" s="189"/>
      <c r="X466" s="90"/>
      <c r="Y466" s="189"/>
      <c r="Z466" s="189"/>
      <c r="AA466" s="189"/>
      <c r="AB466" s="189"/>
      <c r="AC466" s="188"/>
      <c r="AD466" s="190"/>
      <c r="AE466" s="189"/>
    </row>
    <row r="467" spans="1:31" ht="21.25" customHeight="1" x14ac:dyDescent="0.15">
      <c r="A467" s="10" t="s">
        <v>416</v>
      </c>
      <c r="B467" s="186" t="s">
        <v>841</v>
      </c>
      <c r="C467" s="187">
        <v>31</v>
      </c>
      <c r="D467" s="186" t="s">
        <v>827</v>
      </c>
      <c r="E467" s="90">
        <v>83.015000000000001</v>
      </c>
      <c r="F467" s="188">
        <v>20.515009693828102</v>
      </c>
      <c r="G467" s="189">
        <v>3.1364519119812098E-2</v>
      </c>
      <c r="H467" s="189">
        <v>0.216277220996619</v>
      </c>
      <c r="I467" s="189">
        <v>0.247641740116431</v>
      </c>
      <c r="J467" s="189">
        <v>1.1591640911057399</v>
      </c>
      <c r="K467" s="189">
        <v>5.9510443871897901E-5</v>
      </c>
      <c r="L467" s="189">
        <v>6.6528831664757696E-4</v>
      </c>
      <c r="M467" s="189">
        <v>1.49348308641934E-4</v>
      </c>
      <c r="N467" s="189">
        <v>2.8206835206756801E-3</v>
      </c>
      <c r="O467" s="189">
        <v>1.32152416840795</v>
      </c>
      <c r="P467" s="189">
        <v>2.1936350638743898</v>
      </c>
      <c r="Q467" s="189">
        <v>-2.23625577359138E-2</v>
      </c>
      <c r="R467" s="189">
        <v>1.2564809998940201</v>
      </c>
      <c r="S467" s="189">
        <v>4.2223442724130698E-3</v>
      </c>
      <c r="T467" s="189">
        <v>0</v>
      </c>
      <c r="U467" s="189">
        <v>0</v>
      </c>
      <c r="V467" s="189">
        <v>0</v>
      </c>
      <c r="W467" s="189"/>
      <c r="X467" s="90"/>
      <c r="Y467" s="188"/>
      <c r="Z467" s="188"/>
      <c r="AA467" s="188"/>
      <c r="AB467" s="188"/>
      <c r="AC467" s="188"/>
      <c r="AD467" s="190"/>
      <c r="AE467" s="189"/>
    </row>
    <row r="468" spans="1:31" ht="21.25" customHeight="1" x14ac:dyDescent="0.15">
      <c r="A468" s="10" t="s">
        <v>782</v>
      </c>
      <c r="B468" s="186" t="s">
        <v>870</v>
      </c>
      <c r="C468" s="187">
        <v>27</v>
      </c>
      <c r="D468" s="186" t="s">
        <v>839</v>
      </c>
      <c r="E468" s="90">
        <v>62.63</v>
      </c>
      <c r="F468" s="188">
        <v>12.100641967612599</v>
      </c>
      <c r="G468" s="189">
        <v>0.111287863408337</v>
      </c>
      <c r="H468" s="189">
        <v>0.13635011493839599</v>
      </c>
      <c r="I468" s="189">
        <v>0.24763797834673301</v>
      </c>
      <c r="J468" s="189">
        <v>1.1061623399318501</v>
      </c>
      <c r="K468" s="189">
        <v>7.6637920926952302E-4</v>
      </c>
      <c r="L468" s="189">
        <v>1.6773662237710601E-3</v>
      </c>
      <c r="M468" s="189">
        <v>2.8271529596697298E-3</v>
      </c>
      <c r="N468" s="189">
        <v>5.2368941384385199E-3</v>
      </c>
      <c r="O468" s="189">
        <v>0.32606964278793299</v>
      </c>
      <c r="P468" s="189">
        <v>1.3545288652834</v>
      </c>
      <c r="Q468" s="189">
        <v>-8.9867631066436193E-2</v>
      </c>
      <c r="R468" s="189">
        <v>0.30829468786567499</v>
      </c>
      <c r="S468" s="189">
        <v>1.5332705934926799E-2</v>
      </c>
      <c r="T468" s="189">
        <v>3.43297178092772</v>
      </c>
      <c r="U468" s="189">
        <v>3.0544240601349801</v>
      </c>
      <c r="V468" s="189">
        <v>0.52917562994974698</v>
      </c>
      <c r="W468" s="189"/>
      <c r="X468" s="90"/>
      <c r="Y468" s="188"/>
      <c r="Z468" s="188"/>
      <c r="AA468" s="188"/>
      <c r="AB468" s="188"/>
      <c r="AC468" s="188"/>
      <c r="AD468" s="190"/>
      <c r="AE468" s="189"/>
    </row>
    <row r="469" spans="1:31" ht="21.25" customHeight="1" x14ac:dyDescent="0.15">
      <c r="A469" s="10" t="s">
        <v>693</v>
      </c>
      <c r="B469" s="186" t="s">
        <v>841</v>
      </c>
      <c r="C469" s="187">
        <v>27</v>
      </c>
      <c r="D469" s="186" t="s">
        <v>846</v>
      </c>
      <c r="E469" s="90">
        <v>79.242500000000007</v>
      </c>
      <c r="F469" s="188">
        <v>12.312843927210301</v>
      </c>
      <c r="G469" s="189">
        <v>0.120982263172514</v>
      </c>
      <c r="H469" s="189">
        <v>0.12588803456938999</v>
      </c>
      <c r="I469" s="189">
        <v>0.246870297741904</v>
      </c>
      <c r="J469" s="189">
        <v>1.21822948994237</v>
      </c>
      <c r="K469" s="189">
        <v>4.7030572517582002E-4</v>
      </c>
      <c r="L469" s="189">
        <v>1.6895921007418801E-3</v>
      </c>
      <c r="M469" s="189">
        <v>9.7900492512119301E-3</v>
      </c>
      <c r="N469" s="189">
        <v>1.1266900029762101E-2</v>
      </c>
      <c r="O469" s="189">
        <v>0.72287773951880496</v>
      </c>
      <c r="P469" s="189">
        <v>2.6312793954362799</v>
      </c>
      <c r="Q469" s="189">
        <v>-2.8118634232209599E-2</v>
      </c>
      <c r="R469" s="189">
        <v>1.0391359020316899</v>
      </c>
      <c r="S469" s="189">
        <v>1.6286835580634099E-2</v>
      </c>
      <c r="T469" s="189">
        <v>3.9898999131000501</v>
      </c>
      <c r="U469" s="189">
        <v>2.9057688415921898</v>
      </c>
      <c r="V469" s="189">
        <v>0.57860956711197498</v>
      </c>
      <c r="W469" s="189"/>
      <c r="X469" s="90"/>
      <c r="Y469" s="188"/>
      <c r="Z469" s="188"/>
      <c r="AA469" s="188"/>
      <c r="AB469" s="188"/>
      <c r="AC469" s="188"/>
      <c r="AD469" s="190"/>
      <c r="AE469" s="189"/>
    </row>
    <row r="470" spans="1:31" ht="21.25" customHeight="1" x14ac:dyDescent="0.15">
      <c r="A470" s="10" t="s">
        <v>397</v>
      </c>
      <c r="B470" s="186" t="s">
        <v>850</v>
      </c>
      <c r="C470" s="187">
        <v>29</v>
      </c>
      <c r="D470" s="186" t="s">
        <v>827</v>
      </c>
      <c r="E470" s="90">
        <v>81.12</v>
      </c>
      <c r="F470" s="188">
        <v>18.977949447866301</v>
      </c>
      <c r="G470" s="189">
        <v>4.4142281557824001E-2</v>
      </c>
      <c r="H470" s="189">
        <v>0.202400354753561</v>
      </c>
      <c r="I470" s="189">
        <v>0.24654263631138501</v>
      </c>
      <c r="J470" s="189">
        <v>0.78968588738138201</v>
      </c>
      <c r="K470" s="189">
        <v>3.8620632668555701E-5</v>
      </c>
      <c r="L470" s="189">
        <v>5.4280613026881804E-4</v>
      </c>
      <c r="M470" s="189">
        <v>1.9855382963245198E-3</v>
      </c>
      <c r="N470" s="189">
        <v>7.1815651527746098E-3</v>
      </c>
      <c r="O470" s="189">
        <v>1.96323239444015</v>
      </c>
      <c r="P470" s="189">
        <v>0.75585349202887897</v>
      </c>
      <c r="Q470" s="189">
        <v>2.4277668425243499E-2</v>
      </c>
      <c r="R470" s="189">
        <v>0.49490812498463999</v>
      </c>
      <c r="S470" s="189">
        <v>7.3492552383320501E-3</v>
      </c>
      <c r="T470" s="189">
        <v>0</v>
      </c>
      <c r="U470" s="189">
        <v>0</v>
      </c>
      <c r="V470" s="189">
        <v>0</v>
      </c>
      <c r="W470" s="189"/>
      <c r="X470" s="90"/>
      <c r="Y470" s="188"/>
      <c r="Z470" s="188"/>
      <c r="AA470" s="188"/>
      <c r="AB470" s="188"/>
      <c r="AC470" s="188"/>
      <c r="AD470" s="190"/>
      <c r="AE470" s="189"/>
    </row>
    <row r="471" spans="1:31" ht="21.25" customHeight="1" x14ac:dyDescent="0.15">
      <c r="A471" s="10" t="s">
        <v>703</v>
      </c>
      <c r="B471" s="186" t="s">
        <v>869</v>
      </c>
      <c r="C471" s="187">
        <v>29</v>
      </c>
      <c r="D471" s="186" t="s">
        <v>825</v>
      </c>
      <c r="E471" s="90">
        <v>81.692499999999995</v>
      </c>
      <c r="F471" s="188">
        <v>12.0572194403055</v>
      </c>
      <c r="G471" s="189">
        <v>0.122233669354332</v>
      </c>
      <c r="H471" s="189">
        <v>0.122664286227609</v>
      </c>
      <c r="I471" s="189">
        <v>0.244897955581941</v>
      </c>
      <c r="J471" s="189">
        <v>1.3722003336353199</v>
      </c>
      <c r="K471" s="189">
        <v>8.2041975601533797E-4</v>
      </c>
      <c r="L471" s="189">
        <v>1.5579926117896699E-3</v>
      </c>
      <c r="M471" s="189">
        <v>6.6152707238751503E-3</v>
      </c>
      <c r="N471" s="189">
        <v>1.6402780549753099E-2</v>
      </c>
      <c r="O471" s="189">
        <v>0.46997270882829001</v>
      </c>
      <c r="P471" s="189">
        <v>1.0861466587055599</v>
      </c>
      <c r="Q471" s="189">
        <v>4.1066317257299402E-2</v>
      </c>
      <c r="R471" s="189">
        <v>0.23306293118045099</v>
      </c>
      <c r="S471" s="189">
        <v>1.8306852895479401E-2</v>
      </c>
      <c r="T471" s="189">
        <v>0.38143816472905401</v>
      </c>
      <c r="U471" s="189">
        <v>0.39463881549464702</v>
      </c>
      <c r="V471" s="189">
        <v>0.491495269733559</v>
      </c>
      <c r="W471" s="189"/>
      <c r="X471" s="90"/>
      <c r="Y471" s="188"/>
      <c r="Z471" s="188"/>
      <c r="AA471" s="188"/>
      <c r="AB471" s="188"/>
      <c r="AC471" s="188"/>
      <c r="AD471" s="190"/>
      <c r="AE471" s="189"/>
    </row>
    <row r="472" spans="1:31" ht="21.25" customHeight="1" x14ac:dyDescent="0.15">
      <c r="A472" s="10" t="s">
        <v>720</v>
      </c>
      <c r="B472" s="186" t="s">
        <v>861</v>
      </c>
      <c r="C472" s="187">
        <v>29</v>
      </c>
      <c r="D472" s="186" t="s">
        <v>826</v>
      </c>
      <c r="E472" s="90">
        <v>83.73</v>
      </c>
      <c r="F472" s="188">
        <v>11.627903386471001</v>
      </c>
      <c r="G472" s="189">
        <v>9.3936012907773897E-2</v>
      </c>
      <c r="H472" s="189">
        <v>0.15047712470119101</v>
      </c>
      <c r="I472" s="189">
        <v>0.24441313760896499</v>
      </c>
      <c r="J472" s="189">
        <v>0.88444672251915202</v>
      </c>
      <c r="K472" s="189">
        <v>8.14600669933962E-4</v>
      </c>
      <c r="L472" s="189">
        <v>1.83043809290613E-3</v>
      </c>
      <c r="M472" s="189">
        <v>3.1149562270670799E-3</v>
      </c>
      <c r="N472" s="189">
        <v>1.49832305581804E-2</v>
      </c>
      <c r="O472" s="189">
        <v>0.521790670388807</v>
      </c>
      <c r="P472" s="189">
        <v>2.8662437788887898</v>
      </c>
      <c r="Q472" s="189">
        <v>-4.10542432815693E-2</v>
      </c>
      <c r="R472" s="189">
        <v>0.50343980133653699</v>
      </c>
      <c r="S472" s="189">
        <v>1.47205155143847E-2</v>
      </c>
      <c r="T472" s="189">
        <v>0.119520752075901</v>
      </c>
      <c r="U472" s="189">
        <v>0.20887738407197701</v>
      </c>
      <c r="V472" s="189">
        <v>0.36395076256486603</v>
      </c>
      <c r="W472" s="189"/>
      <c r="X472" s="90"/>
      <c r="Y472" s="188"/>
      <c r="Z472" s="188"/>
      <c r="AA472" s="188"/>
      <c r="AB472" s="188"/>
      <c r="AC472" s="188"/>
      <c r="AD472" s="190"/>
      <c r="AE472" s="189"/>
    </row>
    <row r="473" spans="1:31" ht="21.25" customHeight="1" x14ac:dyDescent="0.15">
      <c r="A473" s="10" t="s">
        <v>731</v>
      </c>
      <c r="B473" s="186" t="s">
        <v>844</v>
      </c>
      <c r="C473" s="187">
        <v>35</v>
      </c>
      <c r="D473" s="186" t="s">
        <v>825</v>
      </c>
      <c r="E473" s="90">
        <v>76.027500000000003</v>
      </c>
      <c r="F473" s="188">
        <v>12.6878268861607</v>
      </c>
      <c r="G473" s="189">
        <v>0.11706202904448899</v>
      </c>
      <c r="H473" s="189">
        <v>0.12689855246001</v>
      </c>
      <c r="I473" s="189">
        <v>0.24396058150449901</v>
      </c>
      <c r="J473" s="189">
        <v>1.0225333275620501</v>
      </c>
      <c r="K473" s="189">
        <v>1.2092345310446299E-3</v>
      </c>
      <c r="L473" s="189">
        <v>1.6101499625040801E-3</v>
      </c>
      <c r="M473" s="189">
        <v>1.1672016071975001E-3</v>
      </c>
      <c r="N473" s="189">
        <v>3.8522457950326398E-3</v>
      </c>
      <c r="O473" s="189">
        <v>0.69941900636841503</v>
      </c>
      <c r="P473" s="189">
        <v>2.8637741381690902</v>
      </c>
      <c r="Q473" s="189">
        <v>2.85963940249273E-2</v>
      </c>
      <c r="R473" s="189">
        <v>0.75084013194551802</v>
      </c>
      <c r="S473" s="189">
        <v>1.90675894744394E-2</v>
      </c>
      <c r="T473" s="189">
        <v>0.12617156043911401</v>
      </c>
      <c r="U473" s="189">
        <v>0.18867901571273499</v>
      </c>
      <c r="V473" s="189">
        <v>0.40073472941101701</v>
      </c>
      <c r="W473" s="189"/>
      <c r="X473" s="90"/>
      <c r="Y473" s="189"/>
      <c r="Z473" s="189"/>
      <c r="AA473" s="189"/>
      <c r="AB473" s="189"/>
      <c r="AC473" s="188"/>
      <c r="AD473" s="190"/>
      <c r="AE473" s="189"/>
    </row>
    <row r="474" spans="1:31" ht="21.25" customHeight="1" x14ac:dyDescent="0.15">
      <c r="A474" s="10" t="s">
        <v>761</v>
      </c>
      <c r="B474" s="186" t="s">
        <v>844</v>
      </c>
      <c r="C474" s="187">
        <v>38</v>
      </c>
      <c r="D474" s="186" t="s">
        <v>839</v>
      </c>
      <c r="E474" s="90">
        <v>77.709999999999994</v>
      </c>
      <c r="F474" s="188">
        <v>11.085299866263</v>
      </c>
      <c r="G474" s="189">
        <v>9.7238381024528101E-2</v>
      </c>
      <c r="H474" s="189">
        <v>0.14669998615614999</v>
      </c>
      <c r="I474" s="189">
        <v>0.24393836718067799</v>
      </c>
      <c r="J474" s="189">
        <v>0.92529998257161095</v>
      </c>
      <c r="K474" s="189">
        <v>5.24658638751733E-3</v>
      </c>
      <c r="L474" s="189">
        <v>1.28760398410806E-2</v>
      </c>
      <c r="M474" s="189">
        <v>2.0613196005016101E-3</v>
      </c>
      <c r="N474" s="189">
        <v>4.11048459882198E-3</v>
      </c>
      <c r="O474" s="189">
        <v>0.45508522824145498</v>
      </c>
      <c r="P474" s="189">
        <v>2.0515320375454902</v>
      </c>
      <c r="Q474" s="189">
        <v>2.7384341194968999E-2</v>
      </c>
      <c r="R474" s="189">
        <v>0.461912200399337</v>
      </c>
      <c r="S474" s="189">
        <v>1.5838624579368701E-2</v>
      </c>
      <c r="T474" s="189">
        <v>2.9596129667001301</v>
      </c>
      <c r="U474" s="189">
        <v>2.9749888997771801</v>
      </c>
      <c r="V474" s="189">
        <v>0.49870455226626897</v>
      </c>
      <c r="W474" s="189"/>
      <c r="X474" s="90"/>
      <c r="Y474" s="188"/>
      <c r="Z474" s="188"/>
      <c r="AA474" s="188"/>
      <c r="AB474" s="188"/>
      <c r="AC474" s="188"/>
      <c r="AD474" s="190"/>
      <c r="AE474" s="189"/>
    </row>
    <row r="475" spans="1:31" ht="21.25" customHeight="1" x14ac:dyDescent="0.15">
      <c r="A475" s="10" t="s">
        <v>516</v>
      </c>
      <c r="B475" s="186" t="s">
        <v>856</v>
      </c>
      <c r="C475" s="187">
        <v>22</v>
      </c>
      <c r="D475" s="186" t="s">
        <v>827</v>
      </c>
      <c r="E475" s="90">
        <v>72</v>
      </c>
      <c r="F475" s="188">
        <v>15.507030360269001</v>
      </c>
      <c r="G475" s="189">
        <v>6.0086569223689101E-2</v>
      </c>
      <c r="H475" s="189">
        <v>0.18373691257015801</v>
      </c>
      <c r="I475" s="189">
        <v>0.243823481793847</v>
      </c>
      <c r="J475" s="189">
        <v>1.0229476083775</v>
      </c>
      <c r="K475" s="189">
        <v>0</v>
      </c>
      <c r="L475" s="189">
        <v>0</v>
      </c>
      <c r="M475" s="189">
        <v>0</v>
      </c>
      <c r="N475" s="189">
        <v>0</v>
      </c>
      <c r="O475" s="189">
        <v>1.1663541800053501</v>
      </c>
      <c r="P475" s="189">
        <v>1.22986340901417</v>
      </c>
      <c r="Q475" s="189">
        <v>1.68250054546734E-2</v>
      </c>
      <c r="R475" s="189">
        <v>0.68787848512542704</v>
      </c>
      <c r="S475" s="189">
        <v>9.7126698508378396E-3</v>
      </c>
      <c r="T475" s="189">
        <v>0</v>
      </c>
      <c r="U475" s="189">
        <v>0</v>
      </c>
      <c r="V475" s="189">
        <v>0</v>
      </c>
      <c r="W475" s="189"/>
      <c r="X475" s="90"/>
      <c r="Y475" s="188"/>
      <c r="Z475" s="188"/>
      <c r="AA475" s="188"/>
      <c r="AB475" s="188"/>
      <c r="AC475" s="188"/>
      <c r="AD475" s="190"/>
      <c r="AE475" s="189"/>
    </row>
    <row r="476" spans="1:31" ht="21.25" customHeight="1" x14ac:dyDescent="0.15">
      <c r="A476" s="10" t="s">
        <v>528</v>
      </c>
      <c r="B476" s="186" t="s">
        <v>847</v>
      </c>
      <c r="C476" s="187">
        <v>26</v>
      </c>
      <c r="D476" s="186" t="s">
        <v>827</v>
      </c>
      <c r="E476" s="90">
        <v>70.492500000000007</v>
      </c>
      <c r="F476" s="188">
        <v>16.420722324859302</v>
      </c>
      <c r="G476" s="189">
        <v>4.3053035021924299E-2</v>
      </c>
      <c r="H476" s="189">
        <v>0.19962729569680401</v>
      </c>
      <c r="I476" s="189">
        <v>0.24268033071872799</v>
      </c>
      <c r="J476" s="189">
        <v>1.0556397704840801</v>
      </c>
      <c r="K476" s="189">
        <v>7.9839565253880506E-5</v>
      </c>
      <c r="L476" s="189">
        <v>1.2225152388376001E-3</v>
      </c>
      <c r="M476" s="189">
        <v>8.0776259404509497E-5</v>
      </c>
      <c r="N476" s="189">
        <v>2.77321193922016E-4</v>
      </c>
      <c r="O476" s="189">
        <v>1.0194944999412401</v>
      </c>
      <c r="P476" s="189">
        <v>0.755751266996883</v>
      </c>
      <c r="Q476" s="189">
        <v>7.6306916093574498E-2</v>
      </c>
      <c r="R476" s="189">
        <v>0.38114265061319302</v>
      </c>
      <c r="S476" s="189">
        <v>7.2812495327066601E-3</v>
      </c>
      <c r="T476" s="189">
        <v>0</v>
      </c>
      <c r="U476" s="189">
        <v>0</v>
      </c>
      <c r="V476" s="189">
        <v>0</v>
      </c>
      <c r="W476" s="189"/>
      <c r="X476" s="90"/>
      <c r="Y476" s="188"/>
      <c r="Z476" s="188"/>
      <c r="AA476" s="188"/>
      <c r="AB476" s="188"/>
      <c r="AC476" s="188"/>
      <c r="AD476" s="190"/>
      <c r="AE476" s="189"/>
    </row>
    <row r="477" spans="1:31" ht="21.25" customHeight="1" x14ac:dyDescent="0.15">
      <c r="A477" s="10" t="s">
        <v>435</v>
      </c>
      <c r="B477" s="186" t="s">
        <v>844</v>
      </c>
      <c r="C477" s="187">
        <v>36</v>
      </c>
      <c r="D477" s="186" t="s">
        <v>827</v>
      </c>
      <c r="E477" s="90">
        <v>74.697500000000005</v>
      </c>
      <c r="F477" s="188">
        <v>19.1687756488307</v>
      </c>
      <c r="G477" s="189">
        <v>3.7733882789777601E-2</v>
      </c>
      <c r="H477" s="189">
        <v>0.20501223109507299</v>
      </c>
      <c r="I477" s="189">
        <v>0.24274611388485101</v>
      </c>
      <c r="J477" s="189">
        <v>1.0360689274542201</v>
      </c>
      <c r="K477" s="189">
        <v>5.8867672359335498E-3</v>
      </c>
      <c r="L477" s="189">
        <v>4.6120944019117503E-2</v>
      </c>
      <c r="M477" s="189">
        <v>1.37226809993251E-4</v>
      </c>
      <c r="N477" s="189">
        <v>1.4406695919935101E-3</v>
      </c>
      <c r="O477" s="189">
        <v>1.67215130526959</v>
      </c>
      <c r="P477" s="189">
        <v>1.0293173540736</v>
      </c>
      <c r="Q477" s="189">
        <v>3.8769154557068697E-2</v>
      </c>
      <c r="R477" s="189">
        <v>0.23848307340814201</v>
      </c>
      <c r="S477" s="189">
        <v>6.1462644393311498E-3</v>
      </c>
      <c r="T477" s="189">
        <v>0</v>
      </c>
      <c r="U477" s="189">
        <v>0</v>
      </c>
      <c r="V477" s="189">
        <v>0</v>
      </c>
      <c r="W477" s="189"/>
      <c r="X477" s="90"/>
      <c r="Y477" s="188"/>
      <c r="Z477" s="188"/>
      <c r="AA477" s="188"/>
      <c r="AB477" s="188"/>
      <c r="AC477" s="188"/>
      <c r="AD477" s="190"/>
      <c r="AE477" s="189"/>
    </row>
    <row r="478" spans="1:31" ht="21.25" customHeight="1" x14ac:dyDescent="0.15">
      <c r="A478" s="10" t="s">
        <v>780</v>
      </c>
      <c r="B478" s="186" t="s">
        <v>867</v>
      </c>
      <c r="C478" s="187">
        <v>23</v>
      </c>
      <c r="D478" s="186" t="s">
        <v>848</v>
      </c>
      <c r="E478" s="90">
        <v>72.825000000000003</v>
      </c>
      <c r="F478" s="188">
        <v>10.7514174799794</v>
      </c>
      <c r="G478" s="189">
        <v>8.2047609969421703E-2</v>
      </c>
      <c r="H478" s="189">
        <v>0.16046112609430899</v>
      </c>
      <c r="I478" s="189">
        <v>0.242508736063731</v>
      </c>
      <c r="J478" s="189">
        <v>0.67441244273488998</v>
      </c>
      <c r="K478" s="189">
        <v>2.1125932305919898E-3</v>
      </c>
      <c r="L478" s="189">
        <v>4.7581062803707004E-3</v>
      </c>
      <c r="M478" s="189">
        <v>2.8147813491623199E-5</v>
      </c>
      <c r="N478" s="189">
        <v>4.65353793251521E-5</v>
      </c>
      <c r="O478" s="189">
        <v>0.32843948327570899</v>
      </c>
      <c r="P478" s="189">
        <v>1.52719829134462</v>
      </c>
      <c r="Q478" s="189">
        <v>-8.7203025614969506E-3</v>
      </c>
      <c r="R478" s="189">
        <v>0.34131625841000901</v>
      </c>
      <c r="S478" s="189">
        <v>1.29663906913899E-2</v>
      </c>
      <c r="T478" s="189">
        <v>7.2884714675327797E-2</v>
      </c>
      <c r="U478" s="189">
        <v>3.2459035605270602E-2</v>
      </c>
      <c r="V478" s="189">
        <v>0.69187507072027299</v>
      </c>
      <c r="W478" s="189"/>
      <c r="X478" s="90"/>
      <c r="Y478" s="188"/>
      <c r="Z478" s="188"/>
      <c r="AA478" s="188"/>
      <c r="AB478" s="188"/>
      <c r="AC478" s="188"/>
      <c r="AD478" s="190"/>
      <c r="AE478" s="189"/>
    </row>
    <row r="479" spans="1:31" ht="21.25" customHeight="1" x14ac:dyDescent="0.15">
      <c r="A479" s="10" t="s">
        <v>712</v>
      </c>
      <c r="B479" s="186" t="s">
        <v>844</v>
      </c>
      <c r="C479" s="187">
        <v>29</v>
      </c>
      <c r="D479" s="186" t="s">
        <v>852</v>
      </c>
      <c r="E479" s="90">
        <v>82.605000000000004</v>
      </c>
      <c r="F479" s="188">
        <v>12.538755879683601</v>
      </c>
      <c r="G479" s="189">
        <v>9.5184061066058298E-2</v>
      </c>
      <c r="H479" s="189">
        <v>0.14636213486865099</v>
      </c>
      <c r="I479" s="189">
        <v>0.241546195934709</v>
      </c>
      <c r="J479" s="189">
        <v>1.1562086865832399</v>
      </c>
      <c r="K479" s="189">
        <v>4.7969641158888097E-4</v>
      </c>
      <c r="L479" s="189">
        <v>1.04281223459689E-3</v>
      </c>
      <c r="M479" s="189">
        <v>3.5718031707097399E-3</v>
      </c>
      <c r="N479" s="189">
        <v>5.7896618653293496E-3</v>
      </c>
      <c r="O479" s="189">
        <v>0.45165751285803402</v>
      </c>
      <c r="P479" s="189">
        <v>3.82205526304999</v>
      </c>
      <c r="Q479" s="189">
        <v>3.6807411211395899E-2</v>
      </c>
      <c r="R479" s="189">
        <v>0.41382737844202799</v>
      </c>
      <c r="S479" s="189">
        <v>1.5504007710543E-2</v>
      </c>
      <c r="T479" s="189">
        <v>0.60573872926366201</v>
      </c>
      <c r="U479" s="189">
        <v>0.84550992456974905</v>
      </c>
      <c r="V479" s="189">
        <v>0.41739141508495398</v>
      </c>
      <c r="W479" s="189"/>
      <c r="X479" s="90"/>
      <c r="Y479" s="188"/>
      <c r="Z479" s="188"/>
      <c r="AA479" s="188"/>
      <c r="AB479" s="188"/>
      <c r="AC479" s="188"/>
      <c r="AD479" s="190"/>
      <c r="AE479" s="189"/>
    </row>
    <row r="480" spans="1:31" ht="21.25" customHeight="1" x14ac:dyDescent="0.15">
      <c r="A480" s="10" t="s">
        <v>394</v>
      </c>
      <c r="B480" s="186" t="s">
        <v>864</v>
      </c>
      <c r="C480" s="187">
        <v>24</v>
      </c>
      <c r="D480" s="186" t="s">
        <v>827</v>
      </c>
      <c r="E480" s="90">
        <v>83.754999999999995</v>
      </c>
      <c r="F480" s="188">
        <v>17.851722599309898</v>
      </c>
      <c r="G480" s="189">
        <v>5.1507333154598503E-2</v>
      </c>
      <c r="H480" s="189">
        <v>0.18905721876421999</v>
      </c>
      <c r="I480" s="189">
        <v>0.24056455191881901</v>
      </c>
      <c r="J480" s="189">
        <v>1.13601612070017</v>
      </c>
      <c r="K480" s="189">
        <v>5.5321517183062397E-4</v>
      </c>
      <c r="L480" s="189">
        <v>3.7560404319799002E-3</v>
      </c>
      <c r="M480" s="189">
        <v>6.25860055915932E-3</v>
      </c>
      <c r="N480" s="189">
        <v>1.08989896087775E-2</v>
      </c>
      <c r="O480" s="189">
        <v>1.5575948053175701</v>
      </c>
      <c r="P480" s="189">
        <v>1.6509553885525601</v>
      </c>
      <c r="Q480" s="189">
        <v>-2.81549317847796E-2</v>
      </c>
      <c r="R480" s="189">
        <v>0.28079609455159699</v>
      </c>
      <c r="S480" s="189">
        <v>8.0919973565015298E-3</v>
      </c>
      <c r="T480" s="189">
        <v>0</v>
      </c>
      <c r="U480" s="189">
        <v>0</v>
      </c>
      <c r="V480" s="189">
        <v>0</v>
      </c>
      <c r="W480" s="189"/>
      <c r="X480" s="90"/>
      <c r="Y480" s="188"/>
      <c r="Z480" s="188"/>
      <c r="AA480" s="188"/>
      <c r="AB480" s="188"/>
      <c r="AC480" s="188"/>
      <c r="AD480" s="190"/>
      <c r="AE480" s="189"/>
    </row>
    <row r="481" spans="1:31" ht="21.25" customHeight="1" x14ac:dyDescent="0.15">
      <c r="A481" s="10" t="s">
        <v>727</v>
      </c>
      <c r="B481" s="186" t="s">
        <v>860</v>
      </c>
      <c r="C481" s="187">
        <v>31</v>
      </c>
      <c r="D481" s="186" t="s">
        <v>824</v>
      </c>
      <c r="E481" s="90">
        <v>73.52</v>
      </c>
      <c r="F481" s="188">
        <v>10.9206718003497</v>
      </c>
      <c r="G481" s="189">
        <v>0.142576103879099</v>
      </c>
      <c r="H481" s="189">
        <v>9.6982941418885998E-2</v>
      </c>
      <c r="I481" s="189">
        <v>0.239559045297985</v>
      </c>
      <c r="J481" s="189">
        <v>0.95633957296415295</v>
      </c>
      <c r="K481" s="189">
        <v>7.3073405047979496E-4</v>
      </c>
      <c r="L481" s="189">
        <v>3.8735299821433698E-3</v>
      </c>
      <c r="M481" s="189">
        <v>1.06928500416487E-3</v>
      </c>
      <c r="N481" s="189">
        <v>1.7347771873827101E-3</v>
      </c>
      <c r="O481" s="189">
        <v>0.58497956923891303</v>
      </c>
      <c r="P481" s="189">
        <v>0.83271651163697402</v>
      </c>
      <c r="Q481" s="189">
        <v>8.9497979257348703E-2</v>
      </c>
      <c r="R481" s="189">
        <v>0.26668256963610698</v>
      </c>
      <c r="S481" s="189">
        <v>2.4483991783358101E-2</v>
      </c>
      <c r="T481" s="189">
        <v>4.6089030940724101</v>
      </c>
      <c r="U481" s="189">
        <v>4.4342400315542596</v>
      </c>
      <c r="V481" s="189">
        <v>0.50965720989327201</v>
      </c>
      <c r="W481" s="189"/>
      <c r="X481" s="90"/>
      <c r="Y481" s="188"/>
      <c r="Z481" s="188"/>
      <c r="AA481" s="188"/>
      <c r="AB481" s="188"/>
      <c r="AC481" s="188"/>
      <c r="AD481" s="190"/>
      <c r="AE481" s="189"/>
    </row>
    <row r="482" spans="1:31" ht="21.25" customHeight="1" x14ac:dyDescent="0.15">
      <c r="A482" s="10" t="s">
        <v>770</v>
      </c>
      <c r="B482" s="186" t="s">
        <v>860</v>
      </c>
      <c r="C482" s="187">
        <v>31</v>
      </c>
      <c r="D482" s="186" t="s">
        <v>825</v>
      </c>
      <c r="E482" s="90">
        <v>72.237499999999997</v>
      </c>
      <c r="F482" s="188">
        <v>10.755949655381601</v>
      </c>
      <c r="G482" s="189">
        <v>9.9125984038637704E-2</v>
      </c>
      <c r="H482" s="189">
        <v>0.14046506409856799</v>
      </c>
      <c r="I482" s="189">
        <v>0.239591048137206</v>
      </c>
      <c r="J482" s="189">
        <v>1.15360752634816</v>
      </c>
      <c r="K482" s="189">
        <v>3.1412371855488402E-4</v>
      </c>
      <c r="L482" s="189">
        <v>6.7585461281528098E-4</v>
      </c>
      <c r="M482" s="189">
        <v>2.5251895663868902E-4</v>
      </c>
      <c r="N482" s="189">
        <v>4.1070098301338403E-4</v>
      </c>
      <c r="O482" s="189">
        <v>0.291667641044207</v>
      </c>
      <c r="P482" s="189">
        <v>2.4223256781845701</v>
      </c>
      <c r="Q482" s="189">
        <v>8.07929654876062E-2</v>
      </c>
      <c r="R482" s="189">
        <v>0.28669801906792303</v>
      </c>
      <c r="S482" s="189">
        <v>1.7022486326161199E-2</v>
      </c>
      <c r="T482" s="189">
        <v>0.117160152304876</v>
      </c>
      <c r="U482" s="189">
        <v>0.14826464806116199</v>
      </c>
      <c r="V482" s="189">
        <v>0.4414061992071</v>
      </c>
      <c r="W482" s="189"/>
      <c r="X482" s="90"/>
      <c r="Y482" s="188"/>
      <c r="Z482" s="188"/>
      <c r="AA482" s="188"/>
      <c r="AB482" s="188"/>
      <c r="AC482" s="188"/>
      <c r="AD482" s="190"/>
      <c r="AE482" s="189"/>
    </row>
    <row r="483" spans="1:31" ht="21.25" customHeight="1" x14ac:dyDescent="0.15">
      <c r="A483" s="10" t="s">
        <v>740</v>
      </c>
      <c r="B483" s="186" t="s">
        <v>838</v>
      </c>
      <c r="C483" s="187">
        <v>23</v>
      </c>
      <c r="D483" s="186" t="s">
        <v>824</v>
      </c>
      <c r="E483" s="90">
        <v>74.575000000000003</v>
      </c>
      <c r="F483" s="188">
        <v>10.9608914618033</v>
      </c>
      <c r="G483" s="189">
        <v>8.1672404183150193E-2</v>
      </c>
      <c r="H483" s="189">
        <v>0.15727985068886299</v>
      </c>
      <c r="I483" s="189">
        <v>0.23895225487201299</v>
      </c>
      <c r="J483" s="189">
        <v>0.94706750266738504</v>
      </c>
      <c r="K483" s="189">
        <v>4.6156757698316998E-3</v>
      </c>
      <c r="L483" s="189">
        <v>1.12144652291224E-2</v>
      </c>
      <c r="M483" s="189">
        <v>4.0167709368348703E-3</v>
      </c>
      <c r="N483" s="189">
        <v>4.5323869472875698E-3</v>
      </c>
      <c r="O483" s="189">
        <v>0.39686071030398701</v>
      </c>
      <c r="P483" s="189">
        <v>0.873563001116341</v>
      </c>
      <c r="Q483" s="189">
        <v>5.9964209440941003E-2</v>
      </c>
      <c r="R483" s="189">
        <v>0.26751194041191301</v>
      </c>
      <c r="S483" s="189">
        <v>1.47408244751361E-2</v>
      </c>
      <c r="T483" s="189">
        <v>2.7745226430044001</v>
      </c>
      <c r="U483" s="189">
        <v>4.1135249336382502</v>
      </c>
      <c r="V483" s="189">
        <v>0.40280247953176102</v>
      </c>
      <c r="W483" s="189"/>
      <c r="X483" s="90"/>
      <c r="Y483" s="188"/>
      <c r="Z483" s="188"/>
      <c r="AA483" s="188"/>
      <c r="AB483" s="188"/>
      <c r="AC483" s="188"/>
      <c r="AD483" s="190"/>
      <c r="AE483" s="189"/>
    </row>
    <row r="484" spans="1:31" ht="21.25" customHeight="1" x14ac:dyDescent="0.15">
      <c r="A484" s="10" t="s">
        <v>557</v>
      </c>
      <c r="B484" s="186" t="s">
        <v>858</v>
      </c>
      <c r="C484" s="187">
        <v>23</v>
      </c>
      <c r="D484" s="186" t="s">
        <v>827</v>
      </c>
      <c r="E484" s="90">
        <v>62.954999999999998</v>
      </c>
      <c r="F484" s="188">
        <v>16.410607522695202</v>
      </c>
      <c r="G484" s="189">
        <v>7.8704554761827694E-2</v>
      </c>
      <c r="H484" s="189">
        <v>0.15954519665352199</v>
      </c>
      <c r="I484" s="189">
        <v>0.23824975141534999</v>
      </c>
      <c r="J484" s="189">
        <v>1.1546618229579499</v>
      </c>
      <c r="K484" s="189">
        <v>1.18162263523306E-3</v>
      </c>
      <c r="L484" s="189">
        <v>1.36921668505426E-2</v>
      </c>
      <c r="M484" s="189">
        <v>2.5454374443120898E-4</v>
      </c>
      <c r="N484" s="189">
        <v>8.81526055318495E-4</v>
      </c>
      <c r="O484" s="189">
        <v>0.96123335296008205</v>
      </c>
      <c r="P484" s="189">
        <v>1.29022373873052</v>
      </c>
      <c r="Q484" s="189">
        <v>-5.5867570549465402E-2</v>
      </c>
      <c r="R484" s="189">
        <v>0.59294763155062202</v>
      </c>
      <c r="S484" s="189">
        <v>1.13484919438816E-2</v>
      </c>
      <c r="T484" s="189">
        <v>0</v>
      </c>
      <c r="U484" s="189">
        <v>0</v>
      </c>
      <c r="V484" s="189">
        <v>0</v>
      </c>
      <c r="W484" s="189"/>
      <c r="X484" s="90"/>
      <c r="Y484" s="188"/>
      <c r="Z484" s="188"/>
      <c r="AA484" s="188"/>
      <c r="AB484" s="188"/>
      <c r="AC484" s="188"/>
      <c r="AD484" s="190"/>
      <c r="AE484" s="189"/>
    </row>
    <row r="485" spans="1:31" ht="21.25" customHeight="1" x14ac:dyDescent="0.15">
      <c r="A485" s="10" t="s">
        <v>420</v>
      </c>
      <c r="B485" s="186" t="s">
        <v>841</v>
      </c>
      <c r="C485" s="187">
        <v>29</v>
      </c>
      <c r="D485" s="186" t="s">
        <v>827</v>
      </c>
      <c r="E485" s="90">
        <v>83.0625</v>
      </c>
      <c r="F485" s="188">
        <v>19.108335971216999</v>
      </c>
      <c r="G485" s="189">
        <v>5.7723761896867502E-2</v>
      </c>
      <c r="H485" s="189">
        <v>0.180260209100639</v>
      </c>
      <c r="I485" s="189">
        <v>0.23798397099750701</v>
      </c>
      <c r="J485" s="189">
        <v>1.0512408298379801</v>
      </c>
      <c r="K485" s="189">
        <v>8.1387284200378805E-5</v>
      </c>
      <c r="L485" s="189">
        <v>6.3634572481750904E-4</v>
      </c>
      <c r="M485" s="189">
        <v>3.6052231028785098E-3</v>
      </c>
      <c r="N485" s="189">
        <v>4.9155133125379398E-3</v>
      </c>
      <c r="O485" s="189">
        <v>1.4525396776538499</v>
      </c>
      <c r="P485" s="189">
        <v>1.48077436384599</v>
      </c>
      <c r="Q485" s="189">
        <v>-3.4788847636162197E-2</v>
      </c>
      <c r="R485" s="189">
        <v>0.54622088454224305</v>
      </c>
      <c r="S485" s="189">
        <v>7.7708698321287796E-3</v>
      </c>
      <c r="T485" s="189">
        <v>0</v>
      </c>
      <c r="U485" s="189">
        <v>0</v>
      </c>
      <c r="V485" s="189">
        <v>0</v>
      </c>
      <c r="W485" s="189"/>
      <c r="X485" s="90"/>
      <c r="Y485" s="188"/>
      <c r="Z485" s="188"/>
      <c r="AA485" s="188"/>
      <c r="AB485" s="188"/>
      <c r="AC485" s="188"/>
      <c r="AD485" s="190"/>
      <c r="AE485" s="189"/>
    </row>
    <row r="486" spans="1:31" ht="21.25" customHeight="1" x14ac:dyDescent="0.15">
      <c r="A486" s="10" t="s">
        <v>748</v>
      </c>
      <c r="B486" s="186" t="s">
        <v>842</v>
      </c>
      <c r="C486" s="187">
        <v>33</v>
      </c>
      <c r="D486" s="186" t="s">
        <v>826</v>
      </c>
      <c r="E486" s="90">
        <v>75.569999999999993</v>
      </c>
      <c r="F486" s="188">
        <v>10.5933889466002</v>
      </c>
      <c r="G486" s="189">
        <v>0.1088041030316</v>
      </c>
      <c r="H486" s="189">
        <v>0.128671912276346</v>
      </c>
      <c r="I486" s="189">
        <v>0.23747601530794599</v>
      </c>
      <c r="J486" s="189">
        <v>1.1389749987342299</v>
      </c>
      <c r="K486" s="189">
        <v>1.4005220512287401E-2</v>
      </c>
      <c r="L486" s="189">
        <v>2.7079520494885202E-2</v>
      </c>
      <c r="M486" s="189">
        <v>2.3327293468060201E-4</v>
      </c>
      <c r="N486" s="189">
        <v>3.7655958323840402E-4</v>
      </c>
      <c r="O486" s="189">
        <v>0.32381139686706101</v>
      </c>
      <c r="P486" s="189">
        <v>1.2198656222053199</v>
      </c>
      <c r="Q486" s="189">
        <v>-1.53166691383157E-3</v>
      </c>
      <c r="R486" s="189">
        <v>0.411070561963576</v>
      </c>
      <c r="S486" s="189">
        <v>1.62624941508588E-2</v>
      </c>
      <c r="T486" s="189">
        <v>0.40563425422225702</v>
      </c>
      <c r="U486" s="189">
        <v>0.45226876616030098</v>
      </c>
      <c r="V486" s="189">
        <v>0.47282063891251502</v>
      </c>
      <c r="W486" s="189"/>
      <c r="X486" s="90"/>
      <c r="Y486" s="188"/>
      <c r="Z486" s="188"/>
      <c r="AA486" s="188"/>
      <c r="AB486" s="188"/>
      <c r="AC486" s="188"/>
      <c r="AD486" s="190"/>
      <c r="AE486" s="189"/>
    </row>
    <row r="487" spans="1:31" ht="21.25" customHeight="1" x14ac:dyDescent="0.15">
      <c r="A487" s="10" t="s">
        <v>725</v>
      </c>
      <c r="B487" s="186" t="s">
        <v>841</v>
      </c>
      <c r="C487" s="187">
        <v>29</v>
      </c>
      <c r="D487" s="186" t="s">
        <v>848</v>
      </c>
      <c r="E487" s="90">
        <v>78.38</v>
      </c>
      <c r="F487" s="188">
        <v>11.989512120986801</v>
      </c>
      <c r="G487" s="189">
        <v>9.1768000944075098E-2</v>
      </c>
      <c r="H487" s="189">
        <v>0.14400625372387599</v>
      </c>
      <c r="I487" s="189">
        <v>0.23577425466795099</v>
      </c>
      <c r="J487" s="189">
        <v>0.96320820960880904</v>
      </c>
      <c r="K487" s="189">
        <v>5.82830764929883E-4</v>
      </c>
      <c r="L487" s="189">
        <v>1.7826818427268099E-3</v>
      </c>
      <c r="M487" s="189">
        <v>1.9649798502786898E-3</v>
      </c>
      <c r="N487" s="189">
        <v>3.2193878585950698E-3</v>
      </c>
      <c r="O487" s="189">
        <v>0.66157541273839104</v>
      </c>
      <c r="P487" s="189">
        <v>2.7942875575400099</v>
      </c>
      <c r="Q487" s="189">
        <v>-3.363064506578E-2</v>
      </c>
      <c r="R487" s="189">
        <v>0.80419901844267505</v>
      </c>
      <c r="S487" s="189">
        <v>1.23539625044739E-2</v>
      </c>
      <c r="T487" s="189">
        <v>0.14178489152207799</v>
      </c>
      <c r="U487" s="189">
        <v>0.189726291322736</v>
      </c>
      <c r="V487" s="189">
        <v>0.42769263560092302</v>
      </c>
      <c r="W487" s="189"/>
      <c r="X487" s="90"/>
      <c r="Y487" s="188"/>
      <c r="Z487" s="188"/>
      <c r="AA487" s="188"/>
      <c r="AB487" s="188"/>
      <c r="AC487" s="188"/>
      <c r="AD487" s="190"/>
      <c r="AE487" s="189"/>
    </row>
    <row r="488" spans="1:31" ht="21.25" customHeight="1" x14ac:dyDescent="0.15">
      <c r="A488" s="10" t="s">
        <v>736</v>
      </c>
      <c r="B488" s="186" t="s">
        <v>861</v>
      </c>
      <c r="C488" s="187">
        <v>30</v>
      </c>
      <c r="D488" s="186" t="s">
        <v>826</v>
      </c>
      <c r="E488" s="90">
        <v>79.5</v>
      </c>
      <c r="F488" s="188">
        <v>12.637205545596901</v>
      </c>
      <c r="G488" s="189">
        <v>9.6262948494920703E-2</v>
      </c>
      <c r="H488" s="189">
        <v>0.13936065698657599</v>
      </c>
      <c r="I488" s="189">
        <v>0.23562360548149699</v>
      </c>
      <c r="J488" s="189">
        <v>1.0278883585770699</v>
      </c>
      <c r="K488" s="189">
        <v>7.9789255807392997E-4</v>
      </c>
      <c r="L488" s="189">
        <v>1.6503851645160801E-3</v>
      </c>
      <c r="M488" s="189">
        <v>3.61409832168563E-3</v>
      </c>
      <c r="N488" s="189">
        <v>1.1310771422725E-2</v>
      </c>
      <c r="O488" s="189">
        <v>0.43650690553265398</v>
      </c>
      <c r="P488" s="189">
        <v>1.21389143739475</v>
      </c>
      <c r="Q488" s="189">
        <v>-3.0624505235836E-2</v>
      </c>
      <c r="R488" s="189">
        <v>0.29152336265564399</v>
      </c>
      <c r="S488" s="189">
        <v>1.50851647085675E-2</v>
      </c>
      <c r="T488" s="189">
        <v>0.115007174855003</v>
      </c>
      <c r="U488" s="189">
        <v>0.16263875994437599</v>
      </c>
      <c r="V488" s="189">
        <v>0.41422243382783502</v>
      </c>
      <c r="W488" s="189"/>
      <c r="X488" s="90"/>
      <c r="Y488" s="188"/>
      <c r="Z488" s="188"/>
      <c r="AA488" s="188"/>
      <c r="AB488" s="188"/>
      <c r="AC488" s="188"/>
      <c r="AD488" s="190"/>
      <c r="AE488" s="189"/>
    </row>
    <row r="489" spans="1:31" ht="21.25" customHeight="1" x14ac:dyDescent="0.15">
      <c r="A489" s="10" t="s">
        <v>754</v>
      </c>
      <c r="B489" s="186" t="s">
        <v>863</v>
      </c>
      <c r="C489" s="187">
        <v>33</v>
      </c>
      <c r="D489" s="186" t="s">
        <v>825</v>
      </c>
      <c r="E489" s="90">
        <v>78.152500000000003</v>
      </c>
      <c r="F489" s="188">
        <v>10.9009445911824</v>
      </c>
      <c r="G489" s="189">
        <v>9.18618206186919E-2</v>
      </c>
      <c r="H489" s="189">
        <v>0.14335781892639701</v>
      </c>
      <c r="I489" s="189">
        <v>0.23521963954508901</v>
      </c>
      <c r="J489" s="189">
        <v>1.0344122641163001</v>
      </c>
      <c r="K489" s="189">
        <v>4.3237228679128998E-4</v>
      </c>
      <c r="L489" s="189">
        <v>9.7652636426124998E-4</v>
      </c>
      <c r="M489" s="189">
        <v>2.8312512513333099E-5</v>
      </c>
      <c r="N489" s="189">
        <v>4.8121099030460999E-5</v>
      </c>
      <c r="O489" s="189">
        <v>0.47436117341619799</v>
      </c>
      <c r="P489" s="189">
        <v>1.84657772519751</v>
      </c>
      <c r="Q489" s="189">
        <v>3.1476122874480997E-2</v>
      </c>
      <c r="R489" s="189">
        <v>0.57391238958797497</v>
      </c>
      <c r="S489" s="189">
        <v>1.6294925476400001E-2</v>
      </c>
      <c r="T489" s="189">
        <v>0.128262382129642</v>
      </c>
      <c r="U489" s="189">
        <v>0.19345956834765299</v>
      </c>
      <c r="V489" s="189">
        <v>0.39867463795789099</v>
      </c>
      <c r="W489" s="189"/>
      <c r="X489" s="90"/>
      <c r="Y489" s="188"/>
      <c r="Z489" s="188"/>
      <c r="AA489" s="188"/>
      <c r="AB489" s="188"/>
      <c r="AC489" s="188"/>
      <c r="AD489" s="190"/>
      <c r="AE489" s="189"/>
    </row>
    <row r="490" spans="1:31" ht="21.25" customHeight="1" x14ac:dyDescent="0.15">
      <c r="A490" s="10" t="s">
        <v>751</v>
      </c>
      <c r="B490" s="186" t="s">
        <v>857</v>
      </c>
      <c r="C490" s="187">
        <v>30</v>
      </c>
      <c r="D490" s="186" t="s">
        <v>825</v>
      </c>
      <c r="E490" s="90">
        <v>72.072500000000005</v>
      </c>
      <c r="F490" s="188">
        <v>11.5199583362315</v>
      </c>
      <c r="G490" s="189">
        <v>0.10703666134734099</v>
      </c>
      <c r="H490" s="189">
        <v>0.127523862774295</v>
      </c>
      <c r="I490" s="189">
        <v>0.234560524121636</v>
      </c>
      <c r="J490" s="189">
        <v>1.37679371282315</v>
      </c>
      <c r="K490" s="189">
        <v>5.6092495514852296E-4</v>
      </c>
      <c r="L490" s="189">
        <v>1.02280620323229E-3</v>
      </c>
      <c r="M490" s="189">
        <v>4.1277410459768299E-3</v>
      </c>
      <c r="N490" s="189">
        <v>1.27512232108074E-2</v>
      </c>
      <c r="O490" s="189">
        <v>0.37831007886109302</v>
      </c>
      <c r="P490" s="189">
        <v>1.24347527475715</v>
      </c>
      <c r="Q490" s="189">
        <v>-3.3613024207562901E-3</v>
      </c>
      <c r="R490" s="189">
        <v>0.52811451188174796</v>
      </c>
      <c r="S490" s="189">
        <v>1.72480199744184E-2</v>
      </c>
      <c r="T490" s="189">
        <v>9.0857125063017297E-2</v>
      </c>
      <c r="U490" s="189">
        <v>0.225772922522466</v>
      </c>
      <c r="V490" s="189">
        <v>0.28695041975916002</v>
      </c>
      <c r="W490" s="189"/>
      <c r="X490" s="90"/>
      <c r="Y490" s="188"/>
      <c r="Z490" s="188"/>
      <c r="AA490" s="188"/>
      <c r="AB490" s="188"/>
      <c r="AC490" s="188"/>
      <c r="AD490" s="190"/>
      <c r="AE490" s="189"/>
    </row>
    <row r="491" spans="1:31" ht="21.25" customHeight="1" x14ac:dyDescent="0.15">
      <c r="A491" s="10" t="s">
        <v>376</v>
      </c>
      <c r="B491" s="186" t="s">
        <v>870</v>
      </c>
      <c r="C491" s="187">
        <v>33</v>
      </c>
      <c r="D491" s="186" t="s">
        <v>827</v>
      </c>
      <c r="E491" s="90">
        <v>83.93</v>
      </c>
      <c r="F491" s="188">
        <v>20.7153809704967</v>
      </c>
      <c r="G491" s="189">
        <v>4.2776132906362598E-2</v>
      </c>
      <c r="H491" s="189">
        <v>0.191072741369163</v>
      </c>
      <c r="I491" s="189">
        <v>0.233848874275526</v>
      </c>
      <c r="J491" s="189">
        <v>1.1426415763541999</v>
      </c>
      <c r="K491" s="189">
        <v>8.6042003026011395E-5</v>
      </c>
      <c r="L491" s="189">
        <v>8.9452192369899198E-4</v>
      </c>
      <c r="M491" s="189">
        <v>1.4940415537380899E-4</v>
      </c>
      <c r="N491" s="189">
        <v>2.6472236260484099E-3</v>
      </c>
      <c r="O491" s="189">
        <v>1.82921671320182</v>
      </c>
      <c r="P491" s="189">
        <v>1.2551124460688301</v>
      </c>
      <c r="Q491" s="189">
        <v>-0.104505740774331</v>
      </c>
      <c r="R491" s="189">
        <v>0.47248431430649601</v>
      </c>
      <c r="S491" s="189">
        <v>5.8934896115317801E-3</v>
      </c>
      <c r="T491" s="189">
        <v>0</v>
      </c>
      <c r="U491" s="189">
        <v>0</v>
      </c>
      <c r="V491" s="189">
        <v>0</v>
      </c>
      <c r="W491" s="189"/>
      <c r="X491" s="90"/>
      <c r="Y491" s="188"/>
      <c r="Z491" s="188"/>
      <c r="AA491" s="188"/>
      <c r="AB491" s="188"/>
      <c r="AC491" s="188"/>
      <c r="AD491" s="190"/>
      <c r="AE491" s="189"/>
    </row>
    <row r="492" spans="1:31" ht="21.25" customHeight="1" x14ac:dyDescent="0.15">
      <c r="A492" s="10" t="s">
        <v>766</v>
      </c>
      <c r="B492" s="186" t="s">
        <v>871</v>
      </c>
      <c r="C492" s="187">
        <v>27</v>
      </c>
      <c r="D492" s="186" t="s">
        <v>848</v>
      </c>
      <c r="E492" s="90">
        <v>75.584999999999994</v>
      </c>
      <c r="F492" s="188">
        <v>10.5303445670875</v>
      </c>
      <c r="G492" s="189">
        <v>8.0502709711570197E-2</v>
      </c>
      <c r="H492" s="189">
        <v>0.152810111335272</v>
      </c>
      <c r="I492" s="189">
        <v>0.23331282104684201</v>
      </c>
      <c r="J492" s="189">
        <v>1.02850645726831</v>
      </c>
      <c r="K492" s="189">
        <v>1.1472852130958199E-3</v>
      </c>
      <c r="L492" s="189">
        <v>2.9392890104666899E-3</v>
      </c>
      <c r="M492" s="189">
        <v>3.3698846033199801E-6</v>
      </c>
      <c r="N492" s="189">
        <v>5.5385100387705897E-6</v>
      </c>
      <c r="O492" s="189">
        <v>0.32052586889865697</v>
      </c>
      <c r="P492" s="189">
        <v>1.64553635513104</v>
      </c>
      <c r="Q492" s="189">
        <v>-9.4849834922701298E-2</v>
      </c>
      <c r="R492" s="189">
        <v>0.26910304456526701</v>
      </c>
      <c r="S492" s="189">
        <v>1.15742745808394E-2</v>
      </c>
      <c r="T492" s="189">
        <v>0.16736346858870399</v>
      </c>
      <c r="U492" s="189">
        <v>0.21332767646154499</v>
      </c>
      <c r="V492" s="189">
        <v>0.43963057918411402</v>
      </c>
      <c r="W492" s="189"/>
      <c r="X492" s="90"/>
      <c r="Y492" s="188"/>
      <c r="Z492" s="188"/>
      <c r="AA492" s="188"/>
      <c r="AB492" s="188"/>
      <c r="AC492" s="188"/>
      <c r="AD492" s="190"/>
      <c r="AE492" s="189"/>
    </row>
    <row r="493" spans="1:31" ht="21.25" customHeight="1" x14ac:dyDescent="0.15">
      <c r="A493" s="10" t="s">
        <v>409</v>
      </c>
      <c r="B493" s="186" t="s">
        <v>871</v>
      </c>
      <c r="C493" s="187">
        <v>30</v>
      </c>
      <c r="D493" s="186" t="s">
        <v>827</v>
      </c>
      <c r="E493" s="90">
        <v>80.525000000000006</v>
      </c>
      <c r="F493" s="188">
        <v>19.3061622783625</v>
      </c>
      <c r="G493" s="189">
        <v>5.1306817766483902E-2</v>
      </c>
      <c r="H493" s="189">
        <v>0.181378065636251</v>
      </c>
      <c r="I493" s="189">
        <v>0.23268488340273499</v>
      </c>
      <c r="J493" s="189">
        <v>0.95088078369501705</v>
      </c>
      <c r="K493" s="189">
        <v>4.01101408131401E-5</v>
      </c>
      <c r="L493" s="189">
        <v>3.6785782283709899E-4</v>
      </c>
      <c r="M493" s="189">
        <v>2.5311433367381002E-4</v>
      </c>
      <c r="N493" s="189">
        <v>3.8708090389636199E-3</v>
      </c>
      <c r="O493" s="189">
        <v>1.7926656535254499</v>
      </c>
      <c r="P493" s="189">
        <v>1.2163181316677401</v>
      </c>
      <c r="Q493" s="189">
        <v>-9.9313336484914097E-2</v>
      </c>
      <c r="R493" s="189">
        <v>0.749369367920805</v>
      </c>
      <c r="S493" s="189">
        <v>7.3766361259890098E-3</v>
      </c>
      <c r="T493" s="189">
        <v>0</v>
      </c>
      <c r="U493" s="189">
        <v>0</v>
      </c>
      <c r="V493" s="189">
        <v>0</v>
      </c>
      <c r="W493" s="189"/>
      <c r="X493" s="90"/>
      <c r="Y493" s="188"/>
      <c r="Z493" s="188"/>
      <c r="AA493" s="188"/>
      <c r="AB493" s="188"/>
      <c r="AC493" s="188"/>
      <c r="AD493" s="190"/>
      <c r="AE493" s="189"/>
    </row>
    <row r="494" spans="1:31" ht="21.25" customHeight="1" x14ac:dyDescent="0.15">
      <c r="A494" s="10" t="s">
        <v>442</v>
      </c>
      <c r="B494" s="186" t="s">
        <v>857</v>
      </c>
      <c r="C494" s="187">
        <v>28</v>
      </c>
      <c r="D494" s="186" t="s">
        <v>827</v>
      </c>
      <c r="E494" s="90">
        <v>78.084999999999994</v>
      </c>
      <c r="F494" s="188">
        <v>17.502296677761901</v>
      </c>
      <c r="G494" s="189">
        <v>7.1073106385442605E-2</v>
      </c>
      <c r="H494" s="189">
        <v>0.160884789134908</v>
      </c>
      <c r="I494" s="189">
        <v>0.23195789552035101</v>
      </c>
      <c r="J494" s="189">
        <v>1.0002538995510899</v>
      </c>
      <c r="K494" s="189">
        <v>1.08363498911151E-4</v>
      </c>
      <c r="L494" s="189">
        <v>8.6935419736112996E-4</v>
      </c>
      <c r="M494" s="189">
        <v>2.0758466573887001E-4</v>
      </c>
      <c r="N494" s="189">
        <v>1.5356539578383001E-3</v>
      </c>
      <c r="O494" s="189">
        <v>1.63942554133646</v>
      </c>
      <c r="P494" s="189">
        <v>0.96657155027391095</v>
      </c>
      <c r="Q494" s="189">
        <v>4.4872171425950399E-3</v>
      </c>
      <c r="R494" s="189">
        <v>0.462934282242904</v>
      </c>
      <c r="S494" s="189">
        <v>1.1452808254192899E-2</v>
      </c>
      <c r="T494" s="189">
        <v>0</v>
      </c>
      <c r="U494" s="189">
        <v>0</v>
      </c>
      <c r="V494" s="189">
        <v>0</v>
      </c>
      <c r="W494" s="189"/>
      <c r="X494" s="90"/>
      <c r="Y494" s="188"/>
      <c r="Z494" s="188"/>
      <c r="AA494" s="188"/>
      <c r="AB494" s="188"/>
      <c r="AC494" s="188"/>
      <c r="AD494" s="190"/>
      <c r="AE494" s="189"/>
    </row>
    <row r="495" spans="1:31" ht="21.25" customHeight="1" x14ac:dyDescent="0.15">
      <c r="A495" s="10" t="s">
        <v>466</v>
      </c>
      <c r="B495" s="186" t="s">
        <v>860</v>
      </c>
      <c r="C495" s="187">
        <v>30</v>
      </c>
      <c r="D495" s="186" t="s">
        <v>827</v>
      </c>
      <c r="E495" s="90">
        <v>80.842500000000001</v>
      </c>
      <c r="F495" s="188">
        <v>19.090902638031899</v>
      </c>
      <c r="G495" s="189">
        <v>5.3814044230158002E-2</v>
      </c>
      <c r="H495" s="189">
        <v>0.17810498818416601</v>
      </c>
      <c r="I495" s="189">
        <v>0.23191903241432399</v>
      </c>
      <c r="J495" s="189">
        <v>1.2667263561758999</v>
      </c>
      <c r="K495" s="189">
        <v>1.1721812168027E-4</v>
      </c>
      <c r="L495" s="189">
        <v>1.0322780198839599E-3</v>
      </c>
      <c r="M495" s="189">
        <v>2.51802115377433E-4</v>
      </c>
      <c r="N495" s="189">
        <v>5.1817265864084298E-3</v>
      </c>
      <c r="O495" s="189">
        <v>1.0087984038640401</v>
      </c>
      <c r="P495" s="189">
        <v>0.67573439859757201</v>
      </c>
      <c r="Q495" s="189">
        <v>7.5388678667742695E-2</v>
      </c>
      <c r="R495" s="189">
        <v>0.39802694217451901</v>
      </c>
      <c r="S495" s="189">
        <v>9.2412583940275003E-3</v>
      </c>
      <c r="T495" s="189">
        <v>0</v>
      </c>
      <c r="U495" s="189">
        <v>0</v>
      </c>
      <c r="V495" s="189">
        <v>0</v>
      </c>
      <c r="W495" s="189"/>
      <c r="X495" s="90"/>
      <c r="Y495" s="188"/>
      <c r="Z495" s="188"/>
      <c r="AA495" s="188"/>
      <c r="AB495" s="188"/>
      <c r="AC495" s="188"/>
      <c r="AD495" s="190"/>
      <c r="AE495" s="189"/>
    </row>
    <row r="496" spans="1:31" ht="21.25" customHeight="1" x14ac:dyDescent="0.15">
      <c r="A496" s="10" t="s">
        <v>508</v>
      </c>
      <c r="B496" s="186" t="s">
        <v>868</v>
      </c>
      <c r="C496" s="187">
        <v>22</v>
      </c>
      <c r="D496" s="186" t="s">
        <v>827</v>
      </c>
      <c r="E496" s="90">
        <v>71.174999999999997</v>
      </c>
      <c r="F496" s="188">
        <v>18.1332527903899</v>
      </c>
      <c r="G496" s="189">
        <v>6.7604378348798497E-2</v>
      </c>
      <c r="H496" s="189">
        <v>0.16358651748710801</v>
      </c>
      <c r="I496" s="189">
        <v>0.23119089583590699</v>
      </c>
      <c r="J496" s="189">
        <v>0.96543789229118504</v>
      </c>
      <c r="K496" s="189">
        <v>1.6965932470127599E-4</v>
      </c>
      <c r="L496" s="189">
        <v>1.19772685443483E-3</v>
      </c>
      <c r="M496" s="189">
        <v>4.9016899504562503E-4</v>
      </c>
      <c r="N496" s="189">
        <v>3.1904776029708102E-3</v>
      </c>
      <c r="O496" s="189">
        <v>1.38432008758238</v>
      </c>
      <c r="P496" s="189">
        <v>1.8226536675920499</v>
      </c>
      <c r="Q496" s="189">
        <v>-0.153428807862661</v>
      </c>
      <c r="R496" s="189">
        <v>0.518691473128015</v>
      </c>
      <c r="S496" s="189">
        <v>8.3773671643187601E-3</v>
      </c>
      <c r="T496" s="189">
        <v>0</v>
      </c>
      <c r="U496" s="189">
        <v>0</v>
      </c>
      <c r="V496" s="189">
        <v>0</v>
      </c>
      <c r="W496" s="189"/>
      <c r="X496" s="90"/>
      <c r="Y496" s="188"/>
      <c r="Z496" s="188"/>
      <c r="AA496" s="188"/>
      <c r="AB496" s="188"/>
      <c r="AC496" s="188"/>
      <c r="AD496" s="190"/>
      <c r="AE496" s="189"/>
    </row>
    <row r="497" spans="1:31" ht="21.25" customHeight="1" x14ac:dyDescent="0.15">
      <c r="A497" s="10" t="s">
        <v>368</v>
      </c>
      <c r="B497" s="186" t="s">
        <v>843</v>
      </c>
      <c r="C497" s="187">
        <v>35</v>
      </c>
      <c r="D497" s="186" t="s">
        <v>827</v>
      </c>
      <c r="E497" s="90">
        <v>80.657499999999999</v>
      </c>
      <c r="F497" s="188">
        <v>20.330605371691099</v>
      </c>
      <c r="G497" s="189">
        <v>5.4997907914980097E-2</v>
      </c>
      <c r="H497" s="189">
        <v>0.175549898101999</v>
      </c>
      <c r="I497" s="189">
        <v>0.230547806016979</v>
      </c>
      <c r="J497" s="189">
        <v>1.17403076941115</v>
      </c>
      <c r="K497" s="189">
        <v>1.02746470092924E-4</v>
      </c>
      <c r="L497" s="189">
        <v>8.2572476325027896E-4</v>
      </c>
      <c r="M497" s="189">
        <v>3.03551958731414E-3</v>
      </c>
      <c r="N497" s="189">
        <v>9.0753063096629706E-3</v>
      </c>
      <c r="O497" s="189">
        <v>2.0656342541061101</v>
      </c>
      <c r="P497" s="189">
        <v>1.5487567231619599</v>
      </c>
      <c r="Q497" s="189">
        <v>6.6437244946027693E-2</v>
      </c>
      <c r="R497" s="189">
        <v>0.43268227678777998</v>
      </c>
      <c r="S497" s="189">
        <v>1.0492359657248099E-2</v>
      </c>
      <c r="T497" s="189">
        <v>0</v>
      </c>
      <c r="U497" s="189">
        <v>0</v>
      </c>
      <c r="V497" s="189">
        <v>0</v>
      </c>
      <c r="W497" s="189"/>
      <c r="X497" s="90"/>
      <c r="Y497" s="188"/>
      <c r="Z497" s="188"/>
      <c r="AA497" s="188"/>
      <c r="AB497" s="188"/>
      <c r="AC497" s="188"/>
      <c r="AD497" s="190"/>
      <c r="AE497" s="189"/>
    </row>
    <row r="498" spans="1:31" ht="21.25" customHeight="1" x14ac:dyDescent="0.15">
      <c r="A498" s="10" t="s">
        <v>432</v>
      </c>
      <c r="B498" s="186" t="s">
        <v>863</v>
      </c>
      <c r="C498" s="187">
        <v>24</v>
      </c>
      <c r="D498" s="186" t="s">
        <v>827</v>
      </c>
      <c r="E498" s="90">
        <v>79.787499999999994</v>
      </c>
      <c r="F498" s="188">
        <v>17.337577970652799</v>
      </c>
      <c r="G498" s="189">
        <v>5.0288602426991E-2</v>
      </c>
      <c r="H498" s="189">
        <v>0.17994494308871001</v>
      </c>
      <c r="I498" s="189">
        <v>0.23023354551570099</v>
      </c>
      <c r="J498" s="189">
        <v>1.1961543591466901</v>
      </c>
      <c r="K498" s="189">
        <v>2.6955214401455798E-4</v>
      </c>
      <c r="L498" s="189">
        <v>2.0067483398772202E-3</v>
      </c>
      <c r="M498" s="189">
        <v>3.2126695578463802E-4</v>
      </c>
      <c r="N498" s="189">
        <v>1.9556938836681099E-2</v>
      </c>
      <c r="O498" s="189">
        <v>1.38117909515478</v>
      </c>
      <c r="P498" s="189">
        <v>1.56991467106563</v>
      </c>
      <c r="Q498" s="189">
        <v>1.47294510850665E-2</v>
      </c>
      <c r="R498" s="189">
        <v>0.512569753713226</v>
      </c>
      <c r="S498" s="189">
        <v>8.9204527336941009E-3</v>
      </c>
      <c r="T498" s="189">
        <v>0</v>
      </c>
      <c r="U498" s="189">
        <v>0</v>
      </c>
      <c r="V498" s="189">
        <v>0</v>
      </c>
      <c r="W498" s="189"/>
      <c r="X498" s="90"/>
      <c r="Y498" s="188"/>
      <c r="Z498" s="188"/>
      <c r="AA498" s="188"/>
      <c r="AB498" s="188"/>
      <c r="AC498" s="188"/>
      <c r="AD498" s="190"/>
      <c r="AE498" s="189"/>
    </row>
    <row r="499" spans="1:31" ht="21.25" customHeight="1" x14ac:dyDescent="0.15">
      <c r="A499" s="10" t="s">
        <v>726</v>
      </c>
      <c r="B499" s="186" t="s">
        <v>845</v>
      </c>
      <c r="C499" s="187">
        <v>30</v>
      </c>
      <c r="D499" s="186" t="s">
        <v>848</v>
      </c>
      <c r="E499" s="90">
        <v>77.402500000000003</v>
      </c>
      <c r="F499" s="188">
        <v>11.7724364293394</v>
      </c>
      <c r="G499" s="189">
        <v>9.7730384771428397E-2</v>
      </c>
      <c r="H499" s="189">
        <v>0.13146055945504501</v>
      </c>
      <c r="I499" s="189">
        <v>0.22919094422647299</v>
      </c>
      <c r="J499" s="189">
        <v>0.98855725834609398</v>
      </c>
      <c r="K499" s="189">
        <v>1.4348696446255801E-4</v>
      </c>
      <c r="L499" s="189">
        <v>3.0847564890927099E-4</v>
      </c>
      <c r="M499" s="189">
        <v>2.3456637094694598E-2</v>
      </c>
      <c r="N499" s="189">
        <v>2.4861438521784698E-2</v>
      </c>
      <c r="O499" s="189">
        <v>0.66832299936425499</v>
      </c>
      <c r="P499" s="189">
        <v>2.2279072787704099</v>
      </c>
      <c r="Q499" s="189">
        <v>3.0688911731449899E-3</v>
      </c>
      <c r="R499" s="189">
        <v>0.18041230272580799</v>
      </c>
      <c r="S499" s="189">
        <v>1.3346131666003401E-2</v>
      </c>
      <c r="T499" s="189">
        <v>0.72573628490868503</v>
      </c>
      <c r="U499" s="189">
        <v>0.99314348875016301</v>
      </c>
      <c r="V499" s="189">
        <v>0.42221468658268402</v>
      </c>
      <c r="W499" s="189"/>
      <c r="X499" s="90"/>
      <c r="Y499" s="188"/>
      <c r="Z499" s="188"/>
      <c r="AA499" s="188"/>
      <c r="AB499" s="188"/>
      <c r="AC499" s="188"/>
      <c r="AD499" s="190"/>
      <c r="AE499" s="189"/>
    </row>
    <row r="500" spans="1:31" ht="21.25" customHeight="1" x14ac:dyDescent="0.15">
      <c r="A500" s="10" t="s">
        <v>518</v>
      </c>
      <c r="B500" s="186" t="s">
        <v>842</v>
      </c>
      <c r="C500" s="187">
        <v>29</v>
      </c>
      <c r="D500" s="186" t="s">
        <v>827</v>
      </c>
      <c r="E500" s="90">
        <v>73.372500000000002</v>
      </c>
      <c r="F500" s="188">
        <v>19.245265223267701</v>
      </c>
      <c r="G500" s="189">
        <v>3.0856757856518899E-2</v>
      </c>
      <c r="H500" s="189">
        <v>0.19701189919308101</v>
      </c>
      <c r="I500" s="189">
        <v>0.22786865704959999</v>
      </c>
      <c r="J500" s="189">
        <v>0.90617604840263399</v>
      </c>
      <c r="K500" s="189">
        <v>8.4417802113957599E-5</v>
      </c>
      <c r="L500" s="189">
        <v>8.2392292609391503E-4</v>
      </c>
      <c r="M500" s="189">
        <v>1.7135004928962901E-4</v>
      </c>
      <c r="N500" s="189">
        <v>1.5392554506587601E-3</v>
      </c>
      <c r="O500" s="189">
        <v>1.29772834917191</v>
      </c>
      <c r="P500" s="189">
        <v>1.3264156659237201</v>
      </c>
      <c r="Q500" s="189">
        <v>2.8992825769289E-3</v>
      </c>
      <c r="R500" s="189">
        <v>0.76348693988052496</v>
      </c>
      <c r="S500" s="189">
        <v>4.6120305225103896E-3</v>
      </c>
      <c r="T500" s="189">
        <v>0</v>
      </c>
      <c r="U500" s="189">
        <v>0</v>
      </c>
      <c r="V500" s="189">
        <v>0</v>
      </c>
      <c r="W500" s="189"/>
      <c r="X500" s="90"/>
      <c r="Y500" s="188"/>
      <c r="Z500" s="188"/>
      <c r="AA500" s="188"/>
      <c r="AB500" s="188"/>
      <c r="AC500" s="188"/>
      <c r="AD500" s="190"/>
      <c r="AE500" s="189"/>
    </row>
    <row r="501" spans="1:31" ht="21.25" customHeight="1" x14ac:dyDescent="0.15">
      <c r="A501" s="10" t="s">
        <v>467</v>
      </c>
      <c r="B501" s="186" t="s">
        <v>851</v>
      </c>
      <c r="C501" s="187">
        <v>33</v>
      </c>
      <c r="D501" s="186" t="s">
        <v>827</v>
      </c>
      <c r="E501" s="90">
        <v>84.03</v>
      </c>
      <c r="F501" s="188">
        <v>21.430550120045702</v>
      </c>
      <c r="G501" s="189">
        <v>1.4131056933482201E-2</v>
      </c>
      <c r="H501" s="189">
        <v>0.21293176807549899</v>
      </c>
      <c r="I501" s="189">
        <v>0.22706282500898101</v>
      </c>
      <c r="J501" s="189">
        <v>0.73365786600055405</v>
      </c>
      <c r="K501" s="189">
        <v>3.3255567086428603E-5</v>
      </c>
      <c r="L501" s="189">
        <v>9.5667768531397003E-4</v>
      </c>
      <c r="M501" s="189">
        <v>8.0750431726382899E-5</v>
      </c>
      <c r="N501" s="189">
        <v>9.8836568339577997E-3</v>
      </c>
      <c r="O501" s="189">
        <v>1.41011629268246</v>
      </c>
      <c r="P501" s="189">
        <v>1.4121048388448401</v>
      </c>
      <c r="Q501" s="189">
        <v>3.6826299161091799E-2</v>
      </c>
      <c r="R501" s="189">
        <v>0.47204380581453398</v>
      </c>
      <c r="S501" s="189">
        <v>2.4555502951688801E-3</v>
      </c>
      <c r="T501" s="189">
        <v>0</v>
      </c>
      <c r="U501" s="189">
        <v>0</v>
      </c>
      <c r="V501" s="189">
        <v>0</v>
      </c>
      <c r="W501" s="189"/>
      <c r="X501" s="90"/>
      <c r="Y501" s="188"/>
      <c r="Z501" s="188"/>
      <c r="AA501" s="188"/>
      <c r="AB501" s="188"/>
      <c r="AC501" s="188"/>
      <c r="AD501" s="190"/>
      <c r="AE501" s="189"/>
    </row>
    <row r="502" spans="1:31" ht="21.25" customHeight="1" x14ac:dyDescent="0.15">
      <c r="A502" s="10" t="s">
        <v>560</v>
      </c>
      <c r="B502" s="186" t="s">
        <v>837</v>
      </c>
      <c r="C502" s="187">
        <v>25</v>
      </c>
      <c r="D502" s="186" t="s">
        <v>827</v>
      </c>
      <c r="E502" s="90">
        <v>73.025000000000006</v>
      </c>
      <c r="F502" s="188">
        <v>15.5850057257828</v>
      </c>
      <c r="G502" s="189">
        <v>3.8501049324641497E-2</v>
      </c>
      <c r="H502" s="189">
        <v>0.187731463141073</v>
      </c>
      <c r="I502" s="189">
        <v>0.22623251246571499</v>
      </c>
      <c r="J502" s="189">
        <v>0.77854464145804703</v>
      </c>
      <c r="K502" s="189">
        <v>7.6886372849814901E-5</v>
      </c>
      <c r="L502" s="189">
        <v>5.7681666405403904E-4</v>
      </c>
      <c r="M502" s="189">
        <v>2.40108672169373E-4</v>
      </c>
      <c r="N502" s="189">
        <v>3.03973328829041E-3</v>
      </c>
      <c r="O502" s="189">
        <v>0.92767391166935198</v>
      </c>
      <c r="P502" s="189">
        <v>1.5030158399231299</v>
      </c>
      <c r="Q502" s="189">
        <v>7.8523682805766201E-2</v>
      </c>
      <c r="R502" s="189">
        <v>0.864942349342532</v>
      </c>
      <c r="S502" s="189">
        <v>6.8342996449452503E-3</v>
      </c>
      <c r="T502" s="189">
        <v>0</v>
      </c>
      <c r="U502" s="189">
        <v>0</v>
      </c>
      <c r="V502" s="189">
        <v>0</v>
      </c>
      <c r="W502" s="189"/>
      <c r="X502" s="90"/>
      <c r="Y502" s="188"/>
      <c r="Z502" s="188"/>
      <c r="AA502" s="188"/>
      <c r="AB502" s="188"/>
      <c r="AC502" s="188"/>
      <c r="AD502" s="190"/>
      <c r="AE502" s="189"/>
    </row>
    <row r="503" spans="1:31" ht="21.25" customHeight="1" x14ac:dyDescent="0.15">
      <c r="A503" s="10" t="s">
        <v>411</v>
      </c>
      <c r="B503" s="186" t="s">
        <v>866</v>
      </c>
      <c r="C503" s="187">
        <v>32</v>
      </c>
      <c r="D503" s="186" t="s">
        <v>827</v>
      </c>
      <c r="E503" s="90">
        <v>78.605000000000004</v>
      </c>
      <c r="F503" s="188">
        <v>20.9412565396342</v>
      </c>
      <c r="G503" s="189">
        <v>1.31612915809898E-2</v>
      </c>
      <c r="H503" s="189">
        <v>0.21280780372123501</v>
      </c>
      <c r="I503" s="189">
        <v>0.225969095302225</v>
      </c>
      <c r="J503" s="189">
        <v>1.2768229126974899</v>
      </c>
      <c r="K503" s="189">
        <v>3.4929087612737402E-5</v>
      </c>
      <c r="L503" s="189">
        <v>1.0768075362553001E-3</v>
      </c>
      <c r="M503" s="189">
        <v>2.4216274994324498E-3</v>
      </c>
      <c r="N503" s="189">
        <v>1.4650001351686899E-2</v>
      </c>
      <c r="O503" s="189">
        <v>1.5553788757856599</v>
      </c>
      <c r="P503" s="189">
        <v>0.93459384165151604</v>
      </c>
      <c r="Q503" s="189">
        <v>-3.5735309722692399E-2</v>
      </c>
      <c r="R503" s="189">
        <v>0.55406280683203601</v>
      </c>
      <c r="S503" s="189">
        <v>1.9220944147857601E-3</v>
      </c>
      <c r="T503" s="189">
        <v>0</v>
      </c>
      <c r="U503" s="189">
        <v>0</v>
      </c>
      <c r="V503" s="189">
        <v>0</v>
      </c>
      <c r="W503" s="189"/>
      <c r="X503" s="90"/>
      <c r="Y503" s="188"/>
      <c r="Z503" s="188"/>
      <c r="AA503" s="188"/>
      <c r="AB503" s="188"/>
      <c r="AC503" s="188"/>
      <c r="AD503" s="190"/>
      <c r="AE503" s="189"/>
    </row>
    <row r="504" spans="1:31" ht="21.25" customHeight="1" x14ac:dyDescent="0.15">
      <c r="A504" s="10" t="s">
        <v>515</v>
      </c>
      <c r="B504" s="186" t="s">
        <v>859</v>
      </c>
      <c r="C504" s="187">
        <v>35</v>
      </c>
      <c r="D504" s="186" t="s">
        <v>827</v>
      </c>
      <c r="E504" s="90">
        <v>78.39</v>
      </c>
      <c r="F504" s="188">
        <v>19.4520595597793</v>
      </c>
      <c r="G504" s="189">
        <v>1.8509829659609501E-2</v>
      </c>
      <c r="H504" s="189">
        <v>0.20655973087922599</v>
      </c>
      <c r="I504" s="189">
        <v>0.22506956053883601</v>
      </c>
      <c r="J504" s="189">
        <v>0.69833932098211404</v>
      </c>
      <c r="K504" s="189">
        <v>3.8390793333133097E-5</v>
      </c>
      <c r="L504" s="189">
        <v>6.3910954722798299E-4</v>
      </c>
      <c r="M504" s="189">
        <v>7.7633438796667506E-5</v>
      </c>
      <c r="N504" s="189">
        <v>5.79535569666496E-4</v>
      </c>
      <c r="O504" s="189">
        <v>1.31880778818227</v>
      </c>
      <c r="P504" s="189">
        <v>0.81170296113704798</v>
      </c>
      <c r="Q504" s="189">
        <v>-4.4705012551665403E-2</v>
      </c>
      <c r="R504" s="189">
        <v>0.21122091919939501</v>
      </c>
      <c r="S504" s="189">
        <v>2.7042330441197499E-3</v>
      </c>
      <c r="T504" s="189">
        <v>0</v>
      </c>
      <c r="U504" s="189">
        <v>0</v>
      </c>
      <c r="V504" s="189">
        <v>0</v>
      </c>
      <c r="W504" s="189"/>
      <c r="X504" s="90"/>
      <c r="Y504" s="188"/>
      <c r="Z504" s="188"/>
      <c r="AA504" s="188"/>
      <c r="AB504" s="188"/>
      <c r="AC504" s="188"/>
      <c r="AD504" s="190"/>
      <c r="AE504" s="189"/>
    </row>
    <row r="505" spans="1:31" ht="21.25" customHeight="1" x14ac:dyDescent="0.15">
      <c r="A505" s="10" t="s">
        <v>468</v>
      </c>
      <c r="B505" s="186" t="s">
        <v>859</v>
      </c>
      <c r="C505" s="187">
        <v>24</v>
      </c>
      <c r="D505" s="186" t="s">
        <v>827</v>
      </c>
      <c r="E505" s="90">
        <v>77.805000000000007</v>
      </c>
      <c r="F505" s="188">
        <v>15.9837157062716</v>
      </c>
      <c r="G505" s="189">
        <v>6.4370210588501703E-2</v>
      </c>
      <c r="H505" s="189">
        <v>0.16063952110051899</v>
      </c>
      <c r="I505" s="189">
        <v>0.225009731689021</v>
      </c>
      <c r="J505" s="189">
        <v>1.11504912232595</v>
      </c>
      <c r="K505" s="189">
        <v>1.45702510009644E-4</v>
      </c>
      <c r="L505" s="189">
        <v>1.0862769268890401E-3</v>
      </c>
      <c r="M505" s="189">
        <v>6.1901943130457696E-4</v>
      </c>
      <c r="N505" s="189">
        <v>1.2216941883789899E-2</v>
      </c>
      <c r="O505" s="189">
        <v>1.30604034283416</v>
      </c>
      <c r="P505" s="189">
        <v>0.87210307026453304</v>
      </c>
      <c r="Q505" s="189">
        <v>-4.6260808740251701E-2</v>
      </c>
      <c r="R505" s="189">
        <v>0.393163462360621</v>
      </c>
      <c r="S505" s="189">
        <v>9.4043032124827199E-3</v>
      </c>
      <c r="T505" s="189">
        <v>0</v>
      </c>
      <c r="U505" s="189">
        <v>3.4554659310206903E-2</v>
      </c>
      <c r="V505" s="189">
        <v>0</v>
      </c>
      <c r="W505" s="189"/>
      <c r="X505" s="90"/>
      <c r="Y505" s="188"/>
      <c r="Z505" s="188"/>
      <c r="AA505" s="188"/>
      <c r="AB505" s="188"/>
      <c r="AC505" s="188"/>
      <c r="AD505" s="190"/>
      <c r="AE505" s="189"/>
    </row>
    <row r="506" spans="1:31" ht="21.25" customHeight="1" x14ac:dyDescent="0.15">
      <c r="A506" s="10" t="s">
        <v>563</v>
      </c>
      <c r="B506" s="186" t="s">
        <v>836</v>
      </c>
      <c r="C506" s="187">
        <v>24</v>
      </c>
      <c r="D506" s="186" t="s">
        <v>827</v>
      </c>
      <c r="E506" s="90">
        <v>63.3</v>
      </c>
      <c r="F506" s="188">
        <v>16.007254397733998</v>
      </c>
      <c r="G506" s="189">
        <v>7.2064804024906101E-2</v>
      </c>
      <c r="H506" s="189">
        <v>0.151915132904163</v>
      </c>
      <c r="I506" s="189">
        <v>0.22397993692906901</v>
      </c>
      <c r="J506" s="189">
        <v>0.92321054488167198</v>
      </c>
      <c r="K506" s="189">
        <v>1.01213817171796E-4</v>
      </c>
      <c r="L506" s="189">
        <v>2.2276459937857099E-3</v>
      </c>
      <c r="M506" s="189">
        <v>4.46329254821394E-4</v>
      </c>
      <c r="N506" s="189">
        <v>1.5425671460651501E-3</v>
      </c>
      <c r="O506" s="189">
        <v>1.22878663337663</v>
      </c>
      <c r="P506" s="189">
        <v>0.83861021508084299</v>
      </c>
      <c r="Q506" s="189">
        <v>5.4030448048852597E-2</v>
      </c>
      <c r="R506" s="189">
        <v>0.37645289818533201</v>
      </c>
      <c r="S506" s="189">
        <v>1.2650367710317601E-2</v>
      </c>
      <c r="T506" s="189">
        <v>0</v>
      </c>
      <c r="U506" s="189">
        <v>0</v>
      </c>
      <c r="V506" s="189">
        <v>0</v>
      </c>
      <c r="W506" s="189"/>
      <c r="X506" s="90"/>
      <c r="Y506" s="188"/>
      <c r="Z506" s="188"/>
      <c r="AA506" s="188"/>
      <c r="AB506" s="188"/>
      <c r="AC506" s="188"/>
      <c r="AD506" s="190"/>
      <c r="AE506" s="189"/>
    </row>
    <row r="507" spans="1:31" ht="21.25" customHeight="1" x14ac:dyDescent="0.15">
      <c r="A507" s="10" t="s">
        <v>690</v>
      </c>
      <c r="B507" s="186" t="s">
        <v>867</v>
      </c>
      <c r="C507" s="187">
        <v>34</v>
      </c>
      <c r="D507" s="186" t="s">
        <v>846</v>
      </c>
      <c r="E507" s="90">
        <v>78.254999999999995</v>
      </c>
      <c r="F507" s="188">
        <v>13.546702444568799</v>
      </c>
      <c r="G507" s="189">
        <v>0.10691215896563</v>
      </c>
      <c r="H507" s="189">
        <v>0.11690427987346701</v>
      </c>
      <c r="I507" s="189">
        <v>0.22381643883909699</v>
      </c>
      <c r="J507" s="189">
        <v>1.18636165836648</v>
      </c>
      <c r="K507" s="189">
        <v>4.1756017108151103E-4</v>
      </c>
      <c r="L507" s="189">
        <v>9.2016265701415996E-4</v>
      </c>
      <c r="M507" s="189">
        <v>1.18265478738143E-3</v>
      </c>
      <c r="N507" s="189">
        <v>5.4492730216837097E-3</v>
      </c>
      <c r="O507" s="189">
        <v>0.98865185510715003</v>
      </c>
      <c r="P507" s="189">
        <v>1.46433149461738</v>
      </c>
      <c r="Q507" s="189">
        <v>-3.1230795073999402E-3</v>
      </c>
      <c r="R507" s="189">
        <v>0.23772640838290299</v>
      </c>
      <c r="S507" s="189">
        <v>1.6895858676748601E-2</v>
      </c>
      <c r="T507" s="189">
        <v>4.6603483646865298</v>
      </c>
      <c r="U507" s="189">
        <v>4.11771803064961</v>
      </c>
      <c r="V507" s="189">
        <v>0.53090830654489096</v>
      </c>
      <c r="W507" s="189"/>
      <c r="X507" s="90"/>
      <c r="Y507" s="188"/>
      <c r="Z507" s="188"/>
      <c r="AA507" s="188"/>
      <c r="AB507" s="188"/>
      <c r="AC507" s="188"/>
      <c r="AD507" s="190"/>
      <c r="AE507" s="189"/>
    </row>
    <row r="508" spans="1:31" ht="21.25" customHeight="1" x14ac:dyDescent="0.15">
      <c r="A508" s="10" t="s">
        <v>775</v>
      </c>
      <c r="B508" s="186" t="s">
        <v>838</v>
      </c>
      <c r="C508" s="187">
        <v>30</v>
      </c>
      <c r="D508" s="186" t="s">
        <v>826</v>
      </c>
      <c r="E508" s="90">
        <v>69.007499999999993</v>
      </c>
      <c r="F508" s="188">
        <v>11.4768348619679</v>
      </c>
      <c r="G508" s="189">
        <v>9.8362531761532507E-2</v>
      </c>
      <c r="H508" s="189">
        <v>0.124101684974217</v>
      </c>
      <c r="I508" s="189">
        <v>0.22246421673575001</v>
      </c>
      <c r="J508" s="189">
        <v>0.99707384102545404</v>
      </c>
      <c r="K508" s="189">
        <v>1.5238184557589601E-5</v>
      </c>
      <c r="L508" s="189">
        <v>3.3463638957772402E-5</v>
      </c>
      <c r="M508" s="189">
        <v>9.0187319141683108E-3</v>
      </c>
      <c r="N508" s="189">
        <v>1.44446800101401E-2</v>
      </c>
      <c r="O508" s="189">
        <v>0.46091126683938999</v>
      </c>
      <c r="P508" s="189">
        <v>0.95107844357608895</v>
      </c>
      <c r="Q508" s="189">
        <v>6.8969453141035697E-2</v>
      </c>
      <c r="R508" s="189">
        <v>0.31824548572387001</v>
      </c>
      <c r="S508" s="189">
        <v>1.7753179058807401E-2</v>
      </c>
      <c r="T508" s="189">
        <v>0.21849870000520599</v>
      </c>
      <c r="U508" s="189">
        <v>0.37068703267705899</v>
      </c>
      <c r="V508" s="189">
        <v>0.37084859304126699</v>
      </c>
      <c r="W508" s="189"/>
      <c r="X508" s="90"/>
      <c r="Y508" s="188"/>
      <c r="Z508" s="188"/>
      <c r="AA508" s="188"/>
      <c r="AB508" s="188"/>
      <c r="AC508" s="188"/>
      <c r="AD508" s="190"/>
      <c r="AE508" s="189"/>
    </row>
    <row r="509" spans="1:31" ht="21.25" customHeight="1" x14ac:dyDescent="0.15">
      <c r="A509" s="10" t="s">
        <v>474</v>
      </c>
      <c r="B509" s="186" t="s">
        <v>856</v>
      </c>
      <c r="C509" s="187">
        <v>35</v>
      </c>
      <c r="D509" s="186" t="s">
        <v>827</v>
      </c>
      <c r="E509" s="90">
        <v>81.855000000000004</v>
      </c>
      <c r="F509" s="188">
        <v>19.194290169588399</v>
      </c>
      <c r="G509" s="189">
        <v>4.99017861473759E-2</v>
      </c>
      <c r="H509" s="189">
        <v>0.17227457032365301</v>
      </c>
      <c r="I509" s="189">
        <v>0.22217635647102901</v>
      </c>
      <c r="J509" s="189">
        <v>0.97357104418337304</v>
      </c>
      <c r="K509" s="189">
        <v>3.7062984754817003E-4</v>
      </c>
      <c r="L509" s="189">
        <v>3.5265140436929899E-3</v>
      </c>
      <c r="M509" s="189">
        <v>2.1795428140015201E-4</v>
      </c>
      <c r="N509" s="189">
        <v>1.6241155584148801E-3</v>
      </c>
      <c r="O509" s="189">
        <v>1.23707291570779</v>
      </c>
      <c r="P509" s="189">
        <v>1.0175909368867</v>
      </c>
      <c r="Q509" s="189">
        <v>4.6238335083866502E-2</v>
      </c>
      <c r="R509" s="189">
        <v>0.348346880989095</v>
      </c>
      <c r="S509" s="189">
        <v>8.0663545960199499E-3</v>
      </c>
      <c r="T509" s="189">
        <v>0</v>
      </c>
      <c r="U509" s="189">
        <v>0</v>
      </c>
      <c r="V509" s="189">
        <v>0</v>
      </c>
      <c r="W509" s="189"/>
      <c r="X509" s="90"/>
      <c r="Y509" s="188"/>
      <c r="Z509" s="188"/>
      <c r="AA509" s="188"/>
      <c r="AB509" s="188"/>
      <c r="AC509" s="188"/>
      <c r="AD509" s="190"/>
      <c r="AE509" s="189"/>
    </row>
    <row r="510" spans="1:31" ht="21.25" customHeight="1" x14ac:dyDescent="0.15">
      <c r="A510" s="10" t="s">
        <v>469</v>
      </c>
      <c r="B510" s="186" t="s">
        <v>836</v>
      </c>
      <c r="C510" s="187">
        <v>26</v>
      </c>
      <c r="D510" s="186" t="s">
        <v>827</v>
      </c>
      <c r="E510" s="90">
        <v>80.23</v>
      </c>
      <c r="F510" s="188">
        <v>17.2698256186974</v>
      </c>
      <c r="G510" s="189">
        <v>3.7519062901671903E-2</v>
      </c>
      <c r="H510" s="189">
        <v>0.18440149071155401</v>
      </c>
      <c r="I510" s="189">
        <v>0.22192055361322599</v>
      </c>
      <c r="J510" s="189">
        <v>0.84526239194997199</v>
      </c>
      <c r="K510" s="189">
        <v>2.7736343199605301E-5</v>
      </c>
      <c r="L510" s="189">
        <v>3.3248016688373298E-4</v>
      </c>
      <c r="M510" s="189">
        <v>2.67576710174213E-4</v>
      </c>
      <c r="N510" s="189">
        <v>3.5438080318137399E-3</v>
      </c>
      <c r="O510" s="189">
        <v>1.47939657703526</v>
      </c>
      <c r="P510" s="189">
        <v>1.61826101846434</v>
      </c>
      <c r="Q510" s="189">
        <v>6.2584063928330699E-2</v>
      </c>
      <c r="R510" s="189">
        <v>0.32815906265820499</v>
      </c>
      <c r="S510" s="189">
        <v>6.5861546183994396E-3</v>
      </c>
      <c r="T510" s="189">
        <v>0</v>
      </c>
      <c r="U510" s="189">
        <v>0</v>
      </c>
      <c r="V510" s="189">
        <v>0</v>
      </c>
      <c r="W510" s="189"/>
      <c r="X510" s="90"/>
      <c r="Y510" s="188"/>
      <c r="Z510" s="188"/>
      <c r="AA510" s="188"/>
      <c r="AB510" s="188"/>
      <c r="AC510" s="188"/>
      <c r="AD510" s="190"/>
      <c r="AE510" s="189"/>
    </row>
    <row r="511" spans="1:31" ht="21.25" customHeight="1" x14ac:dyDescent="0.15">
      <c r="A511" s="10" t="s">
        <v>537</v>
      </c>
      <c r="B511" s="186" t="s">
        <v>843</v>
      </c>
      <c r="C511" s="187">
        <v>29</v>
      </c>
      <c r="D511" s="186" t="s">
        <v>827</v>
      </c>
      <c r="E511" s="90">
        <v>75.862499999999997</v>
      </c>
      <c r="F511" s="188">
        <v>16.918565905731398</v>
      </c>
      <c r="G511" s="189">
        <v>1.8429463894426699E-2</v>
      </c>
      <c r="H511" s="189">
        <v>0.20322105290082501</v>
      </c>
      <c r="I511" s="189">
        <v>0.221650516795252</v>
      </c>
      <c r="J511" s="189">
        <v>0.67195370994002401</v>
      </c>
      <c r="K511" s="189">
        <v>7.6908095969106607E-5</v>
      </c>
      <c r="L511" s="189">
        <v>8.4549943452501101E-4</v>
      </c>
      <c r="M511" s="189">
        <v>1.5926897845550299E-4</v>
      </c>
      <c r="N511" s="189">
        <v>8.4956979189935496E-3</v>
      </c>
      <c r="O511" s="189">
        <v>1.1855411224921799</v>
      </c>
      <c r="P511" s="189">
        <v>1.5086644714713699</v>
      </c>
      <c r="Q511" s="189">
        <v>4.43161082788123E-2</v>
      </c>
      <c r="R511" s="189">
        <v>0.43041848529175297</v>
      </c>
      <c r="S511" s="189">
        <v>3.5159258015689801E-3</v>
      </c>
      <c r="T511" s="189">
        <v>0</v>
      </c>
      <c r="U511" s="189">
        <v>0</v>
      </c>
      <c r="V511" s="189">
        <v>0</v>
      </c>
      <c r="W511" s="189"/>
      <c r="X511" s="90"/>
      <c r="Y511" s="188"/>
      <c r="Z511" s="188"/>
      <c r="AA511" s="188"/>
      <c r="AB511" s="188"/>
      <c r="AC511" s="188"/>
      <c r="AD511" s="190"/>
      <c r="AE511" s="189"/>
    </row>
    <row r="512" spans="1:31" ht="21.25" customHeight="1" x14ac:dyDescent="0.15">
      <c r="A512" s="10" t="s">
        <v>584</v>
      </c>
      <c r="B512" s="186" t="s">
        <v>847</v>
      </c>
      <c r="C512" s="187">
        <v>22</v>
      </c>
      <c r="D512" s="186" t="s">
        <v>827</v>
      </c>
      <c r="E512" s="90">
        <v>68.5</v>
      </c>
      <c r="F512" s="188">
        <v>15.2356026106517</v>
      </c>
      <c r="G512" s="189">
        <v>8.6390210500725095E-2</v>
      </c>
      <c r="H512" s="189">
        <v>0.13475638361228601</v>
      </c>
      <c r="I512" s="189">
        <v>0.22114659411301099</v>
      </c>
      <c r="J512" s="189">
        <v>0.75749878260779502</v>
      </c>
      <c r="K512" s="189">
        <v>3.3694975707892898E-5</v>
      </c>
      <c r="L512" s="189">
        <v>2.5774481287582E-4</v>
      </c>
      <c r="M512" s="189">
        <v>2.8053108539874102E-4</v>
      </c>
      <c r="N512" s="189">
        <v>9.4341669905099199E-4</v>
      </c>
      <c r="O512" s="189">
        <v>0.91130323045901096</v>
      </c>
      <c r="P512" s="189">
        <v>2.3137619410349299</v>
      </c>
      <c r="Q512" s="189">
        <v>6.16285009841804E-2</v>
      </c>
      <c r="R512" s="189">
        <v>0.65660282855116403</v>
      </c>
      <c r="S512" s="189">
        <v>1.4610553693102201E-2</v>
      </c>
      <c r="T512" s="189">
        <v>0</v>
      </c>
      <c r="U512" s="189">
        <v>0</v>
      </c>
      <c r="V512" s="189">
        <v>0</v>
      </c>
      <c r="W512" s="189"/>
      <c r="X512" s="90"/>
      <c r="Y512" s="188"/>
      <c r="Z512" s="188"/>
      <c r="AA512" s="188"/>
      <c r="AB512" s="188"/>
      <c r="AC512" s="188"/>
      <c r="AD512" s="190"/>
      <c r="AE512" s="189"/>
    </row>
    <row r="513" spans="1:31" ht="21.25" customHeight="1" x14ac:dyDescent="0.15">
      <c r="A513" s="10" t="s">
        <v>723</v>
      </c>
      <c r="B513" s="186" t="s">
        <v>843</v>
      </c>
      <c r="C513" s="187">
        <v>36</v>
      </c>
      <c r="D513" s="186" t="s">
        <v>824</v>
      </c>
      <c r="E513" s="90">
        <v>80.987499999999997</v>
      </c>
      <c r="F513" s="188">
        <v>12.6199362991965</v>
      </c>
      <c r="G513" s="189">
        <v>8.1442894817309194E-2</v>
      </c>
      <c r="H513" s="189">
        <v>0.13948017761607501</v>
      </c>
      <c r="I513" s="189">
        <v>0.22092307243338399</v>
      </c>
      <c r="J513" s="189">
        <v>0.77780432780198105</v>
      </c>
      <c r="K513" s="189">
        <v>3.8743188138024899E-4</v>
      </c>
      <c r="L513" s="189">
        <v>8.9505557039032098E-4</v>
      </c>
      <c r="M513" s="189">
        <v>8.9052061764286101E-3</v>
      </c>
      <c r="N513" s="189">
        <v>1.01610611326272E-2</v>
      </c>
      <c r="O513" s="189">
        <v>0.65141303721105903</v>
      </c>
      <c r="P513" s="189">
        <v>1.5497260800488899</v>
      </c>
      <c r="Q513" s="189">
        <v>2.5960016264861802E-2</v>
      </c>
      <c r="R513" s="189">
        <v>0.50984212130293804</v>
      </c>
      <c r="S513" s="189">
        <v>1.55374663572955E-2</v>
      </c>
      <c r="T513" s="189">
        <v>5.6872679890580198</v>
      </c>
      <c r="U513" s="189">
        <v>5.9364641368982696</v>
      </c>
      <c r="V513" s="189">
        <v>0.48928071702186798</v>
      </c>
      <c r="W513" s="189"/>
      <c r="X513" s="90"/>
      <c r="Y513" s="188"/>
      <c r="Z513" s="188"/>
      <c r="AA513" s="188"/>
      <c r="AB513" s="188"/>
      <c r="AC513" s="188"/>
      <c r="AD513" s="190"/>
      <c r="AE513" s="189"/>
    </row>
    <row r="514" spans="1:31" ht="21.25" customHeight="1" x14ac:dyDescent="0.15">
      <c r="A514" s="10" t="s">
        <v>777</v>
      </c>
      <c r="B514" s="186" t="s">
        <v>865</v>
      </c>
      <c r="C514" s="187">
        <v>25</v>
      </c>
      <c r="D514" s="186" t="s">
        <v>839</v>
      </c>
      <c r="E514" s="90">
        <v>64.325000000000003</v>
      </c>
      <c r="F514" s="188">
        <v>11.3021693856368</v>
      </c>
      <c r="G514" s="189">
        <v>0.11609971548499699</v>
      </c>
      <c r="H514" s="189">
        <v>0.104703305365288</v>
      </c>
      <c r="I514" s="189">
        <v>0.220803020850285</v>
      </c>
      <c r="J514" s="189">
        <v>1.02048781723927</v>
      </c>
      <c r="K514" s="189">
        <v>1.5899372938700599E-4</v>
      </c>
      <c r="L514" s="189">
        <v>3.4727755919970401E-4</v>
      </c>
      <c r="M514" s="189">
        <v>3.2743709689076399E-3</v>
      </c>
      <c r="N514" s="189">
        <v>5.4229401782491197E-3</v>
      </c>
      <c r="O514" s="189">
        <v>0.67560147539758197</v>
      </c>
      <c r="P514" s="189">
        <v>1.9679481295775101</v>
      </c>
      <c r="Q514" s="189">
        <v>-3.7056454761128697E-2</v>
      </c>
      <c r="R514" s="189">
        <v>0.25441864033848499</v>
      </c>
      <c r="S514" s="189">
        <v>1.6082715011100701E-2</v>
      </c>
      <c r="T514" s="189">
        <v>7.8201807950514596E-2</v>
      </c>
      <c r="U514" s="189">
        <v>0.47289540918877099</v>
      </c>
      <c r="V514" s="189">
        <v>0.141902019314225</v>
      </c>
      <c r="W514" s="189"/>
      <c r="X514" s="90"/>
      <c r="Y514" s="188"/>
      <c r="Z514" s="188"/>
      <c r="AA514" s="188"/>
      <c r="AB514" s="188"/>
      <c r="AC514" s="188"/>
      <c r="AD514" s="190"/>
      <c r="AE514" s="189"/>
    </row>
    <row r="515" spans="1:31" ht="21.25" customHeight="1" x14ac:dyDescent="0.15">
      <c r="A515" s="10" t="s">
        <v>553</v>
      </c>
      <c r="B515" s="186" t="s">
        <v>841</v>
      </c>
      <c r="C515" s="187">
        <v>27</v>
      </c>
      <c r="D515" s="186" t="s">
        <v>827</v>
      </c>
      <c r="E515" s="90">
        <v>72.927499999999995</v>
      </c>
      <c r="F515" s="188">
        <v>15.882409409493199</v>
      </c>
      <c r="G515" s="189">
        <v>3.9862469686379499E-2</v>
      </c>
      <c r="H515" s="189">
        <v>0.18034678381472899</v>
      </c>
      <c r="I515" s="189">
        <v>0.22020925350110901</v>
      </c>
      <c r="J515" s="189">
        <v>0.87385401209293501</v>
      </c>
      <c r="K515" s="189">
        <v>4.04013744334986E-4</v>
      </c>
      <c r="L515" s="189">
        <v>8.1868271561811295E-3</v>
      </c>
      <c r="M515" s="189">
        <v>1.8085823435448099E-4</v>
      </c>
      <c r="N515" s="189">
        <v>1.7819493765658201E-3</v>
      </c>
      <c r="O515" s="189">
        <v>0.94498549945199395</v>
      </c>
      <c r="P515" s="189">
        <v>0.81768015800057803</v>
      </c>
      <c r="Q515" s="189">
        <v>-1.8639353457962301E-2</v>
      </c>
      <c r="R515" s="189">
        <v>0.28980968765039</v>
      </c>
      <c r="S515" s="189">
        <v>5.3663526586066896E-3</v>
      </c>
      <c r="T515" s="189">
        <v>0</v>
      </c>
      <c r="U515" s="189">
        <v>0</v>
      </c>
      <c r="V515" s="189">
        <v>0</v>
      </c>
      <c r="W515" s="189"/>
      <c r="X515" s="90"/>
      <c r="Y515" s="188"/>
      <c r="Z515" s="188"/>
      <c r="AA515" s="188"/>
      <c r="AB515" s="188"/>
      <c r="AC515" s="188"/>
      <c r="AD515" s="190"/>
      <c r="AE515" s="189"/>
    </row>
    <row r="516" spans="1:31" ht="21.25" customHeight="1" x14ac:dyDescent="0.15">
      <c r="A516" s="10" t="s">
        <v>494</v>
      </c>
      <c r="B516" s="186" t="s">
        <v>865</v>
      </c>
      <c r="C516" s="187">
        <v>27</v>
      </c>
      <c r="D516" s="186" t="s">
        <v>827</v>
      </c>
      <c r="E516" s="90">
        <v>77.655000000000001</v>
      </c>
      <c r="F516" s="188">
        <v>19.488075569568799</v>
      </c>
      <c r="G516" s="189">
        <v>5.0971698138357897E-2</v>
      </c>
      <c r="H516" s="189">
        <v>0.16900892970675299</v>
      </c>
      <c r="I516" s="189">
        <v>0.21998062784511099</v>
      </c>
      <c r="J516" s="189">
        <v>1.0786150070189</v>
      </c>
      <c r="K516" s="189">
        <v>1.6568184927431701E-4</v>
      </c>
      <c r="L516" s="189">
        <v>1.35416973501514E-3</v>
      </c>
      <c r="M516" s="189">
        <v>2.34807817678026E-4</v>
      </c>
      <c r="N516" s="189">
        <v>8.6110442319779906E-3</v>
      </c>
      <c r="O516" s="189">
        <v>1.13361392609772</v>
      </c>
      <c r="P516" s="189">
        <v>1.2335882068041799</v>
      </c>
      <c r="Q516" s="189">
        <v>-5.2493138220971597E-2</v>
      </c>
      <c r="R516" s="189">
        <v>0.65023450895674895</v>
      </c>
      <c r="S516" s="189">
        <v>7.0608553291157602E-3</v>
      </c>
      <c r="T516" s="189">
        <v>0</v>
      </c>
      <c r="U516" s="189">
        <v>0</v>
      </c>
      <c r="V516" s="189">
        <v>0</v>
      </c>
      <c r="W516" s="189"/>
      <c r="X516" s="90"/>
      <c r="Y516" s="188"/>
      <c r="Z516" s="188"/>
      <c r="AA516" s="188"/>
      <c r="AB516" s="188"/>
      <c r="AC516" s="188"/>
      <c r="AD516" s="190"/>
      <c r="AE516" s="189"/>
    </row>
    <row r="517" spans="1:31" ht="21.25" customHeight="1" x14ac:dyDescent="0.15">
      <c r="A517" s="10" t="s">
        <v>789</v>
      </c>
      <c r="B517" s="186" t="s">
        <v>865</v>
      </c>
      <c r="C517" s="187">
        <v>24</v>
      </c>
      <c r="D517" s="186" t="s">
        <v>826</v>
      </c>
      <c r="E517" s="90">
        <v>60.087499999999999</v>
      </c>
      <c r="F517" s="188">
        <v>12.153635035146801</v>
      </c>
      <c r="G517" s="189">
        <v>7.5115935000374903E-2</v>
      </c>
      <c r="H517" s="189">
        <v>0.14468670204142001</v>
      </c>
      <c r="I517" s="189">
        <v>0.21980263704179501</v>
      </c>
      <c r="J517" s="189">
        <v>0.86868109835065199</v>
      </c>
      <c r="K517" s="189">
        <v>1.9675553593286101E-4</v>
      </c>
      <c r="L517" s="189">
        <v>4.2220608770625898E-4</v>
      </c>
      <c r="M517" s="189">
        <v>4.8922152607694001E-3</v>
      </c>
      <c r="N517" s="189">
        <v>7.95689902562202E-3</v>
      </c>
      <c r="O517" s="189">
        <v>0.53636320293300599</v>
      </c>
      <c r="P517" s="189">
        <v>2.43439373743051</v>
      </c>
      <c r="Q517" s="189">
        <v>-4.0968099868466501E-2</v>
      </c>
      <c r="R517" s="189">
        <v>0.581078897265211</v>
      </c>
      <c r="S517" s="189">
        <v>1.04054361404487E-2</v>
      </c>
      <c r="T517" s="189">
        <v>5.2157648474888602E-2</v>
      </c>
      <c r="U517" s="189">
        <v>0.151027527100804</v>
      </c>
      <c r="V517" s="189">
        <v>0.25670006843318299</v>
      </c>
      <c r="W517" s="189"/>
      <c r="X517" s="90"/>
      <c r="Y517" s="188"/>
      <c r="Z517" s="188"/>
      <c r="AA517" s="188"/>
      <c r="AB517" s="188"/>
      <c r="AC517" s="188"/>
      <c r="AD517" s="190"/>
      <c r="AE517" s="189"/>
    </row>
    <row r="518" spans="1:31" ht="21.25" customHeight="1" x14ac:dyDescent="0.15">
      <c r="A518" s="10" t="s">
        <v>773</v>
      </c>
      <c r="B518" s="186" t="s">
        <v>868</v>
      </c>
      <c r="C518" s="187">
        <v>26</v>
      </c>
      <c r="D518" s="186" t="s">
        <v>825</v>
      </c>
      <c r="E518" s="90">
        <v>82.484999999999999</v>
      </c>
      <c r="F518" s="188">
        <v>10.5542258032779</v>
      </c>
      <c r="G518" s="189">
        <v>0.117946016711815</v>
      </c>
      <c r="H518" s="189">
        <v>9.8838994308884001E-2</v>
      </c>
      <c r="I518" s="189">
        <v>0.216785011020699</v>
      </c>
      <c r="J518" s="189">
        <v>0.87161988018014602</v>
      </c>
      <c r="K518" s="189">
        <v>6.0026647883233198E-4</v>
      </c>
      <c r="L518" s="189">
        <v>1.6964370639711E-3</v>
      </c>
      <c r="M518" s="189">
        <v>1.18111874398628E-4</v>
      </c>
      <c r="N518" s="189">
        <v>1.9510001456849899E-4</v>
      </c>
      <c r="O518" s="189">
        <v>0.31754701095194099</v>
      </c>
      <c r="P518" s="189">
        <v>2.32554294526973</v>
      </c>
      <c r="Q518" s="189">
        <v>-0.13886381987464599</v>
      </c>
      <c r="R518" s="189">
        <v>0.33974602956468603</v>
      </c>
      <c r="S518" s="189">
        <v>1.46155783352649E-2</v>
      </c>
      <c r="T518" s="189">
        <v>0.68552920938667194</v>
      </c>
      <c r="U518" s="189">
        <v>0.65091770652320502</v>
      </c>
      <c r="V518" s="189">
        <v>0.51294907506292597</v>
      </c>
      <c r="W518" s="189"/>
      <c r="X518" s="90"/>
      <c r="Y518" s="189"/>
      <c r="Z518" s="189"/>
      <c r="AA518" s="189"/>
      <c r="AB518" s="189"/>
      <c r="AC518" s="188"/>
      <c r="AD518" s="190"/>
      <c r="AE518" s="189"/>
    </row>
    <row r="519" spans="1:31" ht="21.25" customHeight="1" x14ac:dyDescent="0.15">
      <c r="A519" s="10" t="s">
        <v>786</v>
      </c>
      <c r="B519" s="186" t="s">
        <v>837</v>
      </c>
      <c r="C519" s="187">
        <v>29</v>
      </c>
      <c r="D519" s="186" t="s">
        <v>825</v>
      </c>
      <c r="E519" s="90">
        <v>61.174999999999997</v>
      </c>
      <c r="F519" s="188">
        <v>10.9279302904252</v>
      </c>
      <c r="G519" s="189">
        <v>7.8532008506833395E-2</v>
      </c>
      <c r="H519" s="189">
        <v>0.137863218385265</v>
      </c>
      <c r="I519" s="189">
        <v>0.216395226892098</v>
      </c>
      <c r="J519" s="189">
        <v>1.17323971423021</v>
      </c>
      <c r="K519" s="189">
        <v>1.48304986708358E-3</v>
      </c>
      <c r="L519" s="189">
        <v>3.2793629205515899E-3</v>
      </c>
      <c r="M519" s="189">
        <v>1.4382443757429399E-4</v>
      </c>
      <c r="N519" s="189">
        <v>2.35787875672837E-4</v>
      </c>
      <c r="O519" s="189">
        <v>0.43608292702086099</v>
      </c>
      <c r="P519" s="189">
        <v>2.2216520088649001</v>
      </c>
      <c r="Q519" s="189">
        <v>7.5139400437813406E-2</v>
      </c>
      <c r="R519" s="189">
        <v>0.79110298501628895</v>
      </c>
      <c r="S519" s="189">
        <v>1.3940172729567201E-2</v>
      </c>
      <c r="T519" s="189">
        <v>2.55639612411767E-2</v>
      </c>
      <c r="U519" s="189">
        <v>7.8842574453677094E-2</v>
      </c>
      <c r="V519" s="189">
        <v>0.24485020090975701</v>
      </c>
      <c r="W519" s="189"/>
      <c r="X519" s="90"/>
      <c r="Y519" s="188"/>
      <c r="Z519" s="188"/>
      <c r="AA519" s="188"/>
      <c r="AB519" s="188"/>
      <c r="AC519" s="188"/>
      <c r="AD519" s="190"/>
      <c r="AE519" s="189"/>
    </row>
    <row r="520" spans="1:31" ht="21.25" customHeight="1" x14ac:dyDescent="0.15">
      <c r="A520" s="10" t="s">
        <v>539</v>
      </c>
      <c r="B520" s="186" t="s">
        <v>870</v>
      </c>
      <c r="C520" s="187">
        <v>28</v>
      </c>
      <c r="D520" s="186" t="s">
        <v>827</v>
      </c>
      <c r="E520" s="90">
        <v>65.882499999999993</v>
      </c>
      <c r="F520" s="188">
        <v>17.897910105485799</v>
      </c>
      <c r="G520" s="189">
        <v>1.9949630179323E-2</v>
      </c>
      <c r="H520" s="189">
        <v>0.19544210398747699</v>
      </c>
      <c r="I520" s="189">
        <v>0.21539173416679999</v>
      </c>
      <c r="J520" s="189">
        <v>0.90624030466191796</v>
      </c>
      <c r="K520" s="189">
        <v>2.2198249072254299E-4</v>
      </c>
      <c r="L520" s="189">
        <v>2.1958370996313201E-3</v>
      </c>
      <c r="M520" s="189">
        <v>3.3651785930238499E-4</v>
      </c>
      <c r="N520" s="189">
        <v>7.3195378011796201E-3</v>
      </c>
      <c r="O520" s="189">
        <v>1.43665893841829</v>
      </c>
      <c r="P520" s="189">
        <v>1.3950996598755201</v>
      </c>
      <c r="Q520" s="189">
        <v>-7.9827530605805594E-2</v>
      </c>
      <c r="R520" s="189">
        <v>0.45336601284823103</v>
      </c>
      <c r="S520" s="189">
        <v>2.7485639824691402E-3</v>
      </c>
      <c r="T520" s="189">
        <v>0</v>
      </c>
      <c r="U520" s="189">
        <v>0</v>
      </c>
      <c r="V520" s="189">
        <v>0</v>
      </c>
      <c r="W520" s="189"/>
      <c r="X520" s="90"/>
      <c r="Y520" s="188"/>
      <c r="Z520" s="188"/>
      <c r="AA520" s="188"/>
      <c r="AB520" s="188"/>
      <c r="AC520" s="188"/>
      <c r="AD520" s="190"/>
      <c r="AE520" s="189"/>
    </row>
    <row r="521" spans="1:31" ht="21.25" customHeight="1" x14ac:dyDescent="0.15">
      <c r="A521" s="10" t="s">
        <v>504</v>
      </c>
      <c r="B521" s="186" t="s">
        <v>862</v>
      </c>
      <c r="C521" s="187">
        <v>27</v>
      </c>
      <c r="D521" s="186" t="s">
        <v>827</v>
      </c>
      <c r="E521" s="90">
        <v>68.772499999999994</v>
      </c>
      <c r="F521" s="188">
        <v>17.685826823894399</v>
      </c>
      <c r="G521" s="189">
        <v>2.7051692534806101E-2</v>
      </c>
      <c r="H521" s="189">
        <v>0.18824735874177601</v>
      </c>
      <c r="I521" s="189">
        <v>0.215299051276582</v>
      </c>
      <c r="J521" s="189">
        <v>0.95985506887074701</v>
      </c>
      <c r="K521" s="189">
        <v>1.5419185267981501E-5</v>
      </c>
      <c r="L521" s="189">
        <v>3.6270170794964801E-4</v>
      </c>
      <c r="M521" s="189">
        <v>4.2134164753234799E-4</v>
      </c>
      <c r="N521" s="189">
        <v>2.6969014523950102E-3</v>
      </c>
      <c r="O521" s="189">
        <v>1.6503974277785101</v>
      </c>
      <c r="P521" s="189">
        <v>0.90416728064716101</v>
      </c>
      <c r="Q521" s="189">
        <v>7.0455648078913699E-3</v>
      </c>
      <c r="R521" s="189">
        <v>0.478344007559308</v>
      </c>
      <c r="S521" s="189">
        <v>4.0785831461500497E-3</v>
      </c>
      <c r="T521" s="189">
        <v>0</v>
      </c>
      <c r="U521" s="189">
        <v>0</v>
      </c>
      <c r="V521" s="189">
        <v>0</v>
      </c>
      <c r="W521" s="189"/>
      <c r="X521" s="90"/>
      <c r="Y521" s="188"/>
      <c r="Z521" s="188"/>
      <c r="AA521" s="188"/>
      <c r="AB521" s="188"/>
      <c r="AC521" s="188"/>
      <c r="AD521" s="190"/>
      <c r="AE521" s="189"/>
    </row>
    <row r="522" spans="1:31" ht="21.25" customHeight="1" x14ac:dyDescent="0.15">
      <c r="A522" s="10" t="s">
        <v>676</v>
      </c>
      <c r="B522" s="186" t="s">
        <v>844</v>
      </c>
      <c r="C522" s="187">
        <v>31</v>
      </c>
      <c r="D522" s="186" t="s">
        <v>824</v>
      </c>
      <c r="E522" s="90">
        <v>81.197500000000005</v>
      </c>
      <c r="F522" s="188">
        <v>13.255414656505099</v>
      </c>
      <c r="G522" s="189">
        <v>9.6797054709963207E-2</v>
      </c>
      <c r="H522" s="189">
        <v>0.11857199423953101</v>
      </c>
      <c r="I522" s="189">
        <v>0.21536904894949399</v>
      </c>
      <c r="J522" s="189">
        <v>1.2421956657911</v>
      </c>
      <c r="K522" s="189">
        <v>4.9922659008339498E-4</v>
      </c>
      <c r="L522" s="189">
        <v>1.0751547506192901E-3</v>
      </c>
      <c r="M522" s="189">
        <v>6.8889545960195697E-3</v>
      </c>
      <c r="N522" s="189">
        <v>7.78546939786185E-3</v>
      </c>
      <c r="O522" s="189">
        <v>0.84163986544122005</v>
      </c>
      <c r="P522" s="189">
        <v>2.2195260319525101</v>
      </c>
      <c r="Q522" s="189">
        <v>1.1246856430763201E-2</v>
      </c>
      <c r="R522" s="189">
        <v>0.84854641991605695</v>
      </c>
      <c r="S522" s="189">
        <v>1.5766739365528901E-2</v>
      </c>
      <c r="T522" s="189">
        <v>6.2188275561558104</v>
      </c>
      <c r="U522" s="189">
        <v>5.4489236281695499</v>
      </c>
      <c r="V522" s="189">
        <v>0.53299281566016599</v>
      </c>
      <c r="W522" s="189"/>
      <c r="X522" s="90"/>
      <c r="Y522" s="188"/>
      <c r="Z522" s="188"/>
      <c r="AA522" s="188"/>
      <c r="AB522" s="188"/>
      <c r="AC522" s="188"/>
      <c r="AD522" s="190"/>
      <c r="AE522" s="189"/>
    </row>
    <row r="523" spans="1:31" ht="21.25" customHeight="1" x14ac:dyDescent="0.15">
      <c r="A523" s="10" t="s">
        <v>450</v>
      </c>
      <c r="B523" s="186" t="s">
        <v>847</v>
      </c>
      <c r="C523" s="187">
        <v>36</v>
      </c>
      <c r="D523" s="186" t="s">
        <v>827</v>
      </c>
      <c r="E523" s="90">
        <v>80.42</v>
      </c>
      <c r="F523" s="188">
        <v>18.022558241298601</v>
      </c>
      <c r="G523" s="189">
        <v>3.6436019377218E-2</v>
      </c>
      <c r="H523" s="189">
        <v>0.17821951494902599</v>
      </c>
      <c r="I523" s="189">
        <v>0.21465553432624401</v>
      </c>
      <c r="J523" s="189">
        <v>1.0037123546422999</v>
      </c>
      <c r="K523" s="189">
        <v>5.62612939378574E-5</v>
      </c>
      <c r="L523" s="189">
        <v>8.1305276516409905E-4</v>
      </c>
      <c r="M523" s="189">
        <v>5.60550822985619E-3</v>
      </c>
      <c r="N523" s="189">
        <v>1.01884270340632E-2</v>
      </c>
      <c r="O523" s="189">
        <v>1.5190822011446301</v>
      </c>
      <c r="P523" s="189">
        <v>1.12074185067833</v>
      </c>
      <c r="Q523" s="189">
        <v>3.7234465366120399E-2</v>
      </c>
      <c r="R523" s="189">
        <v>0.68591880449005305</v>
      </c>
      <c r="S523" s="189">
        <v>6.1621613651385602E-3</v>
      </c>
      <c r="T523" s="189">
        <v>0</v>
      </c>
      <c r="U523" s="189">
        <v>0</v>
      </c>
      <c r="V523" s="189">
        <v>0</v>
      </c>
      <c r="W523" s="189"/>
      <c r="X523" s="90"/>
      <c r="Y523" s="188"/>
      <c r="Z523" s="188"/>
      <c r="AA523" s="188"/>
      <c r="AB523" s="188"/>
      <c r="AC523" s="188"/>
      <c r="AD523" s="190"/>
      <c r="AE523" s="189"/>
    </row>
    <row r="524" spans="1:31" ht="21.25" customHeight="1" x14ac:dyDescent="0.15">
      <c r="A524" s="10" t="s">
        <v>735</v>
      </c>
      <c r="B524" s="186" t="s">
        <v>847</v>
      </c>
      <c r="C524" s="187">
        <v>32</v>
      </c>
      <c r="D524" s="186" t="s">
        <v>824</v>
      </c>
      <c r="E524" s="90">
        <v>77.319999999999993</v>
      </c>
      <c r="F524" s="188">
        <v>11.5213575256104</v>
      </c>
      <c r="G524" s="189">
        <v>4.7152100107112099E-2</v>
      </c>
      <c r="H524" s="189">
        <v>0.16729173403304001</v>
      </c>
      <c r="I524" s="189">
        <v>0.214443834140152</v>
      </c>
      <c r="J524" s="189">
        <v>0.71772937572912898</v>
      </c>
      <c r="K524" s="189">
        <v>1.5066613046198099E-4</v>
      </c>
      <c r="L524" s="189">
        <v>3.7987257186606601E-4</v>
      </c>
      <c r="M524" s="189">
        <v>1.1570535529623E-2</v>
      </c>
      <c r="N524" s="189">
        <v>3.4119272534965002E-2</v>
      </c>
      <c r="O524" s="189">
        <v>0.695587344896341</v>
      </c>
      <c r="P524" s="189">
        <v>1.4392628528315901</v>
      </c>
      <c r="Q524" s="189">
        <v>5.0717054204738703E-2</v>
      </c>
      <c r="R524" s="189">
        <v>0.30685943578929498</v>
      </c>
      <c r="S524" s="189">
        <v>7.9744948688567994E-3</v>
      </c>
      <c r="T524" s="189">
        <v>4.2177285237947997</v>
      </c>
      <c r="U524" s="189">
        <v>3.3885579174853402</v>
      </c>
      <c r="V524" s="189">
        <v>0.55450561273957999</v>
      </c>
      <c r="W524" s="189"/>
      <c r="X524" s="90"/>
      <c r="Y524" s="188"/>
      <c r="Z524" s="188"/>
      <c r="AA524" s="188"/>
      <c r="AB524" s="188"/>
      <c r="AC524" s="188"/>
      <c r="AD524" s="190"/>
      <c r="AE524" s="189"/>
    </row>
    <row r="525" spans="1:31" ht="21.25" customHeight="1" x14ac:dyDescent="0.15">
      <c r="A525" s="10" t="s">
        <v>738</v>
      </c>
      <c r="B525" s="186" t="s">
        <v>866</v>
      </c>
      <c r="C525" s="187">
        <v>35</v>
      </c>
      <c r="D525" s="186" t="s">
        <v>825</v>
      </c>
      <c r="E525" s="90">
        <v>81.887500000000003</v>
      </c>
      <c r="F525" s="188">
        <v>11.1386354317511</v>
      </c>
      <c r="G525" s="189">
        <v>8.8172020919163097E-2</v>
      </c>
      <c r="H525" s="189">
        <v>0.124677015871424</v>
      </c>
      <c r="I525" s="189">
        <v>0.212849036790587</v>
      </c>
      <c r="J525" s="189">
        <v>0.94531075166051803</v>
      </c>
      <c r="K525" s="189">
        <v>3.89342611600469E-3</v>
      </c>
      <c r="L525" s="189">
        <v>7.3254951784033403E-3</v>
      </c>
      <c r="M525" s="189">
        <v>4.3118127507395303E-4</v>
      </c>
      <c r="N525" s="189">
        <v>5.0097462187700297E-4</v>
      </c>
      <c r="O525" s="189">
        <v>0.67287764359180902</v>
      </c>
      <c r="P525" s="189">
        <v>1.4291531088198199</v>
      </c>
      <c r="Q525" s="189">
        <v>-5.1825531902326499E-2</v>
      </c>
      <c r="R525" s="189">
        <v>0.198710763057418</v>
      </c>
      <c r="S525" s="189">
        <v>1.2876771850711601E-2</v>
      </c>
      <c r="T525" s="189">
        <v>5.4363234753225402E-2</v>
      </c>
      <c r="U525" s="189">
        <v>0.12431516612466401</v>
      </c>
      <c r="V525" s="189">
        <v>0.30425185409163102</v>
      </c>
      <c r="W525" s="189"/>
      <c r="X525" s="90"/>
      <c r="Y525" s="188"/>
      <c r="Z525" s="188"/>
      <c r="AA525" s="188"/>
      <c r="AB525" s="188"/>
      <c r="AC525" s="188"/>
      <c r="AD525" s="190"/>
      <c r="AE525" s="189"/>
    </row>
    <row r="526" spans="1:31" ht="21.25" customHeight="1" x14ac:dyDescent="0.15">
      <c r="A526" s="10" t="s">
        <v>713</v>
      </c>
      <c r="B526" s="186" t="s">
        <v>841</v>
      </c>
      <c r="C526" s="187">
        <v>33</v>
      </c>
      <c r="D526" s="186" t="s">
        <v>846</v>
      </c>
      <c r="E526" s="90">
        <v>82.03</v>
      </c>
      <c r="F526" s="188">
        <v>12.883864468083001</v>
      </c>
      <c r="G526" s="189">
        <v>6.5770721178260605E-2</v>
      </c>
      <c r="H526" s="189">
        <v>0.14677316592458201</v>
      </c>
      <c r="I526" s="189">
        <v>0.212543887102843</v>
      </c>
      <c r="J526" s="189">
        <v>1.2227606671064299</v>
      </c>
      <c r="K526" s="189">
        <v>3.6660230885294999E-4</v>
      </c>
      <c r="L526" s="189">
        <v>8.7770741737468801E-4</v>
      </c>
      <c r="M526" s="189">
        <v>1.09618814388772E-3</v>
      </c>
      <c r="N526" s="189">
        <v>4.1826494627795899E-3</v>
      </c>
      <c r="O526" s="189">
        <v>0.57030374364654901</v>
      </c>
      <c r="P526" s="189">
        <v>1.40002632444026</v>
      </c>
      <c r="Q526" s="189">
        <v>-2.66303593475417E-2</v>
      </c>
      <c r="R526" s="189">
        <v>0.38511261638719602</v>
      </c>
      <c r="S526" s="189">
        <v>8.8541650136151999E-3</v>
      </c>
      <c r="T526" s="189">
        <v>4.0664252132262</v>
      </c>
      <c r="U526" s="189">
        <v>3.8202423074878999</v>
      </c>
      <c r="V526" s="189">
        <v>0.515607536712541</v>
      </c>
      <c r="W526" s="189"/>
      <c r="X526" s="90"/>
      <c r="Y526" s="188"/>
      <c r="Z526" s="188"/>
      <c r="AA526" s="188"/>
      <c r="AB526" s="188"/>
      <c r="AC526" s="188"/>
      <c r="AD526" s="190"/>
      <c r="AE526" s="189"/>
    </row>
    <row r="527" spans="1:31" ht="21.25" customHeight="1" x14ac:dyDescent="0.15">
      <c r="A527" s="10" t="s">
        <v>440</v>
      </c>
      <c r="B527" s="186" t="s">
        <v>871</v>
      </c>
      <c r="C527" s="187">
        <v>29</v>
      </c>
      <c r="D527" s="186" t="s">
        <v>827</v>
      </c>
      <c r="E527" s="90">
        <v>80.12</v>
      </c>
      <c r="F527" s="188">
        <v>20.918223843195001</v>
      </c>
      <c r="G527" s="189">
        <v>3.09953776745749E-2</v>
      </c>
      <c r="H527" s="189">
        <v>0.18126127098699299</v>
      </c>
      <c r="I527" s="189">
        <v>0.21225664866156799</v>
      </c>
      <c r="J527" s="189">
        <v>0.85874810225489195</v>
      </c>
      <c r="K527" s="189">
        <v>1.2952957984368099E-4</v>
      </c>
      <c r="L527" s="189">
        <v>1.3082993100634399E-3</v>
      </c>
      <c r="M527" s="189">
        <v>2.7411753353743802E-4</v>
      </c>
      <c r="N527" s="189">
        <v>4.73185916639908E-3</v>
      </c>
      <c r="O527" s="189">
        <v>1.8007230118419799</v>
      </c>
      <c r="P527" s="189">
        <v>1.5518572551336101</v>
      </c>
      <c r="Q527" s="189">
        <v>-0.115486280730821</v>
      </c>
      <c r="R527" s="189">
        <v>0.46157406463823702</v>
      </c>
      <c r="S527" s="189">
        <v>4.4563594595473498E-3</v>
      </c>
      <c r="T527" s="189">
        <v>0</v>
      </c>
      <c r="U527" s="189">
        <v>0</v>
      </c>
      <c r="V527" s="189">
        <v>0</v>
      </c>
      <c r="W527" s="189"/>
      <c r="X527" s="90"/>
      <c r="Y527" s="188"/>
      <c r="Z527" s="188"/>
      <c r="AA527" s="188"/>
      <c r="AB527" s="188"/>
      <c r="AC527" s="188"/>
      <c r="AD527" s="190"/>
      <c r="AE527" s="189"/>
    </row>
    <row r="528" spans="1:31" ht="21.25" customHeight="1" x14ac:dyDescent="0.15">
      <c r="A528" s="10" t="s">
        <v>491</v>
      </c>
      <c r="B528" s="186" t="s">
        <v>869</v>
      </c>
      <c r="C528" s="187">
        <v>27</v>
      </c>
      <c r="D528" s="186" t="s">
        <v>827</v>
      </c>
      <c r="E528" s="90">
        <v>73.192499999999995</v>
      </c>
      <c r="F528" s="188">
        <v>17.471020412914999</v>
      </c>
      <c r="G528" s="189">
        <v>4.0958003825355901E-2</v>
      </c>
      <c r="H528" s="189">
        <v>0.170188837719631</v>
      </c>
      <c r="I528" s="189">
        <v>0.211146841544987</v>
      </c>
      <c r="J528" s="189">
        <v>0.91072726392839098</v>
      </c>
      <c r="K528" s="189">
        <v>3.30841648559677E-4</v>
      </c>
      <c r="L528" s="189">
        <v>2.0593038249151598E-3</v>
      </c>
      <c r="M528" s="189">
        <v>2.7904232114020402E-4</v>
      </c>
      <c r="N528" s="189">
        <v>4.9146817711375199E-3</v>
      </c>
      <c r="O528" s="189">
        <v>1.59783477925507</v>
      </c>
      <c r="P528" s="189">
        <v>0.94113818345242195</v>
      </c>
      <c r="Q528" s="189">
        <v>4.1807331263813897E-2</v>
      </c>
      <c r="R528" s="189">
        <v>0.46078373796075101</v>
      </c>
      <c r="S528" s="189">
        <v>6.1342521654136903E-3</v>
      </c>
      <c r="T528" s="189">
        <v>0</v>
      </c>
      <c r="U528" s="189">
        <v>0</v>
      </c>
      <c r="V528" s="189">
        <v>0</v>
      </c>
      <c r="W528" s="189"/>
      <c r="X528" s="90"/>
      <c r="Y528" s="188"/>
      <c r="Z528" s="188"/>
      <c r="AA528" s="188"/>
      <c r="AB528" s="188"/>
      <c r="AC528" s="188"/>
      <c r="AD528" s="190"/>
      <c r="AE528" s="189"/>
    </row>
    <row r="529" spans="1:31" ht="21.25" customHeight="1" x14ac:dyDescent="0.15">
      <c r="A529" s="10" t="s">
        <v>426</v>
      </c>
      <c r="B529" s="186" t="s">
        <v>842</v>
      </c>
      <c r="C529" s="187">
        <v>31</v>
      </c>
      <c r="D529" s="186" t="s">
        <v>827</v>
      </c>
      <c r="E529" s="90">
        <v>73.467500000000001</v>
      </c>
      <c r="F529" s="188">
        <v>20.2645135098571</v>
      </c>
      <c r="G529" s="189">
        <v>3.8837552687375598E-2</v>
      </c>
      <c r="H529" s="189">
        <v>0.17212852299169501</v>
      </c>
      <c r="I529" s="189">
        <v>0.210966075679071</v>
      </c>
      <c r="J529" s="189">
        <v>1.2456481171848299</v>
      </c>
      <c r="K529" s="189">
        <v>8.9336998506815696E-5</v>
      </c>
      <c r="L529" s="189">
        <v>7.2813672088342001E-4</v>
      </c>
      <c r="M529" s="189">
        <v>4.3662366898931E-3</v>
      </c>
      <c r="N529" s="189">
        <v>6.2407178430749404E-3</v>
      </c>
      <c r="O529" s="189">
        <v>1.8704006120987799</v>
      </c>
      <c r="P529" s="189">
        <v>0.51800618146474298</v>
      </c>
      <c r="Q529" s="189">
        <v>-1.2450784630431E-2</v>
      </c>
      <c r="R529" s="189">
        <v>0.33372444260676198</v>
      </c>
      <c r="S529" s="189">
        <v>5.8048865420882202E-3</v>
      </c>
      <c r="T529" s="189">
        <v>0</v>
      </c>
      <c r="U529" s="189">
        <v>0</v>
      </c>
      <c r="V529" s="189">
        <v>0</v>
      </c>
      <c r="W529" s="189"/>
      <c r="X529" s="90"/>
      <c r="Y529" s="188"/>
      <c r="Z529" s="188"/>
      <c r="AA529" s="188"/>
      <c r="AB529" s="188"/>
      <c r="AC529" s="188"/>
      <c r="AD529" s="190"/>
      <c r="AE529" s="189"/>
    </row>
    <row r="530" spans="1:31" ht="21.25" customHeight="1" x14ac:dyDescent="0.15">
      <c r="A530" s="10" t="s">
        <v>755</v>
      </c>
      <c r="B530" s="186" t="s">
        <v>836</v>
      </c>
      <c r="C530" s="187">
        <v>28</v>
      </c>
      <c r="D530" s="186" t="s">
        <v>852</v>
      </c>
      <c r="E530" s="90">
        <v>79.31</v>
      </c>
      <c r="F530" s="188">
        <v>11.4988189116662</v>
      </c>
      <c r="G530" s="189">
        <v>0.101373024494863</v>
      </c>
      <c r="H530" s="189">
        <v>0.107948619773888</v>
      </c>
      <c r="I530" s="189">
        <v>0.20932164426875099</v>
      </c>
      <c r="J530" s="189">
        <v>1.1074333463227399</v>
      </c>
      <c r="K530" s="189">
        <v>2.4499251651685199E-3</v>
      </c>
      <c r="L530" s="189">
        <v>4.9609533260265197E-3</v>
      </c>
      <c r="M530" s="189">
        <v>1.57665220482519E-3</v>
      </c>
      <c r="N530" s="189">
        <v>2.5825392450642402E-3</v>
      </c>
      <c r="O530" s="189">
        <v>0.38942801161372398</v>
      </c>
      <c r="P530" s="189">
        <v>2.3455436843825601</v>
      </c>
      <c r="Q530" s="189">
        <v>5.1741722260138297E-2</v>
      </c>
      <c r="R530" s="189">
        <v>0.52180493871987799</v>
      </c>
      <c r="S530" s="189">
        <v>1.7795178285974999E-2</v>
      </c>
      <c r="T530" s="189">
        <v>1.2140855906227099</v>
      </c>
      <c r="U530" s="189">
        <v>1.2485920338936201</v>
      </c>
      <c r="V530" s="189">
        <v>0.49299412092606198</v>
      </c>
      <c r="W530" s="189"/>
      <c r="X530" s="90"/>
      <c r="Y530" s="188"/>
      <c r="Z530" s="188"/>
      <c r="AA530" s="188"/>
      <c r="AB530" s="188"/>
      <c r="AC530" s="188"/>
      <c r="AD530" s="190"/>
      <c r="AE530" s="189"/>
    </row>
    <row r="531" spans="1:31" ht="21.25" customHeight="1" x14ac:dyDescent="0.15">
      <c r="A531" s="10" t="s">
        <v>510</v>
      </c>
      <c r="B531" s="186" t="s">
        <v>849</v>
      </c>
      <c r="C531" s="187">
        <v>34</v>
      </c>
      <c r="D531" s="186" t="s">
        <v>827</v>
      </c>
      <c r="E531" s="90">
        <v>83.555000000000007</v>
      </c>
      <c r="F531" s="188">
        <v>17.744138427972601</v>
      </c>
      <c r="G531" s="189">
        <v>3.5163728301868501E-2</v>
      </c>
      <c r="H531" s="189">
        <v>0.17383180257931999</v>
      </c>
      <c r="I531" s="189">
        <v>0.208995530881189</v>
      </c>
      <c r="J531" s="189">
        <v>0.74541757906387796</v>
      </c>
      <c r="K531" s="189">
        <v>8.5750784018471602E-5</v>
      </c>
      <c r="L531" s="189">
        <v>7.2906396845048599E-4</v>
      </c>
      <c r="M531" s="189">
        <v>2.1152517665802101E-4</v>
      </c>
      <c r="N531" s="189">
        <v>4.7631864256748703E-3</v>
      </c>
      <c r="O531" s="189">
        <v>1.17199419247712</v>
      </c>
      <c r="P531" s="189">
        <v>0.72231327687659996</v>
      </c>
      <c r="Q531" s="189">
        <v>-2.3491049926167601E-2</v>
      </c>
      <c r="R531" s="189">
        <v>0.26574351895952297</v>
      </c>
      <c r="S531" s="189">
        <v>5.5546088800191998E-3</v>
      </c>
      <c r="T531" s="189">
        <v>0</v>
      </c>
      <c r="U531" s="189">
        <v>0</v>
      </c>
      <c r="V531" s="189">
        <v>0</v>
      </c>
      <c r="W531" s="189"/>
      <c r="X531" s="90"/>
      <c r="Y531" s="188"/>
      <c r="Z531" s="188"/>
      <c r="AA531" s="188"/>
      <c r="AB531" s="188"/>
      <c r="AC531" s="188"/>
      <c r="AD531" s="190"/>
      <c r="AE531" s="189"/>
    </row>
    <row r="532" spans="1:31" ht="21.25" customHeight="1" x14ac:dyDescent="0.15">
      <c r="A532" s="10" t="s">
        <v>487</v>
      </c>
      <c r="B532" s="186" t="s">
        <v>837</v>
      </c>
      <c r="C532" s="187">
        <v>29</v>
      </c>
      <c r="D532" s="186" t="s">
        <v>827</v>
      </c>
      <c r="E532" s="90">
        <v>78.177499999999995</v>
      </c>
      <c r="F532" s="188">
        <v>18.283987561368601</v>
      </c>
      <c r="G532" s="189">
        <v>3.1107338409725301E-2</v>
      </c>
      <c r="H532" s="189">
        <v>0.17751819292659601</v>
      </c>
      <c r="I532" s="189">
        <v>0.208625531336321</v>
      </c>
      <c r="J532" s="189">
        <v>0.80586882912833802</v>
      </c>
      <c r="K532" s="189">
        <v>1.08384335438462E-4</v>
      </c>
      <c r="L532" s="189">
        <v>1.03988834108003E-3</v>
      </c>
      <c r="M532" s="189">
        <v>2.0986782418355501E-4</v>
      </c>
      <c r="N532" s="189">
        <v>1.04320766855731E-2</v>
      </c>
      <c r="O532" s="189">
        <v>1.5220291960882799</v>
      </c>
      <c r="P532" s="189">
        <v>1.8098238891138001</v>
      </c>
      <c r="Q532" s="189">
        <v>7.6352943904287304E-2</v>
      </c>
      <c r="R532" s="189">
        <v>0.70248087164663997</v>
      </c>
      <c r="S532" s="189">
        <v>5.5218461724551096E-3</v>
      </c>
      <c r="T532" s="189">
        <v>0</v>
      </c>
      <c r="U532" s="189">
        <v>0</v>
      </c>
      <c r="V532" s="189">
        <v>0</v>
      </c>
      <c r="W532" s="189"/>
      <c r="X532" s="90"/>
      <c r="Y532" s="188"/>
      <c r="Z532" s="188"/>
      <c r="AA532" s="188"/>
      <c r="AB532" s="188"/>
      <c r="AC532" s="188"/>
      <c r="AD532" s="190"/>
      <c r="AE532" s="189"/>
    </row>
    <row r="533" spans="1:31" ht="21.25" customHeight="1" x14ac:dyDescent="0.15">
      <c r="A533" s="10" t="s">
        <v>715</v>
      </c>
      <c r="B533" s="186" t="s">
        <v>858</v>
      </c>
      <c r="C533" s="187">
        <v>27</v>
      </c>
      <c r="D533" s="186" t="s">
        <v>848</v>
      </c>
      <c r="E533" s="90">
        <v>80.737499999999997</v>
      </c>
      <c r="F533" s="188">
        <v>11.749238482885801</v>
      </c>
      <c r="G533" s="189">
        <v>8.4649886824092899E-2</v>
      </c>
      <c r="H533" s="189">
        <v>0.123588332401897</v>
      </c>
      <c r="I533" s="189">
        <v>0.20823821922599001</v>
      </c>
      <c r="J533" s="189">
        <v>1.08893964621367</v>
      </c>
      <c r="K533" s="189">
        <v>3.57950783522481E-4</v>
      </c>
      <c r="L533" s="189">
        <v>7.8969839463382597E-4</v>
      </c>
      <c r="M533" s="189">
        <v>1.2627438376877E-2</v>
      </c>
      <c r="N533" s="189">
        <v>2.0592181209848601E-2</v>
      </c>
      <c r="O533" s="189">
        <v>0.72253415128406495</v>
      </c>
      <c r="P533" s="189">
        <v>2.0990768315505401</v>
      </c>
      <c r="Q533" s="189">
        <v>-4.4732419826348201E-2</v>
      </c>
      <c r="R533" s="189">
        <v>0.29376347840053801</v>
      </c>
      <c r="S533" s="189">
        <v>1.22057555827713E-2</v>
      </c>
      <c r="T533" s="189">
        <v>3.5128072485503897E-2</v>
      </c>
      <c r="U533" s="189">
        <v>4.9704713481468502E-2</v>
      </c>
      <c r="V533" s="189">
        <v>0.41408604096982199</v>
      </c>
      <c r="W533" s="189"/>
      <c r="X533" s="90"/>
      <c r="Y533" s="188"/>
      <c r="Z533" s="188"/>
      <c r="AA533" s="188"/>
      <c r="AB533" s="188"/>
      <c r="AC533" s="188"/>
      <c r="AD533" s="190"/>
      <c r="AE533" s="189"/>
    </row>
    <row r="534" spans="1:31" ht="21.25" customHeight="1" x14ac:dyDescent="0.15">
      <c r="A534" s="10" t="s">
        <v>525</v>
      </c>
      <c r="B534" s="186" t="s">
        <v>841</v>
      </c>
      <c r="C534" s="187">
        <v>27</v>
      </c>
      <c r="D534" s="186" t="s">
        <v>827</v>
      </c>
      <c r="E534" s="90">
        <v>75.314999999999998</v>
      </c>
      <c r="F534" s="188">
        <v>16.640466512118898</v>
      </c>
      <c r="G534" s="189">
        <v>4.6528237324212102E-2</v>
      </c>
      <c r="H534" s="189">
        <v>0.161473221292946</v>
      </c>
      <c r="I534" s="189">
        <v>0.20800145861715799</v>
      </c>
      <c r="J534" s="189">
        <v>0.78434139402926095</v>
      </c>
      <c r="K534" s="189">
        <v>6.6948239337181594E-5</v>
      </c>
      <c r="L534" s="189">
        <v>1.0926102426312299E-3</v>
      </c>
      <c r="M534" s="189">
        <v>4.18793626410151E-4</v>
      </c>
      <c r="N534" s="189">
        <v>1.51608654920419E-3</v>
      </c>
      <c r="O534" s="189">
        <v>1.3169064085007001</v>
      </c>
      <c r="P534" s="189">
        <v>1.3050379562321499</v>
      </c>
      <c r="Q534" s="189">
        <v>1.9362876744085701E-3</v>
      </c>
      <c r="R534" s="189">
        <v>0.58168825973118199</v>
      </c>
      <c r="S534" s="189">
        <v>6.2637094999255204E-3</v>
      </c>
      <c r="T534" s="189">
        <v>0</v>
      </c>
      <c r="U534" s="189">
        <v>0</v>
      </c>
      <c r="V534" s="189">
        <v>0</v>
      </c>
      <c r="W534" s="189"/>
      <c r="X534" s="90"/>
      <c r="Y534" s="188"/>
      <c r="Z534" s="188"/>
      <c r="AA534" s="188"/>
      <c r="AB534" s="188"/>
      <c r="AC534" s="188"/>
      <c r="AD534" s="190"/>
      <c r="AE534" s="189"/>
    </row>
    <row r="535" spans="1:31" ht="21.25" customHeight="1" x14ac:dyDescent="0.15">
      <c r="A535" s="10" t="s">
        <v>448</v>
      </c>
      <c r="B535" s="186" t="s">
        <v>851</v>
      </c>
      <c r="C535" s="187">
        <v>27</v>
      </c>
      <c r="D535" s="186" t="s">
        <v>827</v>
      </c>
      <c r="E535" s="90">
        <v>83.08</v>
      </c>
      <c r="F535" s="188">
        <v>18.146830843650601</v>
      </c>
      <c r="G535" s="189">
        <v>4.7435365388078597E-2</v>
      </c>
      <c r="H535" s="189">
        <v>0.159334951142722</v>
      </c>
      <c r="I535" s="189">
        <v>0.206770316530801</v>
      </c>
      <c r="J535" s="189">
        <v>0.95365638190592705</v>
      </c>
      <c r="K535" s="189">
        <v>1.0350985486483401E-4</v>
      </c>
      <c r="L535" s="189">
        <v>8.5714307034196499E-4</v>
      </c>
      <c r="M535" s="189">
        <v>2.0539472539717399E-4</v>
      </c>
      <c r="N535" s="189">
        <v>3.9763552381978E-3</v>
      </c>
      <c r="O535" s="189">
        <v>1.5300238364342</v>
      </c>
      <c r="P535" s="189">
        <v>1.4206130508700101</v>
      </c>
      <c r="Q535" s="189">
        <v>3.78883489062122E-3</v>
      </c>
      <c r="R535" s="189">
        <v>0.43408142749930401</v>
      </c>
      <c r="S535" s="189">
        <v>8.2428318015018206E-3</v>
      </c>
      <c r="T535" s="189">
        <v>0</v>
      </c>
      <c r="U535" s="189">
        <v>2.8496819601496999E-7</v>
      </c>
      <c r="V535" s="189">
        <v>0</v>
      </c>
      <c r="W535" s="189"/>
      <c r="X535" s="90"/>
      <c r="Y535" s="188"/>
      <c r="Z535" s="188"/>
      <c r="AA535" s="188"/>
      <c r="AB535" s="188"/>
      <c r="AC535" s="188"/>
      <c r="AD535" s="190"/>
      <c r="AE535" s="189"/>
    </row>
    <row r="536" spans="1:31" ht="21.25" customHeight="1" x14ac:dyDescent="0.15">
      <c r="A536" s="10" t="s">
        <v>719</v>
      </c>
      <c r="B536" s="186" t="s">
        <v>845</v>
      </c>
      <c r="C536" s="187">
        <v>32</v>
      </c>
      <c r="D536" s="186" t="s">
        <v>846</v>
      </c>
      <c r="E536" s="90">
        <v>79.715000000000003</v>
      </c>
      <c r="F536" s="188">
        <v>12.8813593702925</v>
      </c>
      <c r="G536" s="189">
        <v>9.0549785665245602E-2</v>
      </c>
      <c r="H536" s="189">
        <v>0.114901355229862</v>
      </c>
      <c r="I536" s="189">
        <v>0.20545114089510799</v>
      </c>
      <c r="J536" s="189">
        <v>1.09771250308233</v>
      </c>
      <c r="K536" s="189">
        <v>2.1365651418133302E-3</v>
      </c>
      <c r="L536" s="189">
        <v>8.1448891804983305E-3</v>
      </c>
      <c r="M536" s="189">
        <v>6.01039023535648E-3</v>
      </c>
      <c r="N536" s="189">
        <v>8.7727572425930402E-3</v>
      </c>
      <c r="O536" s="189">
        <v>0.72206413062129804</v>
      </c>
      <c r="P536" s="189">
        <v>1.44235162093284</v>
      </c>
      <c r="Q536" s="189">
        <v>-1.4944571024349299E-3</v>
      </c>
      <c r="R536" s="189">
        <v>0.34727097575867499</v>
      </c>
      <c r="S536" s="189">
        <v>1.23655438852836E-2</v>
      </c>
      <c r="T536" s="189">
        <v>5.2770190694372703</v>
      </c>
      <c r="U536" s="189">
        <v>4.3724980387534096</v>
      </c>
      <c r="V536" s="189">
        <v>0.546868719985795</v>
      </c>
      <c r="W536" s="189"/>
      <c r="X536" s="90"/>
      <c r="Y536" s="188"/>
      <c r="Z536" s="188"/>
      <c r="AA536" s="188"/>
      <c r="AB536" s="188"/>
      <c r="AC536" s="188"/>
      <c r="AD536" s="190"/>
      <c r="AE536" s="189"/>
    </row>
    <row r="537" spans="1:31" ht="21.25" customHeight="1" x14ac:dyDescent="0.15">
      <c r="A537" s="10" t="s">
        <v>608</v>
      </c>
      <c r="B537" s="186" t="s">
        <v>850</v>
      </c>
      <c r="C537" s="187">
        <v>24</v>
      </c>
      <c r="D537" s="186" t="s">
        <v>827</v>
      </c>
      <c r="E537" s="90">
        <v>73.772499999999994</v>
      </c>
      <c r="F537" s="188">
        <v>13.9392960254189</v>
      </c>
      <c r="G537" s="189">
        <v>4.0768021710771499E-2</v>
      </c>
      <c r="H537" s="189">
        <v>0.16358640107778599</v>
      </c>
      <c r="I537" s="189">
        <v>0.204354422788558</v>
      </c>
      <c r="J537" s="189">
        <v>0.63894559939957296</v>
      </c>
      <c r="K537" s="189">
        <v>3.6713203023997901E-5</v>
      </c>
      <c r="L537" s="189">
        <v>2.7210274284971997E-4</v>
      </c>
      <c r="M537" s="189">
        <v>3.3338184697034202E-5</v>
      </c>
      <c r="N537" s="189">
        <v>1.0874248999655599E-4</v>
      </c>
      <c r="O537" s="189">
        <v>0.74877923065350405</v>
      </c>
      <c r="P537" s="189">
        <v>1.73041635327043</v>
      </c>
      <c r="Q537" s="189">
        <v>3.1135142212389E-2</v>
      </c>
      <c r="R537" s="189">
        <v>0.56085372563191205</v>
      </c>
      <c r="S537" s="189">
        <v>6.7874741979941202E-3</v>
      </c>
      <c r="T537" s="189">
        <v>0</v>
      </c>
      <c r="U537" s="189">
        <v>0</v>
      </c>
      <c r="V537" s="189">
        <v>0</v>
      </c>
      <c r="W537" s="189"/>
      <c r="X537" s="90"/>
      <c r="Y537" s="188"/>
      <c r="Z537" s="188"/>
      <c r="AA537" s="188"/>
      <c r="AB537" s="188"/>
      <c r="AC537" s="188"/>
      <c r="AD537" s="190"/>
      <c r="AE537" s="189"/>
    </row>
    <row r="538" spans="1:31" ht="21.25" customHeight="1" x14ac:dyDescent="0.15">
      <c r="A538" s="10" t="s">
        <v>547</v>
      </c>
      <c r="B538" s="186" t="s">
        <v>844</v>
      </c>
      <c r="C538" s="187">
        <v>32</v>
      </c>
      <c r="D538" s="186" t="s">
        <v>827</v>
      </c>
      <c r="E538" s="90">
        <v>75.42</v>
      </c>
      <c r="F538" s="188">
        <v>15.818526420807199</v>
      </c>
      <c r="G538" s="189">
        <v>1.95051251100225E-2</v>
      </c>
      <c r="H538" s="189">
        <v>0.18439227969559199</v>
      </c>
      <c r="I538" s="189">
        <v>0.203897404805615</v>
      </c>
      <c r="J538" s="189">
        <v>0.65261151453382804</v>
      </c>
      <c r="K538" s="189">
        <v>6.0232918222767598E-5</v>
      </c>
      <c r="L538" s="189">
        <v>7.7387940215595404E-4</v>
      </c>
      <c r="M538" s="189">
        <v>9.6578491307557296E-5</v>
      </c>
      <c r="N538" s="189">
        <v>5.54789264996311E-4</v>
      </c>
      <c r="O538" s="189">
        <v>1.24312585572245</v>
      </c>
      <c r="P538" s="189">
        <v>0.46605972540844498</v>
      </c>
      <c r="Q538" s="189">
        <v>2.5751869521116501E-2</v>
      </c>
      <c r="R538" s="189">
        <v>0.20455756841473999</v>
      </c>
      <c r="S538" s="189">
        <v>3.1770824517670299E-3</v>
      </c>
      <c r="T538" s="189">
        <v>0</v>
      </c>
      <c r="U538" s="189">
        <v>0</v>
      </c>
      <c r="V538" s="189">
        <v>0</v>
      </c>
      <c r="W538" s="189"/>
      <c r="X538" s="90"/>
      <c r="Y538" s="188"/>
      <c r="Z538" s="188"/>
      <c r="AA538" s="188"/>
      <c r="AB538" s="188"/>
      <c r="AC538" s="188"/>
      <c r="AD538" s="190"/>
      <c r="AE538" s="189"/>
    </row>
    <row r="539" spans="1:31" ht="21.25" customHeight="1" x14ac:dyDescent="0.15">
      <c r="A539" s="10" t="s">
        <v>737</v>
      </c>
      <c r="B539" s="186" t="s">
        <v>837</v>
      </c>
      <c r="C539" s="187">
        <v>32</v>
      </c>
      <c r="D539" s="186" t="s">
        <v>825</v>
      </c>
      <c r="E539" s="90">
        <v>80.709999999999994</v>
      </c>
      <c r="F539" s="188">
        <v>13.320604583392001</v>
      </c>
      <c r="G539" s="189">
        <v>9.1533229154668494E-2</v>
      </c>
      <c r="H539" s="189">
        <v>0.112345836991901</v>
      </c>
      <c r="I539" s="189">
        <v>0.20387906614657</v>
      </c>
      <c r="J539" s="189">
        <v>1.1627869648164399</v>
      </c>
      <c r="K539" s="189">
        <v>3.8805849089195598E-4</v>
      </c>
      <c r="L539" s="189">
        <v>8.2992678020962101E-4</v>
      </c>
      <c r="M539" s="189">
        <v>1.1329800333254099E-3</v>
      </c>
      <c r="N539" s="189">
        <v>1.8289389589737301E-3</v>
      </c>
      <c r="O539" s="189">
        <v>0.56798360650714996</v>
      </c>
      <c r="P539" s="189">
        <v>2.2304579719131699</v>
      </c>
      <c r="Q539" s="189">
        <v>6.1042542178715999E-2</v>
      </c>
      <c r="R539" s="189">
        <v>0.392688854305563</v>
      </c>
      <c r="S539" s="189">
        <v>1.6248012105791299E-2</v>
      </c>
      <c r="T539" s="189">
        <v>1.24630270050784</v>
      </c>
      <c r="U539" s="189">
        <v>1.4402880457914999</v>
      </c>
      <c r="V539" s="189">
        <v>0.46389748875021902</v>
      </c>
      <c r="W539" s="189"/>
      <c r="X539" s="90"/>
      <c r="Y539" s="188"/>
      <c r="Z539" s="188"/>
      <c r="AA539" s="188"/>
      <c r="AB539" s="188"/>
      <c r="AC539" s="188"/>
      <c r="AD539" s="190"/>
      <c r="AE539" s="189"/>
    </row>
    <row r="540" spans="1:31" ht="21.25" customHeight="1" x14ac:dyDescent="0.15">
      <c r="A540" s="10" t="s">
        <v>564</v>
      </c>
      <c r="B540" s="186" t="s">
        <v>845</v>
      </c>
      <c r="C540" s="187">
        <v>24</v>
      </c>
      <c r="D540" s="186" t="s">
        <v>827</v>
      </c>
      <c r="E540" s="90">
        <v>70.602500000000006</v>
      </c>
      <c r="F540" s="188">
        <v>16.128424727115998</v>
      </c>
      <c r="G540" s="189">
        <v>4.2713476696362399E-2</v>
      </c>
      <c r="H540" s="189">
        <v>0.16105891863278801</v>
      </c>
      <c r="I540" s="189">
        <v>0.20377239532915001</v>
      </c>
      <c r="J540" s="189">
        <v>0.79491995254815195</v>
      </c>
      <c r="K540" s="189">
        <v>6.6196395836355204E-5</v>
      </c>
      <c r="L540" s="189">
        <v>1.8844893246509E-3</v>
      </c>
      <c r="M540" s="189">
        <v>3.8748755765353403E-4</v>
      </c>
      <c r="N540" s="189">
        <v>1.23235698415922E-3</v>
      </c>
      <c r="O540" s="189">
        <v>1.11546161296955</v>
      </c>
      <c r="P540" s="189">
        <v>1.1578334736862701</v>
      </c>
      <c r="Q540" s="189">
        <v>3.1045013419567901E-2</v>
      </c>
      <c r="R540" s="189">
        <v>0.36931269235423497</v>
      </c>
      <c r="S540" s="189">
        <v>5.8329831120144801E-3</v>
      </c>
      <c r="T540" s="189">
        <v>1.7529355205822598E-2</v>
      </c>
      <c r="U540" s="189">
        <v>2.66061468908835E-2</v>
      </c>
      <c r="V540" s="189">
        <v>0.39717131046597698</v>
      </c>
      <c r="W540" s="189"/>
      <c r="X540" s="90"/>
      <c r="Y540" s="188"/>
      <c r="Z540" s="188"/>
      <c r="AA540" s="188"/>
      <c r="AB540" s="188"/>
      <c r="AC540" s="188"/>
      <c r="AD540" s="190"/>
      <c r="AE540" s="189"/>
    </row>
    <row r="541" spans="1:31" ht="21.25" customHeight="1" x14ac:dyDescent="0.15">
      <c r="A541" s="10" t="s">
        <v>480</v>
      </c>
      <c r="B541" s="186" t="s">
        <v>853</v>
      </c>
      <c r="C541" s="187">
        <v>30</v>
      </c>
      <c r="D541" s="186" t="s">
        <v>827</v>
      </c>
      <c r="E541" s="90">
        <v>80.72</v>
      </c>
      <c r="F541" s="188">
        <v>19.920551155285999</v>
      </c>
      <c r="G541" s="189">
        <v>4.0522337259009597E-2</v>
      </c>
      <c r="H541" s="189">
        <v>0.162638806290437</v>
      </c>
      <c r="I541" s="189">
        <v>0.203161143549447</v>
      </c>
      <c r="J541" s="189">
        <v>1.05518435876312</v>
      </c>
      <c r="K541" s="189">
        <v>7.7960583990905106E-5</v>
      </c>
      <c r="L541" s="189">
        <v>7.3743049511710895E-4</v>
      </c>
      <c r="M541" s="189">
        <v>1.4061217220958001E-4</v>
      </c>
      <c r="N541" s="189">
        <v>2.8565512446804601E-3</v>
      </c>
      <c r="O541" s="189">
        <v>1.25915412817363</v>
      </c>
      <c r="P541" s="189">
        <v>1.59043314511337</v>
      </c>
      <c r="Q541" s="189">
        <v>3.631872252434E-2</v>
      </c>
      <c r="R541" s="189">
        <v>0.64662029400409704</v>
      </c>
      <c r="S541" s="189">
        <v>6.74679766219823E-3</v>
      </c>
      <c r="T541" s="189">
        <v>0</v>
      </c>
      <c r="U541" s="189">
        <v>0</v>
      </c>
      <c r="V541" s="189">
        <v>0</v>
      </c>
      <c r="W541" s="189"/>
      <c r="X541" s="90"/>
      <c r="Y541" s="188"/>
      <c r="Z541" s="188"/>
      <c r="AA541" s="188"/>
      <c r="AB541" s="188"/>
      <c r="AC541" s="188"/>
      <c r="AD541" s="190"/>
      <c r="AE541" s="189"/>
    </row>
    <row r="542" spans="1:31" ht="21.25" customHeight="1" x14ac:dyDescent="0.15">
      <c r="A542" s="10" t="s">
        <v>477</v>
      </c>
      <c r="B542" s="186" t="s">
        <v>842</v>
      </c>
      <c r="C542" s="187">
        <v>29</v>
      </c>
      <c r="D542" s="186" t="s">
        <v>827</v>
      </c>
      <c r="E542" s="90">
        <v>77.817499999999995</v>
      </c>
      <c r="F542" s="188">
        <v>19.558484622980199</v>
      </c>
      <c r="G542" s="189">
        <v>2.3364253328429702E-2</v>
      </c>
      <c r="H542" s="189">
        <v>0.17781904076303001</v>
      </c>
      <c r="I542" s="189">
        <v>0.20118329409145999</v>
      </c>
      <c r="J542" s="189">
        <v>0.84749426780710302</v>
      </c>
      <c r="K542" s="189">
        <v>8.9605050526208604E-5</v>
      </c>
      <c r="L542" s="189">
        <v>7.4297618665186205E-4</v>
      </c>
      <c r="M542" s="189">
        <v>1.9665238460600201E-4</v>
      </c>
      <c r="N542" s="189">
        <v>1.29276296840646E-2</v>
      </c>
      <c r="O542" s="189">
        <v>1.6222260241161499</v>
      </c>
      <c r="P542" s="189">
        <v>1.1443709300471001</v>
      </c>
      <c r="Q542" s="189">
        <v>-1.75185585743582E-2</v>
      </c>
      <c r="R542" s="189">
        <v>0.47719163107972601</v>
      </c>
      <c r="S542" s="189">
        <v>3.49215721196119E-3</v>
      </c>
      <c r="T542" s="189">
        <v>0</v>
      </c>
      <c r="U542" s="189">
        <v>0</v>
      </c>
      <c r="V542" s="189">
        <v>0</v>
      </c>
      <c r="W542" s="189"/>
      <c r="X542" s="90"/>
      <c r="Y542" s="188"/>
      <c r="Z542" s="188"/>
      <c r="AA542" s="188"/>
      <c r="AB542" s="188"/>
      <c r="AC542" s="188"/>
      <c r="AD542" s="190"/>
      <c r="AE542" s="189"/>
    </row>
    <row r="543" spans="1:31" ht="21.25" customHeight="1" x14ac:dyDescent="0.15">
      <c r="A543" s="10" t="s">
        <v>793</v>
      </c>
      <c r="B543" s="186" t="s">
        <v>843</v>
      </c>
      <c r="C543" s="187">
        <v>27</v>
      </c>
      <c r="D543" s="186" t="s">
        <v>826</v>
      </c>
      <c r="E543" s="90">
        <v>54.497500000000002</v>
      </c>
      <c r="F543" s="188">
        <v>11.3366790693273</v>
      </c>
      <c r="G543" s="189">
        <v>7.6556200518373405E-2</v>
      </c>
      <c r="H543" s="189">
        <v>0.12399279176278701</v>
      </c>
      <c r="I543" s="189">
        <v>0.20054899228115999</v>
      </c>
      <c r="J543" s="189">
        <v>1.12391575467418</v>
      </c>
      <c r="K543" s="189">
        <v>0</v>
      </c>
      <c r="L543" s="189">
        <v>0</v>
      </c>
      <c r="M543" s="189">
        <v>3.3296071575409101E-3</v>
      </c>
      <c r="N543" s="189">
        <v>5.56517063323208E-3</v>
      </c>
      <c r="O543" s="189">
        <v>0.40343549705952197</v>
      </c>
      <c r="P543" s="189">
        <v>1.09799980659486</v>
      </c>
      <c r="Q543" s="189">
        <v>3.8663206849448697E-2</v>
      </c>
      <c r="R543" s="189">
        <v>0.20526172168571599</v>
      </c>
      <c r="S543" s="189">
        <v>1.46051953662112E-2</v>
      </c>
      <c r="T543" s="189">
        <v>8.4717729207013197E-3</v>
      </c>
      <c r="U543" s="189">
        <v>0.107752258098173</v>
      </c>
      <c r="V543" s="189">
        <v>7.2891749205683101E-2</v>
      </c>
      <c r="W543" s="189"/>
      <c r="X543" s="90"/>
      <c r="Y543" s="188"/>
      <c r="Z543" s="188"/>
      <c r="AA543" s="188"/>
      <c r="AB543" s="188"/>
      <c r="AC543" s="188"/>
      <c r="AD543" s="190"/>
      <c r="AE543" s="189"/>
    </row>
    <row r="544" spans="1:31" ht="21.25" customHeight="1" x14ac:dyDescent="0.15">
      <c r="A544" s="10" t="s">
        <v>779</v>
      </c>
      <c r="B544" s="186" t="s">
        <v>847</v>
      </c>
      <c r="C544" s="187">
        <v>26</v>
      </c>
      <c r="D544" s="186" t="s">
        <v>839</v>
      </c>
      <c r="E544" s="90">
        <v>80.017499999999998</v>
      </c>
      <c r="F544" s="188">
        <v>12.024736143180499</v>
      </c>
      <c r="G544" s="189">
        <v>7.32870789731494E-2</v>
      </c>
      <c r="H544" s="189">
        <v>0.12669138670076099</v>
      </c>
      <c r="I544" s="189">
        <v>0.19997846567391001</v>
      </c>
      <c r="J544" s="189">
        <v>0.65667692578019798</v>
      </c>
      <c r="K544" s="189">
        <v>2.67155225847103E-4</v>
      </c>
      <c r="L544" s="189">
        <v>5.8377162295136298E-4</v>
      </c>
      <c r="M544" s="189">
        <v>9.1067766255962697E-3</v>
      </c>
      <c r="N544" s="189">
        <v>1.4919525489438999E-2</v>
      </c>
      <c r="O544" s="189">
        <v>0.50421465352213901</v>
      </c>
      <c r="P544" s="189">
        <v>0.59115270048160895</v>
      </c>
      <c r="Q544" s="189">
        <v>6.0893954524341098E-2</v>
      </c>
      <c r="R544" s="189">
        <v>0.189873106811105</v>
      </c>
      <c r="S544" s="189">
        <v>1.2394515491299E-2</v>
      </c>
      <c r="T544" s="189">
        <v>0.55924385269228205</v>
      </c>
      <c r="U544" s="189">
        <v>0.63264010009848903</v>
      </c>
      <c r="V544" s="189">
        <v>0.46920998590745699</v>
      </c>
      <c r="W544" s="189"/>
      <c r="X544" s="90"/>
      <c r="Y544" s="188"/>
      <c r="Z544" s="188"/>
      <c r="AA544" s="188"/>
      <c r="AB544" s="188"/>
      <c r="AC544" s="188"/>
      <c r="AD544" s="190"/>
      <c r="AE544" s="189"/>
    </row>
    <row r="545" spans="1:31" ht="21.25" customHeight="1" x14ac:dyDescent="0.15">
      <c r="A545" s="10" t="s">
        <v>783</v>
      </c>
      <c r="B545" s="186" t="s">
        <v>870</v>
      </c>
      <c r="C545" s="187">
        <v>22</v>
      </c>
      <c r="D545" s="186" t="s">
        <v>826</v>
      </c>
      <c r="E545" s="90">
        <v>64.62</v>
      </c>
      <c r="F545" s="188">
        <v>10.4046188517283</v>
      </c>
      <c r="G545" s="189">
        <v>5.5363102939726197E-2</v>
      </c>
      <c r="H545" s="189">
        <v>0.14398555926388401</v>
      </c>
      <c r="I545" s="189">
        <v>0.19934866220361</v>
      </c>
      <c r="J545" s="189">
        <v>1.0405366846128901</v>
      </c>
      <c r="K545" s="189">
        <v>4.4406277567364701E-4</v>
      </c>
      <c r="L545" s="189">
        <v>9.7082047385579396E-4</v>
      </c>
      <c r="M545" s="189">
        <v>3.0673030171424901E-3</v>
      </c>
      <c r="N545" s="189">
        <v>5.06059114066474E-3</v>
      </c>
      <c r="O545" s="189">
        <v>0.45183229989662999</v>
      </c>
      <c r="P545" s="189">
        <v>1.1502907997935301</v>
      </c>
      <c r="Q545" s="189">
        <v>-8.6901121529992797E-2</v>
      </c>
      <c r="R545" s="189">
        <v>0.213144992126927</v>
      </c>
      <c r="S545" s="189">
        <v>7.6276617325758602E-3</v>
      </c>
      <c r="T545" s="189">
        <v>4.4485323750515999E-3</v>
      </c>
      <c r="U545" s="189">
        <v>7.5740862887868105E-2</v>
      </c>
      <c r="V545" s="189">
        <v>5.5475320152571797E-2</v>
      </c>
      <c r="W545" s="189"/>
      <c r="X545" s="90"/>
      <c r="Y545" s="188"/>
      <c r="Z545" s="188"/>
      <c r="AA545" s="188"/>
      <c r="AB545" s="188"/>
      <c r="AC545" s="188"/>
      <c r="AD545" s="190"/>
      <c r="AE545" s="189"/>
    </row>
    <row r="546" spans="1:31" ht="21.25" customHeight="1" x14ac:dyDescent="0.15">
      <c r="A546" s="10" t="s">
        <v>784</v>
      </c>
      <c r="B546" s="186" t="s">
        <v>865</v>
      </c>
      <c r="C546" s="187">
        <v>22</v>
      </c>
      <c r="D546" s="186" t="s">
        <v>825</v>
      </c>
      <c r="E546" s="90">
        <v>69.03</v>
      </c>
      <c r="F546" s="188">
        <v>10.022376504289401</v>
      </c>
      <c r="G546" s="189">
        <v>0.116691776746448</v>
      </c>
      <c r="H546" s="189">
        <v>8.1335839786679395E-2</v>
      </c>
      <c r="I546" s="189">
        <v>0.198027616533127</v>
      </c>
      <c r="J546" s="189">
        <v>0.85071407216428696</v>
      </c>
      <c r="K546" s="189">
        <v>1.19103209414866E-4</v>
      </c>
      <c r="L546" s="189">
        <v>2.63559428301165E-4</v>
      </c>
      <c r="M546" s="189">
        <v>3.20714875527363E-3</v>
      </c>
      <c r="N546" s="189">
        <v>5.3860117838794999E-3</v>
      </c>
      <c r="O546" s="189">
        <v>0.59764999512246098</v>
      </c>
      <c r="P546" s="189">
        <v>2.1489669175555699</v>
      </c>
      <c r="Q546" s="189">
        <v>-5.6949024037922798E-2</v>
      </c>
      <c r="R546" s="189">
        <v>0.288057953714844</v>
      </c>
      <c r="S546" s="189">
        <v>1.61647303071525E-2</v>
      </c>
      <c r="T546" s="189">
        <v>2.21171278920653E-2</v>
      </c>
      <c r="U546" s="189">
        <v>0.154819895244457</v>
      </c>
      <c r="V546" s="189">
        <v>0.125</v>
      </c>
      <c r="W546" s="189"/>
      <c r="X546" s="90"/>
      <c r="Y546" s="188"/>
      <c r="Z546" s="188"/>
      <c r="AA546" s="188"/>
      <c r="AB546" s="188"/>
      <c r="AC546" s="188"/>
      <c r="AD546" s="190"/>
      <c r="AE546" s="189"/>
    </row>
    <row r="547" spans="1:31" ht="21.25" customHeight="1" x14ac:dyDescent="0.15">
      <c r="A547" s="10" t="s">
        <v>760</v>
      </c>
      <c r="B547" s="186" t="s">
        <v>857</v>
      </c>
      <c r="C547" s="187">
        <v>26</v>
      </c>
      <c r="D547" s="186" t="s">
        <v>824</v>
      </c>
      <c r="E547" s="90">
        <v>77.532499999999999</v>
      </c>
      <c r="F547" s="188">
        <v>12.3616851271229</v>
      </c>
      <c r="G547" s="189">
        <v>7.12260447543175E-2</v>
      </c>
      <c r="H547" s="189">
        <v>0.126129554176725</v>
      </c>
      <c r="I547" s="189">
        <v>0.19735559893104301</v>
      </c>
      <c r="J547" s="189">
        <v>0.78296891046514605</v>
      </c>
      <c r="K547" s="189">
        <v>4.9914708232189303E-4</v>
      </c>
      <c r="L547" s="189">
        <v>1.5089281841882401E-3</v>
      </c>
      <c r="M547" s="189">
        <v>2.7782287978942101E-3</v>
      </c>
      <c r="N547" s="189">
        <v>3.5330344199049901E-3</v>
      </c>
      <c r="O547" s="189">
        <v>0.58447256486067201</v>
      </c>
      <c r="P547" s="189">
        <v>0.729567199016252</v>
      </c>
      <c r="Q547" s="189">
        <v>-4.1765535275221496E-3</v>
      </c>
      <c r="R547" s="189">
        <v>0.13791593012829001</v>
      </c>
      <c r="S547" s="189">
        <v>1.14774529320818E-2</v>
      </c>
      <c r="T547" s="189">
        <v>2.6395331332293299</v>
      </c>
      <c r="U547" s="189">
        <v>2.8196111762326601</v>
      </c>
      <c r="V547" s="189">
        <v>0.48350675190146503</v>
      </c>
      <c r="W547" s="189"/>
      <c r="X547" s="90"/>
      <c r="Y547" s="188"/>
      <c r="Z547" s="188"/>
      <c r="AA547" s="188"/>
      <c r="AB547" s="188"/>
      <c r="AC547" s="188"/>
      <c r="AD547" s="190"/>
      <c r="AE547" s="189"/>
    </row>
    <row r="548" spans="1:31" ht="21.25" customHeight="1" x14ac:dyDescent="0.15">
      <c r="A548" s="10" t="s">
        <v>490</v>
      </c>
      <c r="B548" s="186" t="s">
        <v>870</v>
      </c>
      <c r="C548" s="187">
        <v>28</v>
      </c>
      <c r="D548" s="186" t="s">
        <v>827</v>
      </c>
      <c r="E548" s="90">
        <v>80.989999999999995</v>
      </c>
      <c r="F548" s="188">
        <v>18.4549568227946</v>
      </c>
      <c r="G548" s="189">
        <v>3.1829578543528698E-2</v>
      </c>
      <c r="H548" s="189">
        <v>0.16393167986215701</v>
      </c>
      <c r="I548" s="189">
        <v>0.19576125840568601</v>
      </c>
      <c r="J548" s="189">
        <v>0.67916450261449202</v>
      </c>
      <c r="K548" s="189">
        <v>1.19464086123357E-4</v>
      </c>
      <c r="L548" s="189">
        <v>1.09095352697219E-3</v>
      </c>
      <c r="M548" s="189">
        <v>2.2079542601421699E-4</v>
      </c>
      <c r="N548" s="189">
        <v>7.9886823391883497E-3</v>
      </c>
      <c r="O548" s="189">
        <v>1.55298072185946</v>
      </c>
      <c r="P548" s="189">
        <v>0.89695428042623004</v>
      </c>
      <c r="Q548" s="189">
        <v>-0.110879906330315</v>
      </c>
      <c r="R548" s="189">
        <v>0.54749851100715696</v>
      </c>
      <c r="S548" s="189">
        <v>4.3853260624645901E-3</v>
      </c>
      <c r="T548" s="189">
        <v>0</v>
      </c>
      <c r="U548" s="189">
        <v>9.2803131331164398E-3</v>
      </c>
      <c r="V548" s="189">
        <v>0</v>
      </c>
      <c r="W548" s="189"/>
      <c r="X548" s="90"/>
      <c r="Y548" s="188"/>
      <c r="Z548" s="188"/>
      <c r="AA548" s="188"/>
      <c r="AB548" s="188"/>
      <c r="AC548" s="188"/>
      <c r="AD548" s="190"/>
      <c r="AE548" s="189"/>
    </row>
    <row r="549" spans="1:31" ht="21.25" customHeight="1" x14ac:dyDescent="0.15">
      <c r="A549" s="10" t="s">
        <v>772</v>
      </c>
      <c r="B549" s="186" t="s">
        <v>847</v>
      </c>
      <c r="C549" s="187">
        <v>33</v>
      </c>
      <c r="D549" s="186" t="s">
        <v>846</v>
      </c>
      <c r="E549" s="90">
        <v>75.487499999999997</v>
      </c>
      <c r="F549" s="188">
        <v>11.5382734031277</v>
      </c>
      <c r="G549" s="189">
        <v>6.2999553199689196E-2</v>
      </c>
      <c r="H549" s="189">
        <v>0.132502753937083</v>
      </c>
      <c r="I549" s="189">
        <v>0.195502307136772</v>
      </c>
      <c r="J549" s="189">
        <v>0.93855890329839697</v>
      </c>
      <c r="K549" s="189">
        <v>1.044391010864E-4</v>
      </c>
      <c r="L549" s="189">
        <v>2.0233348182341801E-4</v>
      </c>
      <c r="M549" s="189">
        <v>6.6904769349658E-3</v>
      </c>
      <c r="N549" s="189">
        <v>1.13349258355661E-2</v>
      </c>
      <c r="O549" s="189">
        <v>0.484798378826444</v>
      </c>
      <c r="P549" s="189">
        <v>1.56827464802307</v>
      </c>
      <c r="Q549" s="189">
        <v>4.6369648661613402E-2</v>
      </c>
      <c r="R549" s="189">
        <v>0.30738920548036802</v>
      </c>
      <c r="S549" s="189">
        <v>1.06546603987935E-2</v>
      </c>
      <c r="T549" s="189">
        <v>1.7259516850965499</v>
      </c>
      <c r="U549" s="189">
        <v>2.0535609882021899</v>
      </c>
      <c r="V549" s="189">
        <v>0.45665984858046399</v>
      </c>
      <c r="W549" s="189"/>
      <c r="X549" s="90"/>
      <c r="Y549" s="188"/>
      <c r="Z549" s="188"/>
      <c r="AA549" s="188"/>
      <c r="AB549" s="188"/>
      <c r="AC549" s="188"/>
      <c r="AD549" s="190"/>
      <c r="AE549" s="189"/>
    </row>
    <row r="550" spans="1:31" ht="21.25" customHeight="1" x14ac:dyDescent="0.15">
      <c r="A550" s="10" t="s">
        <v>456</v>
      </c>
      <c r="B550" s="186" t="s">
        <v>836</v>
      </c>
      <c r="C550" s="187">
        <v>33</v>
      </c>
      <c r="D550" s="186" t="s">
        <v>827</v>
      </c>
      <c r="E550" s="90">
        <v>78.150000000000006</v>
      </c>
      <c r="F550" s="188">
        <v>19.159117642163</v>
      </c>
      <c r="G550" s="189">
        <v>2.3665411192494001E-2</v>
      </c>
      <c r="H550" s="189">
        <v>0.170123099800123</v>
      </c>
      <c r="I550" s="189">
        <v>0.19378851099261701</v>
      </c>
      <c r="J550" s="189">
        <v>0.88583935824697402</v>
      </c>
      <c r="K550" s="189">
        <v>3.4198807004900798E-5</v>
      </c>
      <c r="L550" s="189">
        <v>4.4847220439800199E-4</v>
      </c>
      <c r="M550" s="189">
        <v>1.20347251557317E-4</v>
      </c>
      <c r="N550" s="189">
        <v>8.0752590310745904E-3</v>
      </c>
      <c r="O550" s="189">
        <v>1.85521213597583</v>
      </c>
      <c r="P550" s="189">
        <v>1.2913014160756999</v>
      </c>
      <c r="Q550" s="189">
        <v>6.5940255550738194E-2</v>
      </c>
      <c r="R550" s="189">
        <v>0.77996402095082995</v>
      </c>
      <c r="S550" s="189">
        <v>4.1542630643586903E-3</v>
      </c>
      <c r="T550" s="189">
        <v>0</v>
      </c>
      <c r="U550" s="189">
        <v>0</v>
      </c>
      <c r="V550" s="189">
        <v>0</v>
      </c>
      <c r="W550" s="189"/>
      <c r="X550" s="90"/>
      <c r="Y550" s="188"/>
      <c r="Z550" s="188"/>
      <c r="AA550" s="188"/>
      <c r="AB550" s="188"/>
      <c r="AC550" s="188"/>
      <c r="AD550" s="190"/>
      <c r="AE550" s="189"/>
    </row>
    <row r="551" spans="1:31" ht="21.25" customHeight="1" x14ac:dyDescent="0.15">
      <c r="A551" s="10" t="s">
        <v>792</v>
      </c>
      <c r="B551" s="186" t="s">
        <v>864</v>
      </c>
      <c r="C551" s="187">
        <v>23</v>
      </c>
      <c r="D551" s="186" t="s">
        <v>826</v>
      </c>
      <c r="E551" s="90">
        <v>61.62</v>
      </c>
      <c r="F551" s="188">
        <v>9.1690850623257898</v>
      </c>
      <c r="G551" s="189">
        <v>0.103464648294517</v>
      </c>
      <c r="H551" s="189">
        <v>8.8996870326895405E-2</v>
      </c>
      <c r="I551" s="189">
        <v>0.192461518621412</v>
      </c>
      <c r="J551" s="189">
        <v>0.80679962456036403</v>
      </c>
      <c r="K551" s="189">
        <v>1.1121114694273E-3</v>
      </c>
      <c r="L551" s="189">
        <v>2.4845537939941599E-3</v>
      </c>
      <c r="M551" s="189">
        <v>1.4097930086292E-5</v>
      </c>
      <c r="N551" s="189">
        <v>2.3523884357422601E-5</v>
      </c>
      <c r="O551" s="189">
        <v>0.50221148933128701</v>
      </c>
      <c r="P551" s="189">
        <v>1.82052943528907</v>
      </c>
      <c r="Q551" s="189">
        <v>-2.6477658945981098E-3</v>
      </c>
      <c r="R551" s="189">
        <v>0.27129240094677398</v>
      </c>
      <c r="S551" s="189">
        <v>1.6254688589246901E-2</v>
      </c>
      <c r="T551" s="189">
        <v>0</v>
      </c>
      <c r="U551" s="189">
        <v>0.143138353234606</v>
      </c>
      <c r="V551" s="189">
        <v>0</v>
      </c>
      <c r="W551" s="189"/>
      <c r="X551" s="90"/>
      <c r="Y551" s="188"/>
      <c r="Z551" s="188"/>
      <c r="AA551" s="188"/>
      <c r="AB551" s="188"/>
      <c r="AC551" s="188"/>
      <c r="AD551" s="190"/>
      <c r="AE551" s="189"/>
    </row>
    <row r="552" spans="1:31" ht="21.25" customHeight="1" x14ac:dyDescent="0.15">
      <c r="A552" s="10" t="s">
        <v>486</v>
      </c>
      <c r="B552" s="186" t="s">
        <v>849</v>
      </c>
      <c r="C552" s="187">
        <v>32</v>
      </c>
      <c r="D552" s="186" t="s">
        <v>827</v>
      </c>
      <c r="E552" s="90">
        <v>84.142499999999998</v>
      </c>
      <c r="F552" s="188">
        <v>17.685397664805699</v>
      </c>
      <c r="G552" s="189">
        <v>3.0770807989954099E-2</v>
      </c>
      <c r="H552" s="189">
        <v>0.161121819693162</v>
      </c>
      <c r="I552" s="189">
        <v>0.19189262768311599</v>
      </c>
      <c r="J552" s="189">
        <v>0.78170916173912497</v>
      </c>
      <c r="K552" s="189">
        <v>2.5327293250348998E-5</v>
      </c>
      <c r="L552" s="189">
        <v>2.16064156272647E-4</v>
      </c>
      <c r="M552" s="189">
        <v>1.93189129388447E-4</v>
      </c>
      <c r="N552" s="189">
        <v>9.9566773725035407E-3</v>
      </c>
      <c r="O552" s="189">
        <v>1.41277006148976</v>
      </c>
      <c r="P552" s="189">
        <v>0.71412897182291002</v>
      </c>
      <c r="Q552" s="189">
        <v>-2.9413241728611102E-2</v>
      </c>
      <c r="R552" s="189">
        <v>0.23974663763680101</v>
      </c>
      <c r="S552" s="189">
        <v>4.86068490346295E-3</v>
      </c>
      <c r="T552" s="189">
        <v>0</v>
      </c>
      <c r="U552" s="189">
        <v>0</v>
      </c>
      <c r="V552" s="189">
        <v>0</v>
      </c>
      <c r="W552" s="189"/>
      <c r="X552" s="90"/>
      <c r="Y552" s="188"/>
      <c r="Z552" s="188"/>
      <c r="AA552" s="188"/>
      <c r="AB552" s="188"/>
      <c r="AC552" s="188"/>
      <c r="AD552" s="190"/>
      <c r="AE552" s="189"/>
    </row>
    <row r="553" spans="1:31" ht="21.25" customHeight="1" x14ac:dyDescent="0.15">
      <c r="A553" s="10" t="s">
        <v>724</v>
      </c>
      <c r="B553" s="186" t="s">
        <v>842</v>
      </c>
      <c r="C553" s="187">
        <v>34</v>
      </c>
      <c r="D553" s="186" t="s">
        <v>824</v>
      </c>
      <c r="E553" s="90">
        <v>77.502499999999998</v>
      </c>
      <c r="F553" s="188">
        <v>10.8562791263807</v>
      </c>
      <c r="G553" s="189">
        <v>9.3338455940447498E-2</v>
      </c>
      <c r="H553" s="189">
        <v>9.8374943537321596E-2</v>
      </c>
      <c r="I553" s="189">
        <v>0.191713399477769</v>
      </c>
      <c r="J553" s="189">
        <v>1.2473622959950701</v>
      </c>
      <c r="K553" s="189">
        <v>5.6482585971559898E-4</v>
      </c>
      <c r="L553" s="189">
        <v>1.21693158219534E-3</v>
      </c>
      <c r="M553" s="189">
        <v>6.7430536438218497E-3</v>
      </c>
      <c r="N553" s="189">
        <v>7.4428001310456503E-3</v>
      </c>
      <c r="O553" s="189">
        <v>0.48546964237877399</v>
      </c>
      <c r="P553" s="189">
        <v>1.5689418507205399</v>
      </c>
      <c r="Q553" s="189">
        <v>-8.7118100836593403E-3</v>
      </c>
      <c r="R553" s="189">
        <v>0.35959876267879898</v>
      </c>
      <c r="S553" s="189">
        <v>1.39509085731893E-2</v>
      </c>
      <c r="T553" s="189">
        <v>3.3463401996339299</v>
      </c>
      <c r="U553" s="189">
        <v>3.5052954208944298</v>
      </c>
      <c r="V553" s="189">
        <v>0.488400198867534</v>
      </c>
      <c r="W553" s="189"/>
      <c r="X553" s="90"/>
      <c r="Y553" s="188"/>
      <c r="Z553" s="188"/>
      <c r="AA553" s="188"/>
      <c r="AB553" s="188"/>
      <c r="AC553" s="188"/>
      <c r="AD553" s="190"/>
      <c r="AE553" s="189"/>
    </row>
    <row r="554" spans="1:31" ht="21.25" customHeight="1" x14ac:dyDescent="0.15">
      <c r="A554" s="10" t="s">
        <v>774</v>
      </c>
      <c r="B554" s="186" t="s">
        <v>844</v>
      </c>
      <c r="C554" s="187">
        <v>31</v>
      </c>
      <c r="D554" s="186" t="s">
        <v>824</v>
      </c>
      <c r="E554" s="90">
        <v>73.522499999999994</v>
      </c>
      <c r="F554" s="188">
        <v>10.5484099266165</v>
      </c>
      <c r="G554" s="189">
        <v>8.7909885428200801E-2</v>
      </c>
      <c r="H554" s="189">
        <v>0.10376562409633799</v>
      </c>
      <c r="I554" s="189">
        <v>0.19167550952453899</v>
      </c>
      <c r="J554" s="189">
        <v>0.80758905316212404</v>
      </c>
      <c r="K554" s="189">
        <v>1.5852968411609399E-4</v>
      </c>
      <c r="L554" s="189">
        <v>3.3921433447623399E-4</v>
      </c>
      <c r="M554" s="189">
        <v>1.3794394840029599E-2</v>
      </c>
      <c r="N554" s="189">
        <v>1.46047989266239E-2</v>
      </c>
      <c r="O554" s="189">
        <v>0.450057946302657</v>
      </c>
      <c r="P554" s="189">
        <v>1.37707367383228</v>
      </c>
      <c r="Q554" s="189">
        <v>2.3069967871905E-2</v>
      </c>
      <c r="R554" s="189">
        <v>0.25820481563080999</v>
      </c>
      <c r="S554" s="189">
        <v>1.4319157285859901E-2</v>
      </c>
      <c r="T554" s="189">
        <v>4.4745491602425096</v>
      </c>
      <c r="U554" s="189">
        <v>3.25180143238825</v>
      </c>
      <c r="V554" s="189">
        <v>0.57912841342072197</v>
      </c>
      <c r="W554" s="189"/>
      <c r="X554" s="90"/>
      <c r="Y554" s="188"/>
      <c r="Z554" s="188"/>
      <c r="AA554" s="188"/>
      <c r="AB554" s="188"/>
      <c r="AC554" s="188"/>
      <c r="AD554" s="190"/>
      <c r="AE554" s="189"/>
    </row>
    <row r="555" spans="1:31" ht="21.25" customHeight="1" x14ac:dyDescent="0.15">
      <c r="A555" s="10" t="s">
        <v>778</v>
      </c>
      <c r="B555" s="186" t="s">
        <v>849</v>
      </c>
      <c r="C555" s="187">
        <v>23</v>
      </c>
      <c r="D555" s="186" t="s">
        <v>824</v>
      </c>
      <c r="E555" s="90">
        <v>71.282499999999999</v>
      </c>
      <c r="F555" s="188">
        <v>9.3981357215075008</v>
      </c>
      <c r="G555" s="189">
        <v>9.8215513554880299E-2</v>
      </c>
      <c r="H555" s="189">
        <v>9.3156161711741903E-2</v>
      </c>
      <c r="I555" s="189">
        <v>0.19137167526662199</v>
      </c>
      <c r="J555" s="189">
        <v>0.81181900331912205</v>
      </c>
      <c r="K555" s="189">
        <v>2.7348670038273198E-4</v>
      </c>
      <c r="L555" s="189">
        <v>5.9975249179641799E-4</v>
      </c>
      <c r="M555" s="189">
        <v>8.6338236477836295E-5</v>
      </c>
      <c r="N555" s="189">
        <v>1.43317084376363E-4</v>
      </c>
      <c r="O555" s="189">
        <v>0.38811406998141701</v>
      </c>
      <c r="P555" s="189">
        <v>2.82568210349406</v>
      </c>
      <c r="Q555" s="189">
        <v>-1.5143565261415901E-2</v>
      </c>
      <c r="R555" s="189">
        <v>0.48979264010727702</v>
      </c>
      <c r="S555" s="189">
        <v>1.5514531310907499E-2</v>
      </c>
      <c r="T555" s="189">
        <v>2.6104303325702398</v>
      </c>
      <c r="U555" s="189">
        <v>3.0840742735035902</v>
      </c>
      <c r="V555" s="189">
        <v>0.45841219090171997</v>
      </c>
      <c r="W555" s="189"/>
      <c r="X555" s="90"/>
      <c r="Y555" s="188"/>
      <c r="Z555" s="188"/>
      <c r="AA555" s="188"/>
      <c r="AB555" s="188"/>
      <c r="AC555" s="188"/>
      <c r="AD555" s="190"/>
      <c r="AE555" s="189"/>
    </row>
    <row r="556" spans="1:31" ht="21.25" customHeight="1" x14ac:dyDescent="0.15">
      <c r="A556" s="10" t="s">
        <v>586</v>
      </c>
      <c r="B556" s="186" t="s">
        <v>858</v>
      </c>
      <c r="C556" s="187">
        <v>26</v>
      </c>
      <c r="D556" s="186" t="s">
        <v>827</v>
      </c>
      <c r="E556" s="90">
        <v>70.072500000000005</v>
      </c>
      <c r="F556" s="188">
        <v>14.1820861414513</v>
      </c>
      <c r="G556" s="189">
        <v>4.6225367262098201E-2</v>
      </c>
      <c r="H556" s="189">
        <v>0.14444604510645501</v>
      </c>
      <c r="I556" s="189">
        <v>0.19067141236855301</v>
      </c>
      <c r="J556" s="189">
        <v>0.90253206208853298</v>
      </c>
      <c r="K556" s="189">
        <v>9.8835929198942397E-5</v>
      </c>
      <c r="L556" s="189">
        <v>7.7592839156260304E-4</v>
      </c>
      <c r="M556" s="189">
        <v>3.2792931302563398E-4</v>
      </c>
      <c r="N556" s="189">
        <v>4.3664455336761302E-3</v>
      </c>
      <c r="O556" s="189">
        <v>0.86863589306377598</v>
      </c>
      <c r="P556" s="189">
        <v>1.4575148468843799</v>
      </c>
      <c r="Q556" s="189">
        <v>-2.81315770986468E-2</v>
      </c>
      <c r="R556" s="189">
        <v>0.92253264749035901</v>
      </c>
      <c r="S556" s="189">
        <v>6.6652839796168999E-3</v>
      </c>
      <c r="T556" s="189">
        <v>0</v>
      </c>
      <c r="U556" s="189">
        <v>0</v>
      </c>
      <c r="V556" s="189">
        <v>0</v>
      </c>
      <c r="W556" s="189"/>
      <c r="X556" s="90"/>
      <c r="Y556" s="188"/>
      <c r="Z556" s="188"/>
      <c r="AA556" s="188"/>
      <c r="AB556" s="188"/>
      <c r="AC556" s="188"/>
      <c r="AD556" s="190"/>
      <c r="AE556" s="189"/>
    </row>
    <row r="557" spans="1:31" ht="21.25" customHeight="1" x14ac:dyDescent="0.15">
      <c r="A557" s="10" t="s">
        <v>459</v>
      </c>
      <c r="B557" s="186" t="s">
        <v>838</v>
      </c>
      <c r="C557" s="187">
        <v>32</v>
      </c>
      <c r="D557" s="186" t="s">
        <v>827</v>
      </c>
      <c r="E557" s="90">
        <v>84.207499999999996</v>
      </c>
      <c r="F557" s="188">
        <v>18.832098212497801</v>
      </c>
      <c r="G557" s="189">
        <v>2.5836493871373101E-2</v>
      </c>
      <c r="H557" s="189">
        <v>0.16410667998332301</v>
      </c>
      <c r="I557" s="189">
        <v>0.189943173854696</v>
      </c>
      <c r="J557" s="189">
        <v>1.1381199305073899</v>
      </c>
      <c r="K557" s="189">
        <v>1.8279784421113999E-4</v>
      </c>
      <c r="L557" s="189">
        <v>3.05549339512681E-3</v>
      </c>
      <c r="M557" s="189">
        <v>1.28818536706503E-4</v>
      </c>
      <c r="N557" s="189">
        <v>6.9235308816931705E-4</v>
      </c>
      <c r="O557" s="189">
        <v>1.30428114043428</v>
      </c>
      <c r="P557" s="189">
        <v>0.43869634654329398</v>
      </c>
      <c r="Q557" s="189">
        <v>4.7255258053756501E-2</v>
      </c>
      <c r="R557" s="189">
        <v>0.385528460688629</v>
      </c>
      <c r="S557" s="189">
        <v>4.6631567298641404E-3</v>
      </c>
      <c r="T557" s="189">
        <v>0</v>
      </c>
      <c r="U557" s="189">
        <v>0</v>
      </c>
      <c r="V557" s="189">
        <v>0</v>
      </c>
      <c r="W557" s="189"/>
      <c r="X557" s="90"/>
      <c r="Y557" s="188"/>
      <c r="Z557" s="188"/>
      <c r="AA557" s="188"/>
      <c r="AB557" s="188"/>
      <c r="AC557" s="188"/>
      <c r="AD557" s="190"/>
      <c r="AE557" s="189"/>
    </row>
    <row r="558" spans="1:31" ht="21.25" customHeight="1" x14ac:dyDescent="0.15">
      <c r="A558" s="10" t="s">
        <v>589</v>
      </c>
      <c r="B558" s="186" t="s">
        <v>842</v>
      </c>
      <c r="C558" s="187">
        <v>26</v>
      </c>
      <c r="D558" s="186" t="s">
        <v>827</v>
      </c>
      <c r="E558" s="90">
        <v>66.790000000000006</v>
      </c>
      <c r="F558" s="188">
        <v>15.2945813778729</v>
      </c>
      <c r="G558" s="189">
        <v>3.0149646353655999E-2</v>
      </c>
      <c r="H558" s="189">
        <v>0.15888830267788001</v>
      </c>
      <c r="I558" s="189">
        <v>0.18903794903153601</v>
      </c>
      <c r="J558" s="189">
        <v>0.85855283015802797</v>
      </c>
      <c r="K558" s="189">
        <v>6.5749494179901302E-4</v>
      </c>
      <c r="L558" s="189">
        <v>1.8632522924887001E-3</v>
      </c>
      <c r="M558" s="189">
        <v>1.50789982288081E-4</v>
      </c>
      <c r="N558" s="189">
        <v>5.3901803804573295E-4</v>
      </c>
      <c r="O558" s="189">
        <v>1.0542697711140101</v>
      </c>
      <c r="P558" s="189">
        <v>0.72162980957520495</v>
      </c>
      <c r="Q558" s="189">
        <v>-6.32633945126363E-3</v>
      </c>
      <c r="R558" s="189">
        <v>0.24405686209608099</v>
      </c>
      <c r="S558" s="189">
        <v>4.5063415240360104E-3</v>
      </c>
      <c r="T558" s="189">
        <v>0</v>
      </c>
      <c r="U558" s="189">
        <v>0</v>
      </c>
      <c r="V558" s="189">
        <v>0</v>
      </c>
      <c r="W558" s="189"/>
      <c r="X558" s="90"/>
      <c r="Y558" s="188"/>
      <c r="Z558" s="188"/>
      <c r="AA558" s="188"/>
      <c r="AB558" s="188"/>
      <c r="AC558" s="188"/>
      <c r="AD558" s="190"/>
      <c r="AE558" s="189"/>
    </row>
    <row r="559" spans="1:31" ht="21.25" customHeight="1" x14ac:dyDescent="0.15">
      <c r="A559" s="10" t="s">
        <v>414</v>
      </c>
      <c r="B559" s="186" t="s">
        <v>868</v>
      </c>
      <c r="C559" s="187">
        <v>33</v>
      </c>
      <c r="D559" s="186" t="s">
        <v>827</v>
      </c>
      <c r="E559" s="90">
        <v>83.32</v>
      </c>
      <c r="F559" s="188">
        <v>20.888577436789198</v>
      </c>
      <c r="G559" s="189">
        <v>2.9670864990467199E-2</v>
      </c>
      <c r="H559" s="189">
        <v>0.159348081795988</v>
      </c>
      <c r="I559" s="189">
        <v>0.18901894678645501</v>
      </c>
      <c r="J559" s="189">
        <v>0.99816433339987198</v>
      </c>
      <c r="K559" s="189">
        <v>2.1217558772093201E-5</v>
      </c>
      <c r="L559" s="189">
        <v>2.5593979314381999E-4</v>
      </c>
      <c r="M559" s="189">
        <v>1.41558615304869E-4</v>
      </c>
      <c r="N559" s="189">
        <v>2.84089205276623E-3</v>
      </c>
      <c r="O559" s="189">
        <v>1.82290072023285</v>
      </c>
      <c r="P559" s="189">
        <v>1.4114368073041299</v>
      </c>
      <c r="Q559" s="189">
        <v>-0.111641190214405</v>
      </c>
      <c r="R559" s="189">
        <v>0.47568297445270202</v>
      </c>
      <c r="S559" s="189">
        <v>3.6767401191921899E-3</v>
      </c>
      <c r="T559" s="189">
        <v>0</v>
      </c>
      <c r="U559" s="189">
        <v>0</v>
      </c>
      <c r="V559" s="189">
        <v>0</v>
      </c>
      <c r="W559" s="189"/>
      <c r="X559" s="90"/>
      <c r="Y559" s="188"/>
      <c r="Z559" s="188"/>
      <c r="AA559" s="188"/>
      <c r="AB559" s="188"/>
      <c r="AC559" s="188"/>
      <c r="AD559" s="190"/>
      <c r="AE559" s="189"/>
    </row>
    <row r="560" spans="1:31" ht="21.25" customHeight="1" x14ac:dyDescent="0.15">
      <c r="A560" s="10" t="s">
        <v>565</v>
      </c>
      <c r="B560" s="186" t="s">
        <v>865</v>
      </c>
      <c r="C560" s="187">
        <v>24</v>
      </c>
      <c r="D560" s="186" t="s">
        <v>827</v>
      </c>
      <c r="E560" s="90">
        <v>72.555000000000007</v>
      </c>
      <c r="F560" s="188">
        <v>14.583810536614701</v>
      </c>
      <c r="G560" s="189">
        <v>5.1587818305049202E-2</v>
      </c>
      <c r="H560" s="189">
        <v>0.13590588075080301</v>
      </c>
      <c r="I560" s="189">
        <v>0.187493699055852</v>
      </c>
      <c r="J560" s="189">
        <v>0.79783542336937996</v>
      </c>
      <c r="K560" s="189">
        <v>1.7830207885974399E-3</v>
      </c>
      <c r="L560" s="189">
        <v>6.3713860106779799E-3</v>
      </c>
      <c r="M560" s="189">
        <v>3.3754239664401801E-4</v>
      </c>
      <c r="N560" s="189">
        <v>1.16396730289125E-3</v>
      </c>
      <c r="O560" s="189">
        <v>1.11617746722502</v>
      </c>
      <c r="P560" s="189">
        <v>0.96833529378178496</v>
      </c>
      <c r="Q560" s="189">
        <v>-4.0357941678018802E-2</v>
      </c>
      <c r="R560" s="189">
        <v>0.32330626003498802</v>
      </c>
      <c r="S560" s="189">
        <v>7.1462033854145599E-3</v>
      </c>
      <c r="T560" s="189">
        <v>0</v>
      </c>
      <c r="U560" s="189">
        <v>0</v>
      </c>
      <c r="V560" s="189">
        <v>0</v>
      </c>
      <c r="W560" s="189"/>
      <c r="X560" s="90"/>
      <c r="Y560" s="188"/>
      <c r="Z560" s="188"/>
      <c r="AA560" s="188"/>
      <c r="AB560" s="188"/>
      <c r="AC560" s="188"/>
      <c r="AD560" s="190"/>
      <c r="AE560" s="189"/>
    </row>
    <row r="561" spans="1:31" ht="21.25" customHeight="1" x14ac:dyDescent="0.15">
      <c r="A561" s="10" t="s">
        <v>728</v>
      </c>
      <c r="B561" s="186" t="s">
        <v>862</v>
      </c>
      <c r="C561" s="187">
        <v>34</v>
      </c>
      <c r="D561" s="186" t="s">
        <v>824</v>
      </c>
      <c r="E561" s="90">
        <v>81.657499999999999</v>
      </c>
      <c r="F561" s="188">
        <v>11.1224856959593</v>
      </c>
      <c r="G561" s="189">
        <v>8.3004423034150607E-2</v>
      </c>
      <c r="H561" s="189">
        <v>0.104282640629697</v>
      </c>
      <c r="I561" s="189">
        <v>0.18728706366384801</v>
      </c>
      <c r="J561" s="189">
        <v>1.0086855287882299</v>
      </c>
      <c r="K561" s="189">
        <v>1.7924208994057899E-4</v>
      </c>
      <c r="L561" s="189">
        <v>3.2817614795695502E-4</v>
      </c>
      <c r="M561" s="189">
        <v>9.1431800431098897E-3</v>
      </c>
      <c r="N561" s="189">
        <v>2.4377306644866099E-2</v>
      </c>
      <c r="O561" s="189">
        <v>0.50588663647372401</v>
      </c>
      <c r="P561" s="189">
        <v>1.5797362447643299</v>
      </c>
      <c r="Q561" s="189">
        <v>8.04342161443896E-3</v>
      </c>
      <c r="R561" s="189">
        <v>0.70459658118663804</v>
      </c>
      <c r="S561" s="189">
        <v>1.2514575212157699E-2</v>
      </c>
      <c r="T561" s="189">
        <v>4.4098015421236498</v>
      </c>
      <c r="U561" s="189">
        <v>3.7235736898553</v>
      </c>
      <c r="V561" s="189">
        <v>0.54218592113949304</v>
      </c>
      <c r="W561" s="189"/>
      <c r="X561" s="90"/>
      <c r="Y561" s="188"/>
      <c r="Z561" s="188"/>
      <c r="AA561" s="188"/>
      <c r="AB561" s="188"/>
      <c r="AC561" s="188"/>
      <c r="AD561" s="190"/>
      <c r="AE561" s="189"/>
    </row>
    <row r="562" spans="1:31" ht="21.25" customHeight="1" x14ac:dyDescent="0.15">
      <c r="A562" s="10" t="s">
        <v>549</v>
      </c>
      <c r="B562" s="186" t="s">
        <v>851</v>
      </c>
      <c r="C562" s="187">
        <v>21</v>
      </c>
      <c r="D562" s="186" t="s">
        <v>827</v>
      </c>
      <c r="E562" s="90">
        <v>74</v>
      </c>
      <c r="F562" s="188">
        <v>16.072124150215</v>
      </c>
      <c r="G562" s="189">
        <v>4.0336232257889598E-2</v>
      </c>
      <c r="H562" s="189">
        <v>0.145397593385306</v>
      </c>
      <c r="I562" s="189">
        <v>0.18573382564319599</v>
      </c>
      <c r="J562" s="189">
        <v>1.0225217545159699</v>
      </c>
      <c r="K562" s="189">
        <v>1.4627232411763499E-3</v>
      </c>
      <c r="L562" s="189">
        <v>1.7427912173021299E-2</v>
      </c>
      <c r="M562" s="189">
        <v>6.4778836175617498E-4</v>
      </c>
      <c r="N562" s="189">
        <v>2.2074362277203301E-3</v>
      </c>
      <c r="O562" s="189">
        <v>0.96217541287486097</v>
      </c>
      <c r="P562" s="189">
        <v>1.23115506881296</v>
      </c>
      <c r="Q562" s="189">
        <v>1.40855681287766E-2</v>
      </c>
      <c r="R562" s="189">
        <v>0.361489992912434</v>
      </c>
      <c r="S562" s="189">
        <v>7.0092171797975803E-3</v>
      </c>
      <c r="T562" s="189">
        <v>0</v>
      </c>
      <c r="U562" s="189">
        <v>0</v>
      </c>
      <c r="V562" s="189">
        <v>0</v>
      </c>
      <c r="W562" s="189"/>
      <c r="X562" s="90"/>
      <c r="Y562" s="188"/>
      <c r="Z562" s="188"/>
      <c r="AA562" s="188"/>
      <c r="AB562" s="188"/>
      <c r="AC562" s="188"/>
      <c r="AD562" s="190"/>
      <c r="AE562" s="189"/>
    </row>
    <row r="563" spans="1:31" ht="21.25" customHeight="1" x14ac:dyDescent="0.15">
      <c r="A563" s="10" t="s">
        <v>489</v>
      </c>
      <c r="B563" s="186" t="s">
        <v>849</v>
      </c>
      <c r="C563" s="187">
        <v>33</v>
      </c>
      <c r="D563" s="186" t="s">
        <v>827</v>
      </c>
      <c r="E563" s="90">
        <v>79.892499999999998</v>
      </c>
      <c r="F563" s="188">
        <v>18.560735165777501</v>
      </c>
      <c r="G563" s="189">
        <v>2.0077699329727701E-2</v>
      </c>
      <c r="H563" s="189">
        <v>0.162717611326999</v>
      </c>
      <c r="I563" s="189">
        <v>0.18279531065672699</v>
      </c>
      <c r="J563" s="189">
        <v>0.99699149974159595</v>
      </c>
      <c r="K563" s="189">
        <v>5.0688856171724202E-5</v>
      </c>
      <c r="L563" s="189">
        <v>2.5377115224678201E-3</v>
      </c>
      <c r="M563" s="189">
        <v>1.34116611513385E-4</v>
      </c>
      <c r="N563" s="189">
        <v>1.3043642826915901E-3</v>
      </c>
      <c r="O563" s="189">
        <v>1.3781316064429101</v>
      </c>
      <c r="P563" s="189">
        <v>1.2202569419651701</v>
      </c>
      <c r="Q563" s="189">
        <v>7.83744745906309E-4</v>
      </c>
      <c r="R563" s="189">
        <v>0.355130433858935</v>
      </c>
      <c r="S563" s="189">
        <v>3.17155695294503E-3</v>
      </c>
      <c r="T563" s="189">
        <v>0</v>
      </c>
      <c r="U563" s="189">
        <v>0</v>
      </c>
      <c r="V563" s="189">
        <v>0</v>
      </c>
      <c r="W563" s="189"/>
      <c r="X563" s="90"/>
      <c r="Y563" s="188"/>
      <c r="Z563" s="188"/>
      <c r="AA563" s="188"/>
      <c r="AB563" s="188"/>
      <c r="AC563" s="188"/>
      <c r="AD563" s="190"/>
      <c r="AE563" s="189"/>
    </row>
    <row r="564" spans="1:31" ht="21.25" customHeight="1" x14ac:dyDescent="0.15">
      <c r="A564" s="10" t="s">
        <v>788</v>
      </c>
      <c r="B564" s="186" t="s">
        <v>842</v>
      </c>
      <c r="C564" s="187">
        <v>27</v>
      </c>
      <c r="D564" s="186" t="s">
        <v>839</v>
      </c>
      <c r="E564" s="90">
        <v>78.382499999999993</v>
      </c>
      <c r="F564" s="188">
        <v>9.5631127774802902</v>
      </c>
      <c r="G564" s="189">
        <v>7.6497537889800002E-2</v>
      </c>
      <c r="H564" s="189">
        <v>0.10538192102624799</v>
      </c>
      <c r="I564" s="189">
        <v>0.18187945891604801</v>
      </c>
      <c r="J564" s="189">
        <v>0.76209638503951205</v>
      </c>
      <c r="K564" s="189">
        <v>3.0762667542325999E-4</v>
      </c>
      <c r="L564" s="189">
        <v>1.1128972610091701E-3</v>
      </c>
      <c r="M564" s="189">
        <v>1.25669386558383E-3</v>
      </c>
      <c r="N564" s="189">
        <v>1.5054040122247001E-3</v>
      </c>
      <c r="O564" s="189">
        <v>0.35383321912798799</v>
      </c>
      <c r="P564" s="189">
        <v>1.7090895125109</v>
      </c>
      <c r="Q564" s="189">
        <v>-1.06308713277241E-2</v>
      </c>
      <c r="R564" s="189">
        <v>0.17673813732409899</v>
      </c>
      <c r="S564" s="189">
        <v>1.14337669979841E-2</v>
      </c>
      <c r="T564" s="189">
        <v>0.54881922043213305</v>
      </c>
      <c r="U564" s="189">
        <v>0.95360792869301403</v>
      </c>
      <c r="V564" s="189">
        <v>0.36528840732923801</v>
      </c>
      <c r="W564" s="189"/>
      <c r="X564" s="90"/>
      <c r="Y564" s="188"/>
      <c r="Z564" s="188"/>
      <c r="AA564" s="188"/>
      <c r="AB564" s="188"/>
      <c r="AC564" s="188"/>
      <c r="AD564" s="190"/>
      <c r="AE564" s="189"/>
    </row>
    <row r="565" spans="1:31" ht="21.25" customHeight="1" x14ac:dyDescent="0.15">
      <c r="A565" s="10" t="s">
        <v>523</v>
      </c>
      <c r="B565" s="186" t="s">
        <v>845</v>
      </c>
      <c r="C565" s="187">
        <v>36</v>
      </c>
      <c r="D565" s="186" t="s">
        <v>827</v>
      </c>
      <c r="E565" s="90">
        <v>69.765000000000001</v>
      </c>
      <c r="F565" s="188">
        <v>19.606450823322799</v>
      </c>
      <c r="G565" s="189">
        <v>4.8227428176239404E-3</v>
      </c>
      <c r="H565" s="189">
        <v>0.17674632918005501</v>
      </c>
      <c r="I565" s="189">
        <v>0.18156907199767899</v>
      </c>
      <c r="J565" s="189">
        <v>0.498877755467523</v>
      </c>
      <c r="K565" s="189">
        <v>1.51424941461542E-5</v>
      </c>
      <c r="L565" s="189">
        <v>6.9598968307963099E-4</v>
      </c>
      <c r="M565" s="189">
        <v>5.6307920154730502E-5</v>
      </c>
      <c r="N565" s="189">
        <v>6.0132599128703097E-3</v>
      </c>
      <c r="O565" s="189">
        <v>2.0239246077797999</v>
      </c>
      <c r="P565" s="189">
        <v>0.57238704806702201</v>
      </c>
      <c r="Q565" s="189">
        <v>2.5939618570307899E-2</v>
      </c>
      <c r="R565" s="189">
        <v>0.34710566135384302</v>
      </c>
      <c r="S565" s="189">
        <v>6.5859722936543997E-4</v>
      </c>
      <c r="T565" s="189">
        <v>0</v>
      </c>
      <c r="U565" s="189">
        <v>0</v>
      </c>
      <c r="V565" s="189">
        <v>0</v>
      </c>
      <c r="W565" s="189"/>
      <c r="X565" s="90"/>
      <c r="Y565" s="188"/>
      <c r="Z565" s="188"/>
      <c r="AA565" s="188"/>
      <c r="AB565" s="188"/>
      <c r="AC565" s="188"/>
      <c r="AD565" s="190"/>
      <c r="AE565" s="189"/>
    </row>
    <row r="566" spans="1:31" ht="21.25" customHeight="1" x14ac:dyDescent="0.15">
      <c r="A566" s="10" t="s">
        <v>781</v>
      </c>
      <c r="B566" s="186" t="s">
        <v>859</v>
      </c>
      <c r="C566" s="187">
        <v>25</v>
      </c>
      <c r="D566" s="186" t="s">
        <v>824</v>
      </c>
      <c r="E566" s="90">
        <v>61.097499999999997</v>
      </c>
      <c r="F566" s="188">
        <v>12.1540034464704</v>
      </c>
      <c r="G566" s="189">
        <v>7.5653581044932805E-2</v>
      </c>
      <c r="H566" s="189">
        <v>0.105041522745373</v>
      </c>
      <c r="I566" s="189">
        <v>0.18069510379030601</v>
      </c>
      <c r="J566" s="189">
        <v>0.90294503383269797</v>
      </c>
      <c r="K566" s="189">
        <v>2.3787351536203399E-4</v>
      </c>
      <c r="L566" s="189">
        <v>5.2348839243832599E-4</v>
      </c>
      <c r="M566" s="189">
        <v>3.64797390241723E-3</v>
      </c>
      <c r="N566" s="189">
        <v>6.85683454470188E-3</v>
      </c>
      <c r="O566" s="189">
        <v>0.61053573391494997</v>
      </c>
      <c r="P566" s="189">
        <v>2.06304463239834</v>
      </c>
      <c r="Q566" s="189">
        <v>-4.7474105151205502E-2</v>
      </c>
      <c r="R566" s="189">
        <v>0.32248173086118997</v>
      </c>
      <c r="S566" s="189">
        <v>1.10527712858496E-2</v>
      </c>
      <c r="T566" s="189">
        <v>5.7456754894495798</v>
      </c>
      <c r="U566" s="189">
        <v>4.24213265096326</v>
      </c>
      <c r="V566" s="189">
        <v>0.57526890872095704</v>
      </c>
      <c r="W566" s="189"/>
      <c r="X566" s="90"/>
      <c r="Y566" s="188"/>
      <c r="Z566" s="188"/>
      <c r="AA566" s="188"/>
      <c r="AB566" s="188"/>
      <c r="AC566" s="188"/>
      <c r="AD566" s="190"/>
      <c r="AE566" s="189"/>
    </row>
    <row r="567" spans="1:31" ht="21.25" customHeight="1" x14ac:dyDescent="0.15">
      <c r="A567" s="10" t="s">
        <v>552</v>
      </c>
      <c r="B567" s="186" t="s">
        <v>853</v>
      </c>
      <c r="C567" s="187">
        <v>35</v>
      </c>
      <c r="D567" s="186" t="s">
        <v>827</v>
      </c>
      <c r="E567" s="90">
        <v>77.875</v>
      </c>
      <c r="F567" s="188">
        <v>17.341842813267199</v>
      </c>
      <c r="G567" s="189">
        <v>3.0625669145640501E-2</v>
      </c>
      <c r="H567" s="189">
        <v>0.14709093436104501</v>
      </c>
      <c r="I567" s="189">
        <v>0.177716603506686</v>
      </c>
      <c r="J567" s="189">
        <v>0.838356442286734</v>
      </c>
      <c r="K567" s="189">
        <v>8.5973236907283896E-5</v>
      </c>
      <c r="L567" s="189">
        <v>7.4736809063052901E-4</v>
      </c>
      <c r="M567" s="189">
        <v>1.9320201007037399E-4</v>
      </c>
      <c r="N567" s="189">
        <v>2.0305963592367302E-3</v>
      </c>
      <c r="O567" s="189">
        <v>1.0535281517867801</v>
      </c>
      <c r="P567" s="189">
        <v>1.3312856812826099</v>
      </c>
      <c r="Q567" s="189">
        <v>4.0747217070390099E-2</v>
      </c>
      <c r="R567" s="189">
        <v>0.452175308386699</v>
      </c>
      <c r="S567" s="189">
        <v>5.0990443042404597E-3</v>
      </c>
      <c r="T567" s="189">
        <v>0</v>
      </c>
      <c r="U567" s="189">
        <v>0</v>
      </c>
      <c r="V567" s="189">
        <v>0</v>
      </c>
      <c r="W567" s="189"/>
      <c r="X567" s="90"/>
      <c r="Y567" s="188"/>
      <c r="Z567" s="188"/>
      <c r="AA567" s="188"/>
      <c r="AB567" s="188"/>
      <c r="AC567" s="188"/>
      <c r="AD567" s="190"/>
      <c r="AE567" s="189"/>
    </row>
    <row r="568" spans="1:31" ht="21.25" customHeight="1" x14ac:dyDescent="0.15">
      <c r="A568" s="10" t="s">
        <v>758</v>
      </c>
      <c r="B568" s="186" t="s">
        <v>866</v>
      </c>
      <c r="C568" s="187">
        <v>35</v>
      </c>
      <c r="D568" s="186" t="s">
        <v>839</v>
      </c>
      <c r="E568" s="90">
        <v>82.652500000000003</v>
      </c>
      <c r="F568" s="188">
        <v>11.698905357398001</v>
      </c>
      <c r="G568" s="189">
        <v>8.5763160584142004E-2</v>
      </c>
      <c r="H568" s="189">
        <v>9.0967778373052102E-2</v>
      </c>
      <c r="I568" s="189">
        <v>0.17673093895719399</v>
      </c>
      <c r="J568" s="189">
        <v>0.96445622136570197</v>
      </c>
      <c r="K568" s="189">
        <v>3.4366028953788501E-4</v>
      </c>
      <c r="L568" s="189">
        <v>1.1969323309835001E-3</v>
      </c>
      <c r="M568" s="189">
        <v>1.0296145560440201E-2</v>
      </c>
      <c r="N568" s="189">
        <v>1.6035958711361601E-2</v>
      </c>
      <c r="O568" s="189">
        <v>0.69405942786477104</v>
      </c>
      <c r="P568" s="189">
        <v>1.87608463495338</v>
      </c>
      <c r="Q568" s="189">
        <v>-5.2718406885449501E-2</v>
      </c>
      <c r="R568" s="189">
        <v>0.307837764989703</v>
      </c>
      <c r="S568" s="189">
        <v>1.25249783380878E-2</v>
      </c>
      <c r="T568" s="189">
        <v>4.183256255971</v>
      </c>
      <c r="U568" s="189">
        <v>3.4855827789815099</v>
      </c>
      <c r="V568" s="189">
        <v>0.54548755514424596</v>
      </c>
      <c r="W568" s="189"/>
      <c r="X568" s="90"/>
      <c r="Y568" s="188"/>
      <c r="Z568" s="188"/>
      <c r="AA568" s="188"/>
      <c r="AB568" s="188"/>
      <c r="AC568" s="188"/>
      <c r="AD568" s="190"/>
      <c r="AE568" s="189"/>
    </row>
    <row r="569" spans="1:31" ht="21.25" customHeight="1" x14ac:dyDescent="0.15">
      <c r="A569" s="10" t="s">
        <v>495</v>
      </c>
      <c r="B569" s="186" t="s">
        <v>853</v>
      </c>
      <c r="C569" s="187">
        <v>36</v>
      </c>
      <c r="D569" s="186" t="s">
        <v>827</v>
      </c>
      <c r="E569" s="90">
        <v>77.677499999999995</v>
      </c>
      <c r="F569" s="188">
        <v>16.070077243649301</v>
      </c>
      <c r="G569" s="189">
        <v>2.6579636537190199E-2</v>
      </c>
      <c r="H569" s="189">
        <v>0.147586084669178</v>
      </c>
      <c r="I569" s="189">
        <v>0.174165721206368</v>
      </c>
      <c r="J569" s="189">
        <v>0.95410299428102996</v>
      </c>
      <c r="K569" s="189">
        <v>7.2272762712067998E-5</v>
      </c>
      <c r="L569" s="189">
        <v>6.4930801940841305E-4</v>
      </c>
      <c r="M569" s="189">
        <v>1.9670677402360901E-4</v>
      </c>
      <c r="N569" s="189">
        <v>2.1292976428719502E-3</v>
      </c>
      <c r="O569" s="189">
        <v>1.5340440411376799</v>
      </c>
      <c r="P569" s="189">
        <v>2.3349366041979902</v>
      </c>
      <c r="Q569" s="189">
        <v>3.9401599057725702E-2</v>
      </c>
      <c r="R569" s="189">
        <v>0.80096262543637697</v>
      </c>
      <c r="S569" s="189">
        <v>4.4253969978329004E-3</v>
      </c>
      <c r="T569" s="189">
        <v>0</v>
      </c>
      <c r="U569" s="189">
        <v>0</v>
      </c>
      <c r="V569" s="189">
        <v>0</v>
      </c>
      <c r="W569" s="189"/>
      <c r="X569" s="90"/>
      <c r="Y569" s="188"/>
      <c r="Z569" s="188"/>
      <c r="AA569" s="188"/>
      <c r="AB569" s="188"/>
      <c r="AC569" s="188"/>
      <c r="AD569" s="190"/>
      <c r="AE569" s="189"/>
    </row>
    <row r="570" spans="1:31" ht="21.25" customHeight="1" x14ac:dyDescent="0.15">
      <c r="A570" s="10" t="s">
        <v>763</v>
      </c>
      <c r="B570" s="186" t="s">
        <v>853</v>
      </c>
      <c r="C570" s="187">
        <v>37</v>
      </c>
      <c r="D570" s="186" t="s">
        <v>824</v>
      </c>
      <c r="E570" s="90">
        <v>81.27</v>
      </c>
      <c r="F570" s="188">
        <v>10.3722077704364</v>
      </c>
      <c r="G570" s="189">
        <v>6.7602855981751406E-2</v>
      </c>
      <c r="H570" s="189">
        <v>0.106391670583701</v>
      </c>
      <c r="I570" s="189">
        <v>0.173994526565452</v>
      </c>
      <c r="J570" s="189">
        <v>0.93329444143836005</v>
      </c>
      <c r="K570" s="189">
        <v>5.5747221459593905E-4</v>
      </c>
      <c r="L570" s="189">
        <v>1.08131080058622E-3</v>
      </c>
      <c r="M570" s="189">
        <v>4.5804186004349701E-3</v>
      </c>
      <c r="N570" s="189">
        <v>6.3367537381233902E-3</v>
      </c>
      <c r="O570" s="189">
        <v>0.43175885318931001</v>
      </c>
      <c r="P570" s="189">
        <v>0.82725345313465704</v>
      </c>
      <c r="Q570" s="189">
        <v>2.4316721387525098E-2</v>
      </c>
      <c r="R570" s="189">
        <v>0.255263266966406</v>
      </c>
      <c r="S570" s="189">
        <v>1.1255589424180999E-2</v>
      </c>
      <c r="T570" s="189">
        <v>4.1595210179575801</v>
      </c>
      <c r="U570" s="189">
        <v>3.7125209154396401</v>
      </c>
      <c r="V570" s="189">
        <v>0.528391623564753</v>
      </c>
      <c r="W570" s="189"/>
      <c r="X570" s="90"/>
      <c r="Y570" s="188"/>
      <c r="Z570" s="188"/>
      <c r="AA570" s="188"/>
      <c r="AB570" s="188"/>
      <c r="AC570" s="188"/>
      <c r="AD570" s="190"/>
      <c r="AE570" s="189"/>
    </row>
    <row r="571" spans="1:31" ht="21.25" customHeight="1" x14ac:dyDescent="0.15">
      <c r="A571" s="10" t="s">
        <v>790</v>
      </c>
      <c r="B571" s="186" t="s">
        <v>854</v>
      </c>
      <c r="C571" s="187">
        <v>24</v>
      </c>
      <c r="D571" s="186" t="s">
        <v>848</v>
      </c>
      <c r="E571" s="90">
        <v>65.545000000000002</v>
      </c>
      <c r="F571" s="188">
        <v>11.164169680854499</v>
      </c>
      <c r="G571" s="189">
        <v>7.0131902744848207E-2</v>
      </c>
      <c r="H571" s="189">
        <v>0.103728504065563</v>
      </c>
      <c r="I571" s="189">
        <v>0.17386040681041101</v>
      </c>
      <c r="J571" s="189">
        <v>0.93748293661787896</v>
      </c>
      <c r="K571" s="189">
        <v>7.1970237897227E-5</v>
      </c>
      <c r="L571" s="189">
        <v>1.55631335613067E-4</v>
      </c>
      <c r="M571" s="189">
        <v>3.2867060258762498E-3</v>
      </c>
      <c r="N571" s="189">
        <v>6.08814401825249E-3</v>
      </c>
      <c r="O571" s="189">
        <v>0.46839497939556202</v>
      </c>
      <c r="P571" s="189">
        <v>1.43664420791046</v>
      </c>
      <c r="Q571" s="189">
        <v>-9.6517987659850493E-2</v>
      </c>
      <c r="R571" s="189">
        <v>0.28516173885698298</v>
      </c>
      <c r="S571" s="189">
        <v>8.6554023251667108E-3</v>
      </c>
      <c r="T571" s="189">
        <v>1.2937839375603701E-2</v>
      </c>
      <c r="U571" s="189">
        <v>5.6631962027520501E-2</v>
      </c>
      <c r="V571" s="189">
        <v>0.185969186553157</v>
      </c>
      <c r="W571" s="189"/>
      <c r="X571" s="90"/>
      <c r="Y571" s="188"/>
      <c r="Z571" s="188"/>
      <c r="AA571" s="188"/>
      <c r="AB571" s="188"/>
      <c r="AC571" s="188"/>
      <c r="AD571" s="190"/>
      <c r="AE571" s="189"/>
    </row>
    <row r="572" spans="1:31" ht="21.25" customHeight="1" x14ac:dyDescent="0.15">
      <c r="A572" s="10" t="s">
        <v>580</v>
      </c>
      <c r="B572" s="186" t="s">
        <v>853</v>
      </c>
      <c r="C572" s="187">
        <v>30</v>
      </c>
      <c r="D572" s="186" t="s">
        <v>827</v>
      </c>
      <c r="E572" s="90">
        <v>72.635000000000005</v>
      </c>
      <c r="F572" s="188">
        <v>14.7322737270636</v>
      </c>
      <c r="G572" s="189">
        <v>4.4183710400110703E-2</v>
      </c>
      <c r="H572" s="189">
        <v>0.129471816006615</v>
      </c>
      <c r="I572" s="189">
        <v>0.17365552640672599</v>
      </c>
      <c r="J572" s="189">
        <v>1.0165072930063801</v>
      </c>
      <c r="K572" s="189">
        <v>9.0950287938675403E-4</v>
      </c>
      <c r="L572" s="189">
        <v>3.1202723316308199E-3</v>
      </c>
      <c r="M572" s="189">
        <v>2.4730680640147598E-5</v>
      </c>
      <c r="N572" s="189">
        <v>8.60255526909234E-5</v>
      </c>
      <c r="O572" s="189">
        <v>0.82241336808433396</v>
      </c>
      <c r="P572" s="189">
        <v>1.17945453623914</v>
      </c>
      <c r="Q572" s="189">
        <v>2.4188880338655901E-2</v>
      </c>
      <c r="R572" s="189">
        <v>0.403209954893886</v>
      </c>
      <c r="S572" s="189">
        <v>7.3564007951795098E-3</v>
      </c>
      <c r="T572" s="189">
        <v>0</v>
      </c>
      <c r="U572" s="189">
        <v>5.0909909285556396E-3</v>
      </c>
      <c r="V572" s="189">
        <v>0</v>
      </c>
      <c r="W572" s="189"/>
      <c r="X572" s="90"/>
      <c r="Y572" s="188"/>
      <c r="Z572" s="188"/>
      <c r="AA572" s="188"/>
      <c r="AB572" s="188"/>
      <c r="AC572" s="188"/>
      <c r="AD572" s="190"/>
      <c r="AE572" s="189"/>
    </row>
    <row r="573" spans="1:31" ht="21.25" customHeight="1" x14ac:dyDescent="0.15">
      <c r="A573" s="10" t="s">
        <v>632</v>
      </c>
      <c r="B573" s="186" t="s">
        <v>866</v>
      </c>
      <c r="C573" s="187">
        <v>26</v>
      </c>
      <c r="D573" s="186" t="s">
        <v>827</v>
      </c>
      <c r="E573" s="90">
        <v>63.282499999999999</v>
      </c>
      <c r="F573" s="188">
        <v>12.8241904298236</v>
      </c>
      <c r="G573" s="189">
        <v>3.6114809898749399E-2</v>
      </c>
      <c r="H573" s="189">
        <v>0.133654303212383</v>
      </c>
      <c r="I573" s="189">
        <v>0.16976911311113199</v>
      </c>
      <c r="J573" s="189">
        <v>0.73966967106154402</v>
      </c>
      <c r="K573" s="189">
        <v>1.46736281856849E-3</v>
      </c>
      <c r="L573" s="189">
        <v>1.45060008810395E-2</v>
      </c>
      <c r="M573" s="189">
        <v>3.8403624858740398E-5</v>
      </c>
      <c r="N573" s="189">
        <v>1.3193175237228099E-4</v>
      </c>
      <c r="O573" s="189">
        <v>0.82543304311594501</v>
      </c>
      <c r="P573" s="189">
        <v>0.72782766226774898</v>
      </c>
      <c r="Q573" s="189">
        <v>-5.5586594989128303E-2</v>
      </c>
      <c r="R573" s="189">
        <v>0.23414878572414</v>
      </c>
      <c r="S573" s="189">
        <v>5.2742600504118199E-3</v>
      </c>
      <c r="T573" s="189">
        <v>0</v>
      </c>
      <c r="U573" s="189">
        <v>0</v>
      </c>
      <c r="V573" s="189">
        <v>0</v>
      </c>
      <c r="W573" s="189"/>
      <c r="X573" s="90"/>
      <c r="Y573" s="188"/>
      <c r="Z573" s="188"/>
      <c r="AA573" s="188"/>
      <c r="AB573" s="188"/>
      <c r="AC573" s="188"/>
      <c r="AD573" s="190"/>
      <c r="AE573" s="189"/>
    </row>
    <row r="574" spans="1:31" ht="21.25" customHeight="1" x14ac:dyDescent="0.15">
      <c r="A574" s="10" t="s">
        <v>529</v>
      </c>
      <c r="B574" s="186" t="s">
        <v>855</v>
      </c>
      <c r="C574" s="187">
        <v>35</v>
      </c>
      <c r="D574" s="186" t="s">
        <v>827</v>
      </c>
      <c r="E574" s="90">
        <v>80.344999999999999</v>
      </c>
      <c r="F574" s="188">
        <v>17.5135279771931</v>
      </c>
      <c r="G574" s="189">
        <v>-2.7782452329844802E-3</v>
      </c>
      <c r="H574" s="189">
        <v>0.16998992017249301</v>
      </c>
      <c r="I574" s="189">
        <v>0.167211674939509</v>
      </c>
      <c r="J574" s="189">
        <v>0.52076965505525397</v>
      </c>
      <c r="K574" s="189">
        <v>-1.87160620473032E-5</v>
      </c>
      <c r="L574" s="189">
        <v>1.0017634267419401E-3</v>
      </c>
      <c r="M574" s="189">
        <v>-3.56423543539545E-5</v>
      </c>
      <c r="N574" s="189">
        <v>3.2560502564484501E-3</v>
      </c>
      <c r="O574" s="189">
        <v>1.56553302808711</v>
      </c>
      <c r="P574" s="189">
        <v>0.429511959269048</v>
      </c>
      <c r="Q574" s="189">
        <v>8.9474948898690199E-4</v>
      </c>
      <c r="R574" s="189">
        <v>0.307483156910694</v>
      </c>
      <c r="S574" s="189">
        <v>-4.0281025154618598E-4</v>
      </c>
      <c r="T574" s="189">
        <v>0</v>
      </c>
      <c r="U574" s="189">
        <v>0</v>
      </c>
      <c r="V574" s="189">
        <v>0</v>
      </c>
      <c r="W574" s="189"/>
      <c r="X574" s="90"/>
      <c r="Y574" s="188"/>
      <c r="Z574" s="188"/>
      <c r="AA574" s="188"/>
      <c r="AB574" s="188"/>
      <c r="AC574" s="188"/>
      <c r="AD574" s="190"/>
      <c r="AE574" s="189"/>
    </row>
    <row r="575" spans="1:31" ht="21.25" customHeight="1" x14ac:dyDescent="0.15">
      <c r="A575" s="10" t="s">
        <v>626</v>
      </c>
      <c r="B575" s="186" t="s">
        <v>864</v>
      </c>
      <c r="C575" s="187">
        <v>23</v>
      </c>
      <c r="D575" s="186" t="s">
        <v>827</v>
      </c>
      <c r="E575" s="90">
        <v>56.217500000000001</v>
      </c>
      <c r="F575" s="188">
        <v>15.491433642186101</v>
      </c>
      <c r="G575" s="189">
        <v>2.6061237519209201E-2</v>
      </c>
      <c r="H575" s="189">
        <v>0.13901609442670401</v>
      </c>
      <c r="I575" s="189">
        <v>0.16507733194591301</v>
      </c>
      <c r="J575" s="189">
        <v>0.74755897294926099</v>
      </c>
      <c r="K575" s="189">
        <v>1.4449503965663799E-4</v>
      </c>
      <c r="L575" s="189">
        <v>1.0813093088672301E-3</v>
      </c>
      <c r="M575" s="189">
        <v>6.3528960155146601E-4</v>
      </c>
      <c r="N575" s="189">
        <v>2.1261260563376701E-3</v>
      </c>
      <c r="O575" s="189">
        <v>1.26350699042255</v>
      </c>
      <c r="P575" s="189">
        <v>0.858914982609991</v>
      </c>
      <c r="Q575" s="189">
        <v>-2.1240857923260199E-2</v>
      </c>
      <c r="R575" s="189">
        <v>0.380783751985806</v>
      </c>
      <c r="S575" s="189">
        <v>4.0943192395464104E-3</v>
      </c>
      <c r="T575" s="189">
        <v>0</v>
      </c>
      <c r="U575" s="189">
        <v>0</v>
      </c>
      <c r="V575" s="189">
        <v>0</v>
      </c>
      <c r="W575" s="189"/>
      <c r="X575" s="90"/>
      <c r="Y575" s="188"/>
      <c r="Z575" s="188"/>
      <c r="AA575" s="188"/>
      <c r="AB575" s="188"/>
      <c r="AC575" s="188"/>
      <c r="AD575" s="190"/>
      <c r="AE575" s="189"/>
    </row>
    <row r="576" spans="1:31" ht="21.25" customHeight="1" x14ac:dyDescent="0.15">
      <c r="A576" s="10" t="s">
        <v>610</v>
      </c>
      <c r="B576" s="186" t="s">
        <v>856</v>
      </c>
      <c r="C576" s="187">
        <v>21</v>
      </c>
      <c r="D576" s="186" t="s">
        <v>827</v>
      </c>
      <c r="E576" s="90">
        <v>61.62</v>
      </c>
      <c r="F576" s="188">
        <v>15.172374137173399</v>
      </c>
      <c r="G576" s="189">
        <v>3.9853939785174403E-2</v>
      </c>
      <c r="H576" s="189">
        <v>0.125110163113206</v>
      </c>
      <c r="I576" s="189">
        <v>0.16496410289838001</v>
      </c>
      <c r="J576" s="189">
        <v>1.06109951680571</v>
      </c>
      <c r="K576" s="189">
        <v>1.05900909329339E-4</v>
      </c>
      <c r="L576" s="189">
        <v>6.5876036207460098E-4</v>
      </c>
      <c r="M576" s="189">
        <v>3.1701323992272703E-4</v>
      </c>
      <c r="N576" s="189">
        <v>8.7262639650225902E-4</v>
      </c>
      <c r="O576" s="189">
        <v>1.0653803667994799</v>
      </c>
      <c r="P576" s="189">
        <v>0.82685521186329902</v>
      </c>
      <c r="Q576" s="189">
        <v>-1.5733692470886199E-2</v>
      </c>
      <c r="R576" s="189">
        <v>0.39670372500867701</v>
      </c>
      <c r="S576" s="189">
        <v>6.4421744224990802E-3</v>
      </c>
      <c r="T576" s="189">
        <v>0</v>
      </c>
      <c r="U576" s="189">
        <v>0</v>
      </c>
      <c r="V576" s="189">
        <v>0</v>
      </c>
      <c r="W576" s="189"/>
      <c r="X576" s="90"/>
      <c r="Y576" s="188"/>
      <c r="Z576" s="188"/>
      <c r="AA576" s="188"/>
      <c r="AB576" s="188"/>
      <c r="AC576" s="188"/>
      <c r="AD576" s="190"/>
      <c r="AE576" s="189"/>
    </row>
    <row r="577" spans="1:31" ht="21.25" customHeight="1" x14ac:dyDescent="0.15">
      <c r="A577" s="10" t="s">
        <v>614</v>
      </c>
      <c r="B577" s="186" t="s">
        <v>836</v>
      </c>
      <c r="C577" s="187">
        <v>26</v>
      </c>
      <c r="D577" s="186" t="s">
        <v>827</v>
      </c>
      <c r="E577" s="90">
        <v>66.877499999999998</v>
      </c>
      <c r="F577" s="188">
        <v>15.185460289439</v>
      </c>
      <c r="G577" s="189">
        <v>3.32149272311731E-2</v>
      </c>
      <c r="H577" s="189">
        <v>0.12881588141029099</v>
      </c>
      <c r="I577" s="189">
        <v>0.16203080864146399</v>
      </c>
      <c r="J577" s="189">
        <v>0.80600992686620099</v>
      </c>
      <c r="K577" s="189">
        <v>1.3880089101384399E-4</v>
      </c>
      <c r="L577" s="189">
        <v>1.10385901758026E-3</v>
      </c>
      <c r="M577" s="189">
        <v>3.4529595589235802E-4</v>
      </c>
      <c r="N577" s="189">
        <v>7.29043065471184E-3</v>
      </c>
      <c r="O577" s="189">
        <v>1.0084935373389801</v>
      </c>
      <c r="P577" s="189">
        <v>0.49155277414711701</v>
      </c>
      <c r="Q577" s="189">
        <v>5.57080974585367E-2</v>
      </c>
      <c r="R577" s="189">
        <v>0.29802569167002202</v>
      </c>
      <c r="S577" s="189">
        <v>5.8305999527947603E-3</v>
      </c>
      <c r="T577" s="189">
        <v>0</v>
      </c>
      <c r="U577" s="189">
        <v>0</v>
      </c>
      <c r="V577" s="189">
        <v>0</v>
      </c>
      <c r="W577" s="189"/>
      <c r="X577" s="90"/>
      <c r="Y577" s="188"/>
      <c r="Z577" s="188"/>
      <c r="AA577" s="188"/>
      <c r="AB577" s="188"/>
      <c r="AC577" s="188"/>
      <c r="AD577" s="190"/>
      <c r="AE577" s="189"/>
    </row>
    <row r="578" spans="1:31" ht="21.25" customHeight="1" x14ac:dyDescent="0.15">
      <c r="A578" s="10" t="s">
        <v>765</v>
      </c>
      <c r="B578" s="186" t="s">
        <v>845</v>
      </c>
      <c r="C578" s="187">
        <v>29</v>
      </c>
      <c r="D578" s="186" t="s">
        <v>848</v>
      </c>
      <c r="E578" s="90">
        <v>83.83</v>
      </c>
      <c r="F578" s="188">
        <v>11.372157509375</v>
      </c>
      <c r="G578" s="189">
        <v>6.7136034660765398E-2</v>
      </c>
      <c r="H578" s="189">
        <v>9.4023241505401395E-2</v>
      </c>
      <c r="I578" s="189">
        <v>0.16115927616616699</v>
      </c>
      <c r="J578" s="189">
        <v>0.85691125193906903</v>
      </c>
      <c r="K578" s="189">
        <v>5.0314968290301402E-4</v>
      </c>
      <c r="L578" s="189">
        <v>1.1298266316550299E-3</v>
      </c>
      <c r="M578" s="189">
        <v>7.2191915144270901E-3</v>
      </c>
      <c r="N578" s="189">
        <v>1.08777701506795E-2</v>
      </c>
      <c r="O578" s="189">
        <v>0.67247997054372399</v>
      </c>
      <c r="P578" s="189">
        <v>1.94742132240706</v>
      </c>
      <c r="Q578" s="189">
        <v>-1.1853570171052399E-3</v>
      </c>
      <c r="R578" s="189">
        <v>0.72744857077532599</v>
      </c>
      <c r="S578" s="189">
        <v>9.1681452008146504E-3</v>
      </c>
      <c r="T578" s="189">
        <v>0.17677301752001601</v>
      </c>
      <c r="U578" s="189">
        <v>0.290605133439233</v>
      </c>
      <c r="V578" s="189">
        <v>0.37822268147795601</v>
      </c>
      <c r="W578" s="189"/>
      <c r="X578" s="90"/>
      <c r="Y578" s="188"/>
      <c r="Z578" s="188"/>
      <c r="AA578" s="188"/>
      <c r="AB578" s="188"/>
      <c r="AC578" s="188"/>
      <c r="AD578" s="190"/>
      <c r="AE578" s="189"/>
    </row>
    <row r="579" spans="1:31" ht="21.25" customHeight="1" x14ac:dyDescent="0.15">
      <c r="A579" s="10" t="s">
        <v>794</v>
      </c>
      <c r="B579" s="186" t="s">
        <v>845</v>
      </c>
      <c r="C579" s="187">
        <v>24</v>
      </c>
      <c r="D579" s="186" t="s">
        <v>824</v>
      </c>
      <c r="E579" s="90">
        <v>59.545000000000002</v>
      </c>
      <c r="F579" s="188">
        <v>10.02177807699</v>
      </c>
      <c r="G579" s="189">
        <v>6.56572009598137E-2</v>
      </c>
      <c r="H579" s="189">
        <v>9.3472879790768695E-2</v>
      </c>
      <c r="I579" s="189">
        <v>0.15913008075058199</v>
      </c>
      <c r="J579" s="189">
        <v>0.71941841214291302</v>
      </c>
      <c r="K579" s="189">
        <v>2.7890730384318E-4</v>
      </c>
      <c r="L579" s="189">
        <v>6.07153136190737E-4</v>
      </c>
      <c r="M579" s="189">
        <v>4.2815018250243198E-3</v>
      </c>
      <c r="N579" s="189">
        <v>7.0549969997037399E-3</v>
      </c>
      <c r="O579" s="189">
        <v>0.51656640503136297</v>
      </c>
      <c r="P579" s="189">
        <v>1.8497169175747099</v>
      </c>
      <c r="Q579" s="189">
        <v>-1.61547143987911E-3</v>
      </c>
      <c r="R579" s="189">
        <v>0.20792869383534701</v>
      </c>
      <c r="S579" s="189">
        <v>8.9661946065221505E-3</v>
      </c>
      <c r="T579" s="189">
        <v>2.8188334187013502</v>
      </c>
      <c r="U579" s="189">
        <v>4.0227863556068604</v>
      </c>
      <c r="V579" s="189">
        <v>0.41201258060067703</v>
      </c>
      <c r="W579" s="189"/>
      <c r="X579" s="90"/>
      <c r="Y579" s="188"/>
      <c r="Z579" s="188"/>
      <c r="AA579" s="188"/>
      <c r="AB579" s="188"/>
      <c r="AC579" s="188"/>
      <c r="AD579" s="190"/>
      <c r="AE579" s="189"/>
    </row>
    <row r="580" spans="1:31" ht="21.25" customHeight="1" x14ac:dyDescent="0.15">
      <c r="A580" s="10" t="s">
        <v>776</v>
      </c>
      <c r="B580" s="186" t="s">
        <v>864</v>
      </c>
      <c r="C580" s="187">
        <v>26</v>
      </c>
      <c r="D580" s="186" t="s">
        <v>824</v>
      </c>
      <c r="E580" s="90">
        <v>79.002499999999998</v>
      </c>
      <c r="F580" s="188">
        <v>10.5710213939015</v>
      </c>
      <c r="G580" s="189">
        <v>6.6387396948617602E-2</v>
      </c>
      <c r="H580" s="189">
        <v>9.1528620323762994E-2</v>
      </c>
      <c r="I580" s="189">
        <v>0.157916017272381</v>
      </c>
      <c r="J580" s="189">
        <v>0.78587886893008496</v>
      </c>
      <c r="K580" s="189">
        <v>8.5485254821873898E-4</v>
      </c>
      <c r="L580" s="189">
        <v>1.6251532691493899E-3</v>
      </c>
      <c r="M580" s="189">
        <v>1.80896373444133E-3</v>
      </c>
      <c r="N580" s="189">
        <v>2.9957237671507102E-3</v>
      </c>
      <c r="O580" s="189">
        <v>0.47417520416514503</v>
      </c>
      <c r="P580" s="189">
        <v>1.93712369577938</v>
      </c>
      <c r="Q580" s="189">
        <v>-2.5513414813134901E-2</v>
      </c>
      <c r="R580" s="189">
        <v>0.24145393258606901</v>
      </c>
      <c r="S580" s="189">
        <v>1.0429711804352501E-2</v>
      </c>
      <c r="T580" s="189">
        <v>2.40127416356325</v>
      </c>
      <c r="U580" s="189">
        <v>2.4838440655287601</v>
      </c>
      <c r="V580" s="189">
        <v>0.49154883279243899</v>
      </c>
      <c r="W580" s="189"/>
      <c r="X580" s="90"/>
      <c r="Y580" s="188"/>
      <c r="Z580" s="188"/>
      <c r="AA580" s="188"/>
      <c r="AB580" s="188"/>
      <c r="AC580" s="188"/>
      <c r="AD580" s="190"/>
      <c r="AE580" s="189"/>
    </row>
    <row r="581" spans="1:31" ht="21.25" customHeight="1" x14ac:dyDescent="0.15">
      <c r="A581" s="10" t="s">
        <v>796</v>
      </c>
      <c r="B581" s="186" t="s">
        <v>844</v>
      </c>
      <c r="C581" s="187">
        <v>30</v>
      </c>
      <c r="D581" s="186" t="s">
        <v>824</v>
      </c>
      <c r="E581" s="90">
        <v>56.637500000000003</v>
      </c>
      <c r="F581" s="188">
        <v>8.6720781627095995</v>
      </c>
      <c r="G581" s="189">
        <v>5.9541114701112799E-2</v>
      </c>
      <c r="H581" s="189">
        <v>9.7755750824366203E-2</v>
      </c>
      <c r="I581" s="189">
        <v>0.157296865525479</v>
      </c>
      <c r="J581" s="189">
        <v>0.58708944216252001</v>
      </c>
      <c r="K581" s="189">
        <v>3.2153839624253901E-4</v>
      </c>
      <c r="L581" s="189">
        <v>6.9619330404404602E-4</v>
      </c>
      <c r="M581" s="189">
        <v>1.2692745874000101E-3</v>
      </c>
      <c r="N581" s="189">
        <v>2.0778104029586198E-3</v>
      </c>
      <c r="O581" s="189">
        <v>0.48419684270677099</v>
      </c>
      <c r="P581" s="189">
        <v>1.58478675173226</v>
      </c>
      <c r="Q581" s="189">
        <v>3.3267471080642298E-2</v>
      </c>
      <c r="R581" s="189">
        <v>0.22523769766227</v>
      </c>
      <c r="S581" s="189">
        <v>9.6983243946665004E-3</v>
      </c>
      <c r="T581" s="189">
        <v>2.59595272198308</v>
      </c>
      <c r="U581" s="189">
        <v>2.9518544020936299</v>
      </c>
      <c r="V581" s="189">
        <v>0.46792411198237299</v>
      </c>
      <c r="W581" s="189"/>
      <c r="X581" s="90"/>
      <c r="Y581" s="188"/>
      <c r="Z581" s="188"/>
      <c r="AA581" s="188"/>
      <c r="AB581" s="188"/>
      <c r="AC581" s="188"/>
      <c r="AD581" s="190"/>
      <c r="AE581" s="189"/>
    </row>
    <row r="582" spans="1:31" ht="21.25" customHeight="1" x14ac:dyDescent="0.15">
      <c r="A582" s="10" t="s">
        <v>559</v>
      </c>
      <c r="B582" s="186" t="s">
        <v>861</v>
      </c>
      <c r="C582" s="187">
        <v>25</v>
      </c>
      <c r="D582" s="186" t="s">
        <v>827</v>
      </c>
      <c r="E582" s="90">
        <v>79.042500000000004</v>
      </c>
      <c r="F582" s="188">
        <v>15.314742429497</v>
      </c>
      <c r="G582" s="189">
        <v>4.0853432297887099E-2</v>
      </c>
      <c r="H582" s="189">
        <v>0.11323178165931901</v>
      </c>
      <c r="I582" s="189">
        <v>0.15408521395720601</v>
      </c>
      <c r="J582" s="189">
        <v>0.75881795960716103</v>
      </c>
      <c r="K582" s="189">
        <v>1.08057898836995E-4</v>
      </c>
      <c r="L582" s="189">
        <v>8.3494442057120103E-4</v>
      </c>
      <c r="M582" s="189">
        <v>5.0235936451745898E-3</v>
      </c>
      <c r="N582" s="189">
        <v>1.0683140448098E-2</v>
      </c>
      <c r="O582" s="189">
        <v>1.13077428827649</v>
      </c>
      <c r="P582" s="189">
        <v>0.83157458704113896</v>
      </c>
      <c r="Q582" s="189">
        <v>-4.3080063801475998E-2</v>
      </c>
      <c r="R582" s="189">
        <v>0.26969703231679298</v>
      </c>
      <c r="S582" s="189">
        <v>6.4020556689727403E-3</v>
      </c>
      <c r="T582" s="189">
        <v>0</v>
      </c>
      <c r="U582" s="189">
        <v>0</v>
      </c>
      <c r="V582" s="189">
        <v>0</v>
      </c>
      <c r="W582" s="189"/>
      <c r="X582" s="90"/>
      <c r="Y582" s="188"/>
      <c r="Z582" s="188"/>
      <c r="AA582" s="188"/>
      <c r="AB582" s="188"/>
      <c r="AC582" s="188"/>
      <c r="AD582" s="190"/>
      <c r="AE582" s="189"/>
    </row>
    <row r="583" spans="1:31" ht="21.25" customHeight="1" x14ac:dyDescent="0.15">
      <c r="A583" s="10" t="s">
        <v>546</v>
      </c>
      <c r="B583" s="186" t="s">
        <v>843</v>
      </c>
      <c r="C583" s="187">
        <v>29</v>
      </c>
      <c r="D583" s="186" t="s">
        <v>827</v>
      </c>
      <c r="E583" s="90">
        <v>73.819999999999993</v>
      </c>
      <c r="F583" s="188">
        <v>16.861427442918298</v>
      </c>
      <c r="G583" s="189">
        <v>2.5792782283989402E-2</v>
      </c>
      <c r="H583" s="189">
        <v>0.12709221901968401</v>
      </c>
      <c r="I583" s="189">
        <v>0.152885001303673</v>
      </c>
      <c r="J583" s="189">
        <v>0.96544118222367303</v>
      </c>
      <c r="K583" s="189">
        <v>4.0502193354783302E-5</v>
      </c>
      <c r="L583" s="189">
        <v>4.0060920252580902E-4</v>
      </c>
      <c r="M583" s="189">
        <v>1.3413119747609299E-4</v>
      </c>
      <c r="N583" s="189">
        <v>1.20791139366321E-3</v>
      </c>
      <c r="O583" s="189">
        <v>1.3140543104502</v>
      </c>
      <c r="P583" s="189">
        <v>3.0387537364988999</v>
      </c>
      <c r="Q583" s="189">
        <v>2.9813859598575701E-2</v>
      </c>
      <c r="R583" s="189">
        <v>0.97016230414851701</v>
      </c>
      <c r="S583" s="189">
        <v>4.9206807775864902E-3</v>
      </c>
      <c r="T583" s="189">
        <v>0</v>
      </c>
      <c r="U583" s="189">
        <v>0</v>
      </c>
      <c r="V583" s="189">
        <v>0</v>
      </c>
      <c r="W583" s="189"/>
      <c r="X583" s="90"/>
      <c r="Y583" s="188"/>
      <c r="Z583" s="188"/>
      <c r="AA583" s="188"/>
      <c r="AB583" s="188"/>
      <c r="AC583" s="188"/>
      <c r="AD583" s="190"/>
      <c r="AE583" s="189"/>
    </row>
    <row r="584" spans="1:31" ht="21.25" customHeight="1" x14ac:dyDescent="0.15">
      <c r="A584" s="10" t="s">
        <v>439</v>
      </c>
      <c r="B584" s="186" t="s">
        <v>867</v>
      </c>
      <c r="C584" s="187">
        <v>33</v>
      </c>
      <c r="D584" s="186" t="s">
        <v>827</v>
      </c>
      <c r="E584" s="90">
        <v>81.887500000000003</v>
      </c>
      <c r="F584" s="188">
        <v>17.637306193597599</v>
      </c>
      <c r="G584" s="189">
        <v>1.6255022782815799E-2</v>
      </c>
      <c r="H584" s="189">
        <v>0.135927241696641</v>
      </c>
      <c r="I584" s="189">
        <v>0.15218226447945701</v>
      </c>
      <c r="J584" s="189">
        <v>0.98553575965851203</v>
      </c>
      <c r="K584" s="189">
        <v>4.0417477163064401E-5</v>
      </c>
      <c r="L584" s="189">
        <v>5.9899577250227304E-4</v>
      </c>
      <c r="M584" s="189">
        <v>8.3767348500319504E-5</v>
      </c>
      <c r="N584" s="189">
        <v>7.1834541681680903E-3</v>
      </c>
      <c r="O584" s="189">
        <v>1.94997208002032</v>
      </c>
      <c r="P584" s="189">
        <v>1.51222967752102</v>
      </c>
      <c r="Q584" s="189">
        <v>5.1523702490806804E-3</v>
      </c>
      <c r="R584" s="189">
        <v>0.50496628229344498</v>
      </c>
      <c r="S584" s="189">
        <v>2.5688618617652E-3</v>
      </c>
      <c r="T584" s="189">
        <v>0</v>
      </c>
      <c r="U584" s="189">
        <v>0</v>
      </c>
      <c r="V584" s="189">
        <v>0</v>
      </c>
      <c r="W584" s="189"/>
      <c r="X584" s="90"/>
      <c r="Y584" s="188"/>
      <c r="Z584" s="188"/>
      <c r="AA584" s="188"/>
      <c r="AB584" s="188"/>
      <c r="AC584" s="188"/>
      <c r="AD584" s="190"/>
      <c r="AE584" s="189"/>
    </row>
    <row r="585" spans="1:31" ht="21.25" customHeight="1" x14ac:dyDescent="0.15">
      <c r="A585" s="10" t="s">
        <v>575</v>
      </c>
      <c r="B585" s="186" t="s">
        <v>861</v>
      </c>
      <c r="C585" s="187">
        <v>26</v>
      </c>
      <c r="D585" s="186" t="s">
        <v>827</v>
      </c>
      <c r="E585" s="90">
        <v>73.882499999999993</v>
      </c>
      <c r="F585" s="188">
        <v>14.284335673379999</v>
      </c>
      <c r="G585" s="189">
        <v>3.6122389945868E-2</v>
      </c>
      <c r="H585" s="189">
        <v>0.115546744232826</v>
      </c>
      <c r="I585" s="189">
        <v>0.15166913417869399</v>
      </c>
      <c r="J585" s="189">
        <v>0.70274588668362703</v>
      </c>
      <c r="K585" s="189">
        <v>4.8033357739585702E-5</v>
      </c>
      <c r="L585" s="189">
        <v>3.7827517185516098E-4</v>
      </c>
      <c r="M585" s="189">
        <v>2.7739942831704899E-4</v>
      </c>
      <c r="N585" s="189">
        <v>2.6081642080185399E-3</v>
      </c>
      <c r="O585" s="189">
        <v>1.2520526923506301</v>
      </c>
      <c r="P585" s="189">
        <v>1.0359697465307101</v>
      </c>
      <c r="Q585" s="189">
        <v>-1.7190147638689E-2</v>
      </c>
      <c r="R585" s="189">
        <v>0.36831731519565197</v>
      </c>
      <c r="S585" s="189">
        <v>5.6606639472431396E-3</v>
      </c>
      <c r="T585" s="189">
        <v>0</v>
      </c>
      <c r="U585" s="189">
        <v>0</v>
      </c>
      <c r="V585" s="189">
        <v>0</v>
      </c>
      <c r="W585" s="189"/>
      <c r="X585" s="90"/>
      <c r="Y585" s="188"/>
      <c r="Z585" s="188"/>
      <c r="AA585" s="188"/>
      <c r="AB585" s="188"/>
      <c r="AC585" s="188"/>
      <c r="AD585" s="190"/>
      <c r="AE585" s="189"/>
    </row>
    <row r="586" spans="1:31" ht="21.25" customHeight="1" x14ac:dyDescent="0.15">
      <c r="A586" s="10" t="s">
        <v>512</v>
      </c>
      <c r="B586" s="186" t="s">
        <v>854</v>
      </c>
      <c r="C586" s="187">
        <v>37</v>
      </c>
      <c r="D586" s="186" t="s">
        <v>827</v>
      </c>
      <c r="E586" s="90">
        <v>83.63</v>
      </c>
      <c r="F586" s="188">
        <v>18.118590517339999</v>
      </c>
      <c r="G586" s="189">
        <v>-5.5196637481262504E-3</v>
      </c>
      <c r="H586" s="189">
        <v>0.15170373726896499</v>
      </c>
      <c r="I586" s="189">
        <v>0.14618407352083901</v>
      </c>
      <c r="J586" s="189">
        <v>0.41214026330206799</v>
      </c>
      <c r="K586" s="189">
        <v>-1.46613004084798E-5</v>
      </c>
      <c r="L586" s="189">
        <v>3.9258694192282999E-4</v>
      </c>
      <c r="M586" s="189">
        <v>-5.0557188756790103E-5</v>
      </c>
      <c r="N586" s="189">
        <v>4.7516691350951304E-3</v>
      </c>
      <c r="O586" s="189">
        <v>1.8706055047626999</v>
      </c>
      <c r="P586" s="189">
        <v>1.0200551168011101</v>
      </c>
      <c r="Q586" s="189">
        <v>-7.3924029380476694E-2</v>
      </c>
      <c r="R586" s="189">
        <v>0.66789820998475602</v>
      </c>
      <c r="S586" s="189">
        <v>-6.8121508999240501E-4</v>
      </c>
      <c r="T586" s="189">
        <v>0</v>
      </c>
      <c r="U586" s="189">
        <v>0</v>
      </c>
      <c r="V586" s="189">
        <v>0</v>
      </c>
      <c r="W586" s="189"/>
      <c r="X586" s="90"/>
      <c r="Y586" s="188"/>
      <c r="Z586" s="188"/>
      <c r="AA586" s="188"/>
      <c r="AB586" s="188"/>
      <c r="AC586" s="188"/>
      <c r="AD586" s="190"/>
      <c r="AE586" s="189"/>
    </row>
    <row r="587" spans="1:31" ht="21.25" customHeight="1" x14ac:dyDescent="0.15">
      <c r="A587" s="10" t="s">
        <v>447</v>
      </c>
      <c r="B587" s="186" t="s">
        <v>861</v>
      </c>
      <c r="C587" s="187">
        <v>35</v>
      </c>
      <c r="D587" s="186" t="s">
        <v>827</v>
      </c>
      <c r="E587" s="90">
        <v>83.392499999999998</v>
      </c>
      <c r="F587" s="188">
        <v>20.178353913065301</v>
      </c>
      <c r="G587" s="189">
        <v>2.5065119677810801E-2</v>
      </c>
      <c r="H587" s="189">
        <v>0.120165807961573</v>
      </c>
      <c r="I587" s="189">
        <v>0.145230927639384</v>
      </c>
      <c r="J587" s="189">
        <v>1.0557570340059701</v>
      </c>
      <c r="K587" s="189">
        <v>4.3801195388885602E-5</v>
      </c>
      <c r="L587" s="189">
        <v>9.0606134770621104E-4</v>
      </c>
      <c r="M587" s="189">
        <v>9.2105444732662603E-5</v>
      </c>
      <c r="N587" s="189">
        <v>1.05128989032762E-3</v>
      </c>
      <c r="O587" s="189">
        <v>1.8013438996483</v>
      </c>
      <c r="P587" s="189">
        <v>1.7090592612533899</v>
      </c>
      <c r="Q587" s="189">
        <v>-6.1212152611460201E-2</v>
      </c>
      <c r="R587" s="189">
        <v>0.69347530840923999</v>
      </c>
      <c r="S587" s="189">
        <v>3.9279023205868596E-3</v>
      </c>
      <c r="T587" s="189">
        <v>0</v>
      </c>
      <c r="U587" s="189">
        <v>0</v>
      </c>
      <c r="V587" s="189">
        <v>0</v>
      </c>
      <c r="W587" s="189"/>
      <c r="X587" s="90"/>
      <c r="Y587" s="188"/>
      <c r="Z587" s="188"/>
      <c r="AA587" s="188"/>
      <c r="AB587" s="188"/>
      <c r="AC587" s="188"/>
      <c r="AD587" s="190"/>
      <c r="AE587" s="189"/>
    </row>
    <row r="588" spans="1:31" ht="21.25" customHeight="1" x14ac:dyDescent="0.15">
      <c r="A588" s="10" t="s">
        <v>798</v>
      </c>
      <c r="B588" s="186" t="s">
        <v>864</v>
      </c>
      <c r="C588" s="187">
        <v>24</v>
      </c>
      <c r="D588" s="186" t="s">
        <v>826</v>
      </c>
      <c r="E588" s="90">
        <v>62.09</v>
      </c>
      <c r="F588" s="188">
        <v>8.5240862821880903</v>
      </c>
      <c r="G588" s="189">
        <v>6.3512776095837303E-2</v>
      </c>
      <c r="H588" s="189">
        <v>7.6939127202070107E-2</v>
      </c>
      <c r="I588" s="189">
        <v>0.14045190329790699</v>
      </c>
      <c r="J588" s="189">
        <v>0.71058973440490503</v>
      </c>
      <c r="K588" s="189">
        <v>2.8321602473658199E-3</v>
      </c>
      <c r="L588" s="189">
        <v>6.4195809587003798E-3</v>
      </c>
      <c r="M588" s="189">
        <v>3.67353299877058E-5</v>
      </c>
      <c r="N588" s="189">
        <v>6.0761831857185203E-5</v>
      </c>
      <c r="O588" s="189">
        <v>0.31674092150398397</v>
      </c>
      <c r="P588" s="189">
        <v>2.5153426286505698</v>
      </c>
      <c r="Q588" s="189">
        <v>-2.91797653774793E-3</v>
      </c>
      <c r="R588" s="189">
        <v>0.63569830056339405</v>
      </c>
      <c r="S588" s="189">
        <v>9.9780979677008396E-3</v>
      </c>
      <c r="T588" s="189">
        <v>9.0612894718295298E-2</v>
      </c>
      <c r="U588" s="189">
        <v>0.24070718774867</v>
      </c>
      <c r="V588" s="189">
        <v>0.27349049910770201</v>
      </c>
      <c r="W588" s="189"/>
      <c r="X588" s="90"/>
      <c r="Y588" s="188"/>
      <c r="Z588" s="188"/>
      <c r="AA588" s="188"/>
      <c r="AB588" s="188"/>
      <c r="AC588" s="188"/>
      <c r="AD588" s="190"/>
      <c r="AE588" s="189"/>
    </row>
    <row r="589" spans="1:31" ht="21.25" customHeight="1" x14ac:dyDescent="0.15">
      <c r="A589" s="10" t="s">
        <v>520</v>
      </c>
      <c r="B589" s="186" t="s">
        <v>858</v>
      </c>
      <c r="C589" s="187">
        <v>29</v>
      </c>
      <c r="D589" s="186" t="s">
        <v>827</v>
      </c>
      <c r="E589" s="90">
        <v>78.775000000000006</v>
      </c>
      <c r="F589" s="188">
        <v>17.661120759177901</v>
      </c>
      <c r="G589" s="189">
        <v>1.0909589382439199E-2</v>
      </c>
      <c r="H589" s="189">
        <v>0.12471320170385899</v>
      </c>
      <c r="I589" s="189">
        <v>0.13562279108629799</v>
      </c>
      <c r="J589" s="189">
        <v>0.83049011549196206</v>
      </c>
      <c r="K589" s="189">
        <v>3.5362195962451599E-5</v>
      </c>
      <c r="L589" s="189">
        <v>5.1988902211610197E-4</v>
      </c>
      <c r="M589" s="189">
        <v>1.13519326112578E-4</v>
      </c>
      <c r="N589" s="189">
        <v>5.8584053140790003E-3</v>
      </c>
      <c r="O589" s="189">
        <v>1.5960603998554901</v>
      </c>
      <c r="P589" s="189">
        <v>1.1271509406468001</v>
      </c>
      <c r="Q589" s="189">
        <v>-3.3450256166273E-2</v>
      </c>
      <c r="R589" s="189">
        <v>0.48809504441428703</v>
      </c>
      <c r="S589" s="189">
        <v>1.5730650861608801E-3</v>
      </c>
      <c r="T589" s="189">
        <v>0</v>
      </c>
      <c r="U589" s="189">
        <v>0</v>
      </c>
      <c r="V589" s="189">
        <v>0</v>
      </c>
      <c r="W589" s="189"/>
      <c r="X589" s="90"/>
      <c r="Y589" s="188"/>
      <c r="Z589" s="188"/>
      <c r="AA589" s="188"/>
      <c r="AB589" s="188"/>
      <c r="AC589" s="188"/>
      <c r="AD589" s="190"/>
      <c r="AE589" s="189"/>
    </row>
    <row r="590" spans="1:31" ht="21.25" customHeight="1" x14ac:dyDescent="0.15">
      <c r="A590" s="10" t="s">
        <v>791</v>
      </c>
      <c r="B590" s="186" t="s">
        <v>840</v>
      </c>
      <c r="C590" s="187">
        <v>23</v>
      </c>
      <c r="D590" s="186" t="s">
        <v>824</v>
      </c>
      <c r="E590" s="90">
        <v>68.872500000000002</v>
      </c>
      <c r="F590" s="188">
        <v>10.381952036862501</v>
      </c>
      <c r="G590" s="189">
        <v>6.2001249232906001E-2</v>
      </c>
      <c r="H590" s="189">
        <v>7.2694417460339805E-2</v>
      </c>
      <c r="I590" s="189">
        <v>0.13469566669324601</v>
      </c>
      <c r="J590" s="189">
        <v>0.73527597835410397</v>
      </c>
      <c r="K590" s="189">
        <v>4.5832171158526899E-4</v>
      </c>
      <c r="L590" s="189">
        <v>1.0097414295205901E-3</v>
      </c>
      <c r="M590" s="189">
        <v>3.11005318928798E-3</v>
      </c>
      <c r="N590" s="189">
        <v>5.1716357495226002E-3</v>
      </c>
      <c r="O590" s="189">
        <v>0.498828097711704</v>
      </c>
      <c r="P590" s="189">
        <v>2.13436374489023</v>
      </c>
      <c r="Q590" s="189">
        <v>-3.7578519346002197E-2</v>
      </c>
      <c r="R590" s="189">
        <v>0.46619252789473897</v>
      </c>
      <c r="S590" s="189">
        <v>8.6696060653637507E-3</v>
      </c>
      <c r="T590" s="189">
        <v>3.7331112773546402</v>
      </c>
      <c r="U590" s="189">
        <v>3.82366889011164</v>
      </c>
      <c r="V590" s="189">
        <v>0.49400818796166202</v>
      </c>
      <c r="W590" s="189"/>
      <c r="X590" s="90"/>
      <c r="Y590" s="188"/>
      <c r="Z590" s="188"/>
      <c r="AA590" s="188"/>
      <c r="AB590" s="188"/>
      <c r="AC590" s="188"/>
      <c r="AD590" s="190"/>
      <c r="AE590" s="189"/>
    </row>
    <row r="591" spans="1:31" ht="21.25" customHeight="1" x14ac:dyDescent="0.15">
      <c r="A591" s="10" t="s">
        <v>795</v>
      </c>
      <c r="B591" s="186" t="s">
        <v>859</v>
      </c>
      <c r="C591" s="187">
        <v>30</v>
      </c>
      <c r="D591" s="186" t="s">
        <v>825</v>
      </c>
      <c r="E591" s="90">
        <v>65.444999999999993</v>
      </c>
      <c r="F591" s="188">
        <v>8.8245646757786194</v>
      </c>
      <c r="G591" s="189">
        <v>4.6048313890685699E-2</v>
      </c>
      <c r="H591" s="189">
        <v>8.8053369781356E-2</v>
      </c>
      <c r="I591" s="189">
        <v>0.134101683672042</v>
      </c>
      <c r="J591" s="189">
        <v>0.88853700964091897</v>
      </c>
      <c r="K591" s="189">
        <v>6.3640014062625204E-5</v>
      </c>
      <c r="L591" s="189">
        <v>1.45200582151143E-4</v>
      </c>
      <c r="M591" s="189">
        <v>3.5470818036347401E-4</v>
      </c>
      <c r="N591" s="189">
        <v>6.1457574456075801E-4</v>
      </c>
      <c r="O591" s="189">
        <v>0.45520846729091202</v>
      </c>
      <c r="P591" s="189">
        <v>2.4317011951674501</v>
      </c>
      <c r="Q591" s="189">
        <v>-3.63697888851311E-2</v>
      </c>
      <c r="R591" s="189">
        <v>0.38681007015336599</v>
      </c>
      <c r="S591" s="189">
        <v>6.7275266352623004E-3</v>
      </c>
      <c r="T591" s="189">
        <v>7.6137720415548296E-2</v>
      </c>
      <c r="U591" s="189">
        <v>0.16074163019552901</v>
      </c>
      <c r="V591" s="189">
        <v>0.32141982920476603</v>
      </c>
      <c r="W591" s="189"/>
      <c r="X591" s="90"/>
      <c r="Y591" s="188"/>
      <c r="Z591" s="188"/>
      <c r="AA591" s="188"/>
      <c r="AB591" s="188"/>
      <c r="AC591" s="188"/>
      <c r="AD591" s="190"/>
      <c r="AE591" s="189"/>
    </row>
    <row r="592" spans="1:31" ht="21.25" customHeight="1" x14ac:dyDescent="0.15">
      <c r="A592" s="10" t="s">
        <v>623</v>
      </c>
      <c r="B592" s="186" t="s">
        <v>863</v>
      </c>
      <c r="C592" s="187">
        <v>27</v>
      </c>
      <c r="D592" s="186" t="s">
        <v>827</v>
      </c>
      <c r="E592" s="90">
        <v>64.912499999999994</v>
      </c>
      <c r="F592" s="188">
        <v>15.684157425876499</v>
      </c>
      <c r="G592" s="189">
        <v>1.5675689086162001E-2</v>
      </c>
      <c r="H592" s="189">
        <v>0.11383076889096901</v>
      </c>
      <c r="I592" s="189">
        <v>0.12950645797713101</v>
      </c>
      <c r="J592" s="189">
        <v>0.78867517148823696</v>
      </c>
      <c r="K592" s="189">
        <v>1.0836852896818899E-5</v>
      </c>
      <c r="L592" s="189">
        <v>1.0864773639311E-4</v>
      </c>
      <c r="M592" s="189">
        <v>3.05589416184907E-4</v>
      </c>
      <c r="N592" s="189">
        <v>1.3332322034357601E-2</v>
      </c>
      <c r="O592" s="189">
        <v>1.13934889130925</v>
      </c>
      <c r="P592" s="189">
        <v>0.97840912556849902</v>
      </c>
      <c r="Q592" s="189">
        <v>1.1257038069015599E-2</v>
      </c>
      <c r="R592" s="189">
        <v>0.40095373918100702</v>
      </c>
      <c r="S592" s="189">
        <v>2.7806349115429099E-3</v>
      </c>
      <c r="T592" s="189">
        <v>0</v>
      </c>
      <c r="U592" s="189">
        <v>0</v>
      </c>
      <c r="V592" s="189">
        <v>0</v>
      </c>
      <c r="W592" s="189"/>
      <c r="X592" s="90"/>
      <c r="Y592" s="188"/>
      <c r="Z592" s="188"/>
      <c r="AA592" s="188"/>
      <c r="AB592" s="188"/>
      <c r="AC592" s="188"/>
      <c r="AD592" s="190"/>
      <c r="AE592" s="189"/>
    </row>
    <row r="593" spans="1:31" ht="21.25" customHeight="1" x14ac:dyDescent="0.15">
      <c r="A593" s="10" t="s">
        <v>785</v>
      </c>
      <c r="B593" s="186" t="s">
        <v>856</v>
      </c>
      <c r="C593" s="187">
        <v>34</v>
      </c>
      <c r="D593" s="186" t="s">
        <v>848</v>
      </c>
      <c r="E593" s="90">
        <v>77.402500000000003</v>
      </c>
      <c r="F593" s="188">
        <v>9.4401182658509395</v>
      </c>
      <c r="G593" s="189">
        <v>4.7577394819911099E-2</v>
      </c>
      <c r="H593" s="189">
        <v>7.9763005005475798E-2</v>
      </c>
      <c r="I593" s="189">
        <v>0.127340399825387</v>
      </c>
      <c r="J593" s="189">
        <v>0.77958682437447202</v>
      </c>
      <c r="K593" s="189">
        <v>1.0613733430837299E-4</v>
      </c>
      <c r="L593" s="189">
        <v>2.4619681372209297E-4</v>
      </c>
      <c r="M593" s="189">
        <v>2.12188713223824E-4</v>
      </c>
      <c r="N593" s="189">
        <v>7.4451751449734803E-4</v>
      </c>
      <c r="O593" s="189">
        <v>0.65550247430454001</v>
      </c>
      <c r="P593" s="189">
        <v>2.15282564431423</v>
      </c>
      <c r="Q593" s="189">
        <v>-1.6184440979114399E-2</v>
      </c>
      <c r="R593" s="189">
        <v>0.36559173326830002</v>
      </c>
      <c r="S593" s="189">
        <v>7.6906292740470698E-3</v>
      </c>
      <c r="T593" s="189">
        <v>6.1492501123115301E-2</v>
      </c>
      <c r="U593" s="189">
        <v>0.20597510806778599</v>
      </c>
      <c r="V593" s="189">
        <v>0.22990634757282299</v>
      </c>
      <c r="W593" s="189"/>
      <c r="X593" s="90"/>
      <c r="Y593" s="188"/>
      <c r="Z593" s="188"/>
      <c r="AA593" s="188"/>
      <c r="AB593" s="188"/>
      <c r="AC593" s="188"/>
      <c r="AD593" s="190"/>
      <c r="AE593" s="189"/>
    </row>
    <row r="594" spans="1:31" ht="21.25" customHeight="1" x14ac:dyDescent="0.15">
      <c r="A594" s="10" t="s">
        <v>622</v>
      </c>
      <c r="B594" s="186" t="s">
        <v>844</v>
      </c>
      <c r="C594" s="187">
        <v>36</v>
      </c>
      <c r="D594" s="186" t="s">
        <v>827</v>
      </c>
      <c r="E594" s="90">
        <v>74.915000000000006</v>
      </c>
      <c r="F594" s="188">
        <v>14.246004149390201</v>
      </c>
      <c r="G594" s="189">
        <v>1.83468157848336E-2</v>
      </c>
      <c r="H594" s="189">
        <v>0.10876277124450801</v>
      </c>
      <c r="I594" s="189">
        <v>0.127109587029342</v>
      </c>
      <c r="J594" s="189">
        <v>0.71138119628877905</v>
      </c>
      <c r="K594" s="189">
        <v>4.5265887600052703E-5</v>
      </c>
      <c r="L594" s="189">
        <v>5.91431680225503E-4</v>
      </c>
      <c r="M594" s="189">
        <v>5.3588023028868101E-5</v>
      </c>
      <c r="N594" s="189">
        <v>8.45201615919363E-4</v>
      </c>
      <c r="O594" s="189">
        <v>0.93306184360362598</v>
      </c>
      <c r="P594" s="189">
        <v>1.12747272367465</v>
      </c>
      <c r="Q594" s="189">
        <v>2.77801832005607E-2</v>
      </c>
      <c r="R594" s="189">
        <v>0.44908272915715097</v>
      </c>
      <c r="S594" s="189">
        <v>2.9884118223802501E-3</v>
      </c>
      <c r="T594" s="189">
        <v>3.5870705712409099E-10</v>
      </c>
      <c r="U594" s="189">
        <v>1.2959905818736401E-2</v>
      </c>
      <c r="V594" s="189">
        <v>2.76782140405009E-8</v>
      </c>
      <c r="W594" s="189"/>
      <c r="X594" s="90"/>
      <c r="Y594" s="188"/>
      <c r="Z594" s="188"/>
      <c r="AA594" s="188"/>
      <c r="AB594" s="188"/>
      <c r="AC594" s="188"/>
      <c r="AD594" s="190"/>
      <c r="AE594" s="189"/>
    </row>
    <row r="595" spans="1:31" ht="21.25" customHeight="1" x14ac:dyDescent="0.15">
      <c r="A595" s="10" t="s">
        <v>593</v>
      </c>
      <c r="B595" s="186" t="s">
        <v>866</v>
      </c>
      <c r="C595" s="187">
        <v>33</v>
      </c>
      <c r="D595" s="186" t="s">
        <v>827</v>
      </c>
      <c r="E595" s="90">
        <v>77.375</v>
      </c>
      <c r="F595" s="188">
        <v>16.454642439519802</v>
      </c>
      <c r="G595" s="189">
        <v>6.0888778395220304E-3</v>
      </c>
      <c r="H595" s="189">
        <v>0.113509279394806</v>
      </c>
      <c r="I595" s="189">
        <v>0.119598157234328</v>
      </c>
      <c r="J595" s="189">
        <v>0.62441647095016095</v>
      </c>
      <c r="K595" s="189">
        <v>1.02385407062897E-5</v>
      </c>
      <c r="L595" s="189">
        <v>2.8841748251526598E-4</v>
      </c>
      <c r="M595" s="189">
        <v>6.4944632328534904E-4</v>
      </c>
      <c r="N595" s="189">
        <v>3.26455364058736E-3</v>
      </c>
      <c r="O595" s="189">
        <v>1.2229172260147301</v>
      </c>
      <c r="P595" s="189">
        <v>1.0685265962122401</v>
      </c>
      <c r="Q595" s="189">
        <v>-6.1269959019438699E-2</v>
      </c>
      <c r="R595" s="189">
        <v>0.60179197329340794</v>
      </c>
      <c r="S595" s="189">
        <v>8.8922869124505397E-4</v>
      </c>
      <c r="T595" s="189">
        <v>0</v>
      </c>
      <c r="U595" s="189">
        <v>0</v>
      </c>
      <c r="V595" s="189">
        <v>0</v>
      </c>
      <c r="W595" s="189"/>
      <c r="X595" s="90"/>
      <c r="Y595" s="188"/>
      <c r="Z595" s="188"/>
      <c r="AA595" s="188"/>
      <c r="AB595" s="188"/>
      <c r="AC595" s="188"/>
      <c r="AD595" s="190"/>
      <c r="AE595" s="189"/>
    </row>
    <row r="596" spans="1:31" ht="21.25" customHeight="1" x14ac:dyDescent="0.15">
      <c r="A596" s="10" t="s">
        <v>787</v>
      </c>
      <c r="B596" s="186" t="s">
        <v>853</v>
      </c>
      <c r="C596" s="187">
        <v>34</v>
      </c>
      <c r="D596" s="186" t="s">
        <v>826</v>
      </c>
      <c r="E596" s="90">
        <v>79.127499999999998</v>
      </c>
      <c r="F596" s="188">
        <v>9.7370668607178192</v>
      </c>
      <c r="G596" s="189">
        <v>4.8328578882990601E-2</v>
      </c>
      <c r="H596" s="189">
        <v>6.8142482149849304E-2</v>
      </c>
      <c r="I596" s="189">
        <v>0.11647106103284</v>
      </c>
      <c r="J596" s="189">
        <v>0.67472592757374295</v>
      </c>
      <c r="K596" s="189">
        <v>2.8494073584955199E-4</v>
      </c>
      <c r="L596" s="189">
        <v>6.5139889434934596E-4</v>
      </c>
      <c r="M596" s="189">
        <v>6.4405702294919103E-3</v>
      </c>
      <c r="N596" s="189">
        <v>1.01428576938715E-2</v>
      </c>
      <c r="O596" s="189">
        <v>0.72737476273677804</v>
      </c>
      <c r="P596" s="189">
        <v>3.1119745941988701</v>
      </c>
      <c r="Q596" s="189">
        <v>3.34836935627243E-2</v>
      </c>
      <c r="R596" s="189">
        <v>0.57943309845174495</v>
      </c>
      <c r="S596" s="189">
        <v>8.0465038564039807E-3</v>
      </c>
      <c r="T596" s="189">
        <v>0.17765551683213199</v>
      </c>
      <c r="U596" s="189">
        <v>0.14995959629877501</v>
      </c>
      <c r="V596" s="189">
        <v>0.542268990994763</v>
      </c>
      <c r="W596" s="189"/>
      <c r="X596" s="90"/>
      <c r="Y596" s="188"/>
      <c r="Z596" s="188"/>
      <c r="AA596" s="188"/>
      <c r="AB596" s="188"/>
      <c r="AC596" s="188"/>
      <c r="AD596" s="190"/>
      <c r="AE596" s="189"/>
    </row>
    <row r="597" spans="1:31" ht="21.25" customHeight="1" x14ac:dyDescent="0.15">
      <c r="A597" s="10" t="s">
        <v>595</v>
      </c>
      <c r="B597" s="186" t="s">
        <v>869</v>
      </c>
      <c r="C597" s="187">
        <v>30</v>
      </c>
      <c r="D597" s="186" t="s">
        <v>827</v>
      </c>
      <c r="E597" s="90">
        <v>74.22</v>
      </c>
      <c r="F597" s="188">
        <v>17.373936521114299</v>
      </c>
      <c r="G597" s="189">
        <v>4.92423922223309E-3</v>
      </c>
      <c r="H597" s="189">
        <v>0.10922130360404</v>
      </c>
      <c r="I597" s="189">
        <v>0.114145542826273</v>
      </c>
      <c r="J597" s="189">
        <v>0.45416794634845697</v>
      </c>
      <c r="K597" s="189">
        <v>2.4132866142370302E-5</v>
      </c>
      <c r="L597" s="189">
        <v>6.1065923169698803E-4</v>
      </c>
      <c r="M597" s="189">
        <v>8.3098778444899398E-5</v>
      </c>
      <c r="N597" s="189">
        <v>3.5313763000246602E-3</v>
      </c>
      <c r="O597" s="189">
        <v>1.5117632294873</v>
      </c>
      <c r="P597" s="189">
        <v>1.6412182772548001</v>
      </c>
      <c r="Q597" s="189">
        <v>4.7171446426251498E-2</v>
      </c>
      <c r="R597" s="189">
        <v>0.70407886438003897</v>
      </c>
      <c r="S597" s="189">
        <v>7.3749993385415901E-4</v>
      </c>
      <c r="T597" s="189">
        <v>0</v>
      </c>
      <c r="U597" s="189">
        <v>0</v>
      </c>
      <c r="V597" s="189">
        <v>0</v>
      </c>
      <c r="W597" s="189"/>
      <c r="X597" s="90"/>
      <c r="Y597" s="188"/>
      <c r="Z597" s="188"/>
      <c r="AA597" s="188"/>
      <c r="AB597" s="188"/>
      <c r="AC597" s="188"/>
      <c r="AD597" s="190"/>
      <c r="AE597" s="189"/>
    </row>
    <row r="598" spans="1:31" ht="21.25" customHeight="1" x14ac:dyDescent="0.15">
      <c r="A598" s="10" t="s">
        <v>568</v>
      </c>
      <c r="B598" s="186" t="s">
        <v>867</v>
      </c>
      <c r="C598" s="187">
        <v>27</v>
      </c>
      <c r="D598" s="186" t="s">
        <v>827</v>
      </c>
      <c r="E598" s="90">
        <v>80.082499999999996</v>
      </c>
      <c r="F598" s="188">
        <v>15.796084197054</v>
      </c>
      <c r="G598" s="189">
        <v>1.4257884352076901E-2</v>
      </c>
      <c r="H598" s="189">
        <v>9.9929509022233895E-2</v>
      </c>
      <c r="I598" s="189">
        <v>0.114187393374311</v>
      </c>
      <c r="J598" s="189">
        <v>0.72088530690449204</v>
      </c>
      <c r="K598" s="189">
        <v>1.6512552009449198E-5</v>
      </c>
      <c r="L598" s="189">
        <v>1.36366162084191E-4</v>
      </c>
      <c r="M598" s="189">
        <v>2.0680116577505501E-4</v>
      </c>
      <c r="N598" s="189">
        <v>2.8536864309780499E-3</v>
      </c>
      <c r="O598" s="189">
        <v>1.32935379543127</v>
      </c>
      <c r="P598" s="189">
        <v>2.1796779850256001</v>
      </c>
      <c r="Q598" s="189">
        <v>-2.5053579299541801E-2</v>
      </c>
      <c r="R598" s="189">
        <v>0.58803685794492999</v>
      </c>
      <c r="S598" s="189">
        <v>2.2532441714095499E-3</v>
      </c>
      <c r="T598" s="189">
        <v>0</v>
      </c>
      <c r="U598" s="189">
        <v>0</v>
      </c>
      <c r="V598" s="189">
        <v>0</v>
      </c>
      <c r="W598" s="189"/>
      <c r="X598" s="90"/>
      <c r="Y598" s="188"/>
      <c r="Z598" s="188"/>
      <c r="AA598" s="188"/>
      <c r="AB598" s="188"/>
      <c r="AC598" s="188"/>
      <c r="AD598" s="190"/>
      <c r="AE598" s="189"/>
    </row>
    <row r="599" spans="1:31" ht="21.25" customHeight="1" x14ac:dyDescent="0.15">
      <c r="A599" s="10" t="s">
        <v>602</v>
      </c>
      <c r="B599" s="186" t="s">
        <v>855</v>
      </c>
      <c r="C599" s="187">
        <v>31</v>
      </c>
      <c r="D599" s="186" t="s">
        <v>827</v>
      </c>
      <c r="E599" s="90">
        <v>69.292500000000004</v>
      </c>
      <c r="F599" s="188">
        <v>15.9593036212081</v>
      </c>
      <c r="G599" s="189">
        <v>1.80917686266872E-2</v>
      </c>
      <c r="H599" s="189">
        <v>8.9554508711613301E-2</v>
      </c>
      <c r="I599" s="189">
        <v>0.107646277338301</v>
      </c>
      <c r="J599" s="189">
        <v>0.75375825126523599</v>
      </c>
      <c r="K599" s="189">
        <v>7.8127831725987307E-6</v>
      </c>
      <c r="L599" s="189">
        <v>9.19578598226906E-5</v>
      </c>
      <c r="M599" s="189">
        <v>2.0211686454692099E-4</v>
      </c>
      <c r="N599" s="189">
        <v>1.0431983165843501E-3</v>
      </c>
      <c r="O599" s="189">
        <v>1.4083285677791999</v>
      </c>
      <c r="P599" s="189">
        <v>1.12567333383202</v>
      </c>
      <c r="Q599" s="189">
        <v>-9.7679373451883805E-3</v>
      </c>
      <c r="R599" s="189">
        <v>0.37682853930701898</v>
      </c>
      <c r="S599" s="189">
        <v>2.62307653223353E-3</v>
      </c>
      <c r="T599" s="189">
        <v>0</v>
      </c>
      <c r="U599" s="189">
        <v>0</v>
      </c>
      <c r="V599" s="189">
        <v>0</v>
      </c>
      <c r="W599" s="189"/>
      <c r="X599" s="90"/>
      <c r="Y599" s="188"/>
      <c r="Z599" s="188"/>
      <c r="AA599" s="188"/>
      <c r="AB599" s="188"/>
      <c r="AC599" s="188"/>
      <c r="AD599" s="190"/>
      <c r="AE599" s="189"/>
    </row>
    <row r="600" spans="1:31" ht="21.25" customHeight="1" x14ac:dyDescent="0.15">
      <c r="A600" s="10" t="s">
        <v>797</v>
      </c>
      <c r="B600" s="186" t="s">
        <v>856</v>
      </c>
      <c r="C600" s="187">
        <v>32</v>
      </c>
      <c r="D600" s="186" t="s">
        <v>848</v>
      </c>
      <c r="E600" s="90">
        <v>68.094999999999999</v>
      </c>
      <c r="F600" s="188">
        <v>9.1475299804637302</v>
      </c>
      <c r="G600" s="189">
        <v>5.0051343989348601E-2</v>
      </c>
      <c r="H600" s="189">
        <v>5.51012723981864E-2</v>
      </c>
      <c r="I600" s="189">
        <v>0.10515261638753499</v>
      </c>
      <c r="J600" s="189">
        <v>0.88312590504355604</v>
      </c>
      <c r="K600" s="189">
        <v>1.79336736791864E-4</v>
      </c>
      <c r="L600" s="189">
        <v>3.9717840716971102E-4</v>
      </c>
      <c r="M600" s="189">
        <v>0</v>
      </c>
      <c r="N600" s="189">
        <v>0</v>
      </c>
      <c r="O600" s="189">
        <v>0.39329750525387702</v>
      </c>
      <c r="P600" s="189">
        <v>2.69580054764615</v>
      </c>
      <c r="Q600" s="189">
        <v>3.9462997811147898E-4</v>
      </c>
      <c r="R600" s="189">
        <v>0.67384412583320297</v>
      </c>
      <c r="S600" s="189">
        <v>8.0905298145663197E-3</v>
      </c>
      <c r="T600" s="189">
        <v>9.8376562981779506E-2</v>
      </c>
      <c r="U600" s="189">
        <v>0.16019996617021401</v>
      </c>
      <c r="V600" s="189">
        <v>0.38045434094272701</v>
      </c>
      <c r="W600" s="189"/>
      <c r="X600" s="90"/>
      <c r="Y600" s="188"/>
      <c r="Z600" s="188"/>
      <c r="AA600" s="188"/>
      <c r="AB600" s="188"/>
      <c r="AC600" s="188"/>
      <c r="AD600" s="190"/>
      <c r="AE600" s="189"/>
    </row>
    <row r="601" spans="1:31" ht="21.25" customHeight="1" x14ac:dyDescent="0.15">
      <c r="A601" s="10" t="s">
        <v>670</v>
      </c>
      <c r="B601" s="186" t="s">
        <v>857</v>
      </c>
      <c r="C601" s="187">
        <v>26</v>
      </c>
      <c r="D601" s="186" t="s">
        <v>827</v>
      </c>
      <c r="E601" s="90">
        <v>67.650000000000006</v>
      </c>
      <c r="F601" s="188">
        <v>10.0724925289634</v>
      </c>
      <c r="G601" s="189">
        <v>7.20620040450453E-3</v>
      </c>
      <c r="H601" s="189">
        <v>7.8352219303839898E-2</v>
      </c>
      <c r="I601" s="189">
        <v>8.5558419708344394E-2</v>
      </c>
      <c r="J601" s="189">
        <v>0.60289254948528703</v>
      </c>
      <c r="K601" s="189">
        <v>4.1611288264062302E-6</v>
      </c>
      <c r="L601" s="189">
        <v>3.92914841601038E-5</v>
      </c>
      <c r="M601" s="189">
        <v>1.04637945267712E-4</v>
      </c>
      <c r="N601" s="189">
        <v>4.3248002444706498E-4</v>
      </c>
      <c r="O601" s="189">
        <v>0.68059867439461297</v>
      </c>
      <c r="P601" s="189">
        <v>0.75913141102958304</v>
      </c>
      <c r="Q601" s="189">
        <v>3.7364567970792099E-3</v>
      </c>
      <c r="R601" s="189">
        <v>0.19281921833677401</v>
      </c>
      <c r="S601" s="189">
        <v>1.16121604459633E-3</v>
      </c>
      <c r="T601" s="189">
        <v>0</v>
      </c>
      <c r="U601" s="189">
        <v>0</v>
      </c>
      <c r="V601" s="189">
        <v>0</v>
      </c>
      <c r="W601" s="189"/>
      <c r="X601" s="90"/>
      <c r="Y601" s="188"/>
      <c r="Z601" s="188"/>
      <c r="AA601" s="188"/>
      <c r="AB601" s="188"/>
      <c r="AC601" s="188"/>
      <c r="AD601" s="190"/>
      <c r="AE601" s="189"/>
    </row>
    <row r="602" spans="1:31" ht="21.25" customHeight="1" x14ac:dyDescent="0.15">
      <c r="A602" s="10" t="s">
        <v>633</v>
      </c>
      <c r="B602" s="186" t="s">
        <v>871</v>
      </c>
      <c r="C602" s="187">
        <v>35</v>
      </c>
      <c r="D602" s="186" t="s">
        <v>827</v>
      </c>
      <c r="E602" s="90">
        <v>73.557500000000005</v>
      </c>
      <c r="F602" s="188">
        <v>15.350984055067499</v>
      </c>
      <c r="G602" s="189">
        <v>-4.3248010458407501E-3</v>
      </c>
      <c r="H602" s="189">
        <v>8.9647243810291599E-2</v>
      </c>
      <c r="I602" s="189">
        <v>8.5322442764450904E-2</v>
      </c>
      <c r="J602" s="189">
        <v>0.35009183256808202</v>
      </c>
      <c r="K602" s="189">
        <v>-1.5017888651317001E-5</v>
      </c>
      <c r="L602" s="189">
        <v>3.6240322769040301E-4</v>
      </c>
      <c r="M602" s="189">
        <v>-7.0980213702777806E-5</v>
      </c>
      <c r="N602" s="189">
        <v>1.56462693180005E-3</v>
      </c>
      <c r="O602" s="189">
        <v>1.36490246373924</v>
      </c>
      <c r="P602" s="189">
        <v>0.88231060422128005</v>
      </c>
      <c r="Q602" s="189">
        <v>-9.0284680341347803E-2</v>
      </c>
      <c r="R602" s="189">
        <v>0.48384820065469097</v>
      </c>
      <c r="S602" s="189">
        <v>-6.2179813563304203E-4</v>
      </c>
      <c r="T602" s="189">
        <v>0</v>
      </c>
      <c r="U602" s="189">
        <v>0</v>
      </c>
      <c r="V602" s="189">
        <v>0</v>
      </c>
      <c r="W602" s="189"/>
      <c r="X602" s="90"/>
      <c r="Y602" s="188"/>
      <c r="Z602" s="188"/>
      <c r="AA602" s="188"/>
      <c r="AB602" s="188"/>
      <c r="AC602" s="188"/>
      <c r="AD602" s="190"/>
      <c r="AE602" s="189"/>
    </row>
    <row r="603" spans="1:31" ht="21.25" customHeight="1" x14ac:dyDescent="0.15">
      <c r="A603" s="10" t="s">
        <v>300</v>
      </c>
      <c r="B603" s="186" t="s">
        <v>845</v>
      </c>
      <c r="C603" s="187">
        <v>18</v>
      </c>
      <c r="D603" s="186" t="s">
        <v>825</v>
      </c>
      <c r="E603" s="90">
        <v>80</v>
      </c>
      <c r="F603" s="188">
        <v>17</v>
      </c>
      <c r="G603" s="189">
        <v>0.314746552572019</v>
      </c>
      <c r="H603" s="189">
        <v>0.58599786789293495</v>
      </c>
      <c r="I603" s="189">
        <v>0.90074442046495395</v>
      </c>
      <c r="J603" s="189">
        <v>2.2476014800153199</v>
      </c>
      <c r="K603" s="189">
        <v>9.6069284830952104E-2</v>
      </c>
      <c r="L603" s="189">
        <v>0.27493191452744498</v>
      </c>
      <c r="M603" s="189">
        <v>0</v>
      </c>
      <c r="N603" s="189">
        <v>0</v>
      </c>
      <c r="O603" s="189">
        <v>0.44146341463414601</v>
      </c>
      <c r="P603" s="189">
        <v>1.1830924032672601</v>
      </c>
      <c r="Q603" s="189">
        <v>4.02439024390244E-3</v>
      </c>
      <c r="R603" s="189">
        <v>0.40406689838350401</v>
      </c>
      <c r="S603" s="189">
        <v>4.2982015694211E-2</v>
      </c>
      <c r="T603" s="189">
        <v>0</v>
      </c>
      <c r="U603" s="189">
        <v>0</v>
      </c>
      <c r="V603" s="189">
        <v>0.4</v>
      </c>
      <c r="W603" s="189"/>
      <c r="X603" s="90"/>
      <c r="Y603" s="188"/>
      <c r="Z603" s="188"/>
      <c r="AA603" s="188"/>
      <c r="AB603" s="188"/>
      <c r="AC603" s="188"/>
      <c r="AD603" s="190"/>
      <c r="AE603" s="189"/>
    </row>
    <row r="604" spans="1:31" ht="21.25" customHeight="1" x14ac:dyDescent="0.15">
      <c r="A604" s="10" t="s">
        <v>421</v>
      </c>
      <c r="B604" s="186" t="s">
        <v>840</v>
      </c>
      <c r="C604" s="187">
        <v>18</v>
      </c>
      <c r="D604" s="186" t="s">
        <v>825</v>
      </c>
      <c r="E604" s="90">
        <v>80</v>
      </c>
      <c r="F604" s="188">
        <v>15</v>
      </c>
      <c r="G604" s="189">
        <v>0.22160099082380499</v>
      </c>
      <c r="H604" s="189">
        <v>0.38131591152179001</v>
      </c>
      <c r="I604" s="189">
        <v>0.60291690234559503</v>
      </c>
      <c r="J604" s="189">
        <v>1.8098173397987101</v>
      </c>
      <c r="K604" s="189">
        <v>5.7264334919307401E-2</v>
      </c>
      <c r="L604" s="189">
        <v>0.155800907279701</v>
      </c>
      <c r="M604" s="189">
        <v>0</v>
      </c>
      <c r="N604" s="189">
        <v>0</v>
      </c>
      <c r="O604" s="189">
        <v>0.42682926829268297</v>
      </c>
      <c r="P604" s="189">
        <v>1.1830924032672601</v>
      </c>
      <c r="Q604" s="189">
        <v>1.21951219512195E-4</v>
      </c>
      <c r="R604" s="189">
        <v>0.40406689838350401</v>
      </c>
      <c r="S604" s="189">
        <v>3.0986364273399802E-2</v>
      </c>
      <c r="T604" s="189">
        <v>0</v>
      </c>
      <c r="U604" s="189">
        <v>0</v>
      </c>
      <c r="V604" s="189">
        <v>0.4</v>
      </c>
      <c r="W604" s="189"/>
      <c r="X604" s="90"/>
      <c r="Y604" s="188"/>
      <c r="Z604" s="188"/>
      <c r="AA604" s="188"/>
      <c r="AB604" s="188"/>
      <c r="AC604" s="188"/>
      <c r="AD604" s="190"/>
      <c r="AE604" s="189"/>
    </row>
    <row r="605" spans="1:31" ht="21.25" customHeight="1" x14ac:dyDescent="0.15">
      <c r="A605" s="10" t="s">
        <v>534</v>
      </c>
      <c r="B605" s="186" t="s">
        <v>854</v>
      </c>
      <c r="C605" s="187">
        <v>21</v>
      </c>
      <c r="D605" s="186" t="s">
        <v>826</v>
      </c>
      <c r="E605" s="90">
        <v>77</v>
      </c>
      <c r="F605" s="188">
        <v>15</v>
      </c>
      <c r="G605" s="189">
        <v>0.24115708812141101</v>
      </c>
      <c r="H605" s="189">
        <v>0.24713578948819201</v>
      </c>
      <c r="I605" s="189">
        <v>0.48829287760960299</v>
      </c>
      <c r="J605" s="189">
        <v>1.9017309970974601</v>
      </c>
      <c r="K605" s="189">
        <v>5.4302521966767103E-2</v>
      </c>
      <c r="L605" s="189">
        <v>0.109951297385304</v>
      </c>
      <c r="M605" s="189">
        <v>0</v>
      </c>
      <c r="N605" s="189">
        <v>0</v>
      </c>
      <c r="O605" s="189">
        <v>0.42682926829268297</v>
      </c>
      <c r="P605" s="189">
        <v>1.1830924032672601</v>
      </c>
      <c r="Q605" s="189">
        <v>1.21951219512195E-4</v>
      </c>
      <c r="R605" s="189">
        <v>0.40406689838350401</v>
      </c>
      <c r="S605" s="189">
        <v>2.97626549339534E-2</v>
      </c>
      <c r="T605" s="189">
        <v>0</v>
      </c>
      <c r="U605" s="189">
        <v>0</v>
      </c>
      <c r="V605" s="189">
        <v>0.4</v>
      </c>
      <c r="W605" s="189"/>
      <c r="X605" s="90"/>
      <c r="Y605" s="188"/>
      <c r="Z605" s="188"/>
      <c r="AA605" s="188"/>
      <c r="AB605" s="188"/>
      <c r="AC605" s="188"/>
      <c r="AD605" s="190"/>
      <c r="AE605" s="189"/>
    </row>
    <row r="606" spans="1:31" ht="21.25" customHeight="1" x14ac:dyDescent="0.15">
      <c r="A606" s="10" t="s">
        <v>611</v>
      </c>
      <c r="B606" s="186" t="s">
        <v>869</v>
      </c>
      <c r="C606" s="187">
        <v>20</v>
      </c>
      <c r="D606" s="186" t="s">
        <v>825</v>
      </c>
      <c r="E606" s="90">
        <v>72</v>
      </c>
      <c r="F606" s="188">
        <v>13</v>
      </c>
      <c r="G606" s="189">
        <v>0.20138767193802501</v>
      </c>
      <c r="H606" s="189">
        <v>0.28161372719074101</v>
      </c>
      <c r="I606" s="189">
        <v>0.483001399128766</v>
      </c>
      <c r="J606" s="189">
        <v>1.7148147410355501</v>
      </c>
      <c r="K606" s="189">
        <v>4.4961733927102197E-2</v>
      </c>
      <c r="L606" s="189">
        <v>0.10783470599297</v>
      </c>
      <c r="M606" s="189">
        <v>0</v>
      </c>
      <c r="N606" s="189">
        <v>0</v>
      </c>
      <c r="O606" s="189">
        <v>0.41219512195121999</v>
      </c>
      <c r="P606" s="189">
        <v>1.1830924032672601</v>
      </c>
      <c r="Q606" s="189">
        <v>-3.78048780487805E-3</v>
      </c>
      <c r="R606" s="189">
        <v>0.40406689838350401</v>
      </c>
      <c r="S606" s="189">
        <v>3.01616936201533E-2</v>
      </c>
      <c r="T606" s="189">
        <v>1.9512195121951199</v>
      </c>
      <c r="U606" s="189">
        <v>2.9268292682926802</v>
      </c>
      <c r="V606" s="189">
        <v>0.4</v>
      </c>
      <c r="W606" s="189"/>
      <c r="X606" s="90"/>
      <c r="Y606" s="188"/>
      <c r="Z606" s="188"/>
      <c r="AA606" s="188"/>
      <c r="AB606" s="188"/>
      <c r="AC606" s="188"/>
      <c r="AD606" s="190"/>
      <c r="AE606" s="189"/>
    </row>
    <row r="607" spans="1:31" ht="21.25" customHeight="1" x14ac:dyDescent="0.15">
      <c r="A607" s="10" t="s">
        <v>429</v>
      </c>
      <c r="B607" s="186" t="s">
        <v>841</v>
      </c>
      <c r="C607" s="187">
        <v>19</v>
      </c>
      <c r="D607" s="186" t="s">
        <v>824</v>
      </c>
      <c r="E607" s="90">
        <v>74</v>
      </c>
      <c r="F607" s="188">
        <v>14</v>
      </c>
      <c r="G607" s="189">
        <v>0.27010217440818401</v>
      </c>
      <c r="H607" s="189">
        <v>0.34830255688068201</v>
      </c>
      <c r="I607" s="189">
        <v>0.61840473128886597</v>
      </c>
      <c r="J607" s="189">
        <v>2.03777290264529</v>
      </c>
      <c r="K607" s="189">
        <v>7.0755413286694602E-2</v>
      </c>
      <c r="L607" s="189">
        <v>0.16199603885701</v>
      </c>
      <c r="M607" s="189">
        <v>0</v>
      </c>
      <c r="N607" s="189">
        <v>0</v>
      </c>
      <c r="O607" s="189">
        <v>0.41951219512195098</v>
      </c>
      <c r="P607" s="189">
        <v>1.1830924032672601</v>
      </c>
      <c r="Q607" s="189">
        <v>-1.82926829268293E-3</v>
      </c>
      <c r="R607" s="189">
        <v>0.40406689838350401</v>
      </c>
      <c r="S607" s="189">
        <v>3.6361608629233197E-2</v>
      </c>
      <c r="T607" s="189">
        <v>1.2195121951219501</v>
      </c>
      <c r="U607" s="189">
        <v>1.82926829268293</v>
      </c>
      <c r="V607" s="189">
        <v>0.4</v>
      </c>
      <c r="W607" s="189"/>
      <c r="X607" s="90"/>
      <c r="Y607" s="188"/>
      <c r="Z607" s="188"/>
      <c r="AA607" s="188"/>
      <c r="AB607" s="188"/>
      <c r="AC607" s="188"/>
      <c r="AD607" s="190"/>
      <c r="AE607" s="189"/>
    </row>
    <row r="608" spans="1:31" ht="21.25" customHeight="1" x14ac:dyDescent="0.15">
      <c r="A608" s="10" t="s">
        <v>337</v>
      </c>
      <c r="B608" s="186" t="s">
        <v>840</v>
      </c>
      <c r="C608" s="187">
        <v>21</v>
      </c>
      <c r="D608" s="186" t="s">
        <v>827</v>
      </c>
      <c r="E608" s="90">
        <v>78</v>
      </c>
      <c r="F608" s="188">
        <v>18</v>
      </c>
      <c r="G608" s="189">
        <v>7.1409905687419103E-2</v>
      </c>
      <c r="H608" s="189">
        <v>0.28651625881395199</v>
      </c>
      <c r="I608" s="189">
        <v>0.35792616450137099</v>
      </c>
      <c r="J608" s="189">
        <v>1.5097492558996699</v>
      </c>
      <c r="K608" s="189">
        <v>1.15326073105312E-2</v>
      </c>
      <c r="L608" s="189">
        <v>5.7804612142011699E-2</v>
      </c>
      <c r="M608" s="189">
        <v>0</v>
      </c>
      <c r="N608" s="189">
        <v>0</v>
      </c>
      <c r="O608" s="189">
        <v>1.19756097560976</v>
      </c>
      <c r="P608" s="189">
        <v>1.2325365853658501</v>
      </c>
      <c r="Q608" s="189">
        <v>5.9756097560975602E-3</v>
      </c>
      <c r="R608" s="189">
        <v>0.41</v>
      </c>
      <c r="S608" s="189">
        <v>9.9852141551065501E-3</v>
      </c>
      <c r="T608" s="189">
        <v>0</v>
      </c>
      <c r="U608" s="189">
        <v>0</v>
      </c>
      <c r="V608" s="189">
        <v>0</v>
      </c>
      <c r="W608" s="189"/>
      <c r="X608" s="90"/>
      <c r="Y608" s="188"/>
      <c r="Z608" s="188"/>
      <c r="AA608" s="188"/>
      <c r="AB608" s="188"/>
      <c r="AC608" s="188"/>
      <c r="AD608" s="190"/>
      <c r="AE608" s="189"/>
    </row>
    <row r="609" spans="1:31" ht="21.25" customHeight="1" x14ac:dyDescent="0.15">
      <c r="A609" s="24"/>
      <c r="B609" s="191"/>
      <c r="C609" s="191"/>
      <c r="D609" s="192"/>
      <c r="E609" s="90"/>
      <c r="F609" s="188"/>
      <c r="G609" s="189"/>
      <c r="H609" s="189"/>
      <c r="I609" s="189"/>
      <c r="J609" s="189"/>
      <c r="K609" s="189"/>
      <c r="L609" s="189"/>
      <c r="M609" s="189"/>
      <c r="N609" s="189"/>
      <c r="O609" s="189"/>
      <c r="P609" s="189"/>
      <c r="Q609" s="189"/>
      <c r="R609" s="189"/>
      <c r="S609" s="189"/>
      <c r="T609" s="189"/>
      <c r="U609" s="189"/>
      <c r="V609" s="189"/>
      <c r="W609" s="189"/>
      <c r="X609" s="90"/>
      <c r="Y609" s="189"/>
      <c r="Z609" s="189"/>
      <c r="AA609" s="189"/>
      <c r="AB609" s="189"/>
      <c r="AC609" s="188"/>
      <c r="AD609" s="190"/>
      <c r="AE609" s="189"/>
    </row>
    <row r="610" spans="1:31" ht="21.25" customHeight="1" x14ac:dyDescent="0.15">
      <c r="A610" s="10" t="s">
        <v>225</v>
      </c>
      <c r="B610" s="186" t="s">
        <v>859</v>
      </c>
      <c r="C610" s="187">
        <v>26</v>
      </c>
      <c r="D610" s="186" t="s">
        <v>105</v>
      </c>
      <c r="E610" s="90"/>
      <c r="F610" s="188"/>
      <c r="G610" s="189"/>
      <c r="H610" s="189"/>
      <c r="I610" s="189"/>
      <c r="J610" s="189"/>
      <c r="K610" s="189"/>
      <c r="L610" s="189"/>
      <c r="M610" s="189"/>
      <c r="N610" s="189"/>
      <c r="O610" s="189"/>
      <c r="P610" s="189"/>
      <c r="Q610" s="189"/>
      <c r="R610" s="189"/>
      <c r="S610" s="189"/>
      <c r="T610" s="189"/>
      <c r="U610" s="189"/>
      <c r="V610" s="189"/>
      <c r="W610" s="189"/>
      <c r="X610" s="90">
        <v>55</v>
      </c>
      <c r="Y610" s="189">
        <v>0.462416208191745</v>
      </c>
      <c r="Z610" s="189">
        <v>0.403187843856191</v>
      </c>
      <c r="AA610" s="189">
        <v>0.134395947952064</v>
      </c>
      <c r="AB610" s="189">
        <v>3.7317629209390302E-2</v>
      </c>
      <c r="AC610" s="188">
        <v>27.393443877833299</v>
      </c>
      <c r="AD610" s="190">
        <v>0.89963538350191496</v>
      </c>
      <c r="AE610" s="189">
        <v>3.0560519736990801</v>
      </c>
    </row>
    <row r="611" spans="1:31" ht="21.25" customHeight="1" x14ac:dyDescent="0.15">
      <c r="A611" s="10" t="s">
        <v>655</v>
      </c>
      <c r="B611" s="186" t="s">
        <v>859</v>
      </c>
      <c r="C611" s="187">
        <v>31</v>
      </c>
      <c r="D611" s="186" t="s">
        <v>105</v>
      </c>
      <c r="E611" s="90"/>
      <c r="F611" s="188"/>
      <c r="G611" s="189"/>
      <c r="H611" s="189"/>
      <c r="I611" s="189"/>
      <c r="J611" s="189"/>
      <c r="K611" s="189"/>
      <c r="L611" s="189"/>
      <c r="M611" s="189"/>
      <c r="N611" s="189"/>
      <c r="O611" s="189"/>
      <c r="P611" s="189"/>
      <c r="Q611" s="189"/>
      <c r="R611" s="189"/>
      <c r="S611" s="189"/>
      <c r="T611" s="189"/>
      <c r="U611" s="189"/>
      <c r="V611" s="189"/>
      <c r="W611" s="189"/>
      <c r="X611" s="90">
        <v>25</v>
      </c>
      <c r="Y611" s="189">
        <v>0.432782885737864</v>
      </c>
      <c r="Z611" s="189">
        <v>0.42541283569660399</v>
      </c>
      <c r="AA611" s="189">
        <v>0.14180427856553399</v>
      </c>
      <c r="AB611" s="189">
        <v>2.4413998615859502E-2</v>
      </c>
      <c r="AC611" s="188">
        <v>26.480460663571598</v>
      </c>
      <c r="AD611" s="190">
        <v>0.89143567303501803</v>
      </c>
      <c r="AE611" s="189">
        <v>3.22494766209608</v>
      </c>
    </row>
    <row r="612" spans="1:31" ht="21.25" customHeight="1" x14ac:dyDescent="0.15">
      <c r="A612" s="10" t="s">
        <v>208</v>
      </c>
      <c r="B612" s="186" t="s">
        <v>841</v>
      </c>
      <c r="C612" s="187">
        <v>27</v>
      </c>
      <c r="D612" s="186" t="s">
        <v>105</v>
      </c>
      <c r="E612" s="90"/>
      <c r="F612" s="188"/>
      <c r="G612" s="189"/>
      <c r="H612" s="189"/>
      <c r="I612" s="189"/>
      <c r="J612" s="189"/>
      <c r="K612" s="189"/>
      <c r="L612" s="189"/>
      <c r="M612" s="189"/>
      <c r="N612" s="189"/>
      <c r="O612" s="189"/>
      <c r="P612" s="189"/>
      <c r="Q612" s="189"/>
      <c r="R612" s="189"/>
      <c r="S612" s="189"/>
      <c r="T612" s="189"/>
      <c r="U612" s="189"/>
      <c r="V612" s="189"/>
      <c r="W612" s="189"/>
      <c r="X612" s="90">
        <v>55</v>
      </c>
      <c r="Y612" s="189">
        <v>0.48633027006254698</v>
      </c>
      <c r="Z612" s="189">
        <v>0.38525229745308898</v>
      </c>
      <c r="AA612" s="189">
        <v>0.12841743248436299</v>
      </c>
      <c r="AB612" s="189">
        <v>5.2013936030035499E-2</v>
      </c>
      <c r="AC612" s="188">
        <v>26.8364194479989</v>
      </c>
      <c r="AD612" s="190">
        <v>0.90357975767568</v>
      </c>
      <c r="AE612" s="189">
        <v>2.8636919367796398</v>
      </c>
    </row>
    <row r="613" spans="1:31" ht="21.25" customHeight="1" x14ac:dyDescent="0.15">
      <c r="A613" s="10" t="s">
        <v>618</v>
      </c>
      <c r="B613" s="186" t="s">
        <v>841</v>
      </c>
      <c r="C613" s="187">
        <v>27</v>
      </c>
      <c r="D613" s="186" t="s">
        <v>105</v>
      </c>
      <c r="E613" s="90"/>
      <c r="F613" s="188"/>
      <c r="G613" s="189"/>
      <c r="H613" s="189"/>
      <c r="I613" s="189"/>
      <c r="J613" s="189"/>
      <c r="K613" s="189"/>
      <c r="L613" s="189"/>
      <c r="M613" s="189"/>
      <c r="N613" s="189"/>
      <c r="O613" s="189"/>
      <c r="P613" s="189"/>
      <c r="Q613" s="189"/>
      <c r="R613" s="189"/>
      <c r="S613" s="189"/>
      <c r="T613" s="189"/>
      <c r="U613" s="189"/>
      <c r="V613" s="189"/>
      <c r="W613" s="189"/>
      <c r="X613" s="90">
        <v>25</v>
      </c>
      <c r="Y613" s="189">
        <v>0.46075659585082801</v>
      </c>
      <c r="Z613" s="189">
        <v>0.40443255311187998</v>
      </c>
      <c r="AA613" s="189">
        <v>0.13481085103729301</v>
      </c>
      <c r="AB613" s="189">
        <v>4.1705911633120103E-2</v>
      </c>
      <c r="AC613" s="188">
        <v>26.701386277920601</v>
      </c>
      <c r="AD613" s="190">
        <v>0.89903657501415601</v>
      </c>
      <c r="AE613" s="189">
        <v>2.9986137220795799</v>
      </c>
    </row>
    <row r="614" spans="1:31" ht="21.25" customHeight="1" x14ac:dyDescent="0.15">
      <c r="A614" s="10" t="s">
        <v>340</v>
      </c>
      <c r="B614" s="186" t="s">
        <v>862</v>
      </c>
      <c r="C614" s="187">
        <v>27</v>
      </c>
      <c r="D614" s="186" t="s">
        <v>105</v>
      </c>
      <c r="E614" s="90"/>
      <c r="F614" s="188"/>
      <c r="G614" s="189"/>
      <c r="H614" s="189"/>
      <c r="I614" s="189"/>
      <c r="J614" s="189"/>
      <c r="K614" s="189"/>
      <c r="L614" s="189"/>
      <c r="M614" s="189"/>
      <c r="N614" s="189"/>
      <c r="O614" s="189"/>
      <c r="P614" s="189"/>
      <c r="Q614" s="189"/>
      <c r="R614" s="189"/>
      <c r="S614" s="189"/>
      <c r="T614" s="189"/>
      <c r="U614" s="189"/>
      <c r="V614" s="189"/>
      <c r="W614" s="189"/>
      <c r="X614" s="90">
        <v>45</v>
      </c>
      <c r="Y614" s="189">
        <v>0.52249884483653997</v>
      </c>
      <c r="Z614" s="189">
        <v>0.35812586637259602</v>
      </c>
      <c r="AA614" s="189">
        <v>0.11937528879086499</v>
      </c>
      <c r="AB614" s="189">
        <v>5.1475113580113398E-2</v>
      </c>
      <c r="AC614" s="188">
        <v>25.338081152862099</v>
      </c>
      <c r="AD614" s="190">
        <v>0.89823239672727995</v>
      </c>
      <c r="AE614" s="189">
        <v>2.8707445866477301</v>
      </c>
    </row>
    <row r="615" spans="1:31" ht="21.25" customHeight="1" x14ac:dyDescent="0.15">
      <c r="A615" s="10" t="s">
        <v>452</v>
      </c>
      <c r="B615" s="186" t="s">
        <v>862</v>
      </c>
      <c r="C615" s="187">
        <v>33</v>
      </c>
      <c r="D615" s="186" t="s">
        <v>105</v>
      </c>
      <c r="E615" s="90"/>
      <c r="F615" s="188"/>
      <c r="G615" s="189"/>
      <c r="H615" s="189"/>
      <c r="I615" s="189"/>
      <c r="J615" s="189"/>
      <c r="K615" s="189"/>
      <c r="L615" s="189"/>
      <c r="M615" s="189"/>
      <c r="N615" s="189"/>
      <c r="O615" s="189"/>
      <c r="P615" s="189"/>
      <c r="Q615" s="189"/>
      <c r="R615" s="189"/>
      <c r="S615" s="189"/>
      <c r="T615" s="189"/>
      <c r="U615" s="189"/>
      <c r="V615" s="189"/>
      <c r="W615" s="189"/>
      <c r="X615" s="90">
        <v>35</v>
      </c>
      <c r="Y615" s="189">
        <v>0.51944014734900001</v>
      </c>
      <c r="Z615" s="189">
        <v>0.36041988948825099</v>
      </c>
      <c r="AA615" s="189">
        <v>0.12013996316275</v>
      </c>
      <c r="AB615" s="189">
        <v>5.0265633878331398E-2</v>
      </c>
      <c r="AC615" s="188">
        <v>25.899522545914401</v>
      </c>
      <c r="AD615" s="190">
        <v>0.89972328062940599</v>
      </c>
      <c r="AE615" s="189">
        <v>2.8865754727967099</v>
      </c>
    </row>
    <row r="616" spans="1:31" ht="21.25" customHeight="1" x14ac:dyDescent="0.15">
      <c r="A616" s="10" t="s">
        <v>399</v>
      </c>
      <c r="B616" s="186" t="s">
        <v>860</v>
      </c>
      <c r="C616" s="187">
        <v>27</v>
      </c>
      <c r="D616" s="186" t="s">
        <v>105</v>
      </c>
      <c r="E616" s="90"/>
      <c r="F616" s="188"/>
      <c r="G616" s="189"/>
      <c r="H616" s="189"/>
      <c r="I616" s="189"/>
      <c r="J616" s="189"/>
      <c r="K616" s="189"/>
      <c r="L616" s="189"/>
      <c r="M616" s="189"/>
      <c r="N616" s="189"/>
      <c r="O616" s="189"/>
      <c r="P616" s="189"/>
      <c r="Q616" s="189"/>
      <c r="R616" s="189"/>
      <c r="S616" s="189"/>
      <c r="T616" s="189"/>
      <c r="U616" s="189"/>
      <c r="V616" s="189"/>
      <c r="W616" s="189"/>
      <c r="X616" s="90">
        <v>40</v>
      </c>
      <c r="Y616" s="189">
        <v>0.59302740482124505</v>
      </c>
      <c r="Z616" s="189">
        <v>0.30522944638406801</v>
      </c>
      <c r="AA616" s="189">
        <v>0.101743148794689</v>
      </c>
      <c r="AB616" s="189">
        <v>6.5524568696944605E-2</v>
      </c>
      <c r="AC616" s="188">
        <v>23.647410995811601</v>
      </c>
      <c r="AD616" s="190">
        <v>0.89797127500322005</v>
      </c>
      <c r="AE616" s="189">
        <v>2.6868511950661702</v>
      </c>
    </row>
    <row r="617" spans="1:31" ht="21.25" customHeight="1" x14ac:dyDescent="0.15">
      <c r="A617" s="10" t="s">
        <v>431</v>
      </c>
      <c r="B617" s="186" t="s">
        <v>860</v>
      </c>
      <c r="C617" s="187">
        <v>28</v>
      </c>
      <c r="D617" s="186" t="s">
        <v>105</v>
      </c>
      <c r="E617" s="90"/>
      <c r="F617" s="188"/>
      <c r="G617" s="189"/>
      <c r="H617" s="189"/>
      <c r="I617" s="189"/>
      <c r="J617" s="189"/>
      <c r="K617" s="189"/>
      <c r="L617" s="189"/>
      <c r="M617" s="189"/>
      <c r="N617" s="189"/>
      <c r="O617" s="189"/>
      <c r="P617" s="189"/>
      <c r="Q617" s="189"/>
      <c r="R617" s="189"/>
      <c r="S617" s="189"/>
      <c r="T617" s="189"/>
      <c r="U617" s="189"/>
      <c r="V617" s="189"/>
      <c r="W617" s="189"/>
      <c r="X617" s="90">
        <v>40</v>
      </c>
      <c r="Y617" s="189">
        <v>0.59001922913727001</v>
      </c>
      <c r="Z617" s="189">
        <v>0.30748557814704802</v>
      </c>
      <c r="AA617" s="189">
        <v>0.102495192715683</v>
      </c>
      <c r="AB617" s="189">
        <v>6.4374643240964896E-2</v>
      </c>
      <c r="AC617" s="188">
        <v>23.174207213087801</v>
      </c>
      <c r="AD617" s="190">
        <v>0.89558312290883102</v>
      </c>
      <c r="AE617" s="189">
        <v>2.7019025753800401</v>
      </c>
    </row>
    <row r="618" spans="1:31" ht="21.25" customHeight="1" x14ac:dyDescent="0.15">
      <c r="A618" s="10" t="s">
        <v>172</v>
      </c>
      <c r="B618" s="186" t="s">
        <v>857</v>
      </c>
      <c r="C618" s="187">
        <v>25</v>
      </c>
      <c r="D618" s="186" t="s">
        <v>105</v>
      </c>
      <c r="E618" s="90"/>
      <c r="F618" s="188"/>
      <c r="G618" s="189"/>
      <c r="H618" s="189"/>
      <c r="I618" s="189"/>
      <c r="J618" s="189"/>
      <c r="K618" s="189"/>
      <c r="L618" s="189"/>
      <c r="M618" s="189"/>
      <c r="N618" s="189"/>
      <c r="O618" s="189"/>
      <c r="P618" s="189"/>
      <c r="Q618" s="189"/>
      <c r="R618" s="189"/>
      <c r="S618" s="189"/>
      <c r="T618" s="189"/>
      <c r="U618" s="189"/>
      <c r="V618" s="189"/>
      <c r="W618" s="189"/>
      <c r="X618" s="90">
        <v>55</v>
      </c>
      <c r="Y618" s="189">
        <v>0.53445551547223102</v>
      </c>
      <c r="Z618" s="189">
        <v>0.34915836339582701</v>
      </c>
      <c r="AA618" s="189">
        <v>0.11638612113194199</v>
      </c>
      <c r="AB618" s="189">
        <v>6.4295449812121305E-2</v>
      </c>
      <c r="AC618" s="188">
        <v>26.753590903172999</v>
      </c>
      <c r="AD618" s="190">
        <v>0.908239730383956</v>
      </c>
      <c r="AE618" s="189">
        <v>2.7029391385847998</v>
      </c>
    </row>
    <row r="619" spans="1:31" ht="21.25" customHeight="1" x14ac:dyDescent="0.15">
      <c r="A619" s="10" t="s">
        <v>662</v>
      </c>
      <c r="B619" s="186" t="s">
        <v>857</v>
      </c>
      <c r="C619" s="187">
        <v>32</v>
      </c>
      <c r="D619" s="186" t="s">
        <v>105</v>
      </c>
      <c r="E619" s="90"/>
      <c r="F619" s="188"/>
      <c r="G619" s="189"/>
      <c r="H619" s="189"/>
      <c r="I619" s="189"/>
      <c r="J619" s="189"/>
      <c r="K619" s="189"/>
      <c r="L619" s="189"/>
      <c r="M619" s="189"/>
      <c r="N619" s="189"/>
      <c r="O619" s="189"/>
      <c r="P619" s="189"/>
      <c r="Q619" s="189"/>
      <c r="R619" s="189"/>
      <c r="S619" s="189"/>
      <c r="T619" s="189"/>
      <c r="U619" s="189"/>
      <c r="V619" s="189"/>
      <c r="W619" s="189"/>
      <c r="X619" s="90">
        <v>25</v>
      </c>
      <c r="Y619" s="189">
        <v>0.49019805809842798</v>
      </c>
      <c r="Z619" s="189">
        <v>0.38235145642617901</v>
      </c>
      <c r="AA619" s="189">
        <v>0.127450485475393</v>
      </c>
      <c r="AB619" s="189">
        <v>4.7200683170313402E-2</v>
      </c>
      <c r="AC619" s="188">
        <v>23.989449246503099</v>
      </c>
      <c r="AD619" s="190">
        <v>0.89126626534238396</v>
      </c>
      <c r="AE619" s="189">
        <v>2.9266926286608199</v>
      </c>
    </row>
    <row r="620" spans="1:31" ht="21.25" customHeight="1" x14ac:dyDescent="0.15">
      <c r="A620" s="10" t="s">
        <v>205</v>
      </c>
      <c r="B620" s="186" t="s">
        <v>871</v>
      </c>
      <c r="C620" s="187">
        <v>25</v>
      </c>
      <c r="D620" s="186" t="s">
        <v>105</v>
      </c>
      <c r="E620" s="90"/>
      <c r="F620" s="188"/>
      <c r="G620" s="189"/>
      <c r="H620" s="189"/>
      <c r="I620" s="189"/>
      <c r="J620" s="189"/>
      <c r="K620" s="189"/>
      <c r="L620" s="189"/>
      <c r="M620" s="189"/>
      <c r="N620" s="189"/>
      <c r="O620" s="189"/>
      <c r="P620" s="189"/>
      <c r="Q620" s="189"/>
      <c r="R620" s="189"/>
      <c r="S620" s="189"/>
      <c r="T620" s="189"/>
      <c r="U620" s="189"/>
      <c r="V620" s="189"/>
      <c r="W620" s="189"/>
      <c r="X620" s="90">
        <v>55</v>
      </c>
      <c r="Y620" s="189">
        <v>0.36259217659167597</v>
      </c>
      <c r="Z620" s="189">
        <v>0.47805586755624402</v>
      </c>
      <c r="AA620" s="189">
        <v>0.15935195585208101</v>
      </c>
      <c r="AB620" s="189">
        <v>4.2406237428320899E-2</v>
      </c>
      <c r="AC620" s="188">
        <v>28.4589387694602</v>
      </c>
      <c r="AD620" s="190">
        <v>0.90494115782769302</v>
      </c>
      <c r="AE620" s="189">
        <v>2.9894471540795702</v>
      </c>
    </row>
    <row r="621" spans="1:31" ht="21.25" customHeight="1" x14ac:dyDescent="0.15">
      <c r="A621" s="10" t="s">
        <v>638</v>
      </c>
      <c r="B621" s="186" t="s">
        <v>871</v>
      </c>
      <c r="C621" s="187">
        <v>29</v>
      </c>
      <c r="D621" s="186" t="s">
        <v>105</v>
      </c>
      <c r="E621" s="90"/>
      <c r="F621" s="188"/>
      <c r="G621" s="189"/>
      <c r="H621" s="189"/>
      <c r="I621" s="189"/>
      <c r="J621" s="189"/>
      <c r="K621" s="189"/>
      <c r="L621" s="189"/>
      <c r="M621" s="189"/>
      <c r="N621" s="189"/>
      <c r="O621" s="189"/>
      <c r="P621" s="189"/>
      <c r="Q621" s="189"/>
      <c r="R621" s="189"/>
      <c r="S621" s="189"/>
      <c r="T621" s="189"/>
      <c r="U621" s="189"/>
      <c r="V621" s="189"/>
      <c r="W621" s="189"/>
      <c r="X621" s="90">
        <v>25</v>
      </c>
      <c r="Y621" s="189">
        <v>0.34328932482833402</v>
      </c>
      <c r="Z621" s="189">
        <v>0.49253300637874797</v>
      </c>
      <c r="AA621" s="189">
        <v>0.16417766879291601</v>
      </c>
      <c r="AB621" s="189">
        <v>3.3576297045558597E-2</v>
      </c>
      <c r="AC621" s="188">
        <v>27.083062929270099</v>
      </c>
      <c r="AD621" s="190">
        <v>0.89714411273757599</v>
      </c>
      <c r="AE621" s="189">
        <v>3.1050222899795998</v>
      </c>
    </row>
    <row r="622" spans="1:31" ht="21.25" customHeight="1" x14ac:dyDescent="0.15">
      <c r="A622" s="10" t="s">
        <v>199</v>
      </c>
      <c r="B622" s="186" t="s">
        <v>854</v>
      </c>
      <c r="C622" s="187">
        <v>25</v>
      </c>
      <c r="D622" s="186" t="s">
        <v>105</v>
      </c>
      <c r="E622" s="90"/>
      <c r="F622" s="188"/>
      <c r="G622" s="189"/>
      <c r="H622" s="189"/>
      <c r="I622" s="189"/>
      <c r="J622" s="189"/>
      <c r="K622" s="189"/>
      <c r="L622" s="189"/>
      <c r="M622" s="189"/>
      <c r="N622" s="189"/>
      <c r="O622" s="189"/>
      <c r="P622" s="189"/>
      <c r="Q622" s="189"/>
      <c r="R622" s="189"/>
      <c r="S622" s="189"/>
      <c r="T622" s="189"/>
      <c r="U622" s="189"/>
      <c r="V622" s="189"/>
      <c r="W622" s="189"/>
      <c r="X622" s="90">
        <v>55</v>
      </c>
      <c r="Y622" s="189">
        <v>0.39569281427612502</v>
      </c>
      <c r="Z622" s="189">
        <v>0.45323038929290499</v>
      </c>
      <c r="AA622" s="189">
        <v>0.151076796430969</v>
      </c>
      <c r="AB622" s="189">
        <v>3.2294511447949099E-2</v>
      </c>
      <c r="AC622" s="188">
        <v>29.352339182812699</v>
      </c>
      <c r="AD622" s="190">
        <v>0.90386813302814495</v>
      </c>
      <c r="AE622" s="189">
        <v>3.1217995883776299</v>
      </c>
    </row>
    <row r="623" spans="1:31" ht="21.25" customHeight="1" x14ac:dyDescent="0.15">
      <c r="A623" s="10" t="s">
        <v>665</v>
      </c>
      <c r="B623" s="186" t="s">
        <v>854</v>
      </c>
      <c r="C623" s="187">
        <v>27</v>
      </c>
      <c r="D623" s="186" t="s">
        <v>105</v>
      </c>
      <c r="E623" s="90"/>
      <c r="F623" s="188"/>
      <c r="G623" s="189"/>
      <c r="H623" s="189"/>
      <c r="I623" s="189"/>
      <c r="J623" s="189"/>
      <c r="K623" s="189"/>
      <c r="L623" s="189"/>
      <c r="M623" s="189"/>
      <c r="N623" s="189"/>
      <c r="O623" s="189"/>
      <c r="P623" s="189"/>
      <c r="Q623" s="189"/>
      <c r="R623" s="189"/>
      <c r="S623" s="189"/>
      <c r="T623" s="189"/>
      <c r="U623" s="189"/>
      <c r="V623" s="189"/>
      <c r="W623" s="189"/>
      <c r="X623" s="90">
        <v>25</v>
      </c>
      <c r="Y623" s="189">
        <v>0.36647346390277502</v>
      </c>
      <c r="Z623" s="189">
        <v>0.47514490207291998</v>
      </c>
      <c r="AA623" s="189">
        <v>0.158381634024306</v>
      </c>
      <c r="AB623" s="189">
        <v>1.86560957728041E-2</v>
      </c>
      <c r="AC623" s="188">
        <v>26.9070538780954</v>
      </c>
      <c r="AD623" s="190">
        <v>0.890744767370651</v>
      </c>
      <c r="AE623" s="189">
        <v>3.3003128825549202</v>
      </c>
    </row>
    <row r="624" spans="1:31" ht="21.25" customHeight="1" x14ac:dyDescent="0.15">
      <c r="A624" s="10" t="s">
        <v>237</v>
      </c>
      <c r="B624" s="186" t="s">
        <v>838</v>
      </c>
      <c r="C624" s="187">
        <v>34</v>
      </c>
      <c r="D624" s="186" t="s">
        <v>105</v>
      </c>
      <c r="E624" s="90"/>
      <c r="F624" s="188"/>
      <c r="G624" s="189"/>
      <c r="H624" s="189"/>
      <c r="I624" s="189"/>
      <c r="J624" s="189"/>
      <c r="K624" s="189"/>
      <c r="L624" s="189"/>
      <c r="M624" s="189"/>
      <c r="N624" s="189"/>
      <c r="O624" s="189"/>
      <c r="P624" s="189"/>
      <c r="Q624" s="189"/>
      <c r="R624" s="189"/>
      <c r="S624" s="189"/>
      <c r="T624" s="189"/>
      <c r="U624" s="189"/>
      <c r="V624" s="189"/>
      <c r="W624" s="189"/>
      <c r="X624" s="90">
        <v>45</v>
      </c>
      <c r="Y624" s="189">
        <v>0.599635296708109</v>
      </c>
      <c r="Z624" s="189">
        <v>0.300273527468918</v>
      </c>
      <c r="AA624" s="189">
        <v>0.100091175822973</v>
      </c>
      <c r="AB624" s="189">
        <v>6.7705887981190899E-2</v>
      </c>
      <c r="AC624" s="188">
        <v>26.274371854267901</v>
      </c>
      <c r="AD624" s="190">
        <v>0.908121174618022</v>
      </c>
      <c r="AE624" s="189">
        <v>2.6582998955341499</v>
      </c>
    </row>
    <row r="625" spans="1:31" ht="21.25" customHeight="1" x14ac:dyDescent="0.15">
      <c r="A625" s="10" t="s">
        <v>417</v>
      </c>
      <c r="B625" s="186" t="s">
        <v>838</v>
      </c>
      <c r="C625" s="187">
        <v>29</v>
      </c>
      <c r="D625" s="186" t="s">
        <v>105</v>
      </c>
      <c r="E625" s="90"/>
      <c r="F625" s="188"/>
      <c r="G625" s="189"/>
      <c r="H625" s="189"/>
      <c r="I625" s="189"/>
      <c r="J625" s="189"/>
      <c r="K625" s="189"/>
      <c r="L625" s="189"/>
      <c r="M625" s="189"/>
      <c r="N625" s="189"/>
      <c r="O625" s="189"/>
      <c r="P625" s="189"/>
      <c r="Q625" s="189"/>
      <c r="R625" s="189"/>
      <c r="S625" s="189"/>
      <c r="T625" s="189"/>
      <c r="U625" s="189"/>
      <c r="V625" s="189"/>
      <c r="W625" s="189"/>
      <c r="X625" s="90">
        <v>35</v>
      </c>
      <c r="Y625" s="189">
        <v>0.59498103828480597</v>
      </c>
      <c r="Z625" s="189">
        <v>0.30376422128639702</v>
      </c>
      <c r="AA625" s="189">
        <v>0.10125474042879901</v>
      </c>
      <c r="AB625" s="189">
        <v>6.5934879879785496E-2</v>
      </c>
      <c r="AC625" s="188">
        <v>24.787928290069001</v>
      </c>
      <c r="AD625" s="190">
        <v>0.90238302405183102</v>
      </c>
      <c r="AE625" s="189">
        <v>2.6814806298457401</v>
      </c>
    </row>
    <row r="626" spans="1:31" ht="21.25" customHeight="1" x14ac:dyDescent="0.15">
      <c r="A626" s="10" t="s">
        <v>194</v>
      </c>
      <c r="B626" s="186" t="s">
        <v>847</v>
      </c>
      <c r="C626" s="187">
        <v>27</v>
      </c>
      <c r="D626" s="186" t="s">
        <v>105</v>
      </c>
      <c r="E626" s="90"/>
      <c r="F626" s="188"/>
      <c r="G626" s="189"/>
      <c r="H626" s="189"/>
      <c r="I626" s="189"/>
      <c r="J626" s="189"/>
      <c r="K626" s="189"/>
      <c r="L626" s="189"/>
      <c r="M626" s="189"/>
      <c r="N626" s="189"/>
      <c r="O626" s="189"/>
      <c r="P626" s="189"/>
      <c r="Q626" s="189"/>
      <c r="R626" s="189"/>
      <c r="S626" s="189"/>
      <c r="T626" s="189"/>
      <c r="U626" s="189"/>
      <c r="V626" s="189"/>
      <c r="W626" s="189"/>
      <c r="X626" s="90">
        <v>55</v>
      </c>
      <c r="Y626" s="189">
        <v>0.58897521452211599</v>
      </c>
      <c r="Z626" s="189">
        <v>0.30826858910841298</v>
      </c>
      <c r="AA626" s="189">
        <v>0.102756196369471</v>
      </c>
      <c r="AB626" s="189">
        <v>6.8589620700895096E-2</v>
      </c>
      <c r="AC626" s="188">
        <v>25.366574486314001</v>
      </c>
      <c r="AD626" s="190">
        <v>0.90551873456155696</v>
      </c>
      <c r="AE626" s="189">
        <v>2.6467327133390701</v>
      </c>
    </row>
    <row r="627" spans="1:31" ht="21.25" customHeight="1" x14ac:dyDescent="0.15">
      <c r="A627" s="10" t="s">
        <v>613</v>
      </c>
      <c r="B627" s="186" t="s">
        <v>847</v>
      </c>
      <c r="C627" s="187">
        <v>35</v>
      </c>
      <c r="D627" s="186" t="s">
        <v>105</v>
      </c>
      <c r="E627" s="90"/>
      <c r="F627" s="188"/>
      <c r="G627" s="189"/>
      <c r="H627" s="189"/>
      <c r="I627" s="189"/>
      <c r="J627" s="189"/>
      <c r="K627" s="189"/>
      <c r="L627" s="189"/>
      <c r="M627" s="189"/>
      <c r="N627" s="189"/>
      <c r="O627" s="189"/>
      <c r="P627" s="189"/>
      <c r="Q627" s="189"/>
      <c r="R627" s="189"/>
      <c r="S627" s="189"/>
      <c r="T627" s="189"/>
      <c r="U627" s="189"/>
      <c r="V627" s="189"/>
      <c r="W627" s="189"/>
      <c r="X627" s="90">
        <v>25</v>
      </c>
      <c r="Y627" s="189">
        <v>0.56252051093981603</v>
      </c>
      <c r="Z627" s="189">
        <v>0.328109616795138</v>
      </c>
      <c r="AA627" s="189">
        <v>0.10936987226504601</v>
      </c>
      <c r="AB627" s="189">
        <v>5.85176384220236E-2</v>
      </c>
      <c r="AC627" s="188">
        <v>24.948938575982101</v>
      </c>
      <c r="AD627" s="190">
        <v>0.89979029520973297</v>
      </c>
      <c r="AE627" s="189">
        <v>2.7785649421201102</v>
      </c>
    </row>
    <row r="628" spans="1:31" ht="21.25" customHeight="1" x14ac:dyDescent="0.15">
      <c r="A628" s="10" t="s">
        <v>209</v>
      </c>
      <c r="B628" s="186" t="s">
        <v>861</v>
      </c>
      <c r="C628" s="187">
        <v>33</v>
      </c>
      <c r="D628" s="186" t="s">
        <v>105</v>
      </c>
      <c r="E628" s="90"/>
      <c r="F628" s="188"/>
      <c r="G628" s="189"/>
      <c r="H628" s="189"/>
      <c r="I628" s="189"/>
      <c r="J628" s="189"/>
      <c r="K628" s="189"/>
      <c r="L628" s="189"/>
      <c r="M628" s="189"/>
      <c r="N628" s="189"/>
      <c r="O628" s="189"/>
      <c r="P628" s="189"/>
      <c r="Q628" s="189"/>
      <c r="R628" s="189"/>
      <c r="S628" s="189"/>
      <c r="T628" s="189"/>
      <c r="U628" s="189"/>
      <c r="V628" s="189"/>
      <c r="W628" s="189"/>
      <c r="X628" s="90">
        <v>55</v>
      </c>
      <c r="Y628" s="189">
        <v>0.48474513722826001</v>
      </c>
      <c r="Z628" s="189">
        <v>0.386441147078805</v>
      </c>
      <c r="AA628" s="189">
        <v>0.12881371569293501</v>
      </c>
      <c r="AB628" s="189">
        <v>5.5333763361779302E-2</v>
      </c>
      <c r="AC628" s="188">
        <v>26.572397632022099</v>
      </c>
      <c r="AD628" s="190">
        <v>0.90404948138547603</v>
      </c>
      <c r="AE628" s="189">
        <v>2.8202386994531499</v>
      </c>
    </row>
    <row r="629" spans="1:31" ht="21.25" customHeight="1" x14ac:dyDescent="0.15">
      <c r="A629" s="10" t="s">
        <v>658</v>
      </c>
      <c r="B629" s="186" t="s">
        <v>861</v>
      </c>
      <c r="C629" s="187">
        <v>27</v>
      </c>
      <c r="D629" s="186" t="s">
        <v>105</v>
      </c>
      <c r="E629" s="90"/>
      <c r="F629" s="188"/>
      <c r="G629" s="189"/>
      <c r="H629" s="189"/>
      <c r="I629" s="189"/>
      <c r="J629" s="189"/>
      <c r="K629" s="189"/>
      <c r="L629" s="189"/>
      <c r="M629" s="189"/>
      <c r="N629" s="189"/>
      <c r="O629" s="189"/>
      <c r="P629" s="189"/>
      <c r="Q629" s="189"/>
      <c r="R629" s="189"/>
      <c r="S629" s="189"/>
      <c r="T629" s="189"/>
      <c r="U629" s="189"/>
      <c r="V629" s="189"/>
      <c r="W629" s="189"/>
      <c r="X629" s="90">
        <v>25</v>
      </c>
      <c r="Y629" s="189">
        <v>0.46392368905430797</v>
      </c>
      <c r="Z629" s="189">
        <v>0.40205723320926801</v>
      </c>
      <c r="AA629" s="189">
        <v>0.13401907773642299</v>
      </c>
      <c r="AB629" s="189">
        <v>4.7106110593344498E-2</v>
      </c>
      <c r="AC629" s="188">
        <v>24.318707170348699</v>
      </c>
      <c r="AD629" s="190">
        <v>0.892539750182896</v>
      </c>
      <c r="AE629" s="189">
        <v>2.92793048961591</v>
      </c>
    </row>
    <row r="630" spans="1:31" ht="21.25" customHeight="1" x14ac:dyDescent="0.15">
      <c r="A630" s="10" t="s">
        <v>513</v>
      </c>
      <c r="B630" s="186" t="s">
        <v>836</v>
      </c>
      <c r="C630" s="187">
        <v>36</v>
      </c>
      <c r="D630" s="186" t="s">
        <v>105</v>
      </c>
      <c r="E630" s="90"/>
      <c r="F630" s="188"/>
      <c r="G630" s="189"/>
      <c r="H630" s="189"/>
      <c r="I630" s="189"/>
      <c r="J630" s="189"/>
      <c r="K630" s="189"/>
      <c r="L630" s="189"/>
      <c r="M630" s="189"/>
      <c r="N630" s="189"/>
      <c r="O630" s="189"/>
      <c r="P630" s="189"/>
      <c r="Q630" s="189"/>
      <c r="R630" s="189"/>
      <c r="S630" s="189"/>
      <c r="T630" s="189"/>
      <c r="U630" s="189"/>
      <c r="V630" s="189"/>
      <c r="W630" s="189"/>
      <c r="X630" s="90">
        <v>35</v>
      </c>
      <c r="Y630" s="189">
        <v>0.59309207792853802</v>
      </c>
      <c r="Z630" s="189">
        <v>0.30518094155359798</v>
      </c>
      <c r="AA630" s="189">
        <v>0.10172698051786599</v>
      </c>
      <c r="AB630" s="189">
        <v>5.7887904012407801E-2</v>
      </c>
      <c r="AC630" s="188">
        <v>23.618273554453701</v>
      </c>
      <c r="AD630" s="190">
        <v>0.89445942130492195</v>
      </c>
      <c r="AE630" s="189">
        <v>2.7868075391046099</v>
      </c>
    </row>
    <row r="631" spans="1:31" ht="21.25" customHeight="1" x14ac:dyDescent="0.15">
      <c r="A631" s="10" t="s">
        <v>509</v>
      </c>
      <c r="B631" s="186" t="s">
        <v>836</v>
      </c>
      <c r="C631" s="187">
        <v>31</v>
      </c>
      <c r="D631" s="186" t="s">
        <v>105</v>
      </c>
      <c r="E631" s="90"/>
      <c r="F631" s="188"/>
      <c r="G631" s="189"/>
      <c r="H631" s="189"/>
      <c r="I631" s="189"/>
      <c r="J631" s="189"/>
      <c r="K631" s="189"/>
      <c r="L631" s="189"/>
      <c r="M631" s="189"/>
      <c r="N631" s="189"/>
      <c r="O631" s="189"/>
      <c r="P631" s="189"/>
      <c r="Q631" s="189"/>
      <c r="R631" s="189"/>
      <c r="S631" s="189"/>
      <c r="T631" s="189"/>
      <c r="U631" s="189"/>
      <c r="V631" s="189"/>
      <c r="W631" s="189"/>
      <c r="X631" s="90">
        <v>35</v>
      </c>
      <c r="Y631" s="189">
        <v>0.58227677831188596</v>
      </c>
      <c r="Z631" s="189">
        <v>0.313292416266086</v>
      </c>
      <c r="AA631" s="189">
        <v>0.104430805422029</v>
      </c>
      <c r="AB631" s="189">
        <v>5.3580709748851797E-2</v>
      </c>
      <c r="AC631" s="188">
        <v>24.066094344482401</v>
      </c>
      <c r="AD631" s="190">
        <v>0.89434185689343104</v>
      </c>
      <c r="AE631" s="189">
        <v>2.84318442737105</v>
      </c>
    </row>
    <row r="632" spans="1:31" ht="21.25" customHeight="1" x14ac:dyDescent="0.15">
      <c r="A632" s="10" t="s">
        <v>274</v>
      </c>
      <c r="B632" s="186" t="s">
        <v>853</v>
      </c>
      <c r="C632" s="187">
        <v>36</v>
      </c>
      <c r="D632" s="186" t="s">
        <v>105</v>
      </c>
      <c r="E632" s="90"/>
      <c r="F632" s="188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90">
        <v>52</v>
      </c>
      <c r="Y632" s="189">
        <v>0.56018202962741204</v>
      </c>
      <c r="Z632" s="189">
        <v>0.32986347777944203</v>
      </c>
      <c r="AA632" s="189">
        <v>0.109954492593147</v>
      </c>
      <c r="AB632" s="189">
        <v>5.8418318324197201E-2</v>
      </c>
      <c r="AC632" s="188">
        <v>24.5002798252942</v>
      </c>
      <c r="AD632" s="190">
        <v>0.89809933316077595</v>
      </c>
      <c r="AE632" s="189">
        <v>2.7798649434005598</v>
      </c>
    </row>
    <row r="633" spans="1:31" ht="21.25" customHeight="1" x14ac:dyDescent="0.15">
      <c r="A633" s="10" t="s">
        <v>617</v>
      </c>
      <c r="B633" s="186" t="s">
        <v>853</v>
      </c>
      <c r="C633" s="187">
        <v>26</v>
      </c>
      <c r="D633" s="186" t="s">
        <v>105</v>
      </c>
      <c r="E633" s="90"/>
      <c r="F633" s="188"/>
      <c r="G633" s="189"/>
      <c r="H633" s="189"/>
      <c r="I633" s="189"/>
      <c r="J633" s="189"/>
      <c r="K633" s="189"/>
      <c r="L633" s="189"/>
      <c r="M633" s="189"/>
      <c r="N633" s="189"/>
      <c r="O633" s="189"/>
      <c r="P633" s="189"/>
      <c r="Q633" s="189"/>
      <c r="R633" s="189"/>
      <c r="S633" s="189"/>
      <c r="T633" s="189"/>
      <c r="U633" s="189"/>
      <c r="V633" s="189"/>
      <c r="W633" s="189"/>
      <c r="X633" s="90">
        <v>28</v>
      </c>
      <c r="Y633" s="189">
        <v>0.55789374373885703</v>
      </c>
      <c r="Z633" s="189">
        <v>0.33157969219585698</v>
      </c>
      <c r="AA633" s="189">
        <v>0.11052656406528601</v>
      </c>
      <c r="AB633" s="189">
        <v>5.7531889453430803E-2</v>
      </c>
      <c r="AC633" s="188">
        <v>23.699983779140801</v>
      </c>
      <c r="AD633" s="190">
        <v>0.89462761420588199</v>
      </c>
      <c r="AE633" s="189">
        <v>2.79146741553101</v>
      </c>
    </row>
    <row r="634" spans="1:31" ht="21.25" customHeight="1" x14ac:dyDescent="0.15">
      <c r="A634" s="10" t="s">
        <v>298</v>
      </c>
      <c r="B634" s="186" t="s">
        <v>849</v>
      </c>
      <c r="C634" s="187">
        <v>33</v>
      </c>
      <c r="D634" s="186" t="s">
        <v>105</v>
      </c>
      <c r="E634" s="90"/>
      <c r="F634" s="188"/>
      <c r="G634" s="189"/>
      <c r="H634" s="189"/>
      <c r="I634" s="189"/>
      <c r="J634" s="189"/>
      <c r="K634" s="189"/>
      <c r="L634" s="189"/>
      <c r="M634" s="189"/>
      <c r="N634" s="189"/>
      <c r="O634" s="189"/>
      <c r="P634" s="189"/>
      <c r="Q634" s="189"/>
      <c r="R634" s="189"/>
      <c r="S634" s="189"/>
      <c r="T634" s="189"/>
      <c r="U634" s="189"/>
      <c r="V634" s="189"/>
      <c r="W634" s="189"/>
      <c r="X634" s="90">
        <v>45</v>
      </c>
      <c r="Y634" s="189">
        <v>0.489718631016344</v>
      </c>
      <c r="Z634" s="189">
        <v>0.38271102673774199</v>
      </c>
      <c r="AA634" s="189">
        <v>0.12757034224591399</v>
      </c>
      <c r="AB634" s="189">
        <v>5.7718488319505601E-2</v>
      </c>
      <c r="AC634" s="188">
        <v>26.150142286565099</v>
      </c>
      <c r="AD634" s="190">
        <v>0.90362455863852997</v>
      </c>
      <c r="AE634" s="189">
        <v>2.7890250219960002</v>
      </c>
    </row>
    <row r="635" spans="1:31" ht="21.25" customHeight="1" x14ac:dyDescent="0.15">
      <c r="A635" s="10" t="s">
        <v>434</v>
      </c>
      <c r="B635" s="186" t="s">
        <v>849</v>
      </c>
      <c r="C635" s="187">
        <v>36</v>
      </c>
      <c r="D635" s="186" t="s">
        <v>105</v>
      </c>
      <c r="E635" s="90"/>
      <c r="F635" s="188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90">
        <v>35</v>
      </c>
      <c r="Y635" s="189">
        <v>0.48320003695620001</v>
      </c>
      <c r="Z635" s="189">
        <v>0.38759997228285098</v>
      </c>
      <c r="AA635" s="189">
        <v>0.12919999076095001</v>
      </c>
      <c r="AB635" s="189">
        <v>5.5209013110515098E-2</v>
      </c>
      <c r="AC635" s="188">
        <v>26.0364055606566</v>
      </c>
      <c r="AD635" s="190">
        <v>0.90221621530891205</v>
      </c>
      <c r="AE635" s="189">
        <v>2.8218715561450902</v>
      </c>
    </row>
    <row r="636" spans="1:31" ht="21.25" customHeight="1" x14ac:dyDescent="0.15">
      <c r="A636" s="10" t="s">
        <v>263</v>
      </c>
      <c r="B636" s="186" t="s">
        <v>844</v>
      </c>
      <c r="C636" s="187">
        <v>23</v>
      </c>
      <c r="D636" s="186" t="s">
        <v>105</v>
      </c>
      <c r="E636" s="90"/>
      <c r="F636" s="188"/>
      <c r="G636" s="189"/>
      <c r="H636" s="189"/>
      <c r="I636" s="189"/>
      <c r="J636" s="189"/>
      <c r="K636" s="189"/>
      <c r="L636" s="189"/>
      <c r="M636" s="189"/>
      <c r="N636" s="189"/>
      <c r="O636" s="189"/>
      <c r="P636" s="189"/>
      <c r="Q636" s="189"/>
      <c r="R636" s="189"/>
      <c r="S636" s="189"/>
      <c r="T636" s="189"/>
      <c r="U636" s="189"/>
      <c r="V636" s="189"/>
      <c r="W636" s="189"/>
      <c r="X636" s="90">
        <v>45</v>
      </c>
      <c r="Y636" s="189">
        <v>0.54271888828714399</v>
      </c>
      <c r="Z636" s="189">
        <v>0.34296083378464198</v>
      </c>
      <c r="AA636" s="189">
        <v>0.114320277928214</v>
      </c>
      <c r="AB636" s="189">
        <v>6.4130780911445195E-2</v>
      </c>
      <c r="AC636" s="188">
        <v>25.6059441275567</v>
      </c>
      <c r="AD636" s="190">
        <v>0.90445089185302296</v>
      </c>
      <c r="AE636" s="189">
        <v>2.7050944906878902</v>
      </c>
    </row>
    <row r="637" spans="1:31" ht="21.25" customHeight="1" x14ac:dyDescent="0.15">
      <c r="A637" s="10" t="s">
        <v>427</v>
      </c>
      <c r="B637" s="186" t="s">
        <v>844</v>
      </c>
      <c r="C637" s="187">
        <v>28</v>
      </c>
      <c r="D637" s="186" t="s">
        <v>105</v>
      </c>
      <c r="E637" s="90"/>
      <c r="F637" s="188"/>
      <c r="G637" s="189"/>
      <c r="H637" s="189"/>
      <c r="I637" s="189"/>
      <c r="J637" s="189"/>
      <c r="K637" s="189"/>
      <c r="L637" s="189"/>
      <c r="M637" s="189"/>
      <c r="N637" s="189"/>
      <c r="O637" s="189"/>
      <c r="P637" s="189"/>
      <c r="Q637" s="189"/>
      <c r="R637" s="189"/>
      <c r="S637" s="189"/>
      <c r="T637" s="189"/>
      <c r="U637" s="189"/>
      <c r="V637" s="189"/>
      <c r="W637" s="189"/>
      <c r="X637" s="90">
        <v>35</v>
      </c>
      <c r="Y637" s="189">
        <v>0.53475495196312905</v>
      </c>
      <c r="Z637" s="189">
        <v>0.34893378602765401</v>
      </c>
      <c r="AA637" s="189">
        <v>0.116311262009218</v>
      </c>
      <c r="AB637" s="189">
        <v>6.1137362095225502E-2</v>
      </c>
      <c r="AC637" s="188">
        <v>26.022536871057302</v>
      </c>
      <c r="AD637" s="190">
        <v>0.90460272960719201</v>
      </c>
      <c r="AE637" s="189">
        <v>2.7442753652457399</v>
      </c>
    </row>
    <row r="638" spans="1:31" ht="21.25" customHeight="1" x14ac:dyDescent="0.15">
      <c r="A638" s="10" t="s">
        <v>236</v>
      </c>
      <c r="B638" s="186" t="s">
        <v>850</v>
      </c>
      <c r="C638" s="187">
        <v>25</v>
      </c>
      <c r="D638" s="186" t="s">
        <v>105</v>
      </c>
      <c r="E638" s="90"/>
      <c r="F638" s="188"/>
      <c r="G638" s="189"/>
      <c r="H638" s="189"/>
      <c r="I638" s="189"/>
      <c r="J638" s="189"/>
      <c r="K638" s="189"/>
      <c r="L638" s="189"/>
      <c r="M638" s="189"/>
      <c r="N638" s="189"/>
      <c r="O638" s="189"/>
      <c r="P638" s="189"/>
      <c r="Q638" s="189"/>
      <c r="R638" s="189"/>
      <c r="S638" s="189"/>
      <c r="T638" s="189"/>
      <c r="U638" s="189"/>
      <c r="V638" s="189"/>
      <c r="W638" s="189"/>
      <c r="X638" s="90">
        <v>50</v>
      </c>
      <c r="Y638" s="189">
        <v>0.55308151347317602</v>
      </c>
      <c r="Z638" s="189">
        <v>0.33518886489511801</v>
      </c>
      <c r="AA638" s="189">
        <v>0.11172962163170599</v>
      </c>
      <c r="AB638" s="189">
        <v>5.63574072414064E-2</v>
      </c>
      <c r="AC638" s="188">
        <v>26.074316011825399</v>
      </c>
      <c r="AD638" s="190">
        <v>0.90281413261692101</v>
      </c>
      <c r="AE638" s="189">
        <v>2.8068402193533202</v>
      </c>
    </row>
    <row r="639" spans="1:31" ht="21.25" customHeight="1" x14ac:dyDescent="0.15">
      <c r="A639" s="10" t="s">
        <v>561</v>
      </c>
      <c r="B639" s="186" t="s">
        <v>850</v>
      </c>
      <c r="C639" s="187">
        <v>21</v>
      </c>
      <c r="D639" s="186" t="s">
        <v>105</v>
      </c>
      <c r="E639" s="90"/>
      <c r="F639" s="188"/>
      <c r="G639" s="189"/>
      <c r="H639" s="189"/>
      <c r="I639" s="189"/>
      <c r="J639" s="189"/>
      <c r="K639" s="189"/>
      <c r="L639" s="189"/>
      <c r="M639" s="189"/>
      <c r="N639" s="189"/>
      <c r="O639" s="189"/>
      <c r="P639" s="189"/>
      <c r="Q639" s="189"/>
      <c r="R639" s="189"/>
      <c r="S639" s="189"/>
      <c r="T639" s="189"/>
      <c r="U639" s="189"/>
      <c r="V639" s="189"/>
      <c r="W639" s="189"/>
      <c r="X639" s="90">
        <v>30</v>
      </c>
      <c r="Y639" s="189">
        <v>0.52640161153544296</v>
      </c>
      <c r="Z639" s="189">
        <v>0.35519879134841698</v>
      </c>
      <c r="AA639" s="189">
        <v>0.118399597116139</v>
      </c>
      <c r="AB639" s="189">
        <v>4.57678863359696E-2</v>
      </c>
      <c r="AC639" s="188">
        <v>25.340072449687401</v>
      </c>
      <c r="AD639" s="190">
        <v>0.89586733346784198</v>
      </c>
      <c r="AE639" s="189">
        <v>2.9454465139271</v>
      </c>
    </row>
    <row r="640" spans="1:31" ht="21.25" customHeight="1" x14ac:dyDescent="0.15">
      <c r="A640" s="10" t="s">
        <v>308</v>
      </c>
      <c r="B640" s="186" t="s">
        <v>842</v>
      </c>
      <c r="C640" s="187">
        <v>36</v>
      </c>
      <c r="D640" s="186" t="s">
        <v>105</v>
      </c>
      <c r="E640" s="90"/>
      <c r="F640" s="188"/>
      <c r="G640" s="189"/>
      <c r="H640" s="189"/>
      <c r="I640" s="189"/>
      <c r="J640" s="189"/>
      <c r="K640" s="189"/>
      <c r="L640" s="189"/>
      <c r="M640" s="189"/>
      <c r="N640" s="189"/>
      <c r="O640" s="189"/>
      <c r="P640" s="189"/>
      <c r="Q640" s="189"/>
      <c r="R640" s="189"/>
      <c r="S640" s="189"/>
      <c r="T640" s="189"/>
      <c r="U640" s="189"/>
      <c r="V640" s="189"/>
      <c r="W640" s="189"/>
      <c r="X640" s="90">
        <v>45</v>
      </c>
      <c r="Y640" s="189">
        <v>0.505271640112402</v>
      </c>
      <c r="Z640" s="189">
        <v>0.371046269915698</v>
      </c>
      <c r="AA640" s="189">
        <v>0.1236820899719</v>
      </c>
      <c r="AB640" s="189">
        <v>5.8201755670282899E-2</v>
      </c>
      <c r="AC640" s="188">
        <v>25.674429976011101</v>
      </c>
      <c r="AD640" s="190">
        <v>0.90221432796939605</v>
      </c>
      <c r="AE640" s="189">
        <v>2.7826995331114799</v>
      </c>
    </row>
    <row r="641" spans="1:31" ht="21.25" customHeight="1" x14ac:dyDescent="0.15">
      <c r="A641" s="10" t="s">
        <v>496</v>
      </c>
      <c r="B641" s="186" t="s">
        <v>842</v>
      </c>
      <c r="C641" s="187">
        <v>25</v>
      </c>
      <c r="D641" s="186" t="s">
        <v>105</v>
      </c>
      <c r="E641" s="90"/>
      <c r="F641" s="188"/>
      <c r="G641" s="189"/>
      <c r="H641" s="189"/>
      <c r="I641" s="189"/>
      <c r="J641" s="189"/>
      <c r="K641" s="189"/>
      <c r="L641" s="189"/>
      <c r="M641" s="189"/>
      <c r="N641" s="189"/>
      <c r="O641" s="189"/>
      <c r="P641" s="189"/>
      <c r="Q641" s="189"/>
      <c r="R641" s="189"/>
      <c r="S641" s="189"/>
      <c r="T641" s="189"/>
      <c r="U641" s="189"/>
      <c r="V641" s="189"/>
      <c r="W641" s="189"/>
      <c r="X641" s="90">
        <v>35</v>
      </c>
      <c r="Y641" s="189">
        <v>0.49590777961043397</v>
      </c>
      <c r="Z641" s="189">
        <v>0.37806916529217399</v>
      </c>
      <c r="AA641" s="189">
        <v>0.12602305509739101</v>
      </c>
      <c r="AB641" s="189">
        <v>5.4598491970246597E-2</v>
      </c>
      <c r="AC641" s="188">
        <v>24.747241605545899</v>
      </c>
      <c r="AD641" s="190">
        <v>0.89738361786593301</v>
      </c>
      <c r="AE641" s="189">
        <v>2.8298626705465102</v>
      </c>
    </row>
    <row r="642" spans="1:31" ht="21.25" customHeight="1" x14ac:dyDescent="0.15">
      <c r="A642" s="10" t="s">
        <v>191</v>
      </c>
      <c r="B642" s="186" t="s">
        <v>865</v>
      </c>
      <c r="C642" s="187">
        <v>31</v>
      </c>
      <c r="D642" s="186" t="s">
        <v>105</v>
      </c>
      <c r="E642" s="90"/>
      <c r="F642" s="188"/>
      <c r="G642" s="189"/>
      <c r="H642" s="189"/>
      <c r="I642" s="189"/>
      <c r="J642" s="189"/>
      <c r="K642" s="189"/>
      <c r="L642" s="189"/>
      <c r="M642" s="189"/>
      <c r="N642" s="189"/>
      <c r="O642" s="189"/>
      <c r="P642" s="189"/>
      <c r="Q642" s="189"/>
      <c r="R642" s="189"/>
      <c r="S642" s="189"/>
      <c r="T642" s="189"/>
      <c r="U642" s="189"/>
      <c r="V642" s="189"/>
      <c r="W642" s="189"/>
      <c r="X642" s="90">
        <v>60</v>
      </c>
      <c r="Y642" s="189">
        <v>0.45805513061839498</v>
      </c>
      <c r="Z642" s="189">
        <v>0.40645865203620302</v>
      </c>
      <c r="AA642" s="189">
        <v>0.13548621734540101</v>
      </c>
      <c r="AB642" s="189">
        <v>4.5592125710619498E-2</v>
      </c>
      <c r="AC642" s="188">
        <v>27.052010871750198</v>
      </c>
      <c r="AD642" s="190">
        <v>0.90174097225095995</v>
      </c>
      <c r="AE642" s="189">
        <v>2.9477470456725201</v>
      </c>
    </row>
    <row r="643" spans="1:31" ht="21.25" customHeight="1" x14ac:dyDescent="0.15">
      <c r="A643" s="10" t="s">
        <v>704</v>
      </c>
      <c r="B643" s="186" t="s">
        <v>865</v>
      </c>
      <c r="C643" s="187">
        <v>26</v>
      </c>
      <c r="D643" s="186" t="s">
        <v>105</v>
      </c>
      <c r="E643" s="90"/>
      <c r="F643" s="188"/>
      <c r="G643" s="189"/>
      <c r="H643" s="189"/>
      <c r="I643" s="189"/>
      <c r="J643" s="189"/>
      <c r="K643" s="189"/>
      <c r="L643" s="189"/>
      <c r="M643" s="189"/>
      <c r="N643" s="189"/>
      <c r="O643" s="189"/>
      <c r="P643" s="189"/>
      <c r="Q643" s="189"/>
      <c r="R643" s="189"/>
      <c r="S643" s="189"/>
      <c r="T643" s="189"/>
      <c r="U643" s="189"/>
      <c r="V643" s="189"/>
      <c r="W643" s="189"/>
      <c r="X643" s="90">
        <v>20</v>
      </c>
      <c r="Y643" s="189">
        <v>0.44633237177503998</v>
      </c>
      <c r="Z643" s="189">
        <v>0.41525072116872003</v>
      </c>
      <c r="AA643" s="189">
        <v>0.13841690705623999</v>
      </c>
      <c r="AB643" s="189">
        <v>4.0758695154069602E-2</v>
      </c>
      <c r="AC643" s="188">
        <v>24.942125388150998</v>
      </c>
      <c r="AD643" s="190">
        <v>0.892283580959914</v>
      </c>
      <c r="AE643" s="189">
        <v>3.0110118435331201</v>
      </c>
    </row>
    <row r="644" spans="1:31" ht="21.25" customHeight="1" x14ac:dyDescent="0.15">
      <c r="A644" s="10" t="s">
        <v>174</v>
      </c>
      <c r="B644" s="186" t="s">
        <v>866</v>
      </c>
      <c r="C644" s="187">
        <v>31</v>
      </c>
      <c r="D644" s="186" t="s">
        <v>105</v>
      </c>
      <c r="E644" s="90"/>
      <c r="F644" s="188"/>
      <c r="G644" s="189"/>
      <c r="H644" s="189"/>
      <c r="I644" s="189"/>
      <c r="J644" s="189"/>
      <c r="K644" s="189"/>
      <c r="L644" s="189"/>
      <c r="M644" s="189"/>
      <c r="N644" s="189"/>
      <c r="O644" s="189"/>
      <c r="P644" s="189"/>
      <c r="Q644" s="189"/>
      <c r="R644" s="189"/>
      <c r="S644" s="189"/>
      <c r="T644" s="189"/>
      <c r="U644" s="189"/>
      <c r="V644" s="189"/>
      <c r="W644" s="189"/>
      <c r="X644" s="90">
        <v>55</v>
      </c>
      <c r="Y644" s="189">
        <v>0.45028429859938501</v>
      </c>
      <c r="Z644" s="189">
        <v>0.41228677605046199</v>
      </c>
      <c r="AA644" s="189">
        <v>0.137428925350154</v>
      </c>
      <c r="AB644" s="189">
        <v>5.0024690733270802E-2</v>
      </c>
      <c r="AC644" s="188">
        <v>28.3639092323188</v>
      </c>
      <c r="AD644" s="190">
        <v>0.90753943138191295</v>
      </c>
      <c r="AE644" s="189">
        <v>2.8897291788838899</v>
      </c>
    </row>
    <row r="645" spans="1:31" ht="21.25" customHeight="1" x14ac:dyDescent="0.15">
      <c r="A645" s="10" t="s">
        <v>663</v>
      </c>
      <c r="B645" s="186" t="s">
        <v>866</v>
      </c>
      <c r="C645" s="187">
        <v>30</v>
      </c>
      <c r="D645" s="186" t="s">
        <v>105</v>
      </c>
      <c r="E645" s="90"/>
      <c r="F645" s="188"/>
      <c r="G645" s="189"/>
      <c r="H645" s="189"/>
      <c r="I645" s="189"/>
      <c r="J645" s="189"/>
      <c r="K645" s="189"/>
      <c r="L645" s="189"/>
      <c r="M645" s="189"/>
      <c r="N645" s="189"/>
      <c r="O645" s="189"/>
      <c r="P645" s="189"/>
      <c r="Q645" s="189"/>
      <c r="R645" s="189"/>
      <c r="S645" s="189"/>
      <c r="T645" s="189"/>
      <c r="U645" s="189"/>
      <c r="V645" s="189"/>
      <c r="W645" s="189"/>
      <c r="X645" s="90">
        <v>25</v>
      </c>
      <c r="Y645" s="189">
        <v>0.41174615054191599</v>
      </c>
      <c r="Z645" s="189">
        <v>0.44119038709356401</v>
      </c>
      <c r="AA645" s="189">
        <v>0.147063462364521</v>
      </c>
      <c r="AB645" s="189">
        <v>3.3886775452423003E-2</v>
      </c>
      <c r="AC645" s="188">
        <v>25.527274691136999</v>
      </c>
      <c r="AD645" s="190">
        <v>0.891681808560708</v>
      </c>
      <c r="AE645" s="189">
        <v>3.1009584364866098</v>
      </c>
    </row>
    <row r="646" spans="1:31" ht="21.25" customHeight="1" x14ac:dyDescent="0.15">
      <c r="A646" s="10" t="s">
        <v>177</v>
      </c>
      <c r="B646" s="186" t="s">
        <v>864</v>
      </c>
      <c r="C646" s="187">
        <v>30</v>
      </c>
      <c r="D646" s="186" t="s">
        <v>105</v>
      </c>
      <c r="E646" s="90"/>
      <c r="F646" s="188"/>
      <c r="G646" s="189"/>
      <c r="H646" s="189"/>
      <c r="I646" s="189"/>
      <c r="J646" s="189"/>
      <c r="K646" s="189"/>
      <c r="L646" s="189"/>
      <c r="M646" s="189"/>
      <c r="N646" s="189"/>
      <c r="O646" s="189"/>
      <c r="P646" s="189"/>
      <c r="Q646" s="189"/>
      <c r="R646" s="189"/>
      <c r="S646" s="189"/>
      <c r="T646" s="189"/>
      <c r="U646" s="189"/>
      <c r="V646" s="189"/>
      <c r="W646" s="189"/>
      <c r="X646" s="90">
        <v>55</v>
      </c>
      <c r="Y646" s="189">
        <v>0.50606433642747095</v>
      </c>
      <c r="Z646" s="189">
        <v>0.37045174767939598</v>
      </c>
      <c r="AA646" s="189">
        <v>0.123483915893132</v>
      </c>
      <c r="AB646" s="189">
        <v>6.4301317914446696E-2</v>
      </c>
      <c r="AC646" s="188">
        <v>26.8206702109551</v>
      </c>
      <c r="AD646" s="190">
        <v>0.90845057829291997</v>
      </c>
      <c r="AE646" s="189">
        <v>2.70286233096274</v>
      </c>
    </row>
    <row r="647" spans="1:31" ht="21.25" customHeight="1" x14ac:dyDescent="0.15">
      <c r="A647" s="10" t="s">
        <v>651</v>
      </c>
      <c r="B647" s="186" t="s">
        <v>864</v>
      </c>
      <c r="C647" s="187">
        <v>32</v>
      </c>
      <c r="D647" s="186" t="s">
        <v>105</v>
      </c>
      <c r="E647" s="90"/>
      <c r="F647" s="188"/>
      <c r="G647" s="189"/>
      <c r="H647" s="189"/>
      <c r="I647" s="189"/>
      <c r="J647" s="189"/>
      <c r="K647" s="189"/>
      <c r="L647" s="189"/>
      <c r="M647" s="189"/>
      <c r="N647" s="189"/>
      <c r="O647" s="189"/>
      <c r="P647" s="189"/>
      <c r="Q647" s="189"/>
      <c r="R647" s="189"/>
      <c r="S647" s="189"/>
      <c r="T647" s="189"/>
      <c r="U647" s="189"/>
      <c r="V647" s="189"/>
      <c r="W647" s="189"/>
      <c r="X647" s="90">
        <v>25</v>
      </c>
      <c r="Y647" s="189">
        <v>0.46741060297623999</v>
      </c>
      <c r="Z647" s="189">
        <v>0.39944204776782</v>
      </c>
      <c r="AA647" s="189">
        <v>0.13314734925593999</v>
      </c>
      <c r="AB647" s="189">
        <v>4.9448282763037199E-2</v>
      </c>
      <c r="AC647" s="188">
        <v>24.328216906071901</v>
      </c>
      <c r="AD647" s="190">
        <v>0.89358231156926304</v>
      </c>
      <c r="AE647" s="189">
        <v>2.8972737858241202</v>
      </c>
    </row>
    <row r="648" spans="1:31" ht="21.25" customHeight="1" x14ac:dyDescent="0.15">
      <c r="A648" s="10" t="s">
        <v>264</v>
      </c>
      <c r="B648" s="186" t="s">
        <v>863</v>
      </c>
      <c r="C648" s="187">
        <v>33</v>
      </c>
      <c r="D648" s="186" t="s">
        <v>105</v>
      </c>
      <c r="E648" s="90"/>
      <c r="F648" s="188"/>
      <c r="G648" s="189"/>
      <c r="H648" s="189"/>
      <c r="I648" s="189"/>
      <c r="J648" s="189"/>
      <c r="K648" s="189"/>
      <c r="L648" s="189"/>
      <c r="M648" s="189"/>
      <c r="N648" s="189"/>
      <c r="O648" s="189"/>
      <c r="P648" s="189"/>
      <c r="Q648" s="189"/>
      <c r="R648" s="189"/>
      <c r="S648" s="189"/>
      <c r="T648" s="189"/>
      <c r="U648" s="189"/>
      <c r="V648" s="189"/>
      <c r="W648" s="189"/>
      <c r="X648" s="90">
        <v>50</v>
      </c>
      <c r="Y648" s="189">
        <v>0.54974320652992203</v>
      </c>
      <c r="Z648" s="189">
        <v>0.337692595102558</v>
      </c>
      <c r="AA648" s="189">
        <v>0.11256419836752</v>
      </c>
      <c r="AB648" s="189">
        <v>6.9955088739276305E-2</v>
      </c>
      <c r="AC648" s="188">
        <v>24.435700948992601</v>
      </c>
      <c r="AD648" s="190">
        <v>0.90286707067744199</v>
      </c>
      <c r="AE648" s="189">
        <v>2.62886009503565</v>
      </c>
    </row>
    <row r="649" spans="1:31" ht="21.25" customHeight="1" x14ac:dyDescent="0.15">
      <c r="A649" s="10" t="s">
        <v>654</v>
      </c>
      <c r="B649" s="186" t="s">
        <v>863</v>
      </c>
      <c r="C649" s="187">
        <v>26</v>
      </c>
      <c r="D649" s="186" t="s">
        <v>105</v>
      </c>
      <c r="E649" s="90"/>
      <c r="F649" s="188"/>
      <c r="G649" s="189"/>
      <c r="H649" s="189"/>
      <c r="I649" s="189"/>
      <c r="J649" s="189"/>
      <c r="K649" s="189"/>
      <c r="L649" s="189"/>
      <c r="M649" s="189"/>
      <c r="N649" s="189"/>
      <c r="O649" s="189"/>
      <c r="P649" s="189"/>
      <c r="Q649" s="189"/>
      <c r="R649" s="189"/>
      <c r="S649" s="189"/>
      <c r="T649" s="189"/>
      <c r="U649" s="189"/>
      <c r="V649" s="189"/>
      <c r="W649" s="189"/>
      <c r="X649" s="90">
        <v>30</v>
      </c>
      <c r="Y649" s="189">
        <v>0.52853700046718</v>
      </c>
      <c r="Z649" s="189">
        <v>0.35359724964961697</v>
      </c>
      <c r="AA649" s="189">
        <v>0.117865749883205</v>
      </c>
      <c r="AB649" s="189">
        <v>6.21132580862696E-2</v>
      </c>
      <c r="AC649" s="188">
        <v>21.245861810027598</v>
      </c>
      <c r="AD649" s="190">
        <v>0.88607997545586203</v>
      </c>
      <c r="AE649" s="189">
        <v>2.73150185750956</v>
      </c>
    </row>
    <row r="650" spans="1:31" ht="21.25" customHeight="1" x14ac:dyDescent="0.15">
      <c r="A650" s="10" t="s">
        <v>318</v>
      </c>
      <c r="B650" s="186" t="s">
        <v>867</v>
      </c>
      <c r="C650" s="187">
        <v>29</v>
      </c>
      <c r="D650" s="186" t="s">
        <v>105</v>
      </c>
      <c r="E650" s="90"/>
      <c r="F650" s="188"/>
      <c r="G650" s="189"/>
      <c r="H650" s="189"/>
      <c r="I650" s="189"/>
      <c r="J650" s="189"/>
      <c r="K650" s="189"/>
      <c r="L650" s="189"/>
      <c r="M650" s="189"/>
      <c r="N650" s="189"/>
      <c r="O650" s="189"/>
      <c r="P650" s="189"/>
      <c r="Q650" s="189"/>
      <c r="R650" s="189"/>
      <c r="S650" s="189"/>
      <c r="T650" s="189"/>
      <c r="U650" s="189"/>
      <c r="V650" s="189"/>
      <c r="W650" s="189"/>
      <c r="X650" s="90">
        <v>45</v>
      </c>
      <c r="Y650" s="189">
        <v>0.51448808937804402</v>
      </c>
      <c r="Z650" s="189">
        <v>0.36413393296646701</v>
      </c>
      <c r="AA650" s="189">
        <v>0.12137797765548899</v>
      </c>
      <c r="AB650" s="189">
        <v>6.4178652699481101E-2</v>
      </c>
      <c r="AC650" s="188">
        <v>24.8649444314681</v>
      </c>
      <c r="AD650" s="190">
        <v>0.90190331718279304</v>
      </c>
      <c r="AE650" s="189">
        <v>2.7044678966036502</v>
      </c>
    </row>
    <row r="651" spans="1:31" ht="21.25" customHeight="1" x14ac:dyDescent="0.15">
      <c r="A651" s="10" t="s">
        <v>461</v>
      </c>
      <c r="B651" s="186" t="s">
        <v>867</v>
      </c>
      <c r="C651" s="187">
        <v>28</v>
      </c>
      <c r="D651" s="186" t="s">
        <v>105</v>
      </c>
      <c r="E651" s="90"/>
      <c r="F651" s="188"/>
      <c r="G651" s="189"/>
      <c r="H651" s="189"/>
      <c r="I651" s="189"/>
      <c r="J651" s="189"/>
      <c r="K651" s="189"/>
      <c r="L651" s="189"/>
      <c r="M651" s="189"/>
      <c r="N651" s="189"/>
      <c r="O651" s="189"/>
      <c r="P651" s="189"/>
      <c r="Q651" s="189"/>
      <c r="R651" s="189"/>
      <c r="S651" s="189"/>
      <c r="T651" s="189"/>
      <c r="U651" s="189"/>
      <c r="V651" s="189"/>
      <c r="W651" s="189"/>
      <c r="X651" s="90">
        <v>35</v>
      </c>
      <c r="Y651" s="189">
        <v>0.50973949151403997</v>
      </c>
      <c r="Z651" s="189">
        <v>0.367695381364471</v>
      </c>
      <c r="AA651" s="189">
        <v>0.12256512712148999</v>
      </c>
      <c r="AB651" s="189">
        <v>6.2409092011066099E-2</v>
      </c>
      <c r="AC651" s="188">
        <v>24.7749746881438</v>
      </c>
      <c r="AD651" s="190">
        <v>0.90082285849585797</v>
      </c>
      <c r="AE651" s="189">
        <v>2.7276296857190299</v>
      </c>
    </row>
    <row r="652" spans="1:31" ht="21.25" customHeight="1" x14ac:dyDescent="0.15">
      <c r="A652" s="10" t="s">
        <v>393</v>
      </c>
      <c r="B652" s="186" t="s">
        <v>855</v>
      </c>
      <c r="C652" s="187">
        <v>25</v>
      </c>
      <c r="D652" s="186" t="s">
        <v>105</v>
      </c>
      <c r="E652" s="90"/>
      <c r="F652" s="188"/>
      <c r="G652" s="189"/>
      <c r="H652" s="189"/>
      <c r="I652" s="189"/>
      <c r="J652" s="189"/>
      <c r="K652" s="189"/>
      <c r="L652" s="189"/>
      <c r="M652" s="189"/>
      <c r="N652" s="189"/>
      <c r="O652" s="189"/>
      <c r="P652" s="189"/>
      <c r="Q652" s="189"/>
      <c r="R652" s="189"/>
      <c r="S652" s="189"/>
      <c r="T652" s="189"/>
      <c r="U652" s="189"/>
      <c r="V652" s="189"/>
      <c r="W652" s="189"/>
      <c r="X652" s="90">
        <v>45</v>
      </c>
      <c r="Y652" s="189">
        <v>0.49996293201844</v>
      </c>
      <c r="Z652" s="189">
        <v>0.375027800986171</v>
      </c>
      <c r="AA652" s="189">
        <v>0.12500926699539</v>
      </c>
      <c r="AB652" s="189">
        <v>4.2536194884817503E-2</v>
      </c>
      <c r="AC652" s="188">
        <v>24.942371822030701</v>
      </c>
      <c r="AD652" s="190">
        <v>0.89302780087481604</v>
      </c>
      <c r="AE652" s="189">
        <v>2.9877461402510801</v>
      </c>
    </row>
    <row r="653" spans="1:31" ht="21.25" customHeight="1" x14ac:dyDescent="0.15">
      <c r="A653" s="10" t="s">
        <v>507</v>
      </c>
      <c r="B653" s="186" t="s">
        <v>855</v>
      </c>
      <c r="C653" s="187">
        <v>22</v>
      </c>
      <c r="D653" s="186" t="s">
        <v>105</v>
      </c>
      <c r="E653" s="90"/>
      <c r="F653" s="188"/>
      <c r="G653" s="189"/>
      <c r="H653" s="189"/>
      <c r="I653" s="189"/>
      <c r="J653" s="189"/>
      <c r="K653" s="189"/>
      <c r="L653" s="189"/>
      <c r="M653" s="189"/>
      <c r="N653" s="189"/>
      <c r="O653" s="189"/>
      <c r="P653" s="189"/>
      <c r="Q653" s="189"/>
      <c r="R653" s="189"/>
      <c r="S653" s="189"/>
      <c r="T653" s="189"/>
      <c r="U653" s="189"/>
      <c r="V653" s="189"/>
      <c r="W653" s="189"/>
      <c r="X653" s="90">
        <v>35</v>
      </c>
      <c r="Y653" s="189">
        <v>0.49926064535276898</v>
      </c>
      <c r="Z653" s="189">
        <v>0.375554515985423</v>
      </c>
      <c r="AA653" s="189">
        <v>0.12518483866180799</v>
      </c>
      <c r="AB653" s="189">
        <v>4.2248296619728502E-2</v>
      </c>
      <c r="AC653" s="188">
        <v>25.504846106428399</v>
      </c>
      <c r="AD653" s="190">
        <v>0.89502117517602198</v>
      </c>
      <c r="AE653" s="189">
        <v>2.9915144421501498</v>
      </c>
    </row>
    <row r="654" spans="1:31" ht="21.25" customHeight="1" x14ac:dyDescent="0.15">
      <c r="A654" s="10" t="s">
        <v>388</v>
      </c>
      <c r="B654" s="186" t="s">
        <v>840</v>
      </c>
      <c r="C654" s="187">
        <v>24</v>
      </c>
      <c r="D654" s="186" t="s">
        <v>105</v>
      </c>
      <c r="E654" s="90"/>
      <c r="F654" s="188"/>
      <c r="G654" s="189"/>
      <c r="H654" s="189"/>
      <c r="I654" s="189"/>
      <c r="J654" s="189"/>
      <c r="K654" s="189"/>
      <c r="L654" s="189"/>
      <c r="M654" s="189"/>
      <c r="N654" s="189"/>
      <c r="O654" s="189"/>
      <c r="P654" s="189"/>
      <c r="Q654" s="189"/>
      <c r="R654" s="189"/>
      <c r="S654" s="189"/>
      <c r="T654" s="189"/>
      <c r="U654" s="189"/>
      <c r="V654" s="189"/>
      <c r="W654" s="189"/>
      <c r="X654" s="90">
        <v>45</v>
      </c>
      <c r="Y654" s="189">
        <v>0.47486655820386198</v>
      </c>
      <c r="Z654" s="189">
        <v>0.39385008134710398</v>
      </c>
      <c r="AA654" s="189">
        <v>0.13128336044903399</v>
      </c>
      <c r="AB654" s="189">
        <v>3.3649871297977002E-2</v>
      </c>
      <c r="AC654" s="188">
        <v>25.9362175229308</v>
      </c>
      <c r="AD654" s="190">
        <v>0.89311192528657601</v>
      </c>
      <c r="AE654" s="189">
        <v>3.1040592762044898</v>
      </c>
    </row>
    <row r="655" spans="1:31" ht="21.25" customHeight="1" x14ac:dyDescent="0.15">
      <c r="A655" s="10" t="s">
        <v>483</v>
      </c>
      <c r="B655" s="186" t="s">
        <v>840</v>
      </c>
      <c r="C655" s="187">
        <v>30</v>
      </c>
      <c r="D655" s="186" t="s">
        <v>105</v>
      </c>
      <c r="E655" s="90"/>
      <c r="F655" s="188"/>
      <c r="G655" s="189"/>
      <c r="H655" s="189"/>
      <c r="I655" s="189"/>
      <c r="J655" s="189"/>
      <c r="K655" s="189"/>
      <c r="L655" s="189"/>
      <c r="M655" s="189"/>
      <c r="N655" s="189"/>
      <c r="O655" s="189"/>
      <c r="P655" s="189"/>
      <c r="Q655" s="189"/>
      <c r="R655" s="189"/>
      <c r="S655" s="189"/>
      <c r="T655" s="189"/>
      <c r="U655" s="189"/>
      <c r="V655" s="189"/>
      <c r="W655" s="189"/>
      <c r="X655" s="90">
        <v>35</v>
      </c>
      <c r="Y655" s="189">
        <v>0.47310020213966603</v>
      </c>
      <c r="Z655" s="189">
        <v>0.39517484839525102</v>
      </c>
      <c r="AA655" s="189">
        <v>0.13172494946508401</v>
      </c>
      <c r="AB655" s="189">
        <v>3.2894807807424702E-2</v>
      </c>
      <c r="AC655" s="188">
        <v>26.924134211254</v>
      </c>
      <c r="AD655" s="190">
        <v>0.89633349843896803</v>
      </c>
      <c r="AE655" s="189">
        <v>3.1139423061855398</v>
      </c>
    </row>
    <row r="656" spans="1:31" ht="21.25" customHeight="1" x14ac:dyDescent="0.15">
      <c r="A656" s="10" t="s">
        <v>311</v>
      </c>
      <c r="B656" s="186" t="s">
        <v>870</v>
      </c>
      <c r="C656" s="187">
        <v>30</v>
      </c>
      <c r="D656" s="186" t="s">
        <v>105</v>
      </c>
      <c r="E656" s="90"/>
      <c r="F656" s="188"/>
      <c r="G656" s="189"/>
      <c r="H656" s="189"/>
      <c r="I656" s="189"/>
      <c r="J656" s="189"/>
      <c r="K656" s="189"/>
      <c r="L656" s="189"/>
      <c r="M656" s="189"/>
      <c r="N656" s="189"/>
      <c r="O656" s="189"/>
      <c r="P656" s="189"/>
      <c r="Q656" s="189"/>
      <c r="R656" s="189"/>
      <c r="S656" s="189"/>
      <c r="T656" s="189"/>
      <c r="U656" s="189"/>
      <c r="V656" s="189"/>
      <c r="W656" s="189"/>
      <c r="X656" s="90">
        <v>45</v>
      </c>
      <c r="Y656" s="189">
        <v>0.39023823589908402</v>
      </c>
      <c r="Z656" s="189">
        <v>0.45732132307568701</v>
      </c>
      <c r="AA656" s="189">
        <v>0.152440441025229</v>
      </c>
      <c r="AB656" s="189">
        <v>3.9067009007627197E-2</v>
      </c>
      <c r="AC656" s="188">
        <v>27.7556016497673</v>
      </c>
      <c r="AD656" s="190">
        <v>0.90148499880535804</v>
      </c>
      <c r="AE656" s="189">
        <v>3.0331543323608998</v>
      </c>
    </row>
    <row r="657" spans="1:31" ht="21.25" customHeight="1" x14ac:dyDescent="0.15">
      <c r="A657" s="10" t="s">
        <v>505</v>
      </c>
      <c r="B657" s="186" t="s">
        <v>870</v>
      </c>
      <c r="C657" s="187">
        <v>34</v>
      </c>
      <c r="D657" s="186" t="s">
        <v>105</v>
      </c>
      <c r="E657" s="90"/>
      <c r="F657" s="188"/>
      <c r="G657" s="189"/>
      <c r="H657" s="189"/>
      <c r="I657" s="189"/>
      <c r="J657" s="189"/>
      <c r="K657" s="189"/>
      <c r="L657" s="189"/>
      <c r="M657" s="189"/>
      <c r="N657" s="189"/>
      <c r="O657" s="189"/>
      <c r="P657" s="189"/>
      <c r="Q657" s="189"/>
      <c r="R657" s="189"/>
      <c r="S657" s="189"/>
      <c r="T657" s="189"/>
      <c r="U657" s="189"/>
      <c r="V657" s="189"/>
      <c r="W657" s="189"/>
      <c r="X657" s="90">
        <v>35</v>
      </c>
      <c r="Y657" s="189">
        <v>0.37719127060280899</v>
      </c>
      <c r="Z657" s="189">
        <v>0.46710654704789401</v>
      </c>
      <c r="AA657" s="189">
        <v>0.155702182349298</v>
      </c>
      <c r="AB657" s="189">
        <v>3.3258298632290399E-2</v>
      </c>
      <c r="AC657" s="188">
        <v>27.0009324675075</v>
      </c>
      <c r="AD657" s="190">
        <v>0.89673953878339996</v>
      </c>
      <c r="AE657" s="189">
        <v>3.1091845728757801</v>
      </c>
    </row>
    <row r="658" spans="1:31" ht="21.25" customHeight="1" x14ac:dyDescent="0.15">
      <c r="A658" s="10" t="s">
        <v>281</v>
      </c>
      <c r="B658" s="186" t="s">
        <v>858</v>
      </c>
      <c r="C658" s="187">
        <v>26</v>
      </c>
      <c r="D658" s="186" t="s">
        <v>105</v>
      </c>
      <c r="E658" s="90"/>
      <c r="F658" s="188"/>
      <c r="G658" s="189"/>
      <c r="H658" s="189"/>
      <c r="I658" s="189"/>
      <c r="J658" s="189"/>
      <c r="K658" s="189"/>
      <c r="L658" s="189"/>
      <c r="M658" s="189"/>
      <c r="N658" s="189"/>
      <c r="O658" s="189"/>
      <c r="P658" s="189"/>
      <c r="Q658" s="189"/>
      <c r="R658" s="189"/>
      <c r="S658" s="189"/>
      <c r="T658" s="189"/>
      <c r="U658" s="189"/>
      <c r="V658" s="189"/>
      <c r="W658" s="189"/>
      <c r="X658" s="90">
        <v>45</v>
      </c>
      <c r="Y658" s="189">
        <v>0.48359901819405798</v>
      </c>
      <c r="Z658" s="189">
        <v>0.387300736354458</v>
      </c>
      <c r="AA658" s="189">
        <v>0.12910024545148599</v>
      </c>
      <c r="AB658" s="189">
        <v>5.1578654811399997E-2</v>
      </c>
      <c r="AC658" s="188">
        <v>27.092164956400399</v>
      </c>
      <c r="AD658" s="190">
        <v>0.90423095854677804</v>
      </c>
      <c r="AE658" s="189">
        <v>2.8693893349293198</v>
      </c>
    </row>
    <row r="659" spans="1:31" ht="21.25" customHeight="1" x14ac:dyDescent="0.15">
      <c r="A659" s="10" t="s">
        <v>538</v>
      </c>
      <c r="B659" s="186" t="s">
        <v>858</v>
      </c>
      <c r="C659" s="187">
        <v>33</v>
      </c>
      <c r="D659" s="186" t="s">
        <v>105</v>
      </c>
      <c r="E659" s="90"/>
      <c r="F659" s="188"/>
      <c r="G659" s="189"/>
      <c r="H659" s="189"/>
      <c r="I659" s="189"/>
      <c r="J659" s="189"/>
      <c r="K659" s="189"/>
      <c r="L659" s="189"/>
      <c r="M659" s="189"/>
      <c r="N659" s="189"/>
      <c r="O659" s="189"/>
      <c r="P659" s="189"/>
      <c r="Q659" s="189"/>
      <c r="R659" s="189"/>
      <c r="S659" s="189"/>
      <c r="T659" s="189"/>
      <c r="U659" s="189"/>
      <c r="V659" s="189"/>
      <c r="W659" s="189"/>
      <c r="X659" s="90">
        <v>35</v>
      </c>
      <c r="Y659" s="189">
        <v>0.46132326465962298</v>
      </c>
      <c r="Z659" s="189">
        <v>0.404007551505283</v>
      </c>
      <c r="AA659" s="189">
        <v>0.13466918383509399</v>
      </c>
      <c r="AB659" s="189">
        <v>4.2607264527720498E-2</v>
      </c>
      <c r="AC659" s="188">
        <v>24.971269362646002</v>
      </c>
      <c r="AD659" s="190">
        <v>0.89316808070838705</v>
      </c>
      <c r="AE659" s="189">
        <v>2.9868159093230302</v>
      </c>
    </row>
    <row r="660" spans="1:31" ht="21.25" customHeight="1" x14ac:dyDescent="0.15">
      <c r="A660" s="10" t="s">
        <v>153</v>
      </c>
      <c r="B660" s="186" t="s">
        <v>837</v>
      </c>
      <c r="C660" s="187">
        <v>32</v>
      </c>
      <c r="D660" s="186" t="s">
        <v>105</v>
      </c>
      <c r="E660" s="90"/>
      <c r="F660" s="188"/>
      <c r="G660" s="189"/>
      <c r="H660" s="189"/>
      <c r="I660" s="189"/>
      <c r="J660" s="189"/>
      <c r="K660" s="189"/>
      <c r="L660" s="189"/>
      <c r="M660" s="189"/>
      <c r="N660" s="189"/>
      <c r="O660" s="189"/>
      <c r="P660" s="189"/>
      <c r="Q660" s="189"/>
      <c r="R660" s="189"/>
      <c r="S660" s="189"/>
      <c r="T660" s="189"/>
      <c r="U660" s="189"/>
      <c r="V660" s="189"/>
      <c r="W660" s="189"/>
      <c r="X660" s="90">
        <v>55</v>
      </c>
      <c r="Y660" s="189">
        <v>0.61857924716183299</v>
      </c>
      <c r="Z660" s="189">
        <v>0.28606556462862498</v>
      </c>
      <c r="AA660" s="189">
        <v>9.5355188209541794E-2</v>
      </c>
      <c r="AB660" s="189">
        <v>7.3143972118787801E-2</v>
      </c>
      <c r="AC660" s="188">
        <v>26.7122133970291</v>
      </c>
      <c r="AD660" s="190">
        <v>0.911700355788987</v>
      </c>
      <c r="AE660" s="189">
        <v>2.5871207837855001</v>
      </c>
    </row>
    <row r="661" spans="1:31" ht="21.25" customHeight="1" x14ac:dyDescent="0.15">
      <c r="A661" s="10" t="s">
        <v>635</v>
      </c>
      <c r="B661" s="186" t="s">
        <v>837</v>
      </c>
      <c r="C661" s="187">
        <v>25</v>
      </c>
      <c r="D661" s="186" t="s">
        <v>105</v>
      </c>
      <c r="E661" s="90"/>
      <c r="F661" s="188"/>
      <c r="G661" s="189"/>
      <c r="H661" s="189"/>
      <c r="I661" s="189"/>
      <c r="J661" s="189"/>
      <c r="K661" s="189"/>
      <c r="L661" s="189"/>
      <c r="M661" s="189"/>
      <c r="N661" s="189"/>
      <c r="O661" s="189"/>
      <c r="P661" s="189"/>
      <c r="Q661" s="189"/>
      <c r="R661" s="189"/>
      <c r="S661" s="189"/>
      <c r="T661" s="189"/>
      <c r="U661" s="189"/>
      <c r="V661" s="189"/>
      <c r="W661" s="189"/>
      <c r="X661" s="90">
        <v>25</v>
      </c>
      <c r="Y661" s="189">
        <v>0.58794363594208798</v>
      </c>
      <c r="Z661" s="189">
        <v>0.30904227304343401</v>
      </c>
      <c r="AA661" s="189">
        <v>0.103014091014478</v>
      </c>
      <c r="AB661" s="189">
        <v>6.1454802373729502E-2</v>
      </c>
      <c r="AC661" s="188">
        <v>23.5009466215066</v>
      </c>
      <c r="AD661" s="190">
        <v>0.89557892646633397</v>
      </c>
      <c r="AE661" s="189">
        <v>2.7401203877784099</v>
      </c>
    </row>
    <row r="662" spans="1:31" ht="21.25" customHeight="1" x14ac:dyDescent="0.15">
      <c r="A662" s="10" t="s">
        <v>245</v>
      </c>
      <c r="B662" s="186" t="s">
        <v>845</v>
      </c>
      <c r="C662" s="187">
        <v>37</v>
      </c>
      <c r="D662" s="186" t="s">
        <v>105</v>
      </c>
      <c r="E662" s="90"/>
      <c r="F662" s="188"/>
      <c r="G662" s="189"/>
      <c r="H662" s="189"/>
      <c r="I662" s="189"/>
      <c r="J662" s="189"/>
      <c r="K662" s="189"/>
      <c r="L662" s="189"/>
      <c r="M662" s="189"/>
      <c r="N662" s="189"/>
      <c r="O662" s="189"/>
      <c r="P662" s="189"/>
      <c r="Q662" s="189"/>
      <c r="R662" s="189"/>
      <c r="S662" s="189"/>
      <c r="T662" s="189"/>
      <c r="U662" s="189"/>
      <c r="V662" s="189"/>
      <c r="W662" s="189"/>
      <c r="X662" s="90">
        <v>52</v>
      </c>
      <c r="Y662" s="189">
        <v>0.51684719552663105</v>
      </c>
      <c r="Z662" s="189">
        <v>0.36236460335502702</v>
      </c>
      <c r="AA662" s="189">
        <v>0.120788201118342</v>
      </c>
      <c r="AB662" s="189">
        <v>4.62759385222749E-2</v>
      </c>
      <c r="AC662" s="188">
        <v>25.689463969640698</v>
      </c>
      <c r="AD662" s="190">
        <v>0.89734630899461498</v>
      </c>
      <c r="AE662" s="189">
        <v>2.9387966162005901</v>
      </c>
    </row>
    <row r="663" spans="1:31" ht="21.25" customHeight="1" x14ac:dyDescent="0.15">
      <c r="A663" s="10" t="s">
        <v>533</v>
      </c>
      <c r="B663" s="186" t="s">
        <v>845</v>
      </c>
      <c r="C663" s="187">
        <v>32</v>
      </c>
      <c r="D663" s="186" t="s">
        <v>105</v>
      </c>
      <c r="E663" s="90"/>
      <c r="F663" s="188"/>
      <c r="G663" s="189"/>
      <c r="H663" s="189"/>
      <c r="I663" s="189"/>
      <c r="J663" s="189"/>
      <c r="K663" s="189"/>
      <c r="L663" s="189"/>
      <c r="M663" s="189"/>
      <c r="N663" s="189"/>
      <c r="O663" s="189"/>
      <c r="P663" s="189"/>
      <c r="Q663" s="189"/>
      <c r="R663" s="189"/>
      <c r="S663" s="189"/>
      <c r="T663" s="189"/>
      <c r="U663" s="189"/>
      <c r="V663" s="189"/>
      <c r="W663" s="189"/>
      <c r="X663" s="90">
        <v>28</v>
      </c>
      <c r="Y663" s="189">
        <v>0.52131036443482104</v>
      </c>
      <c r="Z663" s="189">
        <v>0.35901722667388603</v>
      </c>
      <c r="AA663" s="189">
        <v>0.119672408891295</v>
      </c>
      <c r="AB663" s="189">
        <v>4.8069906085560103E-2</v>
      </c>
      <c r="AC663" s="188">
        <v>26.816260078591899</v>
      </c>
      <c r="AD663" s="190">
        <v>0.90194547978573103</v>
      </c>
      <c r="AE663" s="189">
        <v>2.9153153653722499</v>
      </c>
    </row>
    <row r="664" spans="1:31" ht="21.25" customHeight="1" x14ac:dyDescent="0.15">
      <c r="A664" s="10" t="s">
        <v>219</v>
      </c>
      <c r="B664" s="186" t="s">
        <v>856</v>
      </c>
      <c r="C664" s="187">
        <v>30</v>
      </c>
      <c r="D664" s="186" t="s">
        <v>105</v>
      </c>
      <c r="E664" s="90"/>
      <c r="F664" s="188"/>
      <c r="G664" s="189"/>
      <c r="H664" s="189"/>
      <c r="I664" s="189"/>
      <c r="J664" s="189"/>
      <c r="K664" s="189"/>
      <c r="L664" s="189"/>
      <c r="M664" s="189"/>
      <c r="N664" s="189"/>
      <c r="O664" s="189"/>
      <c r="P664" s="189"/>
      <c r="Q664" s="189"/>
      <c r="R664" s="189"/>
      <c r="S664" s="189"/>
      <c r="T664" s="189"/>
      <c r="U664" s="189"/>
      <c r="V664" s="189"/>
      <c r="W664" s="189"/>
      <c r="X664" s="90">
        <v>55</v>
      </c>
      <c r="Y664" s="189">
        <v>0.52043184161909495</v>
      </c>
      <c r="Z664" s="189">
        <v>0.35967611878568001</v>
      </c>
      <c r="AA664" s="189">
        <v>0.119892039595226</v>
      </c>
      <c r="AB664" s="189">
        <v>5.3794177387681198E-2</v>
      </c>
      <c r="AC664" s="188">
        <v>26.009023919126601</v>
      </c>
      <c r="AD664" s="190">
        <v>0.90154426284026901</v>
      </c>
      <c r="AE664" s="189">
        <v>2.8403903483287798</v>
      </c>
    </row>
    <row r="665" spans="1:31" ht="21.25" customHeight="1" x14ac:dyDescent="0.15">
      <c r="A665" s="10" t="s">
        <v>607</v>
      </c>
      <c r="B665" s="186" t="s">
        <v>856</v>
      </c>
      <c r="C665" s="187">
        <v>23</v>
      </c>
      <c r="D665" s="186" t="s">
        <v>105</v>
      </c>
      <c r="E665" s="90"/>
      <c r="F665" s="188"/>
      <c r="G665" s="189"/>
      <c r="H665" s="189"/>
      <c r="I665" s="189"/>
      <c r="J665" s="189"/>
      <c r="K665" s="189"/>
      <c r="L665" s="189"/>
      <c r="M665" s="189"/>
      <c r="N665" s="189"/>
      <c r="O665" s="189"/>
      <c r="P665" s="189"/>
      <c r="Q665" s="189"/>
      <c r="R665" s="189"/>
      <c r="S665" s="189"/>
      <c r="T665" s="189"/>
      <c r="U665" s="189"/>
      <c r="V665" s="189"/>
      <c r="W665" s="189"/>
      <c r="X665" s="90">
        <v>25</v>
      </c>
      <c r="Y665" s="189">
        <v>0.49981560635338002</v>
      </c>
      <c r="Z665" s="189">
        <v>0.375138295234965</v>
      </c>
      <c r="AA665" s="189">
        <v>0.12504609841165501</v>
      </c>
      <c r="AB665" s="189">
        <v>4.5609565713001697E-2</v>
      </c>
      <c r="AC665" s="188">
        <v>25.852481226610099</v>
      </c>
      <c r="AD665" s="190">
        <v>0.89765559814618001</v>
      </c>
      <c r="AE665" s="189">
        <v>2.9475187733900299</v>
      </c>
    </row>
    <row r="666" spans="1:31" ht="21.25" customHeight="1" x14ac:dyDescent="0.15">
      <c r="A666" s="10" t="s">
        <v>327</v>
      </c>
      <c r="B666" s="186" t="s">
        <v>868</v>
      </c>
      <c r="C666" s="187">
        <v>30</v>
      </c>
      <c r="D666" s="186" t="s">
        <v>105</v>
      </c>
      <c r="E666" s="90"/>
      <c r="F666" s="188"/>
      <c r="G666" s="189"/>
      <c r="H666" s="189"/>
      <c r="I666" s="189"/>
      <c r="J666" s="189"/>
      <c r="K666" s="189"/>
      <c r="L666" s="189"/>
      <c r="M666" s="189"/>
      <c r="N666" s="189"/>
      <c r="O666" s="189"/>
      <c r="P666" s="189"/>
      <c r="Q666" s="189"/>
      <c r="R666" s="189"/>
      <c r="S666" s="189"/>
      <c r="T666" s="189"/>
      <c r="U666" s="189"/>
      <c r="V666" s="189"/>
      <c r="W666" s="189"/>
      <c r="X666" s="90">
        <v>45</v>
      </c>
      <c r="Y666" s="189">
        <v>0.35583055444262701</v>
      </c>
      <c r="Z666" s="189">
        <v>0.48312708416803102</v>
      </c>
      <c r="AA666" s="189">
        <v>0.161042361389343</v>
      </c>
      <c r="AB666" s="189">
        <v>2.7244471595597401E-2</v>
      </c>
      <c r="AC666" s="188">
        <v>28.5786987203176</v>
      </c>
      <c r="AD666" s="190">
        <v>0.89964617691638704</v>
      </c>
      <c r="AE666" s="189">
        <v>3.1878995864450599</v>
      </c>
    </row>
    <row r="667" spans="1:31" ht="21.25" customHeight="1" x14ac:dyDescent="0.15">
      <c r="A667" s="10" t="s">
        <v>555</v>
      </c>
      <c r="B667" s="186" t="s">
        <v>868</v>
      </c>
      <c r="C667" s="187">
        <v>31</v>
      </c>
      <c r="D667" s="186" t="s">
        <v>105</v>
      </c>
      <c r="E667" s="90"/>
      <c r="F667" s="188"/>
      <c r="G667" s="189"/>
      <c r="H667" s="189"/>
      <c r="I667" s="189"/>
      <c r="J667" s="189"/>
      <c r="K667" s="189"/>
      <c r="L667" s="189"/>
      <c r="M667" s="189"/>
      <c r="N667" s="189"/>
      <c r="O667" s="189"/>
      <c r="P667" s="189"/>
      <c r="Q667" s="189"/>
      <c r="R667" s="189"/>
      <c r="S667" s="189"/>
      <c r="T667" s="189"/>
      <c r="U667" s="189"/>
      <c r="V667" s="189"/>
      <c r="W667" s="189"/>
      <c r="X667" s="90">
        <v>35</v>
      </c>
      <c r="Y667" s="189">
        <v>0.341543877540194</v>
      </c>
      <c r="Z667" s="189">
        <v>0.493842091844854</v>
      </c>
      <c r="AA667" s="189">
        <v>0.164614030614951</v>
      </c>
      <c r="AB667" s="189">
        <v>2.0271030222114701E-2</v>
      </c>
      <c r="AC667" s="188">
        <v>27.140034938013699</v>
      </c>
      <c r="AD667" s="190">
        <v>0.89220052052343801</v>
      </c>
      <c r="AE667" s="189">
        <v>3.2791749970927402</v>
      </c>
    </row>
    <row r="668" spans="1:31" ht="21.25" customHeight="1" x14ac:dyDescent="0.15">
      <c r="A668" s="10" t="s">
        <v>342</v>
      </c>
      <c r="B668" s="186" t="s">
        <v>843</v>
      </c>
      <c r="C668" s="187">
        <v>28</v>
      </c>
      <c r="D668" s="186" t="s">
        <v>105</v>
      </c>
      <c r="E668" s="90"/>
      <c r="F668" s="188"/>
      <c r="G668" s="189"/>
      <c r="H668" s="189"/>
      <c r="I668" s="189"/>
      <c r="J668" s="189"/>
      <c r="K668" s="189"/>
      <c r="L668" s="189"/>
      <c r="M668" s="189"/>
      <c r="N668" s="189"/>
      <c r="O668" s="189"/>
      <c r="P668" s="189"/>
      <c r="Q668" s="189"/>
      <c r="R668" s="189"/>
      <c r="S668" s="189"/>
      <c r="T668" s="189"/>
      <c r="U668" s="189"/>
      <c r="V668" s="189"/>
      <c r="W668" s="189"/>
      <c r="X668" s="90">
        <v>45</v>
      </c>
      <c r="Y668" s="189">
        <v>0.57600159332407097</v>
      </c>
      <c r="Z668" s="189">
        <v>0.31799880500694699</v>
      </c>
      <c r="AA668" s="189">
        <v>0.10599960166898199</v>
      </c>
      <c r="AB668" s="189">
        <v>7.0092636294450603E-2</v>
      </c>
      <c r="AC668" s="188">
        <v>23.477182884636601</v>
      </c>
      <c r="AD668" s="190">
        <v>0.89936272916596804</v>
      </c>
      <c r="AE668" s="189">
        <v>2.62705973436583</v>
      </c>
    </row>
    <row r="669" spans="1:31" ht="21.25" customHeight="1" x14ac:dyDescent="0.15">
      <c r="A669" s="10" t="s">
        <v>517</v>
      </c>
      <c r="B669" s="186" t="s">
        <v>843</v>
      </c>
      <c r="C669" s="187">
        <v>30</v>
      </c>
      <c r="D669" s="186" t="s">
        <v>105</v>
      </c>
      <c r="E669" s="90"/>
      <c r="F669" s="188"/>
      <c r="G669" s="189"/>
      <c r="H669" s="189"/>
      <c r="I669" s="189"/>
      <c r="J669" s="189"/>
      <c r="K669" s="189"/>
      <c r="L669" s="189"/>
      <c r="M669" s="189"/>
      <c r="N669" s="189"/>
      <c r="O669" s="189"/>
      <c r="P669" s="189"/>
      <c r="Q669" s="189"/>
      <c r="R669" s="189"/>
      <c r="S669" s="189"/>
      <c r="T669" s="189"/>
      <c r="U669" s="189"/>
      <c r="V669" s="189"/>
      <c r="W669" s="189"/>
      <c r="X669" s="90">
        <v>35</v>
      </c>
      <c r="Y669" s="189">
        <v>0.56512797285126004</v>
      </c>
      <c r="Z669" s="189">
        <v>0.326154020361554</v>
      </c>
      <c r="AA669" s="189">
        <v>0.108718006787185</v>
      </c>
      <c r="AB669" s="189">
        <v>6.6055823978116504E-2</v>
      </c>
      <c r="AC669" s="188">
        <v>23.062724426826499</v>
      </c>
      <c r="AD669" s="190">
        <v>0.89589647900050795</v>
      </c>
      <c r="AE669" s="189">
        <v>2.6798975919094699</v>
      </c>
    </row>
    <row r="670" spans="1:31" ht="21.25" customHeight="1" x14ac:dyDescent="0.15">
      <c r="A670" s="10" t="s">
        <v>151</v>
      </c>
      <c r="B670" s="186" t="s">
        <v>851</v>
      </c>
      <c r="C670" s="187">
        <v>33</v>
      </c>
      <c r="D670" s="186" t="s">
        <v>105</v>
      </c>
      <c r="E670" s="90"/>
      <c r="F670" s="188"/>
      <c r="G670" s="189"/>
      <c r="H670" s="189"/>
      <c r="I670" s="189"/>
      <c r="J670" s="189"/>
      <c r="K670" s="189"/>
      <c r="L670" s="189"/>
      <c r="M670" s="189"/>
      <c r="N670" s="189"/>
      <c r="O670" s="189"/>
      <c r="P670" s="189"/>
      <c r="Q670" s="189"/>
      <c r="R670" s="189"/>
      <c r="S670" s="189"/>
      <c r="T670" s="189"/>
      <c r="U670" s="189"/>
      <c r="V670" s="189"/>
      <c r="W670" s="189"/>
      <c r="X670" s="90">
        <v>60</v>
      </c>
      <c r="Y670" s="189">
        <v>0.52306136493614297</v>
      </c>
      <c r="Z670" s="189">
        <v>0.35770397629789302</v>
      </c>
      <c r="AA670" s="189">
        <v>0.11923465876596399</v>
      </c>
      <c r="AB670" s="189">
        <v>7.1629914474880998E-2</v>
      </c>
      <c r="AC670" s="188">
        <v>26.314554525874801</v>
      </c>
      <c r="AD670" s="190">
        <v>0.90986155837076499</v>
      </c>
      <c r="AE670" s="189">
        <v>2.6069382922136</v>
      </c>
    </row>
    <row r="671" spans="1:31" ht="21.25" customHeight="1" x14ac:dyDescent="0.15">
      <c r="A671" s="10" t="s">
        <v>708</v>
      </c>
      <c r="B671" s="186" t="s">
        <v>851</v>
      </c>
      <c r="C671" s="187">
        <v>27</v>
      </c>
      <c r="D671" s="186" t="s">
        <v>105</v>
      </c>
      <c r="E671" s="90"/>
      <c r="F671" s="188"/>
      <c r="G671" s="189"/>
      <c r="H671" s="189"/>
      <c r="I671" s="189"/>
      <c r="J671" s="189"/>
      <c r="K671" s="189"/>
      <c r="L671" s="189"/>
      <c r="M671" s="189"/>
      <c r="N671" s="189"/>
      <c r="O671" s="189"/>
      <c r="P671" s="189"/>
      <c r="Q671" s="189"/>
      <c r="R671" s="189"/>
      <c r="S671" s="189"/>
      <c r="T671" s="189"/>
      <c r="U671" s="189"/>
      <c r="V671" s="189"/>
      <c r="W671" s="189"/>
      <c r="X671" s="90">
        <v>20</v>
      </c>
      <c r="Y671" s="189">
        <v>0.484773557308467</v>
      </c>
      <c r="Z671" s="189">
        <v>0.38641983201864999</v>
      </c>
      <c r="AA671" s="189">
        <v>0.12880661067288399</v>
      </c>
      <c r="AB671" s="189">
        <v>5.7453937539893099E-2</v>
      </c>
      <c r="AC671" s="188">
        <v>23.071660094540199</v>
      </c>
      <c r="AD671" s="190">
        <v>0.892032486527779</v>
      </c>
      <c r="AE671" s="189">
        <v>2.7924877285354301</v>
      </c>
    </row>
    <row r="672" spans="1:31" ht="21.25" customHeight="1" x14ac:dyDescent="0.15">
      <c r="A672" s="10" t="s">
        <v>166</v>
      </c>
      <c r="B672" s="186" t="s">
        <v>869</v>
      </c>
      <c r="C672" s="187">
        <v>29</v>
      </c>
      <c r="D672" s="186" t="s">
        <v>105</v>
      </c>
      <c r="E672" s="90"/>
      <c r="F672" s="188"/>
      <c r="G672" s="189"/>
      <c r="H672" s="189"/>
      <c r="I672" s="189"/>
      <c r="J672" s="189"/>
      <c r="K672" s="189"/>
      <c r="L672" s="189"/>
      <c r="M672" s="189"/>
      <c r="N672" s="189"/>
      <c r="O672" s="189"/>
      <c r="P672" s="189"/>
      <c r="Q672" s="189"/>
      <c r="R672" s="189"/>
      <c r="S672" s="189"/>
      <c r="T672" s="189"/>
      <c r="U672" s="189"/>
      <c r="V672" s="189"/>
      <c r="W672" s="189"/>
      <c r="X672" s="90">
        <v>55</v>
      </c>
      <c r="Y672" s="189">
        <v>0.57760729711988201</v>
      </c>
      <c r="Z672" s="189">
        <v>0.31679452716008899</v>
      </c>
      <c r="AA672" s="189">
        <v>0.10559817572003</v>
      </c>
      <c r="AB672" s="189">
        <v>6.7879926914851396E-2</v>
      </c>
      <c r="AC672" s="188">
        <v>26.526115098618099</v>
      </c>
      <c r="AD672" s="190">
        <v>0.908984667598702</v>
      </c>
      <c r="AE672" s="189">
        <v>2.6560218990202702</v>
      </c>
    </row>
    <row r="673" spans="1:31" ht="21.25" customHeight="1" x14ac:dyDescent="0.15">
      <c r="A673" s="10" t="s">
        <v>653</v>
      </c>
      <c r="B673" s="186" t="s">
        <v>869</v>
      </c>
      <c r="C673" s="187">
        <v>32</v>
      </c>
      <c r="D673" s="186" t="s">
        <v>105</v>
      </c>
      <c r="E673" s="90"/>
      <c r="F673" s="188"/>
      <c r="G673" s="189"/>
      <c r="H673" s="189"/>
      <c r="I673" s="189"/>
      <c r="J673" s="189"/>
      <c r="K673" s="189"/>
      <c r="L673" s="189"/>
      <c r="M673" s="189"/>
      <c r="N673" s="189"/>
      <c r="O673" s="189"/>
      <c r="P673" s="189"/>
      <c r="Q673" s="189"/>
      <c r="R673" s="189"/>
      <c r="S673" s="189"/>
      <c r="T673" s="189"/>
      <c r="U673" s="189"/>
      <c r="V673" s="189"/>
      <c r="W673" s="189"/>
      <c r="X673" s="90">
        <v>25</v>
      </c>
      <c r="Y673" s="189">
        <v>0.526597865277316</v>
      </c>
      <c r="Z673" s="189">
        <v>0.355051601042013</v>
      </c>
      <c r="AA673" s="189">
        <v>0.118350533680671</v>
      </c>
      <c r="AB673" s="189">
        <v>4.8182896548744997E-2</v>
      </c>
      <c r="AC673" s="188">
        <v>24.0266009085788</v>
      </c>
      <c r="AD673" s="190">
        <v>0.89184153190589299</v>
      </c>
      <c r="AE673" s="189">
        <v>2.9138364326080501</v>
      </c>
    </row>
  </sheetData>
  <mergeCells count="2">
    <mergeCell ref="F1:V1"/>
    <mergeCell ref="X1:AE1"/>
  </mergeCells>
  <pageMargins left="1" right="1" top="1" bottom="1" header="0.25" footer="0.25"/>
  <pageSetup orientation="portrait"/>
  <headerFooter>
    <oddFooter>&amp;C&amp;"Helvetica,Regular"&amp;12&amp;K000000&amp;P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E672"/>
  <sheetViews>
    <sheetView showGridLines="0" workbookViewId="0">
      <pane ySplit="1" topLeftCell="A2" activePane="bottomLeft" state="frozen"/>
      <selection pane="bottomLeft"/>
    </sheetView>
  </sheetViews>
  <sheetFormatPr baseColWidth="10" defaultColWidth="8" defaultRowHeight="16.25" customHeight="1" x14ac:dyDescent="0.15"/>
  <cols>
    <col min="1" max="1" width="28.33203125" style="1" customWidth="1"/>
    <col min="2" max="3" width="8.33203125" style="1" customWidth="1"/>
    <col min="4" max="21" width="7.1640625" style="1" customWidth="1"/>
    <col min="22" max="22" width="2.33203125" style="1" customWidth="1"/>
    <col min="23" max="30" width="7.1640625" style="1" customWidth="1"/>
    <col min="31" max="31" width="2.33203125" style="1" customWidth="1"/>
    <col min="32" max="32" width="8" style="1" customWidth="1"/>
    <col min="33" max="16384" width="8" style="1"/>
  </cols>
  <sheetData>
    <row r="1" spans="1:31" ht="28.25" customHeight="1" x14ac:dyDescent="0.15">
      <c r="A1" s="41" t="s">
        <v>91</v>
      </c>
      <c r="B1" s="42" t="s">
        <v>94</v>
      </c>
      <c r="C1" s="43" t="s">
        <v>97</v>
      </c>
      <c r="D1" s="46" t="s">
        <v>104</v>
      </c>
      <c r="E1" s="46" t="s">
        <v>56</v>
      </c>
      <c r="F1" s="46" t="s">
        <v>105</v>
      </c>
      <c r="G1" s="46" t="s">
        <v>106</v>
      </c>
      <c r="H1" s="46" t="s">
        <v>107</v>
      </c>
      <c r="I1" s="46" t="s">
        <v>108</v>
      </c>
      <c r="J1" s="46" t="s">
        <v>64</v>
      </c>
      <c r="K1" s="46" t="s">
        <v>68</v>
      </c>
      <c r="L1" s="46" t="s">
        <v>109</v>
      </c>
      <c r="M1" s="46" t="s">
        <v>110</v>
      </c>
      <c r="N1" s="46" t="s">
        <v>111</v>
      </c>
      <c r="O1" s="46" t="s">
        <v>112</v>
      </c>
      <c r="P1" s="46" t="s">
        <v>113</v>
      </c>
      <c r="Q1" s="46" t="s">
        <v>114</v>
      </c>
      <c r="R1" s="46" t="s">
        <v>115</v>
      </c>
      <c r="S1" s="46" t="s">
        <v>116</v>
      </c>
      <c r="T1" s="46" t="s">
        <v>117</v>
      </c>
      <c r="U1" s="46" t="s">
        <v>118</v>
      </c>
      <c r="V1" s="44"/>
      <c r="W1" s="46" t="s">
        <v>104</v>
      </c>
      <c r="X1" s="46" t="s">
        <v>119</v>
      </c>
      <c r="Y1" s="46" t="s">
        <v>120</v>
      </c>
      <c r="Z1" s="46" t="s">
        <v>121</v>
      </c>
      <c r="AA1" s="46" t="s">
        <v>122</v>
      </c>
      <c r="AB1" s="46" t="s">
        <v>123</v>
      </c>
      <c r="AC1" s="46" t="s">
        <v>125</v>
      </c>
      <c r="AD1" s="46" t="s">
        <v>126</v>
      </c>
      <c r="AE1" s="44"/>
    </row>
    <row r="2" spans="1:31" ht="21.25" customHeight="1" x14ac:dyDescent="0.15">
      <c r="A2" s="10" t="s">
        <v>129</v>
      </c>
      <c r="B2" s="18" t="str" cm="1">
        <f t="array" ref="B2">VLOOKUP(A2,'Player Data'!A1:B673,2,FALSE)</f>
        <v>EDM</v>
      </c>
      <c r="C2" s="52" cm="1">
        <f t="array" ref="C2">((E2)*Settings!$C$12)+(F2*Settings!$C$2)+(G2*Settings!$C$3)+(H2*Settings!$C$4)+(I2*Settings!$C$5)+(K2*Settings!$C$9)+(N2*Settings!$C$6)+(J2*Settings!$C$8)+(O2*Settings!$C$7)+(P2*Settings!$C$14)+(Q2*Settings!$C$15)+(R2*Settings!$C$16)+(S2*Settings!$C$17)+(T2*Settings!$C$18)+(U2*Settings!$C$19)+(L2*Settings!$C$10)+(Settings!$C$11*M2)</f>
        <v>16.015530676966371</v>
      </c>
      <c r="D2" s="57" cm="1">
        <f t="array" ref="D2">IF(Settings!$E$12="YES",VLOOKUP(A2,'Player Data'!A1:E673,5,FALSE),82)</f>
        <v>81.367500000000007</v>
      </c>
      <c r="E2" s="55" cm="1">
        <f t="array" ref="E2">(VLOOKUP($A2,'The List'!$B1:$AH671,17,FALSE)-AVERAGE('The List'!R2:R671))/STDEV('The List'!R2:R671)</f>
        <v>1.3487908048567874</v>
      </c>
      <c r="F2" s="55" cm="1">
        <f t="array" ref="F2">(VLOOKUP($A2,'The List'!$B1:$AH671,18,FALSE)-AVERAGE('The List'!S2:S671))/STDEV('The List'!S2:S671)</f>
        <v>2.565033317513735</v>
      </c>
      <c r="G2" s="55" cm="1">
        <f t="array" ref="G2">(VLOOKUP($A2,'The List'!$B1:$AH671,19,FALSE)-AVERAGE('The List'!T2:T671))/STDEV('The List'!T2:T671)</f>
        <v>4.7377153380148727</v>
      </c>
      <c r="H2" s="55" cm="1">
        <f t="array" ref="H2">(VLOOKUP($A2,'The List'!$B1:$AH671,20,FALSE)-AVERAGE('The List'!U2:U671))/STDEV('The List'!U2:U671)</f>
        <v>4.1180474256640576</v>
      </c>
      <c r="I2" s="55" cm="1">
        <f t="array" ref="I2">(VLOOKUP($A2,'The List'!$B1:$AH671,21,FALSE)-AVERAGE('The List'!V2:V671))/STDEV('The List'!V2:V671)</f>
        <v>2.6906951947712021</v>
      </c>
      <c r="J2" s="55" cm="1">
        <f t="array" ref="J2">(VLOOKUP($A2,'The List'!$B1:$AH671,22,FALSE)-AVERAGE('The List'!W2:W671))/STDEV('The List'!W2:W671)</f>
        <v>2.6618062309127573</v>
      </c>
      <c r="K2" s="55" cm="1">
        <f t="array" ref="K2">(VLOOKUP($A2,'The List'!$B1:$AH671,23,FALSE)-AVERAGE('The List'!X2:X671))/STDEV('The List'!X2:X671)</f>
        <v>4.303311555940267</v>
      </c>
      <c r="L2" s="55" cm="1">
        <f t="array" ref="L2">(VLOOKUP($A2,'The List'!$B1:$AH671,24,FALSE)-AVERAGE('The List'!Y2:Y671))/STDEV('The List'!Y2:Y671)</f>
        <v>-0.14435994308477987</v>
      </c>
      <c r="M2" s="55" cm="1">
        <f t="array" ref="M2">(VLOOKUP($A2,'The List'!$B1:$AH671,25,FALSE)-AVERAGE('The List'!Z2:Z671))/STDEV('The List'!Z2:Z671)</f>
        <v>-0.42883761101010248</v>
      </c>
      <c r="N2" s="55" cm="1">
        <f t="array" ref="N2">(VLOOKUP($A2,'The List'!$B1:$AH671,26,FALSE)-AVERAGE('The List'!AA2:AA671))/STDEV('The List'!AA2:AA671)</f>
        <v>-0.87880102682048156</v>
      </c>
      <c r="O2" s="55" cm="1">
        <f t="array" ref="O2">(VLOOKUP($A2,'The List'!$B1:$AH671,27,FALSE)-AVERAGE('The List'!AB2:AB671))/STDEV('The List'!AB2:AB671)</f>
        <v>-0.79351307642097146</v>
      </c>
      <c r="P2" s="55" cm="1">
        <f t="array" ref="P2">(VLOOKUP($A2,'The List'!$B1:$AH671,28,FALSE)-AVERAGE('The List'!AC2:AC671))/STDEV('The List'!AC2:AC671)</f>
        <v>2.169438469174175</v>
      </c>
      <c r="Q2" s="55" cm="1">
        <f t="array" ref="Q2">(VLOOKUP($A2,'The List'!$B1:$AH671,29,FALSE)-AVERAGE('The List'!AD2:AD671))/STDEV('The List'!AD2:AD671)</f>
        <v>0.4281378283725995</v>
      </c>
      <c r="R2" s="55" cm="1">
        <f t="array" ref="R2">(VLOOKUP($A2,'The List'!$B1:$AH671,30,FALSE)-AVERAGE('The List'!AE2:AE671))/STDEV('The List'!AE2:AE671)</f>
        <v>2.9848228792985827</v>
      </c>
      <c r="S2" s="55" cm="1">
        <f t="array" ref="S2">(VLOOKUP($A2,'The List'!$B1:$AH671,31,FALSE)-AVERAGE('The List'!AF2:AF671))/STDEV('The List'!AF2:AF671)</f>
        <v>1.4995287108891824</v>
      </c>
      <c r="T2" s="55" cm="1">
        <f t="array" ref="T2">(VLOOKUP($A2,'The List'!$B1:$AH671,32,FALSE)-AVERAGE('The List'!AG2:AG671))/STDEV('The List'!AG2:AG671)</f>
        <v>1.6506630622865519</v>
      </c>
      <c r="U2" s="55" cm="1">
        <f t="array" ref="U2">(VLOOKUP($A2,'The List'!$B1:$AH671,33,FALSE)-AVERAGE('The List'!AH2:AH671))/STDEV('The List'!AH2:AH671)</f>
        <v>1.0094257287747204</v>
      </c>
      <c r="V2" s="55"/>
      <c r="W2" s="78"/>
      <c r="X2" s="57"/>
      <c r="Y2" s="57"/>
      <c r="Z2" s="57"/>
      <c r="AA2" s="57"/>
      <c r="AB2" s="57"/>
      <c r="AC2" s="60"/>
      <c r="AD2" s="61"/>
      <c r="AE2" s="55"/>
    </row>
    <row r="3" spans="1:31" ht="21.25" customHeight="1" x14ac:dyDescent="0.15">
      <c r="A3" s="10" t="s">
        <v>130</v>
      </c>
      <c r="B3" s="18" t="str" cm="1">
        <f t="array" ref="B3">VLOOKUP(A3,'Player Data'!A1:B673,2,FALSE)</f>
        <v>T.B</v>
      </c>
      <c r="C3" s="52" cm="1">
        <f t="array" ref="C3">((E3)*Settings!$C$12)+(F3*Settings!$C$2)+(G3*Settings!$C$3)+(H3*Settings!$C$4)+(I3*Settings!$C$5)+(K3*Settings!$C$9)+(N3*Settings!$C$6)+(J3*Settings!$C$8)+(O3*Settings!$C$7)+(P3*Settings!$C$14)+(Q3*Settings!$C$15)+(R3*Settings!$C$16)+(S3*Settings!$C$17)+(T3*Settings!$C$18)+(U3*Settings!$C$19)+(L3*Settings!$C$10)+(Settings!$C$11*M3)</f>
        <v>15.149623236256513</v>
      </c>
      <c r="D3" s="57" cm="1">
        <f t="array" ref="D3">IF(Settings!$E$12="YES",VLOOKUP(A3,'Player Data'!A1:E673,5,FALSE),82)</f>
        <v>82.314999999999998</v>
      </c>
      <c r="E3" s="55" cm="1">
        <f t="array" ref="E3">(VLOOKUP($A3,'The List'!$B1:$AH671,17,FALSE)-AVERAGE('The List'!R2:R671))/STDEV('The List'!R2:R671)</f>
        <v>0.90530980544545137</v>
      </c>
      <c r="F3" s="55" cm="1">
        <f t="array" ref="F3">(VLOOKUP($A3,'The List'!$B1:$AH671,18,FALSE)-AVERAGE('The List'!S2:S671))/STDEV('The List'!S2:S671)</f>
        <v>2.7372750149739598</v>
      </c>
      <c r="G3" s="55" cm="1">
        <f t="array" ref="G3">(VLOOKUP($A3,'The List'!$B1:$AH671,19,FALSE)-AVERAGE('The List'!T2:T671))/STDEV('The List'!T2:T671)</f>
        <v>4.3702191453088215</v>
      </c>
      <c r="H3" s="55" cm="1">
        <f t="array" ref="H3">(VLOOKUP($A3,'The List'!$B1:$AH671,20,FALSE)-AVERAGE('The List'!U2:U671))/STDEV('The List'!U2:U671)</f>
        <v>3.9633141545307815</v>
      </c>
      <c r="I3" s="55" cm="1">
        <f t="array" ref="I3">(VLOOKUP($A3,'The List'!$B1:$AH671,21,FALSE)-AVERAGE('The List'!V2:V671))/STDEV('The List'!V2:V671)</f>
        <v>2.2478753479790918</v>
      </c>
      <c r="J3" s="55" cm="1">
        <f t="array" ref="J3">(VLOOKUP($A3,'The List'!$B1:$AH671,22,FALSE)-AVERAGE('The List'!W2:W671))/STDEV('The List'!W2:W671)</f>
        <v>1.8434703247737978</v>
      </c>
      <c r="K3" s="55" cm="1">
        <f t="array" ref="K3">(VLOOKUP($A3,'The List'!$B1:$AH671,23,FALSE)-AVERAGE('The List'!X2:X671))/STDEV('The List'!X2:X671)</f>
        <v>3.5767493099210199</v>
      </c>
      <c r="L3" s="55" cm="1">
        <f t="array" ref="L3">(VLOOKUP($A3,'The List'!$B1:$AH671,24,FALSE)-AVERAGE('The List'!Y2:Y671))/STDEV('The List'!Y2:Y671)</f>
        <v>-0.45269466153004961</v>
      </c>
      <c r="M3" s="55" cm="1">
        <f t="array" ref="M3">(VLOOKUP($A3,'The List'!$B1:$AH671,25,FALSE)-AVERAGE('The List'!Z2:Z671))/STDEV('The List'!Z2:Z671)</f>
        <v>-0.63224033800892787</v>
      </c>
      <c r="N3" s="55" cm="1">
        <f t="array" ref="N3">(VLOOKUP($A3,'The List'!$B1:$AH671,26,FALSE)-AVERAGE('The List'!AA2:AA671))/STDEV('The List'!AA2:AA671)</f>
        <v>-0.76363585181670612</v>
      </c>
      <c r="O3" s="55" cm="1">
        <f t="array" ref="O3">(VLOOKUP($A3,'The List'!$B1:$AH671,27,FALSE)-AVERAGE('The List'!AB2:AB671))/STDEV('The List'!AB2:AB671)</f>
        <v>-1.0060126523279114</v>
      </c>
      <c r="P3" s="55" cm="1">
        <f t="array" ref="P3">(VLOOKUP($A3,'The List'!$B1:$AH671,28,FALSE)-AVERAGE('The List'!AC2:AC671))/STDEV('The List'!AC2:AC671)</f>
        <v>2.7382526642659761</v>
      </c>
      <c r="Q3" s="55" cm="1">
        <f t="array" ref="Q3">(VLOOKUP($A3,'The List'!$B1:$AH671,29,FALSE)-AVERAGE('The List'!AD2:AD671))/STDEV('The List'!AD2:AD671)</f>
        <v>0.24288760562435058</v>
      </c>
      <c r="R3" s="55" cm="1">
        <f t="array" ref="R3">(VLOOKUP($A3,'The List'!$B1:$AH671,30,FALSE)-AVERAGE('The List'!AE2:AE671))/STDEV('The List'!AE2:AE671)</f>
        <v>3.224291539825443</v>
      </c>
      <c r="S3" s="55" cm="1">
        <f t="array" ref="S3">(VLOOKUP($A3,'The List'!$B1:$AH671,31,FALSE)-AVERAGE('The List'!AF2:AF671))/STDEV('The List'!AF2:AF671)</f>
        <v>-0.59048572928846754</v>
      </c>
      <c r="T3" s="55" cm="1">
        <f t="array" ref="T3">(VLOOKUP($A3,'The List'!$B1:$AH671,32,FALSE)-AVERAGE('The List'!AG2:AG671))/STDEV('The List'!AG2:AG671)</f>
        <v>-0.6375406083715236</v>
      </c>
      <c r="U3" s="55" cm="1">
        <f t="array" ref="U3">(VLOOKUP($A3,'The List'!$B1:$AH671,33,FALSE)-AVERAGE('The List'!AH2:AH671))/STDEV('The List'!AH2:AH671)</f>
        <v>0.14389297635759776</v>
      </c>
      <c r="V3" s="55"/>
      <c r="W3" s="57"/>
      <c r="X3" s="57"/>
      <c r="Y3" s="57"/>
      <c r="Z3" s="57"/>
      <c r="AA3" s="57"/>
      <c r="AB3" s="57"/>
      <c r="AC3" s="60"/>
      <c r="AD3" s="61"/>
      <c r="AE3" s="55"/>
    </row>
    <row r="4" spans="1:31" ht="21.25" customHeight="1" x14ac:dyDescent="0.15">
      <c r="A4" s="10" t="s">
        <v>127</v>
      </c>
      <c r="B4" s="18" t="str" cm="1">
        <f t="array" ref="B4">VLOOKUP(A4,'Player Data'!A1:B673,2,FALSE)</f>
        <v>COL</v>
      </c>
      <c r="C4" s="52" cm="1">
        <f t="array" ref="C4">((E4)*Settings!$C$12)+(F4*Settings!$C$2)+(G4*Settings!$C$3)+(H4*Settings!$C$4)+(I4*Settings!$C$5)+(K4*Settings!$C$9)+(N4*Settings!$C$6)+(J4*Settings!$C$8)+(O4*Settings!$C$7)+(P4*Settings!$C$14)+(Q4*Settings!$C$15)+(R4*Settings!$C$16)+(S4*Settings!$C$17)+(T4*Settings!$C$18)+(U4*Settings!$C$19)+(L4*Settings!$C$10)+(Settings!$C$11*M4)</f>
        <v>16.110259440066848</v>
      </c>
      <c r="D4" s="57" cm="1">
        <f t="array" ref="D4">IF(Settings!$E$12="YES",VLOOKUP(A4,'Player Data'!A1:E673,5,FALSE),82)</f>
        <v>83.262500000000003</v>
      </c>
      <c r="E4" s="55" cm="1">
        <f t="array" ref="E4">(VLOOKUP($A4,'The List'!$B1:$AH671,17,FALSE)-AVERAGE('The List'!R2:R671))/STDEV('The List'!R2:R671)</f>
        <v>1.3578009016207047</v>
      </c>
      <c r="F4" s="55" cm="1">
        <f t="array" ref="F4">(VLOOKUP($A4,'The List'!$B1:$AH671,18,FALSE)-AVERAGE('The List'!S2:S671))/STDEV('The List'!S2:S671)</f>
        <v>3.1763335458528412</v>
      </c>
      <c r="G4" s="55" cm="1">
        <f t="array" ref="G4">(VLOOKUP($A4,'The List'!$B1:$AH671,19,FALSE)-AVERAGE('The List'!T2:T671))/STDEV('The List'!T2:T671)</f>
        <v>3.8004631160098241</v>
      </c>
      <c r="H4" s="55" cm="1">
        <f t="array" ref="H4">(VLOOKUP($A4,'The List'!$B1:$AH671,20,FALSE)-AVERAGE('The List'!U2:U671))/STDEV('The List'!U2:U671)</f>
        <v>3.7997413385989507</v>
      </c>
      <c r="I4" s="55" cm="1">
        <f t="array" ref="I4">(VLOOKUP($A4,'The List'!$B1:$AH671,21,FALSE)-AVERAGE('The List'!V2:V671))/STDEV('The List'!V2:V671)</f>
        <v>3.8648631251206855</v>
      </c>
      <c r="J4" s="55" cm="1">
        <f t="array" ref="J4">(VLOOKUP($A4,'The List'!$B1:$AH671,22,FALSE)-AVERAGE('The List'!W2:W671))/STDEV('The List'!W2:W671)</f>
        <v>2.0856199788318697</v>
      </c>
      <c r="K4" s="55" cm="1">
        <f t="array" ref="K4">(VLOOKUP($A4,'The List'!$B1:$AH671,23,FALSE)-AVERAGE('The List'!X2:X671))/STDEV('The List'!X2:X671)</f>
        <v>2.6577412703310341</v>
      </c>
      <c r="L4" s="55" cm="1">
        <f t="array" ref="L4">(VLOOKUP($A4,'The List'!$B1:$AH671,24,FALSE)-AVERAGE('The List'!Y2:Y671))/STDEV('The List'!Y2:Y671)</f>
        <v>-0.53765818175879743</v>
      </c>
      <c r="M4" s="55" cm="1">
        <f t="array" ref="M4">(VLOOKUP($A4,'The List'!$B1:$AH671,25,FALSE)-AVERAGE('The List'!Z2:Z671))/STDEV('The List'!Z2:Z671)</f>
        <v>-0.6801983425938134</v>
      </c>
      <c r="N4" s="55" cm="1">
        <f t="array" ref="N4">(VLOOKUP($A4,'The List'!$B1:$AH671,26,FALSE)-AVERAGE('The List'!AA2:AA671))/STDEV('The List'!AA2:AA671)</f>
        <v>-0.47764459889266675</v>
      </c>
      <c r="O4" s="55" cm="1">
        <f t="array" ref="O4">(VLOOKUP($A4,'The List'!$B1:$AH671,27,FALSE)-AVERAGE('The List'!AB2:AB671))/STDEV('The List'!AB2:AB671)</f>
        <v>-0.57754945576146821</v>
      </c>
      <c r="P4" s="55" cm="1">
        <f t="array" ref="P4">(VLOOKUP($A4,'The List'!$B1:$AH671,28,FALSE)-AVERAGE('The List'!AC2:AC671))/STDEV('The List'!AC2:AC671)</f>
        <v>2.9611046130889784</v>
      </c>
      <c r="Q4" s="55" cm="1">
        <f t="array" ref="Q4">(VLOOKUP($A4,'The List'!$B1:$AH671,29,FALSE)-AVERAGE('The List'!AD2:AD671))/STDEV('The List'!AD2:AD671)</f>
        <v>0.1273983685561515</v>
      </c>
      <c r="R4" s="55" cm="1">
        <f t="array" ref="R4">(VLOOKUP($A4,'The List'!$B1:$AH671,30,FALSE)-AVERAGE('The List'!AE2:AE671))/STDEV('The List'!AE2:AE671)</f>
        <v>3.7959491966374155</v>
      </c>
      <c r="S4" s="55" cm="1">
        <f t="array" ref="S4">(VLOOKUP($A4,'The List'!$B1:$AH671,31,FALSE)-AVERAGE('The List'!AF2:AF671))/STDEV('The List'!AF2:AF671)</f>
        <v>2.6657298381594208</v>
      </c>
      <c r="T4" s="55" cm="1">
        <f t="array" ref="T4">(VLOOKUP($A4,'The List'!$B1:$AH671,32,FALSE)-AVERAGE('The List'!AG2:AG671))/STDEV('The List'!AG2:AG671)</f>
        <v>2.9025046084294122</v>
      </c>
      <c r="U4" s="55" cm="1">
        <f t="array" ref="U4">(VLOOKUP($A4,'The List'!$B1:$AH671,33,FALSE)-AVERAGE('The List'!AH2:AH671))/STDEV('The List'!AH2:AH671)</f>
        <v>1.0183111165951961</v>
      </c>
      <c r="V4" s="55"/>
      <c r="W4" s="78"/>
      <c r="X4" s="57"/>
      <c r="Y4" s="57"/>
      <c r="Z4" s="57"/>
      <c r="AA4" s="57"/>
      <c r="AB4" s="57"/>
      <c r="AC4" s="60"/>
      <c r="AD4" s="61"/>
      <c r="AE4" s="55"/>
    </row>
    <row r="5" spans="1:31" ht="21.25" customHeight="1" x14ac:dyDescent="0.15">
      <c r="A5" s="10" t="s">
        <v>138</v>
      </c>
      <c r="B5" s="18" t="str" cm="1">
        <f t="array" ref="B5">VLOOKUP(A5,'Player Data'!A1:B673,2,FALSE)</f>
        <v>EDM</v>
      </c>
      <c r="C5" s="52" cm="1">
        <f t="array" ref="C5">((E5)*Settings!$C$12)+(F5*Settings!$C$2)+(G5*Settings!$C$3)+(H5*Settings!$C$4)+(I5*Settings!$C$5)+(K5*Settings!$C$9)+(N5*Settings!$C$6)+(J5*Settings!$C$8)+(O5*Settings!$C$7)+(P5*Settings!$C$14)+(Q5*Settings!$C$15)+(R5*Settings!$C$16)+(S5*Settings!$C$17)+(T5*Settings!$C$18)+(U5*Settings!$C$19)+(L5*Settings!$C$10)+(Settings!$C$11*M5)</f>
        <v>13.230736262853329</v>
      </c>
      <c r="D5" s="57" cm="1">
        <f t="array" ref="D5">IF(Settings!$E$12="YES",VLOOKUP(A5,'Player Data'!A1:E673,5,FALSE),82)</f>
        <v>79.400000000000006</v>
      </c>
      <c r="E5" s="55" cm="1">
        <f t="array" ref="E5">(VLOOKUP($A5,'The List'!$B1:$AH671,17,FALSE)-AVERAGE('The List'!R2:R671))/STDEV('The List'!R2:R671)</f>
        <v>1.1174147401689152</v>
      </c>
      <c r="F5" s="55" cm="1">
        <f t="array" ref="F5">(VLOOKUP($A5,'The List'!$B1:$AH671,18,FALSE)-AVERAGE('The List'!S2:S671))/STDEV('The List'!S2:S671)</f>
        <v>3.1395067192256843</v>
      </c>
      <c r="G5" s="55" cm="1">
        <f t="array" ref="G5">(VLOOKUP($A5,'The List'!$B1:$AH671,19,FALSE)-AVERAGE('The List'!T2:T671))/STDEV('The List'!T2:T671)</f>
        <v>3.0033795859815298</v>
      </c>
      <c r="H5" s="55" cm="1">
        <f t="array" ref="H5">(VLOOKUP($A5,'The List'!$B1:$AH671,20,FALSE)-AVERAGE('The List'!U2:U671))/STDEV('The List'!U2:U671)</f>
        <v>3.2820407435646262</v>
      </c>
      <c r="I5" s="55" cm="1">
        <f t="array" ref="I5">(VLOOKUP($A5,'The List'!$B1:$AH671,21,FALSE)-AVERAGE('The List'!V2:V671))/STDEV('The List'!V2:V671)</f>
        <v>1.8326959988174025</v>
      </c>
      <c r="J5" s="55" cm="1">
        <f t="array" ref="J5">(VLOOKUP($A5,'The List'!$B1:$AH671,22,FALSE)-AVERAGE('The List'!W2:W671))/STDEV('The List'!W2:W671)</f>
        <v>4.6308976958264241</v>
      </c>
      <c r="K5" s="55" cm="1">
        <f t="array" ref="K5">(VLOOKUP($A5,'The List'!$B1:$AH671,23,FALSE)-AVERAGE('The List'!X2:X671))/STDEV('The List'!X2:X671)</f>
        <v>3.7868553531096394</v>
      </c>
      <c r="L5" s="55" cm="1">
        <f t="array" ref="L5">(VLOOKUP($A5,'The List'!$B1:$AH671,24,FALSE)-AVERAGE('The List'!Y2:Y671))/STDEV('The List'!Y2:Y671)</f>
        <v>-0.46899734856228997</v>
      </c>
      <c r="M5" s="55" cm="1">
        <f t="array" ref="M5">(VLOOKUP($A5,'The List'!$B1:$AH671,25,FALSE)-AVERAGE('The List'!Z2:Z671))/STDEV('The List'!Z2:Z671)</f>
        <v>-0.51739582461788447</v>
      </c>
      <c r="N5" s="55" cm="1">
        <f t="array" ref="N5">(VLOOKUP($A5,'The List'!$B1:$AH671,26,FALSE)-AVERAGE('The List'!AA2:AA671))/STDEV('The List'!AA2:AA671)</f>
        <v>-1.012697525148357</v>
      </c>
      <c r="O5" s="55" cm="1">
        <f t="array" ref="O5">(VLOOKUP($A5,'The List'!$B1:$AH671,27,FALSE)-AVERAGE('The List'!AB2:AB671))/STDEV('The List'!AB2:AB671)</f>
        <v>-0.96097559269529187</v>
      </c>
      <c r="P5" s="55" cm="1">
        <f t="array" ref="P5">(VLOOKUP($A5,'The List'!$B1:$AH671,28,FALSE)-AVERAGE('The List'!AC2:AC671))/STDEV('The List'!AC2:AC671)</f>
        <v>1.9111003507992768</v>
      </c>
      <c r="Q5" s="55" cm="1">
        <f t="array" ref="Q5">(VLOOKUP($A5,'The List'!$B1:$AH671,29,FALSE)-AVERAGE('The List'!AD2:AD671))/STDEV('The List'!AD2:AD671)</f>
        <v>0.56989578006815333</v>
      </c>
      <c r="R5" s="55" cm="1">
        <f t="array" ref="R5">(VLOOKUP($A5,'The List'!$B1:$AH671,30,FALSE)-AVERAGE('The List'!AE2:AE671))/STDEV('The List'!AE2:AE671)</f>
        <v>3.6150059806285877</v>
      </c>
      <c r="S5" s="55" cm="1">
        <f t="array" ref="S5">(VLOOKUP($A5,'The List'!$B1:$AH671,31,FALSE)-AVERAGE('The List'!AF2:AF671))/STDEV('The List'!AF2:AF671)</f>
        <v>2.9819026662905515</v>
      </c>
      <c r="T5" s="55" cm="1">
        <f t="array" ref="T5">(VLOOKUP($A5,'The List'!$B1:$AH671,32,FALSE)-AVERAGE('The List'!AG2:AG671))/STDEV('The List'!AG2:AG671)</f>
        <v>2.3363674747789647</v>
      </c>
      <c r="U5" s="55" cm="1">
        <f t="array" ref="U5">(VLOOKUP($A5,'The List'!$B1:$AH671,33,FALSE)-AVERAGE('The List'!AH2:AH671))/STDEV('The List'!AH2:AH671)</f>
        <v>1.3230533118605208</v>
      </c>
      <c r="V5" s="55"/>
      <c r="W5" s="78"/>
      <c r="X5" s="57"/>
      <c r="Y5" s="57"/>
      <c r="Z5" s="57"/>
      <c r="AA5" s="57"/>
      <c r="AB5" s="57"/>
      <c r="AC5" s="60"/>
      <c r="AD5" s="61"/>
      <c r="AE5" s="55"/>
    </row>
    <row r="6" spans="1:31" ht="21.25" customHeight="1" x14ac:dyDescent="0.15">
      <c r="A6" s="10" t="s">
        <v>134</v>
      </c>
      <c r="B6" s="18" t="str" cm="1">
        <f t="array" ref="B6">VLOOKUP(A6,'Player Data'!A1:B673,2,FALSE)</f>
        <v>S.J</v>
      </c>
      <c r="C6" s="52" cm="1">
        <f t="array" ref="C6">((E6)*Settings!$C$12)+(F6*Settings!$C$2)+(G6*Settings!$C$3)+(H6*Settings!$C$4)+(I6*Settings!$C$5)+(K6*Settings!$C$9)+(N6*Settings!$C$6)+(J6*Settings!$C$8)+(O6*Settings!$C$7)+(P6*Settings!$C$14)+(Q6*Settings!$C$15)+(R6*Settings!$C$16)+(S6*Settings!$C$17)+(T6*Settings!$C$18)+(U6*Settings!$C$19)+(L6*Settings!$C$10)+(Settings!$C$11*M6)</f>
        <v>11.799275814543098</v>
      </c>
      <c r="D6" s="57" cm="1">
        <f t="array" ref="D6">IF(Settings!$E$12="YES",VLOOKUP(A6,'Player Data'!A1:E673,5,FALSE),82)</f>
        <v>81.78</v>
      </c>
      <c r="E6" s="55" cm="1">
        <f t="array" ref="E6">(VLOOKUP($A6,'The List'!$B1:$AH671,17,FALSE)-AVERAGE('The List'!R2:R671))/STDEV('The List'!R2:R671)</f>
        <v>1.2129826692924561</v>
      </c>
      <c r="F6" s="55" cm="1">
        <f t="array" ref="F6">(VLOOKUP($A6,'The List'!$B1:$AH671,18,FALSE)-AVERAGE('The List'!S2:S671))/STDEV('The List'!S2:S671)</f>
        <v>3.0027416261303177</v>
      </c>
      <c r="G6" s="55" cm="1">
        <f t="array" ref="G6">(VLOOKUP($A6,'The List'!$B1:$AH671,19,FALSE)-AVERAGE('The List'!T2:T671))/STDEV('The List'!T2:T671)</f>
        <v>3.1164628043956308</v>
      </c>
      <c r="H6" s="55" cm="1">
        <f t="array" ref="H6">(VLOOKUP($A6,'The List'!$B1:$AH671,20,FALSE)-AVERAGE('The List'!U2:U671))/STDEV('The List'!U2:U671)</f>
        <v>3.2924897943515083</v>
      </c>
      <c r="I6" s="55" cm="1">
        <f t="array" ref="I6">(VLOOKUP($A6,'The List'!$B1:$AH671,21,FALSE)-AVERAGE('The List'!V2:V671))/STDEV('The List'!V2:V671)</f>
        <v>2.8937675510563992</v>
      </c>
      <c r="J6" s="55" cm="1">
        <f t="array" ref="J6">(VLOOKUP($A6,'The List'!$B1:$AH671,22,FALSE)-AVERAGE('The List'!W2:W671))/STDEV('The List'!W2:W671)</f>
        <v>2.0800535722623907</v>
      </c>
      <c r="K6" s="55" cm="1">
        <f t="array" ref="K6">(VLOOKUP($A6,'The List'!$B1:$AH671,23,FALSE)-AVERAGE('The List'!X2:X671))/STDEV('The List'!X2:X671)</f>
        <v>2.6470248801237548</v>
      </c>
      <c r="L6" s="55" cm="1">
        <f t="array" ref="L6">(VLOOKUP($A6,'The List'!$B1:$AH671,24,FALSE)-AVERAGE('The List'!Y2:Y671))/STDEV('The List'!Y2:Y671)</f>
        <v>-0.39514595242270029</v>
      </c>
      <c r="M6" s="55" cm="1">
        <f t="array" ref="M6">(VLOOKUP($A6,'The List'!$B1:$AH671,25,FALSE)-AVERAGE('The List'!Z2:Z671))/STDEV('The List'!Z2:Z671)</f>
        <v>-0.54174377564549137</v>
      </c>
      <c r="N6" s="55" cm="1">
        <f t="array" ref="N6">(VLOOKUP($A6,'The List'!$B1:$AH671,26,FALSE)-AVERAGE('The List'!AA2:AA671))/STDEV('The List'!AA2:AA671)</f>
        <v>-0.20430989613120121</v>
      </c>
      <c r="O6" s="55" cm="1">
        <f t="array" ref="O6">(VLOOKUP($A6,'The List'!$B1:$AH671,27,FALSE)-AVERAGE('The List'!AB2:AB671))/STDEV('The List'!AB2:AB671)</f>
        <v>-0.68960016924476097</v>
      </c>
      <c r="P6" s="55" cm="1">
        <f t="array" ref="P6">(VLOOKUP($A6,'The List'!$B1:$AH671,28,FALSE)-AVERAGE('The List'!AC2:AC671))/STDEV('The List'!AC2:AC671)</f>
        <v>-0.3662664356156517</v>
      </c>
      <c r="Q6" s="55" cm="1">
        <f t="array" ref="Q6">(VLOOKUP($A6,'The List'!$B1:$AH671,29,FALSE)-AVERAGE('The List'!AD2:AD671))/STDEV('The List'!AD2:AD671)</f>
        <v>0.70985528458384639</v>
      </c>
      <c r="R6" s="55" cm="1">
        <f t="array" ref="R6">(VLOOKUP($A6,'The List'!$B1:$AH671,30,FALSE)-AVERAGE('The List'!AE2:AE671))/STDEV('The List'!AE2:AE671)</f>
        <v>2.4888583018339738</v>
      </c>
      <c r="S6" s="55" cm="1">
        <f t="array" ref="S6">(VLOOKUP($A6,'The List'!$B1:$AH671,31,FALSE)-AVERAGE('The List'!AF2:AF671))/STDEV('The List'!AF2:AF671)</f>
        <v>2.3954608632365657</v>
      </c>
      <c r="T6" s="55" cm="1">
        <f t="array" ref="T6">(VLOOKUP($A6,'The List'!$B1:$AH671,32,FALSE)-AVERAGE('The List'!AG2:AG671))/STDEV('The List'!AG2:AG671)</f>
        <v>2.7398284982962107</v>
      </c>
      <c r="U6" s="55" cm="1">
        <f t="array" ref="U6">(VLOOKUP($A6,'The List'!$B1:$AH671,33,FALSE)-AVERAGE('The List'!AH2:AH671))/STDEV('The List'!AH2:AH671)</f>
        <v>0.97279461663986566</v>
      </c>
      <c r="V6" s="55"/>
      <c r="W6" s="78"/>
      <c r="X6" s="57"/>
      <c r="Y6" s="57"/>
      <c r="Z6" s="57"/>
      <c r="AA6" s="57"/>
      <c r="AB6" s="57"/>
      <c r="AC6" s="60"/>
      <c r="AD6" s="61"/>
      <c r="AE6" s="55"/>
    </row>
    <row r="7" spans="1:31" ht="21.25" customHeight="1" x14ac:dyDescent="0.15">
      <c r="A7" s="10" t="s">
        <v>136</v>
      </c>
      <c r="B7" s="18" t="str" cm="1">
        <f t="array" ref="B7">VLOOKUP(A7,'Player Data'!A1:B673,2,FALSE)</f>
        <v>BOS</v>
      </c>
      <c r="C7" s="52" cm="1">
        <f t="array" ref="C7">((E7)*Settings!$C$12)+(F7*Settings!$C$2)+(G7*Settings!$C$3)+(H7*Settings!$C$4)+(I7*Settings!$C$5)+(K7*Settings!$C$9)+(N7*Settings!$C$6)+(J7*Settings!$C$8)+(O7*Settings!$C$7)+(P7*Settings!$C$14)+(Q7*Settings!$C$15)+(R7*Settings!$C$16)+(S7*Settings!$C$17)+(T7*Settings!$C$18)+(U7*Settings!$C$19)+(L7*Settings!$C$10)+(Settings!$C$11*M7)</f>
        <v>11.067278631660665</v>
      </c>
      <c r="D7" s="57" cm="1">
        <f t="array" ref="D7">IF(Settings!$E$12="YES",VLOOKUP(A7,'Player Data'!A1:E673,5,FALSE),82)</f>
        <v>83.142499999999998</v>
      </c>
      <c r="E7" s="55" cm="1">
        <f t="array" ref="E7">(VLOOKUP($A7,'The List'!$B1:$AH671,17,FALSE)-AVERAGE('The List'!R2:R671))/STDEV('The List'!R2:R671)</f>
        <v>0.99552897998356926</v>
      </c>
      <c r="F7" s="55" cm="1">
        <f t="array" ref="F7">(VLOOKUP($A7,'The List'!$B1:$AH671,18,FALSE)-AVERAGE('The List'!S2:S671))/STDEV('The List'!S2:S671)</f>
        <v>2.3279641005211005</v>
      </c>
      <c r="G7" s="55" cm="1">
        <f t="array" ref="G7">(VLOOKUP($A7,'The List'!$B1:$AH671,19,FALSE)-AVERAGE('The List'!T2:T671))/STDEV('The List'!T2:T671)</f>
        <v>3.0981811880006633</v>
      </c>
      <c r="H7" s="55" cm="1">
        <f t="array" ref="H7">(VLOOKUP($A7,'The List'!$B1:$AH671,20,FALSE)-AVERAGE('The List'!U2:U671))/STDEV('The List'!U2:U671)</f>
        <v>2.9816066446719147</v>
      </c>
      <c r="I7" s="55" cm="1">
        <f t="array" ref="I7">(VLOOKUP($A7,'The List'!$B1:$AH671,21,FALSE)-AVERAGE('The List'!V2:V671))/STDEV('The List'!V2:V671)</f>
        <v>3.056833305195088</v>
      </c>
      <c r="J7" s="55" cm="1">
        <f t="array" ref="J7">(VLOOKUP($A7,'The List'!$B1:$AH671,22,FALSE)-AVERAGE('The List'!W2:W671))/STDEV('The List'!W2:W671)</f>
        <v>1.9219590702215135</v>
      </c>
      <c r="K7" s="55" cm="1">
        <f t="array" ref="K7">(VLOOKUP($A7,'The List'!$B1:$AH671,23,FALSE)-AVERAGE('The List'!X2:X671))/STDEV('The List'!X2:X671)</f>
        <v>2.235354384800841</v>
      </c>
      <c r="L7" s="55" cm="1">
        <f t="array" ref="L7">(VLOOKUP($A7,'The List'!$B1:$AH671,24,FALSE)-AVERAGE('The List'!Y2:Y671))/STDEV('The List'!Y2:Y671)</f>
        <v>-0.54332569884217696</v>
      </c>
      <c r="M7" s="55" cm="1">
        <f t="array" ref="M7">(VLOOKUP($A7,'The List'!$B1:$AH671,25,FALSE)-AVERAGE('The List'!Z2:Z671))/STDEV('The List'!Z2:Z671)</f>
        <v>-0.68540257450530273</v>
      </c>
      <c r="N7" s="55" cm="1">
        <f t="array" ref="N7">(VLOOKUP($A7,'The List'!$B1:$AH671,26,FALSE)-AVERAGE('The List'!AA2:AA671))/STDEV('The List'!AA2:AA671)</f>
        <v>-0.79383710577368671</v>
      </c>
      <c r="O7" s="55" cm="1">
        <f t="array" ref="O7">(VLOOKUP($A7,'The List'!$B1:$AH671,27,FALSE)-AVERAGE('The List'!AB2:AB671))/STDEV('The List'!AB2:AB671)</f>
        <v>-0.11977294832260306</v>
      </c>
      <c r="P7" s="55" cm="1">
        <f t="array" ref="P7">(VLOOKUP($A7,'The List'!$B1:$AH671,28,FALSE)-AVERAGE('The List'!AC2:AC671))/STDEV('The List'!AC2:AC671)</f>
        <v>9.4252194246152124E-2</v>
      </c>
      <c r="Q7" s="55" cm="1">
        <f t="array" ref="Q7">(VLOOKUP($A7,'The List'!$B1:$AH671,29,FALSE)-AVERAGE('The List'!AD2:AD671))/STDEV('The List'!AD2:AD671)</f>
        <v>1.0485305646705072</v>
      </c>
      <c r="R7" s="55" cm="1">
        <f t="array" ref="R7">(VLOOKUP($A7,'The List'!$B1:$AH671,30,FALSE)-AVERAGE('The List'!AE2:AE671))/STDEV('The List'!AE2:AE671)</f>
        <v>1.7788459433817236</v>
      </c>
      <c r="S7" s="55" cm="1">
        <f t="array" ref="S7">(VLOOKUP($A7,'The List'!$B1:$AH671,31,FALSE)-AVERAGE('The List'!AF2:AF671))/STDEV('The List'!AF2:AF671)</f>
        <v>-0.5769687731423514</v>
      </c>
      <c r="T7" s="55" cm="1">
        <f t="array" ref="T7">(VLOOKUP($A7,'The List'!$B1:$AH671,32,FALSE)-AVERAGE('The List'!AG2:AG671))/STDEV('The List'!AG2:AG671)</f>
        <v>-0.60435245055540832</v>
      </c>
      <c r="U7" s="55" cm="1">
        <f t="array" ref="U7">(VLOOKUP($A7,'The List'!$B1:$AH671,33,FALSE)-AVERAGE('The List'!AH2:AH671))/STDEV('The List'!AH2:AH671)</f>
        <v>0.13742447475197744</v>
      </c>
      <c r="V7" s="55"/>
      <c r="W7" s="57"/>
      <c r="X7" s="55"/>
      <c r="Y7" s="55"/>
      <c r="Z7" s="55"/>
      <c r="AA7" s="55"/>
      <c r="AB7" s="55"/>
      <c r="AC7" s="55"/>
      <c r="AD7" s="55"/>
      <c r="AE7" s="55"/>
    </row>
    <row r="8" spans="1:31" ht="21.25" customHeight="1" x14ac:dyDescent="0.15">
      <c r="A8" s="10" t="s">
        <v>142</v>
      </c>
      <c r="B8" s="18" t="str" cm="1">
        <f t="array" ref="B8">VLOOKUP(A8,'Player Data'!A1:B673,2,FALSE)</f>
        <v>N.J</v>
      </c>
      <c r="C8" s="52" cm="1">
        <f t="array" ref="C8">((E8)*Settings!$C$12)+(F8*Settings!$C$2)+(G8*Settings!$C$3)+(H8*Settings!$C$4)+(I8*Settings!$C$5)+(K8*Settings!$C$9)+(N8*Settings!$C$6)+(J8*Settings!$C$8)+(O8*Settings!$C$7)+(P8*Settings!$C$14)+(Q8*Settings!$C$15)+(R8*Settings!$C$16)+(S8*Settings!$C$17)+(T8*Settings!$C$18)+(U8*Settings!$C$19)+(L8*Settings!$C$10)+(Settings!$C$11*M8)</f>
        <v>9.5002375978834799</v>
      </c>
      <c r="D8" s="57" cm="1">
        <f t="array" ref="D8">IF(Settings!$E$12="YES",VLOOKUP(A8,'Player Data'!A1:E673,5,FALSE),82)</f>
        <v>75.552499999999995</v>
      </c>
      <c r="E8" s="55" cm="1">
        <f t="array" ref="E8">(VLOOKUP($A8,'The List'!$B1:$AH671,17,FALSE)-AVERAGE('The List'!R2:R671))/STDEV('The List'!R2:R671)</f>
        <v>1.2809650144956246</v>
      </c>
      <c r="F8" s="55" cm="1">
        <f t="array" ref="F8">(VLOOKUP($A8,'The List'!$B1:$AH671,18,FALSE)-AVERAGE('The List'!S2:S671))/STDEV('The List'!S2:S671)</f>
        <v>2.247476841014723</v>
      </c>
      <c r="G8" s="55" cm="1">
        <f t="array" ref="G8">(VLOOKUP($A8,'The List'!$B1:$AH671,19,FALSE)-AVERAGE('The List'!T2:T671))/STDEV('The List'!T2:T671)</f>
        <v>2.7278546974491134</v>
      </c>
      <c r="H8" s="55" cm="1">
        <f t="array" ref="H8">(VLOOKUP($A8,'The List'!$B1:$AH671,20,FALSE)-AVERAGE('The List'!U2:U671))/STDEV('The List'!U2:U671)</f>
        <v>2.7129627906202773</v>
      </c>
      <c r="I8" s="55" cm="1">
        <f t="array" ref="I8">(VLOOKUP($A8,'The List'!$B1:$AH671,21,FALSE)-AVERAGE('The List'!V2:V671))/STDEV('The List'!V2:V671)</f>
        <v>2.9714772087716241</v>
      </c>
      <c r="J8" s="55" cm="1">
        <f t="array" ref="J8">(VLOOKUP($A8,'The List'!$B1:$AH671,22,FALSE)-AVERAGE('The List'!W2:W671))/STDEV('The List'!W2:W671)</f>
        <v>1.4361208628060196</v>
      </c>
      <c r="K8" s="55" cm="1">
        <f t="array" ref="K8">(VLOOKUP($A8,'The List'!$B1:$AH671,23,FALSE)-AVERAGE('The List'!X2:X671))/STDEV('The List'!X2:X671)</f>
        <v>2.5466696003445679</v>
      </c>
      <c r="L8" s="55" cm="1">
        <f t="array" ref="L8">(VLOOKUP($A8,'The List'!$B1:$AH671,24,FALSE)-AVERAGE('The List'!Y2:Y671))/STDEV('The List'!Y2:Y671)</f>
        <v>0.4032226403678863</v>
      </c>
      <c r="M8" s="55" cm="1">
        <f t="array" ref="M8">(VLOOKUP($A8,'The List'!$B1:$AH671,25,FALSE)-AVERAGE('The List'!Z2:Z671))/STDEV('The List'!Z2:Z671)</f>
        <v>0.43046664299800974</v>
      </c>
      <c r="N8" s="55" cm="1">
        <f t="array" ref="N8">(VLOOKUP($A8,'The List'!$B1:$AH671,26,FALSE)-AVERAGE('The List'!AA2:AA671))/STDEV('The List'!AA2:AA671)</f>
        <v>-0.64318850022174634</v>
      </c>
      <c r="O8" s="55" cm="1">
        <f t="array" ref="O8">(VLOOKUP($A8,'The List'!$B1:$AH671,27,FALSE)-AVERAGE('The List'!AB2:AB671))/STDEV('The List'!AB2:AB671)</f>
        <v>-1.5039771992363322</v>
      </c>
      <c r="P8" s="55" cm="1">
        <f t="array" ref="P8">(VLOOKUP($A8,'The List'!$B1:$AH671,28,FALSE)-AVERAGE('The List'!AC2:AC671))/STDEV('The List'!AC2:AC671)</f>
        <v>0.46966162454379268</v>
      </c>
      <c r="Q8" s="55" cm="1">
        <f t="array" ref="Q8">(VLOOKUP($A8,'The List'!$B1:$AH671,29,FALSE)-AVERAGE('The List'!AD2:AD671))/STDEV('The List'!AD2:AD671)</f>
        <v>-0.81971387401859386</v>
      </c>
      <c r="R8" s="55" cm="1">
        <f t="array" ref="R8">(VLOOKUP($A8,'The List'!$B1:$AH671,30,FALSE)-AVERAGE('The List'!AE2:AE671))/STDEV('The List'!AE2:AE671)</f>
        <v>2.0468109472676992</v>
      </c>
      <c r="S8" s="55" cm="1">
        <f t="array" ref="S8">(VLOOKUP($A8,'The List'!$B1:$AH671,31,FALSE)-AVERAGE('The List'!AF2:AF671))/STDEV('The List'!AF2:AF671)</f>
        <v>0.3714848305517876</v>
      </c>
      <c r="T8" s="55" cm="1">
        <f t="array" ref="T8">(VLOOKUP($A8,'The List'!$B1:$AH671,32,FALSE)-AVERAGE('The List'!AG2:AG671))/STDEV('The List'!AG2:AG671)</f>
        <v>1.1351478585644452</v>
      </c>
      <c r="U8" s="55" cm="1">
        <f t="array" ref="U8">(VLOOKUP($A8,'The List'!$B1:$AH671,33,FALSE)-AVERAGE('The List'!AH2:AH671))/STDEV('The List'!AH2:AH671)</f>
        <v>0.42748343626454227</v>
      </c>
      <c r="V8" s="55"/>
      <c r="W8" s="78"/>
      <c r="X8" s="57"/>
      <c r="Y8" s="57"/>
      <c r="Z8" s="57"/>
      <c r="AA8" s="57"/>
      <c r="AB8" s="57"/>
      <c r="AC8" s="60"/>
      <c r="AD8" s="61"/>
      <c r="AE8" s="55"/>
    </row>
    <row r="9" spans="1:31" ht="21.25" customHeight="1" x14ac:dyDescent="0.15">
      <c r="A9" s="10" t="s">
        <v>139</v>
      </c>
      <c r="B9" s="18" t="str" cm="1">
        <f t="array" ref="B9">VLOOKUP(A9,'Player Data'!A1:B673,2,FALSE)</f>
        <v>VGK</v>
      </c>
      <c r="C9" s="52" cm="1">
        <f t="array" ref="C9">((E9)*Settings!$C$12)+(F9*Settings!$C$2)+(G9*Settings!$C$3)+(H9*Settings!$C$4)+(I9*Settings!$C$5)+(K9*Settings!$C$9)+(N9*Settings!$C$6)+(J9*Settings!$C$8)+(O9*Settings!$C$7)+(P9*Settings!$C$14)+(Q9*Settings!$C$15)+(R9*Settings!$C$16)+(S9*Settings!$C$17)+(T9*Settings!$C$18)+(U9*Settings!$C$19)+(L9*Settings!$C$10)+(Settings!$C$11*M9)</f>
        <v>10.660204513073603</v>
      </c>
      <c r="D9" s="57" cm="1">
        <f t="array" ref="D9">IF(Settings!$E$12="YES",VLOOKUP(A9,'Player Data'!A1:E673,5,FALSE),82)</f>
        <v>80.022499999999994</v>
      </c>
      <c r="E9" s="55" cm="1">
        <f t="array" ref="E9">(VLOOKUP($A9,'The List'!$B1:$AH671,17,FALSE)-AVERAGE('The List'!R2:R671))/STDEV('The List'!R2:R671)</f>
        <v>1.2024740927019746</v>
      </c>
      <c r="F9" s="55" cm="1">
        <f t="array" ref="F9">(VLOOKUP($A9,'The List'!$B1:$AH671,18,FALSE)-AVERAGE('The List'!S2:S671))/STDEV('The List'!S2:S671)</f>
        <v>1.7702798879051775</v>
      </c>
      <c r="G9" s="55" cm="1">
        <f t="array" ref="G9">(VLOOKUP($A9,'The List'!$B1:$AH671,19,FALSE)-AVERAGE('The List'!T2:T671))/STDEV('The List'!T2:T671)</f>
        <v>2.9717067503889014</v>
      </c>
      <c r="H9" s="55" cm="1">
        <f t="array" ref="H9">(VLOOKUP($A9,'The List'!$B1:$AH671,20,FALSE)-AVERAGE('The List'!U2:U671))/STDEV('The List'!U2:U671)</f>
        <v>2.6546225373249133</v>
      </c>
      <c r="I9" s="55" cm="1">
        <f t="array" ref="I9">(VLOOKUP($A9,'The List'!$B1:$AH671,21,FALSE)-AVERAGE('The List'!V2:V671))/STDEV('The List'!V2:V671)</f>
        <v>2.7306175571480362</v>
      </c>
      <c r="J9" s="55" cm="1">
        <f t="array" ref="J9">(VLOOKUP($A9,'The List'!$B1:$AH671,22,FALSE)-AVERAGE('The List'!W2:W671))/STDEV('The List'!W2:W671)</f>
        <v>0.79676802057988283</v>
      </c>
      <c r="K9" s="55" cm="1">
        <f t="array" ref="K9">(VLOOKUP($A9,'The List'!$B1:$AH671,23,FALSE)-AVERAGE('The List'!X2:X671))/STDEV('The List'!X2:X671)</f>
        <v>2.6604195532875679</v>
      </c>
      <c r="L9" s="55" cm="1">
        <f t="array" ref="L9">(VLOOKUP($A9,'The List'!$B1:$AH671,24,FALSE)-AVERAGE('The List'!Y2:Y671))/STDEV('The List'!Y2:Y671)</f>
        <v>0.94606985538904964</v>
      </c>
      <c r="M9" s="55" cm="1">
        <f t="array" ref="M9">(VLOOKUP($A9,'The List'!$B1:$AH671,25,FALSE)-AVERAGE('The List'!Z2:Z671))/STDEV('The List'!Z2:Z671)</f>
        <v>1.9298247707487977</v>
      </c>
      <c r="N9" s="55" cm="1">
        <f t="array" ref="N9">(VLOOKUP($A9,'The List'!$B1:$AH671,26,FALSE)-AVERAGE('The List'!AA2:AA671))/STDEV('The List'!AA2:AA671)</f>
        <v>-0.37497488284209851</v>
      </c>
      <c r="O9" s="55" cm="1">
        <f t="array" ref="O9">(VLOOKUP($A9,'The List'!$B1:$AH671,27,FALSE)-AVERAGE('The List'!AB2:AB671))/STDEV('The List'!AB2:AB671)</f>
        <v>-1.016826669924991</v>
      </c>
      <c r="P9" s="55" cm="1">
        <f t="array" ref="P9">(VLOOKUP($A9,'The List'!$B1:$AH671,28,FALSE)-AVERAGE('The List'!AC2:AC671))/STDEV('The List'!AC2:AC671)</f>
        <v>1.7224182583641208</v>
      </c>
      <c r="Q9" s="55" cm="1">
        <f t="array" ref="Q9">(VLOOKUP($A9,'The List'!$B1:$AH671,29,FALSE)-AVERAGE('The List'!AD2:AD671))/STDEV('The List'!AD2:AD671)</f>
        <v>-0.82026261117810217</v>
      </c>
      <c r="R9" s="55" cm="1">
        <f t="array" ref="R9">(VLOOKUP($A9,'The List'!$B1:$AH671,30,FALSE)-AVERAGE('The List'!AE2:AE671))/STDEV('The List'!AE2:AE671)</f>
        <v>2.4120985005134128</v>
      </c>
      <c r="S9" s="55" cm="1">
        <f t="array" ref="S9">(VLOOKUP($A9,'The List'!$B1:$AH671,31,FALSE)-AVERAGE('The List'!AF2:AF671))/STDEV('The List'!AF2:AF671)</f>
        <v>2.2440346403052325</v>
      </c>
      <c r="T9" s="55" cm="1">
        <f t="array" ref="T9">(VLOOKUP($A9,'The List'!$B1:$AH671,32,FALSE)-AVERAGE('The List'!AG2:AG671))/STDEV('The List'!AG2:AG671)</f>
        <v>2.8317798993421412</v>
      </c>
      <c r="U9" s="55" cm="1">
        <f t="array" ref="U9">(VLOOKUP($A9,'The List'!$B1:$AH671,33,FALSE)-AVERAGE('The List'!AH2:AH671))/STDEV('The List'!AH2:AH671)</f>
        <v>0.88250379553689828</v>
      </c>
      <c r="V9" s="55"/>
      <c r="W9" s="57"/>
      <c r="X9" s="57"/>
      <c r="Y9" s="57"/>
      <c r="Z9" s="57"/>
      <c r="AA9" s="57"/>
      <c r="AB9" s="57"/>
      <c r="AC9" s="60"/>
      <c r="AD9" s="61"/>
      <c r="AE9" s="55"/>
    </row>
    <row r="10" spans="1:31" ht="21.25" customHeight="1" x14ac:dyDescent="0.15">
      <c r="A10" s="10" t="s">
        <v>148</v>
      </c>
      <c r="B10" s="18" t="str" cm="1">
        <f t="array" ref="B10">VLOOKUP(A10,'Player Data'!A1:B673,2,FALSE)</f>
        <v>MIN</v>
      </c>
      <c r="C10" s="52" cm="1">
        <f t="array" ref="C10">((E10)*Settings!$C$12)+(F10*Settings!$C$2)+(G10*Settings!$C$3)+(H10*Settings!$C$4)+(I10*Settings!$C$5)+(K10*Settings!$C$9)+(N10*Settings!$C$6)+(J10*Settings!$C$8)+(O10*Settings!$C$7)+(P10*Settings!$C$14)+(Q10*Settings!$C$15)+(R10*Settings!$C$16)+(S10*Settings!$C$17)+(T10*Settings!$C$18)+(U10*Settings!$C$19)+(L10*Settings!$C$10)+(Settings!$C$11*M10)</f>
        <v>10.511012996838099</v>
      </c>
      <c r="D10" s="57" cm="1">
        <f t="array" ref="D10">IF(Settings!$E$12="YES",VLOOKUP(A10,'Player Data'!A1:E673,5,FALSE),82)</f>
        <v>76.982500000000002</v>
      </c>
      <c r="E10" s="55" cm="1">
        <f t="array" ref="E10">(VLOOKUP($A10,'The List'!$B1:$AH671,17,FALSE)-AVERAGE('The List'!R2:R671))/STDEV('The List'!R2:R671)</f>
        <v>1.3947327860788603</v>
      </c>
      <c r="F10" s="55" cm="1">
        <f t="array" ref="F10">(VLOOKUP($A10,'The List'!$B1:$AH671,18,FALSE)-AVERAGE('The List'!S2:S671))/STDEV('The List'!S2:S671)</f>
        <v>3.2325656811779471</v>
      </c>
      <c r="G10" s="55" cm="1">
        <f t="array" ref="G10">(VLOOKUP($A10,'The List'!$B1:$AH671,19,FALSE)-AVERAGE('The List'!T2:T671))/STDEV('The List'!T2:T671)</f>
        <v>1.9106715686633839</v>
      </c>
      <c r="H10" s="55" cm="1">
        <f t="array" ref="H10">(VLOOKUP($A10,'The List'!$B1:$AH671,20,FALSE)-AVERAGE('The List'!U2:U671))/STDEV('The List'!U2:U671)</f>
        <v>2.6360214053566904</v>
      </c>
      <c r="I10" s="55" cm="1">
        <f t="array" ref="I10">(VLOOKUP($A10,'The List'!$B1:$AH671,21,FALSE)-AVERAGE('The List'!V2:V671))/STDEV('The List'!V2:V671)</f>
        <v>2.5028482928847362</v>
      </c>
      <c r="J10" s="55" cm="1">
        <f t="array" ref="J10">(VLOOKUP($A10,'The List'!$B1:$AH671,22,FALSE)-AVERAGE('The List'!W2:W671))/STDEV('The List'!W2:W671)</f>
        <v>3.9201054155470598</v>
      </c>
      <c r="K10" s="55" cm="1">
        <f t="array" ref="K10">(VLOOKUP($A10,'The List'!$B1:$AH671,23,FALSE)-AVERAGE('The List'!X2:X671))/STDEV('The List'!X2:X671)</f>
        <v>2.5252961608585216</v>
      </c>
      <c r="L10" s="55" cm="1">
        <f t="array" ref="L10">(VLOOKUP($A10,'The List'!$B1:$AH671,24,FALSE)-AVERAGE('The List'!Y2:Y671))/STDEV('The List'!Y2:Y671)</f>
        <v>-0.56037432302031531</v>
      </c>
      <c r="M10" s="55" cm="1">
        <f t="array" ref="M10">(VLOOKUP($A10,'The List'!$B1:$AH671,25,FALSE)-AVERAGE('The List'!Z2:Z671))/STDEV('The List'!Z2:Z671)</f>
        <v>-0.70234900433583591</v>
      </c>
      <c r="N10" s="55" cm="1">
        <f t="array" ref="N10">(VLOOKUP($A10,'The List'!$B1:$AH671,26,FALSE)-AVERAGE('The List'!AA2:AA671))/STDEV('The List'!AA2:AA671)</f>
        <v>-0.85434134804166839</v>
      </c>
      <c r="O10" s="55" cm="1">
        <f t="array" ref="O10">(VLOOKUP($A10,'The List'!$B1:$AH671,27,FALSE)-AVERAGE('The List'!AB2:AB671))/STDEV('The List'!AB2:AB671)</f>
        <v>-0.75994727950925534</v>
      </c>
      <c r="P10" s="55" cm="1">
        <f t="array" ref="P10">(VLOOKUP($A10,'The List'!$B1:$AH671,28,FALSE)-AVERAGE('The List'!AC2:AC671))/STDEV('The List'!AC2:AC671)</f>
        <v>1.1549102728511063</v>
      </c>
      <c r="Q10" s="55" cm="1">
        <f t="array" ref="Q10">(VLOOKUP($A10,'The List'!$B1:$AH671,29,FALSE)-AVERAGE('The List'!AD2:AD671))/STDEV('The List'!AD2:AD671)</f>
        <v>3.9062368444073105E-2</v>
      </c>
      <c r="R10" s="55" cm="1">
        <f t="array" ref="R10">(VLOOKUP($A10,'The List'!$B1:$AH671,30,FALSE)-AVERAGE('The List'!AE2:AE671))/STDEV('The List'!AE2:AE671)</f>
        <v>3.3529548475114006</v>
      </c>
      <c r="S10" s="55" cm="1">
        <f t="array" ref="S10">(VLOOKUP($A10,'The List'!$B1:$AH671,31,FALSE)-AVERAGE('The List'!AF2:AF671))/STDEV('The List'!AF2:AF671)</f>
        <v>-0.59396909697738898</v>
      </c>
      <c r="T10" s="55" cm="1">
        <f t="array" ref="T10">(VLOOKUP($A10,'The List'!$B1:$AH671,32,FALSE)-AVERAGE('The List'!AG2:AG671))/STDEV('The List'!AG2:AG671)</f>
        <v>-0.63517278863306426</v>
      </c>
      <c r="U10" s="55" cm="1">
        <f t="array" ref="U10">(VLOOKUP($A10,'The List'!$B1:$AH671,33,FALSE)-AVERAGE('The List'!AH2:AH671))/STDEV('The List'!AH2:AH671)</f>
        <v>-1.2548938203925941</v>
      </c>
      <c r="V10" s="55"/>
      <c r="W10" s="78"/>
      <c r="X10" s="57"/>
      <c r="Y10" s="57"/>
      <c r="Z10" s="57"/>
      <c r="AA10" s="57"/>
      <c r="AB10" s="57"/>
      <c r="AC10" s="60"/>
      <c r="AD10" s="61"/>
      <c r="AE10" s="55"/>
    </row>
    <row r="11" spans="1:31" ht="21.25" customHeight="1" x14ac:dyDescent="0.15">
      <c r="A11" s="10" t="s">
        <v>154</v>
      </c>
      <c r="B11" s="18" t="str" cm="1">
        <f t="array" ref="B11">VLOOKUP(A11,'Player Data'!A1:B673,2,FALSE)</f>
        <v>COL</v>
      </c>
      <c r="C11" s="52" cm="1">
        <f t="array" ref="C11">((E11)*Settings!$C$12)+(F11*Settings!$C$2)+(G11*Settings!$C$3)+(H11*Settings!$C$4)+(I11*Settings!$C$5)+(K11*Settings!$C$9)+(N11*Settings!$C$6)+(J11*Settings!$C$8)+(O11*Settings!$C$7)+(P11*Settings!$C$14)+(Q11*Settings!$C$15)+(R11*Settings!$C$16)+(S11*Settings!$C$17)+(T11*Settings!$C$18)+(U11*Settings!$C$19)+(L11*Settings!$C$10)+(Settings!$C$11*M11)</f>
        <v>9.9141785280861274</v>
      </c>
      <c r="D11" s="57" cm="1">
        <f t="array" ref="D11">IF(Settings!$E$12="YES",VLOOKUP(A11,'Player Data'!A1:E673,5,FALSE),82)</f>
        <v>82.407499999999999</v>
      </c>
      <c r="E11" s="55" cm="1">
        <f t="array" ref="E11">(VLOOKUP($A11,'The List'!$B1:$AH671,17,FALSE)-AVERAGE('The List'!R2:R671))/STDEV('The List'!R2:R671)</f>
        <v>1.159610516291731</v>
      </c>
      <c r="F11" s="55" cm="1">
        <f t="array" ref="F11">(VLOOKUP($A11,'The List'!$B1:$AH671,18,FALSE)-AVERAGE('The List'!S2:S671))/STDEV('The List'!S2:S671)</f>
        <v>2.2169338357454231</v>
      </c>
      <c r="G11" s="55" cm="1">
        <f t="array" ref="G11">(VLOOKUP($A11,'The List'!$B1:$AH671,19,FALSE)-AVERAGE('The List'!T2:T671))/STDEV('The List'!T2:T671)</f>
        <v>2.5743583769368303</v>
      </c>
      <c r="H11" s="55" cm="1">
        <f t="array" ref="H11">(VLOOKUP($A11,'The List'!$B1:$AH671,20,FALSE)-AVERAGE('The List'!U2:U671))/STDEV('The List'!U2:U671)</f>
        <v>2.6028631481868376</v>
      </c>
      <c r="I11" s="55" cm="1">
        <f t="array" ref="I11">(VLOOKUP($A11,'The List'!$B1:$AH671,21,FALSE)-AVERAGE('The List'!V2:V671))/STDEV('The List'!V2:V671)</f>
        <v>1.7886248994079963</v>
      </c>
      <c r="J11" s="55" cm="1">
        <f t="array" ref="J11">(VLOOKUP($A11,'The List'!$B1:$AH671,22,FALSE)-AVERAGE('The List'!W2:W671))/STDEV('The List'!W2:W671)</f>
        <v>2.1301441721682752</v>
      </c>
      <c r="K11" s="55" cm="1">
        <f t="array" ref="K11">(VLOOKUP($A11,'The List'!$B1:$AH671,23,FALSE)-AVERAGE('The List'!X2:X671))/STDEV('The List'!X2:X671)</f>
        <v>2.0134587041853256</v>
      </c>
      <c r="L11" s="55" cm="1">
        <f t="array" ref="L11">(VLOOKUP($A11,'The List'!$B1:$AH671,24,FALSE)-AVERAGE('The List'!Y2:Y671))/STDEV('The List'!Y2:Y671)</f>
        <v>-0.56159267091525777</v>
      </c>
      <c r="M11" s="55" cm="1">
        <f t="array" ref="M11">(VLOOKUP($A11,'The List'!$B1:$AH671,25,FALSE)-AVERAGE('The List'!Z2:Z671))/STDEV('The List'!Z2:Z671)</f>
        <v>-0.70355752310729547</v>
      </c>
      <c r="N11" s="55" cm="1">
        <f t="array" ref="N11">(VLOOKUP($A11,'The List'!$B1:$AH671,26,FALSE)-AVERAGE('The List'!AA2:AA671))/STDEV('The List'!AA2:AA671)</f>
        <v>-0.85961904378024867</v>
      </c>
      <c r="O11" s="55" cm="1">
        <f t="array" ref="O11">(VLOOKUP($A11,'The List'!$B1:$AH671,27,FALSE)-AVERAGE('The List'!AB2:AB671))/STDEV('The List'!AB2:AB671)</f>
        <v>-5.5169652677117841E-2</v>
      </c>
      <c r="P11" s="55" cm="1">
        <f t="array" ref="P11">(VLOOKUP($A11,'The List'!$B1:$AH671,28,FALSE)-AVERAGE('The List'!AC2:AC671))/STDEV('The List'!AC2:AC671)</f>
        <v>2.0100018724711983</v>
      </c>
      <c r="Q11" s="55" cm="1">
        <f t="array" ref="Q11">(VLOOKUP($A11,'The List'!$B1:$AH671,29,FALSE)-AVERAGE('The List'!AD2:AD671))/STDEV('The List'!AD2:AD671)</f>
        <v>0.17041988311960299</v>
      </c>
      <c r="R11" s="55" cm="1">
        <f t="array" ref="R11">(VLOOKUP($A11,'The List'!$B1:$AH671,30,FALSE)-AVERAGE('The List'!AE2:AE671))/STDEV('The List'!AE2:AE671)</f>
        <v>2.7138603867594315</v>
      </c>
      <c r="S11" s="55" cm="1">
        <f t="array" ref="S11">(VLOOKUP($A11,'The List'!$B1:$AH671,31,FALSE)-AVERAGE('The List'!AF2:AF671))/STDEV('The List'!AF2:AF671)</f>
        <v>-0.4820817387086842</v>
      </c>
      <c r="T11" s="55" cm="1">
        <f t="array" ref="T11">(VLOOKUP($A11,'The List'!$B1:$AH671,32,FALSE)-AVERAGE('The List'!AG2:AG671))/STDEV('The List'!AG2:AG671)</f>
        <v>-0.46187882638167532</v>
      </c>
      <c r="U11" s="55" cm="1">
        <f t="array" ref="U11">(VLOOKUP($A11,'The List'!$B1:$AH671,33,FALSE)-AVERAGE('The List'!AH2:AH671))/STDEV('The List'!AH2:AH671)</f>
        <v>0.55105954899195242</v>
      </c>
      <c r="V11" s="55"/>
      <c r="W11" s="78"/>
      <c r="X11" s="57"/>
      <c r="Y11" s="57"/>
      <c r="Z11" s="57"/>
      <c r="AA11" s="57"/>
      <c r="AB11" s="57"/>
      <c r="AC11" s="60"/>
      <c r="AD11" s="61"/>
      <c r="AE11" s="55"/>
    </row>
    <row r="12" spans="1:31" ht="21.25" customHeight="1" x14ac:dyDescent="0.15">
      <c r="A12" s="10" t="s">
        <v>159</v>
      </c>
      <c r="B12" s="18" t="str" cm="1">
        <f t="array" ref="B12">VLOOKUP(A12,'Player Data'!A1:B673,2,FALSE)</f>
        <v>TOR</v>
      </c>
      <c r="C12" s="52" cm="1">
        <f t="array" ref="C12">((E12)*Settings!$C$12)+(F12*Settings!$C$2)+(G12*Settings!$C$3)+(H12*Settings!$C$4)+(I12*Settings!$C$5)+(K12*Settings!$C$9)+(N12*Settings!$C$6)+(J12*Settings!$C$8)+(O12*Settings!$C$7)+(P12*Settings!$C$14)+(Q12*Settings!$C$15)+(R12*Settings!$C$16)+(S12*Settings!$C$17)+(T12*Settings!$C$18)+(U12*Settings!$C$19)+(L12*Settings!$C$10)+(Settings!$C$11*M12)</f>
        <v>7.6196700567487516</v>
      </c>
      <c r="D12" s="57" cm="1">
        <f t="array" ref="D12">IF(Settings!$E$12="YES",VLOOKUP(A12,'Player Data'!A1:E673,5,FALSE),82)</f>
        <v>81.012500000000003</v>
      </c>
      <c r="E12" s="55" cm="1">
        <f t="array" ref="E12">(VLOOKUP($A12,'The List'!$B1:$AH671,17,FALSE)-AVERAGE('The List'!R2:R671))/STDEV('The List'!R2:R671)</f>
        <v>0.85003887684912482</v>
      </c>
      <c r="F12" s="55" cm="1">
        <f t="array" ref="F12">(VLOOKUP($A12,'The List'!$B1:$AH671,18,FALSE)-AVERAGE('The List'!S2:S671))/STDEV('The List'!S2:S671)</f>
        <v>2.5143567035768437</v>
      </c>
      <c r="G12" s="55" cm="1">
        <f t="array" ref="G12">(VLOOKUP($A12,'The List'!$B1:$AH671,19,FALSE)-AVERAGE('The List'!T2:T671))/STDEV('The List'!T2:T671)</f>
        <v>2.0699012171614006</v>
      </c>
      <c r="H12" s="55" cm="1">
        <f t="array" ref="H12">(VLOOKUP($A12,'The List'!$B1:$AH671,20,FALSE)-AVERAGE('The List'!U2:U671))/STDEV('The List'!U2:U671)</f>
        <v>2.4175223138717636</v>
      </c>
      <c r="I12" s="55" cm="1">
        <f t="array" ref="I12">(VLOOKUP($A12,'The List'!$B1:$AH671,21,FALSE)-AVERAGE('The List'!V2:V671))/STDEV('The List'!V2:V671)</f>
        <v>1.8904243222442862</v>
      </c>
      <c r="J12" s="55" cm="1">
        <f t="array" ref="J12">(VLOOKUP($A12,'The List'!$B1:$AH671,22,FALSE)-AVERAGE('The List'!W2:W671))/STDEV('The List'!W2:W671)</f>
        <v>2.1060841112356572</v>
      </c>
      <c r="K12" s="55" cm="1">
        <f t="array" ref="K12">(VLOOKUP($A12,'The List'!$B1:$AH671,23,FALSE)-AVERAGE('The List'!X2:X671))/STDEV('The List'!X2:X671)</f>
        <v>2.1421350372725745</v>
      </c>
      <c r="L12" s="55" cm="1">
        <f t="array" ref="L12">(VLOOKUP($A12,'The List'!$B1:$AH671,24,FALSE)-AVERAGE('The List'!Y2:Y671))/STDEV('The List'!Y2:Y671)</f>
        <v>-0.35151322414945768</v>
      </c>
      <c r="M12" s="55" cm="1">
        <f t="array" ref="M12">(VLOOKUP($A12,'The List'!$B1:$AH671,25,FALSE)-AVERAGE('The List'!Z2:Z671))/STDEV('The List'!Z2:Z671)</f>
        <v>-0.52820272579088579</v>
      </c>
      <c r="N12" s="55" cm="1">
        <f t="array" ref="N12">(VLOOKUP($A12,'The List'!$B1:$AH671,26,FALSE)-AVERAGE('The List'!AA2:AA671))/STDEV('The List'!AA2:AA671)</f>
        <v>-0.81648626577807992</v>
      </c>
      <c r="O12" s="55" cm="1">
        <f t="array" ref="O12">(VLOOKUP($A12,'The List'!$B1:$AH671,27,FALSE)-AVERAGE('The List'!AB2:AB671))/STDEV('The List'!AB2:AB671)</f>
        <v>-1.3256296211228968</v>
      </c>
      <c r="P12" s="55" cm="1">
        <f t="array" ref="P12">(VLOOKUP($A12,'The List'!$B1:$AH671,28,FALSE)-AVERAGE('The List'!AC2:AC671))/STDEV('The List'!AC2:AC671)</f>
        <v>0.23836158320656625</v>
      </c>
      <c r="Q12" s="55" cm="1">
        <f t="array" ref="Q12">(VLOOKUP($A12,'The List'!$B1:$AH671,29,FALSE)-AVERAGE('The List'!AD2:AD671))/STDEV('The List'!AD2:AD671)</f>
        <v>-0.41902254093483943</v>
      </c>
      <c r="R12" s="55" cm="1">
        <f t="array" ref="R12">(VLOOKUP($A12,'The List'!$B1:$AH671,30,FALSE)-AVERAGE('The List'!AE2:AE671))/STDEV('The List'!AE2:AE671)</f>
        <v>1.982733238126239</v>
      </c>
      <c r="S12" s="55" cm="1">
        <f t="array" ref="S12">(VLOOKUP($A12,'The List'!$B1:$AH671,31,FALSE)-AVERAGE('The List'!AF2:AF671))/STDEV('The List'!AF2:AF671)</f>
        <v>-0.34442134532303692</v>
      </c>
      <c r="T12" s="55" cm="1">
        <f t="array" ref="T12">(VLOOKUP($A12,'The List'!$B1:$AH671,32,FALSE)-AVERAGE('The List'!AG2:AG671))/STDEV('The List'!AG2:AG671)</f>
        <v>-0.32577652552349029</v>
      </c>
      <c r="U12" s="55" cm="1">
        <f t="array" ref="U12">(VLOOKUP($A12,'The List'!$B1:$AH671,33,FALSE)-AVERAGE('The List'!AH2:AH671))/STDEV('The List'!AH2:AH671)</f>
        <v>0.82983536687355297</v>
      </c>
      <c r="V12" s="55"/>
      <c r="W12" s="78"/>
      <c r="X12" s="57"/>
      <c r="Y12" s="57"/>
      <c r="Z12" s="57"/>
      <c r="AA12" s="57"/>
      <c r="AB12" s="57"/>
      <c r="AC12" s="60"/>
      <c r="AD12" s="61"/>
      <c r="AE12" s="55"/>
    </row>
    <row r="13" spans="1:31" ht="21.25" customHeight="1" x14ac:dyDescent="0.15">
      <c r="A13" s="10" t="s">
        <v>144</v>
      </c>
      <c r="B13" s="18" t="str" cm="1">
        <f t="array" ref="B13">VLOOKUP(A13,'Player Data'!A1:B673,2,FALSE)</f>
        <v>DAL</v>
      </c>
      <c r="C13" s="52" cm="1">
        <f t="array" ref="C13">((E13)*Settings!$C$12)+(F13*Settings!$C$2)+(G13*Settings!$C$3)+(H13*Settings!$C$4)+(I13*Settings!$C$5)+(K13*Settings!$C$9)+(N13*Settings!$C$6)+(J13*Settings!$C$8)+(O13*Settings!$C$7)+(P13*Settings!$C$14)+(Q13*Settings!$C$15)+(R13*Settings!$C$16)+(S13*Settings!$C$17)+(T13*Settings!$C$18)+(U13*Settings!$C$19)+(L13*Settings!$C$10)+(Settings!$C$11*M13)</f>
        <v>11.309423823210317</v>
      </c>
      <c r="D13" s="57" cm="1">
        <f t="array" ref="D13">IF(Settings!$E$12="YES",VLOOKUP(A13,'Player Data'!A1:E673,5,FALSE),82)</f>
        <v>84.03</v>
      </c>
      <c r="E13" s="55" cm="1">
        <f t="array" ref="E13">(VLOOKUP($A13,'The List'!$B1:$AH671,17,FALSE)-AVERAGE('The List'!R2:R671))/STDEV('The List'!R2:R671)</f>
        <v>0.88365136144724399</v>
      </c>
      <c r="F13" s="55" cm="1">
        <f t="array" ref="F13">(VLOOKUP($A13,'The List'!$B1:$AH671,18,FALSE)-AVERAGE('The List'!S2:S671))/STDEV('The List'!S2:S671)</f>
        <v>2.7487140331190494</v>
      </c>
      <c r="G13" s="55" cm="1">
        <f t="array" ref="G13">(VLOOKUP($A13,'The List'!$B1:$AH671,19,FALSE)-AVERAGE('The List'!T2:T671))/STDEV('The List'!T2:T671)</f>
        <v>2.1334080494428891</v>
      </c>
      <c r="H13" s="55" cm="1">
        <f t="array" ref="H13">(VLOOKUP($A13,'The List'!$B1:$AH671,20,FALSE)-AVERAGE('The List'!U2:U671))/STDEV('The List'!U2:U671)</f>
        <v>2.5614470252388752</v>
      </c>
      <c r="I13" s="55" cm="1">
        <f t="array" ref="I13">(VLOOKUP($A13,'The List'!$B1:$AH671,21,FALSE)-AVERAGE('The List'!V2:V671))/STDEV('The List'!V2:V671)</f>
        <v>2.6824106107881538</v>
      </c>
      <c r="J13" s="55" cm="1">
        <f t="array" ref="J13">(VLOOKUP($A13,'The List'!$B1:$AH671,22,FALSE)-AVERAGE('The List'!W2:W671))/STDEV('The List'!W2:W671)</f>
        <v>2.9758706000220752</v>
      </c>
      <c r="K13" s="55" cm="1">
        <f t="array" ref="K13">(VLOOKUP($A13,'The List'!$B1:$AH671,23,FALSE)-AVERAGE('The List'!X2:X671))/STDEV('The List'!X2:X671)</f>
        <v>2.702076928726425</v>
      </c>
      <c r="L13" s="55" cm="1">
        <f t="array" ref="L13">(VLOOKUP($A13,'The List'!$B1:$AH671,24,FALSE)-AVERAGE('The List'!Y2:Y671))/STDEV('The List'!Y2:Y671)</f>
        <v>-0.5476647076449882</v>
      </c>
      <c r="M13" s="55" cm="1">
        <f t="array" ref="M13">(VLOOKUP($A13,'The List'!$B1:$AH671,25,FALSE)-AVERAGE('The List'!Z2:Z671))/STDEV('The List'!Z2:Z671)</f>
        <v>-0.68987283373457664</v>
      </c>
      <c r="N13" s="55" cm="1">
        <f t="array" ref="N13">(VLOOKUP($A13,'The List'!$B1:$AH671,26,FALSE)-AVERAGE('The List'!AA2:AA671))/STDEV('The List'!AA2:AA671)</f>
        <v>-0.61547931868597183</v>
      </c>
      <c r="O13" s="55" cm="1">
        <f t="array" ref="O13">(VLOOKUP($A13,'The List'!$B1:$AH671,27,FALSE)-AVERAGE('The List'!AB2:AB671))/STDEV('The List'!AB2:AB671)</f>
        <v>-0.61586993542067991</v>
      </c>
      <c r="P13" s="55" cm="1">
        <f t="array" ref="P13">(VLOOKUP($A13,'The List'!$B1:$AH671,28,FALSE)-AVERAGE('The List'!AC2:AC671))/STDEV('The List'!AC2:AC671)</f>
        <v>1.8335908060539887</v>
      </c>
      <c r="Q13" s="55" cm="1">
        <f t="array" ref="Q13">(VLOOKUP($A13,'The List'!$B1:$AH671,29,FALSE)-AVERAGE('The List'!AD2:AD671))/STDEV('The List'!AD2:AD671)</f>
        <v>-0.17529728623421725</v>
      </c>
      <c r="R13" s="55" cm="1">
        <f t="array" ref="R13">(VLOOKUP($A13,'The List'!$B1:$AH671,30,FALSE)-AVERAGE('The List'!AE2:AE671))/STDEV('The List'!AE2:AE671)</f>
        <v>3.0210609050655712</v>
      </c>
      <c r="S13" s="55" cm="1">
        <f t="array" ref="S13">(VLOOKUP($A13,'The List'!$B1:$AH671,31,FALSE)-AVERAGE('The List'!AF2:AF671))/STDEV('The List'!AF2:AF671)</f>
        <v>-0.58742012642940944</v>
      </c>
      <c r="T13" s="55" cm="1">
        <f t="array" ref="T13">(VLOOKUP($A13,'The List'!$B1:$AH671,32,FALSE)-AVERAGE('The List'!AG2:AG671))/STDEV('The List'!AG2:AG671)</f>
        <v>-0.6267944103558255</v>
      </c>
      <c r="U13" s="55" cm="1">
        <f t="array" ref="U13">(VLOOKUP($A13,'The List'!$B1:$AH671,33,FALSE)-AVERAGE('The List'!AH2:AH671))/STDEV('The List'!AH2:AH671)</f>
        <v>-3.1311512253759957E-2</v>
      </c>
      <c r="V13" s="55"/>
      <c r="W13" s="78"/>
      <c r="X13" s="57"/>
      <c r="Y13" s="57"/>
      <c r="Z13" s="57"/>
      <c r="AA13" s="57"/>
      <c r="AB13" s="57"/>
      <c r="AC13" s="60"/>
      <c r="AD13" s="61"/>
      <c r="AE13" s="55"/>
    </row>
    <row r="14" spans="1:31" ht="21.25" customHeight="1" x14ac:dyDescent="0.15">
      <c r="A14" s="10" t="s">
        <v>182</v>
      </c>
      <c r="B14" s="18" t="str" cm="1">
        <f t="array" ref="B14">VLOOKUP(A14,'Player Data'!A1:B673,2,FALSE)</f>
        <v>L.A</v>
      </c>
      <c r="C14" s="52" cm="1">
        <f t="array" ref="C14">((E14)*Settings!$C$12)+(F14*Settings!$C$2)+(G14*Settings!$C$3)+(H14*Settings!$C$4)+(I14*Settings!$C$5)+(K14*Settings!$C$9)+(N14*Settings!$C$6)+(J14*Settings!$C$8)+(O14*Settings!$C$7)+(P14*Settings!$C$14)+(Q14*Settings!$C$15)+(R14*Settings!$C$16)+(S14*Settings!$C$17)+(T14*Settings!$C$18)+(U14*Settings!$C$19)+(L14*Settings!$C$10)+(Settings!$C$11*M14)</f>
        <v>6.4898329739021241</v>
      </c>
      <c r="D14" s="57" cm="1">
        <f t="array" ref="D14">IF(Settings!$E$12="YES",VLOOKUP(A14,'Player Data'!A1:E673,5,FALSE),82)</f>
        <v>83.045000000000002</v>
      </c>
      <c r="E14" s="55" cm="1">
        <f t="array" ref="E14">(VLOOKUP($A14,'The List'!$B1:$AH671,17,FALSE)-AVERAGE('The List'!R2:R671))/STDEV('The List'!R2:R671)</f>
        <v>1.1463136561172058</v>
      </c>
      <c r="F14" s="55" cm="1">
        <f t="array" ref="F14">(VLOOKUP($A14,'The List'!$B1:$AH671,18,FALSE)-AVERAGE('The List'!S2:S671))/STDEV('The List'!S2:S671)</f>
        <v>1.7075692049024314</v>
      </c>
      <c r="G14" s="55" cm="1">
        <f t="array" ref="G14">(VLOOKUP($A14,'The List'!$B1:$AH671,19,FALSE)-AVERAGE('The List'!T2:T671))/STDEV('The List'!T2:T671)</f>
        <v>2.1224995167691447</v>
      </c>
      <c r="H14" s="55" cm="1">
        <f t="array" ref="H14">(VLOOKUP($A14,'The List'!$B1:$AH671,20,FALSE)-AVERAGE('The List'!U2:U671))/STDEV('The List'!U2:U671)</f>
        <v>2.0926523038404703</v>
      </c>
      <c r="I14" s="55" cm="1">
        <f t="array" ref="I14">(VLOOKUP($A14,'The List'!$B1:$AH671,21,FALSE)-AVERAGE('The List'!V2:V671))/STDEV('The List'!V2:V671)</f>
        <v>2.0520188290267152</v>
      </c>
      <c r="J14" s="55" cm="1">
        <f t="array" ref="J14">(VLOOKUP($A14,'The List'!$B1:$AH671,22,FALSE)-AVERAGE('The List'!W2:W671))/STDEV('The List'!W2:W671)</f>
        <v>1.0914112289734093</v>
      </c>
      <c r="K14" s="55" cm="1">
        <f t="array" ref="K14">(VLOOKUP($A14,'The List'!$B1:$AH671,23,FALSE)-AVERAGE('The List'!X2:X671))/STDEV('The List'!X2:X671)</f>
        <v>1.9347859420882885</v>
      </c>
      <c r="L14" s="55" cm="1">
        <f t="array" ref="L14">(VLOOKUP($A14,'The List'!$B1:$AH671,24,FALSE)-AVERAGE('The List'!Y2:Y671))/STDEV('The List'!Y2:Y671)</f>
        <v>-0.56237435077599174</v>
      </c>
      <c r="M14" s="55" cm="1">
        <f t="array" ref="M14">(VLOOKUP($A14,'The List'!$B1:$AH671,25,FALSE)-AVERAGE('The List'!Z2:Z671))/STDEV('The List'!Z2:Z671)</f>
        <v>-0.70425247689249737</v>
      </c>
      <c r="N14" s="55" cm="1">
        <f t="array" ref="N14">(VLOOKUP($A14,'The List'!$B1:$AH671,26,FALSE)-AVERAGE('The List'!AA2:AA671))/STDEV('The List'!AA2:AA671)</f>
        <v>-1.1429402488336529</v>
      </c>
      <c r="O14" s="55" cm="1">
        <f t="array" ref="O14">(VLOOKUP($A14,'The List'!$B1:$AH671,27,FALSE)-AVERAGE('The List'!AB2:AB671))/STDEV('The List'!AB2:AB671)</f>
        <v>-1.3722145974606443</v>
      </c>
      <c r="P14" s="55" cm="1">
        <f t="array" ref="P14">(VLOOKUP($A14,'The List'!$B1:$AH671,28,FALSE)-AVERAGE('The List'!AC2:AC671))/STDEV('The List'!AC2:AC671)</f>
        <v>0.31108937818299137</v>
      </c>
      <c r="Q14" s="55" cm="1">
        <f t="array" ref="Q14">(VLOOKUP($A14,'The List'!$B1:$AH671,29,FALSE)-AVERAGE('The List'!AD2:AD671))/STDEV('The List'!AD2:AD671)</f>
        <v>-0.49518964823379386</v>
      </c>
      <c r="R14" s="55" cm="1">
        <f t="array" ref="R14">(VLOOKUP($A14,'The List'!$B1:$AH671,30,FALSE)-AVERAGE('The List'!AE2:AE671))/STDEV('The List'!AE2:AE671)</f>
        <v>1.7060268031489614</v>
      </c>
      <c r="S14" s="55" cm="1">
        <f t="array" ref="S14">(VLOOKUP($A14,'The List'!$B1:$AH671,31,FALSE)-AVERAGE('The List'!AF2:AF671))/STDEV('The List'!AF2:AF671)</f>
        <v>-0.58869101501063792</v>
      </c>
      <c r="T14" s="55" cm="1">
        <f t="array" ref="T14">(VLOOKUP($A14,'The List'!$B1:$AH671,32,FALSE)-AVERAGE('The List'!AG2:AG671))/STDEV('The List'!AG2:AG671)</f>
        <v>-0.63891264759617306</v>
      </c>
      <c r="U14" s="55" cm="1">
        <f t="array" ref="U14">(VLOOKUP($A14,'The List'!$B1:$AH671,33,FALSE)-AVERAGE('The List'!AH2:AH671))/STDEV('The List'!AH2:AH671)</f>
        <v>0.77480326727949633</v>
      </c>
      <c r="V14" s="55"/>
      <c r="W14" s="78"/>
      <c r="X14" s="57"/>
      <c r="Y14" s="57"/>
      <c r="Z14" s="57"/>
      <c r="AA14" s="57"/>
      <c r="AB14" s="57"/>
      <c r="AC14" s="60"/>
      <c r="AD14" s="61"/>
      <c r="AE14" s="55"/>
    </row>
    <row r="15" spans="1:31" ht="21.25" customHeight="1" x14ac:dyDescent="0.15">
      <c r="A15" s="10" t="s">
        <v>164</v>
      </c>
      <c r="B15" s="18" t="str" cm="1">
        <f t="array" ref="B15">VLOOKUP(A15,'Player Data'!A1:B673,2,FALSE)</f>
        <v>DAL</v>
      </c>
      <c r="C15" s="52" cm="1">
        <f t="array" ref="C15">((E15)*Settings!$C$12)+(F15*Settings!$C$2)+(G15*Settings!$C$3)+(H15*Settings!$C$4)+(I15*Settings!$C$5)+(K15*Settings!$C$9)+(N15*Settings!$C$6)+(J15*Settings!$C$8)+(O15*Settings!$C$7)+(P15*Settings!$C$14)+(Q15*Settings!$C$15)+(R15*Settings!$C$16)+(S15*Settings!$C$17)+(T15*Settings!$C$18)+(U15*Settings!$C$19)+(L15*Settings!$C$10)+(Settings!$C$11*M15)</f>
        <v>10.966766360835466</v>
      </c>
      <c r="D15" s="57" cm="1">
        <f t="array" ref="D15">IF(Settings!$E$12="YES",VLOOKUP(A15,'Player Data'!A1:E673,5,FALSE),82)</f>
        <v>80.635000000000005</v>
      </c>
      <c r="E15" s="55" cm="1">
        <f t="array" ref="E15">(VLOOKUP($A15,'The List'!$B1:$AH671,17,FALSE)-AVERAGE('The List'!R2:R671))/STDEV('The List'!R2:R671)</f>
        <v>0.91330255567820939</v>
      </c>
      <c r="F15" s="55" cm="1">
        <f t="array" ref="F15">(VLOOKUP($A15,'The List'!$B1:$AH671,18,FALSE)-AVERAGE('The List'!S2:S671))/STDEV('The List'!S2:S671)</f>
        <v>1.7336690227459612</v>
      </c>
      <c r="G15" s="55" cm="1">
        <f t="array" ref="G15">(VLOOKUP($A15,'The List'!$B1:$AH671,19,FALSE)-AVERAGE('The List'!T2:T671))/STDEV('The List'!T2:T671)</f>
        <v>2.564709334405999</v>
      </c>
      <c r="H15" s="55" cm="1">
        <f t="array" ref="H15">(VLOOKUP($A15,'The List'!$B1:$AH671,20,FALSE)-AVERAGE('The List'!U2:U671))/STDEV('The List'!U2:U671)</f>
        <v>2.3823798664506683</v>
      </c>
      <c r="I15" s="55" cm="1">
        <f t="array" ref="I15">(VLOOKUP($A15,'The List'!$B1:$AH671,21,FALSE)-AVERAGE('The List'!V2:V671))/STDEV('The List'!V2:V671)</f>
        <v>1.2372095152325975</v>
      </c>
      <c r="J15" s="55" cm="1">
        <f t="array" ref="J15">(VLOOKUP($A15,'The List'!$B1:$AH671,22,FALSE)-AVERAGE('The List'!W2:W671))/STDEV('The List'!W2:W671)</f>
        <v>2.0713458705369776</v>
      </c>
      <c r="K15" s="55" cm="1">
        <f t="array" ref="K15">(VLOOKUP($A15,'The List'!$B1:$AH671,23,FALSE)-AVERAGE('The List'!X2:X671))/STDEV('The List'!X2:X671)</f>
        <v>2.8375408869848964</v>
      </c>
      <c r="L15" s="55" cm="1">
        <f t="array" ref="L15">(VLOOKUP($A15,'The List'!$B1:$AH671,24,FALSE)-AVERAGE('The List'!Y2:Y671))/STDEV('The List'!Y2:Y671)</f>
        <v>-0.55809409186813363</v>
      </c>
      <c r="M15" s="55" cm="1">
        <f t="array" ref="M15">(VLOOKUP($A15,'The List'!$B1:$AH671,25,FALSE)-AVERAGE('The List'!Z2:Z671))/STDEV('The List'!Z2:Z671)</f>
        <v>-0.7001396366569812</v>
      </c>
      <c r="N15" s="55" cm="1">
        <f t="array" ref="N15">(VLOOKUP($A15,'The List'!$B1:$AH671,26,FALSE)-AVERAGE('The List'!AA2:AA671))/STDEV('The List'!AA2:AA671)</f>
        <v>-0.61361309630529959</v>
      </c>
      <c r="O15" s="55" cm="1">
        <f t="array" ref="O15">(VLOOKUP($A15,'The List'!$B1:$AH671,27,FALSE)-AVERAGE('The List'!AB2:AB671))/STDEV('The List'!AB2:AB671)</f>
        <v>-0.65054373711754254</v>
      </c>
      <c r="P15" s="55" cm="1">
        <f t="array" ref="P15">(VLOOKUP($A15,'The List'!$B1:$AH671,28,FALSE)-AVERAGE('The List'!AC2:AC671))/STDEV('The List'!AC2:AC671)</f>
        <v>1.2807577299772872</v>
      </c>
      <c r="Q15" s="55" cm="1">
        <f t="array" ref="Q15">(VLOOKUP($A15,'The List'!$B1:$AH671,29,FALSE)-AVERAGE('The List'!AD2:AD671))/STDEV('The List'!AD2:AD671)</f>
        <v>1.9264929677940239</v>
      </c>
      <c r="R15" s="55" cm="1">
        <f t="array" ref="R15">(VLOOKUP($A15,'The List'!$B1:$AH671,30,FALSE)-AVERAGE('The List'!AE2:AE671))/STDEV('The List'!AE2:AE671)</f>
        <v>1.9482965584809315</v>
      </c>
      <c r="S15" s="55" cm="1">
        <f t="array" ref="S15">(VLOOKUP($A15,'The List'!$B1:$AH671,31,FALSE)-AVERAGE('The List'!AF2:AF671))/STDEV('The List'!AF2:AF671)</f>
        <v>-0.12738118074970198</v>
      </c>
      <c r="T15" s="55" cm="1">
        <f t="array" ref="T15">(VLOOKUP($A15,'The List'!$B1:$AH671,32,FALSE)-AVERAGE('The List'!AG2:AG671))/STDEV('The List'!AG2:AG671)</f>
        <v>-0.15265061641979802</v>
      </c>
      <c r="U15" s="55" cm="1">
        <f t="array" ref="U15">(VLOOKUP($A15,'The List'!$B1:$AH671,33,FALSE)-AVERAGE('The List'!AH2:AH671))/STDEV('The List'!AH2:AH671)</f>
        <v>1.0517316013540079</v>
      </c>
      <c r="V15" s="55"/>
      <c r="W15" s="78"/>
      <c r="X15" s="57"/>
      <c r="Y15" s="57"/>
      <c r="Z15" s="57"/>
      <c r="AA15" s="57"/>
      <c r="AB15" s="57"/>
      <c r="AC15" s="60"/>
      <c r="AD15" s="61"/>
      <c r="AE15" s="55"/>
    </row>
    <row r="16" spans="1:31" ht="21.25" customHeight="1" x14ac:dyDescent="0.15">
      <c r="A16" s="10" t="s">
        <v>133</v>
      </c>
      <c r="B16" s="18" t="str" cm="1">
        <f t="array" ref="B16">VLOOKUP(A16,'Player Data'!A1:B673,2,FALSE)</f>
        <v>MIN</v>
      </c>
      <c r="C16" s="52" cm="1">
        <f t="array" ref="C16">((E16)*Settings!$C$12)+(F16*Settings!$C$2)+(G16*Settings!$C$3)+(H16*Settings!$C$4)+(I16*Settings!$C$5)+(K16*Settings!$C$9)+(N16*Settings!$C$6)+(J16*Settings!$C$8)+(O16*Settings!$C$7)+(P16*Settings!$C$14)+(Q16*Settings!$C$15)+(R16*Settings!$C$16)+(S16*Settings!$C$17)+(T16*Settings!$C$18)+(U16*Settings!$C$19)+(L16*Settings!$C$10)+(Settings!$C$11*M16)</f>
        <v>10.739839384597165</v>
      </c>
      <c r="D16" s="57" cm="1">
        <f t="array" ref="D16">IF(Settings!$E$12="YES",VLOOKUP(A16,'Player Data'!A1:E673,5,FALSE),82)</f>
        <v>80.685000000000002</v>
      </c>
      <c r="E16" s="55" cm="1">
        <f t="array" ref="E16">(VLOOKUP($A16,'The List'!$B1:$AH671,17,FALSE)-AVERAGE('The List'!R2:R671))/STDEV('The List'!R2:R671)</f>
        <v>2.8511211880093996</v>
      </c>
      <c r="F16" s="55" cm="1">
        <f t="array" ref="F16">(VLOOKUP($A16,'The List'!$B1:$AH671,18,FALSE)-AVERAGE('The List'!S2:S671))/STDEV('The List'!S2:S671)</f>
        <v>0.1178087311169625</v>
      </c>
      <c r="G16" s="55" cm="1">
        <f t="array" ref="G16">(VLOOKUP($A16,'The List'!$B1:$AH671,19,FALSE)-AVERAGE('The List'!T2:T671))/STDEV('The List'!T2:T671)</f>
        <v>3.6976808093347713</v>
      </c>
      <c r="H16" s="55" cm="1">
        <f t="array" ref="H16">(VLOOKUP($A16,'The List'!$B1:$AH671,20,FALSE)-AVERAGE('The List'!U2:U671))/STDEV('The List'!U2:U671)</f>
        <v>2.3780908829788405</v>
      </c>
      <c r="I16" s="55" cm="1">
        <f t="array" ref="I16">(VLOOKUP($A16,'The List'!$B1:$AH671,21,FALSE)-AVERAGE('The List'!V2:V671))/STDEV('The List'!V2:V671)</f>
        <v>1.5314888097028634</v>
      </c>
      <c r="J16" s="55" cm="1">
        <f t="array" ref="J16">(VLOOKUP($A16,'The List'!$B1:$AH671,22,FALSE)-AVERAGE('The List'!W2:W671))/STDEV('The List'!W2:W671)</f>
        <v>0.33255924546882037</v>
      </c>
      <c r="K16" s="55" cm="1">
        <f t="array" ref="K16">(VLOOKUP($A16,'The List'!$B1:$AH671,23,FALSE)-AVERAGE('The List'!X2:X671))/STDEV('The List'!X2:X671)</f>
        <v>2.9255471577148837</v>
      </c>
      <c r="L16" s="55" cm="1">
        <f t="array" ref="L16">(VLOOKUP($A16,'The List'!$B1:$AH671,24,FALSE)-AVERAGE('The List'!Y2:Y671))/STDEV('The List'!Y2:Y671)</f>
        <v>-0.56136430564972251</v>
      </c>
      <c r="M16" s="55" cm="1">
        <f t="array" ref="M16">(VLOOKUP($A16,'The List'!$B1:$AH671,25,FALSE)-AVERAGE('The List'!Z2:Z671))/STDEV('The List'!Z2:Z671)</f>
        <v>-0.69874658711245563</v>
      </c>
      <c r="N16" s="55" cm="1">
        <f t="array" ref="N16">(VLOOKUP($A16,'The List'!$B1:$AH671,26,FALSE)-AVERAGE('The List'!AA2:AA671))/STDEV('The List'!AA2:AA671)</f>
        <v>0.87874981085935511</v>
      </c>
      <c r="O16" s="55" cm="1">
        <f t="array" ref="O16">(VLOOKUP($A16,'The List'!$B1:$AH671,27,FALSE)-AVERAGE('The List'!AB2:AB671))/STDEV('The List'!AB2:AB671)</f>
        <v>-1.3437128382712598</v>
      </c>
      <c r="P16" s="55" cm="1">
        <f t="array" ref="P16">(VLOOKUP($A16,'The List'!$B1:$AH671,28,FALSE)-AVERAGE('The List'!AC2:AC671))/STDEV('The List'!AC2:AC671)</f>
        <v>1.228678317159704</v>
      </c>
      <c r="Q16" s="55" cm="1">
        <f t="array" ref="Q16">(VLOOKUP($A16,'The List'!$B1:$AH671,29,FALSE)-AVERAGE('The List'!AD2:AD671))/STDEV('The List'!AD2:AD671)</f>
        <v>0.35988574870862494</v>
      </c>
      <c r="R16" s="55" cm="1">
        <f t="array" ref="R16">(VLOOKUP($A16,'The List'!$B1:$AH671,30,FALSE)-AVERAGE('The List'!AE2:AE671))/STDEV('The List'!AE2:AE671)</f>
        <v>0.18250565969161056</v>
      </c>
      <c r="S16" s="55" cm="1">
        <f t="array" ref="S16">(VLOOKUP($A16,'The List'!$B1:$AH671,31,FALSE)-AVERAGE('The List'!AF2:AF671))/STDEV('The List'!AF2:AF671)</f>
        <v>-0.59396909713490853</v>
      </c>
      <c r="T16" s="55" cm="1">
        <f t="array" ref="T16">(VLOOKUP($A16,'The List'!$B1:$AH671,32,FALSE)-AVERAGE('The List'!AG2:AG671))/STDEV('The List'!AG2:AG671)</f>
        <v>-0.64602192821394067</v>
      </c>
      <c r="U16" s="55" cm="1">
        <f t="array" ref="U16">(VLOOKUP($A16,'The List'!$B1:$AH671,33,FALSE)-AVERAGE('The List'!AH2:AH671))/STDEV('The List'!AH2:AH671)</f>
        <v>-1.2548937069910133</v>
      </c>
      <c r="V16" s="55"/>
      <c r="W16" s="57"/>
      <c r="X16" s="57"/>
      <c r="Y16" s="57"/>
      <c r="Z16" s="57"/>
      <c r="AA16" s="57"/>
      <c r="AB16" s="57"/>
      <c r="AC16" s="60"/>
      <c r="AD16" s="61"/>
      <c r="AE16" s="55"/>
    </row>
    <row r="17" spans="1:31" ht="21.25" customHeight="1" x14ac:dyDescent="0.15">
      <c r="A17" s="10" t="s">
        <v>149</v>
      </c>
      <c r="B17" s="18" t="str" cm="1">
        <f t="array" ref="B17">VLOOKUP(A17,'Player Data'!A1:B673,2,FALSE)</f>
        <v>MTL</v>
      </c>
      <c r="C17" s="52" cm="1">
        <f t="array" ref="C17">((E17)*Settings!$C$12)+(F17*Settings!$C$2)+(G17*Settings!$C$3)+(H17*Settings!$C$4)+(I17*Settings!$C$5)+(K17*Settings!$C$9)+(N17*Settings!$C$6)+(J17*Settings!$C$8)+(O17*Settings!$C$7)+(P17*Settings!$C$14)+(Q17*Settings!$C$15)+(R17*Settings!$C$16)+(S17*Settings!$C$17)+(T17*Settings!$C$18)+(U17*Settings!$C$19)+(L17*Settings!$C$10)+(Settings!$C$11*M17)</f>
        <v>9.2557016278736306</v>
      </c>
      <c r="D17" s="57" cm="1">
        <f t="array" ref="D17">IF(Settings!$E$12="YES",VLOOKUP(A17,'Player Data'!A1:E673,5,FALSE),82)</f>
        <v>84.03</v>
      </c>
      <c r="E17" s="55" cm="1">
        <f t="array" ref="E17">(VLOOKUP($A17,'The List'!$B1:$AH671,17,FALSE)-AVERAGE('The List'!R2:R671))/STDEV('The List'!R2:R671)</f>
        <v>1.0383234886794797</v>
      </c>
      <c r="F17" s="55" cm="1">
        <f t="array" ref="F17">(VLOOKUP($A17,'The List'!$B1:$AH671,18,FALSE)-AVERAGE('The List'!S2:S671))/STDEV('The List'!S2:S671)</f>
        <v>1.7633180705640128</v>
      </c>
      <c r="G17" s="55" cm="1">
        <f t="array" ref="G17">(VLOOKUP($A17,'The List'!$B1:$AH671,19,FALSE)-AVERAGE('The List'!T2:T671))/STDEV('The List'!T2:T671)</f>
        <v>2.79752337849051</v>
      </c>
      <c r="H17" s="55" cm="1">
        <f t="array" ref="H17">(VLOOKUP($A17,'The List'!$B1:$AH671,20,FALSE)-AVERAGE('The List'!U2:U671))/STDEV('The List'!U2:U671)</f>
        <v>2.5419733088760839</v>
      </c>
      <c r="I17" s="55" cm="1">
        <f t="array" ref="I17">(VLOOKUP($A17,'The List'!$B1:$AH671,21,FALSE)-AVERAGE('The List'!V2:V671))/STDEV('The List'!V2:V671)</f>
        <v>1.0852488899197086</v>
      </c>
      <c r="J17" s="55" cm="1">
        <f t="array" ref="J17">(VLOOKUP($A17,'The List'!$B1:$AH671,22,FALSE)-AVERAGE('The List'!W2:W671))/STDEV('The List'!W2:W671)</f>
        <v>1.8483272138105244</v>
      </c>
      <c r="K17" s="55" cm="1">
        <f t="array" ref="K17">(VLOOKUP($A17,'The List'!$B1:$AH671,23,FALSE)-AVERAGE('The List'!X2:X671))/STDEV('The List'!X2:X671)</f>
        <v>2.8214631878461289</v>
      </c>
      <c r="L17" s="55" cm="1">
        <f t="array" ref="L17">(VLOOKUP($A17,'The List'!$B1:$AH671,24,FALSE)-AVERAGE('The List'!Y2:Y671))/STDEV('The List'!Y2:Y671)</f>
        <v>1.3301711197212984</v>
      </c>
      <c r="M17" s="55" cm="1">
        <f t="array" ref="M17">(VLOOKUP($A17,'The List'!$B1:$AH671,25,FALSE)-AVERAGE('The List'!Z2:Z671))/STDEV('The List'!Z2:Z671)</f>
        <v>0.49769717200808955</v>
      </c>
      <c r="N17" s="55" cm="1">
        <f t="array" ref="N17">(VLOOKUP($A17,'The List'!$B1:$AH671,26,FALSE)-AVERAGE('The List'!AA2:AA671))/STDEV('The List'!AA2:AA671)</f>
        <v>3.3442787986610824E-6</v>
      </c>
      <c r="O17" s="55" cm="1">
        <f t="array" ref="O17">(VLOOKUP($A17,'The List'!$B1:$AH671,27,FALSE)-AVERAGE('The List'!AB2:AB671))/STDEV('The List'!AB2:AB671)</f>
        <v>-0.45031584235290278</v>
      </c>
      <c r="P17" s="55" cm="1">
        <f t="array" ref="P17">(VLOOKUP($A17,'The List'!$B1:$AH671,28,FALSE)-AVERAGE('The List'!AC2:AC671))/STDEV('The List'!AC2:AC671)</f>
        <v>1.386208170181483</v>
      </c>
      <c r="Q17" s="55" cm="1">
        <f t="array" ref="Q17">(VLOOKUP($A17,'The List'!$B1:$AH671,29,FALSE)-AVERAGE('The List'!AD2:AD671))/STDEV('The List'!AD2:AD671)</f>
        <v>-0.59806341340701241</v>
      </c>
      <c r="R17" s="55" cm="1">
        <f t="array" ref="R17">(VLOOKUP($A17,'The List'!$B1:$AH671,30,FALSE)-AVERAGE('The List'!AE2:AE671))/STDEV('The List'!AE2:AE671)</f>
        <v>1.9280638995154114</v>
      </c>
      <c r="S17" s="55" cm="1">
        <f t="array" ref="S17">(VLOOKUP($A17,'The List'!$B1:$AH671,31,FALSE)-AVERAGE('The List'!AF2:AF671))/STDEV('The List'!AF2:AF671)</f>
        <v>2.940277950016132</v>
      </c>
      <c r="T17" s="55" cm="1">
        <f t="array" ref="T17">(VLOOKUP($A17,'The List'!$B1:$AH671,32,FALSE)-AVERAGE('The List'!AG2:AG671))/STDEV('The List'!AG2:AG671)</f>
        <v>2.9250182760631938</v>
      </c>
      <c r="U17" s="55" cm="1">
        <f t="array" ref="U17">(VLOOKUP($A17,'The List'!$B1:$AH671,33,FALSE)-AVERAGE('The List'!AH2:AH671))/STDEV('The List'!AH2:AH671)</f>
        <v>1.1039606801753601</v>
      </c>
      <c r="V17" s="55"/>
      <c r="W17" s="78"/>
      <c r="X17" s="57"/>
      <c r="Y17" s="57"/>
      <c r="Z17" s="57"/>
      <c r="AA17" s="57"/>
      <c r="AB17" s="57"/>
      <c r="AC17" s="60"/>
      <c r="AD17" s="61"/>
      <c r="AE17" s="55"/>
    </row>
    <row r="18" spans="1:31" ht="21.25" customHeight="1" x14ac:dyDescent="0.15">
      <c r="A18" s="10" t="s">
        <v>181</v>
      </c>
      <c r="B18" s="18" t="str" cm="1">
        <f t="array" ref="B18">VLOOKUP(A18,'Player Data'!A1:B673,2,FALSE)</f>
        <v>WPG</v>
      </c>
      <c r="C18" s="52" cm="1">
        <f t="array" ref="C18">((E18)*Settings!$C$12)+(F18*Settings!$C$2)+(G18*Settings!$C$3)+(H18*Settings!$C$4)+(I18*Settings!$C$5)+(K18*Settings!$C$9)+(N18*Settings!$C$6)+(J18*Settings!$C$8)+(O18*Settings!$C$7)+(P18*Settings!$C$14)+(Q18*Settings!$C$15)+(R18*Settings!$C$16)+(S18*Settings!$C$17)+(T18*Settings!$C$18)+(U18*Settings!$C$19)+(L18*Settings!$C$10)+(Settings!$C$11*M18)</f>
        <v>7.1083929049250152</v>
      </c>
      <c r="D18" s="57" cm="1">
        <f t="array" ref="D18">IF(Settings!$E$12="YES",VLOOKUP(A18,'Player Data'!A1:E673,5,FALSE),82)</f>
        <v>83.23</v>
      </c>
      <c r="E18" s="55" cm="1">
        <f t="array" ref="E18">(VLOOKUP($A18,'The List'!$B1:$AH671,17,FALSE)-AVERAGE('The List'!R2:R671))/STDEV('The List'!R2:R671)</f>
        <v>1.2212423015359724</v>
      </c>
      <c r="F18" s="55" cm="1">
        <f t="array" ref="F18">(VLOOKUP($A18,'The List'!$B1:$AH671,18,FALSE)-AVERAGE('The List'!S2:S671))/STDEV('The List'!S2:S671)</f>
        <v>1.935561593514298</v>
      </c>
      <c r="G18" s="55" cm="1">
        <f t="array" ref="G18">(VLOOKUP($A18,'The List'!$B1:$AH671,19,FALSE)-AVERAGE('The List'!T2:T671))/STDEV('The List'!T2:T671)</f>
        <v>2.1933782889409632</v>
      </c>
      <c r="H18" s="55" cm="1">
        <f t="array" ref="H18">(VLOOKUP($A18,'The List'!$B1:$AH671,20,FALSE)-AVERAGE('The List'!U2:U671))/STDEV('The List'!U2:U671)</f>
        <v>2.2383899406553032</v>
      </c>
      <c r="I18" s="55" cm="1">
        <f t="array" ref="I18">(VLOOKUP($A18,'The List'!$B1:$AH671,21,FALSE)-AVERAGE('The List'!V2:V671))/STDEV('The List'!V2:V671)</f>
        <v>0.91557365180019989</v>
      </c>
      <c r="J18" s="55" cm="1">
        <f t="array" ref="J18">(VLOOKUP($A18,'The List'!$B1:$AH671,22,FALSE)-AVERAGE('The List'!W2:W671))/STDEV('The List'!W2:W671)</f>
        <v>1.3573488484184204</v>
      </c>
      <c r="K18" s="55" cm="1">
        <f t="array" ref="K18">(VLOOKUP($A18,'The List'!$B1:$AH671,23,FALSE)-AVERAGE('The List'!X2:X671))/STDEV('The List'!X2:X671)</f>
        <v>1.349391798029252</v>
      </c>
      <c r="L18" s="55" cm="1">
        <f t="array" ref="L18">(VLOOKUP($A18,'The List'!$B1:$AH671,24,FALSE)-AVERAGE('The List'!Y2:Y671))/STDEV('The List'!Y2:Y671)</f>
        <v>-0.44766716820713875</v>
      </c>
      <c r="M18" s="55" cm="1">
        <f t="array" ref="M18">(VLOOKUP($A18,'The List'!$B1:$AH671,25,FALSE)-AVERAGE('The List'!Z2:Z671))/STDEV('The List'!Z2:Z671)</f>
        <v>-0.25264978559020695</v>
      </c>
      <c r="N18" s="55" cm="1">
        <f t="array" ref="N18">(VLOOKUP($A18,'The List'!$B1:$AH671,26,FALSE)-AVERAGE('The List'!AA2:AA671))/STDEV('The List'!AA2:AA671)</f>
        <v>-0.31517385461879649</v>
      </c>
      <c r="O18" s="55" cm="1">
        <f t="array" ref="O18">(VLOOKUP($A18,'The List'!$B1:$AH671,27,FALSE)-AVERAGE('The List'!AB2:AB671))/STDEV('The List'!AB2:AB671)</f>
        <v>-0.77321769427858256</v>
      </c>
      <c r="P18" s="55" cm="1">
        <f t="array" ref="P18">(VLOOKUP($A18,'The List'!$B1:$AH671,28,FALSE)-AVERAGE('The List'!AC2:AC671))/STDEV('The List'!AC2:AC671)</f>
        <v>0.28708430349560482</v>
      </c>
      <c r="Q18" s="55" cm="1">
        <f t="array" ref="Q18">(VLOOKUP($A18,'The List'!$B1:$AH671,29,FALSE)-AVERAGE('The List'!AD2:AD671))/STDEV('The List'!AD2:AD671)</f>
        <v>0.74257712376349327</v>
      </c>
      <c r="R18" s="55" cm="1">
        <f t="array" ref="R18">(VLOOKUP($A18,'The List'!$B1:$AH671,30,FALSE)-AVERAGE('The List'!AE2:AE671))/STDEV('The List'!AE2:AE671)</f>
        <v>2.2576951826561595</v>
      </c>
      <c r="S18" s="55" cm="1">
        <f t="array" ref="S18">(VLOOKUP($A18,'The List'!$B1:$AH671,31,FALSE)-AVERAGE('The List'!AF2:AF671))/STDEV('The List'!AF2:AF671)</f>
        <v>2.4362540486973248</v>
      </c>
      <c r="T18" s="55" cm="1">
        <f t="array" ref="T18">(VLOOKUP($A18,'The List'!$B1:$AH671,32,FALSE)-AVERAGE('The List'!AG2:AG671))/STDEV('The List'!AG2:AG671)</f>
        <v>2.8533865092440998</v>
      </c>
      <c r="U18" s="55" cm="1">
        <f t="array" ref="U18">(VLOOKUP($A18,'The List'!$B1:$AH671,33,FALSE)-AVERAGE('The List'!AH2:AH671))/STDEV('The List'!AH2:AH671)</f>
        <v>0.95048761242232138</v>
      </c>
      <c r="V18" s="55"/>
      <c r="W18" s="78"/>
      <c r="X18" s="57"/>
      <c r="Y18" s="57"/>
      <c r="Z18" s="57"/>
      <c r="AA18" s="57"/>
      <c r="AB18" s="57"/>
      <c r="AC18" s="60"/>
      <c r="AD18" s="61"/>
      <c r="AE18" s="55"/>
    </row>
    <row r="19" spans="1:31" ht="21.25" customHeight="1" x14ac:dyDescent="0.15">
      <c r="A19" s="10" t="s">
        <v>155</v>
      </c>
      <c r="B19" s="18" t="str" cm="1">
        <f t="array" ref="B19">VLOOKUP(A19,'Player Data'!A1:B673,2,FALSE)</f>
        <v>WPG</v>
      </c>
      <c r="C19" s="52" cm="1">
        <f t="array" ref="C19">((E19)*Settings!$C$12)+(F19*Settings!$C$2)+(G19*Settings!$C$3)+(H19*Settings!$C$4)+(I19*Settings!$C$5)+(K19*Settings!$C$9)+(N19*Settings!$C$6)+(J19*Settings!$C$8)+(O19*Settings!$C$7)+(P19*Settings!$C$14)+(Q19*Settings!$C$15)+(R19*Settings!$C$16)+(S19*Settings!$C$17)+(T19*Settings!$C$18)+(U19*Settings!$C$19)+(L19*Settings!$C$10)+(Settings!$C$11*M19)</f>
        <v>7.1151731503986202</v>
      </c>
      <c r="D19" s="57" cm="1">
        <f t="array" ref="D19">IF(Settings!$E$12="YES",VLOOKUP(A19,'Player Data'!A1:E673,5,FALSE),82)</f>
        <v>82.33</v>
      </c>
      <c r="E19" s="55" cm="1">
        <f t="array" ref="E19">(VLOOKUP($A19,'The List'!$B1:$AH671,17,FALSE)-AVERAGE('The List'!R2:R671))/STDEV('The List'!R2:R671)</f>
        <v>1.2215564486633497</v>
      </c>
      <c r="F19" s="55" cm="1">
        <f t="array" ref="F19">(VLOOKUP($A19,'The List'!$B1:$AH671,18,FALSE)-AVERAGE('The List'!S2:S671))/STDEV('The List'!S2:S671)</f>
        <v>2.555671595831531</v>
      </c>
      <c r="G19" s="55" cm="1">
        <f t="array" ref="G19">(VLOOKUP($A19,'The List'!$B1:$AH671,19,FALSE)-AVERAGE('The List'!T2:T671))/STDEV('The List'!T2:T671)</f>
        <v>1.9591139733587617</v>
      </c>
      <c r="H19" s="55" cm="1">
        <f t="array" ref="H19">(VLOOKUP($A19,'The List'!$B1:$AH671,20,FALSE)-AVERAGE('The List'!U2:U671))/STDEV('The List'!U2:U671)</f>
        <v>2.3661682412423142</v>
      </c>
      <c r="I19" s="55" cm="1">
        <f t="array" ref="I19">(VLOOKUP($A19,'The List'!$B1:$AH671,21,FALSE)-AVERAGE('The List'!V2:V671))/STDEV('The List'!V2:V671)</f>
        <v>2.5659393999028675</v>
      </c>
      <c r="J19" s="55" cm="1">
        <f t="array" ref="J19">(VLOOKUP($A19,'The List'!$B1:$AH671,22,FALSE)-AVERAGE('The List'!W2:W671))/STDEV('The List'!W2:W671)</f>
        <v>1.0599510071531015</v>
      </c>
      <c r="K19" s="55" cm="1">
        <f t="array" ref="K19">(VLOOKUP($A19,'The List'!$B1:$AH671,23,FALSE)-AVERAGE('The List'!X2:X671))/STDEV('The List'!X2:X671)</f>
        <v>1.4783533161804163</v>
      </c>
      <c r="L19" s="55" cm="1">
        <f t="array" ref="L19">(VLOOKUP($A19,'The List'!$B1:$AH671,24,FALSE)-AVERAGE('The List'!Y2:Y671))/STDEV('The List'!Y2:Y671)</f>
        <v>1.0370849249367147</v>
      </c>
      <c r="M19" s="55" cm="1">
        <f t="array" ref="M19">(VLOOKUP($A19,'The List'!$B1:$AH671,25,FALSE)-AVERAGE('The List'!Z2:Z671))/STDEV('The List'!Z2:Z671)</f>
        <v>0.87809784414818992</v>
      </c>
      <c r="N19" s="55" cm="1">
        <f t="array" ref="N19">(VLOOKUP($A19,'The List'!$B1:$AH671,26,FALSE)-AVERAGE('The List'!AA2:AA671))/STDEV('The List'!AA2:AA671)</f>
        <v>-0.87383227533722529</v>
      </c>
      <c r="O19" s="55" cm="1">
        <f t="array" ref="O19">(VLOOKUP($A19,'The List'!$B1:$AH671,27,FALSE)-AVERAGE('The List'!AB2:AB671))/STDEV('The List'!AB2:AB671)</f>
        <v>-1.055858785883105</v>
      </c>
      <c r="P19" s="55" cm="1">
        <f t="array" ref="P19">(VLOOKUP($A19,'The List'!$B1:$AH671,28,FALSE)-AVERAGE('The List'!AC2:AC671))/STDEV('The List'!AC2:AC671)</f>
        <v>0.17345879103926234</v>
      </c>
      <c r="Q19" s="55" cm="1">
        <f t="array" ref="Q19">(VLOOKUP($A19,'The List'!$B1:$AH671,29,FALSE)-AVERAGE('The List'!AD2:AD671))/STDEV('The List'!AD2:AD671)</f>
        <v>-0.74353165057699422</v>
      </c>
      <c r="R19" s="55" cm="1">
        <f t="array" ref="R19">(VLOOKUP($A19,'The List'!$B1:$AH671,30,FALSE)-AVERAGE('The List'!AE2:AE671))/STDEV('The List'!AE2:AE671)</f>
        <v>2.9310745611190492</v>
      </c>
      <c r="S19" s="55" cm="1">
        <f t="array" ref="S19">(VLOOKUP($A19,'The List'!$B1:$AH671,31,FALSE)-AVERAGE('The List'!AF2:AF671))/STDEV('The List'!AF2:AF671)</f>
        <v>-0.59252297120556774</v>
      </c>
      <c r="T19" s="55" cm="1">
        <f t="array" ref="T19">(VLOOKUP($A19,'The List'!$B1:$AH671,32,FALSE)-AVERAGE('The List'!AG2:AG671))/STDEV('The List'!AG2:AG671)</f>
        <v>-0.63209777997534156</v>
      </c>
      <c r="U19" s="55" cm="1">
        <f t="array" ref="U19">(VLOOKUP($A19,'The List'!$B1:$AH671,33,FALSE)-AVERAGE('The List'!AH2:AH671))/STDEV('The List'!AH2:AH671)</f>
        <v>-0.797101240474684</v>
      </c>
      <c r="V19" s="55"/>
      <c r="W19" s="57"/>
      <c r="X19" s="55"/>
      <c r="Y19" s="55"/>
      <c r="Z19" s="55"/>
      <c r="AA19" s="55"/>
      <c r="AB19" s="55"/>
      <c r="AC19" s="55"/>
      <c r="AD19" s="55"/>
      <c r="AE19" s="55"/>
    </row>
    <row r="20" spans="1:31" ht="21.25" customHeight="1" x14ac:dyDescent="0.15">
      <c r="A20" s="10" t="s">
        <v>140</v>
      </c>
      <c r="B20" s="18" t="str" cm="1">
        <f t="array" ref="B20">VLOOKUP(A20,'Player Data'!A1:B673,2,FALSE)</f>
        <v>TOR</v>
      </c>
      <c r="C20" s="52" cm="1">
        <f t="array" ref="C20">((E20)*Settings!$C$12)+(F20*Settings!$C$2)+(G20*Settings!$C$3)+(H20*Settings!$C$4)+(I20*Settings!$C$5)+(K20*Settings!$C$9)+(N20*Settings!$C$6)+(J20*Settings!$C$8)+(O20*Settings!$C$7)+(P20*Settings!$C$14)+(Q20*Settings!$C$15)+(R20*Settings!$C$16)+(S20*Settings!$C$17)+(T20*Settings!$C$18)+(U20*Settings!$C$19)+(L20*Settings!$C$10)+(Settings!$C$11*M20)</f>
        <v>10.262851916762823</v>
      </c>
      <c r="D20" s="57" cm="1">
        <f t="array" ref="D20">IF(Settings!$E$12="YES",VLOOKUP(A20,'Player Data'!A1:E673,5,FALSE),82)</f>
        <v>77.962500000000006</v>
      </c>
      <c r="E20" s="55" cm="1">
        <f t="array" ref="E20">(VLOOKUP($A20,'The List'!$B1:$AH671,17,FALSE)-AVERAGE('The List'!R2:R671))/STDEV('The List'!R2:R671)</f>
        <v>0.98776724758828072</v>
      </c>
      <c r="F20" s="55" cm="1">
        <f t="array" ref="F20">(VLOOKUP($A20,'The List'!$B1:$AH671,18,FALSE)-AVERAGE('The List'!S2:S671))/STDEV('The List'!S2:S671)</f>
        <v>3.0547425914493447</v>
      </c>
      <c r="G20" s="55" cm="1">
        <f t="array" ref="G20">(VLOOKUP($A20,'The List'!$B1:$AH671,19,FALSE)-AVERAGE('The List'!T2:T671))/STDEV('The List'!T2:T671)</f>
        <v>1.4925755947801576</v>
      </c>
      <c r="H20" s="55" cm="1">
        <f t="array" ref="H20">(VLOOKUP($A20,'The List'!$B1:$AH671,20,FALSE)-AVERAGE('The List'!U2:U671))/STDEV('The List'!U2:U671)</f>
        <v>2.2941450079373711</v>
      </c>
      <c r="I20" s="55" cm="1">
        <f t="array" ref="I20">(VLOOKUP($A20,'The List'!$B1:$AH671,21,FALSE)-AVERAGE('The List'!V2:V671))/STDEV('The List'!V2:V671)</f>
        <v>3.1940687983206462</v>
      </c>
      <c r="J20" s="55" cm="1">
        <f t="array" ref="J20">(VLOOKUP($A20,'The List'!$B1:$AH671,22,FALSE)-AVERAGE('The List'!W2:W671))/STDEV('The List'!W2:W671)</f>
        <v>2.5803667939339516</v>
      </c>
      <c r="K20" s="55" cm="1">
        <f t="array" ref="K20">(VLOOKUP($A20,'The List'!$B1:$AH671,23,FALSE)-AVERAGE('The List'!X2:X671))/STDEV('The List'!X2:X671)</f>
        <v>1.896737834251067</v>
      </c>
      <c r="L20" s="55" cm="1">
        <f t="array" ref="L20">(VLOOKUP($A20,'The List'!$B1:$AH671,24,FALSE)-AVERAGE('The List'!Y2:Y671))/STDEV('The List'!Y2:Y671)</f>
        <v>-0.30399183983515327</v>
      </c>
      <c r="M20" s="55" cm="1">
        <f t="array" ref="M20">(VLOOKUP($A20,'The List'!$B1:$AH671,25,FALSE)-AVERAGE('The List'!Z2:Z671))/STDEV('The List'!Z2:Z671)</f>
        <v>-0.49400848160640648</v>
      </c>
      <c r="N20" s="55" cm="1">
        <f t="array" ref="N20">(VLOOKUP($A20,'The List'!$B1:$AH671,26,FALSE)-AVERAGE('The List'!AA2:AA671))/STDEV('The List'!AA2:AA671)</f>
        <v>0.6368691866137145</v>
      </c>
      <c r="O20" s="55" cm="1">
        <f t="array" ref="O20">(VLOOKUP($A20,'The List'!$B1:$AH671,27,FALSE)-AVERAGE('The List'!AB2:AB671))/STDEV('The List'!AB2:AB671)</f>
        <v>-0.59077017286245825</v>
      </c>
      <c r="P20" s="55" cm="1">
        <f t="array" ref="P20">(VLOOKUP($A20,'The List'!$B1:$AH671,28,FALSE)-AVERAGE('The List'!AC2:AC671))/STDEV('The List'!AC2:AC671)</f>
        <v>0.6770270926202252</v>
      </c>
      <c r="Q20" s="55" cm="1">
        <f t="array" ref="Q20">(VLOOKUP($A20,'The List'!$B1:$AH671,29,FALSE)-AVERAGE('The List'!AD2:AD671))/STDEV('The List'!AD2:AD671)</f>
        <v>-0.6891691812723304</v>
      </c>
      <c r="R20" s="55" cm="1">
        <f t="array" ref="R20">(VLOOKUP($A20,'The List'!$B1:$AH671,30,FALSE)-AVERAGE('The List'!AE2:AE671))/STDEV('The List'!AE2:AE671)</f>
        <v>2.4438879851799586</v>
      </c>
      <c r="S20" s="55" cm="1">
        <f t="array" ref="S20">(VLOOKUP($A20,'The List'!$B1:$AH671,31,FALSE)-AVERAGE('The List'!AF2:AF671))/STDEV('The List'!AF2:AF671)</f>
        <v>2.8668797256379244</v>
      </c>
      <c r="T20" s="55" cm="1">
        <f t="array" ref="T20">(VLOOKUP($A20,'The List'!$B1:$AH671,32,FALSE)-AVERAGE('The List'!AG2:AG671))/STDEV('The List'!AG2:AG671)</f>
        <v>2.143791135428502</v>
      </c>
      <c r="U20" s="55" cm="1">
        <f t="array" ref="U20">(VLOOKUP($A20,'The List'!$B1:$AH671,33,FALSE)-AVERAGE('The List'!AH2:AH671))/STDEV('The List'!AH2:AH671)</f>
        <v>1.3615282425066204</v>
      </c>
      <c r="V20" s="55"/>
      <c r="W20" s="78"/>
      <c r="X20" s="57"/>
      <c r="Y20" s="57"/>
      <c r="Z20" s="57"/>
      <c r="AA20" s="57"/>
      <c r="AB20" s="57"/>
      <c r="AC20" s="60"/>
      <c r="AD20" s="61"/>
      <c r="AE20" s="55"/>
    </row>
    <row r="21" spans="1:31" ht="21.25" customHeight="1" x14ac:dyDescent="0.15">
      <c r="A21" s="10" t="s">
        <v>188</v>
      </c>
      <c r="B21" s="18" t="str" cm="1">
        <f t="array" ref="B21">VLOOKUP(A21,'Player Data'!A1:B673,2,FALSE)</f>
        <v>VGK</v>
      </c>
      <c r="C21" s="52" cm="1">
        <f t="array" ref="C21">((E21)*Settings!$C$12)+(F21*Settings!$C$2)+(G21*Settings!$C$3)+(H21*Settings!$C$4)+(I21*Settings!$C$5)+(K21*Settings!$C$9)+(N21*Settings!$C$6)+(J21*Settings!$C$8)+(O21*Settings!$C$7)+(P21*Settings!$C$14)+(Q21*Settings!$C$15)+(R21*Settings!$C$16)+(S21*Settings!$C$17)+(T21*Settings!$C$18)+(U21*Settings!$C$19)+(L21*Settings!$C$10)+(Settings!$C$11*M21)</f>
        <v>7.3167480216897305</v>
      </c>
      <c r="D21" s="57" cm="1">
        <f t="array" ref="D21">IF(Settings!$E$12="YES",VLOOKUP(A21,'Player Data'!A1:E673,5,FALSE),82)</f>
        <v>82.415000000000006</v>
      </c>
      <c r="E21" s="55" cm="1">
        <f t="array" ref="E21">(VLOOKUP($A21,'The List'!$B1:$AH671,17,FALSE)-AVERAGE('The List'!R2:R671))/STDEV('The List'!R2:R671)</f>
        <v>0.81922319885823591</v>
      </c>
      <c r="F21" s="55" cm="1">
        <f t="array" ref="F21">(VLOOKUP($A21,'The List'!$B1:$AH671,18,FALSE)-AVERAGE('The List'!S2:S671))/STDEV('The List'!S2:S671)</f>
        <v>1.1968985880297554</v>
      </c>
      <c r="G21" s="55" cm="1">
        <f t="array" ref="G21">(VLOOKUP($A21,'The List'!$B1:$AH671,19,FALSE)-AVERAGE('The List'!T2:T671))/STDEV('The List'!T2:T671)</f>
        <v>2.7602488484199075</v>
      </c>
      <c r="H21" s="55" cm="1">
        <f t="array" ref="H21">(VLOOKUP($A21,'The List'!$B1:$AH671,20,FALSE)-AVERAGE('The List'!U2:U671))/STDEV('The List'!U2:U671)</f>
        <v>2.2672198233095977</v>
      </c>
      <c r="I21" s="55" cm="1">
        <f t="array" ref="I21">(VLOOKUP($A21,'The List'!$B1:$AH671,21,FALSE)-AVERAGE('The List'!V2:V671))/STDEV('The List'!V2:V671)</f>
        <v>0.81579275436703214</v>
      </c>
      <c r="J21" s="55" cm="1">
        <f t="array" ref="J21">(VLOOKUP($A21,'The List'!$B1:$AH671,22,FALSE)-AVERAGE('The List'!W2:W671))/STDEV('The List'!W2:W671)</f>
        <v>1.1432001639852625</v>
      </c>
      <c r="K21" s="55" cm="1">
        <f t="array" ref="K21">(VLOOKUP($A21,'The List'!$B1:$AH671,23,FALSE)-AVERAGE('The List'!X2:X671))/STDEV('The List'!X2:X671)</f>
        <v>2.252490328793451</v>
      </c>
      <c r="L21" s="55" cm="1">
        <f t="array" ref="L21">(VLOOKUP($A21,'The List'!$B1:$AH671,24,FALSE)-AVERAGE('The List'!Y2:Y671))/STDEV('The List'!Y2:Y671)</f>
        <v>0.11697539582023664</v>
      </c>
      <c r="M21" s="55" cm="1">
        <f t="array" ref="M21">(VLOOKUP($A21,'The List'!$B1:$AH671,25,FALSE)-AVERAGE('The List'!Z2:Z671))/STDEV('The List'!Z2:Z671)</f>
        <v>0.34071580165007798</v>
      </c>
      <c r="N21" s="55" cm="1">
        <f t="array" ref="N21">(VLOOKUP($A21,'The List'!$B1:$AH671,26,FALSE)-AVERAGE('The List'!AA2:AA671))/STDEV('The List'!AA2:AA671)</f>
        <v>-0.48340328424086426</v>
      </c>
      <c r="O21" s="55" cm="1">
        <f t="array" ref="O21">(VLOOKUP($A21,'The List'!$B1:$AH671,27,FALSE)-AVERAGE('The List'!AB2:AB671))/STDEV('The List'!AB2:AB671)</f>
        <v>-0.98228750008260313</v>
      </c>
      <c r="P21" s="55" cm="1">
        <f t="array" ref="P21">(VLOOKUP($A21,'The List'!$B1:$AH671,28,FALSE)-AVERAGE('The List'!AC2:AC671))/STDEV('The List'!AC2:AC671)</f>
        <v>1.4483895019969968</v>
      </c>
      <c r="Q21" s="55" cm="1">
        <f t="array" ref="Q21">(VLOOKUP($A21,'The List'!$B1:$AH671,29,FALSE)-AVERAGE('The List'!AD2:AD671))/STDEV('The List'!AD2:AD671)</f>
        <v>-0.67366871567654718</v>
      </c>
      <c r="R21" s="55" cm="1">
        <f t="array" ref="R21">(VLOOKUP($A21,'The List'!$B1:$AH671,30,FALSE)-AVERAGE('The List'!AE2:AE671))/STDEV('The List'!AE2:AE671)</f>
        <v>1.7285215467056947</v>
      </c>
      <c r="S21" s="55" cm="1">
        <f t="array" ref="S21">(VLOOKUP($A21,'The List'!$B1:$AH671,31,FALSE)-AVERAGE('The List'!AF2:AF671))/STDEV('The List'!AF2:AF671)</f>
        <v>-0.17451398526186965</v>
      </c>
      <c r="T21" s="55" cm="1">
        <f t="array" ref="T21">(VLOOKUP($A21,'The List'!$B1:$AH671,32,FALSE)-AVERAGE('The List'!AG2:AG671))/STDEV('The List'!AG2:AG671)</f>
        <v>0.30890728687791319</v>
      </c>
      <c r="U21" s="55" cm="1">
        <f t="array" ref="U21">(VLOOKUP($A21,'The List'!$B1:$AH671,33,FALSE)-AVERAGE('The List'!AH2:AH671))/STDEV('The List'!AH2:AH671)</f>
        <v>0.21013873317450474</v>
      </c>
      <c r="V21" s="55"/>
      <c r="W21" s="78"/>
      <c r="X21" s="57"/>
      <c r="Y21" s="57"/>
      <c r="Z21" s="57"/>
      <c r="AA21" s="57"/>
      <c r="AB21" s="57"/>
      <c r="AC21" s="60"/>
      <c r="AD21" s="61"/>
      <c r="AE21" s="55"/>
    </row>
    <row r="22" spans="1:31" ht="21.25" customHeight="1" x14ac:dyDescent="0.15">
      <c r="A22" s="10" t="s">
        <v>185</v>
      </c>
      <c r="B22" s="18" t="str" cm="1">
        <f t="array" ref="B22">VLOOKUP(A22,'Player Data'!A1:B673,2,FALSE)</f>
        <v>FLA</v>
      </c>
      <c r="C22" s="52" cm="1">
        <f t="array" ref="C22">((E22)*Settings!$C$12)+(F22*Settings!$C$2)+(G22*Settings!$C$3)+(H22*Settings!$C$4)+(I22*Settings!$C$5)+(K22*Settings!$C$9)+(N22*Settings!$C$6)+(J22*Settings!$C$8)+(O22*Settings!$C$7)+(P22*Settings!$C$14)+(Q22*Settings!$C$15)+(R22*Settings!$C$16)+(S22*Settings!$C$17)+(T22*Settings!$C$18)+(U22*Settings!$C$19)+(L22*Settings!$C$10)+(Settings!$C$11*M22)</f>
        <v>10.159290277344384</v>
      </c>
      <c r="D22" s="57" cm="1">
        <f t="array" ref="D22">IF(Settings!$E$12="YES",VLOOKUP(A22,'Player Data'!A1:E673,5,FALSE),82)</f>
        <v>76.864999999999995</v>
      </c>
      <c r="E22" s="55" cm="1">
        <f t="array" ref="E22">(VLOOKUP($A22,'The List'!$B1:$AH671,17,FALSE)-AVERAGE('The List'!R2:R671))/STDEV('The List'!R2:R671)</f>
        <v>0.51048820112951099</v>
      </c>
      <c r="F22" s="55" cm="1">
        <f t="array" ref="F22">(VLOOKUP($A22,'The List'!$B1:$AH671,18,FALSE)-AVERAGE('The List'!S2:S671))/STDEV('The List'!S2:S671)</f>
        <v>1.5602841248705277</v>
      </c>
      <c r="G22" s="55" cm="1">
        <f t="array" ref="G22">(VLOOKUP($A22,'The List'!$B1:$AH671,19,FALSE)-AVERAGE('The List'!T2:T671))/STDEV('The List'!T2:T671)</f>
        <v>2.0727078651854165</v>
      </c>
      <c r="H22" s="55" cm="1">
        <f t="array" ref="H22">(VLOOKUP($A22,'The List'!$B1:$AH671,20,FALSE)-AVERAGE('The List'!U2:U671))/STDEV('The List'!U2:U671)</f>
        <v>1.9959864317371776</v>
      </c>
      <c r="I22" s="55" cm="1">
        <f t="array" ref="I22">(VLOOKUP($A22,'The List'!$B1:$AH671,21,FALSE)-AVERAGE('The List'!V2:V671))/STDEV('The List'!V2:V671)</f>
        <v>1.8969676895077305</v>
      </c>
      <c r="J22" s="55" cm="1">
        <f t="array" ref="J22">(VLOOKUP($A22,'The List'!$B1:$AH671,22,FALSE)-AVERAGE('The List'!W2:W671))/STDEV('The List'!W2:W671)</f>
        <v>2.0063142456152772</v>
      </c>
      <c r="K22" s="55" cm="1">
        <f t="array" ref="K22">(VLOOKUP($A22,'The List'!$B1:$AH671,23,FALSE)-AVERAGE('The List'!X2:X671))/STDEV('The List'!X2:X671)</f>
        <v>2.3174761077708834</v>
      </c>
      <c r="L22" s="55" cm="1">
        <f t="array" ref="L22">(VLOOKUP($A22,'The List'!$B1:$AH671,24,FALSE)-AVERAGE('The List'!Y2:Y671))/STDEV('The List'!Y2:Y671)</f>
        <v>-0.48359470759754569</v>
      </c>
      <c r="M22" s="55" cm="1">
        <f t="array" ref="M22">(VLOOKUP($A22,'The List'!$B1:$AH671,25,FALSE)-AVERAGE('The List'!Z2:Z671))/STDEV('The List'!Z2:Z671)</f>
        <v>-0.64582699877635896</v>
      </c>
      <c r="N22" s="55" cm="1">
        <f t="array" ref="N22">(VLOOKUP($A22,'The List'!$B1:$AH671,26,FALSE)-AVERAGE('The List'!AA2:AA671))/STDEV('The List'!AA2:AA671)</f>
        <v>-1.0346242579876548</v>
      </c>
      <c r="O22" s="55" cm="1">
        <f t="array" ref="O22">(VLOOKUP($A22,'The List'!$B1:$AH671,27,FALSE)-AVERAGE('The List'!AB2:AB671))/STDEV('The List'!AB2:AB671)</f>
        <v>0.1961556464926488</v>
      </c>
      <c r="P22" s="55" cm="1">
        <f t="array" ref="P22">(VLOOKUP($A22,'The List'!$B1:$AH671,28,FALSE)-AVERAGE('The List'!AC2:AC671))/STDEV('The List'!AC2:AC671)</f>
        <v>1.035225988738689</v>
      </c>
      <c r="Q22" s="55" cm="1">
        <f t="array" ref="Q22">(VLOOKUP($A22,'The List'!$B1:$AH671,29,FALSE)-AVERAGE('The List'!AD2:AD671))/STDEV('The List'!AD2:AD671)</f>
        <v>2.3112527592587933</v>
      </c>
      <c r="R22" s="55" cm="1">
        <f t="array" ref="R22">(VLOOKUP($A22,'The List'!$B1:$AH671,30,FALSE)-AVERAGE('The List'!AE2:AE671))/STDEV('The List'!AE2:AE671)</f>
        <v>1.7169277518259589</v>
      </c>
      <c r="S22" s="55" cm="1">
        <f t="array" ref="S22">(VLOOKUP($A22,'The List'!$B1:$AH671,31,FALSE)-AVERAGE('The List'!AF2:AF671))/STDEV('The List'!AF2:AF671)</f>
        <v>-0.56659129654521811</v>
      </c>
      <c r="T22" s="55" cm="1">
        <f t="array" ref="T22">(VLOOKUP($A22,'The List'!$B1:$AH671,32,FALSE)-AVERAGE('The List'!AG2:AG671))/STDEV('The List'!AG2:AG671)</f>
        <v>-0.57335400356491595</v>
      </c>
      <c r="U22" s="55" cm="1">
        <f t="array" ref="U22">(VLOOKUP($A22,'The List'!$B1:$AH671,33,FALSE)-AVERAGE('The List'!AH2:AH671))/STDEV('The List'!AH2:AH671)</f>
        <v>6.1369176243866681E-2</v>
      </c>
      <c r="V22" s="55"/>
      <c r="W22" s="57"/>
      <c r="X22" s="55"/>
      <c r="Y22" s="55"/>
      <c r="Z22" s="55"/>
      <c r="AA22" s="55"/>
      <c r="AB22" s="55"/>
      <c r="AC22" s="55"/>
      <c r="AD22" s="55"/>
      <c r="AE22" s="55"/>
    </row>
    <row r="23" spans="1:31" ht="21.25" customHeight="1" x14ac:dyDescent="0.15">
      <c r="A23" s="10" t="s">
        <v>143</v>
      </c>
      <c r="B23" s="18" t="str" cm="1">
        <f t="array" ref="B23">VLOOKUP(A23,'Player Data'!A1:B673,2,FALSE)</f>
        <v>MIN</v>
      </c>
      <c r="C23" s="52" cm="1">
        <f t="array" ref="C23">((E23)*Settings!$C$12)+(F23*Settings!$C$2)+(G23*Settings!$C$3)+(H23*Settings!$C$4)+(I23*Settings!$C$5)+(K23*Settings!$C$9)+(N23*Settings!$C$6)+(J23*Settings!$C$8)+(O23*Settings!$C$7)+(P23*Settings!$C$14)+(Q23*Settings!$C$15)+(R23*Settings!$C$16)+(S23*Settings!$C$17)+(T23*Settings!$C$18)+(U23*Settings!$C$19)+(L23*Settings!$C$10)+(Settings!$C$11*M23)</f>
        <v>11.762726894081251</v>
      </c>
      <c r="D23" s="57" cm="1">
        <f t="array" ref="D23">IF(Settings!$E$12="YES",VLOOKUP(A23,'Player Data'!A1:E673,5,FALSE),82)</f>
        <v>82.265000000000001</v>
      </c>
      <c r="E23" s="55" cm="1">
        <f t="array" ref="E23">(VLOOKUP($A23,'The List'!$B1:$AH671,17,FALSE)-AVERAGE('The List'!R2:R671))/STDEV('The List'!R2:R671)</f>
        <v>1.2242667189169198</v>
      </c>
      <c r="F23" s="55" cm="1">
        <f t="array" ref="F23">(VLOOKUP($A23,'The List'!$B1:$AH671,18,FALSE)-AVERAGE('The List'!S2:S671))/STDEV('The List'!S2:S671)</f>
        <v>2.6907419202879987</v>
      </c>
      <c r="G23" s="55" cm="1">
        <f t="array" ref="G23">(VLOOKUP($A23,'The List'!$B1:$AH671,19,FALSE)-AVERAGE('The List'!T2:T671))/STDEV('The List'!T2:T671)</f>
        <v>1.9572308387823376</v>
      </c>
      <c r="H23" s="55" cm="1">
        <f t="array" ref="H23">(VLOOKUP($A23,'The List'!$B1:$AH671,20,FALSE)-AVERAGE('The List'!U2:U671))/STDEV('The List'!U2:U671)</f>
        <v>2.4249115242670016</v>
      </c>
      <c r="I23" s="55" cm="1">
        <f t="array" ref="I23">(VLOOKUP($A23,'The List'!$B1:$AH671,21,FALSE)-AVERAGE('The List'!V2:V671))/STDEV('The List'!V2:V671)</f>
        <v>2.7552056854712372</v>
      </c>
      <c r="J23" s="55" cm="1">
        <f t="array" ref="J23">(VLOOKUP($A23,'The List'!$B1:$AH671,22,FALSE)-AVERAGE('The List'!W2:W671))/STDEV('The List'!W2:W671)</f>
        <v>2.2076855978485765</v>
      </c>
      <c r="K23" s="55" cm="1">
        <f t="array" ref="K23">(VLOOKUP($A23,'The List'!$B1:$AH671,23,FALSE)-AVERAGE('The List'!X2:X671))/STDEV('The List'!X2:X671)</f>
        <v>2.1834016931471574</v>
      </c>
      <c r="L23" s="55" cm="1">
        <f t="array" ref="L23">(VLOOKUP($A23,'The List'!$B1:$AH671,24,FALSE)-AVERAGE('The List'!Y2:Y671))/STDEV('The List'!Y2:Y671)</f>
        <v>3.2928868465044281</v>
      </c>
      <c r="M23" s="55" cm="1">
        <f t="array" ref="M23">(VLOOKUP($A23,'The List'!$B1:$AH671,25,FALSE)-AVERAGE('The List'!Z2:Z671))/STDEV('The List'!Z2:Z671)</f>
        <v>1.7131612115818653</v>
      </c>
      <c r="N23" s="55" cm="1">
        <f t="array" ref="N23">(VLOOKUP($A23,'The List'!$B1:$AH671,26,FALSE)-AVERAGE('The List'!AA2:AA671))/STDEV('The List'!AA2:AA671)</f>
        <v>4.2106128677267908E-2</v>
      </c>
      <c r="O23" s="55" cm="1">
        <f t="array" ref="O23">(VLOOKUP($A23,'The List'!$B1:$AH671,27,FALSE)-AVERAGE('The List'!AB2:AB671))/STDEV('The List'!AB2:AB671)</f>
        <v>-0.47031205818409433</v>
      </c>
      <c r="P23" s="55" cm="1">
        <f t="array" ref="P23">(VLOOKUP($A23,'The List'!$B1:$AH671,28,FALSE)-AVERAGE('The List'!AC2:AC671))/STDEV('The List'!AC2:AC671)</f>
        <v>1.0999793706925318</v>
      </c>
      <c r="Q23" s="55" cm="1">
        <f t="array" ref="Q23">(VLOOKUP($A23,'The List'!$B1:$AH671,29,FALSE)-AVERAGE('The List'!AD2:AD671))/STDEV('The List'!AD2:AD671)</f>
        <v>1.034061257022719</v>
      </c>
      <c r="R23" s="55" cm="1">
        <f t="array" ref="R23">(VLOOKUP($A23,'The List'!$B1:$AH671,30,FALSE)-AVERAGE('The List'!AE2:AE671))/STDEV('The List'!AE2:AE671)</f>
        <v>2.8014432110669065</v>
      </c>
      <c r="S23" s="55" cm="1">
        <f t="array" ref="S23">(VLOOKUP($A23,'The List'!$B1:$AH671,31,FALSE)-AVERAGE('The List'!AF2:AF671))/STDEV('The List'!AF2:AF671)</f>
        <v>-0.30717022501350238</v>
      </c>
      <c r="T23" s="55" cm="1">
        <f t="array" ref="T23">(VLOOKUP($A23,'The List'!$B1:$AH671,32,FALSE)-AVERAGE('The List'!AG2:AG671))/STDEV('The List'!AG2:AG671)</f>
        <v>-0.26651009377369328</v>
      </c>
      <c r="U23" s="55" cm="1">
        <f t="array" ref="U23">(VLOOKUP($A23,'The List'!$B1:$AH671,33,FALSE)-AVERAGE('The List'!AH2:AH671))/STDEV('The List'!AH2:AH671)</f>
        <v>0.79494896565668371</v>
      </c>
      <c r="V23" s="55"/>
      <c r="W23" s="78"/>
      <c r="X23" s="57"/>
      <c r="Y23" s="57"/>
      <c r="Z23" s="57"/>
      <c r="AA23" s="57"/>
      <c r="AB23" s="57"/>
      <c r="AC23" s="60"/>
      <c r="AD23" s="61"/>
      <c r="AE23" s="55"/>
    </row>
    <row r="24" spans="1:31" ht="21.25" customHeight="1" x14ac:dyDescent="0.15">
      <c r="A24" s="10" t="s">
        <v>156</v>
      </c>
      <c r="B24" s="18" t="str" cm="1">
        <f t="array" ref="B24">VLOOKUP(A24,'Player Data'!A1:B673,2,FALSE)</f>
        <v>DAL</v>
      </c>
      <c r="C24" s="52" cm="1">
        <f t="array" ref="C24">((E24)*Settings!$C$12)+(F24*Settings!$C$2)+(G24*Settings!$C$3)+(H24*Settings!$C$4)+(I24*Settings!$C$5)+(K24*Settings!$C$9)+(N24*Settings!$C$6)+(J24*Settings!$C$8)+(O24*Settings!$C$7)+(P24*Settings!$C$14)+(Q24*Settings!$C$15)+(R24*Settings!$C$16)+(S24*Settings!$C$17)+(T24*Settings!$C$18)+(U24*Settings!$C$19)+(L24*Settings!$C$10)+(Settings!$C$11*M24)</f>
        <v>9.784511660278433</v>
      </c>
      <c r="D24" s="57" cm="1">
        <f t="array" ref="D24">IF(Settings!$E$12="YES",VLOOKUP(A24,'Player Data'!A1:E673,5,FALSE),82)</f>
        <v>84.03</v>
      </c>
      <c r="E24" s="55" cm="1">
        <f t="array" ref="E24">(VLOOKUP($A24,'The List'!$B1:$AH671,17,FALSE)-AVERAGE('The List'!R2:R671))/STDEV('The List'!R2:R671)</f>
        <v>0.81517006838656769</v>
      </c>
      <c r="F24" s="55" cm="1">
        <f t="array" ref="F24">(VLOOKUP($A24,'The List'!$B1:$AH671,18,FALSE)-AVERAGE('The List'!S2:S671))/STDEV('The List'!S2:S671)</f>
        <v>2.919571207602913</v>
      </c>
      <c r="G24" s="55" cm="1">
        <f t="array" ref="G24">(VLOOKUP($A24,'The List'!$B1:$AH671,19,FALSE)-AVERAGE('The List'!T2:T671))/STDEV('The List'!T2:T671)</f>
        <v>1.5406307758262525</v>
      </c>
      <c r="H24" s="55" cm="1">
        <f t="array" ref="H24">(VLOOKUP($A24,'The List'!$B1:$AH671,20,FALSE)-AVERAGE('The List'!U2:U671))/STDEV('The List'!U2:U671)</f>
        <v>2.2643988605806187</v>
      </c>
      <c r="I24" s="55" cm="1">
        <f t="array" ref="I24">(VLOOKUP($A24,'The List'!$B1:$AH671,21,FALSE)-AVERAGE('The List'!V2:V671))/STDEV('The List'!V2:V671)</f>
        <v>1.7145905688308949</v>
      </c>
      <c r="J24" s="55" cm="1">
        <f t="array" ref="J24">(VLOOKUP($A24,'The List'!$B1:$AH671,22,FALSE)-AVERAGE('The List'!W2:W671))/STDEV('The List'!W2:W671)</f>
        <v>4.6591579348475607</v>
      </c>
      <c r="K24" s="55" cm="1">
        <f t="array" ref="K24">(VLOOKUP($A24,'The List'!$B1:$AH671,23,FALSE)-AVERAGE('The List'!X2:X671))/STDEV('The List'!X2:X671)</f>
        <v>2.8430173348248395</v>
      </c>
      <c r="L24" s="55" cm="1">
        <f t="array" ref="L24">(VLOOKUP($A24,'The List'!$B1:$AH671,24,FALSE)-AVERAGE('The List'!Y2:Y671))/STDEV('The List'!Y2:Y671)</f>
        <v>-2.6543721598967621E-2</v>
      </c>
      <c r="M24" s="55" cm="1">
        <f t="array" ref="M24">(VLOOKUP($A24,'The List'!$B1:$AH671,25,FALSE)-AVERAGE('The List'!Z2:Z671))/STDEV('The List'!Z2:Z671)</f>
        <v>-0.36452139661567795</v>
      </c>
      <c r="N24" s="55" cm="1">
        <f t="array" ref="N24">(VLOOKUP($A24,'The List'!$B1:$AH671,26,FALSE)-AVERAGE('The List'!AA2:AA671))/STDEV('The List'!AA2:AA671)</f>
        <v>-0.25811638138103021</v>
      </c>
      <c r="O24" s="55" cm="1">
        <f t="array" ref="O24">(VLOOKUP($A24,'The List'!$B1:$AH671,27,FALSE)-AVERAGE('The List'!AB2:AB671))/STDEV('The List'!AB2:AB671)</f>
        <v>-0.61558340150375424</v>
      </c>
      <c r="P24" s="55" cm="1">
        <f t="array" ref="P24">(VLOOKUP($A24,'The List'!$B1:$AH671,28,FALSE)-AVERAGE('The List'!AC2:AC671))/STDEV('The List'!AC2:AC671)</f>
        <v>1.0568496457508221</v>
      </c>
      <c r="Q24" s="55" cm="1">
        <f t="array" ref="Q24">(VLOOKUP($A24,'The List'!$B1:$AH671,29,FALSE)-AVERAGE('The List'!AD2:AD671))/STDEV('The List'!AD2:AD671)</f>
        <v>-3.2031491176256692E-2</v>
      </c>
      <c r="R24" s="55" cm="1">
        <f t="array" ref="R24">(VLOOKUP($A24,'The List'!$B1:$AH671,30,FALSE)-AVERAGE('The List'!AE2:AE671))/STDEV('The List'!AE2:AE671)</f>
        <v>3.2016336710723787</v>
      </c>
      <c r="S24" s="55" cm="1">
        <f t="array" ref="S24">(VLOOKUP($A24,'The List'!$B1:$AH671,31,FALSE)-AVERAGE('The List'!AF2:AF671))/STDEV('The List'!AF2:AF671)</f>
        <v>1.4342522524257466</v>
      </c>
      <c r="T24" s="55" cm="1">
        <f t="array" ref="T24">(VLOOKUP($A24,'The List'!$B1:$AH671,32,FALSE)-AVERAGE('The List'!AG2:AG671))/STDEV('The List'!AG2:AG671)</f>
        <v>1.5673270519092475</v>
      </c>
      <c r="U24" s="55" cm="1">
        <f t="array" ref="U24">(VLOOKUP($A24,'The List'!$B1:$AH671,33,FALSE)-AVERAGE('The List'!AH2:AH671))/STDEV('The List'!AH2:AH671)</f>
        <v>1.0154959741831062</v>
      </c>
      <c r="V24" s="55"/>
      <c r="W24" s="78"/>
      <c r="X24" s="57"/>
      <c r="Y24" s="57"/>
      <c r="Z24" s="57"/>
      <c r="AA24" s="57"/>
      <c r="AB24" s="57"/>
      <c r="AC24" s="60"/>
      <c r="AD24" s="61"/>
      <c r="AE24" s="55"/>
    </row>
    <row r="25" spans="1:31" ht="21.25" customHeight="1" x14ac:dyDescent="0.15">
      <c r="A25" s="10" t="s">
        <v>215</v>
      </c>
      <c r="B25" s="18" t="str" cm="1">
        <f t="array" ref="B25">VLOOKUP(A25,'Player Data'!A1:B673,2,FALSE)</f>
        <v>CHI</v>
      </c>
      <c r="C25" s="52" cm="1">
        <f t="array" ref="C25">((E25)*Settings!$C$12)+(F25*Settings!$C$2)+(G25*Settings!$C$3)+(H25*Settings!$C$4)+(I25*Settings!$C$5)+(K25*Settings!$C$9)+(N25*Settings!$C$6)+(J25*Settings!$C$8)+(O25*Settings!$C$7)+(P25*Settings!$C$14)+(Q25*Settings!$C$15)+(R25*Settings!$C$16)+(S25*Settings!$C$17)+(T25*Settings!$C$18)+(U25*Settings!$C$19)+(L25*Settings!$C$10)+(Settings!$C$11*M25)</f>
        <v>4.0841165212633355</v>
      </c>
      <c r="D25" s="57" cm="1">
        <f t="array" ref="D25">IF(Settings!$E$12="YES",VLOOKUP(A25,'Player Data'!A1:E673,5,FALSE),82)</f>
        <v>66</v>
      </c>
      <c r="E25" s="55" cm="1">
        <f t="array" ref="E25">(VLOOKUP($A25,'The List'!$B1:$AH671,17,FALSE)-AVERAGE('The List'!R2:R671))/STDEV('The List'!R2:R671)</f>
        <v>1.0757055820239456</v>
      </c>
      <c r="F25" s="55" cm="1">
        <f t="array" ref="F25">(VLOOKUP($A25,'The List'!$B1:$AH671,18,FALSE)-AVERAGE('The List'!S2:S671))/STDEV('The List'!S2:S671)</f>
        <v>1.5059309978729729</v>
      </c>
      <c r="G25" s="55" cm="1">
        <f t="array" ref="G25">(VLOOKUP($A25,'The List'!$B1:$AH671,19,FALSE)-AVERAGE('The List'!T2:T671))/STDEV('The List'!T2:T671)</f>
        <v>1.6762457384393259</v>
      </c>
      <c r="H25" s="55" cm="1">
        <f t="array" ref="H25">(VLOOKUP($A25,'The List'!$B1:$AH671,20,FALSE)-AVERAGE('The List'!U2:U671))/STDEV('The List'!U2:U671)</f>
        <v>1.7224985465601834</v>
      </c>
      <c r="I25" s="55" cm="1">
        <f t="array" ref="I25">(VLOOKUP($A25,'The List'!$B1:$AH671,21,FALSE)-AVERAGE('The List'!V2:V671))/STDEV('The List'!V2:V671)</f>
        <v>1.5320603092747334</v>
      </c>
      <c r="J25" s="55" cm="1">
        <f t="array" ref="J25">(VLOOKUP($A25,'The List'!$B1:$AH671,22,FALSE)-AVERAGE('The List'!W2:W671))/STDEV('The List'!W2:W671)</f>
        <v>1.7723513556679265</v>
      </c>
      <c r="K25" s="55" cm="1">
        <f t="array" ref="K25">(VLOOKUP($A25,'The List'!$B1:$AH671,23,FALSE)-AVERAGE('The List'!X2:X671))/STDEV('The List'!X2:X671)</f>
        <v>1.9372415220609276</v>
      </c>
      <c r="L25" s="55" cm="1">
        <f t="array" ref="L25">(VLOOKUP($A25,'The List'!$B1:$AH671,24,FALSE)-AVERAGE('The List'!Y2:Y671))/STDEV('The List'!Y2:Y671)</f>
        <v>-0.54246730488742256</v>
      </c>
      <c r="M25" s="55" cm="1">
        <f t="array" ref="M25">(VLOOKUP($A25,'The List'!$B1:$AH671,25,FALSE)-AVERAGE('The List'!Z2:Z671))/STDEV('The List'!Z2:Z671)</f>
        <v>-0.68503259737159949</v>
      </c>
      <c r="N25" s="55" cm="1">
        <f t="array" ref="N25">(VLOOKUP($A25,'The List'!$B1:$AH671,26,FALSE)-AVERAGE('The List'!AA2:AA671))/STDEV('The List'!AA2:AA671)</f>
        <v>-0.90202504794003591</v>
      </c>
      <c r="O25" s="55" cm="1">
        <f t="array" ref="O25">(VLOOKUP($A25,'The List'!$B1:$AH671,27,FALSE)-AVERAGE('The List'!AB2:AB671))/STDEV('The List'!AB2:AB671)</f>
        <v>-1.0454539006643762</v>
      </c>
      <c r="P25" s="55" cm="1">
        <f t="array" ref="P25">(VLOOKUP($A25,'The List'!$B1:$AH671,28,FALSE)-AVERAGE('The List'!AC2:AC671))/STDEV('The List'!AC2:AC671)</f>
        <v>-2.2663939175612993</v>
      </c>
      <c r="Q25" s="55" cm="1">
        <f t="array" ref="Q25">(VLOOKUP($A25,'The List'!$B1:$AH671,29,FALSE)-AVERAGE('The List'!AD2:AD671))/STDEV('The List'!AD2:AD671)</f>
        <v>0.60105691911671066</v>
      </c>
      <c r="R25" s="55" cm="1">
        <f t="array" ref="R25">(VLOOKUP($A25,'The List'!$B1:$AH671,30,FALSE)-AVERAGE('The List'!AE2:AE671))/STDEV('The List'!AE2:AE671)</f>
        <v>0.88582938422101754</v>
      </c>
      <c r="S25" s="55" cm="1">
        <f t="array" ref="S25">(VLOOKUP($A25,'The List'!$B1:$AH671,31,FALSE)-AVERAGE('The List'!AF2:AF671))/STDEV('The List'!AF2:AF671)</f>
        <v>0.63077392196725002</v>
      </c>
      <c r="T25" s="55" cm="1">
        <f t="array" ref="T25">(VLOOKUP($A25,'The List'!$B1:$AH671,32,FALSE)-AVERAGE('The List'!AG2:AG671))/STDEV('The List'!AG2:AG671)</f>
        <v>1.1581176529916768</v>
      </c>
      <c r="U25" s="55" cm="1">
        <f t="array" ref="U25">(VLOOKUP($A25,'The List'!$B1:$AH671,33,FALSE)-AVERAGE('The List'!AH2:AH671))/STDEV('The List'!AH2:AH671)</f>
        <v>0.67395659719934875</v>
      </c>
      <c r="V25" s="55"/>
      <c r="W25" s="78"/>
      <c r="X25" s="57"/>
      <c r="Y25" s="57"/>
      <c r="Z25" s="57"/>
      <c r="AA25" s="57"/>
      <c r="AB25" s="57"/>
      <c r="AC25" s="60"/>
      <c r="AD25" s="61"/>
      <c r="AE25" s="55"/>
    </row>
    <row r="26" spans="1:31" ht="21.25" customHeight="1" x14ac:dyDescent="0.15">
      <c r="A26" s="10" t="s">
        <v>132</v>
      </c>
      <c r="B26" s="18" t="str" cm="1">
        <f t="array" ref="B26">VLOOKUP(A26,'Player Data'!A1:B673,2,FALSE)</f>
        <v>COL</v>
      </c>
      <c r="C26" s="52" cm="1">
        <f t="array" ref="C26">((E26)*Settings!$C$12)+(F26*Settings!$C$2)+(G26*Settings!$C$3)+(H26*Settings!$C$4)+(I26*Settings!$C$5)+(K26*Settings!$C$9)+(N26*Settings!$C$6)+(J26*Settings!$C$8)+(O26*Settings!$C$7)+(P26*Settings!$C$14)+(Q26*Settings!$C$15)+(R26*Settings!$C$16)+(S26*Settings!$C$17)+(T26*Settings!$C$18)+(U26*Settings!$C$19)+(L26*Settings!$C$10)+(Settings!$C$11*M26)</f>
        <v>11.183098642894779</v>
      </c>
      <c r="D26" s="57" cm="1">
        <f t="array" ref="D26">IF(Settings!$E$12="YES",VLOOKUP(A26,'Player Data'!A1:E673,5,FALSE),82)</f>
        <v>82.012500000000003</v>
      </c>
      <c r="E26" s="55" cm="1">
        <f t="array" ref="E26">(VLOOKUP($A26,'The List'!$B1:$AH671,17,FALSE)-AVERAGE('The List'!R2:R671))/STDEV('The List'!R2:R671)</f>
        <v>2.2372408588420081</v>
      </c>
      <c r="F26" s="55" cm="1">
        <f t="array" ref="F26">(VLOOKUP($A26,'The List'!$B1:$AH671,18,FALSE)-AVERAGE('The List'!S2:S671))/STDEV('The List'!S2:S671)</f>
        <v>0.85929298800998033</v>
      </c>
      <c r="G26" s="55" cm="1">
        <f t="array" ref="G26">(VLOOKUP($A26,'The List'!$B1:$AH671,19,FALSE)-AVERAGE('The List'!T2:T671))/STDEV('The List'!T2:T671)</f>
        <v>2.8203765989596921</v>
      </c>
      <c r="H26" s="55" cm="1">
        <f t="array" ref="H26">(VLOOKUP($A26,'The List'!$B1:$AH671,20,FALSE)-AVERAGE('The List'!U2:U671))/STDEV('The List'!U2:U671)</f>
        <v>2.1552516003419315</v>
      </c>
      <c r="I26" s="55" cm="1">
        <f t="array" ref="I26">(VLOOKUP($A26,'The List'!$B1:$AH671,21,FALSE)-AVERAGE('The List'!V2:V671))/STDEV('The List'!V2:V671)</f>
        <v>1.7074060796841397</v>
      </c>
      <c r="J26" s="55" cm="1">
        <f t="array" ref="J26">(VLOOKUP($A26,'The List'!$B1:$AH671,22,FALSE)-AVERAGE('The List'!W2:W671))/STDEV('The List'!W2:W671)</f>
        <v>1.1131787337330705</v>
      </c>
      <c r="K26" s="55" cm="1">
        <f t="array" ref="K26">(VLOOKUP($A26,'The List'!$B1:$AH671,23,FALSE)-AVERAGE('The List'!X2:X671))/STDEV('The List'!X2:X671)</f>
        <v>2.5748893063122771</v>
      </c>
      <c r="L26" s="55" cm="1">
        <f t="array" ref="L26">(VLOOKUP($A26,'The List'!$B1:$AH671,24,FALSE)-AVERAGE('The List'!Y2:Y671))/STDEV('The List'!Y2:Y671)</f>
        <v>0.6046708575723726</v>
      </c>
      <c r="M26" s="55" cm="1">
        <f t="array" ref="M26">(VLOOKUP($A26,'The List'!$B1:$AH671,25,FALSE)-AVERAGE('The List'!Z2:Z671))/STDEV('The List'!Z2:Z671)</f>
        <v>0.87103815249649319</v>
      </c>
      <c r="N26" s="55" cm="1">
        <f t="array" ref="N26">(VLOOKUP($A26,'The List'!$B1:$AH671,26,FALSE)-AVERAGE('The List'!AA2:AA671))/STDEV('The List'!AA2:AA671)</f>
        <v>1.7624581722608574</v>
      </c>
      <c r="O26" s="55" cm="1">
        <f t="array" ref="O26">(VLOOKUP($A26,'The List'!$B1:$AH671,27,FALSE)-AVERAGE('The List'!AB2:AB671))/STDEV('The List'!AB2:AB671)</f>
        <v>-0.71090389398185017</v>
      </c>
      <c r="P26" s="55" cm="1">
        <f t="array" ref="P26">(VLOOKUP($A26,'The List'!$B1:$AH671,28,FALSE)-AVERAGE('The List'!AC2:AC671))/STDEV('The List'!AC2:AC671)</f>
        <v>2.0205597248203819</v>
      </c>
      <c r="Q26" s="55" cm="1">
        <f t="array" ref="Q26">(VLOOKUP($A26,'The List'!$B1:$AH671,29,FALSE)-AVERAGE('The List'!AD2:AD671))/STDEV('The List'!AD2:AD671)</f>
        <v>-0.56188422715255015</v>
      </c>
      <c r="R26" s="55" cm="1">
        <f t="array" ref="R26">(VLOOKUP($A26,'The List'!$B1:$AH671,30,FALSE)-AVERAGE('The List'!AE2:AE671))/STDEV('The List'!AE2:AE671)</f>
        <v>1.182602920563935</v>
      </c>
      <c r="S26" s="55" cm="1">
        <f t="array" ref="S26">(VLOOKUP($A26,'The List'!$B1:$AH671,31,FALSE)-AVERAGE('The List'!AF2:AF671))/STDEV('The List'!AF2:AF671)</f>
        <v>-0.5939690971349143</v>
      </c>
      <c r="T26" s="55" cm="1">
        <f t="array" ref="T26">(VLOOKUP($A26,'The List'!$B1:$AH671,32,FALSE)-AVERAGE('The List'!AG2:AG671))/STDEV('The List'!AG2:AG671)</f>
        <v>-0.64602208138248207</v>
      </c>
      <c r="U26" s="55" cm="1">
        <f t="array" ref="U26">(VLOOKUP($A26,'The List'!$B1:$AH671,33,FALSE)-AVERAGE('The List'!AH2:AH671))/STDEV('The List'!AH2:AH671)</f>
        <v>-1.2548938914719048</v>
      </c>
      <c r="V26" s="55"/>
      <c r="W26" s="57"/>
      <c r="X26" s="57"/>
      <c r="Y26" s="57"/>
      <c r="Z26" s="57"/>
      <c r="AA26" s="57"/>
      <c r="AB26" s="57"/>
      <c r="AC26" s="60"/>
      <c r="AD26" s="61"/>
      <c r="AE26" s="55"/>
    </row>
    <row r="27" spans="1:31" ht="21.25" customHeight="1" x14ac:dyDescent="0.15">
      <c r="A27" s="10" t="s">
        <v>175</v>
      </c>
      <c r="B27" s="18" t="str" cm="1">
        <f t="array" ref="B27">VLOOKUP(A27,'Player Data'!A1:B673,2,FALSE)</f>
        <v>PIT</v>
      </c>
      <c r="C27" s="52" cm="1">
        <f t="array" ref="C27">((E27)*Settings!$C$12)+(F27*Settings!$C$2)+(G27*Settings!$C$3)+(H27*Settings!$C$4)+(I27*Settings!$C$5)+(K27*Settings!$C$9)+(N27*Settings!$C$6)+(J27*Settings!$C$8)+(O27*Settings!$C$7)+(P27*Settings!$C$14)+(Q27*Settings!$C$15)+(R27*Settings!$C$16)+(S27*Settings!$C$17)+(T27*Settings!$C$18)+(U27*Settings!$C$19)+(L27*Settings!$C$10)+(Settings!$C$11*M27)</f>
        <v>7.0827325791123839</v>
      </c>
      <c r="D27" s="57" cm="1">
        <f t="array" ref="D27">IF(Settings!$E$12="YES",VLOOKUP(A27,'Player Data'!A1:E673,5,FALSE),82)</f>
        <v>81.27</v>
      </c>
      <c r="E27" s="55" cm="1">
        <f t="array" ref="E27">(VLOOKUP($A27,'The List'!$B1:$AH671,17,FALSE)-AVERAGE('The List'!R2:R671))/STDEV('The List'!R2:R671)</f>
        <v>0.6914128909177627</v>
      </c>
      <c r="F27" s="55" cm="1">
        <f t="array" ref="F27">(VLOOKUP($A27,'The List'!$B1:$AH671,18,FALSE)-AVERAGE('The List'!S2:S671))/STDEV('The List'!S2:S671)</f>
        <v>1.9352990212327532</v>
      </c>
      <c r="G27" s="55" cm="1">
        <f t="array" ref="G27">(VLOOKUP($A27,'The List'!$B1:$AH671,19,FALSE)-AVERAGE('The List'!T2:T671))/STDEV('The List'!T2:T671)</f>
        <v>1.9617441134772622</v>
      </c>
      <c r="H27" s="55" cm="1">
        <f t="array" ref="H27">(VLOOKUP($A27,'The List'!$B1:$AH671,20,FALSE)-AVERAGE('The List'!U2:U671))/STDEV('The List'!U2:U671)</f>
        <v>2.0925767693069024</v>
      </c>
      <c r="I27" s="55" cm="1">
        <f t="array" ref="I27">(VLOOKUP($A27,'The List'!$B1:$AH671,21,FALSE)-AVERAGE('The List'!V2:V671))/STDEV('The List'!V2:V671)</f>
        <v>1.5083232184258102</v>
      </c>
      <c r="J27" s="55" cm="1">
        <f t="array" ref="J27">(VLOOKUP($A27,'The List'!$B1:$AH671,22,FALSE)-AVERAGE('The List'!W2:W671))/STDEV('The List'!W2:W671)</f>
        <v>2.3873891383318746</v>
      </c>
      <c r="K27" s="55" cm="1">
        <f t="array" ref="K27">(VLOOKUP($A27,'The List'!$B1:$AH671,23,FALSE)-AVERAGE('The List'!X2:X671))/STDEV('The List'!X2:X671)</f>
        <v>1.8069982959733193</v>
      </c>
      <c r="L27" s="55" cm="1">
        <f t="array" ref="L27">(VLOOKUP($A27,'The List'!$B1:$AH671,24,FALSE)-AVERAGE('The List'!Y2:Y671))/STDEV('The List'!Y2:Y671)</f>
        <v>-0.53662119944361164</v>
      </c>
      <c r="M27" s="55" cm="1">
        <f t="array" ref="M27">(VLOOKUP($A27,'The List'!$B1:$AH671,25,FALSE)-AVERAGE('The List'!Z2:Z671))/STDEV('The List'!Z2:Z671)</f>
        <v>-0.67924253602112206</v>
      </c>
      <c r="N27" s="55" cm="1">
        <f t="array" ref="N27">(VLOOKUP($A27,'The List'!$B1:$AH671,26,FALSE)-AVERAGE('The List'!AA2:AA671))/STDEV('The List'!AA2:AA671)</f>
        <v>-0.67760259984905868</v>
      </c>
      <c r="O27" s="55" cm="1">
        <f t="array" ref="O27">(VLOOKUP($A27,'The List'!$B1:$AH671,27,FALSE)-AVERAGE('The List'!AB2:AB671))/STDEV('The List'!AB2:AB671)</f>
        <v>-0.3407353536944675</v>
      </c>
      <c r="P27" s="55" cm="1">
        <f t="array" ref="P27">(VLOOKUP($A27,'The List'!$B1:$AH671,28,FALSE)-AVERAGE('The List'!AC2:AC671))/STDEV('The List'!AC2:AC671)</f>
        <v>0.21245124217082073</v>
      </c>
      <c r="Q27" s="55" cm="1">
        <f t="array" ref="Q27">(VLOOKUP($A27,'The List'!$B1:$AH671,29,FALSE)-AVERAGE('The List'!AD2:AD671))/STDEV('The List'!AD2:AD671)</f>
        <v>0.33551928768147715</v>
      </c>
      <c r="R27" s="55" cm="1">
        <f t="array" ref="R27">(VLOOKUP($A27,'The List'!$B1:$AH671,30,FALSE)-AVERAGE('The List'!AE2:AE671))/STDEV('The List'!AE2:AE671)</f>
        <v>1.6626911509530287</v>
      </c>
      <c r="S27" s="55" cm="1">
        <f t="array" ref="S27">(VLOOKUP($A27,'The List'!$B1:$AH671,31,FALSE)-AVERAGE('The List'!AF2:AF671))/STDEV('The List'!AF2:AF671)</f>
        <v>4.0449280409274282</v>
      </c>
      <c r="T27" s="55" cm="1">
        <f t="array" ref="T27">(VLOOKUP($A27,'The List'!$B1:$AH671,32,FALSE)-AVERAGE('The List'!AG2:AG671))/STDEV('The List'!AG2:AG671)</f>
        <v>3.1272467919852018</v>
      </c>
      <c r="U27" s="55" cm="1">
        <f t="array" ref="U27">(VLOOKUP($A27,'The List'!$B1:$AH671,33,FALSE)-AVERAGE('The List'!AH2:AH671))/STDEV('The List'!AH2:AH671)</f>
        <v>1.3513720565981457</v>
      </c>
      <c r="V27" s="55"/>
      <c r="W27" s="57"/>
      <c r="X27" s="55"/>
      <c r="Y27" s="55"/>
      <c r="Z27" s="55"/>
      <c r="AA27" s="55"/>
      <c r="AB27" s="55"/>
      <c r="AC27" s="55"/>
      <c r="AD27" s="55"/>
      <c r="AE27" s="55"/>
    </row>
    <row r="28" spans="1:31" ht="21.25" customHeight="1" x14ac:dyDescent="0.15">
      <c r="A28" s="10" t="s">
        <v>260</v>
      </c>
      <c r="B28" s="18" t="str" cm="1">
        <f t="array" ref="B28">VLOOKUP(A28,'Player Data'!A1:B673,2,FALSE)</f>
        <v>VGK</v>
      </c>
      <c r="C28" s="52" cm="1">
        <f t="array" ref="C28">((E28)*Settings!$C$12)+(F28*Settings!$C$2)+(G28*Settings!$C$3)+(H28*Settings!$C$4)+(I28*Settings!$C$5)+(K28*Settings!$C$9)+(N28*Settings!$C$6)+(J28*Settings!$C$8)+(O28*Settings!$C$7)+(P28*Settings!$C$14)+(Q28*Settings!$C$15)+(R28*Settings!$C$16)+(S28*Settings!$C$17)+(T28*Settings!$C$18)+(U28*Settings!$C$19)+(L28*Settings!$C$10)+(Settings!$C$11*M28)</f>
        <v>4.8251481890951053</v>
      </c>
      <c r="D28" s="57" cm="1">
        <f t="array" ref="D28">IF(Settings!$E$12="YES",VLOOKUP(A28,'Player Data'!A1:E673,5,FALSE),82)</f>
        <v>68</v>
      </c>
      <c r="E28" s="55" cm="1">
        <f t="array" ref="E28">(VLOOKUP($A28,'The List'!$B1:$AH671,17,FALSE)-AVERAGE('The List'!R2:R671))/STDEV('The List'!R2:R671)</f>
        <v>0.71467717217538496</v>
      </c>
      <c r="F28" s="55" cm="1">
        <f t="array" ref="F28">(VLOOKUP($A28,'The List'!$B1:$AH671,18,FALSE)-AVERAGE('The List'!S2:S671))/STDEV('The List'!S2:S671)</f>
        <v>1.0311691744467411</v>
      </c>
      <c r="G28" s="55" cm="1">
        <f t="array" ref="G28">(VLOOKUP($A28,'The List'!$B1:$AH671,19,FALSE)-AVERAGE('The List'!T2:T671))/STDEV('The List'!T2:T671)</f>
        <v>1.616837569943893</v>
      </c>
      <c r="H28" s="55" cm="1">
        <f t="array" ref="H28">(VLOOKUP($A28,'The List'!$B1:$AH671,20,FALSE)-AVERAGE('The List'!U2:U671))/STDEV('The List'!U2:U671)</f>
        <v>1.4744896287397959</v>
      </c>
      <c r="I28" s="55" cm="1">
        <f t="array" ref="I28">(VLOOKUP($A28,'The List'!$B1:$AH671,21,FALSE)-AVERAGE('The List'!V2:V671))/STDEV('The List'!V2:V671)</f>
        <v>0.34465379326785961</v>
      </c>
      <c r="J28" s="55" cm="1">
        <f t="array" ref="J28">(VLOOKUP($A28,'The List'!$B1:$AH671,22,FALSE)-AVERAGE('The List'!W2:W671))/STDEV('The List'!W2:W671)</f>
        <v>1.4228840508623934</v>
      </c>
      <c r="K28" s="55" cm="1">
        <f t="array" ref="K28">(VLOOKUP($A28,'The List'!$B1:$AH671,23,FALSE)-AVERAGE('The List'!X2:X671))/STDEV('The List'!X2:X671)</f>
        <v>1.9354767181468107</v>
      </c>
      <c r="L28" s="55" cm="1">
        <f t="array" ref="L28">(VLOOKUP($A28,'The List'!$B1:$AH671,24,FALSE)-AVERAGE('The List'!Y2:Y671))/STDEV('The List'!Y2:Y671)</f>
        <v>1.1931268868743321</v>
      </c>
      <c r="M28" s="55" cm="1">
        <f t="array" ref="M28">(VLOOKUP($A28,'The List'!$B1:$AH671,25,FALSE)-AVERAGE('The List'!Z2:Z671))/STDEV('The List'!Z2:Z671)</f>
        <v>1.5452657615479062</v>
      </c>
      <c r="N28" s="55" cm="1">
        <f t="array" ref="N28">(VLOOKUP($A28,'The List'!$B1:$AH671,26,FALSE)-AVERAGE('The List'!AA2:AA671))/STDEV('The List'!AA2:AA671)</f>
        <v>-0.37277778629699582</v>
      </c>
      <c r="O28" s="55" cm="1">
        <f t="array" ref="O28">(VLOOKUP($A28,'The List'!$B1:$AH671,27,FALSE)-AVERAGE('The List'!AB2:AB671))/STDEV('The List'!AB2:AB671)</f>
        <v>-0.96889820255719483</v>
      </c>
      <c r="P28" s="55" cm="1">
        <f t="array" ref="P28">(VLOOKUP($A28,'The List'!$B1:$AH671,28,FALSE)-AVERAGE('The List'!AC2:AC671))/STDEV('The List'!AC2:AC671)</f>
        <v>1.2160426937083031</v>
      </c>
      <c r="Q28" s="55" cm="1">
        <f t="array" ref="Q28">(VLOOKUP($A28,'The List'!$B1:$AH671,29,FALSE)-AVERAGE('The List'!AD2:AD671))/STDEV('The List'!AD2:AD671)</f>
        <v>-0.94625397412150647</v>
      </c>
      <c r="R28" s="55" cm="1">
        <f t="array" ref="R28">(VLOOKUP($A28,'The List'!$B1:$AH671,30,FALSE)-AVERAGE('The List'!AE2:AE671))/STDEV('The List'!AE2:AE671)</f>
        <v>1.5309413191711918</v>
      </c>
      <c r="S28" s="55" cm="1">
        <f t="array" ref="S28">(VLOOKUP($A28,'The List'!$B1:$AH671,31,FALSE)-AVERAGE('The List'!AF2:AF671))/STDEV('The List'!AF2:AF671)</f>
        <v>-0.57741290480619378</v>
      </c>
      <c r="T28" s="55" cm="1">
        <f t="array" ref="T28">(VLOOKUP($A28,'The List'!$B1:$AH671,32,FALSE)-AVERAGE('The List'!AG2:AG671))/STDEV('The List'!AG2:AG671)</f>
        <v>-0.58993572581786946</v>
      </c>
      <c r="U28" s="55" cm="1">
        <f t="array" ref="U28">(VLOOKUP($A28,'The List'!$B1:$AH671,33,FALSE)-AVERAGE('The List'!AH2:AH671))/STDEV('The List'!AH2:AH671)</f>
        <v>-0.15542684228325801</v>
      </c>
      <c r="V28" s="55"/>
      <c r="W28" s="57"/>
      <c r="X28" s="55"/>
      <c r="Y28" s="55"/>
      <c r="Z28" s="55"/>
      <c r="AA28" s="55"/>
      <c r="AB28" s="55"/>
      <c r="AC28" s="55"/>
      <c r="AD28" s="55"/>
      <c r="AE28" s="55"/>
    </row>
    <row r="29" spans="1:31" ht="21.25" customHeight="1" x14ac:dyDescent="0.15">
      <c r="A29" s="10" t="s">
        <v>169</v>
      </c>
      <c r="B29" s="18" t="str" cm="1">
        <f t="array" ref="B29">VLOOKUP(A29,'Player Data'!A1:B673,2,FALSE)</f>
        <v>UTA</v>
      </c>
      <c r="C29" s="52" cm="1">
        <f t="array" ref="C29">((E29)*Settings!$C$12)+(F29*Settings!$C$2)+(G29*Settings!$C$3)+(H29*Settings!$C$4)+(I29*Settings!$C$5)+(K29*Settings!$C$9)+(N29*Settings!$C$6)+(J29*Settings!$C$8)+(O29*Settings!$C$7)+(P29*Settings!$C$14)+(Q29*Settings!$C$15)+(R29*Settings!$C$16)+(S29*Settings!$C$17)+(T29*Settings!$C$18)+(U29*Settings!$C$19)+(L29*Settings!$C$10)+(Settings!$C$11*M29)</f>
        <v>7.9550365125768741</v>
      </c>
      <c r="D29" s="57" cm="1">
        <f t="array" ref="D29">IF(Settings!$E$12="YES",VLOOKUP(A29,'Player Data'!A1:E673,5,FALSE),82)</f>
        <v>83.492500000000007</v>
      </c>
      <c r="E29" s="55" cm="1">
        <f t="array" ref="E29">(VLOOKUP($A29,'The List'!$B1:$AH671,17,FALSE)-AVERAGE('The List'!R2:R671))/STDEV('The List'!R2:R671)</f>
        <v>0.59565672434696881</v>
      </c>
      <c r="F29" s="55" cm="1">
        <f t="array" ref="F29">(VLOOKUP($A29,'The List'!$B1:$AH671,18,FALSE)-AVERAGE('The List'!S2:S671))/STDEV('The List'!S2:S671)</f>
        <v>1.4972404482059243</v>
      </c>
      <c r="G29" s="55" cm="1">
        <f t="array" ref="G29">(VLOOKUP($A29,'The List'!$B1:$AH671,19,FALSE)-AVERAGE('The List'!T2:T671))/STDEV('The List'!T2:T671)</f>
        <v>2.3731858633580458</v>
      </c>
      <c r="H29" s="55" cm="1">
        <f t="array" ref="H29">(VLOOKUP($A29,'The List'!$B1:$AH671,20,FALSE)-AVERAGE('The List'!U2:U671))/STDEV('The List'!U2:U671)</f>
        <v>2.1570143986567771</v>
      </c>
      <c r="I29" s="55" cm="1">
        <f t="array" ref="I29">(VLOOKUP($A29,'The List'!$B1:$AH671,21,FALSE)-AVERAGE('The List'!V2:V671))/STDEV('The List'!V2:V671)</f>
        <v>1.7626278299952538</v>
      </c>
      <c r="J29" s="55" cm="1">
        <f t="array" ref="J29">(VLOOKUP($A29,'The List'!$B1:$AH671,22,FALSE)-AVERAGE('The List'!W2:W671))/STDEV('The List'!W2:W671)</f>
        <v>1.0350521179365906</v>
      </c>
      <c r="K29" s="55" cm="1">
        <f t="array" ref="K29">(VLOOKUP($A29,'The List'!$B1:$AH671,23,FALSE)-AVERAGE('The List'!X2:X671))/STDEV('The List'!X2:X671)</f>
        <v>2.2215600522919434</v>
      </c>
      <c r="L29" s="55" cm="1">
        <f t="array" ref="L29">(VLOOKUP($A29,'The List'!$B1:$AH671,24,FALSE)-AVERAGE('The List'!Y2:Y671))/STDEV('The List'!Y2:Y671)</f>
        <v>-0.55513037527626907</v>
      </c>
      <c r="M29" s="55" cm="1">
        <f t="array" ref="M29">(VLOOKUP($A29,'The List'!$B1:$AH671,25,FALSE)-AVERAGE('The List'!Z2:Z671))/STDEV('The List'!Z2:Z671)</f>
        <v>-0.69713518224917603</v>
      </c>
      <c r="N29" s="55" cm="1">
        <f t="array" ref="N29">(VLOOKUP($A29,'The List'!$B1:$AH671,26,FALSE)-AVERAGE('The List'!AA2:AA671))/STDEV('The List'!AA2:AA671)</f>
        <v>-0.77344650650861779</v>
      </c>
      <c r="O29" s="55" cm="1">
        <f t="array" ref="O29">(VLOOKUP($A29,'The List'!$B1:$AH671,27,FALSE)-AVERAGE('The List'!AB2:AB671))/STDEV('The List'!AB2:AB671)</f>
        <v>-1.4634633660345804</v>
      </c>
      <c r="P29" s="55" cm="1">
        <f t="array" ref="P29">(VLOOKUP($A29,'The List'!$B1:$AH671,28,FALSE)-AVERAGE('The List'!AC2:AC671))/STDEV('The List'!AC2:AC671)</f>
        <v>0.64365167765427622</v>
      </c>
      <c r="Q29" s="55" cm="1">
        <f t="array" ref="Q29">(VLOOKUP($A29,'The List'!$B1:$AH671,29,FALSE)-AVERAGE('The List'!AD2:AD671))/STDEV('The List'!AD2:AD671)</f>
        <v>0.23021714758004846</v>
      </c>
      <c r="R29" s="55" cm="1">
        <f t="array" ref="R29">(VLOOKUP($A29,'The List'!$B1:$AH671,30,FALSE)-AVERAGE('The List'!AE2:AE671))/STDEV('The List'!AE2:AE671)</f>
        <v>1.5643766958733305</v>
      </c>
      <c r="S29" s="55" cm="1">
        <f t="array" ref="S29">(VLOOKUP($A29,'The List'!$B1:$AH671,31,FALSE)-AVERAGE('The List'!AF2:AF671))/STDEV('The List'!AF2:AF671)</f>
        <v>-0.52271101539557085</v>
      </c>
      <c r="T29" s="55" cm="1">
        <f t="array" ref="T29">(VLOOKUP($A29,'The List'!$B1:$AH671,32,FALSE)-AVERAGE('The List'!AG2:AG671))/STDEV('The List'!AG2:AG671)</f>
        <v>-0.52440008309362129</v>
      </c>
      <c r="U29" s="55" cm="1">
        <f t="array" ref="U29">(VLOOKUP($A29,'The List'!$B1:$AH671,33,FALSE)-AVERAGE('The List'!AH2:AH671))/STDEV('The List'!AH2:AH671)</f>
        <v>0.51132054204319588</v>
      </c>
      <c r="V29" s="55"/>
      <c r="W29" s="57"/>
      <c r="X29" s="55"/>
      <c r="Y29" s="55"/>
      <c r="Z29" s="55"/>
      <c r="AA29" s="55"/>
      <c r="AB29" s="55"/>
      <c r="AC29" s="55"/>
      <c r="AD29" s="55"/>
      <c r="AE29" s="55"/>
    </row>
    <row r="30" spans="1:31" ht="21.25" customHeight="1" x14ac:dyDescent="0.15">
      <c r="A30" s="10" t="s">
        <v>173</v>
      </c>
      <c r="B30" s="18" t="str" cm="1">
        <f t="array" ref="B30">VLOOKUP(A30,'Player Data'!A1:B673,2,FALSE)</f>
        <v>FLA</v>
      </c>
      <c r="C30" s="52" cm="1">
        <f t="array" ref="C30">((E30)*Settings!$C$12)+(F30*Settings!$C$2)+(G30*Settings!$C$3)+(H30*Settings!$C$4)+(I30*Settings!$C$5)+(K30*Settings!$C$9)+(N30*Settings!$C$6)+(J30*Settings!$C$8)+(O30*Settings!$C$7)+(P30*Settings!$C$14)+(Q30*Settings!$C$15)+(R30*Settings!$C$16)+(S30*Settings!$C$17)+(T30*Settings!$C$18)+(U30*Settings!$C$19)+(L30*Settings!$C$10)+(Settings!$C$11*M30)</f>
        <v>7.7641873069054217</v>
      </c>
      <c r="D30" s="57" cm="1">
        <f t="array" ref="D30">IF(Settings!$E$12="YES",VLOOKUP(A30,'Player Data'!A1:E673,5,FALSE),82)</f>
        <v>79.47</v>
      </c>
      <c r="E30" s="55" cm="1">
        <f t="array" ref="E30">(VLOOKUP($A30,'The List'!$B1:$AH671,17,FALSE)-AVERAGE('The List'!R2:R671))/STDEV('The List'!R2:R671)</f>
        <v>0.95519023547514292</v>
      </c>
      <c r="F30" s="55" cm="1">
        <f t="array" ref="F30">(VLOOKUP($A30,'The List'!$B1:$AH671,18,FALSE)-AVERAGE('The List'!S2:S671))/STDEV('The List'!S2:S671)</f>
        <v>1.0686613761800881</v>
      </c>
      <c r="G30" s="55" cm="1">
        <f t="array" ref="G30">(VLOOKUP($A30,'The List'!$B1:$AH671,19,FALSE)-AVERAGE('The List'!T2:T671))/STDEV('The List'!T2:T671)</f>
        <v>2.3586563303062151</v>
      </c>
      <c r="H30" s="55" cm="1">
        <f t="array" ref="H30">(VLOOKUP($A30,'The List'!$B1:$AH671,20,FALSE)-AVERAGE('The List'!U2:U671))/STDEV('The List'!U2:U671)</f>
        <v>1.9577241878171112</v>
      </c>
      <c r="I30" s="55" cm="1">
        <f t="array" ref="I30">(VLOOKUP($A30,'The List'!$B1:$AH671,21,FALSE)-AVERAGE('The List'!V2:V671))/STDEV('The List'!V2:V671)</f>
        <v>1.2642615523929666</v>
      </c>
      <c r="J30" s="55" cm="1">
        <f t="array" ref="J30">(VLOOKUP($A30,'The List'!$B1:$AH671,22,FALSE)-AVERAGE('The List'!W2:W671))/STDEV('The List'!W2:W671)</f>
        <v>1.5510878895786344</v>
      </c>
      <c r="K30" s="55" cm="1">
        <f t="array" ref="K30">(VLOOKUP($A30,'The List'!$B1:$AH671,23,FALSE)-AVERAGE('The List'!X2:X671))/STDEV('The List'!X2:X671)</f>
        <v>2.3181314524843324</v>
      </c>
      <c r="L30" s="55" cm="1">
        <f t="array" ref="L30">(VLOOKUP($A30,'The List'!$B1:$AH671,24,FALSE)-AVERAGE('The List'!Y2:Y671))/STDEV('The List'!Y2:Y671)</f>
        <v>0.6638248283833883</v>
      </c>
      <c r="M30" s="55" cm="1">
        <f t="array" ref="M30">(VLOOKUP($A30,'The List'!$B1:$AH671,25,FALSE)-AVERAGE('The List'!Z2:Z671))/STDEV('The List'!Z2:Z671)</f>
        <v>2.5105786518078941</v>
      </c>
      <c r="N30" s="55" cm="1">
        <f t="array" ref="N30">(VLOOKUP($A30,'The List'!$B1:$AH671,26,FALSE)-AVERAGE('The List'!AA2:AA671))/STDEV('The List'!AA2:AA671)</f>
        <v>-0.14499286241408202</v>
      </c>
      <c r="O30" s="55" cm="1">
        <f t="array" ref="O30">(VLOOKUP($A30,'The List'!$B1:$AH671,27,FALSE)-AVERAGE('The List'!AB2:AB671))/STDEV('The List'!AB2:AB671)</f>
        <v>0.23744515244027795</v>
      </c>
      <c r="P30" s="55" cm="1">
        <f t="array" ref="P30">(VLOOKUP($A30,'The List'!$B1:$AH671,28,FALSE)-AVERAGE('The List'!AC2:AC671))/STDEV('The List'!AC2:AC671)</f>
        <v>1.238881615473598</v>
      </c>
      <c r="Q30" s="55" cm="1">
        <f t="array" ref="Q30">(VLOOKUP($A30,'The List'!$B1:$AH671,29,FALSE)-AVERAGE('The List'!AD2:AD671))/STDEV('The List'!AD2:AD671)</f>
        <v>-0.33941215751769754</v>
      </c>
      <c r="R30" s="55" cm="1">
        <f t="array" ref="R30">(VLOOKUP($A30,'The List'!$B1:$AH671,30,FALSE)-AVERAGE('The List'!AE2:AE671))/STDEV('The List'!AE2:AE671)</f>
        <v>1.2054201907427948</v>
      </c>
      <c r="S30" s="55" cm="1">
        <f t="array" ref="S30">(VLOOKUP($A30,'The List'!$B1:$AH671,31,FALSE)-AVERAGE('The List'!AF2:AF671))/STDEV('The List'!AF2:AF671)</f>
        <v>2.7608730456216106</v>
      </c>
      <c r="T30" s="55" cm="1">
        <f t="array" ref="T30">(VLOOKUP($A30,'The List'!$B1:$AH671,32,FALSE)-AVERAGE('The List'!AG2:AG671))/STDEV('The List'!AG2:AG671)</f>
        <v>2.0659361835095642</v>
      </c>
      <c r="U30" s="55" cm="1">
        <f t="array" ref="U30">(VLOOKUP($A30,'The List'!$B1:$AH671,33,FALSE)-AVERAGE('The List'!AH2:AH671))/STDEV('The List'!AH2:AH671)</f>
        <v>1.3583651781449309</v>
      </c>
      <c r="V30" s="55"/>
      <c r="W30" s="57"/>
      <c r="X30" s="55"/>
      <c r="Y30" s="55"/>
      <c r="Z30" s="55"/>
      <c r="AA30" s="55"/>
      <c r="AB30" s="55"/>
      <c r="AC30" s="55"/>
      <c r="AD30" s="55"/>
      <c r="AE30" s="55"/>
    </row>
    <row r="31" spans="1:31" ht="21.25" customHeight="1" x14ac:dyDescent="0.15">
      <c r="A31" s="10" t="s">
        <v>131</v>
      </c>
      <c r="B31" s="18" t="str" cm="1">
        <f t="array" ref="B31">VLOOKUP(A31,'Player Data'!A1:B673,2,FALSE)</f>
        <v>CBJ</v>
      </c>
      <c r="C31" s="52" cm="1">
        <f t="array" ref="C31">((E31)*Settings!$C$12)+(F31*Settings!$C$2)+(G31*Settings!$C$3)+(H31*Settings!$C$4)+(I31*Settings!$C$5)+(K31*Settings!$C$9)+(N31*Settings!$C$6)+(J31*Settings!$C$8)+(O31*Settings!$C$7)+(P31*Settings!$C$14)+(Q31*Settings!$C$15)+(R31*Settings!$C$16)+(S31*Settings!$C$17)+(T31*Settings!$C$18)+(U31*Settings!$C$19)+(L31*Settings!$C$10)+(Settings!$C$11*M31)</f>
        <v>9.9781821989535899</v>
      </c>
      <c r="D31" s="57" cm="1">
        <f t="array" ref="D31">IF(Settings!$E$12="YES",VLOOKUP(A31,'Player Data'!A1:E673,5,FALSE),82)</f>
        <v>81.45</v>
      </c>
      <c r="E31" s="55" cm="1">
        <f t="array" ref="E31">(VLOOKUP($A31,'The List'!$B1:$AH671,17,FALSE)-AVERAGE('The List'!R2:R671))/STDEV('The List'!R2:R671)</f>
        <v>2.700312309625037</v>
      </c>
      <c r="F31" s="55" cm="1">
        <f t="array" ref="F31">(VLOOKUP($A31,'The List'!$B1:$AH671,18,FALSE)-AVERAGE('The List'!S2:S671))/STDEV('The List'!S2:S671)</f>
        <v>0.69453849803121415</v>
      </c>
      <c r="G31" s="55" cm="1">
        <f t="array" ref="G31">(VLOOKUP($A31,'The List'!$B1:$AH671,19,FALSE)-AVERAGE('The List'!T2:T671))/STDEV('The List'!T2:T671)</f>
        <v>2.6745932653613345</v>
      </c>
      <c r="H31" s="55" cm="1">
        <f t="array" ref="H31">(VLOOKUP($A31,'The List'!$B1:$AH671,20,FALSE)-AVERAGE('The List'!U2:U671))/STDEV('The List'!U2:U671)</f>
        <v>1.9904566697456867</v>
      </c>
      <c r="I31" s="55" cm="1">
        <f t="array" ref="I31">(VLOOKUP($A31,'The List'!$B1:$AH671,21,FALSE)-AVERAGE('The List'!V2:V671))/STDEV('The List'!V2:V671)</f>
        <v>2.6494684255225684</v>
      </c>
      <c r="J31" s="55" cm="1">
        <f t="array" ref="J31">(VLOOKUP($A31,'The List'!$B1:$AH671,22,FALSE)-AVERAGE('The List'!W2:W671))/STDEV('The List'!W2:W671)</f>
        <v>0.57581024741524856</v>
      </c>
      <c r="K31" s="55" cm="1">
        <f t="array" ref="K31">(VLOOKUP($A31,'The List'!$B1:$AH671,23,FALSE)-AVERAGE('The List'!X2:X671))/STDEV('The List'!X2:X671)</f>
        <v>1.74449908274028</v>
      </c>
      <c r="L31" s="55" cm="1">
        <f t="array" ref="L31">(VLOOKUP($A31,'The List'!$B1:$AH671,24,FALSE)-AVERAGE('The List'!Y2:Y671))/STDEV('The List'!Y2:Y671)</f>
        <v>-5.7710726520983087E-2</v>
      </c>
      <c r="M31" s="55" cm="1">
        <f t="array" ref="M31">(VLOOKUP($A31,'The List'!$B1:$AH671,25,FALSE)-AVERAGE('The List'!Z2:Z671))/STDEV('The List'!Z2:Z671)</f>
        <v>0.70927661512666773</v>
      </c>
      <c r="N31" s="55" cm="1">
        <f t="array" ref="N31">(VLOOKUP($A31,'The List'!$B1:$AH671,26,FALSE)-AVERAGE('The List'!AA2:AA671))/STDEV('The List'!AA2:AA671)</f>
        <v>1.4054386437048543</v>
      </c>
      <c r="O31" s="55" cm="1">
        <f t="array" ref="O31">(VLOOKUP($A31,'The List'!$B1:$AH671,27,FALSE)-AVERAGE('The List'!AB2:AB671))/STDEV('The List'!AB2:AB671)</f>
        <v>-1.0279593832665217</v>
      </c>
      <c r="P31" s="55" cm="1">
        <f t="array" ref="P31">(VLOOKUP($A31,'The List'!$B1:$AH671,28,FALSE)-AVERAGE('The List'!AC2:AC671))/STDEV('The List'!AC2:AC671)</f>
        <v>0.99529113829389149</v>
      </c>
      <c r="Q31" s="55" cm="1">
        <f t="array" ref="Q31">(VLOOKUP($A31,'The List'!$B1:$AH671,29,FALSE)-AVERAGE('The List'!AD2:AD671))/STDEV('The List'!AD2:AD671)</f>
        <v>-0.1856468547005547</v>
      </c>
      <c r="R31" s="55" cm="1">
        <f t="array" ref="R31">(VLOOKUP($A31,'The List'!$B1:$AH671,30,FALSE)-AVERAGE('The List'!AE2:AE671))/STDEV('The List'!AE2:AE671)</f>
        <v>0.74704384816181313</v>
      </c>
      <c r="S31" s="55" cm="1">
        <f t="array" ref="S31">(VLOOKUP($A31,'The List'!$B1:$AH671,31,FALSE)-AVERAGE('The List'!AF2:AF671))/STDEV('The List'!AF2:AF671)</f>
        <v>-0.5939690971349143</v>
      </c>
      <c r="T31" s="55" cm="1">
        <f t="array" ref="T31">(VLOOKUP($A31,'The List'!$B1:$AH671,32,FALSE)-AVERAGE('The List'!AG2:AG671))/STDEV('The List'!AG2:AG671)</f>
        <v>-0.64602208138248207</v>
      </c>
      <c r="U31" s="55" cm="1">
        <f t="array" ref="U31">(VLOOKUP($A31,'The List'!$B1:$AH671,33,FALSE)-AVERAGE('The List'!AH2:AH671))/STDEV('The List'!AH2:AH671)</f>
        <v>-1.2548938914719048</v>
      </c>
      <c r="V31" s="55"/>
      <c r="W31" s="78"/>
      <c r="X31" s="57"/>
      <c r="Y31" s="57"/>
      <c r="Z31" s="57"/>
      <c r="AA31" s="57"/>
      <c r="AB31" s="57"/>
      <c r="AC31" s="60"/>
      <c r="AD31" s="61"/>
      <c r="AE31" s="55"/>
    </row>
    <row r="32" spans="1:31" ht="21.25" customHeight="1" x14ac:dyDescent="0.15">
      <c r="A32" s="10" t="s">
        <v>222</v>
      </c>
      <c r="B32" s="18" t="str" cm="1">
        <f t="array" ref="B32">VLOOKUP(A32,'Player Data'!A1:B673,2,FALSE)</f>
        <v>STL</v>
      </c>
      <c r="C32" s="52" cm="1">
        <f t="array" ref="C32">((E32)*Settings!$C$12)+(F32*Settings!$C$2)+(G32*Settings!$C$3)+(H32*Settings!$C$4)+(I32*Settings!$C$5)+(K32*Settings!$C$9)+(N32*Settings!$C$6)+(J32*Settings!$C$8)+(O32*Settings!$C$7)+(P32*Settings!$C$14)+(Q32*Settings!$C$15)+(R32*Settings!$C$16)+(S32*Settings!$C$17)+(T32*Settings!$C$18)+(U32*Settings!$C$19)+(L32*Settings!$C$10)+(Settings!$C$11*M32)</f>
        <v>4.7930044360294035</v>
      </c>
      <c r="D32" s="57" cm="1">
        <f t="array" ref="D32">IF(Settings!$E$12="YES",VLOOKUP(A32,'Player Data'!A1:E673,5,FALSE),82)</f>
        <v>79.185000000000002</v>
      </c>
      <c r="E32" s="55" cm="1">
        <f t="array" ref="E32">(VLOOKUP($A32,'The List'!$B1:$AH671,17,FALSE)-AVERAGE('The List'!R2:R671))/STDEV('The List'!R2:R671)</f>
        <v>0.59961801219598998</v>
      </c>
      <c r="F32" s="55" cm="1">
        <f t="array" ref="F32">(VLOOKUP($A32,'The List'!$B1:$AH671,18,FALSE)-AVERAGE('The List'!S2:S671))/STDEV('The List'!S2:S671)</f>
        <v>1.329421118176606</v>
      </c>
      <c r="G32" s="55" cm="1">
        <f t="array" ref="G32">(VLOOKUP($A32,'The List'!$B1:$AH671,19,FALSE)-AVERAGE('The List'!T2:T671))/STDEV('The List'!T2:T671)</f>
        <v>2.0554864351001148</v>
      </c>
      <c r="H32" s="55" cm="1">
        <f t="array" ref="H32">(VLOOKUP($A32,'The List'!$B1:$AH671,20,FALSE)-AVERAGE('The List'!U2:U671))/STDEV('The List'!U2:U671)</f>
        <v>1.8827253490792744</v>
      </c>
      <c r="I32" s="55" cm="1">
        <f t="array" ref="I32">(VLOOKUP($A32,'The List'!$B1:$AH671,21,FALSE)-AVERAGE('The List'!V2:V671))/STDEV('The List'!V2:V671)</f>
        <v>0.3138224733255498</v>
      </c>
      <c r="J32" s="55" cm="1">
        <f t="array" ref="J32">(VLOOKUP($A32,'The List'!$B1:$AH671,22,FALSE)-AVERAGE('The List'!W2:W671))/STDEV('The List'!W2:W671)</f>
        <v>0.66043406077872957</v>
      </c>
      <c r="K32" s="55" cm="1">
        <f t="array" ref="K32">(VLOOKUP($A32,'The List'!$B1:$AH671,23,FALSE)-AVERAGE('The List'!X2:X671))/STDEV('The List'!X2:X671)</f>
        <v>1.2619276246519633</v>
      </c>
      <c r="L32" s="55" cm="1">
        <f t="array" ref="L32">(VLOOKUP($A32,'The List'!$B1:$AH671,24,FALSE)-AVERAGE('The List'!Y2:Y671))/STDEV('The List'!Y2:Y671)</f>
        <v>1.1779976790037205</v>
      </c>
      <c r="M32" s="55" cm="1">
        <f t="array" ref="M32">(VLOOKUP($A32,'The List'!$B1:$AH671,25,FALSE)-AVERAGE('The List'!Z2:Z671))/STDEV('The List'!Z2:Z671)</f>
        <v>1.2502494239141275</v>
      </c>
      <c r="N32" s="55" cm="1">
        <f t="array" ref="N32">(VLOOKUP($A32,'The List'!$B1:$AH671,26,FALSE)-AVERAGE('The List'!AA2:AA671))/STDEV('The List'!AA2:AA671)</f>
        <v>-0.42611958818024415</v>
      </c>
      <c r="O32" s="55" cm="1">
        <f t="array" ref="O32">(VLOOKUP($A32,'The List'!$B1:$AH671,27,FALSE)-AVERAGE('The List'!AB2:AB671))/STDEV('The List'!AB2:AB671)</f>
        <v>-1.3223718825233768</v>
      </c>
      <c r="P32" s="55" cm="1">
        <f t="array" ref="P32">(VLOOKUP($A32,'The List'!$B1:$AH671,28,FALSE)-AVERAGE('The List'!AC2:AC671))/STDEV('The List'!AC2:AC671)</f>
        <v>0.43111847941328563</v>
      </c>
      <c r="Q32" s="55" cm="1">
        <f t="array" ref="Q32">(VLOOKUP($A32,'The List'!$B1:$AH671,29,FALSE)-AVERAGE('The List'!AD2:AD671))/STDEV('The List'!AD2:AD671)</f>
        <v>-0.17265210645787252</v>
      </c>
      <c r="R32" s="55" cm="1">
        <f t="array" ref="R32">(VLOOKUP($A32,'The List'!$B1:$AH671,30,FALSE)-AVERAGE('The List'!AE2:AE671))/STDEV('The List'!AE2:AE671)</f>
        <v>1.1003044736086502</v>
      </c>
      <c r="S32" s="55" cm="1">
        <f t="array" ref="S32">(VLOOKUP($A32,'The List'!$B1:$AH671,31,FALSE)-AVERAGE('The List'!AF2:AF671))/STDEV('The List'!AF2:AF671)</f>
        <v>2.8084629375165759</v>
      </c>
      <c r="T32" s="55" cm="1">
        <f t="array" ref="T32">(VLOOKUP($A32,'The List'!$B1:$AH671,32,FALSE)-AVERAGE('The List'!AG2:AG671))/STDEV('The List'!AG2:AG671)</f>
        <v>2.5466721208748777</v>
      </c>
      <c r="U32" s="55" cm="1">
        <f t="array" ref="U32">(VLOOKUP($A32,'The List'!$B1:$AH671,33,FALSE)-AVERAGE('The List'!AH2:AH671))/STDEV('The List'!AH2:AH671)</f>
        <v>1.1888029467056951</v>
      </c>
      <c r="V32" s="55"/>
      <c r="W32" s="57"/>
      <c r="X32" s="55"/>
      <c r="Y32" s="55"/>
      <c r="Z32" s="55"/>
      <c r="AA32" s="55"/>
      <c r="AB32" s="55"/>
      <c r="AC32" s="55"/>
      <c r="AD32" s="55"/>
      <c r="AE32" s="55"/>
    </row>
    <row r="33" spans="1:31" ht="21.25" customHeight="1" x14ac:dyDescent="0.15">
      <c r="A33" s="10" t="s">
        <v>135</v>
      </c>
      <c r="B33" s="18" t="str" cm="1">
        <f t="array" ref="B33">VLOOKUP(A33,'Player Data'!A1:B673,2,FALSE)</f>
        <v>EDM</v>
      </c>
      <c r="C33" s="52" cm="1">
        <f t="array" ref="C33">((E33)*Settings!$C$12)+(F33*Settings!$C$2)+(G33*Settings!$C$3)+(H33*Settings!$C$4)+(I33*Settings!$C$5)+(K33*Settings!$C$9)+(N33*Settings!$C$6)+(J33*Settings!$C$8)+(O33*Settings!$C$7)+(P33*Settings!$C$14)+(Q33*Settings!$C$15)+(R33*Settings!$C$16)+(S33*Settings!$C$17)+(T33*Settings!$C$18)+(U33*Settings!$C$19)+(L33*Settings!$C$10)+(Settings!$C$11*M33)</f>
        <v>11.35750143519083</v>
      </c>
      <c r="D33" s="57" cm="1">
        <f t="array" ref="D33">IF(Settings!$E$12="YES",VLOOKUP(A33,'Player Data'!A1:E673,5,FALSE),82)</f>
        <v>83.93</v>
      </c>
      <c r="E33" s="55" cm="1">
        <f t="array" ref="E33">(VLOOKUP($A33,'The List'!$B1:$AH671,17,FALSE)-AVERAGE('The List'!R2:R671))/STDEV('The List'!R2:R671)</f>
        <v>2.1167434945978512</v>
      </c>
      <c r="F33" s="55" cm="1">
        <f t="array" ref="F33">(VLOOKUP($A33,'The List'!$B1:$AH671,18,FALSE)-AVERAGE('The List'!S2:S671))/STDEV('The List'!S2:S671)</f>
        <v>0.39996959691400119</v>
      </c>
      <c r="G33" s="55" cm="1">
        <f t="array" ref="G33">(VLOOKUP($A33,'The List'!$B1:$AH671,19,FALSE)-AVERAGE('The List'!T2:T671))/STDEV('The List'!T2:T671)</f>
        <v>2.991945755911023</v>
      </c>
      <c r="H33" s="55" cm="1">
        <f t="array" ref="H33">(VLOOKUP($A33,'The List'!$B1:$AH671,20,FALSE)-AVERAGE('The List'!U2:U671))/STDEV('The List'!U2:U671)</f>
        <v>2.0593758976546197</v>
      </c>
      <c r="I33" s="55" cm="1">
        <f t="array" ref="I33">(VLOOKUP($A33,'The List'!$B1:$AH671,21,FALSE)-AVERAGE('The List'!V2:V671))/STDEV('The List'!V2:V671)</f>
        <v>1.7502934499380043</v>
      </c>
      <c r="J33" s="55" cm="1">
        <f t="array" ref="J33">(VLOOKUP($A33,'The List'!$B1:$AH671,22,FALSE)-AVERAGE('The List'!W2:W671))/STDEV('The List'!W2:W671)</f>
        <v>0.97830644977413017</v>
      </c>
      <c r="K33" s="55" cm="1">
        <f t="array" ref="K33">(VLOOKUP($A33,'The List'!$B1:$AH671,23,FALSE)-AVERAGE('The List'!X2:X671))/STDEV('The List'!X2:X671)</f>
        <v>2.6819078707813984</v>
      </c>
      <c r="L33" s="55" cm="1">
        <f t="array" ref="L33">(VLOOKUP($A33,'The List'!$B1:$AH671,24,FALSE)-AVERAGE('The List'!Y2:Y671))/STDEV('The List'!Y2:Y671)</f>
        <v>-0.51932209813009023</v>
      </c>
      <c r="M33" s="55" cm="1">
        <f t="array" ref="M33">(VLOOKUP($A33,'The List'!$B1:$AH671,25,FALSE)-AVERAGE('The List'!Z2:Z671))/STDEV('The List'!Z2:Z671)</f>
        <v>0.99318599868971758</v>
      </c>
      <c r="N33" s="55" cm="1">
        <f t="array" ref="N33">(VLOOKUP($A33,'The List'!$B1:$AH671,26,FALSE)-AVERAGE('The List'!AA2:AA671))/STDEV('The List'!AA2:AA671)</f>
        <v>1.3145143544676892</v>
      </c>
      <c r="O33" s="55" cm="1">
        <f t="array" ref="O33">(VLOOKUP($A33,'The List'!$B1:$AH671,27,FALSE)-AVERAGE('The List'!AB2:AB671))/STDEV('The List'!AB2:AB671)</f>
        <v>-0.87302507586992328</v>
      </c>
      <c r="P33" s="55" cm="1">
        <f t="array" ref="P33">(VLOOKUP($A33,'The List'!$B1:$AH671,28,FALSE)-AVERAGE('The List'!AC2:AC671))/STDEV('The List'!AC2:AC671)</f>
        <v>1.9585777388299435</v>
      </c>
      <c r="Q33" s="55" cm="1">
        <f t="array" ref="Q33">(VLOOKUP($A33,'The List'!$B1:$AH671,29,FALSE)-AVERAGE('The List'!AD2:AD671))/STDEV('The List'!AD2:AD671)</f>
        <v>0.26029266834876913</v>
      </c>
      <c r="R33" s="55" cm="1">
        <f t="array" ref="R33">(VLOOKUP($A33,'The List'!$B1:$AH671,30,FALSE)-AVERAGE('The List'!AE2:AE671))/STDEV('The List'!AE2:AE671)</f>
        <v>0.60980157116019429</v>
      </c>
      <c r="S33" s="55" cm="1">
        <f t="array" ref="S33">(VLOOKUP($A33,'The List'!$B1:$AH671,31,FALSE)-AVERAGE('The List'!AF2:AF671))/STDEV('The List'!AF2:AF671)</f>
        <v>-0.5939690971349143</v>
      </c>
      <c r="T33" s="55" cm="1">
        <f t="array" ref="T33">(VLOOKUP($A33,'The List'!$B1:$AH671,32,FALSE)-AVERAGE('The List'!AG2:AG671))/STDEV('The List'!AG2:AG671)</f>
        <v>-0.64602208138248207</v>
      </c>
      <c r="U33" s="55" cm="1">
        <f t="array" ref="U33">(VLOOKUP($A33,'The List'!$B1:$AH671,33,FALSE)-AVERAGE('The List'!AH2:AH671))/STDEV('The List'!AH2:AH671)</f>
        <v>-1.2548938914719048</v>
      </c>
      <c r="V33" s="55"/>
      <c r="W33" s="57"/>
      <c r="X33" s="57"/>
      <c r="Y33" s="57"/>
      <c r="Z33" s="57"/>
      <c r="AA33" s="57"/>
      <c r="AB33" s="57"/>
      <c r="AC33" s="60"/>
      <c r="AD33" s="61"/>
      <c r="AE33" s="55"/>
    </row>
    <row r="34" spans="1:31" ht="21.25" customHeight="1" x14ac:dyDescent="0.15">
      <c r="A34" s="10" t="s">
        <v>165</v>
      </c>
      <c r="B34" s="18" t="str" cm="1">
        <f t="array" ref="B34">VLOOKUP(A34,'Player Data'!A1:B673,2,FALSE)</f>
        <v>ANA</v>
      </c>
      <c r="C34" s="52" cm="1">
        <f t="array" ref="C34">((E34)*Settings!$C$12)+(F34*Settings!$C$2)+(G34*Settings!$C$3)+(H34*Settings!$C$4)+(I34*Settings!$C$5)+(K34*Settings!$C$9)+(N34*Settings!$C$6)+(J34*Settings!$C$8)+(O34*Settings!$C$7)+(P34*Settings!$C$14)+(Q34*Settings!$C$15)+(R34*Settings!$C$16)+(S34*Settings!$C$17)+(T34*Settings!$C$18)+(U34*Settings!$C$19)+(L34*Settings!$C$10)+(Settings!$C$11*M34)</f>
        <v>5.8861300810524071</v>
      </c>
      <c r="D34" s="57" cm="1">
        <f t="array" ref="D34">IF(Settings!$E$12="YES",VLOOKUP(A34,'Player Data'!A1:E673,5,FALSE),82)</f>
        <v>78.375</v>
      </c>
      <c r="E34" s="55" cm="1">
        <f t="array" ref="E34">(VLOOKUP($A34,'The List'!$B1:$AH671,17,FALSE)-AVERAGE('The List'!R2:R671))/STDEV('The List'!R2:R671)</f>
        <v>1.2809381404215641</v>
      </c>
      <c r="F34" s="55" cm="1">
        <f t="array" ref="F34">(VLOOKUP($A34,'The List'!$B1:$AH671,18,FALSE)-AVERAGE('The List'!S2:S671))/STDEV('The List'!S2:S671)</f>
        <v>2.3292369888914011</v>
      </c>
      <c r="G34" s="55" cm="1">
        <f t="array" ref="G34">(VLOOKUP($A34,'The List'!$B1:$AH671,19,FALSE)-AVERAGE('The List'!T2:T671))/STDEV('The List'!T2:T671)</f>
        <v>1.7487877237559968</v>
      </c>
      <c r="H34" s="55" cm="1">
        <f t="array" ref="H34">(VLOOKUP($A34,'The List'!$B1:$AH671,20,FALSE)-AVERAGE('The List'!U2:U671))/STDEV('The List'!U2:U671)</f>
        <v>2.1334100310057118</v>
      </c>
      <c r="I34" s="55" cm="1">
        <f t="array" ref="I34">(VLOOKUP($A34,'The List'!$B1:$AH671,21,FALSE)-AVERAGE('The List'!V2:V671))/STDEV('The List'!V2:V671)</f>
        <v>1.8244441834444798</v>
      </c>
      <c r="J34" s="55" cm="1">
        <f t="array" ref="J34">(VLOOKUP($A34,'The List'!$B1:$AH671,22,FALSE)-AVERAGE('The List'!W2:W671))/STDEV('The List'!W2:W671)</f>
        <v>1.1809810015960067</v>
      </c>
      <c r="K34" s="55" cm="1">
        <f t="array" ref="K34">(VLOOKUP($A34,'The List'!$B1:$AH671,23,FALSE)-AVERAGE('The List'!X2:X671))/STDEV('The List'!X2:X671)</f>
        <v>1.3606143999559135</v>
      </c>
      <c r="L34" s="55" cm="1">
        <f t="array" ref="L34">(VLOOKUP($A34,'The List'!$B1:$AH671,24,FALSE)-AVERAGE('The List'!Y2:Y671))/STDEV('The List'!Y2:Y671)</f>
        <v>4.0825489208332684</v>
      </c>
      <c r="M34" s="55" cm="1">
        <f t="array" ref="M34">(VLOOKUP($A34,'The List'!$B1:$AH671,25,FALSE)-AVERAGE('The List'!Z2:Z671))/STDEV('The List'!Z2:Z671)</f>
        <v>3.7918793146342935</v>
      </c>
      <c r="N34" s="55" cm="1">
        <f t="array" ref="N34">(VLOOKUP($A34,'The List'!$B1:$AH671,26,FALSE)-AVERAGE('The List'!AA2:AA671))/STDEV('The List'!AA2:AA671)</f>
        <v>-0.55827173898878235</v>
      </c>
      <c r="O34" s="55" cm="1">
        <f t="array" ref="O34">(VLOOKUP($A34,'The List'!$B1:$AH671,27,FALSE)-AVERAGE('The List'!AB2:AB671))/STDEV('The List'!AB2:AB671)</f>
        <v>-1.2045018971211403</v>
      </c>
      <c r="P34" s="55" cm="1">
        <f t="array" ref="P34">(VLOOKUP($A34,'The List'!$B1:$AH671,28,FALSE)-AVERAGE('The List'!AC2:AC671))/STDEV('The List'!AC2:AC671)</f>
        <v>-0.57235913030752594</v>
      </c>
      <c r="Q34" s="55" cm="1">
        <f t="array" ref="Q34">(VLOOKUP($A34,'The List'!$B1:$AH671,29,FALSE)-AVERAGE('The List'!AD2:AD671))/STDEV('The List'!AD2:AD671)</f>
        <v>-0.24632234569907532</v>
      </c>
      <c r="R34" s="55" cm="1">
        <f t="array" ref="R34">(VLOOKUP($A34,'The List'!$B1:$AH671,30,FALSE)-AVERAGE('The List'!AE2:AE671))/STDEV('The List'!AE2:AE671)</f>
        <v>2.0452785615050808</v>
      </c>
      <c r="S34" s="55" cm="1">
        <f t="array" ref="S34">(VLOOKUP($A34,'The List'!$B1:$AH671,31,FALSE)-AVERAGE('The List'!AF2:AF671))/STDEV('The List'!AF2:AF671)</f>
        <v>1.7165945098721311</v>
      </c>
      <c r="T34" s="55" cm="1">
        <f t="array" ref="T34">(VLOOKUP($A34,'The List'!$B1:$AH671,32,FALSE)-AVERAGE('The List'!AG2:AG671))/STDEV('The List'!AG2:AG671)</f>
        <v>2.8477125934862833</v>
      </c>
      <c r="U34" s="55" cm="1">
        <f t="array" ref="U34">(VLOOKUP($A34,'The List'!$B1:$AH671,33,FALSE)-AVERAGE('The List'!AH2:AH671))/STDEV('The List'!AH2:AH671)</f>
        <v>0.64477018366223138</v>
      </c>
      <c r="V34" s="55"/>
      <c r="W34" s="57"/>
      <c r="X34" s="55"/>
      <c r="Y34" s="55"/>
      <c r="Z34" s="55"/>
      <c r="AA34" s="55"/>
      <c r="AB34" s="55"/>
      <c r="AC34" s="55"/>
      <c r="AD34" s="55"/>
      <c r="AE34" s="55"/>
    </row>
    <row r="35" spans="1:31" ht="21.25" customHeight="1" x14ac:dyDescent="0.15">
      <c r="A35" s="10" t="s">
        <v>195</v>
      </c>
      <c r="B35" s="18" t="str" cm="1">
        <f t="array" ref="B35">VLOOKUP(A35,'Player Data'!A1:B673,2,FALSE)</f>
        <v>T.B</v>
      </c>
      <c r="C35" s="52" cm="1">
        <f t="array" ref="C35">((E35)*Settings!$C$12)+(F35*Settings!$C$2)+(G35*Settings!$C$3)+(H35*Settings!$C$4)+(I35*Settings!$C$5)+(K35*Settings!$C$9)+(N35*Settings!$C$6)+(J35*Settings!$C$8)+(O35*Settings!$C$7)+(P35*Settings!$C$14)+(Q35*Settings!$C$15)+(R35*Settings!$C$16)+(S35*Settings!$C$17)+(T35*Settings!$C$18)+(U35*Settings!$C$19)+(L35*Settings!$C$10)+(Settings!$C$11*M35)</f>
        <v>9.6746821991179619</v>
      </c>
      <c r="D35" s="57" cm="1">
        <f t="array" ref="D35">IF(Settings!$E$12="YES",VLOOKUP(A35,'Player Data'!A1:E673,5,FALSE),82)</f>
        <v>82.077500000000001</v>
      </c>
      <c r="E35" s="55" cm="1">
        <f t="array" ref="E35">(VLOOKUP($A35,'The List'!$B1:$AH671,17,FALSE)-AVERAGE('The List'!R2:R671))/STDEV('The List'!R2:R671)</f>
        <v>0.82972995615354062</v>
      </c>
      <c r="F35" s="55" cm="1">
        <f t="array" ref="F35">(VLOOKUP($A35,'The List'!$B1:$AH671,18,FALSE)-AVERAGE('The List'!S2:S671))/STDEV('The List'!S2:S671)</f>
        <v>2.027716532372299</v>
      </c>
      <c r="G35" s="55" cm="1">
        <f t="array" ref="G35">(VLOOKUP($A35,'The List'!$B1:$AH671,19,FALSE)-AVERAGE('The List'!T2:T671))/STDEV('The List'!T2:T671)</f>
        <v>1.6405543770982229</v>
      </c>
      <c r="H35" s="55" cm="1">
        <f t="array" ref="H35">(VLOOKUP($A35,'The List'!$B1:$AH671,20,FALSE)-AVERAGE('The List'!U2:U671))/STDEV('The List'!U2:U671)</f>
        <v>1.931553759755781</v>
      </c>
      <c r="I35" s="55" cm="1">
        <f t="array" ref="I35">(VLOOKUP($A35,'The List'!$B1:$AH671,21,FALSE)-AVERAGE('The List'!V2:V671))/STDEV('The List'!V2:V671)</f>
        <v>1.7702702845251543</v>
      </c>
      <c r="J35" s="55" cm="1">
        <f t="array" ref="J35">(VLOOKUP($A35,'The List'!$B1:$AH671,22,FALSE)-AVERAGE('The List'!W2:W671))/STDEV('The List'!W2:W671)</f>
        <v>0.18062407659075916</v>
      </c>
      <c r="K35" s="55" cm="1">
        <f t="array" ref="K35">(VLOOKUP($A35,'The List'!$B1:$AH671,23,FALSE)-AVERAGE('The List'!X2:X671))/STDEV('The List'!X2:X671)</f>
        <v>0.4171831775952613</v>
      </c>
      <c r="L35" s="55" cm="1">
        <f t="array" ref="L35">(VLOOKUP($A35,'The List'!$B1:$AH671,24,FALSE)-AVERAGE('The List'!Y2:Y671))/STDEV('The List'!Y2:Y671)</f>
        <v>1.8466241912310857</v>
      </c>
      <c r="M35" s="55" cm="1">
        <f t="array" ref="M35">(VLOOKUP($A35,'The List'!$B1:$AH671,25,FALSE)-AVERAGE('The List'!Z2:Z671))/STDEV('The List'!Z2:Z671)</f>
        <v>2.3442309643291606</v>
      </c>
      <c r="N35" s="55" cm="1">
        <f t="array" ref="N35">(VLOOKUP($A35,'The List'!$B1:$AH671,26,FALSE)-AVERAGE('The List'!AA2:AA671))/STDEV('The List'!AA2:AA671)</f>
        <v>-0.3754232085908199</v>
      </c>
      <c r="O35" s="55" cm="1">
        <f t="array" ref="O35">(VLOOKUP($A35,'The List'!$B1:$AH671,27,FALSE)-AVERAGE('The List'!AB2:AB671))/STDEV('The List'!AB2:AB671)</f>
        <v>-0.64082826301250806</v>
      </c>
      <c r="P35" s="55" cm="1">
        <f t="array" ref="P35">(VLOOKUP($A35,'The List'!$B1:$AH671,28,FALSE)-AVERAGE('The List'!AC2:AC671))/STDEV('The List'!AC2:AC671)</f>
        <v>2.4647652237923063</v>
      </c>
      <c r="Q35" s="55" cm="1">
        <f t="array" ref="Q35">(VLOOKUP($A35,'The List'!$B1:$AH671,29,FALSE)-AVERAGE('The List'!AD2:AD671))/STDEV('The List'!AD2:AD671)</f>
        <v>1.7296158123255381</v>
      </c>
      <c r="R35" s="55" cm="1">
        <f t="array" ref="R35">(VLOOKUP($A35,'The List'!$B1:$AH671,30,FALSE)-AVERAGE('The List'!AE2:AE671))/STDEV('The List'!AE2:AE671)</f>
        <v>2.4371976616568398</v>
      </c>
      <c r="S35" s="55" cm="1">
        <f t="array" ref="S35">(VLOOKUP($A35,'The List'!$B1:$AH671,31,FALSE)-AVERAGE('The List'!AF2:AF671))/STDEV('The List'!AF2:AF671)</f>
        <v>-0.47698018523756613</v>
      </c>
      <c r="T35" s="55" cm="1">
        <f t="array" ref="T35">(VLOOKUP($A35,'The List'!$B1:$AH671,32,FALSE)-AVERAGE('The List'!AG2:AG671))/STDEV('The List'!AG2:AG671)</f>
        <v>-0.44912195492951168</v>
      </c>
      <c r="U35" s="55" cm="1">
        <f t="array" ref="U35">(VLOOKUP($A35,'The List'!$B1:$AH671,33,FALSE)-AVERAGE('The List'!AH2:AH671))/STDEV('The List'!AH2:AH671)</f>
        <v>0.52656289523501909</v>
      </c>
      <c r="V35" s="55"/>
      <c r="W35" s="78"/>
      <c r="X35" s="57"/>
      <c r="Y35" s="57"/>
      <c r="Z35" s="57"/>
      <c r="AA35" s="57"/>
      <c r="AB35" s="57"/>
      <c r="AC35" s="60"/>
      <c r="AD35" s="61"/>
      <c r="AE35" s="55"/>
    </row>
    <row r="36" spans="1:31" ht="21.25" customHeight="1" x14ac:dyDescent="0.15">
      <c r="A36" s="10" t="s">
        <v>192</v>
      </c>
      <c r="B36" s="18" t="str" cm="1">
        <f t="array" ref="B36">VLOOKUP(A36,'Player Data'!A1:B673,2,FALSE)</f>
        <v>T.B</v>
      </c>
      <c r="C36" s="52" cm="1">
        <f t="array" ref="C36">((E36)*Settings!$C$12)+(F36*Settings!$C$2)+(G36*Settings!$C$3)+(H36*Settings!$C$4)+(I36*Settings!$C$5)+(K36*Settings!$C$9)+(N36*Settings!$C$6)+(J36*Settings!$C$8)+(O36*Settings!$C$7)+(P36*Settings!$C$14)+(Q36*Settings!$C$15)+(R36*Settings!$C$16)+(S36*Settings!$C$17)+(T36*Settings!$C$18)+(U36*Settings!$C$19)+(L36*Settings!$C$10)+(Settings!$C$11*M36)</f>
        <v>8.7150618533856807</v>
      </c>
      <c r="D36" s="57" cm="1">
        <f t="array" ref="D36">IF(Settings!$E$12="YES",VLOOKUP(A36,'Player Data'!A1:E673,5,FALSE),82)</f>
        <v>82.077500000000001</v>
      </c>
      <c r="E36" s="55" cm="1">
        <f t="array" ref="E36">(VLOOKUP($A36,'The List'!$B1:$AH671,17,FALSE)-AVERAGE('The List'!R2:R671))/STDEV('The List'!R2:R671)</f>
        <v>0.57978748302855665</v>
      </c>
      <c r="F36" s="55" cm="1">
        <f t="array" ref="F36">(VLOOKUP($A36,'The List'!$B1:$AH671,18,FALSE)-AVERAGE('The List'!S2:S671))/STDEV('The List'!S2:S671)</f>
        <v>2.0735763187226675</v>
      </c>
      <c r="G36" s="55" cm="1">
        <f t="array" ref="G36">(VLOOKUP($A36,'The List'!$B1:$AH671,19,FALSE)-AVERAGE('The List'!T2:T671))/STDEV('The List'!T2:T671)</f>
        <v>1.5521619860191811</v>
      </c>
      <c r="H36" s="55" cm="1">
        <f t="array" ref="H36">(VLOOKUP($A36,'The List'!$B1:$AH671,20,FALSE)-AVERAGE('The List'!U2:U671))/STDEV('The List'!U2:U671)</f>
        <v>1.8963024019271149</v>
      </c>
      <c r="I36" s="55" cm="1">
        <f t="array" ref="I36">(VLOOKUP($A36,'The List'!$B1:$AH671,21,FALSE)-AVERAGE('The List'!V2:V671))/STDEV('The List'!V2:V671)</f>
        <v>1.59301323528571</v>
      </c>
      <c r="J36" s="55" cm="1">
        <f t="array" ref="J36">(VLOOKUP($A36,'The List'!$B1:$AH671,22,FALSE)-AVERAGE('The List'!W2:W671))/STDEV('The List'!W2:W671)</f>
        <v>2.0069456437123963</v>
      </c>
      <c r="K36" s="55" cm="1">
        <f t="array" ref="K36">(VLOOKUP($A36,'The List'!$B1:$AH671,23,FALSE)-AVERAGE('The List'!X2:X671))/STDEV('The List'!X2:X671)</f>
        <v>2.0663150200067575</v>
      </c>
      <c r="L36" s="55" cm="1">
        <f t="array" ref="L36">(VLOOKUP($A36,'The List'!$B1:$AH671,24,FALSE)-AVERAGE('The List'!Y2:Y671))/STDEV('The List'!Y2:Y671)</f>
        <v>6.6426581508337537E-2</v>
      </c>
      <c r="M36" s="55" cm="1">
        <f t="array" ref="M36">(VLOOKUP($A36,'The List'!$B1:$AH671,25,FALSE)-AVERAGE('The List'!Z2:Z671))/STDEV('The List'!Z2:Z671)</f>
        <v>-0.30576224416190517</v>
      </c>
      <c r="N36" s="55" cm="1">
        <f t="array" ref="N36">(VLOOKUP($A36,'The List'!$B1:$AH671,26,FALSE)-AVERAGE('The List'!AA2:AA671))/STDEV('The List'!AA2:AA671)</f>
        <v>-0.62113399000635894</v>
      </c>
      <c r="O36" s="55" cm="1">
        <f t="array" ref="O36">(VLOOKUP($A36,'The List'!$B1:$AH671,27,FALSE)-AVERAGE('The List'!AB2:AB671))/STDEV('The List'!AB2:AB671)</f>
        <v>-0.92252509819855499</v>
      </c>
      <c r="P36" s="55" cm="1">
        <f t="array" ref="P36">(VLOOKUP($A36,'The List'!$B1:$AH671,28,FALSE)-AVERAGE('The List'!AC2:AC671))/STDEV('The List'!AC2:AC671)</f>
        <v>2.0553816697765903</v>
      </c>
      <c r="Q36" s="55" cm="1">
        <f t="array" ref="Q36">(VLOOKUP($A36,'The List'!$B1:$AH671,29,FALSE)-AVERAGE('The List'!AD2:AD671))/STDEV('The List'!AD2:AD671)</f>
        <v>-4.2523864188661114E-3</v>
      </c>
      <c r="R36" s="55" cm="1">
        <f t="array" ref="R36">(VLOOKUP($A36,'The List'!$B1:$AH671,30,FALSE)-AVERAGE('The List'!AE2:AE671))/STDEV('The List'!AE2:AE671)</f>
        <v>2.4880686722578922</v>
      </c>
      <c r="S36" s="55" cm="1">
        <f t="array" ref="S36">(VLOOKUP($A36,'The List'!$B1:$AH671,31,FALSE)-AVERAGE('The List'!AF2:AF671))/STDEV('The List'!AF2:AF671)</f>
        <v>0.14203853738446331</v>
      </c>
      <c r="T36" s="55" cm="1">
        <f t="array" ref="T36">(VLOOKUP($A36,'The List'!$B1:$AH671,32,FALSE)-AVERAGE('The List'!AG2:AG671))/STDEV('The List'!AG2:AG671)</f>
        <v>0.40807898201206289</v>
      </c>
      <c r="U36" s="55" cm="1">
        <f t="array" ref="U36">(VLOOKUP($A36,'The List'!$B1:$AH671,33,FALSE)-AVERAGE('The List'!AH2:AH671))/STDEV('The List'!AH2:AH671)</f>
        <v>0.70553987999579892</v>
      </c>
      <c r="V36" s="55"/>
      <c r="W36" s="78"/>
      <c r="X36" s="57"/>
      <c r="Y36" s="57"/>
      <c r="Z36" s="57"/>
      <c r="AA36" s="57"/>
      <c r="AB36" s="57"/>
      <c r="AC36" s="60"/>
      <c r="AD36" s="61"/>
      <c r="AE36" s="55"/>
    </row>
    <row r="37" spans="1:31" ht="21.25" customHeight="1" x14ac:dyDescent="0.15">
      <c r="A37" s="10" t="s">
        <v>197</v>
      </c>
      <c r="B37" s="18" t="str" cm="1">
        <f t="array" ref="B37">VLOOKUP(A37,'Player Data'!A1:B673,2,FALSE)</f>
        <v>CAR</v>
      </c>
      <c r="C37" s="52" cm="1">
        <f t="array" ref="C37">((E37)*Settings!$C$12)+(F37*Settings!$C$2)+(G37*Settings!$C$3)+(H37*Settings!$C$4)+(I37*Settings!$C$5)+(K37*Settings!$C$9)+(N37*Settings!$C$6)+(J37*Settings!$C$8)+(O37*Settings!$C$7)+(P37*Settings!$C$14)+(Q37*Settings!$C$15)+(R37*Settings!$C$16)+(S37*Settings!$C$17)+(T37*Settings!$C$18)+(U37*Settings!$C$19)+(L37*Settings!$C$10)+(Settings!$C$11*M37)</f>
        <v>7.8535427653283243</v>
      </c>
      <c r="D37" s="57" cm="1">
        <f t="array" ref="D37">IF(Settings!$E$12="YES",VLOOKUP(A37,'Player Data'!A1:E673,5,FALSE),82)</f>
        <v>82.685000000000002</v>
      </c>
      <c r="E37" s="55" cm="1">
        <f t="array" ref="E37">(VLOOKUP($A37,'The List'!$B1:$AH671,17,FALSE)-AVERAGE('The List'!R2:R671))/STDEV('The List'!R2:R671)</f>
        <v>0.70285098904801757</v>
      </c>
      <c r="F37" s="55" cm="1">
        <f t="array" ref="F37">(VLOOKUP($A37,'The List'!$B1:$AH671,18,FALSE)-AVERAGE('The List'!S2:S671))/STDEV('The List'!S2:S671)</f>
        <v>1.5941067259733421</v>
      </c>
      <c r="G37" s="55" cm="1">
        <f t="array" ref="G37">(VLOOKUP($A37,'The List'!$B1:$AH671,19,FALSE)-AVERAGE('The List'!T2:T671))/STDEV('The List'!T2:T671)</f>
        <v>1.8657769100546888</v>
      </c>
      <c r="H37" s="55" cm="1">
        <f t="array" ref="H37">(VLOOKUP($A37,'The List'!$B1:$AH671,20,FALSE)-AVERAGE('The List'!U2:U671))/STDEV('The List'!U2:U671)</f>
        <v>1.8808343055529564</v>
      </c>
      <c r="I37" s="55" cm="1">
        <f t="array" ref="I37">(VLOOKUP($A37,'The List'!$B1:$AH671,21,FALSE)-AVERAGE('The List'!V2:V671))/STDEV('The List'!V2:V671)</f>
        <v>1.3978940736904588</v>
      </c>
      <c r="J37" s="55" cm="1">
        <f t="array" ref="J37">(VLOOKUP($A37,'The List'!$B1:$AH671,22,FALSE)-AVERAGE('The List'!W2:W671))/STDEV('The List'!W2:W671)</f>
        <v>1.2033937395077221</v>
      </c>
      <c r="K37" s="55" cm="1">
        <f t="array" ref="K37">(VLOOKUP($A37,'The List'!$B1:$AH671,23,FALSE)-AVERAGE('The List'!X2:X671))/STDEV('The List'!X2:X671)</f>
        <v>1.7263209592209785</v>
      </c>
      <c r="L37" s="55" cm="1">
        <f t="array" ref="L37">(VLOOKUP($A37,'The List'!$B1:$AH671,24,FALSE)-AVERAGE('The List'!Y2:Y671))/STDEV('The List'!Y2:Y671)</f>
        <v>3.2086712643282103</v>
      </c>
      <c r="M37" s="55" cm="1">
        <f t="array" ref="M37">(VLOOKUP($A37,'The List'!$B1:$AH671,25,FALSE)-AVERAGE('The List'!Z2:Z671))/STDEV('The List'!Z2:Z671)</f>
        <v>4.6473254212502439</v>
      </c>
      <c r="N37" s="55" cm="1">
        <f t="array" ref="N37">(VLOOKUP($A37,'The List'!$B1:$AH671,26,FALSE)-AVERAGE('The List'!AA2:AA671))/STDEV('The List'!AA2:AA671)</f>
        <v>-0.90970740221426039</v>
      </c>
      <c r="O37" s="55" cm="1">
        <f t="array" ref="O37">(VLOOKUP($A37,'The List'!$B1:$AH671,27,FALSE)-AVERAGE('The List'!AB2:AB671))/STDEV('The List'!AB2:AB671)</f>
        <v>-0.43250377389419786</v>
      </c>
      <c r="P37" s="55" cm="1">
        <f t="array" ref="P37">(VLOOKUP($A37,'The List'!$B1:$AH671,28,FALSE)-AVERAGE('The List'!AC2:AC671))/STDEV('The List'!AC2:AC671)</f>
        <v>1.5697921148560976</v>
      </c>
      <c r="Q37" s="55" cm="1">
        <f t="array" ref="Q37">(VLOOKUP($A37,'The List'!$B1:$AH671,29,FALSE)-AVERAGE('The List'!AD2:AD671))/STDEV('The List'!AD2:AD671)</f>
        <v>0.60935938374701826</v>
      </c>
      <c r="R37" s="55" cm="1">
        <f t="array" ref="R37">(VLOOKUP($A37,'The List'!$B1:$AH671,30,FALSE)-AVERAGE('The List'!AE2:AE671))/STDEV('The List'!AE2:AE671)</f>
        <v>1.8490324982417137</v>
      </c>
      <c r="S37" s="55" cm="1">
        <f t="array" ref="S37">(VLOOKUP($A37,'The List'!$B1:$AH671,31,FALSE)-AVERAGE('The List'!AF2:AF671))/STDEV('The List'!AF2:AF671)</f>
        <v>2.464914483893677</v>
      </c>
      <c r="T37" s="55" cm="1">
        <f t="array" ref="T37">(VLOOKUP($A37,'The List'!$B1:$AH671,32,FALSE)-AVERAGE('The List'!AG2:AG671))/STDEV('The List'!AG2:AG671)</f>
        <v>2.2395598879983458</v>
      </c>
      <c r="U37" s="55" cm="1">
        <f t="array" ref="U37">(VLOOKUP($A37,'The List'!$B1:$AH671,33,FALSE)-AVERAGE('The List'!AH2:AH671))/STDEV('The List'!AH2:AH671)</f>
        <v>1.1827331451644556</v>
      </c>
      <c r="V37" s="55"/>
      <c r="W37" s="57"/>
      <c r="X37" s="55"/>
      <c r="Y37" s="55"/>
      <c r="Z37" s="55"/>
      <c r="AA37" s="55"/>
      <c r="AB37" s="55"/>
      <c r="AC37" s="55"/>
      <c r="AD37" s="55"/>
      <c r="AE37" s="55"/>
    </row>
    <row r="38" spans="1:31" ht="21.25" customHeight="1" x14ac:dyDescent="0.15">
      <c r="A38" s="10" t="s">
        <v>193</v>
      </c>
      <c r="B38" s="18" t="str" cm="1">
        <f t="array" ref="B38">VLOOKUP(A38,'Player Data'!A1:B673,2,FALSE)</f>
        <v>DET</v>
      </c>
      <c r="C38" s="52" cm="1">
        <f t="array" ref="C38">((E38)*Settings!$C$12)+(F38*Settings!$C$2)+(G38*Settings!$C$3)+(H38*Settings!$C$4)+(I38*Settings!$C$5)+(K38*Settings!$C$9)+(N38*Settings!$C$6)+(J38*Settings!$C$8)+(O38*Settings!$C$7)+(P38*Settings!$C$14)+(Q38*Settings!$C$15)+(R38*Settings!$C$16)+(S38*Settings!$C$17)+(T38*Settings!$C$18)+(U38*Settings!$C$19)+(L38*Settings!$C$10)+(Settings!$C$11*M38)</f>
        <v>5.6577775945022708</v>
      </c>
      <c r="D38" s="57" cm="1">
        <f t="array" ref="D38">IF(Settings!$E$12="YES",VLOOKUP(A38,'Player Data'!A1:E673,5,FALSE),82)</f>
        <v>83.674999999999997</v>
      </c>
      <c r="E38" s="55" cm="1">
        <f t="array" ref="E38">(VLOOKUP($A38,'The List'!$B1:$AH671,17,FALSE)-AVERAGE('The List'!R2:R671))/STDEV('The List'!R2:R671)</f>
        <v>0.52623157801440457</v>
      </c>
      <c r="F38" s="55" cm="1">
        <f t="array" ref="F38">(VLOOKUP($A38,'The List'!$B1:$AH671,18,FALSE)-AVERAGE('The List'!S2:S671))/STDEV('The List'!S2:S671)</f>
        <v>1.6124404853471206</v>
      </c>
      <c r="G38" s="55" cm="1">
        <f t="array" ref="G38">(VLOOKUP($A38,'The List'!$B1:$AH671,19,FALSE)-AVERAGE('The List'!T2:T671))/STDEV('The List'!T2:T671)</f>
        <v>2.2017977357450396</v>
      </c>
      <c r="H38" s="55" cm="1">
        <f t="array" ref="H38">(VLOOKUP($A38,'The List'!$B1:$AH671,20,FALSE)-AVERAGE('The List'!U2:U671))/STDEV('The List'!U2:U671)</f>
        <v>2.1003239215175111</v>
      </c>
      <c r="I38" s="55" cm="1">
        <f t="array" ref="I38">(VLOOKUP($A38,'The List'!$B1:$AH671,21,FALSE)-AVERAGE('The List'!V2:V671))/STDEV('The List'!V2:V671)</f>
        <v>1.110536905591037</v>
      </c>
      <c r="J38" s="55" cm="1">
        <f t="array" ref="J38">(VLOOKUP($A38,'The List'!$B1:$AH671,22,FALSE)-AVERAGE('The List'!W2:W671))/STDEV('The List'!W2:W671)</f>
        <v>1.5370839239664758</v>
      </c>
      <c r="K38" s="55" cm="1">
        <f t="array" ref="K38">(VLOOKUP($A38,'The List'!$B1:$AH671,23,FALSE)-AVERAGE('The List'!X2:X671))/STDEV('The List'!X2:X671)</f>
        <v>2.3777564829323126</v>
      </c>
      <c r="L38" s="55" cm="1">
        <f t="array" ref="L38">(VLOOKUP($A38,'The List'!$B1:$AH671,24,FALSE)-AVERAGE('The List'!Y2:Y671))/STDEV('The List'!Y2:Y671)</f>
        <v>-0.20671156050140213</v>
      </c>
      <c r="M38" s="55" cm="1">
        <f t="array" ref="M38">(VLOOKUP($A38,'The List'!$B1:$AH671,25,FALSE)-AVERAGE('The List'!Z2:Z671))/STDEV('The List'!Z2:Z671)</f>
        <v>-0.45572791812774877</v>
      </c>
      <c r="N38" s="55" cm="1">
        <f t="array" ref="N38">(VLOOKUP($A38,'The List'!$B1:$AH671,26,FALSE)-AVERAGE('The List'!AA2:AA671))/STDEV('The List'!AA2:AA671)</f>
        <v>-0.79258349746909018</v>
      </c>
      <c r="O38" s="55" cm="1">
        <f t="array" ref="O38">(VLOOKUP($A38,'The List'!$B1:$AH671,27,FALSE)-AVERAGE('The List'!AB2:AB671))/STDEV('The List'!AB2:AB671)</f>
        <v>-0.73711034885942406</v>
      </c>
      <c r="P38" s="55" cm="1">
        <f t="array" ref="P38">(VLOOKUP($A38,'The List'!$B1:$AH671,28,FALSE)-AVERAGE('The List'!AC2:AC671))/STDEV('The List'!AC2:AC671)</f>
        <v>-0.43307553590507925</v>
      </c>
      <c r="Q38" s="55" cm="1">
        <f t="array" ref="Q38">(VLOOKUP($A38,'The List'!$B1:$AH671,29,FALSE)-AVERAGE('The List'!AD2:AD671))/STDEV('The List'!AD2:AD671)</f>
        <v>-0.41909498173906956</v>
      </c>
      <c r="R38" s="55" cm="1">
        <f t="array" ref="R38">(VLOOKUP($A38,'The List'!$B1:$AH671,30,FALSE)-AVERAGE('The List'!AE2:AE671))/STDEV('The List'!AE2:AE671)</f>
        <v>1.5886992181970887</v>
      </c>
      <c r="S38" s="55" cm="1">
        <f t="array" ref="S38">(VLOOKUP($A38,'The List'!$B1:$AH671,31,FALSE)-AVERAGE('The List'!AF2:AF671))/STDEV('The List'!AF2:AF671)</f>
        <v>-0.58478458549638701</v>
      </c>
      <c r="T38" s="55" cm="1">
        <f t="array" ref="T38">(VLOOKUP($A38,'The List'!$B1:$AH671,32,FALSE)-AVERAGE('The List'!AG2:AG671))/STDEV('The List'!AG2:AG671)</f>
        <v>-0.63806662626478128</v>
      </c>
      <c r="U38" s="55" cm="1">
        <f t="array" ref="U38">(VLOOKUP($A38,'The List'!$B1:$AH671,33,FALSE)-AVERAGE('The List'!AH2:AH671))/STDEV('The List'!AH2:AH671)</f>
        <v>1.28013471559982</v>
      </c>
      <c r="V38" s="55"/>
      <c r="W38" s="78"/>
      <c r="X38" s="57"/>
      <c r="Y38" s="57"/>
      <c r="Z38" s="57"/>
      <c r="AA38" s="57"/>
      <c r="AB38" s="57"/>
      <c r="AC38" s="60"/>
      <c r="AD38" s="61"/>
      <c r="AE38" s="55"/>
    </row>
    <row r="39" spans="1:31" ht="21.25" customHeight="1" x14ac:dyDescent="0.15">
      <c r="A39" s="10" t="s">
        <v>171</v>
      </c>
      <c r="B39" s="18" t="str" cm="1">
        <f t="array" ref="B39">VLOOKUP(A39,'Player Data'!A1:B673,2,FALSE)</f>
        <v>BUF</v>
      </c>
      <c r="C39" s="52" cm="1">
        <f t="array" ref="C39">((E39)*Settings!$C$12)+(F39*Settings!$C$2)+(G39*Settings!$C$3)+(H39*Settings!$C$4)+(I39*Settings!$C$5)+(K39*Settings!$C$9)+(N39*Settings!$C$6)+(J39*Settings!$C$8)+(O39*Settings!$C$7)+(P39*Settings!$C$14)+(Q39*Settings!$C$15)+(R39*Settings!$C$16)+(S39*Settings!$C$17)+(T39*Settings!$C$18)+(U39*Settings!$C$19)+(L39*Settings!$C$10)+(Settings!$C$11*M39)</f>
        <v>7.7487190265722159</v>
      </c>
      <c r="D39" s="57" cm="1">
        <f t="array" ref="D39">IF(Settings!$E$12="YES",VLOOKUP(A39,'Player Data'!A1:E673,5,FALSE),82)</f>
        <v>81.927499999999995</v>
      </c>
      <c r="E39" s="55" cm="1">
        <f t="array" ref="E39">(VLOOKUP($A39,'The List'!$B1:$AH671,17,FALSE)-AVERAGE('The List'!R2:R671))/STDEV('The List'!R2:R671)</f>
        <v>0.60679182601187942</v>
      </c>
      <c r="F39" s="55" cm="1">
        <f t="array" ref="F39">(VLOOKUP($A39,'The List'!$B1:$AH671,18,FALSE)-AVERAGE('The List'!S2:S671))/STDEV('The List'!S2:S671)</f>
        <v>2.6444256288617307</v>
      </c>
      <c r="G39" s="55" cm="1">
        <f t="array" ref="G39">(VLOOKUP($A39,'The List'!$B1:$AH671,19,FALSE)-AVERAGE('The List'!T2:T671))/STDEV('The List'!T2:T671)</f>
        <v>1.0359477659485885</v>
      </c>
      <c r="H39" s="55" cm="1">
        <f t="array" ref="H39">(VLOOKUP($A39,'The List'!$B1:$AH671,20,FALSE)-AVERAGE('The List'!U2:U671))/STDEV('The List'!U2:U671)</f>
        <v>1.8248798032627773</v>
      </c>
      <c r="I39" s="55" cm="1">
        <f t="array" ref="I39">(VLOOKUP($A39,'The List'!$B1:$AH671,21,FALSE)-AVERAGE('The List'!V2:V671))/STDEV('The List'!V2:V671)</f>
        <v>2.5132164863556148</v>
      </c>
      <c r="J39" s="55" cm="1">
        <f t="array" ref="J39">(VLOOKUP($A39,'The List'!$B1:$AH671,22,FALSE)-AVERAGE('The List'!W2:W671))/STDEV('The List'!W2:W671)</f>
        <v>1.431267059279935</v>
      </c>
      <c r="K39" s="55" cm="1">
        <f t="array" ref="K39">(VLOOKUP($A39,'The List'!$B1:$AH671,23,FALSE)-AVERAGE('The List'!X2:X671))/STDEV('The List'!X2:X671)</f>
        <v>1.5027858445008382</v>
      </c>
      <c r="L39" s="55" cm="1">
        <f t="array" ref="L39">(VLOOKUP($A39,'The List'!$B1:$AH671,24,FALSE)-AVERAGE('The List'!Y2:Y671))/STDEV('The List'!Y2:Y671)</f>
        <v>-0.49235365369500239</v>
      </c>
      <c r="M39" s="55" cm="1">
        <f t="array" ref="M39">(VLOOKUP($A39,'The List'!$B1:$AH671,25,FALSE)-AVERAGE('The List'!Z2:Z671))/STDEV('The List'!Z2:Z671)</f>
        <v>-0.65303722600883285</v>
      </c>
      <c r="N39" s="55" cm="1">
        <f t="array" ref="N39">(VLOOKUP($A39,'The List'!$B1:$AH671,26,FALSE)-AVERAGE('The List'!AA2:AA671))/STDEV('The List'!AA2:AA671)</f>
        <v>-0.50828234451331045</v>
      </c>
      <c r="O39" s="55" cm="1">
        <f t="array" ref="O39">(VLOOKUP($A39,'The List'!$B1:$AH671,27,FALSE)-AVERAGE('The List'!AB2:AB671))/STDEV('The List'!AB2:AB671)</f>
        <v>-0.11557940203649263</v>
      </c>
      <c r="P39" s="55" cm="1">
        <f t="array" ref="P39">(VLOOKUP($A39,'The List'!$B1:$AH671,28,FALSE)-AVERAGE('The List'!AC2:AC671))/STDEV('The List'!AC2:AC671)</f>
        <v>0.36497632566571192</v>
      </c>
      <c r="Q39" s="55" cm="1">
        <f t="array" ref="Q39">(VLOOKUP($A39,'The List'!$B1:$AH671,29,FALSE)-AVERAGE('The List'!AD2:AD671))/STDEV('The List'!AD2:AD671)</f>
        <v>0.19564931975304264</v>
      </c>
      <c r="R39" s="55" cm="1">
        <f t="array" ref="R39">(VLOOKUP($A39,'The List'!$B1:$AH671,30,FALSE)-AVERAGE('The List'!AE2:AE671))/STDEV('The List'!AE2:AE671)</f>
        <v>2.4502978606128258</v>
      </c>
      <c r="S39" s="55" cm="1">
        <f t="array" ref="S39">(VLOOKUP($A39,'The List'!$B1:$AH671,31,FALSE)-AVERAGE('The List'!AF2:AF671))/STDEV('The List'!AF2:AF671)</f>
        <v>1.238176197279784</v>
      </c>
      <c r="T39" s="55" cm="1">
        <f t="array" ref="T39">(VLOOKUP($A39,'The List'!$B1:$AH671,32,FALSE)-AVERAGE('The List'!AG2:AG671))/STDEV('The List'!AG2:AG671)</f>
        <v>1.8346745858399469</v>
      </c>
      <c r="U39" s="55" cm="1">
        <f t="array" ref="U39">(VLOOKUP($A39,'The List'!$B1:$AH671,33,FALSE)-AVERAGE('The List'!AH2:AH671))/STDEV('The List'!AH2:AH671)</f>
        <v>0.76891979744756533</v>
      </c>
      <c r="V39" s="55"/>
      <c r="W39" s="78"/>
      <c r="X39" s="57"/>
      <c r="Y39" s="57"/>
      <c r="Z39" s="57"/>
      <c r="AA39" s="57"/>
      <c r="AB39" s="57"/>
      <c r="AC39" s="60"/>
      <c r="AD39" s="61"/>
      <c r="AE39" s="55"/>
    </row>
    <row r="40" spans="1:31" ht="21.25" customHeight="1" x14ac:dyDescent="0.15">
      <c r="A40" s="10" t="s">
        <v>201</v>
      </c>
      <c r="B40" s="18" t="str" cm="1">
        <f t="array" ref="B40">VLOOKUP(A40,'Player Data'!A1:B673,2,FALSE)</f>
        <v>FLA</v>
      </c>
      <c r="C40" s="52" cm="1">
        <f t="array" ref="C40">((E40)*Settings!$C$12)+(F40*Settings!$C$2)+(G40*Settings!$C$3)+(H40*Settings!$C$4)+(I40*Settings!$C$5)+(K40*Settings!$C$9)+(N40*Settings!$C$6)+(J40*Settings!$C$8)+(O40*Settings!$C$7)+(P40*Settings!$C$14)+(Q40*Settings!$C$15)+(R40*Settings!$C$16)+(S40*Settings!$C$17)+(T40*Settings!$C$18)+(U40*Settings!$C$19)+(L40*Settings!$C$10)+(Settings!$C$11*M40)</f>
        <v>6.8168801389860549</v>
      </c>
      <c r="D40" s="57" cm="1">
        <f t="array" ref="D40">IF(Settings!$E$12="YES",VLOOKUP(A40,'Player Data'!A1:E673,5,FALSE),82)</f>
        <v>80.422499999999999</v>
      </c>
      <c r="E40" s="55" cm="1">
        <f t="array" ref="E40">(VLOOKUP($A40,'The List'!$B1:$AH671,17,FALSE)-AVERAGE('The List'!R2:R671))/STDEV('The List'!R2:R671)</f>
        <v>0.88640052855590179</v>
      </c>
      <c r="F40" s="55" cm="1">
        <f t="array" ref="F40">(VLOOKUP($A40,'The List'!$B1:$AH671,18,FALSE)-AVERAGE('The List'!S2:S671))/STDEV('The List'!S2:S671)</f>
        <v>2.4379269039250038</v>
      </c>
      <c r="G40" s="55" cm="1">
        <f t="array" ref="G40">(VLOOKUP($A40,'The List'!$B1:$AH671,19,FALSE)-AVERAGE('The List'!T2:T671))/STDEV('The List'!T2:T671)</f>
        <v>1.0794533197986766</v>
      </c>
      <c r="H40" s="55" cm="1">
        <f t="array" ref="H40">(VLOOKUP($A40,'The List'!$B1:$AH671,20,FALSE)-AVERAGE('The List'!U2:U671))/STDEV('The List'!U2:U671)</f>
        <v>1.7606255747784934</v>
      </c>
      <c r="I40" s="55" cm="1">
        <f t="array" ref="I40">(VLOOKUP($A40,'The List'!$B1:$AH671,21,FALSE)-AVERAGE('The List'!V2:V671))/STDEV('The List'!V2:V671)</f>
        <v>1.3303433282098485</v>
      </c>
      <c r="J40" s="55" cm="1">
        <f t="array" ref="J40">(VLOOKUP($A40,'The List'!$B1:$AH671,22,FALSE)-AVERAGE('The List'!W2:W671))/STDEV('The List'!W2:W671)</f>
        <v>3.2368542813965822</v>
      </c>
      <c r="K40" s="55" cm="1">
        <f t="array" ref="K40">(VLOOKUP($A40,'The List'!$B1:$AH671,23,FALSE)-AVERAGE('The List'!X2:X671))/STDEV('The List'!X2:X671)</f>
        <v>2.0511890450905179</v>
      </c>
      <c r="L40" s="55" cm="1">
        <f t="array" ref="L40">(VLOOKUP($A40,'The List'!$B1:$AH671,24,FALSE)-AVERAGE('The List'!Y2:Y671))/STDEV('The List'!Y2:Y671)</f>
        <v>5.4710216234766591</v>
      </c>
      <c r="M40" s="55" cm="1">
        <f t="array" ref="M40">(VLOOKUP($A40,'The List'!$B1:$AH671,25,FALSE)-AVERAGE('The List'!Z2:Z671))/STDEV('The List'!Z2:Z671)</f>
        <v>3.7268653367955209</v>
      </c>
      <c r="N40" s="55" cm="1">
        <f t="array" ref="N40">(VLOOKUP($A40,'The List'!$B1:$AH671,26,FALSE)-AVERAGE('The List'!AA2:AA671))/STDEV('The List'!AA2:AA671)</f>
        <v>-0.29433558005152549</v>
      </c>
      <c r="O40" s="55" cm="1">
        <f t="array" ref="O40">(VLOOKUP($A40,'The List'!$B1:$AH671,27,FALSE)-AVERAGE('The List'!AB2:AB671))/STDEV('The List'!AB2:AB671)</f>
        <v>-0.10842701249550378</v>
      </c>
      <c r="P40" s="55" cm="1">
        <f t="array" ref="P40">(VLOOKUP($A40,'The List'!$B1:$AH671,28,FALSE)-AVERAGE('The List'!AC2:AC671))/STDEV('The List'!AC2:AC671)</f>
        <v>0.90696672488866947</v>
      </c>
      <c r="Q40" s="55" cm="1">
        <f t="array" ref="Q40">(VLOOKUP($A40,'The List'!$B1:$AH671,29,FALSE)-AVERAGE('The List'!AD2:AD671))/STDEV('The List'!AD2:AD671)</f>
        <v>-0.6946636028751364</v>
      </c>
      <c r="R40" s="55" cm="1">
        <f t="array" ref="R40">(VLOOKUP($A40,'The List'!$B1:$AH671,30,FALSE)-AVERAGE('The List'!AE2:AE671))/STDEV('The List'!AE2:AE671)</f>
        <v>2.6300688109250729</v>
      </c>
      <c r="S40" s="55" cm="1">
        <f t="array" ref="S40">(VLOOKUP($A40,'The List'!$B1:$AH671,31,FALSE)-AVERAGE('The List'!AF2:AF671))/STDEV('The List'!AF2:AF671)</f>
        <v>-3.2574638906323609E-2</v>
      </c>
      <c r="T40" s="55" cm="1">
        <f t="array" ref="T40">(VLOOKUP($A40,'The List'!$B1:$AH671,32,FALSE)-AVERAGE('The List'!AG2:AG671))/STDEV('The List'!AG2:AG671)</f>
        <v>0.21956099858514475</v>
      </c>
      <c r="U40" s="55" cm="1">
        <f t="array" ref="U40">(VLOOKUP($A40,'The List'!$B1:$AH671,33,FALSE)-AVERAGE('The List'!AH2:AH671))/STDEV('The List'!AH2:AH671)</f>
        <v>0.6230725151482851</v>
      </c>
      <c r="V40" s="55"/>
      <c r="W40" s="78"/>
      <c r="X40" s="57"/>
      <c r="Y40" s="57"/>
      <c r="Z40" s="57"/>
      <c r="AA40" s="57"/>
      <c r="AB40" s="57"/>
      <c r="AC40" s="60"/>
      <c r="AD40" s="61"/>
      <c r="AE40" s="55"/>
    </row>
    <row r="41" spans="1:31" ht="21.25" customHeight="1" x14ac:dyDescent="0.15">
      <c r="A41" s="10" t="s">
        <v>210</v>
      </c>
      <c r="B41" s="18" t="str" cm="1">
        <f t="array" ref="B41">VLOOKUP(A41,'Player Data'!A1:B673,2,FALSE)</f>
        <v>N.J</v>
      </c>
      <c r="C41" s="52" cm="1">
        <f t="array" ref="C41">((E41)*Settings!$C$12)+(F41*Settings!$C$2)+(G41*Settings!$C$3)+(H41*Settings!$C$4)+(I41*Settings!$C$5)+(K41*Settings!$C$9)+(N41*Settings!$C$6)+(J41*Settings!$C$8)+(O41*Settings!$C$7)+(P41*Settings!$C$14)+(Q41*Settings!$C$15)+(R41*Settings!$C$16)+(S41*Settings!$C$17)+(T41*Settings!$C$18)+(U41*Settings!$C$19)+(L41*Settings!$C$10)+(Settings!$C$11*M41)</f>
        <v>4.9509929294211084</v>
      </c>
      <c r="D41" s="57" cm="1">
        <f t="array" ref="D41">IF(Settings!$E$12="YES",VLOOKUP(A41,'Player Data'!A1:E673,5,FALSE),82)</f>
        <v>83.892499999999998</v>
      </c>
      <c r="E41" s="55" cm="1">
        <f t="array" ref="E41">(VLOOKUP($A41,'The List'!$B1:$AH671,17,FALSE)-AVERAGE('The List'!R2:R671))/STDEV('The List'!R2:R671)</f>
        <v>0.57344122449100621</v>
      </c>
      <c r="F41" s="55" cm="1">
        <f t="array" ref="F41">(VLOOKUP($A41,'The List'!$B1:$AH671,18,FALSE)-AVERAGE('The List'!S2:S671))/STDEV('The List'!S2:S671)</f>
        <v>0.98166371115965612</v>
      </c>
      <c r="G41" s="55" cm="1">
        <f t="array" ref="G41">(VLOOKUP($A41,'The List'!$B1:$AH671,19,FALSE)-AVERAGE('The List'!T2:T671))/STDEV('The List'!T2:T671)</f>
        <v>2.3244928134485674</v>
      </c>
      <c r="H41" s="55" cm="1">
        <f t="array" ref="H41">(VLOOKUP($A41,'The List'!$B1:$AH671,20,FALSE)-AVERAGE('The List'!U2:U671))/STDEV('The List'!U2:U671)</f>
        <v>1.8976365445562631</v>
      </c>
      <c r="I41" s="55" cm="1">
        <f t="array" ref="I41">(VLOOKUP($A41,'The List'!$B1:$AH671,21,FALSE)-AVERAGE('The List'!V2:V671))/STDEV('The List'!V2:V671)</f>
        <v>1.2072956082425452</v>
      </c>
      <c r="J41" s="55" cm="1">
        <f t="array" ref="J41">(VLOOKUP($A41,'The List'!$B1:$AH671,22,FALSE)-AVERAGE('The List'!W2:W671))/STDEV('The List'!W2:W671)</f>
        <v>0.80734091957970833</v>
      </c>
      <c r="K41" s="55" cm="1">
        <f t="array" ref="K41">(VLOOKUP($A41,'The List'!$B1:$AH671,23,FALSE)-AVERAGE('The List'!X2:X671))/STDEV('The List'!X2:X671)</f>
        <v>1.8631930569067867</v>
      </c>
      <c r="L41" s="55" cm="1">
        <f t="array" ref="L41">(VLOOKUP($A41,'The List'!$B1:$AH671,24,FALSE)-AVERAGE('The List'!Y2:Y671))/STDEV('The List'!Y2:Y671)</f>
        <v>0.53455550984970568</v>
      </c>
      <c r="M41" s="55" cm="1">
        <f t="array" ref="M41">(VLOOKUP($A41,'The List'!$B1:$AH671,25,FALSE)-AVERAGE('The List'!Z2:Z671))/STDEV('The List'!Z2:Z671)</f>
        <v>0.94771086199014298</v>
      </c>
      <c r="N41" s="55" cm="1">
        <f t="array" ref="N41">(VLOOKUP($A41,'The List'!$B1:$AH671,26,FALSE)-AVERAGE('The List'!AA2:AA671))/STDEV('The List'!AA2:AA671)</f>
        <v>-0.81548952484805171</v>
      </c>
      <c r="O41" s="55" cm="1">
        <f t="array" ref="O41">(VLOOKUP($A41,'The List'!$B1:$AH671,27,FALSE)-AVERAGE('The List'!AB2:AB671))/STDEV('The List'!AB2:AB671)</f>
        <v>-9.3728884873342869E-2</v>
      </c>
      <c r="P41" s="55" cm="1">
        <f t="array" ref="P41">(VLOOKUP($A41,'The List'!$B1:$AH671,28,FALSE)-AVERAGE('The List'!AC2:AC671))/STDEV('The List'!AC2:AC671)</f>
        <v>0.39834433764206312</v>
      </c>
      <c r="Q41" s="55" cm="1">
        <f t="array" ref="Q41">(VLOOKUP($A41,'The List'!$B1:$AH671,29,FALSE)-AVERAGE('The List'!AD2:AD671))/STDEV('The List'!AD2:AD671)</f>
        <v>-1.0085070731304593</v>
      </c>
      <c r="R41" s="55" cm="1">
        <f t="array" ref="R41">(VLOOKUP($A41,'The List'!$B1:$AH671,30,FALSE)-AVERAGE('The List'!AE2:AE671))/STDEV('The List'!AE2:AE671)</f>
        <v>0.86450910945756465</v>
      </c>
      <c r="S41" s="55" cm="1">
        <f t="array" ref="S41">(VLOOKUP($A41,'The List'!$B1:$AH671,31,FALSE)-AVERAGE('The List'!AF2:AF671))/STDEV('The List'!AF2:AF671)</f>
        <v>-0.58257445551947906</v>
      </c>
      <c r="T41" s="55" cm="1">
        <f t="array" ref="T41">(VLOOKUP($A41,'The List'!$B1:$AH671,32,FALSE)-AVERAGE('The List'!AG2:AG671))/STDEV('The List'!AG2:AG671)</f>
        <v>-0.59825835427727014</v>
      </c>
      <c r="U41" s="55" cm="1">
        <f t="array" ref="U41">(VLOOKUP($A41,'The List'!$B1:$AH671,33,FALSE)-AVERAGE('The List'!AH2:AH671))/STDEV('The List'!AH2:AH671)</f>
        <v>-0.3236153251617967</v>
      </c>
      <c r="V41" s="55"/>
      <c r="W41" s="57"/>
      <c r="X41" s="55"/>
      <c r="Y41" s="55"/>
      <c r="Z41" s="55"/>
      <c r="AA41" s="55"/>
      <c r="AB41" s="55"/>
      <c r="AC41" s="55"/>
      <c r="AD41" s="55"/>
      <c r="AE41" s="55"/>
    </row>
    <row r="42" spans="1:31" ht="21.25" customHeight="1" x14ac:dyDescent="0.15">
      <c r="A42" s="10" t="s">
        <v>179</v>
      </c>
      <c r="B42" s="18" t="str" cm="1">
        <f t="array" ref="B42">VLOOKUP(A42,'Player Data'!A1:B673,2,FALSE)</f>
        <v>MTL</v>
      </c>
      <c r="C42" s="52" cm="1">
        <f t="array" ref="C42">((E42)*Settings!$C$12)+(F42*Settings!$C$2)+(G42*Settings!$C$3)+(H42*Settings!$C$4)+(I42*Settings!$C$5)+(K42*Settings!$C$9)+(N42*Settings!$C$6)+(J42*Settings!$C$8)+(O42*Settings!$C$7)+(P42*Settings!$C$14)+(Q42*Settings!$C$15)+(R42*Settings!$C$16)+(S42*Settings!$C$17)+(T42*Settings!$C$18)+(U42*Settings!$C$19)+(L42*Settings!$C$10)+(Settings!$C$11*M42)</f>
        <v>7.3542571314399572</v>
      </c>
      <c r="D42" s="57" cm="1">
        <f t="array" ref="D42">IF(Settings!$E$12="YES",VLOOKUP(A42,'Player Data'!A1:E673,5,FALSE),82)</f>
        <v>83.852500000000006</v>
      </c>
      <c r="E42" s="55" cm="1">
        <f t="array" ref="E42">(VLOOKUP($A42,'The List'!$B1:$AH671,17,FALSE)-AVERAGE('The List'!R2:R671))/STDEV('The List'!R2:R671)</f>
        <v>0.3750091105653694</v>
      </c>
      <c r="F42" s="55" cm="1">
        <f t="array" ref="F42">(VLOOKUP($A42,'The List'!$B1:$AH671,18,FALSE)-AVERAGE('The List'!S2:S671))/STDEV('The List'!S2:S671)</f>
        <v>2.7807900388769995</v>
      </c>
      <c r="G42" s="55" cm="1">
        <f t="array" ref="G42">(VLOOKUP($A42,'The List'!$B1:$AH671,19,FALSE)-AVERAGE('The List'!T2:T671))/STDEV('The List'!T2:T671)</f>
        <v>1.0379827257670284</v>
      </c>
      <c r="H42" s="55" cm="1">
        <f t="array" ref="H42">(VLOOKUP($A42,'The List'!$B1:$AH671,20,FALSE)-AVERAGE('The List'!U2:U671))/STDEV('The List'!U2:U671)</f>
        <v>1.8866617045928584</v>
      </c>
      <c r="I42" s="55" cm="1">
        <f t="array" ref="I42">(VLOOKUP($A42,'The List'!$B1:$AH671,21,FALSE)-AVERAGE('The List'!V2:V671))/STDEV('The List'!V2:V671)</f>
        <v>2.4085489689866804</v>
      </c>
      <c r="J42" s="55" cm="1">
        <f t="array" ref="J42">(VLOOKUP($A42,'The List'!$B1:$AH671,22,FALSE)-AVERAGE('The List'!W2:W671))/STDEV('The List'!W2:W671)</f>
        <v>2.3019642298060501</v>
      </c>
      <c r="K42" s="55" cm="1">
        <f t="array" ref="K42">(VLOOKUP($A42,'The List'!$B1:$AH671,23,FALSE)-AVERAGE('The List'!X2:X671))/STDEV('The List'!X2:X671)</f>
        <v>1.8032846464075614</v>
      </c>
      <c r="L42" s="55" cm="1">
        <f t="array" ref="L42">(VLOOKUP($A42,'The List'!$B1:$AH671,24,FALSE)-AVERAGE('The List'!Y2:Y671))/STDEV('The List'!Y2:Y671)</f>
        <v>-0.56023561083581774</v>
      </c>
      <c r="M42" s="55" cm="1">
        <f t="array" ref="M42">(VLOOKUP($A42,'The List'!$B1:$AH671,25,FALSE)-AVERAGE('The List'!Z2:Z671))/STDEV('The List'!Z2:Z671)</f>
        <v>-0.70221520377719659</v>
      </c>
      <c r="N42" s="55" cm="1">
        <f t="array" ref="N42">(VLOOKUP($A42,'The List'!$B1:$AH671,26,FALSE)-AVERAGE('The List'!AA2:AA671))/STDEV('The List'!AA2:AA671)</f>
        <v>-0.95899438687917626</v>
      </c>
      <c r="O42" s="55" cm="1">
        <f t="array" ref="O42">(VLOOKUP($A42,'The List'!$B1:$AH671,27,FALSE)-AVERAGE('The List'!AB2:AB671))/STDEV('The List'!AB2:AB671)</f>
        <v>-0.59537848025003115</v>
      </c>
      <c r="P42" s="55" cm="1">
        <f t="array" ref="P42">(VLOOKUP($A42,'The List'!$B1:$AH671,28,FALSE)-AVERAGE('The List'!AC2:AC671))/STDEV('The List'!AC2:AC671)</f>
        <v>1.2775866679508969</v>
      </c>
      <c r="Q42" s="55" cm="1">
        <f t="array" ref="Q42">(VLOOKUP($A42,'The List'!$B1:$AH671,29,FALSE)-AVERAGE('The List'!AD2:AD671))/STDEV('The List'!AD2:AD671)</f>
        <v>-0.9949415296700338</v>
      </c>
      <c r="R42" s="55" cm="1">
        <f t="array" ref="R42">(VLOOKUP($A42,'The List'!$B1:$AH671,30,FALSE)-AVERAGE('The List'!AE2:AE671))/STDEV('The List'!AE2:AE671)</f>
        <v>2.9866541633798942</v>
      </c>
      <c r="S42" s="55" cm="1">
        <f t="array" ref="S42">(VLOOKUP($A42,'The List'!$B1:$AH671,31,FALSE)-AVERAGE('The List'!AF2:AF671))/STDEV('The List'!AF2:AF671)</f>
        <v>-0.56167044673022903</v>
      </c>
      <c r="T42" s="55" cm="1">
        <f t="array" ref="T42">(VLOOKUP($A42,'The List'!$B1:$AH671,32,FALSE)-AVERAGE('The List'!AG2:AG671))/STDEV('The List'!AG2:AG671)</f>
        <v>-0.59053329921957021</v>
      </c>
      <c r="U42" s="55" cm="1">
        <f t="array" ref="U42">(VLOOKUP($A42,'The List'!$B1:$AH671,33,FALSE)-AVERAGE('The List'!AH2:AH671))/STDEV('The List'!AH2:AH671)</f>
        <v>0.50420671372659442</v>
      </c>
      <c r="V42" s="55"/>
      <c r="W42" s="78"/>
      <c r="X42" s="57"/>
      <c r="Y42" s="57"/>
      <c r="Z42" s="57"/>
      <c r="AA42" s="57"/>
      <c r="AB42" s="57"/>
      <c r="AC42" s="60"/>
      <c r="AD42" s="61"/>
      <c r="AE42" s="55"/>
    </row>
    <row r="43" spans="1:31" ht="21.25" customHeight="1" x14ac:dyDescent="0.15">
      <c r="A43" s="10" t="s">
        <v>211</v>
      </c>
      <c r="B43" s="18" t="str" cm="1">
        <f t="array" ref="B43">VLOOKUP(A43,'Player Data'!A1:B673,2,FALSE)</f>
        <v>OTT</v>
      </c>
      <c r="C43" s="52" cm="1">
        <f t="array" ref="C43">((E43)*Settings!$C$12)+(F43*Settings!$C$2)+(G43*Settings!$C$3)+(H43*Settings!$C$4)+(I43*Settings!$C$5)+(K43*Settings!$C$9)+(N43*Settings!$C$6)+(J43*Settings!$C$8)+(O43*Settings!$C$7)+(P43*Settings!$C$14)+(Q43*Settings!$C$15)+(R43*Settings!$C$16)+(S43*Settings!$C$17)+(T43*Settings!$C$18)+(U43*Settings!$C$19)+(L43*Settings!$C$10)+(Settings!$C$11*M43)</f>
        <v>6.9310667029514708</v>
      </c>
      <c r="D43" s="57" cm="1">
        <f t="array" ref="D43">IF(Settings!$E$12="YES",VLOOKUP(A43,'Player Data'!A1:E673,5,FALSE),82)</f>
        <v>82.974999999999994</v>
      </c>
      <c r="E43" s="55" cm="1">
        <f t="array" ref="E43">(VLOOKUP($A43,'The List'!$B1:$AH671,17,FALSE)-AVERAGE('The List'!R2:R671))/STDEV('The List'!R2:R671)</f>
        <v>0.82640898645631189</v>
      </c>
      <c r="F43" s="55" cm="1">
        <f t="array" ref="F43">(VLOOKUP($A43,'The List'!$B1:$AH671,18,FALSE)-AVERAGE('The List'!S2:S671))/STDEV('The List'!S2:S671)</f>
        <v>1.4964639961383597</v>
      </c>
      <c r="G43" s="55" cm="1">
        <f t="array" ref="G43">(VLOOKUP($A43,'The List'!$B1:$AH671,19,FALSE)-AVERAGE('The List'!T2:T671))/STDEV('The List'!T2:T671)</f>
        <v>1.8788297055528316</v>
      </c>
      <c r="H43" s="55" cm="1">
        <f t="array" ref="H43">(VLOOKUP($A43,'The List'!$B1:$AH671,20,FALSE)-AVERAGE('The List'!U2:U671))/STDEV('The List'!U2:U671)</f>
        <v>1.845722489850713</v>
      </c>
      <c r="I43" s="55" cm="1">
        <f t="array" ref="I43">(VLOOKUP($A43,'The List'!$B1:$AH671,21,FALSE)-AVERAGE('The List'!V2:V671))/STDEV('The List'!V2:V671)</f>
        <v>1.1646947284732532</v>
      </c>
      <c r="J43" s="55" cm="1">
        <f t="array" ref="J43">(VLOOKUP($A43,'The List'!$B1:$AH671,22,FALSE)-AVERAGE('The List'!W2:W671))/STDEV('The List'!W2:W671)</f>
        <v>1.0179455325611455</v>
      </c>
      <c r="K43" s="55" cm="1">
        <f t="array" ref="K43">(VLOOKUP($A43,'The List'!$B1:$AH671,23,FALSE)-AVERAGE('The List'!X2:X671))/STDEV('The List'!X2:X671)</f>
        <v>1.9729881767904225</v>
      </c>
      <c r="L43" s="55" cm="1">
        <f t="array" ref="L43">(VLOOKUP($A43,'The List'!$B1:$AH671,24,FALSE)-AVERAGE('The List'!Y2:Y671))/STDEV('The List'!Y2:Y671)</f>
        <v>1.1377681584505501</v>
      </c>
      <c r="M43" s="55" cm="1">
        <f t="array" ref="M43">(VLOOKUP($A43,'The List'!$B1:$AH671,25,FALSE)-AVERAGE('The List'!Z2:Z671))/STDEV('The List'!Z2:Z671)</f>
        <v>0.44982738055265037</v>
      </c>
      <c r="N43" s="55" cm="1">
        <f t="array" ref="N43">(VLOOKUP($A43,'The List'!$B1:$AH671,26,FALSE)-AVERAGE('The List'!AA2:AA671))/STDEV('The List'!AA2:AA671)</f>
        <v>-0.448281919064072</v>
      </c>
      <c r="O43" s="55" cm="1">
        <f t="array" ref="O43">(VLOOKUP($A43,'The List'!$B1:$AH671,27,FALSE)-AVERAGE('The List'!AB2:AB671))/STDEV('The List'!AB2:AB671)</f>
        <v>0.72598208805931275</v>
      </c>
      <c r="P43" s="55" cm="1">
        <f t="array" ref="P43">(VLOOKUP($A43,'The List'!$B1:$AH671,28,FALSE)-AVERAGE('The List'!AC2:AC671))/STDEV('The List'!AC2:AC671)</f>
        <v>0.45303606936599272</v>
      </c>
      <c r="Q43" s="55" cm="1">
        <f t="array" ref="Q43">(VLOOKUP($A43,'The List'!$B1:$AH671,29,FALSE)-AVERAGE('The List'!AD2:AD671))/STDEV('The List'!AD2:AD671)</f>
        <v>0.41333594569468296</v>
      </c>
      <c r="R43" s="55" cm="1">
        <f t="array" ref="R43">(VLOOKUP($A43,'The List'!$B1:$AH671,30,FALSE)-AVERAGE('The List'!AE2:AE671))/STDEV('The List'!AE2:AE671)</f>
        <v>1.8456669478530887</v>
      </c>
      <c r="S43" s="55" cm="1">
        <f t="array" ref="S43">(VLOOKUP($A43,'The List'!$B1:$AH671,31,FALSE)-AVERAGE('The List'!AF2:AF671))/STDEV('The List'!AF2:AF671)</f>
        <v>0.82563997361850328</v>
      </c>
      <c r="T43" s="55" cm="1">
        <f t="array" ref="T43">(VLOOKUP($A43,'The List'!$B1:$AH671,32,FALSE)-AVERAGE('The List'!AG2:AG671))/STDEV('The List'!AG2:AG671)</f>
        <v>0.89029054314002842</v>
      </c>
      <c r="U43" s="55" cm="1">
        <f t="array" ref="U43">(VLOOKUP($A43,'The List'!$B1:$AH671,33,FALSE)-AVERAGE('The List'!AH2:AH671))/STDEV('The List'!AH2:AH671)</f>
        <v>1.0250840956190033</v>
      </c>
      <c r="V43" s="55"/>
      <c r="W43" s="78"/>
      <c r="X43" s="57"/>
      <c r="Y43" s="57"/>
      <c r="Z43" s="57"/>
      <c r="AA43" s="57"/>
      <c r="AB43" s="57"/>
      <c r="AC43" s="60"/>
      <c r="AD43" s="61"/>
      <c r="AE43" s="55"/>
    </row>
    <row r="44" spans="1:31" ht="21.25" customHeight="1" x14ac:dyDescent="0.15">
      <c r="A44" s="10" t="s">
        <v>162</v>
      </c>
      <c r="B44" s="18" t="str" cm="1">
        <f t="array" ref="B44">VLOOKUP(A44,'Player Data'!A1:B673,2,FALSE)</f>
        <v>ANA</v>
      </c>
      <c r="C44" s="52" cm="1">
        <f t="array" ref="C44">((E44)*Settings!$C$12)+(F44*Settings!$C$2)+(G44*Settings!$C$3)+(H44*Settings!$C$4)+(I44*Settings!$C$5)+(K44*Settings!$C$9)+(N44*Settings!$C$6)+(J44*Settings!$C$8)+(O44*Settings!$C$7)+(P44*Settings!$C$14)+(Q44*Settings!$C$15)+(R44*Settings!$C$16)+(S44*Settings!$C$17)+(T44*Settings!$C$18)+(U44*Settings!$C$19)+(L44*Settings!$C$10)+(Settings!$C$11*M44)</f>
        <v>7.1712434118436592</v>
      </c>
      <c r="D44" s="57" cm="1">
        <f t="array" ref="D44">IF(Settings!$E$12="YES",VLOOKUP(A44,'Player Data'!A1:E673,5,FALSE),82)</f>
        <v>82.265000000000001</v>
      </c>
      <c r="E44" s="55" cm="1">
        <f t="array" ref="E44">(VLOOKUP($A44,'The List'!$B1:$AH671,17,FALSE)-AVERAGE('The List'!R2:R671))/STDEV('The List'!R2:R671)</f>
        <v>0.52932213818097584</v>
      </c>
      <c r="F44" s="55" cm="1">
        <f t="array" ref="F44">(VLOOKUP($A44,'The List'!$B1:$AH671,18,FALSE)-AVERAGE('The List'!S2:S671))/STDEV('The List'!S2:S671)</f>
        <v>2.6890634878755177</v>
      </c>
      <c r="G44" s="55" cm="1">
        <f t="array" ref="G44">(VLOOKUP($A44,'The List'!$B1:$AH671,19,FALSE)-AVERAGE('The List'!T2:T671))/STDEV('The List'!T2:T671)</f>
        <v>0.92795670257562468</v>
      </c>
      <c r="H44" s="55" cm="1">
        <f t="array" ref="H44">(VLOOKUP($A44,'The List'!$B1:$AH671,20,FALSE)-AVERAGE('The List'!U2:U671))/STDEV('The List'!U2:U671)</f>
        <v>1.7767588414300557</v>
      </c>
      <c r="I44" s="55" cm="1">
        <f t="array" ref="I44">(VLOOKUP($A44,'The List'!$B1:$AH671,21,FALSE)-AVERAGE('The List'!V2:V671))/STDEV('The List'!V2:V671)</f>
        <v>3.1941485681950232</v>
      </c>
      <c r="J44" s="55" cm="1">
        <f t="array" ref="J44">(VLOOKUP($A44,'The List'!$B1:$AH671,22,FALSE)-AVERAGE('The List'!W2:W671))/STDEV('The List'!W2:W671)</f>
        <v>2.6298552713149923</v>
      </c>
      <c r="K44" s="55" cm="1">
        <f t="array" ref="K44">(VLOOKUP($A44,'The List'!$B1:$AH671,23,FALSE)-AVERAGE('The List'!X2:X671))/STDEV('The List'!X2:X671)</f>
        <v>1.6360459685957429</v>
      </c>
      <c r="L44" s="55" cm="1">
        <f t="array" ref="L44">(VLOOKUP($A44,'The List'!$B1:$AH671,24,FALSE)-AVERAGE('The List'!Y2:Y671))/STDEV('The List'!Y2:Y671)</f>
        <v>-0.39337945157273402</v>
      </c>
      <c r="M44" s="55" cm="1">
        <f t="array" ref="M44">(VLOOKUP($A44,'The List'!$B1:$AH671,25,FALSE)-AVERAGE('The List'!Z2:Z671))/STDEV('The List'!Z2:Z671)</f>
        <v>-0.53800208126457716</v>
      </c>
      <c r="N44" s="55" cm="1">
        <f t="array" ref="N44">(VLOOKUP($A44,'The List'!$B1:$AH671,26,FALSE)-AVERAGE('The List'!AA2:AA671))/STDEV('The List'!AA2:AA671)</f>
        <v>-0.73377925827609691</v>
      </c>
      <c r="O44" s="55" cm="1">
        <f t="array" ref="O44">(VLOOKUP($A44,'The List'!$B1:$AH671,27,FALSE)-AVERAGE('The List'!AB2:AB671))/STDEV('The List'!AB2:AB671)</f>
        <v>-0.15731236248918307</v>
      </c>
      <c r="P44" s="55" cm="1">
        <f t="array" ref="P44">(VLOOKUP($A44,'The List'!$B1:$AH671,28,FALSE)-AVERAGE('The List'!AC2:AC671))/STDEV('The List'!AC2:AC671)</f>
        <v>-0.5643032595931412</v>
      </c>
      <c r="Q44" s="55" cm="1">
        <f t="array" ref="Q44">(VLOOKUP($A44,'The List'!$B1:$AH671,29,FALSE)-AVERAGE('The List'!AD2:AD671))/STDEV('The List'!AD2:AD671)</f>
        <v>2.2111202470988696E-2</v>
      </c>
      <c r="R44" s="55" cm="1">
        <f t="array" ref="R44">(VLOOKUP($A44,'The List'!$B1:$AH671,30,FALSE)-AVERAGE('The List'!AE2:AE671))/STDEV('The List'!AE2:AE671)</f>
        <v>2.3737909294520763</v>
      </c>
      <c r="S44" s="55" cm="1">
        <f t="array" ref="S44">(VLOOKUP($A44,'The List'!$B1:$AH671,31,FALSE)-AVERAGE('The List'!AF2:AF671))/STDEV('The List'!AF2:AF671)</f>
        <v>-0.13484327982551839</v>
      </c>
      <c r="T44" s="55" cm="1">
        <f t="array" ref="T44">(VLOOKUP($A44,'The List'!$B1:$AH671,32,FALSE)-AVERAGE('The List'!AG2:AG671))/STDEV('The List'!AG2:AG671)</f>
        <v>-2.3203507608143579E-2</v>
      </c>
      <c r="U44" s="55" cm="1">
        <f t="array" ref="U44">(VLOOKUP($A44,'The List'!$B1:$AH671,33,FALSE)-AVERAGE('The List'!AH2:AH671))/STDEV('The List'!AH2:AH671)</f>
        <v>0.76679133975195835</v>
      </c>
      <c r="V44" s="55"/>
      <c r="W44" s="57"/>
      <c r="X44" s="55"/>
      <c r="Y44" s="55"/>
      <c r="Z44" s="55"/>
      <c r="AA44" s="55"/>
      <c r="AB44" s="55"/>
      <c r="AC44" s="55"/>
      <c r="AD44" s="55"/>
      <c r="AE44" s="55"/>
    </row>
    <row r="45" spans="1:31" ht="21.25" customHeight="1" x14ac:dyDescent="0.15">
      <c r="A45" s="10" t="s">
        <v>145</v>
      </c>
      <c r="B45" s="18" t="str" cm="1">
        <f t="array" ref="B45">VLOOKUP(A45,'Player Data'!A1:B673,2,FALSE)</f>
        <v>MTL</v>
      </c>
      <c r="C45" s="52" cm="1">
        <f t="array" ref="C45">((E45)*Settings!$C$12)+(F45*Settings!$C$2)+(G45*Settings!$C$3)+(H45*Settings!$C$4)+(I45*Settings!$C$5)+(K45*Settings!$C$9)+(N45*Settings!$C$6)+(J45*Settings!$C$8)+(O45*Settings!$C$7)+(P45*Settings!$C$14)+(Q45*Settings!$C$15)+(R45*Settings!$C$16)+(S45*Settings!$C$17)+(T45*Settings!$C$18)+(U45*Settings!$C$19)+(L45*Settings!$C$10)+(Settings!$C$11*M45)</f>
        <v>8.6613480521617348</v>
      </c>
      <c r="D45" s="57" cm="1">
        <f t="array" ref="D45">IF(Settings!$E$12="YES",VLOOKUP(A45,'Player Data'!A1:E673,5,FALSE),82)</f>
        <v>83.83</v>
      </c>
      <c r="E45" s="55" cm="1">
        <f t="array" ref="E45">(VLOOKUP($A45,'The List'!$B1:$AH671,17,FALSE)-AVERAGE('The List'!R2:R671))/STDEV('The List'!R2:R671)</f>
        <v>1.7964998217146009</v>
      </c>
      <c r="F45" s="55" cm="1">
        <f t="array" ref="F45">(VLOOKUP($A45,'The List'!$B1:$AH671,18,FALSE)-AVERAGE('The List'!S2:S671))/STDEV('The List'!S2:S671)</f>
        <v>-0.19792528141299132</v>
      </c>
      <c r="G45" s="55" cm="1">
        <f t="array" ref="G45">(VLOOKUP($A45,'The List'!$B1:$AH671,19,FALSE)-AVERAGE('The List'!T2:T671))/STDEV('The List'!T2:T671)</f>
        <v>2.9960676646669322</v>
      </c>
      <c r="H45" s="55" cm="1">
        <f t="array" ref="H45">(VLOOKUP($A45,'The List'!$B1:$AH671,20,FALSE)-AVERAGE('The List'!U2:U671))/STDEV('The List'!U2:U671)</f>
        <v>1.7966956051894885</v>
      </c>
      <c r="I45" s="55" cm="1">
        <f t="array" ref="I45">(VLOOKUP($A45,'The List'!$B1:$AH671,21,FALSE)-AVERAGE('The List'!V2:V671))/STDEV('The List'!V2:V671)</f>
        <v>3.0344958195265784E-2</v>
      </c>
      <c r="J45" s="55" cm="1">
        <f t="array" ref="J45">(VLOOKUP($A45,'The List'!$B1:$AH671,22,FALSE)-AVERAGE('The List'!W2:W671))/STDEV('The List'!W2:W671)</f>
        <v>-8.4263958473585712E-2</v>
      </c>
      <c r="K45" s="55" cm="1">
        <f t="array" ref="K45">(VLOOKUP($A45,'The List'!$B1:$AH671,23,FALSE)-AVERAGE('The List'!X2:X671))/STDEV('The List'!X2:X671)</f>
        <v>1.89599789956245</v>
      </c>
      <c r="L45" s="55" cm="1">
        <f t="array" ref="L45">(VLOOKUP($A45,'The List'!$B1:$AH671,24,FALSE)-AVERAGE('The List'!Y2:Y671))/STDEV('The List'!Y2:Y671)</f>
        <v>-0.54258966733805325</v>
      </c>
      <c r="M45" s="55" cm="1">
        <f t="array" ref="M45">(VLOOKUP($A45,'The List'!$B1:$AH671,25,FALSE)-AVERAGE('The List'!Z2:Z671))/STDEV('The List'!Z2:Z671)</f>
        <v>-0.66468887478486394</v>
      </c>
      <c r="N45" s="55" cm="1">
        <f t="array" ref="N45">(VLOOKUP($A45,'The List'!$B1:$AH671,26,FALSE)-AVERAGE('The List'!AA2:AA671))/STDEV('The List'!AA2:AA671)</f>
        <v>1.742014730474742</v>
      </c>
      <c r="O45" s="55" cm="1">
        <f t="array" ref="O45">(VLOOKUP($A45,'The List'!$B1:$AH671,27,FALSE)-AVERAGE('The List'!AB2:AB671))/STDEV('The List'!AB2:AB671)</f>
        <v>-0.97171962965674386</v>
      </c>
      <c r="P45" s="55" cm="1">
        <f t="array" ref="P45">(VLOOKUP($A45,'The List'!$B1:$AH671,28,FALSE)-AVERAGE('The List'!AC2:AC671))/STDEV('The List'!AC2:AC671)</f>
        <v>1.7691312207037979</v>
      </c>
      <c r="Q45" s="55" cm="1">
        <f t="array" ref="Q45">(VLOOKUP($A45,'The List'!$B1:$AH671,29,FALSE)-AVERAGE('The List'!AD2:AD671))/STDEV('The List'!AD2:AD671)</f>
        <v>0.4257168599715388</v>
      </c>
      <c r="R45" s="55" cm="1">
        <f t="array" ref="R45">(VLOOKUP($A45,'The List'!$B1:$AH671,30,FALSE)-AVERAGE('The List'!AE2:AE671))/STDEV('The List'!AE2:AE671)</f>
        <v>-0.11243763972026022</v>
      </c>
      <c r="S45" s="55" cm="1">
        <f t="array" ref="S45">(VLOOKUP($A45,'The List'!$B1:$AH671,31,FALSE)-AVERAGE('The List'!AF2:AF671))/STDEV('The List'!AF2:AF671)</f>
        <v>-0.5939690971349143</v>
      </c>
      <c r="T45" s="55" cm="1">
        <f t="array" ref="T45">(VLOOKUP($A45,'The List'!$B1:$AH671,32,FALSE)-AVERAGE('The List'!AG2:AG671))/STDEV('The List'!AG2:AG671)</f>
        <v>-0.64602208138248207</v>
      </c>
      <c r="U45" s="55" cm="1">
        <f t="array" ref="U45">(VLOOKUP($A45,'The List'!$B1:$AH671,33,FALSE)-AVERAGE('The List'!AH2:AH671))/STDEV('The List'!AH2:AH671)</f>
        <v>-1.2548938914719048</v>
      </c>
      <c r="V45" s="55"/>
      <c r="W45" s="57"/>
      <c r="X45" s="55"/>
      <c r="Y45" s="55"/>
      <c r="Z45" s="55"/>
      <c r="AA45" s="55"/>
      <c r="AB45" s="55"/>
      <c r="AC45" s="55"/>
      <c r="AD45" s="55"/>
      <c r="AE45" s="55"/>
    </row>
    <row r="46" spans="1:31" ht="21.25" customHeight="1" x14ac:dyDescent="0.15">
      <c r="A46" s="10" t="s">
        <v>243</v>
      </c>
      <c r="B46" s="18" t="str" cm="1">
        <f t="array" ref="B46">VLOOKUP(A46,'Player Data'!A1:B673,2,FALSE)</f>
        <v>STL</v>
      </c>
      <c r="C46" s="52" cm="1">
        <f t="array" ref="C46">((E46)*Settings!$C$12)+(F46*Settings!$C$2)+(G46*Settings!$C$3)+(H46*Settings!$C$4)+(I46*Settings!$C$5)+(K46*Settings!$C$9)+(N46*Settings!$C$6)+(J46*Settings!$C$8)+(O46*Settings!$C$7)+(P46*Settings!$C$14)+(Q46*Settings!$C$15)+(R46*Settings!$C$16)+(S46*Settings!$C$17)+(T46*Settings!$C$18)+(U46*Settings!$C$19)+(L46*Settings!$C$10)+(Settings!$C$11*M46)</f>
        <v>4.4102872660938832</v>
      </c>
      <c r="D46" s="57" cm="1">
        <f t="array" ref="D46">IF(Settings!$E$12="YES",VLOOKUP(A46,'Player Data'!A1:E673,5,FALSE),82)</f>
        <v>74.86</v>
      </c>
      <c r="E46" s="55" cm="1">
        <f t="array" ref="E46">(VLOOKUP($A46,'The List'!$B1:$AH671,17,FALSE)-AVERAGE('The List'!R2:R671))/STDEV('The List'!R2:R671)</f>
        <v>0.49796924255662839</v>
      </c>
      <c r="F46" s="55" cm="1">
        <f t="array" ref="F46">(VLOOKUP($A46,'The List'!$B1:$AH671,18,FALSE)-AVERAGE('The List'!S2:S671))/STDEV('The List'!S2:S671)</f>
        <v>1.5647813929952372</v>
      </c>
      <c r="G46" s="55" cm="1">
        <f t="array" ref="G46">(VLOOKUP($A46,'The List'!$B1:$AH671,19,FALSE)-AVERAGE('The List'!T2:T671))/STDEV('The List'!T2:T671)</f>
        <v>1.1560602042526698</v>
      </c>
      <c r="H46" s="55" cm="1">
        <f t="array" ref="H46">(VLOOKUP($A46,'The List'!$B1:$AH671,20,FALSE)-AVERAGE('The List'!U2:U671))/STDEV('The List'!U2:U671)</f>
        <v>1.4214152313609574</v>
      </c>
      <c r="I46" s="55" cm="1">
        <f t="array" ref="I46">(VLOOKUP($A46,'The List'!$B1:$AH671,21,FALSE)-AVERAGE('The List'!V2:V671))/STDEV('The List'!V2:V671)</f>
        <v>1.3807447888527327</v>
      </c>
      <c r="J46" s="55" cm="1">
        <f t="array" ref="J46">(VLOOKUP($A46,'The List'!$B1:$AH671,22,FALSE)-AVERAGE('The List'!W2:W671))/STDEV('The List'!W2:W671)</f>
        <v>1.1095955577716794</v>
      </c>
      <c r="K46" s="55" cm="1">
        <f t="array" ref="K46">(VLOOKUP($A46,'The List'!$B1:$AH671,23,FALSE)-AVERAGE('The List'!X2:X671))/STDEV('The List'!X2:X671)</f>
        <v>0.74877686524364295</v>
      </c>
      <c r="L46" s="55" cm="1">
        <f t="array" ref="L46">(VLOOKUP($A46,'The List'!$B1:$AH671,24,FALSE)-AVERAGE('The List'!Y2:Y671))/STDEV('The List'!Y2:Y671)</f>
        <v>-0.34209640796166335</v>
      </c>
      <c r="M46" s="55" cm="1">
        <f t="array" ref="M46">(VLOOKUP($A46,'The List'!$B1:$AH671,25,FALSE)-AVERAGE('The List'!Z2:Z671))/STDEV('The List'!Z2:Z671)</f>
        <v>-0.48850617513712508</v>
      </c>
      <c r="N46" s="55" cm="1">
        <f t="array" ref="N46">(VLOOKUP($A46,'The List'!$B1:$AH671,26,FALSE)-AVERAGE('The List'!AA2:AA671))/STDEV('The List'!AA2:AA671)</f>
        <v>-0.34898185378575342</v>
      </c>
      <c r="O46" s="55" cm="1">
        <f t="array" ref="O46">(VLOOKUP($A46,'The List'!$B1:$AH671,27,FALSE)-AVERAGE('The List'!AB2:AB671))/STDEV('The List'!AB2:AB671)</f>
        <v>1.3527006564823121</v>
      </c>
      <c r="P46" s="55" cm="1">
        <f t="array" ref="P46">(VLOOKUP($A46,'The List'!$B1:$AH671,28,FALSE)-AVERAGE('The List'!AC2:AC671))/STDEV('The List'!AC2:AC671)</f>
        <v>0.33591202157979522</v>
      </c>
      <c r="Q46" s="55" cm="1">
        <f t="array" ref="Q46">(VLOOKUP($A46,'The List'!$B1:$AH671,29,FALSE)-AVERAGE('The List'!AD2:AD671))/STDEV('The List'!AD2:AD671)</f>
        <v>-0.42700615304444128</v>
      </c>
      <c r="R46" s="55" cm="1">
        <f t="array" ref="R46">(VLOOKUP($A46,'The List'!$B1:$AH671,30,FALSE)-AVERAGE('The List'!AE2:AE671))/STDEV('The List'!AE2:AE671)</f>
        <v>1.3123789180290231</v>
      </c>
      <c r="S46" s="55" cm="1">
        <f t="array" ref="S46">(VLOOKUP($A46,'The List'!$B1:$AH671,31,FALSE)-AVERAGE('The List'!AF2:AF671))/STDEV('The List'!AF2:AF671)</f>
        <v>-0.39682782489457236</v>
      </c>
      <c r="T46" s="55" cm="1">
        <f t="array" ref="T46">(VLOOKUP($A46,'The List'!$B1:$AH671,32,FALSE)-AVERAGE('The List'!AG2:AG671))/STDEV('The List'!AG2:AG671)</f>
        <v>-0.42569228337157089</v>
      </c>
      <c r="U46" s="55" cm="1">
        <f t="array" ref="U46">(VLOOKUP($A46,'The List'!$B1:$AH671,33,FALSE)-AVERAGE('The List'!AH2:AH671))/STDEV('The List'!AH2:AH671)</f>
        <v>0.98808786799023984</v>
      </c>
      <c r="V46" s="55"/>
      <c r="W46" s="78"/>
      <c r="X46" s="57"/>
      <c r="Y46" s="57"/>
      <c r="Z46" s="57"/>
      <c r="AA46" s="57"/>
      <c r="AB46" s="57"/>
      <c r="AC46" s="60"/>
      <c r="AD46" s="61"/>
      <c r="AE46" s="55"/>
    </row>
    <row r="47" spans="1:31" ht="21.25" customHeight="1" x14ac:dyDescent="0.15">
      <c r="A47" s="10" t="s">
        <v>150</v>
      </c>
      <c r="B47" s="18" t="str" cm="1">
        <f t="array" ref="B47">VLOOKUP(A47,'Player Data'!A1:B673,2,FALSE)</f>
        <v>NYR</v>
      </c>
      <c r="C47" s="52" cm="1">
        <f t="array" ref="C47">((E47)*Settings!$C$12)+(F47*Settings!$C$2)+(G47*Settings!$C$3)+(H47*Settings!$C$4)+(I47*Settings!$C$5)+(K47*Settings!$C$9)+(N47*Settings!$C$6)+(J47*Settings!$C$8)+(O47*Settings!$C$7)+(P47*Settings!$C$14)+(Q47*Settings!$C$15)+(R47*Settings!$C$16)+(S47*Settings!$C$17)+(T47*Settings!$C$18)+(U47*Settings!$C$19)+(L47*Settings!$C$10)+(Settings!$C$11*M47)</f>
        <v>7.0415635560837746</v>
      </c>
      <c r="D47" s="57" cm="1">
        <f t="array" ref="D47">IF(Settings!$E$12="YES",VLOOKUP(A47,'Player Data'!A1:E673,5,FALSE),82)</f>
        <v>77.137500000000003</v>
      </c>
      <c r="E47" s="55" cm="1">
        <f t="array" ref="E47">(VLOOKUP($A47,'The List'!$B1:$AH671,17,FALSE)-AVERAGE('The List'!R2:R671))/STDEV('The List'!R2:R671)</f>
        <v>1.8383310842948426</v>
      </c>
      <c r="F47" s="55" cm="1">
        <f t="array" ref="F47">(VLOOKUP($A47,'The List'!$B1:$AH671,18,FALSE)-AVERAGE('The List'!S2:S671))/STDEV('The List'!S2:S671)</f>
        <v>-7.6831188947844492E-2</v>
      </c>
      <c r="G47" s="55" cm="1">
        <f t="array" ref="G47">(VLOOKUP($A47,'The List'!$B1:$AH671,19,FALSE)-AVERAGE('The List'!T2:T671))/STDEV('The List'!T2:T671)</f>
        <v>2.4481986008606249</v>
      </c>
      <c r="H47" s="55" cm="1">
        <f t="array" ref="H47">(VLOOKUP($A47,'The List'!$B1:$AH671,20,FALSE)-AVERAGE('The List'!U2:U671))/STDEV('The List'!U2:U671)</f>
        <v>1.5058156704847245</v>
      </c>
      <c r="I47" s="55" cm="1">
        <f t="array" ref="I47">(VLOOKUP($A47,'The List'!$B1:$AH671,21,FALSE)-AVERAGE('The List'!V2:V671))/STDEV('The List'!V2:V671)</f>
        <v>0.17072827801699364</v>
      </c>
      <c r="J47" s="55" cm="1">
        <f t="array" ref="J47">(VLOOKUP($A47,'The List'!$B1:$AH671,22,FALSE)-AVERAGE('The List'!W2:W671))/STDEV('The List'!W2:W671)</f>
        <v>0.59768913860035866</v>
      </c>
      <c r="K47" s="55" cm="1">
        <f t="array" ref="K47">(VLOOKUP($A47,'The List'!$B1:$AH671,23,FALSE)-AVERAGE('The List'!X2:X671))/STDEV('The List'!X2:X671)</f>
        <v>2.2451608722037975</v>
      </c>
      <c r="L47" s="55" cm="1">
        <f t="array" ref="L47">(VLOOKUP($A47,'The List'!$B1:$AH671,24,FALSE)-AVERAGE('The List'!Y2:Y671))/STDEV('The List'!Y2:Y671)</f>
        <v>-0.39119362009256714</v>
      </c>
      <c r="M47" s="55" cm="1">
        <f t="array" ref="M47">(VLOOKUP($A47,'The List'!$B1:$AH671,25,FALSE)-AVERAGE('The List'!Z2:Z671))/STDEV('The List'!Z2:Z671)</f>
        <v>-0.13446867962077433</v>
      </c>
      <c r="N47" s="55" cm="1">
        <f t="array" ref="N47">(VLOOKUP($A47,'The List'!$B1:$AH671,26,FALSE)-AVERAGE('The List'!AA2:AA671))/STDEV('The List'!AA2:AA671)</f>
        <v>1.1874836591050539</v>
      </c>
      <c r="O47" s="55" cm="1">
        <f t="array" ref="O47">(VLOOKUP($A47,'The List'!$B1:$AH671,27,FALSE)-AVERAGE('The List'!AB2:AB671))/STDEV('The List'!AB2:AB671)</f>
        <v>-0.80419615897031982</v>
      </c>
      <c r="P47" s="55" cm="1">
        <f t="array" ref="P47">(VLOOKUP($A47,'The List'!$B1:$AH671,28,FALSE)-AVERAGE('The List'!AC2:AC671))/STDEV('The List'!AC2:AC671)</f>
        <v>0.78512365905748183</v>
      </c>
      <c r="Q47" s="55" cm="1">
        <f t="array" ref="Q47">(VLOOKUP($A47,'The List'!$B1:$AH671,29,FALSE)-AVERAGE('The List'!AD2:AD671))/STDEV('The List'!AD2:AD671)</f>
        <v>0.28169967578766647</v>
      </c>
      <c r="R47" s="55" cm="1">
        <f t="array" ref="R47">(VLOOKUP($A47,'The List'!$B1:$AH671,30,FALSE)-AVERAGE('The List'!AE2:AE671))/STDEV('The List'!AE2:AE671)</f>
        <v>-6.2371995953048397E-2</v>
      </c>
      <c r="S47" s="55" cm="1">
        <f t="array" ref="S47">(VLOOKUP($A47,'The List'!$B1:$AH671,31,FALSE)-AVERAGE('The List'!AF2:AF671))/STDEV('The List'!AF2:AF671)</f>
        <v>-0.5939690971349143</v>
      </c>
      <c r="T47" s="55" cm="1">
        <f t="array" ref="T47">(VLOOKUP($A47,'The List'!$B1:$AH671,32,FALSE)-AVERAGE('The List'!AG2:AG671))/STDEV('The List'!AG2:AG671)</f>
        <v>-0.64602208138248207</v>
      </c>
      <c r="U47" s="55" cm="1">
        <f t="array" ref="U47">(VLOOKUP($A47,'The List'!$B1:$AH671,33,FALSE)-AVERAGE('The List'!AH2:AH671))/STDEV('The List'!AH2:AH671)</f>
        <v>-1.2548938914719048</v>
      </c>
      <c r="V47" s="55"/>
      <c r="W47" s="57"/>
      <c r="X47" s="55"/>
      <c r="Y47" s="55"/>
      <c r="Z47" s="55"/>
      <c r="AA47" s="55"/>
      <c r="AB47" s="55"/>
      <c r="AC47" s="55"/>
      <c r="AD47" s="55"/>
      <c r="AE47" s="55"/>
    </row>
    <row r="48" spans="1:31" ht="21.25" customHeight="1" x14ac:dyDescent="0.15">
      <c r="A48" s="10" t="s">
        <v>319</v>
      </c>
      <c r="B48" s="18" t="str" cm="1">
        <f t="array" ref="B48">VLOOKUP(A48,'Player Data'!A1:B673,2,FALSE)</f>
        <v>CAR</v>
      </c>
      <c r="C48" s="52" cm="1">
        <f t="array" ref="C48">((E48)*Settings!$C$12)+(F48*Settings!$C$2)+(G48*Settings!$C$3)+(H48*Settings!$C$4)+(I48*Settings!$C$5)+(K48*Settings!$C$9)+(N48*Settings!$C$6)+(J48*Settings!$C$8)+(O48*Settings!$C$7)+(P48*Settings!$C$14)+(Q48*Settings!$C$15)+(R48*Settings!$C$16)+(S48*Settings!$C$17)+(T48*Settings!$C$18)+(U48*Settings!$C$19)+(L48*Settings!$C$10)+(Settings!$C$11*M48)</f>
        <v>2.886345969944208</v>
      </c>
      <c r="D48" s="57" cm="1">
        <f t="array" ref="D48">IF(Settings!$E$12="YES",VLOOKUP(A48,'Player Data'!A1:E673,5,FALSE),82)</f>
        <v>60</v>
      </c>
      <c r="E48" s="55" cm="1">
        <f t="array" ref="E48">(VLOOKUP($A48,'The List'!$B1:$AH671,17,FALSE)-AVERAGE('The List'!R2:R671))/STDEV('The List'!R2:R671)</f>
        <v>0.69059799894137452</v>
      </c>
      <c r="F48" s="55" cm="1">
        <f t="array" ref="F48">(VLOOKUP($A48,'The List'!$B1:$AH671,18,FALSE)-AVERAGE('The List'!S2:S671))/STDEV('The List'!S2:S671)</f>
        <v>1.3799719299379332</v>
      </c>
      <c r="G48" s="55" cm="1">
        <f t="array" ref="G48">(VLOOKUP($A48,'The List'!$B1:$AH671,19,FALSE)-AVERAGE('The List'!T2:T671))/STDEV('The List'!T2:T671)</f>
        <v>0.49094336337931038</v>
      </c>
      <c r="H48" s="55" cm="1">
        <f t="array" ref="H48">(VLOOKUP($A48,'The List'!$B1:$AH671,20,FALSE)-AVERAGE('The List'!U2:U671))/STDEV('The List'!U2:U671)</f>
        <v>0.9210643105785884</v>
      </c>
      <c r="I48" s="55" cm="1">
        <f t="array" ref="I48">(VLOOKUP($A48,'The List'!$B1:$AH671,21,FALSE)-AVERAGE('The List'!V2:V671))/STDEV('The List'!V2:V671)</f>
        <v>0.92460326506706403</v>
      </c>
      <c r="J48" s="55" cm="1">
        <f t="array" ref="J48">(VLOOKUP($A48,'The List'!$B1:$AH671,22,FALSE)-AVERAGE('The List'!W2:W671))/STDEV('The List'!W2:W671)</f>
        <v>0.8484064116477491</v>
      </c>
      <c r="K48" s="55" cm="1">
        <f t="array" ref="K48">(VLOOKUP($A48,'The List'!$B1:$AH671,23,FALSE)-AVERAGE('The List'!X2:X671))/STDEV('The List'!X2:X671)</f>
        <v>0.90426598351525078</v>
      </c>
      <c r="L48" s="55" cm="1">
        <f t="array" ref="L48">(VLOOKUP($A48,'The List'!$B1:$AH671,24,FALSE)-AVERAGE('The List'!Y2:Y671))/STDEV('The List'!Y2:Y671)</f>
        <v>4.0810127598577948</v>
      </c>
      <c r="M48" s="55" cm="1">
        <f t="array" ref="M48">(VLOOKUP($A48,'The List'!$B1:$AH671,25,FALSE)-AVERAGE('The List'!Z2:Z671))/STDEV('The List'!Z2:Z671)</f>
        <v>3.6075067210247296</v>
      </c>
      <c r="N48" s="55" cm="1">
        <f t="array" ref="N48">(VLOOKUP($A48,'The List'!$B1:$AH671,26,FALSE)-AVERAGE('The List'!AA2:AA671))/STDEV('The List'!AA2:AA671)</f>
        <v>-0.84494255161206422</v>
      </c>
      <c r="O48" s="55" cm="1">
        <f t="array" ref="O48">(VLOOKUP($A48,'The List'!$B1:$AH671,27,FALSE)-AVERAGE('The List'!AB2:AB671))/STDEV('The List'!AB2:AB671)</f>
        <v>-0.29265990792921848</v>
      </c>
      <c r="P48" s="55" cm="1">
        <f t="array" ref="P48">(VLOOKUP($A48,'The List'!$B1:$AH671,28,FALSE)-AVERAGE('The List'!AC2:AC671))/STDEV('The List'!AC2:AC671)</f>
        <v>1.0892222889566128</v>
      </c>
      <c r="Q48" s="55" cm="1">
        <f t="array" ref="Q48">(VLOOKUP($A48,'The List'!$B1:$AH671,29,FALSE)-AVERAGE('The List'!AD2:AD671))/STDEV('The List'!AD2:AD671)</f>
        <v>-1.057718309299899</v>
      </c>
      <c r="R48" s="55" cm="1">
        <f t="array" ref="R48">(VLOOKUP($A48,'The List'!$B1:$AH671,30,FALSE)-AVERAGE('The List'!AE2:AE671))/STDEV('The List'!AE2:AE671)</f>
        <v>1.6192380063115182</v>
      </c>
      <c r="S48" s="55" cm="1">
        <f t="array" ref="S48">(VLOOKUP($A48,'The List'!$B1:$AH671,31,FALSE)-AVERAGE('The List'!AF2:AF671))/STDEV('The List'!AF2:AF671)</f>
        <v>-0.38799773458225284</v>
      </c>
      <c r="T48" s="55" cm="1">
        <f t="array" ref="T48">(VLOOKUP($A48,'The List'!$B1:$AH671,32,FALSE)-AVERAGE('The List'!AG2:AG671))/STDEV('The List'!AG2:AG671)</f>
        <v>-0.31171983258820896</v>
      </c>
      <c r="U48" s="55" cm="1">
        <f t="array" ref="U48">(VLOOKUP($A48,'The List'!$B1:$AH671,33,FALSE)-AVERAGE('The List'!AH2:AH671))/STDEV('The List'!AH2:AH671)</f>
        <v>0.56633714753599929</v>
      </c>
      <c r="V48" s="55"/>
      <c r="W48" s="78"/>
      <c r="X48" s="57"/>
      <c r="Y48" s="57"/>
      <c r="Z48" s="57"/>
      <c r="AA48" s="57"/>
      <c r="AB48" s="57"/>
      <c r="AC48" s="60"/>
      <c r="AD48" s="61"/>
      <c r="AE48" s="55"/>
    </row>
    <row r="49" spans="1:31" ht="21.25" customHeight="1" x14ac:dyDescent="0.15">
      <c r="A49" s="10" t="s">
        <v>176</v>
      </c>
      <c r="B49" s="18" t="str" cm="1">
        <f t="array" ref="B49">VLOOKUP(A49,'Player Data'!A1:B673,2,FALSE)</f>
        <v>DET</v>
      </c>
      <c r="C49" s="52" cm="1">
        <f t="array" ref="C49">((E49)*Settings!$C$12)+(F49*Settings!$C$2)+(G49*Settings!$C$3)+(H49*Settings!$C$4)+(I49*Settings!$C$5)+(K49*Settings!$C$9)+(N49*Settings!$C$6)+(J49*Settings!$C$8)+(O49*Settings!$C$7)+(P49*Settings!$C$14)+(Q49*Settings!$C$15)+(R49*Settings!$C$16)+(S49*Settings!$C$17)+(T49*Settings!$C$18)+(U49*Settings!$C$19)+(L49*Settings!$C$10)+(Settings!$C$11*M49)</f>
        <v>7.0210080392316865</v>
      </c>
      <c r="D49" s="57" cm="1">
        <f t="array" ref="D49">IF(Settings!$E$12="YES",VLOOKUP(A49,'Player Data'!A1:E673,5,FALSE),82)</f>
        <v>84.03</v>
      </c>
      <c r="E49" s="55" cm="1">
        <f t="array" ref="E49">(VLOOKUP($A49,'The List'!$B1:$AH671,17,FALSE)-AVERAGE('The List'!R2:R671))/STDEV('The List'!R2:R671)</f>
        <v>0.42502327709361759</v>
      </c>
      <c r="F49" s="55" cm="1">
        <f t="array" ref="F49">(VLOOKUP($A49,'The List'!$B1:$AH671,18,FALSE)-AVERAGE('The List'!S2:S671))/STDEV('The List'!S2:S671)</f>
        <v>2.3524653922288712</v>
      </c>
      <c r="G49" s="55" cm="1">
        <f t="array" ref="G49">(VLOOKUP($A49,'The List'!$B1:$AH671,19,FALSE)-AVERAGE('The List'!T2:T671))/STDEV('The List'!T2:T671)</f>
        <v>1.1689566596671563</v>
      </c>
      <c r="H49" s="55" cm="1">
        <f t="array" ref="H49">(VLOOKUP($A49,'The List'!$B1:$AH671,20,FALSE)-AVERAGE('The List'!U2:U671))/STDEV('The List'!U2:U671)</f>
        <v>1.7790052894648511</v>
      </c>
      <c r="I49" s="55" cm="1">
        <f t="array" ref="I49">(VLOOKUP($A49,'The List'!$B1:$AH671,21,FALSE)-AVERAGE('The List'!V2:V671))/STDEV('The List'!V2:V671)</f>
        <v>2.526154979007778</v>
      </c>
      <c r="J49" s="55" cm="1">
        <f t="array" ref="J49">(VLOOKUP($A49,'The List'!$B1:$AH671,22,FALSE)-AVERAGE('The List'!W2:W671))/STDEV('The List'!W2:W671)</f>
        <v>2.9157190579970762</v>
      </c>
      <c r="K49" s="55" cm="1">
        <f t="array" ref="K49">(VLOOKUP($A49,'The List'!$B1:$AH671,23,FALSE)-AVERAGE('The List'!X2:X671))/STDEV('The List'!X2:X671)</f>
        <v>1.6523737259868485</v>
      </c>
      <c r="L49" s="55" cm="1">
        <f t="array" ref="L49">(VLOOKUP($A49,'The List'!$B1:$AH671,24,FALSE)-AVERAGE('The List'!Y2:Y671))/STDEV('The List'!Y2:Y671)</f>
        <v>-0.52997786104419886</v>
      </c>
      <c r="M49" s="55" cm="1">
        <f t="array" ref="M49">(VLOOKUP($A49,'The List'!$B1:$AH671,25,FALSE)-AVERAGE('The List'!Z2:Z671))/STDEV('The List'!Z2:Z671)</f>
        <v>-0.67249895994910835</v>
      </c>
      <c r="N49" s="55" cm="1">
        <f t="array" ref="N49">(VLOOKUP($A49,'The List'!$B1:$AH671,26,FALSE)-AVERAGE('The List'!AA2:AA671))/STDEV('The List'!AA2:AA671)</f>
        <v>-0.60185261858894057</v>
      </c>
      <c r="O49" s="55" cm="1">
        <f t="array" ref="O49">(VLOOKUP($A49,'The List'!$B1:$AH671,27,FALSE)-AVERAGE('The List'!AB2:AB671))/STDEV('The List'!AB2:AB671)</f>
        <v>-0.86842679804907108</v>
      </c>
      <c r="P49" s="55" cm="1">
        <f t="array" ref="P49">(VLOOKUP($A49,'The List'!$B1:$AH671,28,FALSE)-AVERAGE('The List'!AC2:AC671))/STDEV('The List'!AC2:AC671)</f>
        <v>0.15773889716216991</v>
      </c>
      <c r="Q49" s="55" cm="1">
        <f t="array" ref="Q49">(VLOOKUP($A49,'The List'!$B1:$AH671,29,FALSE)-AVERAGE('The List'!AD2:AD671))/STDEV('The List'!AD2:AD671)</f>
        <v>-0.23482899623219644</v>
      </c>
      <c r="R49" s="55" cm="1">
        <f t="array" ref="R49">(VLOOKUP($A49,'The List'!$B1:$AH671,30,FALSE)-AVERAGE('The List'!AE2:AE671))/STDEV('The List'!AE2:AE671)</f>
        <v>2.3133923105727559</v>
      </c>
      <c r="S49" s="55" cm="1">
        <f t="array" ref="S49">(VLOOKUP($A49,'The List'!$B1:$AH671,31,FALSE)-AVERAGE('The List'!AF2:AF671))/STDEV('The List'!AF2:AF671)</f>
        <v>-0.49369367013342047</v>
      </c>
      <c r="T49" s="55" cm="1">
        <f t="array" ref="T49">(VLOOKUP($A49,'The List'!$B1:$AH671,32,FALSE)-AVERAGE('The List'!AG2:AG671))/STDEV('The List'!AG2:AG671)</f>
        <v>-0.49419983876523266</v>
      </c>
      <c r="U49" s="55" cm="1">
        <f t="array" ref="U49">(VLOOKUP($A49,'The List'!$B1:$AH671,33,FALSE)-AVERAGE('The List'!AH2:AH671))/STDEV('The List'!AH2:AH671)</f>
        <v>0.64331027302971444</v>
      </c>
      <c r="V49" s="55"/>
      <c r="W49" s="78"/>
      <c r="X49" s="57"/>
      <c r="Y49" s="57"/>
      <c r="Z49" s="57"/>
      <c r="AA49" s="57"/>
      <c r="AB49" s="57"/>
      <c r="AC49" s="60"/>
      <c r="AD49" s="61"/>
      <c r="AE49" s="55"/>
    </row>
    <row r="50" spans="1:31" ht="21.25" customHeight="1" x14ac:dyDescent="0.15">
      <c r="A50" s="10" t="s">
        <v>168</v>
      </c>
      <c r="B50" s="18" t="str" cm="1">
        <f t="array" ref="B50">VLOOKUP(A50,'Player Data'!A1:B673,2,FALSE)</f>
        <v>UTA</v>
      </c>
      <c r="C50" s="52" cm="1">
        <f t="array" ref="C50">((E50)*Settings!$C$12)+(F50*Settings!$C$2)+(G50*Settings!$C$3)+(H50*Settings!$C$4)+(I50*Settings!$C$5)+(K50*Settings!$C$9)+(N50*Settings!$C$6)+(J50*Settings!$C$8)+(O50*Settings!$C$7)+(P50*Settings!$C$14)+(Q50*Settings!$C$15)+(R50*Settings!$C$16)+(S50*Settings!$C$17)+(T50*Settings!$C$18)+(U50*Settings!$C$19)+(L50*Settings!$C$10)+(Settings!$C$11*M50)</f>
        <v>8.0246101399434515</v>
      </c>
      <c r="D50" s="57" cm="1">
        <f t="array" ref="D50">IF(Settings!$E$12="YES",VLOOKUP(A50,'Player Data'!A1:E673,5,FALSE),82)</f>
        <v>80.647499999999994</v>
      </c>
      <c r="E50" s="55" cm="1">
        <f t="array" ref="E50">(VLOOKUP($A50,'The List'!$B1:$AH671,17,FALSE)-AVERAGE('The List'!R2:R671))/STDEV('The List'!R2:R671)</f>
        <v>0.25301357510814709</v>
      </c>
      <c r="F50" s="55" cm="1">
        <f t="array" ref="F50">(VLOOKUP($A50,'The List'!$B1:$AH671,18,FALSE)-AVERAGE('The List'!S2:S671))/STDEV('The List'!S2:S671)</f>
        <v>2.6216825986673316</v>
      </c>
      <c r="G50" s="55" cm="1">
        <f t="array" ref="G50">(VLOOKUP($A50,'The List'!$B1:$AH671,19,FALSE)-AVERAGE('The List'!T2:T671))/STDEV('The List'!T2:T671)</f>
        <v>1.2523648422026255</v>
      </c>
      <c r="H50" s="55" cm="1">
        <f t="array" ref="H50">(VLOOKUP($A50,'The List'!$B1:$AH671,20,FALSE)-AVERAGE('The List'!U2:U671))/STDEV('The List'!U2:U671)</f>
        <v>1.9509144141578798</v>
      </c>
      <c r="I50" s="55" cm="1">
        <f t="array" ref="I50">(VLOOKUP($A50,'The List'!$B1:$AH671,21,FALSE)-AVERAGE('The List'!V2:V671))/STDEV('The List'!V2:V671)</f>
        <v>2.2137138095324294</v>
      </c>
      <c r="J50" s="55" cm="1">
        <f t="array" ref="J50">(VLOOKUP($A50,'The List'!$B1:$AH671,22,FALSE)-AVERAGE('The List'!W2:W671))/STDEV('The List'!W2:W671)</f>
        <v>2.5752924228067466</v>
      </c>
      <c r="K50" s="55" cm="1">
        <f t="array" ref="K50">(VLOOKUP($A50,'The List'!$B1:$AH671,23,FALSE)-AVERAGE('The List'!X2:X671))/STDEV('The List'!X2:X671)</f>
        <v>2.2644940430639684</v>
      </c>
      <c r="L50" s="55" cm="1">
        <f t="array" ref="L50">(VLOOKUP($A50,'The List'!$B1:$AH671,24,FALSE)-AVERAGE('The List'!Y2:Y671))/STDEV('The List'!Y2:Y671)</f>
        <v>-0.27837528515422222</v>
      </c>
      <c r="M50" s="55" cm="1">
        <f t="array" ref="M50">(VLOOKUP($A50,'The List'!$B1:$AH671,25,FALSE)-AVERAGE('The List'!Z2:Z671))/STDEV('The List'!Z2:Z671)</f>
        <v>-0.38578737704393595</v>
      </c>
      <c r="N50" s="55" cm="1">
        <f t="array" ref="N50">(VLOOKUP($A50,'The List'!$B1:$AH671,26,FALSE)-AVERAGE('The List'!AA2:AA671))/STDEV('The List'!AA2:AA671)</f>
        <v>-0.71553933741174214</v>
      </c>
      <c r="O50" s="55" cm="1">
        <f t="array" ref="O50">(VLOOKUP($A50,'The List'!$B1:$AH671,27,FALSE)-AVERAGE('The List'!AB2:AB671))/STDEV('The List'!AB2:AB671)</f>
        <v>-0.31331004804544782</v>
      </c>
      <c r="P50" s="55" cm="1">
        <f t="array" ref="P50">(VLOOKUP($A50,'The List'!$B1:$AH671,28,FALSE)-AVERAGE('The List'!AC2:AC671))/STDEV('The List'!AC2:AC671)</f>
        <v>0.50500465731958555</v>
      </c>
      <c r="Q50" s="55" cm="1">
        <f t="array" ref="Q50">(VLOOKUP($A50,'The List'!$B1:$AH671,29,FALSE)-AVERAGE('The List'!AD2:AD671))/STDEV('The List'!AD2:AD671)</f>
        <v>-0.11711047343074736</v>
      </c>
      <c r="R50" s="55" cm="1">
        <f t="array" ref="R50">(VLOOKUP($A50,'The List'!$B1:$AH671,30,FALSE)-AVERAGE('The List'!AE2:AE671))/STDEV('The List'!AE2:AE671)</f>
        <v>2.7002116359812982</v>
      </c>
      <c r="S50" s="55" cm="1">
        <f t="array" ref="S50">(VLOOKUP($A50,'The List'!$B1:$AH671,31,FALSE)-AVERAGE('The List'!AF2:AF671))/STDEV('The List'!AF2:AF671)</f>
        <v>-0.4907146676674215</v>
      </c>
      <c r="T50" s="55" cm="1">
        <f t="array" ref="T50">(VLOOKUP($A50,'The List'!$B1:$AH671,32,FALSE)-AVERAGE('The List'!AG2:AG671))/STDEV('The List'!AG2:AG671)</f>
        <v>-0.44792389472426036</v>
      </c>
      <c r="U50" s="55" cm="1">
        <f t="array" ref="U50">(VLOOKUP($A50,'The List'!$B1:$AH671,33,FALSE)-AVERAGE('The List'!AH2:AH671))/STDEV('The List'!AH2:AH671)</f>
        <v>0.38595815307887749</v>
      </c>
      <c r="V50" s="55"/>
      <c r="W50" s="78"/>
      <c r="X50" s="57"/>
      <c r="Y50" s="57"/>
      <c r="Z50" s="57"/>
      <c r="AA50" s="57"/>
      <c r="AB50" s="57"/>
      <c r="AC50" s="60"/>
      <c r="AD50" s="61"/>
      <c r="AE50" s="55"/>
    </row>
    <row r="51" spans="1:31" ht="21.25" customHeight="1" x14ac:dyDescent="0.15">
      <c r="A51" s="10" t="s">
        <v>212</v>
      </c>
      <c r="B51" s="18" t="str" cm="1">
        <f t="array" ref="B51">VLOOKUP(A51,'Player Data'!A1:B673,2,FALSE)</f>
        <v>UTA</v>
      </c>
      <c r="C51" s="52" cm="1">
        <f t="array" ref="C51">((E51)*Settings!$C$12)+(F51*Settings!$C$2)+(G51*Settings!$C$3)+(H51*Settings!$C$4)+(I51*Settings!$C$5)+(K51*Settings!$C$9)+(N51*Settings!$C$6)+(J51*Settings!$C$8)+(O51*Settings!$C$7)+(P51*Settings!$C$14)+(Q51*Settings!$C$15)+(R51*Settings!$C$16)+(S51*Settings!$C$17)+(T51*Settings!$C$18)+(U51*Settings!$C$19)+(L51*Settings!$C$10)+(Settings!$C$11*M51)</f>
        <v>6.5845199159300254</v>
      </c>
      <c r="D51" s="57" cm="1">
        <f t="array" ref="D51">IF(Settings!$E$12="YES",VLOOKUP(A51,'Player Data'!A1:E673,5,FALSE),82)</f>
        <v>78.097499999999997</v>
      </c>
      <c r="E51" s="55" cm="1">
        <f t="array" ref="E51">(VLOOKUP($A51,'The List'!$B1:$AH671,17,FALSE)-AVERAGE('The List'!R2:R671))/STDEV('The List'!R2:R671)</f>
        <v>0.62556509918488545</v>
      </c>
      <c r="F51" s="55" cm="1">
        <f t="array" ref="F51">(VLOOKUP($A51,'The List'!$B1:$AH671,18,FALSE)-AVERAGE('The List'!S2:S671))/STDEV('The List'!S2:S671)</f>
        <v>2.1453260274726795</v>
      </c>
      <c r="G51" s="55" cm="1">
        <f t="array" ref="G51">(VLOOKUP($A51,'The List'!$B1:$AH671,19,FALSE)-AVERAGE('The List'!T2:T671))/STDEV('The List'!T2:T671)</f>
        <v>1.3739948989814976</v>
      </c>
      <c r="H51" s="55" cm="1">
        <f t="array" ref="H51">(VLOOKUP($A51,'The List'!$B1:$AH671,20,FALSE)-AVERAGE('The List'!U2:U671))/STDEV('The List'!U2:U671)</f>
        <v>1.8160700295725649</v>
      </c>
      <c r="I51" s="55" cm="1">
        <f t="array" ref="I51">(VLOOKUP($A51,'The List'!$B1:$AH671,21,FALSE)-AVERAGE('The List'!V2:V671))/STDEV('The List'!V2:V671)</f>
        <v>0.97190663259322352</v>
      </c>
      <c r="J51" s="55" cm="1">
        <f t="array" ref="J51">(VLOOKUP($A51,'The List'!$B1:$AH671,22,FALSE)-AVERAGE('The List'!W2:W671))/STDEV('The List'!W2:W671)</f>
        <v>2.1534125352993079</v>
      </c>
      <c r="K51" s="55" cm="1">
        <f t="array" ref="K51">(VLOOKUP($A51,'The List'!$B1:$AH671,23,FALSE)-AVERAGE('The List'!X2:X671))/STDEV('The List'!X2:X671)</f>
        <v>1.7498152964767939</v>
      </c>
      <c r="L51" s="55" cm="1">
        <f t="array" ref="L51">(VLOOKUP($A51,'The List'!$B1:$AH671,24,FALSE)-AVERAGE('The List'!Y2:Y671))/STDEV('The List'!Y2:Y671)</f>
        <v>0.59320315811630075</v>
      </c>
      <c r="M51" s="55" cm="1">
        <f t="array" ref="M51">(VLOOKUP($A51,'The List'!$B1:$AH671,25,FALSE)-AVERAGE('The List'!Z2:Z671))/STDEV('The List'!Z2:Z671)</f>
        <v>5.3881641120222888E-2</v>
      </c>
      <c r="N51" s="55" cm="1">
        <f t="array" ref="N51">(VLOOKUP($A51,'The List'!$B1:$AH671,26,FALSE)-AVERAGE('The List'!AA2:AA671))/STDEV('The List'!AA2:AA671)</f>
        <v>-0.62992100729637901</v>
      </c>
      <c r="O51" s="55" cm="1">
        <f t="array" ref="O51">(VLOOKUP($A51,'The List'!$B1:$AH671,27,FALSE)-AVERAGE('The List'!AB2:AB671))/STDEV('The List'!AB2:AB671)</f>
        <v>-0.20074535966457011</v>
      </c>
      <c r="P51" s="55" cm="1">
        <f t="array" ref="P51">(VLOOKUP($A51,'The List'!$B1:$AH671,28,FALSE)-AVERAGE('The List'!AC2:AC671))/STDEV('The List'!AC2:AC671)</f>
        <v>0.41442451662667928</v>
      </c>
      <c r="Q51" s="55" cm="1">
        <f t="array" ref="Q51">(VLOOKUP($A51,'The List'!$B1:$AH671,29,FALSE)-AVERAGE('The List'!AD2:AD671))/STDEV('The List'!AD2:AD671)</f>
        <v>0.55897355107553026</v>
      </c>
      <c r="R51" s="55" cm="1">
        <f t="array" ref="R51">(VLOOKUP($A51,'The List'!$B1:$AH671,30,FALSE)-AVERAGE('The List'!AE2:AE671))/STDEV('The List'!AE2:AE671)</f>
        <v>2.2190286446723246</v>
      </c>
      <c r="S51" s="55" cm="1">
        <f t="array" ref="S51">(VLOOKUP($A51,'The List'!$B1:$AH671,31,FALSE)-AVERAGE('The List'!AF2:AF671))/STDEV('The List'!AF2:AF671)</f>
        <v>1.2961268193354138</v>
      </c>
      <c r="T51" s="55" cm="1">
        <f t="array" ref="T51">(VLOOKUP($A51,'The List'!$B1:$AH671,32,FALSE)-AVERAGE('The List'!AG2:AG671))/STDEV('The List'!AG2:AG671)</f>
        <v>2.0467572612249461</v>
      </c>
      <c r="U51" s="55" cm="1">
        <f t="array" ref="U51">(VLOOKUP($A51,'The List'!$B1:$AH671,33,FALSE)-AVERAGE('The List'!AH2:AH671))/STDEV('The List'!AH2:AH671)</f>
        <v>0.71145277414388208</v>
      </c>
      <c r="V51" s="55"/>
      <c r="W51" s="78"/>
      <c r="X51" s="57"/>
      <c r="Y51" s="57"/>
      <c r="Z51" s="57"/>
      <c r="AA51" s="57"/>
      <c r="AB51" s="57"/>
      <c r="AC51" s="60"/>
      <c r="AD51" s="61"/>
      <c r="AE51" s="55"/>
    </row>
    <row r="52" spans="1:31" ht="21.25" customHeight="1" x14ac:dyDescent="0.15">
      <c r="A52" s="10" t="s">
        <v>190</v>
      </c>
      <c r="B52" s="18" t="str" cm="1">
        <f t="array" ref="B52">VLOOKUP(A52,'Player Data'!A1:B673,2,FALSE)</f>
        <v>NSH</v>
      </c>
      <c r="C52" s="52" cm="1">
        <f t="array" ref="C52">((E52)*Settings!$C$12)+(F52*Settings!$C$2)+(G52*Settings!$C$3)+(H52*Settings!$C$4)+(I52*Settings!$C$5)+(K52*Settings!$C$9)+(N52*Settings!$C$6)+(J52*Settings!$C$8)+(O52*Settings!$C$7)+(P52*Settings!$C$14)+(Q52*Settings!$C$15)+(R52*Settings!$C$16)+(S52*Settings!$C$17)+(T52*Settings!$C$18)+(U52*Settings!$C$19)+(L52*Settings!$C$10)+(Settings!$C$11*M52)</f>
        <v>6.9685181931353144</v>
      </c>
      <c r="D52" s="57" cm="1">
        <f t="array" ref="D52">IF(Settings!$E$12="YES",VLOOKUP(A52,'Player Data'!A1:E673,5,FALSE),82)</f>
        <v>84.03</v>
      </c>
      <c r="E52" s="55" cm="1">
        <f t="array" ref="E52">(VLOOKUP($A52,'The List'!$B1:$AH671,17,FALSE)-AVERAGE('The List'!R2:R671))/STDEV('The List'!R2:R671)</f>
        <v>0.55971931934275287</v>
      </c>
      <c r="F52" s="55" cm="1">
        <f t="array" ref="F52">(VLOOKUP($A52,'The List'!$B1:$AH671,18,FALSE)-AVERAGE('The List'!S2:S671))/STDEV('The List'!S2:S671)</f>
        <v>2.2189927349387459</v>
      </c>
      <c r="G52" s="55" cm="1">
        <f t="array" ref="G52">(VLOOKUP($A52,'The List'!$B1:$AH671,19,FALSE)-AVERAGE('The List'!T2:T671))/STDEV('The List'!T2:T671)</f>
        <v>1.1454587324262233</v>
      </c>
      <c r="H52" s="55" cm="1">
        <f t="array" ref="H52">(VLOOKUP($A52,'The List'!$B1:$AH671,20,FALSE)-AVERAGE('The List'!U2:U671))/STDEV('The List'!U2:U671)</f>
        <v>1.7050063026922921</v>
      </c>
      <c r="I52" s="55" cm="1">
        <f t="array" ref="I52">(VLOOKUP($A52,'The List'!$B1:$AH671,21,FALSE)-AVERAGE('The List'!V2:V671))/STDEV('The List'!V2:V671)</f>
        <v>2.4778407331708783</v>
      </c>
      <c r="J52" s="55" cm="1">
        <f t="array" ref="J52">(VLOOKUP($A52,'The List'!$B1:$AH671,22,FALSE)-AVERAGE('The List'!W2:W671))/STDEV('The List'!W2:W671)</f>
        <v>2.0886242838933633</v>
      </c>
      <c r="K52" s="55" cm="1">
        <f t="array" ref="K52">(VLOOKUP($A52,'The List'!$B1:$AH671,23,FALSE)-AVERAGE('The List'!X2:X671))/STDEV('The List'!X2:X671)</f>
        <v>1.7336695808133518</v>
      </c>
      <c r="L52" s="55" cm="1">
        <f t="array" ref="L52">(VLOOKUP($A52,'The List'!$B1:$AH671,24,FALSE)-AVERAGE('The List'!Y2:Y671))/STDEV('The List'!Y2:Y671)</f>
        <v>-0.55479027189455954</v>
      </c>
      <c r="M52" s="55" cm="1">
        <f t="array" ref="M52">(VLOOKUP($A52,'The List'!$B1:$AH671,25,FALSE)-AVERAGE('The List'!Z2:Z671))/STDEV('The List'!Z2:Z671)</f>
        <v>-0.69684837851599724</v>
      </c>
      <c r="N52" s="55" cm="1">
        <f t="array" ref="N52">(VLOOKUP($A52,'The List'!$B1:$AH671,26,FALSE)-AVERAGE('The List'!AA2:AA671))/STDEV('The List'!AA2:AA671)</f>
        <v>-0.59033249486603567</v>
      </c>
      <c r="O52" s="55" cm="1">
        <f t="array" ref="O52">(VLOOKUP($A52,'The List'!$B1:$AH671,27,FALSE)-AVERAGE('The List'!AB2:AB671))/STDEV('The List'!AB2:AB671)</f>
        <v>0.85682767705447604</v>
      </c>
      <c r="P52" s="55" cm="1">
        <f t="array" ref="P52">(VLOOKUP($A52,'The List'!$B1:$AH671,28,FALSE)-AVERAGE('The List'!AC2:AC671))/STDEV('The List'!AC2:AC671)</f>
        <v>-0.63079844215779635</v>
      </c>
      <c r="Q52" s="55" cm="1">
        <f t="array" ref="Q52">(VLOOKUP($A52,'The List'!$B1:$AH671,29,FALSE)-AVERAGE('The List'!AD2:AD671))/STDEV('The List'!AD2:AD671)</f>
        <v>0.61368734880994591</v>
      </c>
      <c r="R52" s="55" cm="1">
        <f t="array" ref="R52">(VLOOKUP($A52,'The List'!$B1:$AH671,30,FALSE)-AVERAGE('The List'!AE2:AE671))/STDEV('The List'!AE2:AE671)</f>
        <v>1.7747451384570194</v>
      </c>
      <c r="S52" s="55" cm="1">
        <f t="array" ref="S52">(VLOOKUP($A52,'The List'!$B1:$AH671,31,FALSE)-AVERAGE('The List'!AF2:AF671))/STDEV('The List'!AF2:AF671)</f>
        <v>-0.54774596028084965</v>
      </c>
      <c r="T52" s="55" cm="1">
        <f t="array" ref="T52">(VLOOKUP($A52,'The List'!$B1:$AH671,32,FALSE)-AVERAGE('The List'!AG2:AG671))/STDEV('The List'!AG2:AG671)</f>
        <v>-0.54702954583147378</v>
      </c>
      <c r="U52" s="55" cm="1">
        <f t="array" ref="U52">(VLOOKUP($A52,'The List'!$B1:$AH671,33,FALSE)-AVERAGE('The List'!AH2:AH671))/STDEV('The List'!AH2:AH671)</f>
        <v>0.27180526759785933</v>
      </c>
      <c r="V52" s="55"/>
      <c r="W52" s="78"/>
      <c r="X52" s="57"/>
      <c r="Y52" s="57"/>
      <c r="Z52" s="57"/>
      <c r="AA52" s="57"/>
      <c r="AB52" s="57"/>
      <c r="AC52" s="60"/>
      <c r="AD52" s="61"/>
      <c r="AE52" s="55"/>
    </row>
    <row r="53" spans="1:31" ht="21.25" customHeight="1" x14ac:dyDescent="0.15">
      <c r="A53" s="10" t="s">
        <v>207</v>
      </c>
      <c r="B53" s="18" t="str" cm="1">
        <f t="array" ref="B53">VLOOKUP(A53,'Player Data'!A1:B673,2,FALSE)</f>
        <v>CBJ</v>
      </c>
      <c r="C53" s="52" cm="1">
        <f t="array" ref="C53">((E53)*Settings!$C$12)+(F53*Settings!$C$2)+(G53*Settings!$C$3)+(H53*Settings!$C$4)+(I53*Settings!$C$5)+(K53*Settings!$C$9)+(N53*Settings!$C$6)+(J53*Settings!$C$8)+(O53*Settings!$C$7)+(P53*Settings!$C$14)+(Q53*Settings!$C$15)+(R53*Settings!$C$16)+(S53*Settings!$C$17)+(T53*Settings!$C$18)+(U53*Settings!$C$19)+(L53*Settings!$C$10)+(Settings!$C$11*M53)</f>
        <v>6.6579308238782255</v>
      </c>
      <c r="D53" s="57" cm="1">
        <f t="array" ref="D53">IF(Settings!$E$12="YES",VLOOKUP(A53,'Player Data'!A1:E673,5,FALSE),82)</f>
        <v>82.152500000000003</v>
      </c>
      <c r="E53" s="55" cm="1">
        <f t="array" ref="E53">(VLOOKUP($A53,'The List'!$B1:$AH671,17,FALSE)-AVERAGE('The List'!R2:R671))/STDEV('The List'!R2:R671)</f>
        <v>0.62247062399310582</v>
      </c>
      <c r="F53" s="55" cm="1">
        <f t="array" ref="F53">(VLOOKUP($A53,'The List'!$B1:$AH671,18,FALSE)-AVERAGE('The List'!S2:S671))/STDEV('The List'!S2:S671)</f>
        <v>1.6707997298686288</v>
      </c>
      <c r="G53" s="55" cm="1">
        <f t="array" ref="G53">(VLOOKUP($A53,'The List'!$B1:$AH671,19,FALSE)-AVERAGE('The List'!T2:T671))/STDEV('The List'!T2:T671)</f>
        <v>1.3888703241514957</v>
      </c>
      <c r="H53" s="55" cm="1">
        <f t="array" ref="H53">(VLOOKUP($A53,'The List'!$B1:$AH671,20,FALSE)-AVERAGE('The List'!U2:U671))/STDEV('The List'!U2:U671)</f>
        <v>1.614889597762686</v>
      </c>
      <c r="I53" s="55" cm="1">
        <f t="array" ref="I53">(VLOOKUP($A53,'The List'!$B1:$AH671,21,FALSE)-AVERAGE('The List'!V2:V671))/STDEV('The List'!V2:V671)</f>
        <v>1.8537540339704681</v>
      </c>
      <c r="J53" s="55" cm="1">
        <f t="array" ref="J53">(VLOOKUP($A53,'The List'!$B1:$AH671,22,FALSE)-AVERAGE('The List'!W2:W671))/STDEV('The List'!W2:W671)</f>
        <v>1.1890070508733195</v>
      </c>
      <c r="K53" s="55" cm="1">
        <f t="array" ref="K53">(VLOOKUP($A53,'The List'!$B1:$AH671,23,FALSE)-AVERAGE('The List'!X2:X671))/STDEV('The List'!X2:X671)</f>
        <v>1.6834509540996387</v>
      </c>
      <c r="L53" s="55" cm="1">
        <f t="array" ref="L53">(VLOOKUP($A53,'The List'!$B1:$AH671,24,FALSE)-AVERAGE('The List'!Y2:Y671))/STDEV('The List'!Y2:Y671)</f>
        <v>-0.31954102802721845</v>
      </c>
      <c r="M53" s="55" cm="1">
        <f t="array" ref="M53">(VLOOKUP($A53,'The List'!$B1:$AH671,25,FALSE)-AVERAGE('The List'!Z2:Z671))/STDEV('The List'!Z2:Z671)</f>
        <v>-0.5427601060559164</v>
      </c>
      <c r="N53" s="55" cm="1">
        <f t="array" ref="N53">(VLOOKUP($A53,'The List'!$B1:$AH671,26,FALSE)-AVERAGE('The List'!AA2:AA671))/STDEV('The List'!AA2:AA671)</f>
        <v>-0.53696795284640375</v>
      </c>
      <c r="O53" s="55" cm="1">
        <f t="array" ref="O53">(VLOOKUP($A53,'The List'!$B1:$AH671,27,FALSE)-AVERAGE('The List'!AB2:AB671))/STDEV('The List'!AB2:AB671)</f>
        <v>-0.48694809193123256</v>
      </c>
      <c r="P53" s="55" cm="1">
        <f t="array" ref="P53">(VLOOKUP($A53,'The List'!$B1:$AH671,28,FALSE)-AVERAGE('The List'!AC2:AC671))/STDEV('The List'!AC2:AC671)</f>
        <v>0.80335294459892881</v>
      </c>
      <c r="Q53" s="55" cm="1">
        <f t="array" ref="Q53">(VLOOKUP($A53,'The List'!$B1:$AH671,29,FALSE)-AVERAGE('The List'!AD2:AD671))/STDEV('The List'!AD2:AD671)</f>
        <v>-0.20532920996453122</v>
      </c>
      <c r="R53" s="55" cm="1">
        <f t="array" ref="R53">(VLOOKUP($A53,'The List'!$B1:$AH671,30,FALSE)-AVERAGE('The List'!AE2:AE671))/STDEV('The List'!AE2:AE671)</f>
        <v>1.7301255753320148</v>
      </c>
      <c r="S53" s="55" cm="1">
        <f t="array" ref="S53">(VLOOKUP($A53,'The List'!$B1:$AH671,31,FALSE)-AVERAGE('The List'!AF2:AF671))/STDEV('The List'!AF2:AF671)</f>
        <v>-0.54534116185803749</v>
      </c>
      <c r="T53" s="55" cm="1">
        <f t="array" ref="T53">(VLOOKUP($A53,'The List'!$B1:$AH671,32,FALSE)-AVERAGE('The List'!AG2:AG671))/STDEV('The List'!AG2:AG671)</f>
        <v>-0.56734804717300058</v>
      </c>
      <c r="U53" s="55" cm="1">
        <f t="array" ref="U53">(VLOOKUP($A53,'The List'!$B1:$AH671,33,FALSE)-AVERAGE('The List'!AH2:AH671))/STDEV('The List'!AH2:AH671)</f>
        <v>0.56985001595999973</v>
      </c>
      <c r="V53" s="55"/>
      <c r="W53" s="57"/>
      <c r="X53" s="55"/>
      <c r="Y53" s="55"/>
      <c r="Z53" s="55"/>
      <c r="AA53" s="55"/>
      <c r="AB53" s="55"/>
      <c r="AC53" s="55"/>
      <c r="AD53" s="55"/>
      <c r="AE53" s="55"/>
    </row>
    <row r="54" spans="1:31" ht="21.25" customHeight="1" x14ac:dyDescent="0.15">
      <c r="A54" s="10" t="s">
        <v>230</v>
      </c>
      <c r="B54" s="18" t="str" cm="1">
        <f t="array" ref="B54">VLOOKUP(A54,'Player Data'!A1:B673,2,FALSE)</f>
        <v>DAL</v>
      </c>
      <c r="C54" s="52" cm="1">
        <f t="array" ref="C54">((E54)*Settings!$C$12)+(F54*Settings!$C$2)+(G54*Settings!$C$3)+(H54*Settings!$C$4)+(I54*Settings!$C$5)+(K54*Settings!$C$9)+(N54*Settings!$C$6)+(J54*Settings!$C$8)+(O54*Settings!$C$7)+(P54*Settings!$C$14)+(Q54*Settings!$C$15)+(R54*Settings!$C$16)+(S54*Settings!$C$17)+(T54*Settings!$C$18)+(U54*Settings!$C$19)+(L54*Settings!$C$10)+(Settings!$C$11*M54)</f>
        <v>6.3514763881480905</v>
      </c>
      <c r="D54" s="57" cm="1">
        <f t="array" ref="D54">IF(Settings!$E$12="YES",VLOOKUP(A54,'Player Data'!A1:E673,5,FALSE),82)</f>
        <v>77.857500000000002</v>
      </c>
      <c r="E54" s="55" cm="1">
        <f t="array" ref="E54">(VLOOKUP($A54,'The List'!$B1:$AH671,17,FALSE)-AVERAGE('The List'!R2:R671))/STDEV('The List'!R2:R671)</f>
        <v>0.37649671706179222</v>
      </c>
      <c r="F54" s="55" cm="1">
        <f t="array" ref="F54">(VLOOKUP($A54,'The List'!$B1:$AH671,18,FALSE)-AVERAGE('The List'!S2:S671))/STDEV('The List'!S2:S671)</f>
        <v>1.4007394856124609</v>
      </c>
      <c r="G54" s="55" cm="1">
        <f t="array" ref="G54">(VLOOKUP($A54,'The List'!$B1:$AH671,19,FALSE)-AVERAGE('The List'!T2:T671))/STDEV('The List'!T2:T671)</f>
        <v>1.3041978443185014</v>
      </c>
      <c r="H54" s="55" cm="1">
        <f t="array" ref="H54">(VLOOKUP($A54,'The List'!$B1:$AH671,20,FALSE)-AVERAGE('The List'!U2:U671))/STDEV('The List'!U2:U671)</f>
        <v>1.4418111992019704</v>
      </c>
      <c r="I54" s="55" cm="1">
        <f t="array" ref="I54">(VLOOKUP($A54,'The List'!$B1:$AH671,21,FALSE)-AVERAGE('The List'!V2:V671))/STDEV('The List'!V2:V671)</f>
        <v>1.1182357819694873</v>
      </c>
      <c r="J54" s="55" cm="1">
        <f t="array" ref="J54">(VLOOKUP($A54,'The List'!$B1:$AH671,22,FALSE)-AVERAGE('The List'!W2:W671))/STDEV('The List'!W2:W671)</f>
        <v>1.7157163233647914</v>
      </c>
      <c r="K54" s="55" cm="1">
        <f t="array" ref="K54">(VLOOKUP($A54,'The List'!$B1:$AH671,23,FALSE)-AVERAGE('The List'!X2:X671))/STDEV('The List'!X2:X671)</f>
        <v>1.7651829789141675</v>
      </c>
      <c r="L54" s="55" cm="1">
        <f t="array" ref="L54">(VLOOKUP($A54,'The List'!$B1:$AH671,24,FALSE)-AVERAGE('The List'!Y2:Y671))/STDEV('The List'!Y2:Y671)</f>
        <v>-0.10472125453224221</v>
      </c>
      <c r="M54" s="55" cm="1">
        <f t="array" ref="M54">(VLOOKUP($A54,'The List'!$B1:$AH671,25,FALSE)-AVERAGE('The List'!Z2:Z671))/STDEV('The List'!Z2:Z671)</f>
        <v>-0.11038467781750348</v>
      </c>
      <c r="N54" s="55" cm="1">
        <f t="array" ref="N54">(VLOOKUP($A54,'The List'!$B1:$AH671,26,FALSE)-AVERAGE('The List'!AA2:AA671))/STDEV('The List'!AA2:AA671)</f>
        <v>-0.68618289581605674</v>
      </c>
      <c r="O54" s="55" cm="1">
        <f t="array" ref="O54">(VLOOKUP($A54,'The List'!$B1:$AH671,27,FALSE)-AVERAGE('The List'!AB2:AB671))/STDEV('The List'!AB2:AB671)</f>
        <v>-0.20921902960694413</v>
      </c>
      <c r="P54" s="55" cm="1">
        <f t="array" ref="P54">(VLOOKUP($A54,'The List'!$B1:$AH671,28,FALSE)-AVERAGE('The List'!AC2:AC671))/STDEV('The List'!AC2:AC671)</f>
        <v>1.6336189668127286</v>
      </c>
      <c r="Q54" s="55" cm="1">
        <f t="array" ref="Q54">(VLOOKUP($A54,'The List'!$B1:$AH671,29,FALSE)-AVERAGE('The List'!AD2:AD671))/STDEV('The List'!AD2:AD671)</f>
        <v>-0.18431577366319918</v>
      </c>
      <c r="R54" s="55" cm="1">
        <f t="array" ref="R54">(VLOOKUP($A54,'The List'!$B1:$AH671,30,FALSE)-AVERAGE('The List'!AE2:AE671))/STDEV('The List'!AE2:AE671)</f>
        <v>1.5964353762556509</v>
      </c>
      <c r="S54" s="55" cm="1">
        <f t="array" ref="S54">(VLOOKUP($A54,'The List'!$B1:$AH671,31,FALSE)-AVERAGE('The List'!AF2:AF671))/STDEV('The List'!AF2:AF671)</f>
        <v>2.0490417656096467</v>
      </c>
      <c r="T54" s="55" cm="1">
        <f t="array" ref="T54">(VLOOKUP($A54,'The List'!$B1:$AH671,32,FALSE)-AVERAGE('The List'!AG2:AG671))/STDEV('The List'!AG2:AG671)</f>
        <v>1.544388253327317</v>
      </c>
      <c r="U54" s="55" cm="1">
        <f t="array" ref="U54">(VLOOKUP($A54,'The List'!$B1:$AH671,33,FALSE)-AVERAGE('The List'!AH2:AH671))/STDEV('The List'!AH2:AH671)</f>
        <v>1.330235331169499</v>
      </c>
      <c r="V54" s="55"/>
      <c r="W54" s="57"/>
      <c r="X54" s="55"/>
      <c r="Y54" s="55"/>
      <c r="Z54" s="55"/>
      <c r="AA54" s="55"/>
      <c r="AB54" s="55"/>
      <c r="AC54" s="55"/>
      <c r="AD54" s="55"/>
      <c r="AE54" s="55"/>
    </row>
    <row r="55" spans="1:31" ht="21.25" customHeight="1" x14ac:dyDescent="0.15">
      <c r="A55" s="10" t="s">
        <v>213</v>
      </c>
      <c r="B55" s="18" t="str" cm="1">
        <f t="array" ref="B55">VLOOKUP(A55,'Player Data'!A1:B673,2,FALSE)</f>
        <v>L.A</v>
      </c>
      <c r="C55" s="52" cm="1">
        <f t="array" ref="C55">((E55)*Settings!$C$12)+(F55*Settings!$C$2)+(G55*Settings!$C$3)+(H55*Settings!$C$4)+(I55*Settings!$C$5)+(K55*Settings!$C$9)+(N55*Settings!$C$6)+(J55*Settings!$C$8)+(O55*Settings!$C$7)+(P55*Settings!$C$14)+(Q55*Settings!$C$15)+(R55*Settings!$C$16)+(S55*Settings!$C$17)+(T55*Settings!$C$18)+(U55*Settings!$C$19)+(L55*Settings!$C$10)+(Settings!$C$11*M55)</f>
        <v>6.9144140987073452</v>
      </c>
      <c r="D55" s="57" cm="1">
        <f t="array" ref="D55">IF(Settings!$E$12="YES",VLOOKUP(A55,'Player Data'!A1:E673,5,FALSE),82)</f>
        <v>83.215000000000003</v>
      </c>
      <c r="E55" s="55" cm="1">
        <f t="array" ref="E55">(VLOOKUP($A55,'The List'!$B1:$AH671,17,FALSE)-AVERAGE('The List'!R2:R671))/STDEV('The List'!R2:R671)</f>
        <v>0.637914422733874</v>
      </c>
      <c r="F55" s="55" cm="1">
        <f t="array" ref="F55">(VLOOKUP($A55,'The List'!$B1:$AH671,18,FALSE)-AVERAGE('The List'!S2:S671))/STDEV('The List'!S2:S671)</f>
        <v>2.0232646906272</v>
      </c>
      <c r="G55" s="55" cm="1">
        <f t="array" ref="G55">(VLOOKUP($A55,'The List'!$B1:$AH671,19,FALSE)-AVERAGE('The List'!T2:T671))/STDEV('The List'!T2:T671)</f>
        <v>1.1976203151554503</v>
      </c>
      <c r="H55" s="55" cm="1">
        <f t="array" ref="H55">(VLOOKUP($A55,'The List'!$B1:$AH671,20,FALSE)-AVERAGE('The List'!U2:U671))/STDEV('The List'!U2:U671)</f>
        <v>1.6509753873794746</v>
      </c>
      <c r="I55" s="55" cm="1">
        <f t="array" ref="I55">(VLOOKUP($A55,'The List'!$B1:$AH671,21,FALSE)-AVERAGE('The List'!V2:V671))/STDEV('The List'!V2:V671)</f>
        <v>1.9323838290991722</v>
      </c>
      <c r="J55" s="55" cm="1">
        <f t="array" ref="J55">(VLOOKUP($A55,'The List'!$B1:$AH671,22,FALSE)-AVERAGE('The List'!W2:W671))/STDEV('The List'!W2:W671)</f>
        <v>0.77156213172611854</v>
      </c>
      <c r="K55" s="55" cm="1">
        <f t="array" ref="K55">(VLOOKUP($A55,'The List'!$B1:$AH671,23,FALSE)-AVERAGE('The List'!X2:X671))/STDEV('The List'!X2:X671)</f>
        <v>0.8897791162214076</v>
      </c>
      <c r="L55" s="55" cm="1">
        <f t="array" ref="L55">(VLOOKUP($A55,'The List'!$B1:$AH671,24,FALSE)-AVERAGE('The List'!Y2:Y671))/STDEV('The List'!Y2:Y671)</f>
        <v>-7.6129863451583138E-2</v>
      </c>
      <c r="M55" s="55" cm="1">
        <f t="array" ref="M55">(VLOOKUP($A55,'The List'!$B1:$AH671,25,FALSE)-AVERAGE('The List'!Z2:Z671))/STDEV('The List'!Z2:Z671)</f>
        <v>-6.2191708324150455E-2</v>
      </c>
      <c r="N55" s="55" cm="1">
        <f t="array" ref="N55">(VLOOKUP($A55,'The List'!$B1:$AH671,26,FALSE)-AVERAGE('The List'!AA2:AA671))/STDEV('The List'!AA2:AA671)</f>
        <v>-0.61979090860838071</v>
      </c>
      <c r="O55" s="55" cm="1">
        <f t="array" ref="O55">(VLOOKUP($A55,'The List'!$B1:$AH671,27,FALSE)-AVERAGE('The List'!AB2:AB671))/STDEV('The List'!AB2:AB671)</f>
        <v>0.60988391444071488</v>
      </c>
      <c r="P55" s="55" cm="1">
        <f t="array" ref="P55">(VLOOKUP($A55,'The List'!$B1:$AH671,28,FALSE)-AVERAGE('The List'!AC2:AC671))/STDEV('The List'!AC2:AC671)</f>
        <v>7.0377756511352474E-2</v>
      </c>
      <c r="Q55" s="55" cm="1">
        <f t="array" ref="Q55">(VLOOKUP($A55,'The List'!$B1:$AH671,29,FALSE)-AVERAGE('The List'!AD2:AD671))/STDEV('The List'!AD2:AD671)</f>
        <v>1.420779299701143</v>
      </c>
      <c r="R55" s="55" cm="1">
        <f t="array" ref="R55">(VLOOKUP($A55,'The List'!$B1:$AH671,30,FALSE)-AVERAGE('The List'!AE2:AE671))/STDEV('The List'!AE2:AE671)</f>
        <v>2.0176600814062251</v>
      </c>
      <c r="S55" s="55" cm="1">
        <f t="array" ref="S55">(VLOOKUP($A55,'The List'!$B1:$AH671,31,FALSE)-AVERAGE('The List'!AF2:AF671))/STDEV('The List'!AF2:AF671)</f>
        <v>-0.39401636224410463</v>
      </c>
      <c r="T55" s="55" cm="1">
        <f t="array" ref="T55">(VLOOKUP($A55,'The List'!$B1:$AH671,32,FALSE)-AVERAGE('The List'!AG2:AG671))/STDEV('The List'!AG2:AG671)</f>
        <v>-0.27597970574714026</v>
      </c>
      <c r="U55" s="55" cm="1">
        <f t="array" ref="U55">(VLOOKUP($A55,'The List'!$B1:$AH671,33,FALSE)-AVERAGE('The List'!AH2:AH671))/STDEV('The List'!AH2:AH671)</f>
        <v>0.4241683596195322</v>
      </c>
      <c r="V55" s="55"/>
      <c r="W55" s="78"/>
      <c r="X55" s="57"/>
      <c r="Y55" s="57"/>
      <c r="Z55" s="57"/>
      <c r="AA55" s="57"/>
      <c r="AB55" s="57"/>
      <c r="AC55" s="60"/>
      <c r="AD55" s="61"/>
      <c r="AE55" s="55"/>
    </row>
    <row r="56" spans="1:31" ht="21.25" customHeight="1" x14ac:dyDescent="0.15">
      <c r="A56" s="10" t="s">
        <v>196</v>
      </c>
      <c r="B56" s="18" t="str" cm="1">
        <f t="array" ref="B56">VLOOKUP(A56,'Player Data'!A1:B673,2,FALSE)</f>
        <v>N.J</v>
      </c>
      <c r="C56" s="52" cm="1">
        <f t="array" ref="C56">((E56)*Settings!$C$12)+(F56*Settings!$C$2)+(G56*Settings!$C$3)+(H56*Settings!$C$4)+(I56*Settings!$C$5)+(K56*Settings!$C$9)+(N56*Settings!$C$6)+(J56*Settings!$C$8)+(O56*Settings!$C$7)+(P56*Settings!$C$14)+(Q56*Settings!$C$15)+(R56*Settings!$C$16)+(S56*Settings!$C$17)+(T56*Settings!$C$18)+(U56*Settings!$C$19)+(L56*Settings!$C$10)+(Settings!$C$11*M56)</f>
        <v>6.3814744029529438</v>
      </c>
      <c r="D56" s="57" cm="1">
        <f t="array" ref="D56">IF(Settings!$E$12="YES",VLOOKUP(A56,'Player Data'!A1:E673,5,FALSE),82)</f>
        <v>81.967500000000001</v>
      </c>
      <c r="E56" s="55" cm="1">
        <f t="array" ref="E56">(VLOOKUP($A56,'The List'!$B1:$AH671,17,FALSE)-AVERAGE('The List'!R2:R671))/STDEV('The List'!R2:R671)</f>
        <v>1.1156362610835096</v>
      </c>
      <c r="F56" s="55" cm="1">
        <f t="array" ref="F56">(VLOOKUP($A56,'The List'!$B1:$AH671,18,FALSE)-AVERAGE('The List'!S2:S671))/STDEV('The List'!S2:S671)</f>
        <v>1.8471632209915854</v>
      </c>
      <c r="G56" s="55" cm="1">
        <f t="array" ref="G56">(VLOOKUP($A56,'The List'!$B1:$AH671,19,FALSE)-AVERAGE('The List'!T2:T671))/STDEV('The List'!T2:T671)</f>
        <v>1.2356420900088629</v>
      </c>
      <c r="H56" s="55" cm="1">
        <f t="array" ref="H56">(VLOOKUP($A56,'The List'!$B1:$AH671,20,FALSE)-AVERAGE('The List'!U2:U671))/STDEV('The List'!U2:U671)</f>
        <v>1.5967584917870807</v>
      </c>
      <c r="I56" s="55" cm="1">
        <f t="array" ref="I56">(VLOOKUP($A56,'The List'!$B1:$AH671,21,FALSE)-AVERAGE('The List'!V2:V671))/STDEV('The List'!V2:V671)</f>
        <v>1.5595212539896497</v>
      </c>
      <c r="J56" s="55" cm="1">
        <f t="array" ref="J56">(VLOOKUP($A56,'The List'!$B1:$AH671,22,FALSE)-AVERAGE('The List'!W2:W671))/STDEV('The List'!W2:W671)</f>
        <v>2.5286166690936085</v>
      </c>
      <c r="K56" s="55" cm="1">
        <f t="array" ref="K56">(VLOOKUP($A56,'The List'!$B1:$AH671,23,FALSE)-AVERAGE('The List'!X2:X671))/STDEV('The List'!X2:X671)</f>
        <v>1.8239855920757262</v>
      </c>
      <c r="L56" s="55" cm="1">
        <f t="array" ref="L56">(VLOOKUP($A56,'The List'!$B1:$AH671,24,FALSE)-AVERAGE('The List'!Y2:Y671))/STDEV('The List'!Y2:Y671)</f>
        <v>-3.909799033554591E-2</v>
      </c>
      <c r="M56" s="55" cm="1">
        <f t="array" ref="M56">(VLOOKUP($A56,'The List'!$B1:$AH671,25,FALSE)-AVERAGE('The List'!Z2:Z671))/STDEV('The List'!Z2:Z671)</f>
        <v>0.97705146124716313</v>
      </c>
      <c r="N56" s="55" cm="1">
        <f t="array" ref="N56">(VLOOKUP($A56,'The List'!$B1:$AH671,26,FALSE)-AVERAGE('The List'!AA2:AA671))/STDEV('The List'!AA2:AA671)</f>
        <v>-2.7248615548155969E-2</v>
      </c>
      <c r="O56" s="55" cm="1">
        <f t="array" ref="O56">(VLOOKUP($A56,'The List'!$B1:$AH671,27,FALSE)-AVERAGE('The List'!AB2:AB671))/STDEV('The List'!AB2:AB671)</f>
        <v>-0.62555731296624673</v>
      </c>
      <c r="P56" s="55" cm="1">
        <f t="array" ref="P56">(VLOOKUP($A56,'The List'!$B1:$AH671,28,FALSE)-AVERAGE('The List'!AC2:AC671))/STDEV('The List'!AC2:AC671)</f>
        <v>0.31577128195632143</v>
      </c>
      <c r="Q56" s="55" cm="1">
        <f t="array" ref="Q56">(VLOOKUP($A56,'The List'!$B1:$AH671,29,FALSE)-AVERAGE('The List'!AD2:AD671))/STDEV('The List'!AD2:AD671)</f>
        <v>-0.37336042052104529</v>
      </c>
      <c r="R56" s="55" cm="1">
        <f t="array" ref="R56">(VLOOKUP($A56,'The List'!$B1:$AH671,30,FALSE)-AVERAGE('The List'!AE2:AE671))/STDEV('The List'!AE2:AE671)</f>
        <v>1.6729077877168312</v>
      </c>
      <c r="S56" s="55" cm="1">
        <f t="array" ref="S56">(VLOOKUP($A56,'The List'!$B1:$AH671,31,FALSE)-AVERAGE('The List'!AF2:AF671))/STDEV('The List'!AF2:AF671)</f>
        <v>4.3280617807004838</v>
      </c>
      <c r="T56" s="55" cm="1">
        <f t="array" ref="T56">(VLOOKUP($A56,'The List'!$B1:$AH671,32,FALSE)-AVERAGE('The List'!AG2:AG671))/STDEV('The List'!AG2:AG671)</f>
        <v>3.4934308042946265</v>
      </c>
      <c r="U56" s="55" cm="1">
        <f t="array" ref="U56">(VLOOKUP($A56,'The List'!$B1:$AH671,33,FALSE)-AVERAGE('The List'!AH2:AH671))/STDEV('The List'!AH2:AH671)</f>
        <v>1.3136209872993925</v>
      </c>
      <c r="V56" s="55"/>
      <c r="W56" s="78"/>
      <c r="X56" s="57"/>
      <c r="Y56" s="57"/>
      <c r="Z56" s="57"/>
      <c r="AA56" s="57"/>
      <c r="AB56" s="57"/>
      <c r="AC56" s="60"/>
      <c r="AD56" s="61"/>
      <c r="AE56" s="55"/>
    </row>
    <row r="57" spans="1:31" ht="21.25" customHeight="1" x14ac:dyDescent="0.15">
      <c r="A57" s="10" t="s">
        <v>223</v>
      </c>
      <c r="B57" s="18" t="str" cm="1">
        <f t="array" ref="B57">VLOOKUP(A57,'Player Data'!A1:B673,2,FALSE)</f>
        <v>CAR</v>
      </c>
      <c r="C57" s="52" cm="1">
        <f t="array" ref="C57">((E57)*Settings!$C$12)+(F57*Settings!$C$2)+(G57*Settings!$C$3)+(H57*Settings!$C$4)+(I57*Settings!$C$5)+(K57*Settings!$C$9)+(N57*Settings!$C$6)+(J57*Settings!$C$8)+(O57*Settings!$C$7)+(P57*Settings!$C$14)+(Q57*Settings!$C$15)+(R57*Settings!$C$16)+(S57*Settings!$C$17)+(T57*Settings!$C$18)+(U57*Settings!$C$19)+(L57*Settings!$C$10)+(Settings!$C$11*M57)</f>
        <v>6.6280930244361942</v>
      </c>
      <c r="D57" s="57" cm="1">
        <f t="array" ref="D57">IF(Settings!$E$12="YES",VLOOKUP(A57,'Player Data'!A1:E673,5,FALSE),82)</f>
        <v>82.242500000000007</v>
      </c>
      <c r="E57" s="55" cm="1">
        <f t="array" ref="E57">(VLOOKUP($A57,'The List'!$B1:$AH671,17,FALSE)-AVERAGE('The List'!R2:R671))/STDEV('The List'!R2:R671)</f>
        <v>0.11260414765972997</v>
      </c>
      <c r="F57" s="55" cm="1">
        <f t="array" ref="F57">(VLOOKUP($A57,'The List'!$B1:$AH671,18,FALSE)-AVERAGE('The List'!S2:S671))/STDEV('The List'!S2:S671)</f>
        <v>1.3993145465169909</v>
      </c>
      <c r="G57" s="55" cm="1">
        <f t="array" ref="G57">(VLOOKUP($A57,'The List'!$B1:$AH671,19,FALSE)-AVERAGE('The List'!T2:T671))/STDEV('The List'!T2:T671)</f>
        <v>1.5327190818226517</v>
      </c>
      <c r="H57" s="55" cm="1">
        <f t="array" ref="H57">(VLOOKUP($A57,'The List'!$B1:$AH671,20,FALSE)-AVERAGE('The List'!U2:U671))/STDEV('The List'!U2:U671)</f>
        <v>1.5849176369157327</v>
      </c>
      <c r="I57" s="55" cm="1">
        <f t="array" ref="I57">(VLOOKUP($A57,'The List'!$B1:$AH671,21,FALSE)-AVERAGE('The List'!V2:V671))/STDEV('The List'!V2:V671)</f>
        <v>1.5999215614615159</v>
      </c>
      <c r="J57" s="55" cm="1">
        <f t="array" ref="J57">(VLOOKUP($A57,'The List'!$B1:$AH671,22,FALSE)-AVERAGE('The List'!W2:W671))/STDEV('The List'!W2:W671)</f>
        <v>1.4166276903309567</v>
      </c>
      <c r="K57" s="55" cm="1">
        <f t="array" ref="K57">(VLOOKUP($A57,'The List'!$B1:$AH671,23,FALSE)-AVERAGE('The List'!X2:X671))/STDEV('The List'!X2:X671)</f>
        <v>1.7793084024738586</v>
      </c>
      <c r="L57" s="55" cm="1">
        <f t="array" ref="L57">(VLOOKUP($A57,'The List'!$B1:$AH671,24,FALSE)-AVERAGE('The List'!Y2:Y671))/STDEV('The List'!Y2:Y671)</f>
        <v>-0.55397710169168923</v>
      </c>
      <c r="M57" s="55" cm="1">
        <f t="array" ref="M57">(VLOOKUP($A57,'The List'!$B1:$AH671,25,FALSE)-AVERAGE('The List'!Z2:Z671))/STDEV('The List'!Z2:Z671)</f>
        <v>-0.69612825965620162</v>
      </c>
      <c r="N57" s="55" cm="1">
        <f t="array" ref="N57">(VLOOKUP($A57,'The List'!$B1:$AH671,26,FALSE)-AVERAGE('The List'!AA2:AA671))/STDEV('The List'!AA2:AA671)</f>
        <v>-0.83153783417784211</v>
      </c>
      <c r="O57" s="55" cm="1">
        <f t="array" ref="O57">(VLOOKUP($A57,'The List'!$B1:$AH671,27,FALSE)-AVERAGE('The List'!AB2:AB671))/STDEV('The List'!AB2:AB671)</f>
        <v>-1.0275149776167489</v>
      </c>
      <c r="P57" s="55" cm="1">
        <f t="array" ref="P57">(VLOOKUP($A57,'The List'!$B1:$AH671,28,FALSE)-AVERAGE('The List'!AC2:AC671))/STDEV('The List'!AC2:AC671)</f>
        <v>1.7720423300209913</v>
      </c>
      <c r="Q57" s="55" cm="1">
        <f t="array" ref="Q57">(VLOOKUP($A57,'The List'!$B1:$AH671,29,FALSE)-AVERAGE('The List'!AD2:AD671))/STDEV('The List'!AD2:AD671)</f>
        <v>-0.62367506368197123</v>
      </c>
      <c r="R57" s="55" cm="1">
        <f t="array" ref="R57">(VLOOKUP($A57,'The List'!$B1:$AH671,30,FALSE)-AVERAGE('The List'!AE2:AE671))/STDEV('The List'!AE2:AE671)</f>
        <v>1.6399951500904772</v>
      </c>
      <c r="S57" s="55" cm="1">
        <f t="array" ref="S57">(VLOOKUP($A57,'The List'!$B1:$AH671,31,FALSE)-AVERAGE('The List'!AF2:AF671))/STDEV('The List'!AF2:AF671)</f>
        <v>-0.55167572438345536</v>
      </c>
      <c r="T57" s="55" cm="1">
        <f t="array" ref="T57">(VLOOKUP($A57,'The List'!$B1:$AH671,32,FALSE)-AVERAGE('The List'!AG2:AG671))/STDEV('The List'!AG2:AG671)</f>
        <v>-0.54349166580076991</v>
      </c>
      <c r="U57" s="55" cm="1">
        <f t="array" ref="U57">(VLOOKUP($A57,'The List'!$B1:$AH671,33,FALSE)-AVERAGE('The List'!AH2:AH671))/STDEV('The List'!AH2:AH671)</f>
        <v>0.14813510048617151</v>
      </c>
      <c r="V57" s="55"/>
      <c r="W57" s="57"/>
      <c r="X57" s="57"/>
      <c r="Y57" s="57"/>
      <c r="Z57" s="57"/>
      <c r="AA57" s="57"/>
      <c r="AB57" s="57"/>
      <c r="AC57" s="60"/>
      <c r="AD57" s="61"/>
      <c r="AE57" s="55"/>
    </row>
    <row r="58" spans="1:31" ht="21.25" customHeight="1" x14ac:dyDescent="0.15">
      <c r="A58" s="10" t="s">
        <v>253</v>
      </c>
      <c r="B58" s="18" t="str" cm="1">
        <f t="array" ref="B58">VLOOKUP(A58,'Player Data'!A1:B673,2,FALSE)</f>
        <v>NYI</v>
      </c>
      <c r="C58" s="52" cm="1">
        <f t="array" ref="C58">((E58)*Settings!$C$12)+(F58*Settings!$C$2)+(G58*Settings!$C$3)+(H58*Settings!$C$4)+(I58*Settings!$C$5)+(K58*Settings!$C$9)+(N58*Settings!$C$6)+(J58*Settings!$C$8)+(O58*Settings!$C$7)+(P58*Settings!$C$14)+(Q58*Settings!$C$15)+(R58*Settings!$C$16)+(S58*Settings!$C$17)+(T58*Settings!$C$18)+(U58*Settings!$C$19)+(L58*Settings!$C$10)+(Settings!$C$11*M58)</f>
        <v>4.0124780190376645</v>
      </c>
      <c r="D58" s="57" cm="1">
        <f t="array" ref="D58">IF(Settings!$E$12="YES",VLOOKUP(A58,'Player Data'!A1:E673,5,FALSE),82)</f>
        <v>76.502499999999998</v>
      </c>
      <c r="E58" s="55" cm="1">
        <f t="array" ref="E58">(VLOOKUP($A58,'The List'!$B1:$AH671,17,FALSE)-AVERAGE('The List'!R2:R671))/STDEV('The List'!R2:R671)</f>
        <v>0.98885472652850137</v>
      </c>
      <c r="F58" s="55" cm="1">
        <f t="array" ref="F58">(VLOOKUP($A58,'The List'!$B1:$AH671,18,FALSE)-AVERAGE('The List'!S2:S671))/STDEV('The List'!S2:S671)</f>
        <v>0.57292069544351865</v>
      </c>
      <c r="G58" s="55" cm="1">
        <f t="array" ref="G58">(VLOOKUP($A58,'The List'!$B1:$AH671,19,FALSE)-AVERAGE('The List'!T2:T671))/STDEV('The List'!T2:T671)</f>
        <v>1.7537615183733271</v>
      </c>
      <c r="H58" s="55" cm="1">
        <f t="array" ref="H58">(VLOOKUP($A58,'The List'!$B1:$AH671,20,FALSE)-AVERAGE('The List'!U2:U671))/STDEV('The List'!U2:U671)</f>
        <v>1.3572991878716343</v>
      </c>
      <c r="I58" s="55" cm="1">
        <f t="array" ref="I58">(VLOOKUP($A58,'The List'!$B1:$AH671,21,FALSE)-AVERAGE('The List'!V2:V671))/STDEV('The List'!V2:V671)</f>
        <v>1.0459677627354047</v>
      </c>
      <c r="J58" s="55" cm="1">
        <f t="array" ref="J58">(VLOOKUP($A58,'The List'!$B1:$AH671,22,FALSE)-AVERAGE('The List'!W2:W671))/STDEV('The List'!W2:W671)</f>
        <v>0.16698534590957659</v>
      </c>
      <c r="K58" s="55" cm="1">
        <f t="array" ref="K58">(VLOOKUP($A58,'The List'!$B1:$AH671,23,FALSE)-AVERAGE('The List'!X2:X671))/STDEV('The List'!X2:X671)</f>
        <v>1.0748964446206402</v>
      </c>
      <c r="L58" s="55" cm="1">
        <f t="array" ref="L58">(VLOOKUP($A58,'The List'!$B1:$AH671,24,FALSE)-AVERAGE('The List'!Y2:Y671))/STDEV('The List'!Y2:Y671)</f>
        <v>-0.5389549412486766</v>
      </c>
      <c r="M58" s="55" cm="1">
        <f t="array" ref="M58">(VLOOKUP($A58,'The List'!$B1:$AH671,25,FALSE)-AVERAGE('The List'!Z2:Z671))/STDEV('The List'!Z2:Z671)</f>
        <v>-0.68073574195014708</v>
      </c>
      <c r="N58" s="55" cm="1">
        <f t="array" ref="N58">(VLOOKUP($A58,'The List'!$B1:$AH671,26,FALSE)-AVERAGE('The List'!AA2:AA671))/STDEV('The List'!AA2:AA671)</f>
        <v>-0.38703937300806623</v>
      </c>
      <c r="O58" s="55" cm="1">
        <f t="array" ref="O58">(VLOOKUP($A58,'The List'!$B1:$AH671,27,FALSE)-AVERAGE('The List'!AB2:AB671))/STDEV('The List'!AB2:AB671)</f>
        <v>-1.0297410592664444</v>
      </c>
      <c r="P58" s="55" cm="1">
        <f t="array" ref="P58">(VLOOKUP($A58,'The List'!$B1:$AH671,28,FALSE)-AVERAGE('The List'!AC2:AC671))/STDEV('The List'!AC2:AC671)</f>
        <v>-0.16506137063491422</v>
      </c>
      <c r="Q58" s="55" cm="1">
        <f t="array" ref="Q58">(VLOOKUP($A58,'The List'!$B1:$AH671,29,FALSE)-AVERAGE('The List'!AD2:AD671))/STDEV('The List'!AD2:AD671)</f>
        <v>0.11703234150775338</v>
      </c>
      <c r="R58" s="55" cm="1">
        <f t="array" ref="R58">(VLOOKUP($A58,'The List'!$B1:$AH671,30,FALSE)-AVERAGE('The List'!AE2:AE671))/STDEV('The List'!AE2:AE671)</f>
        <v>0.44113061346979648</v>
      </c>
      <c r="S58" s="55" cm="1">
        <f t="array" ref="S58">(VLOOKUP($A58,'The List'!$B1:$AH671,31,FALSE)-AVERAGE('The List'!AF2:AF671))/STDEV('The List'!AF2:AF671)</f>
        <v>0.22114048853748453</v>
      </c>
      <c r="T58" s="55" cm="1">
        <f t="array" ref="T58">(VLOOKUP($A58,'The List'!$B1:$AH671,32,FALSE)-AVERAGE('The List'!AG2:AG671))/STDEV('The List'!AG2:AG671)</f>
        <v>0.5951017224839612</v>
      </c>
      <c r="U58" s="55" cm="1">
        <f t="array" ref="U58">(VLOOKUP($A58,'The List'!$B1:$AH671,33,FALSE)-AVERAGE('The List'!AH2:AH671))/STDEV('The List'!AH2:AH671)</f>
        <v>0.63700572366118657</v>
      </c>
      <c r="V58" s="55"/>
      <c r="W58" s="57"/>
      <c r="X58" s="55"/>
      <c r="Y58" s="55"/>
      <c r="Z58" s="55"/>
      <c r="AA58" s="55"/>
      <c r="AB58" s="55"/>
      <c r="AC58" s="55"/>
      <c r="AD58" s="55"/>
      <c r="AE58" s="55"/>
    </row>
    <row r="59" spans="1:31" ht="21.25" customHeight="1" x14ac:dyDescent="0.15">
      <c r="A59" s="10" t="s">
        <v>198</v>
      </c>
      <c r="B59" s="18" t="str" cm="1">
        <f t="array" ref="B59">VLOOKUP(A59,'Player Data'!A1:B673,2,FALSE)</f>
        <v>NYR</v>
      </c>
      <c r="C59" s="52" cm="1">
        <f t="array" ref="C59">((E59)*Settings!$C$12)+(F59*Settings!$C$2)+(G59*Settings!$C$3)+(H59*Settings!$C$4)+(I59*Settings!$C$5)+(K59*Settings!$C$9)+(N59*Settings!$C$6)+(J59*Settings!$C$8)+(O59*Settings!$C$7)+(P59*Settings!$C$14)+(Q59*Settings!$C$15)+(R59*Settings!$C$16)+(S59*Settings!$C$17)+(T59*Settings!$C$18)+(U59*Settings!$C$19)+(L59*Settings!$C$10)+(Settings!$C$11*M59)</f>
        <v>5.7305508910243264</v>
      </c>
      <c r="D59" s="57" cm="1">
        <f t="array" ref="D59">IF(Settings!$E$12="YES",VLOOKUP(A59,'Player Data'!A1:E673,5,FALSE),82)</f>
        <v>83.752499999999998</v>
      </c>
      <c r="E59" s="55" cm="1">
        <f t="array" ref="E59">(VLOOKUP($A59,'The List'!$B1:$AH671,17,FALSE)-AVERAGE('The List'!R2:R671))/STDEV('The List'!R2:R671)</f>
        <v>1.0968721233180989</v>
      </c>
      <c r="F59" s="55" cm="1">
        <f t="array" ref="F59">(VLOOKUP($A59,'The List'!$B1:$AH671,18,FALSE)-AVERAGE('The List'!S2:S671))/STDEV('The List'!S2:S671)</f>
        <v>1.499110524060512</v>
      </c>
      <c r="G59" s="55" cm="1">
        <f t="array" ref="G59">(VLOOKUP($A59,'The List'!$B1:$AH671,19,FALSE)-AVERAGE('The List'!T2:T671))/STDEV('The List'!T2:T671)</f>
        <v>1.552479745708313</v>
      </c>
      <c r="H59" s="55" cm="1">
        <f t="array" ref="H59">(VLOOKUP($A59,'The List'!$B1:$AH671,20,FALSE)-AVERAGE('The List'!U2:U671))/STDEV('The List'!U2:U671)</f>
        <v>1.6416242945400792</v>
      </c>
      <c r="I59" s="55" cm="1">
        <f t="array" ref="I59">(VLOOKUP($A59,'The List'!$B1:$AH671,21,FALSE)-AVERAGE('The List'!V2:V671))/STDEV('The List'!V2:V671)</f>
        <v>1.6769342543016503</v>
      </c>
      <c r="J59" s="55" cm="1">
        <f t="array" ref="J59">(VLOOKUP($A59,'The List'!$B1:$AH671,22,FALSE)-AVERAGE('The List'!W2:W671))/STDEV('The List'!W2:W671)</f>
        <v>2.6284550057368929</v>
      </c>
      <c r="K59" s="55" cm="1">
        <f t="array" ref="K59">(VLOOKUP($A59,'The List'!$B1:$AH671,23,FALSE)-AVERAGE('The List'!X2:X671))/STDEV('The List'!X2:X671)</f>
        <v>2.2228219457530725</v>
      </c>
      <c r="L59" s="55" cm="1">
        <f t="array" ref="L59">(VLOOKUP($A59,'The List'!$B1:$AH671,24,FALSE)-AVERAGE('The List'!Y2:Y671))/STDEV('The List'!Y2:Y671)</f>
        <v>0.69579870622761086</v>
      </c>
      <c r="M59" s="55" cm="1">
        <f t="array" ref="M59">(VLOOKUP($A59,'The List'!$B1:$AH671,25,FALSE)-AVERAGE('The List'!Z2:Z671))/STDEV('The List'!Z2:Z671)</f>
        <v>2.5731110959812771</v>
      </c>
      <c r="N59" s="55" cm="1">
        <f t="array" ref="N59">(VLOOKUP($A59,'The List'!$B1:$AH671,26,FALSE)-AVERAGE('The List'!AA2:AA671))/STDEV('The List'!AA2:AA671)</f>
        <v>-0.2930817013257942</v>
      </c>
      <c r="O59" s="55" cm="1">
        <f t="array" ref="O59">(VLOOKUP($A59,'The List'!$B1:$AH671,27,FALSE)-AVERAGE('The List'!AB2:AB671))/STDEV('The List'!AB2:AB671)</f>
        <v>2.1633838043706083E-2</v>
      </c>
      <c r="P59" s="55" cm="1">
        <f t="array" ref="P59">(VLOOKUP($A59,'The List'!$B1:$AH671,28,FALSE)-AVERAGE('The List'!AC2:AC671))/STDEV('The List'!AC2:AC671)</f>
        <v>-0.27889790350054611</v>
      </c>
      <c r="Q59" s="55" cm="1">
        <f t="array" ref="Q59">(VLOOKUP($A59,'The List'!$B1:$AH671,29,FALSE)-AVERAGE('The List'!AD2:AD671))/STDEV('The List'!AD2:AD671)</f>
        <v>-0.64881597397288193</v>
      </c>
      <c r="R59" s="55" cm="1">
        <f t="array" ref="R59">(VLOOKUP($A59,'The List'!$B1:$AH671,30,FALSE)-AVERAGE('The List'!AE2:AE671))/STDEV('The List'!AE2:AE671)</f>
        <v>1.4848182073908494</v>
      </c>
      <c r="S59" s="55" cm="1">
        <f t="array" ref="S59">(VLOOKUP($A59,'The List'!$B1:$AH671,31,FALSE)-AVERAGE('The List'!AF2:AF671))/STDEV('The List'!AF2:AF671)</f>
        <v>2.248669117014733</v>
      </c>
      <c r="T59" s="55" cm="1">
        <f t="array" ref="T59">(VLOOKUP($A59,'The List'!$B1:$AH671,32,FALSE)-AVERAGE('The List'!AG2:AG671))/STDEV('The List'!AG2:AG671)</f>
        <v>2.2043215829640355</v>
      </c>
      <c r="U59" s="55" cm="1">
        <f t="array" ref="U59">(VLOOKUP($A59,'The List'!$B1:$AH671,33,FALSE)-AVERAGE('The List'!AH2:AH671))/STDEV('The List'!AH2:AH671)</f>
        <v>1.1127449148257917</v>
      </c>
      <c r="V59" s="55"/>
      <c r="W59" s="57"/>
      <c r="X59" s="57"/>
      <c r="Y59" s="57"/>
      <c r="Z59" s="57"/>
      <c r="AA59" s="57"/>
      <c r="AB59" s="57"/>
      <c r="AC59" s="60"/>
      <c r="AD59" s="61"/>
      <c r="AE59" s="55"/>
    </row>
    <row r="60" spans="1:31" ht="21.25" customHeight="1" x14ac:dyDescent="0.15">
      <c r="A60" s="10" t="s">
        <v>203</v>
      </c>
      <c r="B60" s="18" t="str" cm="1">
        <f t="array" ref="B60">VLOOKUP(A60,'Player Data'!A1:B673,2,FALSE)</f>
        <v>DET</v>
      </c>
      <c r="C60" s="52" cm="1">
        <f t="array" ref="C60">((E60)*Settings!$C$12)+(F60*Settings!$C$2)+(G60*Settings!$C$3)+(H60*Settings!$C$4)+(I60*Settings!$C$5)+(K60*Settings!$C$9)+(N60*Settings!$C$6)+(J60*Settings!$C$8)+(O60*Settings!$C$7)+(P60*Settings!$C$14)+(Q60*Settings!$C$15)+(R60*Settings!$C$16)+(S60*Settings!$C$17)+(T60*Settings!$C$18)+(U60*Settings!$C$19)+(L60*Settings!$C$10)+(Settings!$C$11*M60)</f>
        <v>6.0857155576502313</v>
      </c>
      <c r="D60" s="57" cm="1">
        <f t="array" ref="D60">IF(Settings!$E$12="YES",VLOOKUP(A60,'Player Data'!A1:E673,5,FALSE),82)</f>
        <v>81.209999999999994</v>
      </c>
      <c r="E60" s="55" cm="1">
        <f t="array" ref="E60">(VLOOKUP($A60,'The List'!$B1:$AH671,17,FALSE)-AVERAGE('The List'!R2:R671))/STDEV('The List'!R2:R671)</f>
        <v>0.91343516292254823</v>
      </c>
      <c r="F60" s="55" cm="1">
        <f t="array" ref="F60">(VLOOKUP($A60,'The List'!$B1:$AH671,18,FALSE)-AVERAGE('The List'!S2:S671))/STDEV('The List'!S2:S671)</f>
        <v>1.9408045907848199</v>
      </c>
      <c r="G60" s="55" cm="1">
        <f t="array" ref="G60">(VLOOKUP($A60,'The List'!$B1:$AH671,19,FALSE)-AVERAGE('The List'!T2:T671))/STDEV('The List'!T2:T671)</f>
        <v>1.0055474270919933</v>
      </c>
      <c r="H60" s="55" cm="1">
        <f t="array" ref="H60">(VLOOKUP($A60,'The List'!$B1:$AH671,20,FALSE)-AVERAGE('The List'!U2:U671))/STDEV('The List'!U2:U671)</f>
        <v>1.4935768020809053</v>
      </c>
      <c r="I60" s="55" cm="1">
        <f t="array" ref="I60">(VLOOKUP($A60,'The List'!$B1:$AH671,21,FALSE)-AVERAGE('The List'!V2:V671))/STDEV('The List'!V2:V671)</f>
        <v>2.0019857370404566</v>
      </c>
      <c r="J60" s="55" cm="1">
        <f t="array" ref="J60">(VLOOKUP($A60,'The List'!$B1:$AH671,22,FALSE)-AVERAGE('The List'!W2:W671))/STDEV('The List'!W2:W671)</f>
        <v>2.9054741877604591</v>
      </c>
      <c r="K60" s="55" cm="1">
        <f t="array" ref="K60">(VLOOKUP($A60,'The List'!$B1:$AH671,23,FALSE)-AVERAGE('The List'!X2:X671))/STDEV('The List'!X2:X671)</f>
        <v>1.7559906880650202</v>
      </c>
      <c r="L60" s="55" cm="1">
        <f t="array" ref="L60">(VLOOKUP($A60,'The List'!$B1:$AH671,24,FALSE)-AVERAGE('The List'!Y2:Y671))/STDEV('The List'!Y2:Y671)</f>
        <v>1.0719916761865331</v>
      </c>
      <c r="M60" s="55" cm="1">
        <f t="array" ref="M60">(VLOOKUP($A60,'The List'!$B1:$AH671,25,FALSE)-AVERAGE('The List'!Z2:Z671))/STDEV('The List'!Z2:Z671)</f>
        <v>0.38431933005022834</v>
      </c>
      <c r="N60" s="55" cm="1">
        <f t="array" ref="N60">(VLOOKUP($A60,'The List'!$B1:$AH671,26,FALSE)-AVERAGE('The List'!AA2:AA671))/STDEV('The List'!AA2:AA671)</f>
        <v>-0.66497044109806247</v>
      </c>
      <c r="O60" s="55" cm="1">
        <f t="array" ref="O60">(VLOOKUP($A60,'The List'!$B1:$AH671,27,FALSE)-AVERAGE('The List'!AB2:AB671))/STDEV('The List'!AB2:AB671)</f>
        <v>-0.70587652266170764</v>
      </c>
      <c r="P60" s="55" cm="1">
        <f t="array" ref="P60">(VLOOKUP($A60,'The List'!$B1:$AH671,28,FALSE)-AVERAGE('The List'!AC2:AC671))/STDEV('The List'!AC2:AC671)</f>
        <v>-0.49651177194619328</v>
      </c>
      <c r="Q60" s="55" cm="1">
        <f t="array" ref="Q60">(VLOOKUP($A60,'The List'!$B1:$AH671,29,FALSE)-AVERAGE('The List'!AD2:AD671))/STDEV('The List'!AD2:AD671)</f>
        <v>0.54286932771219765</v>
      </c>
      <c r="R60" s="55" cm="1">
        <f t="array" ref="R60">(VLOOKUP($A60,'The List'!$B1:$AH671,30,FALSE)-AVERAGE('The List'!AE2:AE671))/STDEV('The List'!AE2:AE671)</f>
        <v>1.9102602856448392</v>
      </c>
      <c r="S60" s="55" cm="1">
        <f t="array" ref="S60">(VLOOKUP($A60,'The List'!$B1:$AH671,31,FALSE)-AVERAGE('The List'!AF2:AF671))/STDEV('The List'!AF2:AF671)</f>
        <v>3.6006712344283489</v>
      </c>
      <c r="T60" s="55" cm="1">
        <f t="array" ref="T60">(VLOOKUP($A60,'The List'!$B1:$AH671,32,FALSE)-AVERAGE('The List'!AG2:AG671))/STDEV('The List'!AG2:AG671)</f>
        <v>3.1454701956329716</v>
      </c>
      <c r="U60" s="55" cm="1">
        <f t="array" ref="U60">(VLOOKUP($A60,'The List'!$B1:$AH671,33,FALSE)-AVERAGE('The List'!AH2:AH671))/STDEV('The List'!AH2:AH671)</f>
        <v>1.2315826678033284</v>
      </c>
      <c r="V60" s="55"/>
      <c r="W60" s="57"/>
      <c r="X60" s="55"/>
      <c r="Y60" s="55"/>
      <c r="Z60" s="55"/>
      <c r="AA60" s="55"/>
      <c r="AB60" s="55"/>
      <c r="AC60" s="55"/>
      <c r="AD60" s="55"/>
      <c r="AE60" s="55"/>
    </row>
    <row r="61" spans="1:31" ht="21.25" customHeight="1" x14ac:dyDescent="0.15">
      <c r="A61" s="10" t="s">
        <v>228</v>
      </c>
      <c r="B61" s="18" t="str" cm="1">
        <f t="array" ref="B61">VLOOKUP(A61,'Player Data'!A1:B673,2,FALSE)</f>
        <v>T.B</v>
      </c>
      <c r="C61" s="52" cm="1">
        <f t="array" ref="C61">((E61)*Settings!$C$12)+(F61*Settings!$C$2)+(G61*Settings!$C$3)+(H61*Settings!$C$4)+(I61*Settings!$C$5)+(K61*Settings!$C$9)+(N61*Settings!$C$6)+(J61*Settings!$C$8)+(O61*Settings!$C$7)+(P61*Settings!$C$14)+(Q61*Settings!$C$15)+(R61*Settings!$C$16)+(S61*Settings!$C$17)+(T61*Settings!$C$18)+(U61*Settings!$C$19)+(L61*Settings!$C$10)+(Settings!$C$11*M61)</f>
        <v>5.6825370557394486</v>
      </c>
      <c r="D61" s="57" cm="1">
        <f t="array" ref="D61">IF(Settings!$E$12="YES",VLOOKUP(A61,'Player Data'!A1:E673,5,FALSE),82)</f>
        <v>79.87</v>
      </c>
      <c r="E61" s="55" cm="1">
        <f t="array" ref="E61">(VLOOKUP($A61,'The List'!$B1:$AH671,17,FALSE)-AVERAGE('The List'!R2:R671))/STDEV('The List'!R2:R671)</f>
        <v>0.35537331454153004</v>
      </c>
      <c r="F61" s="55" cm="1">
        <f t="array" ref="F61">(VLOOKUP($A61,'The List'!$B1:$AH671,18,FALSE)-AVERAGE('The List'!S2:S671))/STDEV('The List'!S2:S671)</f>
        <v>1.9056724810989634</v>
      </c>
      <c r="G61" s="55" cm="1">
        <f t="array" ref="G61">(VLOOKUP($A61,'The List'!$B1:$AH671,19,FALSE)-AVERAGE('The List'!T2:T671))/STDEV('The List'!T2:T671)</f>
        <v>1.185964154118464</v>
      </c>
      <c r="H61" s="55" cm="1">
        <f t="array" ref="H61">(VLOOKUP($A61,'The List'!$B1:$AH671,20,FALSE)-AVERAGE('The List'!U2:U671))/STDEV('The List'!U2:U671)</f>
        <v>1.591470618264671</v>
      </c>
      <c r="I61" s="55" cm="1">
        <f t="array" ref="I61">(VLOOKUP($A61,'The List'!$B1:$AH671,21,FALSE)-AVERAGE('The List'!V2:V671))/STDEV('The List'!V2:V671)</f>
        <v>0.96303809841451327</v>
      </c>
      <c r="J61" s="55" cm="1">
        <f t="array" ref="J61">(VLOOKUP($A61,'The List'!$B1:$AH671,22,FALSE)-AVERAGE('The List'!W2:W671))/STDEV('The List'!W2:W671)</f>
        <v>2.580568956278003</v>
      </c>
      <c r="K61" s="55" cm="1">
        <f t="array" ref="K61">(VLOOKUP($A61,'The List'!$B1:$AH671,23,FALSE)-AVERAGE('The List'!X2:X671))/STDEV('The List'!X2:X671)</f>
        <v>1.6236507028150364</v>
      </c>
      <c r="L61" s="55" cm="1">
        <f t="array" ref="L61">(VLOOKUP($A61,'The List'!$B1:$AH671,24,FALSE)-AVERAGE('The List'!Y2:Y671))/STDEV('The List'!Y2:Y671)</f>
        <v>-0.54036587921983514</v>
      </c>
      <c r="M61" s="55" cm="1">
        <f t="array" ref="M61">(VLOOKUP($A61,'The List'!$B1:$AH671,25,FALSE)-AVERAGE('The List'!Z2:Z671))/STDEV('The List'!Z2:Z671)</f>
        <v>-0.68261492966638082</v>
      </c>
      <c r="N61" s="55" cm="1">
        <f t="array" ref="N61">(VLOOKUP($A61,'The List'!$B1:$AH671,26,FALSE)-AVERAGE('The List'!AA2:AA671))/STDEV('The List'!AA2:AA671)</f>
        <v>-0.73531986620862677</v>
      </c>
      <c r="O61" s="55" cm="1">
        <f t="array" ref="O61">(VLOOKUP($A61,'The List'!$B1:$AH671,27,FALSE)-AVERAGE('The List'!AB2:AB671))/STDEV('The List'!AB2:AB671)</f>
        <v>-1.3051277977887732</v>
      </c>
      <c r="P61" s="55" cm="1">
        <f t="array" ref="P61">(VLOOKUP($A61,'The List'!$B1:$AH671,28,FALSE)-AVERAGE('The List'!AC2:AC671))/STDEV('The List'!AC2:AC671)</f>
        <v>1.8768145858045244</v>
      </c>
      <c r="Q61" s="55" cm="1">
        <f t="array" ref="Q61">(VLOOKUP($A61,'The List'!$B1:$AH671,29,FALSE)-AVERAGE('The List'!AD2:AD671))/STDEV('The List'!AD2:AD671)</f>
        <v>-1.1372831003034263</v>
      </c>
      <c r="R61" s="55" cm="1">
        <f t="array" ref="R61">(VLOOKUP($A61,'The List'!$B1:$AH671,30,FALSE)-AVERAGE('The List'!AE2:AE671))/STDEV('The List'!AE2:AE671)</f>
        <v>2.3018175231911226</v>
      </c>
      <c r="S61" s="55" cm="1">
        <f t="array" ref="S61">(VLOOKUP($A61,'The List'!$B1:$AH671,31,FALSE)-AVERAGE('The List'!AF2:AF671))/STDEV('The List'!AF2:AF671)</f>
        <v>1.1521186432250998</v>
      </c>
      <c r="T61" s="55" cm="1">
        <f t="array" ref="T61">(VLOOKUP($A61,'The List'!$B1:$AH671,32,FALSE)-AVERAGE('The List'!AG2:AG671))/STDEV('The List'!AG2:AG671)</f>
        <v>1.4703693758289942</v>
      </c>
      <c r="U61" s="55" cm="1">
        <f t="array" ref="U61">(VLOOKUP($A61,'The List'!$B1:$AH671,33,FALSE)-AVERAGE('The List'!AH2:AH671))/STDEV('The List'!AH2:AH671)</f>
        <v>0.89504765711336243</v>
      </c>
      <c r="V61" s="55"/>
      <c r="W61" s="78"/>
      <c r="X61" s="57"/>
      <c r="Y61" s="57"/>
      <c r="Z61" s="57"/>
      <c r="AA61" s="57"/>
      <c r="AB61" s="57"/>
      <c r="AC61" s="60"/>
      <c r="AD61" s="61"/>
      <c r="AE61" s="55"/>
    </row>
    <row r="62" spans="1:31" ht="21.25" customHeight="1" x14ac:dyDescent="0.15">
      <c r="A62" s="10" t="s">
        <v>224</v>
      </c>
      <c r="B62" s="18" t="str" cm="1">
        <f t="array" ref="B62">VLOOKUP(A62,'Player Data'!A1:B673,2,FALSE)</f>
        <v>S.J</v>
      </c>
      <c r="C62" s="52" cm="1">
        <f t="array" ref="C62">((E62)*Settings!$C$12)+(F62*Settings!$C$2)+(G62*Settings!$C$3)+(H62*Settings!$C$4)+(I62*Settings!$C$5)+(K62*Settings!$C$9)+(N62*Settings!$C$6)+(J62*Settings!$C$8)+(O62*Settings!$C$7)+(P62*Settings!$C$14)+(Q62*Settings!$C$15)+(R62*Settings!$C$16)+(S62*Settings!$C$17)+(T62*Settings!$C$18)+(U62*Settings!$C$19)+(L62*Settings!$C$10)+(Settings!$C$11*M62)</f>
        <v>3.9971968499738351</v>
      </c>
      <c r="D62" s="57" cm="1">
        <f t="array" ref="D62">IF(Settings!$E$12="YES",VLOOKUP(A62,'Player Data'!A1:E673,5,FALSE),82)</f>
        <v>79.622500000000002</v>
      </c>
      <c r="E62" s="55" cm="1">
        <f t="array" ref="E62">(VLOOKUP($A62,'The List'!$B1:$AH671,17,FALSE)-AVERAGE('The List'!R2:R671))/STDEV('The List'!R2:R671)</f>
        <v>0.59391974588910657</v>
      </c>
      <c r="F62" s="55" cm="1">
        <f t="array" ref="F62">(VLOOKUP($A62,'The List'!$B1:$AH671,18,FALSE)-AVERAGE('The List'!S2:S671))/STDEV('The List'!S2:S671)</f>
        <v>1.7007609997071351</v>
      </c>
      <c r="G62" s="55" cm="1">
        <f t="array" ref="G62">(VLOOKUP($A62,'The List'!$B1:$AH671,19,FALSE)-AVERAGE('The List'!T2:T671))/STDEV('The List'!T2:T671)</f>
        <v>1.5238338498403761</v>
      </c>
      <c r="H62" s="55" cm="1">
        <f t="array" ref="H62">(VLOOKUP($A62,'The List'!$B1:$AH671,20,FALSE)-AVERAGE('The List'!U2:U671))/STDEV('The List'!U2:U671)</f>
        <v>1.7130741067173376</v>
      </c>
      <c r="I62" s="55" cm="1">
        <f t="array" ref="I62">(VLOOKUP($A62,'The List'!$B1:$AH671,21,FALSE)-AVERAGE('The List'!V2:V671))/STDEV('The List'!V2:V671)</f>
        <v>1.3573931992953361</v>
      </c>
      <c r="J62" s="55" cm="1">
        <f t="array" ref="J62">(VLOOKUP($A62,'The List'!$B1:$AH671,22,FALSE)-AVERAGE('The List'!W2:W671))/STDEV('The List'!W2:W671)</f>
        <v>1.8320917299921473</v>
      </c>
      <c r="K62" s="55" cm="1">
        <f t="array" ref="K62">(VLOOKUP($A62,'The List'!$B1:$AH671,23,FALSE)-AVERAGE('The List'!X2:X671))/STDEV('The List'!X2:X671)</f>
        <v>1.53238565813692</v>
      </c>
      <c r="L62" s="55" cm="1">
        <f t="array" ref="L62">(VLOOKUP($A62,'The List'!$B1:$AH671,24,FALSE)-AVERAGE('The List'!Y2:Y671))/STDEV('The List'!Y2:Y671)</f>
        <v>-0.33272065672972023</v>
      </c>
      <c r="M62" s="55" cm="1">
        <f t="array" ref="M62">(VLOOKUP($A62,'The List'!$B1:$AH671,25,FALSE)-AVERAGE('The List'!Z2:Z671))/STDEV('The List'!Z2:Z671)</f>
        <v>-0.47804749170543354</v>
      </c>
      <c r="N62" s="55" cm="1">
        <f t="array" ref="N62">(VLOOKUP($A62,'The List'!$B1:$AH671,26,FALSE)-AVERAGE('The List'!AA2:AA671))/STDEV('The List'!AA2:AA671)</f>
        <v>-1.1125543024604767</v>
      </c>
      <c r="O62" s="55" cm="1">
        <f t="array" ref="O62">(VLOOKUP($A62,'The List'!$B1:$AH671,27,FALSE)-AVERAGE('The List'!AB2:AB671))/STDEV('The List'!AB2:AB671)</f>
        <v>-1.2248194924776761</v>
      </c>
      <c r="P62" s="55" cm="1">
        <f t="array" ref="P62">(VLOOKUP($A62,'The List'!$B1:$AH671,28,FALSE)-AVERAGE('The List'!AC2:AC671))/STDEV('The List'!AC2:AC671)</f>
        <v>-0.47770531859609278</v>
      </c>
      <c r="Q62" s="55" cm="1">
        <f t="array" ref="Q62">(VLOOKUP($A62,'The List'!$B1:$AH671,29,FALSE)-AVERAGE('The List'!AD2:AD671))/STDEV('The List'!AD2:AD671)</f>
        <v>-0.52691723594936257</v>
      </c>
      <c r="R62" s="55" cm="1">
        <f t="array" ref="R62">(VLOOKUP($A62,'The List'!$B1:$AH671,30,FALSE)-AVERAGE('The List'!AE2:AE671))/STDEV('The List'!AE2:AE671)</f>
        <v>1.3511777492760753</v>
      </c>
      <c r="S62" s="55" cm="1">
        <f t="array" ref="S62">(VLOOKUP($A62,'The List'!$B1:$AH671,31,FALSE)-AVERAGE('The List'!AF2:AF671))/STDEV('The List'!AF2:AF671)</f>
        <v>-0.46134612464371677</v>
      </c>
      <c r="T62" s="55" cm="1">
        <f t="array" ref="T62">(VLOOKUP($A62,'The List'!$B1:$AH671,32,FALSE)-AVERAGE('The List'!AG2:AG671))/STDEV('The List'!AG2:AG671)</f>
        <v>-0.35103861907676281</v>
      </c>
      <c r="U62" s="55" cm="1">
        <f t="array" ref="U62">(VLOOKUP($A62,'The List'!$B1:$AH671,33,FALSE)-AVERAGE('The List'!AH2:AH671))/STDEV('The List'!AH2:AH671)</f>
        <v>0.23346439153114062</v>
      </c>
      <c r="V62" s="55"/>
      <c r="W62" s="57"/>
      <c r="X62" s="57"/>
      <c r="Y62" s="57"/>
      <c r="Z62" s="57"/>
      <c r="AA62" s="57"/>
      <c r="AB62" s="57"/>
      <c r="AC62" s="60"/>
      <c r="AD62" s="61"/>
      <c r="AE62" s="55"/>
    </row>
    <row r="63" spans="1:31" ht="21.25" customHeight="1" x14ac:dyDescent="0.15">
      <c r="A63" s="10" t="s">
        <v>137</v>
      </c>
      <c r="B63" s="18" t="str" cm="1">
        <f t="array" ref="B63">VLOOKUP(A63,'Player Data'!A1:B673,2,FALSE)</f>
        <v>BUF</v>
      </c>
      <c r="C63" s="52" cm="1">
        <f t="array" ref="C63">((E63)*Settings!$C$12)+(F63*Settings!$C$2)+(G63*Settings!$C$3)+(H63*Settings!$C$4)+(I63*Settings!$C$5)+(K63*Settings!$C$9)+(N63*Settings!$C$6)+(J63*Settings!$C$8)+(O63*Settings!$C$7)+(P63*Settings!$C$14)+(Q63*Settings!$C$15)+(R63*Settings!$C$16)+(S63*Settings!$C$17)+(T63*Settings!$C$18)+(U63*Settings!$C$19)+(L63*Settings!$C$10)+(Settings!$C$11*M63)</f>
        <v>10.472300297298073</v>
      </c>
      <c r="D63" s="57" cm="1">
        <f t="array" ref="D63">IF(Settings!$E$12="YES",VLOOKUP(A63,'Player Data'!A1:E673,5,FALSE),82)</f>
        <v>81.094999999999999</v>
      </c>
      <c r="E63" s="55" cm="1">
        <f t="array" ref="E63">(VLOOKUP($A63,'The List'!$B1:$AH671,17,FALSE)-AVERAGE('The List'!R2:R671))/STDEV('The List'!R2:R671)</f>
        <v>1.9495363929416936</v>
      </c>
      <c r="F63" s="55" cm="1">
        <f t="array" ref="F63">(VLOOKUP($A63,'The List'!$B1:$AH671,18,FALSE)-AVERAGE('The List'!S2:S671))/STDEV('The List'!S2:S671)</f>
        <v>0.77081640621004965</v>
      </c>
      <c r="G63" s="55" cm="1">
        <f t="array" ref="G63">(VLOOKUP($A63,'The List'!$B1:$AH671,19,FALSE)-AVERAGE('The List'!T2:T671))/STDEV('The List'!T2:T671)</f>
        <v>2.2731236113120419</v>
      </c>
      <c r="H63" s="55" cm="1">
        <f t="array" ref="H63">(VLOOKUP($A63,'The List'!$B1:$AH671,20,FALSE)-AVERAGE('The List'!U2:U671))/STDEV('The List'!U2:U671)</f>
        <v>1.7717772249753287</v>
      </c>
      <c r="I63" s="55" cm="1">
        <f t="array" ref="I63">(VLOOKUP($A63,'The List'!$B1:$AH671,21,FALSE)-AVERAGE('The List'!V2:V671))/STDEV('The List'!V2:V671)</f>
        <v>1.5930682593988643</v>
      </c>
      <c r="J63" s="55" cm="1">
        <f t="array" ref="J63">(VLOOKUP($A63,'The List'!$B1:$AH671,22,FALSE)-AVERAGE('The List'!W2:W671))/STDEV('The List'!W2:W671)</f>
        <v>1.1546275573800766</v>
      </c>
      <c r="K63" s="55" cm="1">
        <f t="array" ref="K63">(VLOOKUP($A63,'The List'!$B1:$AH671,23,FALSE)-AVERAGE('The List'!X2:X671))/STDEV('The List'!X2:X671)</f>
        <v>1.6656026490006062</v>
      </c>
      <c r="L63" s="55" cm="1">
        <f t="array" ref="L63">(VLOOKUP($A63,'The List'!$B1:$AH671,24,FALSE)-AVERAGE('The List'!Y2:Y671))/STDEV('The List'!Y2:Y671)</f>
        <v>-0.51465935644790339</v>
      </c>
      <c r="M63" s="55" cm="1">
        <f t="array" ref="M63">(VLOOKUP($A63,'The List'!$B1:$AH671,25,FALSE)-AVERAGE('The List'!Z2:Z671))/STDEV('The List'!Z2:Z671)</f>
        <v>-0.31099394284599752</v>
      </c>
      <c r="N63" s="55" cm="1">
        <f t="array" ref="N63">(VLOOKUP($A63,'The List'!$B1:$AH671,26,FALSE)-AVERAGE('The List'!AA2:AA671))/STDEV('The List'!AA2:AA671)</f>
        <v>0.9377255377643644</v>
      </c>
      <c r="O63" s="55" cm="1">
        <f t="array" ref="O63">(VLOOKUP($A63,'The List'!$B1:$AH671,27,FALSE)-AVERAGE('The List'!AB2:AB671))/STDEV('The List'!AB2:AB671)</f>
        <v>-4.2016802080000352E-2</v>
      </c>
      <c r="P63" s="55" cm="1">
        <f t="array" ref="P63">(VLOOKUP($A63,'The List'!$B1:$AH671,28,FALSE)-AVERAGE('The List'!AC2:AC671))/STDEV('The List'!AC2:AC671)</f>
        <v>1.1112701215563856</v>
      </c>
      <c r="Q63" s="55" cm="1">
        <f t="array" ref="Q63">(VLOOKUP($A63,'The List'!$B1:$AH671,29,FALSE)-AVERAGE('The List'!AD2:AD671))/STDEV('The List'!AD2:AD671)</f>
        <v>2.1206937120557603</v>
      </c>
      <c r="R63" s="55" cm="1">
        <f t="array" ref="R63">(VLOOKUP($A63,'The List'!$B1:$AH671,30,FALSE)-AVERAGE('The List'!AE2:AE671))/STDEV('The List'!AE2:AE671)</f>
        <v>0.68502932115582993</v>
      </c>
      <c r="S63" s="55" cm="1">
        <f t="array" ref="S63">(VLOOKUP($A63,'The List'!$B1:$AH671,31,FALSE)-AVERAGE('The List'!AF2:AF671))/STDEV('The List'!AF2:AF671)</f>
        <v>-0.5939690971349143</v>
      </c>
      <c r="T63" s="55" cm="1">
        <f t="array" ref="T63">(VLOOKUP($A63,'The List'!$B1:$AH671,32,FALSE)-AVERAGE('The List'!AG2:AG671))/STDEV('The List'!AG2:AG671)</f>
        <v>-0.64602208138248207</v>
      </c>
      <c r="U63" s="55" cm="1">
        <f t="array" ref="U63">(VLOOKUP($A63,'The List'!$B1:$AH671,33,FALSE)-AVERAGE('The List'!AH2:AH671))/STDEV('The List'!AH2:AH671)</f>
        <v>-1.2548938914719048</v>
      </c>
      <c r="V63" s="55"/>
      <c r="W63" s="78"/>
      <c r="X63" s="57"/>
      <c r="Y63" s="57"/>
      <c r="Z63" s="57"/>
      <c r="AA63" s="57"/>
      <c r="AB63" s="57"/>
      <c r="AC63" s="60"/>
      <c r="AD63" s="61"/>
      <c r="AE63" s="55"/>
    </row>
    <row r="64" spans="1:31" ht="21.25" customHeight="1" x14ac:dyDescent="0.15">
      <c r="A64" s="10" t="s">
        <v>258</v>
      </c>
      <c r="B64" s="18" t="str" cm="1">
        <f t="array" ref="B64">VLOOKUP(A64,'Player Data'!A1:B673,2,FALSE)</f>
        <v>NYR</v>
      </c>
      <c r="C64" s="52" cm="1">
        <f t="array" ref="C64">((E64)*Settings!$C$12)+(F64*Settings!$C$2)+(G64*Settings!$C$3)+(H64*Settings!$C$4)+(I64*Settings!$C$5)+(K64*Settings!$C$9)+(N64*Settings!$C$6)+(J64*Settings!$C$8)+(O64*Settings!$C$7)+(P64*Settings!$C$14)+(Q64*Settings!$C$15)+(R64*Settings!$C$16)+(S64*Settings!$C$17)+(T64*Settings!$C$18)+(U64*Settings!$C$19)+(L64*Settings!$C$10)+(Settings!$C$11*M64)</f>
        <v>5.4216675799283403</v>
      </c>
      <c r="D64" s="57" cm="1">
        <f t="array" ref="D64">IF(Settings!$E$12="YES",VLOOKUP(A64,'Player Data'!A1:E673,5,FALSE),82)</f>
        <v>80.069999999999993</v>
      </c>
      <c r="E64" s="55" cm="1">
        <f t="array" ref="E64">(VLOOKUP($A64,'The List'!$B1:$AH671,17,FALSE)-AVERAGE('The List'!R2:R671))/STDEV('The List'!R2:R671)</f>
        <v>0.80448793236930882</v>
      </c>
      <c r="F64" s="55" cm="1">
        <f t="array" ref="F64">(VLOOKUP($A64,'The List'!$B1:$AH671,18,FALSE)-AVERAGE('The List'!S2:S671))/STDEV('The List'!S2:S671)</f>
        <v>0.87261123633139026</v>
      </c>
      <c r="G64" s="55" cm="1">
        <f t="array" ref="G64">(VLOOKUP($A64,'The List'!$B1:$AH671,19,FALSE)-AVERAGE('The List'!T2:T671))/STDEV('The List'!T2:T671)</f>
        <v>1.6011296637907957</v>
      </c>
      <c r="H64" s="55" cm="1">
        <f t="array" ref="H64">(VLOOKUP($A64,'The List'!$B1:$AH671,20,FALSE)-AVERAGE('The List'!U2:U671))/STDEV('The List'!U2:U671)</f>
        <v>1.3942607306995967</v>
      </c>
      <c r="I64" s="55" cm="1">
        <f t="array" ref="I64">(VLOOKUP($A64,'The List'!$B1:$AH671,21,FALSE)-AVERAGE('The List'!V2:V671))/STDEV('The List'!V2:V671)</f>
        <v>0.74948369679641114</v>
      </c>
      <c r="J64" s="55" cm="1">
        <f t="array" ref="J64">(VLOOKUP($A64,'The List'!$B1:$AH671,22,FALSE)-AVERAGE('The List'!W2:W671))/STDEV('The List'!W2:W671)</f>
        <v>0.94916583969210122</v>
      </c>
      <c r="K64" s="55" cm="1">
        <f t="array" ref="K64">(VLOOKUP($A64,'The List'!$B1:$AH671,23,FALSE)-AVERAGE('The List'!X2:X671))/STDEV('The List'!X2:X671)</f>
        <v>1.4266717753977283</v>
      </c>
      <c r="L64" s="55" cm="1">
        <f t="array" ref="L64">(VLOOKUP($A64,'The List'!$B1:$AH671,24,FALSE)-AVERAGE('The List'!Y2:Y671))/STDEV('The List'!Y2:Y671)</f>
        <v>0.35319958346321684</v>
      </c>
      <c r="M64" s="55" cm="1">
        <f t="array" ref="M64">(VLOOKUP($A64,'The List'!$B1:$AH671,25,FALSE)-AVERAGE('The List'!Z2:Z671))/STDEV('The List'!Z2:Z671)</f>
        <v>1.7244508342026623</v>
      </c>
      <c r="N64" s="55" cm="1">
        <f t="array" ref="N64">(VLOOKUP($A64,'The List'!$B1:$AH671,26,FALSE)-AVERAGE('The List'!AA2:AA671))/STDEV('The List'!AA2:AA671)</f>
        <v>-0.414329709635118</v>
      </c>
      <c r="O64" s="55" cm="1">
        <f t="array" ref="O64">(VLOOKUP($A64,'The List'!$B1:$AH671,27,FALSE)-AVERAGE('The List'!AB2:AB671))/STDEV('The List'!AB2:AB671)</f>
        <v>1.3799357322756276</v>
      </c>
      <c r="P64" s="55" cm="1">
        <f t="array" ref="P64">(VLOOKUP($A64,'The List'!$B1:$AH671,28,FALSE)-AVERAGE('The List'!AC2:AC671))/STDEV('The List'!AC2:AC671)</f>
        <v>-9.4709051905846914E-2</v>
      </c>
      <c r="Q64" s="55" cm="1">
        <f t="array" ref="Q64">(VLOOKUP($A64,'The List'!$B1:$AH671,29,FALSE)-AVERAGE('The List'!AD2:AD671))/STDEV('The List'!AD2:AD671)</f>
        <v>1.28080996915298</v>
      </c>
      <c r="R64" s="55" cm="1">
        <f t="array" ref="R64">(VLOOKUP($A64,'The List'!$B1:$AH671,30,FALSE)-AVERAGE('The List'!AE2:AE671))/STDEV('The List'!AE2:AE671)</f>
        <v>0.86974878421651036</v>
      </c>
      <c r="S64" s="55" cm="1">
        <f t="array" ref="S64">(VLOOKUP($A64,'The List'!$B1:$AH671,31,FALSE)-AVERAGE('The List'!AF2:AF671))/STDEV('The List'!AF2:AF671)</f>
        <v>2.627819940416142</v>
      </c>
      <c r="T64" s="55" cm="1">
        <f t="array" ref="T64">(VLOOKUP($A64,'The List'!$B1:$AH671,32,FALSE)-AVERAGE('The List'!AG2:AG671))/STDEV('The List'!AG2:AG671)</f>
        <v>1.7359154755403925</v>
      </c>
      <c r="U64" s="55" cm="1">
        <f t="array" ref="U64">(VLOOKUP($A64,'The List'!$B1:$AH671,33,FALSE)-AVERAGE('The List'!AH2:AH671))/STDEV('The List'!AH2:AH671)</f>
        <v>1.4583753940489608</v>
      </c>
      <c r="V64" s="55"/>
      <c r="W64" s="57"/>
      <c r="X64" s="55"/>
      <c r="Y64" s="55"/>
      <c r="Z64" s="55"/>
      <c r="AA64" s="55"/>
      <c r="AB64" s="55"/>
      <c r="AC64" s="55"/>
      <c r="AD64" s="55"/>
      <c r="AE64" s="55"/>
    </row>
    <row r="65" spans="1:31" ht="21.25" customHeight="1" x14ac:dyDescent="0.15">
      <c r="A65" s="10" t="s">
        <v>295</v>
      </c>
      <c r="B65" s="18" t="str" cm="1">
        <f t="array" ref="B65">VLOOKUP(A65,'Player Data'!A1:B673,2,FALSE)</f>
        <v>PHI</v>
      </c>
      <c r="C65" s="52" cm="1">
        <f t="array" ref="C65">((E65)*Settings!$C$12)+(F65*Settings!$C$2)+(G65*Settings!$C$3)+(H65*Settings!$C$4)+(I65*Settings!$C$5)+(K65*Settings!$C$9)+(N65*Settings!$C$6)+(J65*Settings!$C$8)+(O65*Settings!$C$7)+(P65*Settings!$C$14)+(Q65*Settings!$C$15)+(R65*Settings!$C$16)+(S65*Settings!$C$17)+(T65*Settings!$C$18)+(U65*Settings!$C$19)+(L65*Settings!$C$10)+(Settings!$C$11*M65)</f>
        <v>3.970203845293546</v>
      </c>
      <c r="D65" s="57" cm="1">
        <f t="array" ref="D65">IF(Settings!$E$12="YES",VLOOKUP(A65,'Player Data'!A1:E673,5,FALSE),82)</f>
        <v>78</v>
      </c>
      <c r="E65" s="55" cm="1">
        <f t="array" ref="E65">(VLOOKUP($A65,'The List'!$B1:$AH671,17,FALSE)-AVERAGE('The List'!R2:R671))/STDEV('The List'!R2:R671)</f>
        <v>2.2516264037210777E-2</v>
      </c>
      <c r="F65" s="55" cm="1">
        <f t="array" ref="F65">(VLOOKUP($A65,'The List'!$B1:$AH671,18,FALSE)-AVERAGE('The List'!S2:S671))/STDEV('The List'!S2:S671)</f>
        <v>1.1122546222735643</v>
      </c>
      <c r="G65" s="55" cm="1">
        <f t="array" ref="G65">(VLOOKUP($A65,'The List'!$B1:$AH671,19,FALSE)-AVERAGE('The List'!T2:T671))/STDEV('The List'!T2:T671)</f>
        <v>0.82977587138464792</v>
      </c>
      <c r="H65" s="55" cm="1">
        <f t="array" ref="H65">(VLOOKUP($A65,'The List'!$B1:$AH671,20,FALSE)-AVERAGE('The List'!U2:U671))/STDEV('The List'!U2:U671)</f>
        <v>1.0154078239935544</v>
      </c>
      <c r="I65" s="55" cm="1">
        <f t="array" ref="I65">(VLOOKUP($A65,'The List'!$B1:$AH671,21,FALSE)-AVERAGE('The List'!V2:V671))/STDEV('The List'!V2:V671)</f>
        <v>1.2628541170015664</v>
      </c>
      <c r="J65" s="55" cm="1">
        <f t="array" ref="J65">(VLOOKUP($A65,'The List'!$B1:$AH671,22,FALSE)-AVERAGE('The List'!W2:W671))/STDEV('The List'!W2:W671)</f>
        <v>1.8158748789324306</v>
      </c>
      <c r="K65" s="55" cm="1">
        <f t="array" ref="K65">(VLOOKUP($A65,'The List'!$B1:$AH671,23,FALSE)-AVERAGE('The List'!X2:X671))/STDEV('The List'!X2:X671)</f>
        <v>1.3247339054804725</v>
      </c>
      <c r="L65" s="55" cm="1">
        <f t="array" ref="L65">(VLOOKUP($A65,'The List'!$B1:$AH671,24,FALSE)-AVERAGE('The List'!Y2:Y671))/STDEV('The List'!Y2:Y671)</f>
        <v>-0.51174945111936632</v>
      </c>
      <c r="M65" s="55" cm="1">
        <f t="array" ref="M65">(VLOOKUP($A65,'The List'!$B1:$AH671,25,FALSE)-AVERAGE('The List'!Z2:Z671))/STDEV('The List'!Z2:Z671)</f>
        <v>-0.6549989146186449</v>
      </c>
      <c r="N65" s="55" cm="1">
        <f t="array" ref="N65">(VLOOKUP($A65,'The List'!$B1:$AH671,26,FALSE)-AVERAGE('The List'!AA2:AA671))/STDEV('The List'!AA2:AA671)</f>
        <v>-0.84117538624265675</v>
      </c>
      <c r="O65" s="55" cm="1">
        <f t="array" ref="O65">(VLOOKUP($A65,'The List'!$B1:$AH671,27,FALSE)-AVERAGE('The List'!AB2:AB671))/STDEV('The List'!AB2:AB671)</f>
        <v>0.37257184851489045</v>
      </c>
      <c r="P65" s="55" cm="1">
        <f t="array" ref="P65">(VLOOKUP($A65,'The List'!$B1:$AH671,28,FALSE)-AVERAGE('The List'!AC2:AC671))/STDEV('The List'!AC2:AC671)</f>
        <v>0.10797654635273372</v>
      </c>
      <c r="Q65" s="55" cm="1">
        <f t="array" ref="Q65">(VLOOKUP($A65,'The List'!$B1:$AH671,29,FALSE)-AVERAGE('The List'!AD2:AD671))/STDEV('The List'!AD2:AD671)</f>
        <v>0.1737841690432177</v>
      </c>
      <c r="R65" s="55" cm="1">
        <f t="array" ref="R65">(VLOOKUP($A65,'The List'!$B1:$AH671,30,FALSE)-AVERAGE('The List'!AE2:AE671))/STDEV('The List'!AE2:AE671)</f>
        <v>1.1194711402935869</v>
      </c>
      <c r="S65" s="55" cm="1">
        <f t="array" ref="S65">(VLOOKUP($A65,'The List'!$B1:$AH671,31,FALSE)-AVERAGE('The List'!AF2:AF671))/STDEV('The List'!AF2:AF671)</f>
        <v>-0.55301052399200479</v>
      </c>
      <c r="T65" s="55" cm="1">
        <f t="array" ref="T65">(VLOOKUP($A65,'The List'!$B1:$AH671,32,FALSE)-AVERAGE('The List'!AG2:AG671))/STDEV('The List'!AG2:AG671)</f>
        <v>-0.55878453831119534</v>
      </c>
      <c r="U65" s="55" cm="1">
        <f t="array" ref="U65">(VLOOKUP($A65,'The List'!$B1:$AH671,33,FALSE)-AVERAGE('The List'!AH2:AH671))/STDEV('The List'!AH2:AH671)</f>
        <v>0.27740870605004825</v>
      </c>
      <c r="V65" s="55"/>
      <c r="W65" s="57"/>
      <c r="X65" s="57"/>
      <c r="Y65" s="57"/>
      <c r="Z65" s="57"/>
      <c r="AA65" s="57"/>
      <c r="AB65" s="57"/>
      <c r="AC65" s="60"/>
      <c r="AD65" s="61"/>
      <c r="AE65" s="55"/>
    </row>
    <row r="66" spans="1:31" ht="21.25" customHeight="1" x14ac:dyDescent="0.15">
      <c r="A66" s="10" t="s">
        <v>226</v>
      </c>
      <c r="B66" s="18" t="str" cm="1">
        <f t="array" ref="B66">VLOOKUP(A66,'Player Data'!A1:B673,2,FALSE)</f>
        <v>PIT</v>
      </c>
      <c r="C66" s="52" cm="1">
        <f t="array" ref="C66">((E66)*Settings!$C$12)+(F66*Settings!$C$2)+(G66*Settings!$C$3)+(H66*Settings!$C$4)+(I66*Settings!$C$5)+(K66*Settings!$C$9)+(N66*Settings!$C$6)+(J66*Settings!$C$8)+(O66*Settings!$C$7)+(P66*Settings!$C$14)+(Q66*Settings!$C$15)+(R66*Settings!$C$16)+(S66*Settings!$C$17)+(T66*Settings!$C$18)+(U66*Settings!$C$19)+(L66*Settings!$C$10)+(Settings!$C$11*M66)</f>
        <v>5.0657563976462283</v>
      </c>
      <c r="D66" s="57" cm="1">
        <f t="array" ref="D66">IF(Settings!$E$12="YES",VLOOKUP(A66,'Player Data'!A1:E673,5,FALSE),82)</f>
        <v>78.742500000000007</v>
      </c>
      <c r="E66" s="55" cm="1">
        <f t="array" ref="E66">(VLOOKUP($A66,'The List'!$B1:$AH671,17,FALSE)-AVERAGE('The List'!R2:R671))/STDEV('The List'!R2:R671)</f>
        <v>0.83412235938853563</v>
      </c>
      <c r="F66" s="55" cm="1">
        <f t="array" ref="F66">(VLOOKUP($A66,'The List'!$B1:$AH671,18,FALSE)-AVERAGE('The List'!S2:S671))/STDEV('The List'!S2:S671)</f>
        <v>1.6143372241917062</v>
      </c>
      <c r="G66" s="55" cm="1">
        <f t="array" ref="G66">(VLOOKUP($A66,'The List'!$B1:$AH671,19,FALSE)-AVERAGE('The List'!T2:T671))/STDEV('The List'!T2:T671)</f>
        <v>0.94169473515494273</v>
      </c>
      <c r="H66" s="55" cm="1">
        <f t="array" ref="H66">(VLOOKUP($A66,'The List'!$B1:$AH671,20,FALSE)-AVERAGE('The List'!U2:U671))/STDEV('The List'!U2:U671)</f>
        <v>1.3085673270754596</v>
      </c>
      <c r="I66" s="55" cm="1">
        <f t="array" ref="I66">(VLOOKUP($A66,'The List'!$B1:$AH671,21,FALSE)-AVERAGE('The List'!V2:V671))/STDEV('The List'!V2:V671)</f>
        <v>1.3872141554406789</v>
      </c>
      <c r="J66" s="55" cm="1">
        <f t="array" ref="J66">(VLOOKUP($A66,'The List'!$B1:$AH671,22,FALSE)-AVERAGE('The List'!W2:W671))/STDEV('The List'!W2:W671)</f>
        <v>1.2527389409056489</v>
      </c>
      <c r="K66" s="55" cm="1">
        <f t="array" ref="K66">(VLOOKUP($A66,'The List'!$B1:$AH671,23,FALSE)-AVERAGE('The List'!X2:X671))/STDEV('The List'!X2:X671)</f>
        <v>1.3761481916260421</v>
      </c>
      <c r="L66" s="55" cm="1">
        <f t="array" ref="L66">(VLOOKUP($A66,'The List'!$B1:$AH671,24,FALSE)-AVERAGE('The List'!Y2:Y671))/STDEV('The List'!Y2:Y671)</f>
        <v>0.6645148256450023</v>
      </c>
      <c r="M66" s="55" cm="1">
        <f t="array" ref="M66">(VLOOKUP($A66,'The List'!$B1:$AH671,25,FALSE)-AVERAGE('The List'!Z2:Z671))/STDEV('The List'!Z2:Z671)</f>
        <v>0.7662965956191703</v>
      </c>
      <c r="N66" s="55" cm="1">
        <f t="array" ref="N66">(VLOOKUP($A66,'The List'!$B1:$AH671,26,FALSE)-AVERAGE('The List'!AA2:AA671))/STDEV('The List'!AA2:AA671)</f>
        <v>0.15439023564562165</v>
      </c>
      <c r="O66" s="55" cm="1">
        <f t="array" ref="O66">(VLOOKUP($A66,'The List'!$B1:$AH671,27,FALSE)-AVERAGE('The List'!AB2:AB671))/STDEV('The List'!AB2:AB671)</f>
        <v>-0.72441665310949466</v>
      </c>
      <c r="P66" s="55" cm="1">
        <f t="array" ref="P66">(VLOOKUP($A66,'The List'!$B1:$AH671,28,FALSE)-AVERAGE('The List'!AC2:AC671))/STDEV('The List'!AC2:AC671)</f>
        <v>-7.4299061840963632E-2</v>
      </c>
      <c r="Q66" s="55" cm="1">
        <f t="array" ref="Q66">(VLOOKUP($A66,'The List'!$B1:$AH671,29,FALSE)-AVERAGE('The List'!AD2:AD671))/STDEV('The List'!AD2:AD671)</f>
        <v>-0.33372908257180001</v>
      </c>
      <c r="R66" s="55" cm="1">
        <f t="array" ref="R66">(VLOOKUP($A66,'The List'!$B1:$AH671,30,FALSE)-AVERAGE('The List'!AE2:AE671))/STDEV('The List'!AE2:AE671)</f>
        <v>1.3718872901123613</v>
      </c>
      <c r="S66" s="55" cm="1">
        <f t="array" ref="S66">(VLOOKUP($A66,'The List'!$B1:$AH671,31,FALSE)-AVERAGE('The List'!AF2:AF671))/STDEV('The List'!AF2:AF671)</f>
        <v>-0.57119486533411934</v>
      </c>
      <c r="T66" s="55" cm="1">
        <f t="array" ref="T66">(VLOOKUP($A66,'The List'!$B1:$AH671,32,FALSE)-AVERAGE('The List'!AG2:AG671))/STDEV('The List'!AG2:AG671)</f>
        <v>-0.58875788960646069</v>
      </c>
      <c r="U66" s="55" cm="1">
        <f t="array" ref="U66">(VLOOKUP($A66,'The List'!$B1:$AH671,33,FALSE)-AVERAGE('The List'!AH2:AH671))/STDEV('The List'!AH2:AH671)</f>
        <v>0.11279362541729367</v>
      </c>
      <c r="V66" s="55"/>
      <c r="W66" s="57"/>
      <c r="X66" s="55"/>
      <c r="Y66" s="55"/>
      <c r="Z66" s="55"/>
      <c r="AA66" s="55"/>
      <c r="AB66" s="55"/>
      <c r="AC66" s="55"/>
      <c r="AD66" s="55"/>
      <c r="AE66" s="55"/>
    </row>
    <row r="67" spans="1:31" ht="21.25" customHeight="1" x14ac:dyDescent="0.15">
      <c r="A67" s="10" t="s">
        <v>304</v>
      </c>
      <c r="B67" s="18" t="str" cm="1">
        <f t="array" ref="B67">VLOOKUP(A67,'Player Data'!A1:B673,2,FALSE)</f>
        <v>WPG</v>
      </c>
      <c r="C67" s="52" cm="1">
        <f t="array" ref="C67">((E67)*Settings!$C$12)+(F67*Settings!$C$2)+(G67*Settings!$C$3)+(H67*Settings!$C$4)+(I67*Settings!$C$5)+(K67*Settings!$C$9)+(N67*Settings!$C$6)+(J67*Settings!$C$8)+(O67*Settings!$C$7)+(P67*Settings!$C$14)+(Q67*Settings!$C$15)+(R67*Settings!$C$16)+(S67*Settings!$C$17)+(T67*Settings!$C$18)+(U67*Settings!$C$19)+(L67*Settings!$C$10)+(Settings!$C$11*M67)</f>
        <v>3.4124150709769117</v>
      </c>
      <c r="D67" s="57" cm="1">
        <f t="array" ref="D67">IF(Settings!$E$12="YES",VLOOKUP(A67,'Player Data'!A1:E673,5,FALSE),82)</f>
        <v>79.017499999999998</v>
      </c>
      <c r="E67" s="55" cm="1">
        <f t="array" ref="E67">(VLOOKUP($A67,'The List'!$B1:$AH671,17,FALSE)-AVERAGE('The List'!R2:R671))/STDEV('The List'!R2:R671)</f>
        <v>0.5099826640447509</v>
      </c>
      <c r="F67" s="55" cm="1">
        <f t="array" ref="F67">(VLOOKUP($A67,'The List'!$B1:$AH671,18,FALSE)-AVERAGE('The List'!S2:S671))/STDEV('The List'!S2:S671)</f>
        <v>1.49909237355048</v>
      </c>
      <c r="G67" s="55" cm="1">
        <f t="array" ref="G67">(VLOOKUP($A67,'The List'!$B1:$AH671,19,FALSE)-AVERAGE('The List'!T2:T671))/STDEV('The List'!T2:T671)</f>
        <v>0.79571550632025101</v>
      </c>
      <c r="H67" s="55" cm="1">
        <f t="array" ref="H67">(VLOOKUP($A67,'The List'!$B1:$AH671,20,FALSE)-AVERAGE('The List'!U2:U671))/STDEV('The List'!U2:U671)</f>
        <v>1.1656155293846682</v>
      </c>
      <c r="I67" s="55" cm="1">
        <f t="array" ref="I67">(VLOOKUP($A67,'The List'!$B1:$AH671,21,FALSE)-AVERAGE('The List'!V2:V671))/STDEV('The List'!V2:V671)</f>
        <v>0.43905525117407163</v>
      </c>
      <c r="J67" s="55" cm="1">
        <f t="array" ref="J67">(VLOOKUP($A67,'The List'!$B1:$AH671,22,FALSE)-AVERAGE('The List'!W2:W671))/STDEV('The List'!W2:W671)</f>
        <v>2.5306378815292101</v>
      </c>
      <c r="K67" s="55" cm="1">
        <f t="array" ref="K67">(VLOOKUP($A67,'The List'!$B1:$AH671,23,FALSE)-AVERAGE('The List'!X2:X671))/STDEV('The List'!X2:X671)</f>
        <v>1.5233589372062255</v>
      </c>
      <c r="L67" s="55" cm="1">
        <f t="array" ref="L67">(VLOOKUP($A67,'The List'!$B1:$AH671,24,FALSE)-AVERAGE('The List'!Y2:Y671))/STDEV('The List'!Y2:Y671)</f>
        <v>-0.54614665232948501</v>
      </c>
      <c r="M67" s="55" cm="1">
        <f t="array" ref="M67">(VLOOKUP($A67,'The List'!$B1:$AH671,25,FALSE)-AVERAGE('The List'!Z2:Z671))/STDEV('The List'!Z2:Z671)</f>
        <v>-0.68836130518750349</v>
      </c>
      <c r="N67" s="55" cm="1">
        <f t="array" ref="N67">(VLOOKUP($A67,'The List'!$B1:$AH671,26,FALSE)-AVERAGE('The List'!AA2:AA671))/STDEV('The List'!AA2:AA671)</f>
        <v>-0.60300342236467996</v>
      </c>
      <c r="O67" s="55" cm="1">
        <f t="array" ref="O67">(VLOOKUP($A67,'The List'!$B1:$AH671,27,FALSE)-AVERAGE('The List'!AB2:AB671))/STDEV('The List'!AB2:AB671)</f>
        <v>-1.266693515961123</v>
      </c>
      <c r="P67" s="55" cm="1">
        <f t="array" ref="P67">(VLOOKUP($A67,'The List'!$B1:$AH671,28,FALSE)-AVERAGE('The List'!AC2:AC671))/STDEV('The List'!AC2:AC671)</f>
        <v>0.34233235448216681</v>
      </c>
      <c r="Q67" s="55" cm="1">
        <f t="array" ref="Q67">(VLOOKUP($A67,'The List'!$B1:$AH671,29,FALSE)-AVERAGE('The List'!AD2:AD671))/STDEV('The List'!AD2:AD671)</f>
        <v>-0.58413592939160341</v>
      </c>
      <c r="R67" s="55" cm="1">
        <f t="array" ref="R67">(VLOOKUP($A67,'The List'!$B1:$AH671,30,FALSE)-AVERAGE('The List'!AE2:AE671))/STDEV('The List'!AE2:AE671)</f>
        <v>1.7837319004011782</v>
      </c>
      <c r="S67" s="55" cm="1">
        <f t="array" ref="S67">(VLOOKUP($A67,'The List'!$B1:$AH671,31,FALSE)-AVERAGE('The List'!AF2:AF671))/STDEV('The List'!AF2:AF671)</f>
        <v>-0.36198143515817954</v>
      </c>
      <c r="T67" s="55" cm="1">
        <f t="array" ref="T67">(VLOOKUP($A67,'The List'!$B1:$AH671,32,FALSE)-AVERAGE('The List'!AG2:AG671))/STDEV('The List'!AG2:AG671)</f>
        <v>-0.3481544836575548</v>
      </c>
      <c r="U67" s="55" cm="1">
        <f t="array" ref="U67">(VLOOKUP($A67,'The List'!$B1:$AH671,33,FALSE)-AVERAGE('The List'!AH2:AH671))/STDEV('The List'!AH2:AH671)</f>
        <v>0.82923484003210124</v>
      </c>
      <c r="V67" s="55"/>
      <c r="W67" s="78"/>
      <c r="X67" s="57"/>
      <c r="Y67" s="57"/>
      <c r="Z67" s="57"/>
      <c r="AA67" s="57"/>
      <c r="AB67" s="57"/>
      <c r="AC67" s="60"/>
      <c r="AD67" s="61"/>
      <c r="AE67" s="55"/>
    </row>
    <row r="68" spans="1:31" ht="21.25" customHeight="1" x14ac:dyDescent="0.15">
      <c r="A68" s="10" t="s">
        <v>257</v>
      </c>
      <c r="B68" s="18" t="str" cm="1">
        <f t="array" ref="B68">VLOOKUP(A68,'Player Data'!A1:B673,2,FALSE)</f>
        <v>MTL</v>
      </c>
      <c r="C68" s="52" cm="1">
        <f t="array" ref="C68">((E68)*Settings!$C$12)+(F68*Settings!$C$2)+(G68*Settings!$C$3)+(H68*Settings!$C$4)+(I68*Settings!$C$5)+(K68*Settings!$C$9)+(N68*Settings!$C$6)+(J68*Settings!$C$8)+(O68*Settings!$C$7)+(P68*Settings!$C$14)+(Q68*Settings!$C$15)+(R68*Settings!$C$16)+(S68*Settings!$C$17)+(T68*Settings!$C$18)+(U68*Settings!$C$19)+(L68*Settings!$C$10)+(Settings!$C$11*M68)</f>
        <v>5.1756899094622923</v>
      </c>
      <c r="D68" s="57" cm="1">
        <f t="array" ref="D68">IF(Settings!$E$12="YES",VLOOKUP(A68,'Player Data'!A1:E673,5,FALSE),82)</f>
        <v>83.355000000000004</v>
      </c>
      <c r="E68" s="55" cm="1">
        <f t="array" ref="E68">(VLOOKUP($A68,'The List'!$B1:$AH671,17,FALSE)-AVERAGE('The List'!R2:R671))/STDEV('The List'!R2:R671)</f>
        <v>0.11781681524921619</v>
      </c>
      <c r="F68" s="55" cm="1">
        <f t="array" ref="F68">(VLOOKUP($A68,'The List'!$B1:$AH671,18,FALSE)-AVERAGE('The List'!S2:S671))/STDEV('The List'!S2:S671)</f>
        <v>1.0739988162238265</v>
      </c>
      <c r="G68" s="55" cm="1">
        <f t="array" ref="G68">(VLOOKUP($A68,'The List'!$B1:$AH671,19,FALSE)-AVERAGE('The List'!T2:T671))/STDEV('The List'!T2:T671)</f>
        <v>1.8165975824552438</v>
      </c>
      <c r="H68" s="55" cm="1">
        <f t="array" ref="H68">(VLOOKUP($A68,'The List'!$B1:$AH671,20,FALSE)-AVERAGE('The List'!U2:U671))/STDEV('The List'!U2:U671)</f>
        <v>1.6191402025917703</v>
      </c>
      <c r="I68" s="55" cm="1">
        <f t="array" ref="I68">(VLOOKUP($A68,'The List'!$B1:$AH671,21,FALSE)-AVERAGE('The List'!V2:V671))/STDEV('The List'!V2:V671)</f>
        <v>0.47681965132042231</v>
      </c>
      <c r="J68" s="55" cm="1">
        <f t="array" ref="J68">(VLOOKUP($A68,'The List'!$B1:$AH671,22,FALSE)-AVERAGE('The List'!W2:W671))/STDEV('The List'!W2:W671)</f>
        <v>1.7322809996723421</v>
      </c>
      <c r="K68" s="55" cm="1">
        <f t="array" ref="K68">(VLOOKUP($A68,'The List'!$B1:$AH671,23,FALSE)-AVERAGE('The List'!X2:X671))/STDEV('The List'!X2:X671)</f>
        <v>1.7489083269285404</v>
      </c>
      <c r="L68" s="55" cm="1">
        <f t="array" ref="L68">(VLOOKUP($A68,'The List'!$B1:$AH671,24,FALSE)-AVERAGE('The List'!Y2:Y671))/STDEV('The List'!Y2:Y671)</f>
        <v>-0.55688180062487558</v>
      </c>
      <c r="M68" s="55" cm="1">
        <f t="array" ref="M68">(VLOOKUP($A68,'The List'!$B1:$AH671,25,FALSE)-AVERAGE('The List'!Z2:Z671))/STDEV('The List'!Z2:Z671)</f>
        <v>-0.69891279988519217</v>
      </c>
      <c r="N68" s="55" cm="1">
        <f t="array" ref="N68">(VLOOKUP($A68,'The List'!$B1:$AH671,26,FALSE)-AVERAGE('The List'!AA2:AA671))/STDEV('The List'!AA2:AA671)</f>
        <v>-0.83168080316966397</v>
      </c>
      <c r="O68" s="55" cm="1">
        <f t="array" ref="O68">(VLOOKUP($A68,'The List'!$B1:$AH671,27,FALSE)-AVERAGE('The List'!AB2:AB671))/STDEV('The List'!AB2:AB671)</f>
        <v>-0.89799933824428169</v>
      </c>
      <c r="P68" s="55" cm="1">
        <f t="array" ref="P68">(VLOOKUP($A68,'The List'!$B1:$AH671,28,FALSE)-AVERAGE('The List'!AC2:AC671))/STDEV('The List'!AC2:AC671)</f>
        <v>0.57571647166886986</v>
      </c>
      <c r="Q68" s="55" cm="1">
        <f t="array" ref="Q68">(VLOOKUP($A68,'The List'!$B1:$AH671,29,FALSE)-AVERAGE('The List'!AD2:AD671))/STDEV('The List'!AD2:AD671)</f>
        <v>0.31532986403505298</v>
      </c>
      <c r="R68" s="55" cm="1">
        <f t="array" ref="R68">(VLOOKUP($A68,'The List'!$B1:$AH671,30,FALSE)-AVERAGE('The List'!AE2:AE671))/STDEV('The List'!AE2:AE671)</f>
        <v>1.2108877275283514</v>
      </c>
      <c r="S68" s="55" cm="1">
        <f t="array" ref="S68">(VLOOKUP($A68,'The List'!$B1:$AH671,31,FALSE)-AVERAGE('The List'!AF2:AF671))/STDEV('The List'!AF2:AF671)</f>
        <v>-0.5939690971349143</v>
      </c>
      <c r="T68" s="55" cm="1">
        <f t="array" ref="T68">(VLOOKUP($A68,'The List'!$B1:$AH671,32,FALSE)-AVERAGE('The List'!AG2:AG671))/STDEV('The List'!AG2:AG671)</f>
        <v>-0.64484397083880729</v>
      </c>
      <c r="U68" s="55" cm="1">
        <f t="array" ref="U68">(VLOOKUP($A68,'The List'!$B1:$AH671,33,FALSE)-AVERAGE('The List'!AH2:AH671))/STDEV('The List'!AH2:AH671)</f>
        <v>-1.2548938914719048</v>
      </c>
      <c r="V68" s="55"/>
      <c r="W68" s="78"/>
      <c r="X68" s="57"/>
      <c r="Y68" s="57"/>
      <c r="Z68" s="57"/>
      <c r="AA68" s="57"/>
      <c r="AB68" s="57"/>
      <c r="AC68" s="60"/>
      <c r="AD68" s="61"/>
      <c r="AE68" s="55"/>
    </row>
    <row r="69" spans="1:31" ht="21.25" customHeight="1" x14ac:dyDescent="0.15">
      <c r="A69" s="10" t="s">
        <v>238</v>
      </c>
      <c r="B69" s="18" t="str" cm="1">
        <f t="array" ref="B69">VLOOKUP(A69,'Player Data'!A1:B673,2,FALSE)</f>
        <v>CHI</v>
      </c>
      <c r="C69" s="52" cm="1">
        <f t="array" ref="C69">((E69)*Settings!$C$12)+(F69*Settings!$C$2)+(G69*Settings!$C$3)+(H69*Settings!$C$4)+(I69*Settings!$C$5)+(K69*Settings!$C$9)+(N69*Settings!$C$6)+(J69*Settings!$C$8)+(O69*Settings!$C$7)+(P69*Settings!$C$14)+(Q69*Settings!$C$15)+(R69*Settings!$C$16)+(S69*Settings!$C$17)+(T69*Settings!$C$18)+(U69*Settings!$C$19)+(L69*Settings!$C$10)+(Settings!$C$11*M69)</f>
        <v>3.0293334016741937</v>
      </c>
      <c r="D69" s="57" cm="1">
        <f t="array" ref="D69">IF(Settings!$E$12="YES",VLOOKUP(A69,'Player Data'!A1:E673,5,FALSE),82)</f>
        <v>78</v>
      </c>
      <c r="E69" s="55" cm="1">
        <f t="array" ref="E69">(VLOOKUP($A69,'The List'!$B1:$AH671,17,FALSE)-AVERAGE('The List'!R2:R671))/STDEV('The List'!R2:R671)</f>
        <v>0.42674570840249726</v>
      </c>
      <c r="F69" s="55" cm="1">
        <f t="array" ref="F69">(VLOOKUP($A69,'The List'!$B1:$AH671,18,FALSE)-AVERAGE('The List'!S2:S671))/STDEV('The List'!S2:S671)</f>
        <v>0.98864409282405019</v>
      </c>
      <c r="G69" s="55" cm="1">
        <f t="array" ref="G69">(VLOOKUP($A69,'The List'!$B1:$AH671,19,FALSE)-AVERAGE('The List'!T2:T671))/STDEV('The List'!T2:T671)</f>
        <v>1.0463314950744009</v>
      </c>
      <c r="H69" s="55" cm="1">
        <f t="array" ref="H69">(VLOOKUP($A69,'The List'!$B1:$AH671,20,FALSE)-AVERAGE('The List'!U2:U671))/STDEV('The List'!U2:U671)</f>
        <v>1.0967768652777605</v>
      </c>
      <c r="I69" s="55" cm="1">
        <f t="array" ref="I69">(VLOOKUP($A69,'The List'!$B1:$AH671,21,FALSE)-AVERAGE('The List'!V2:V671))/STDEV('The List'!V2:V671)</f>
        <v>1.5004118789965759</v>
      </c>
      <c r="J69" s="55" cm="1">
        <f t="array" ref="J69">(VLOOKUP($A69,'The List'!$B1:$AH671,22,FALSE)-AVERAGE('The List'!W2:W671))/STDEV('The List'!W2:W671)</f>
        <v>0.65910645894836251</v>
      </c>
      <c r="K69" s="55" cm="1">
        <f t="array" ref="K69">(VLOOKUP($A69,'The List'!$B1:$AH671,23,FALSE)-AVERAGE('The List'!X2:X671))/STDEV('The List'!X2:X671)</f>
        <v>1.0531473334797379</v>
      </c>
      <c r="L69" s="55" cm="1">
        <f t="array" ref="L69">(VLOOKUP($A69,'The List'!$B1:$AH671,24,FALSE)-AVERAGE('The List'!Y2:Y671))/STDEV('The List'!Y2:Y671)</f>
        <v>-0.56569022661034529</v>
      </c>
      <c r="M69" s="55" cm="1">
        <f t="array" ref="M69">(VLOOKUP($A69,'The List'!$B1:$AH671,25,FALSE)-AVERAGE('The List'!Z2:Z671))/STDEV('The List'!Z2:Z671)</f>
        <v>-0.70756870995144849</v>
      </c>
      <c r="N69" s="55" cm="1">
        <f t="array" ref="N69">(VLOOKUP($A69,'The List'!$B1:$AH671,26,FALSE)-AVERAGE('The List'!AA2:AA671))/STDEV('The List'!AA2:AA671)</f>
        <v>-6.9825372168001693E-2</v>
      </c>
      <c r="O69" s="55" cm="1">
        <f t="array" ref="O69">(VLOOKUP($A69,'The List'!$B1:$AH671,27,FALSE)-AVERAGE('The List'!AB2:AB671))/STDEV('The List'!AB2:AB671)</f>
        <v>-0.41199041862939989</v>
      </c>
      <c r="P69" s="55" cm="1">
        <f t="array" ref="P69">(VLOOKUP($A69,'The List'!$B1:$AH671,28,FALSE)-AVERAGE('The List'!AC2:AC671))/STDEV('The List'!AC2:AC671)</f>
        <v>-1.5200149184890861</v>
      </c>
      <c r="Q69" s="55" cm="1">
        <f t="array" ref="Q69">(VLOOKUP($A69,'The List'!$B1:$AH671,29,FALSE)-AVERAGE('The List'!AD2:AD671))/STDEV('The List'!AD2:AD671)</f>
        <v>3.0638891956517107E-2</v>
      </c>
      <c r="R69" s="55" cm="1">
        <f t="array" ref="R69">(VLOOKUP($A69,'The List'!$B1:$AH671,30,FALSE)-AVERAGE('The List'!AE2:AE671))/STDEV('The List'!AE2:AE671)</f>
        <v>0.48687796843732606</v>
      </c>
      <c r="S69" s="55" cm="1">
        <f t="array" ref="S69">(VLOOKUP($A69,'The List'!$B1:$AH671,31,FALSE)-AVERAGE('The List'!AF2:AF671))/STDEV('The List'!AF2:AF671)</f>
        <v>0.44277900413161042</v>
      </c>
      <c r="T69" s="55" cm="1">
        <f t="array" ref="T69">(VLOOKUP($A69,'The List'!$B1:$AH671,32,FALSE)-AVERAGE('The List'!AG2:AG671))/STDEV('The List'!AG2:AG671)</f>
        <v>1.9071706611063604</v>
      </c>
      <c r="U69" s="55" cm="1">
        <f t="array" ref="U69">(VLOOKUP($A69,'The List'!$B1:$AH671,33,FALSE)-AVERAGE('The List'!AH2:AH671))/STDEV('The List'!AH2:AH671)</f>
        <v>0.13285185722722315</v>
      </c>
      <c r="V69" s="55"/>
      <c r="W69" s="78"/>
      <c r="X69" s="57"/>
      <c r="Y69" s="57"/>
      <c r="Z69" s="57"/>
      <c r="AA69" s="57"/>
      <c r="AB69" s="57"/>
      <c r="AC69" s="60"/>
      <c r="AD69" s="61"/>
      <c r="AE69" s="55"/>
    </row>
    <row r="70" spans="1:31" ht="21.25" customHeight="1" x14ac:dyDescent="0.15">
      <c r="A70" s="10" t="s">
        <v>261</v>
      </c>
      <c r="B70" s="18" t="str" cm="1">
        <f t="array" ref="B70">VLOOKUP(A70,'Player Data'!A1:B673,2,FALSE)</f>
        <v>CAR</v>
      </c>
      <c r="C70" s="52" cm="1">
        <f t="array" ref="C70">((E70)*Settings!$C$12)+(F70*Settings!$C$2)+(G70*Settings!$C$3)+(H70*Settings!$C$4)+(I70*Settings!$C$5)+(K70*Settings!$C$9)+(N70*Settings!$C$6)+(J70*Settings!$C$8)+(O70*Settings!$C$7)+(P70*Settings!$C$14)+(Q70*Settings!$C$15)+(R70*Settings!$C$16)+(S70*Settings!$C$17)+(T70*Settings!$C$18)+(U70*Settings!$C$19)+(L70*Settings!$C$10)+(Settings!$C$11*M70)</f>
        <v>7.8970854871801111</v>
      </c>
      <c r="D70" s="57" cm="1">
        <f t="array" ref="D70">IF(Settings!$E$12="YES",VLOOKUP(A70,'Player Data'!A1:E673,5,FALSE),82)</f>
        <v>79.822500000000005</v>
      </c>
      <c r="E70" s="55" cm="1">
        <f t="array" ref="E70">(VLOOKUP($A70,'The List'!$B1:$AH671,17,FALSE)-AVERAGE('The List'!R2:R671))/STDEV('The List'!R2:R671)</f>
        <v>0.17281007815242652</v>
      </c>
      <c r="F70" s="55" cm="1">
        <f t="array" ref="F70">(VLOOKUP($A70,'The List'!$B1:$AH671,18,FALSE)-AVERAGE('The List'!S2:S671))/STDEV('The List'!S2:S671)</f>
        <v>1.4245696247300965</v>
      </c>
      <c r="G70" s="55" cm="1">
        <f t="array" ref="G70">(VLOOKUP($A70,'The List'!$B1:$AH671,19,FALSE)-AVERAGE('The List'!T2:T671))/STDEV('The List'!T2:T671)</f>
        <v>1.0651943385155951</v>
      </c>
      <c r="H70" s="55" cm="1">
        <f t="array" ref="H70">(VLOOKUP($A70,'The List'!$B1:$AH671,20,FALSE)-AVERAGE('The List'!U2:U671))/STDEV('The List'!U2:U671)</f>
        <v>1.3020521699189214</v>
      </c>
      <c r="I70" s="55" cm="1">
        <f t="array" ref="I70">(VLOOKUP($A70,'The List'!$B1:$AH671,21,FALSE)-AVERAGE('The List'!V2:V671))/STDEV('The List'!V2:V671)</f>
        <v>1.3444478041563248</v>
      </c>
      <c r="J70" s="55" cm="1">
        <f t="array" ref="J70">(VLOOKUP($A70,'The List'!$B1:$AH671,22,FALSE)-AVERAGE('The List'!W2:W671))/STDEV('The List'!W2:W671)</f>
        <v>2.1114743665896176</v>
      </c>
      <c r="K70" s="55" cm="1">
        <f t="array" ref="K70">(VLOOKUP($A70,'The List'!$B1:$AH671,23,FALSE)-AVERAGE('The List'!X2:X671))/STDEV('The List'!X2:X671)</f>
        <v>1.6976718245067552</v>
      </c>
      <c r="L70" s="55" cm="1">
        <f t="array" ref="L70">(VLOOKUP($A70,'The List'!$B1:$AH671,24,FALSE)-AVERAGE('The List'!Y2:Y671))/STDEV('The List'!Y2:Y671)</f>
        <v>-0.56326056821942472</v>
      </c>
      <c r="M70" s="55" cm="1">
        <f t="array" ref="M70">(VLOOKUP($A70,'The List'!$B1:$AH671,25,FALSE)-AVERAGE('The List'!Z2:Z671))/STDEV('The List'!Z2:Z671)</f>
        <v>-0.70518614039555616</v>
      </c>
      <c r="N70" s="55" cm="1">
        <f t="array" ref="N70">(VLOOKUP($A70,'The List'!$B1:$AH671,26,FALSE)-AVERAGE('The List'!AA2:AA671))/STDEV('The List'!AA2:AA671)</f>
        <v>-1.0621861042695127</v>
      </c>
      <c r="O70" s="55" cm="1">
        <f t="array" ref="O70">(VLOOKUP($A70,'The List'!$B1:$AH671,27,FALSE)-AVERAGE('The List'!AB2:AB671))/STDEV('The List'!AB2:AB671)</f>
        <v>1.3192789729954881</v>
      </c>
      <c r="P70" s="55" cm="1">
        <f t="array" ref="P70">(VLOOKUP($A70,'The List'!$B1:$AH671,28,FALSE)-AVERAGE('The List'!AC2:AC671))/STDEV('The List'!AC2:AC671)</f>
        <v>1.13756531917957</v>
      </c>
      <c r="Q70" s="55" cm="1">
        <f t="array" ref="Q70">(VLOOKUP($A70,'The List'!$B1:$AH671,29,FALSE)-AVERAGE('The List'!AD2:AD671))/STDEV('The List'!AD2:AD671)</f>
        <v>2.289822680361282</v>
      </c>
      <c r="R70" s="55" cm="1">
        <f t="array" ref="R70">(VLOOKUP($A70,'The List'!$B1:$AH671,30,FALSE)-AVERAGE('The List'!AE2:AE671))/STDEV('The List'!AE2:AE671)</f>
        <v>1.6670971343269783</v>
      </c>
      <c r="S70" s="55" cm="1">
        <f t="array" ref="S70">(VLOOKUP($A70,'The List'!$B1:$AH671,31,FALSE)-AVERAGE('The List'!AF2:AF671))/STDEV('The List'!AF2:AF671)</f>
        <v>-0.55850837983544077</v>
      </c>
      <c r="T70" s="55" cm="1">
        <f t="array" ref="T70">(VLOOKUP($A70,'The List'!$B1:$AH671,32,FALSE)-AVERAGE('The List'!AG2:AG671))/STDEV('The List'!AG2:AG671)</f>
        <v>-0.58764788930582945</v>
      </c>
      <c r="U70" s="55" cm="1">
        <f t="array" ref="U70">(VLOOKUP($A70,'The List'!$B1:$AH671,33,FALSE)-AVERAGE('The List'!AH2:AH671))/STDEV('The List'!AH2:AH671)</f>
        <v>0.55081069198486288</v>
      </c>
      <c r="V70" s="55"/>
      <c r="W70" s="78"/>
      <c r="X70" s="57"/>
      <c r="Y70" s="57"/>
      <c r="Z70" s="57"/>
      <c r="AA70" s="57"/>
      <c r="AB70" s="57"/>
      <c r="AC70" s="60"/>
      <c r="AD70" s="61"/>
      <c r="AE70" s="55"/>
    </row>
    <row r="71" spans="1:31" ht="21.25" customHeight="1" x14ac:dyDescent="0.15">
      <c r="A71" s="10" t="s">
        <v>279</v>
      </c>
      <c r="B71" s="18" t="str" cm="1">
        <f t="array" ref="B71">VLOOKUP(A71,'Player Data'!A1:B673,2,FALSE)</f>
        <v>PIT</v>
      </c>
      <c r="C71" s="52" cm="1">
        <f t="array" ref="C71">((E71)*Settings!$C$12)+(F71*Settings!$C$2)+(G71*Settings!$C$3)+(H71*Settings!$C$4)+(I71*Settings!$C$5)+(K71*Settings!$C$9)+(N71*Settings!$C$6)+(J71*Settings!$C$8)+(O71*Settings!$C$7)+(P71*Settings!$C$14)+(Q71*Settings!$C$15)+(R71*Settings!$C$16)+(S71*Settings!$C$17)+(T71*Settings!$C$18)+(U71*Settings!$C$19)+(L71*Settings!$C$10)+(Settings!$C$11*M71)</f>
        <v>5.5975504414883082</v>
      </c>
      <c r="D71" s="57" cm="1">
        <f t="array" ref="D71">IF(Settings!$E$12="YES",VLOOKUP(A71,'Player Data'!A1:E673,5,FALSE),82)</f>
        <v>77.489999999999995</v>
      </c>
      <c r="E71" s="55" cm="1">
        <f t="array" ref="E71">(VLOOKUP($A71,'The List'!$B1:$AH671,17,FALSE)-AVERAGE('The List'!R2:R671))/STDEV('The List'!R2:R671)</f>
        <v>0.24233331947271466</v>
      </c>
      <c r="F71" s="55" cm="1">
        <f t="array" ref="F71">(VLOOKUP($A71,'The List'!$B1:$AH671,18,FALSE)-AVERAGE('The List'!S2:S671))/STDEV('The List'!S2:S671)</f>
        <v>0.71753747752985897</v>
      </c>
      <c r="G71" s="55" cm="1">
        <f t="array" ref="G71">(VLOOKUP($A71,'The List'!$B1:$AH671,19,FALSE)-AVERAGE('The List'!T2:T671))/STDEV('The List'!T2:T671)</f>
        <v>1.4236217121528623</v>
      </c>
      <c r="H71" s="55" cm="1">
        <f t="array" ref="H71">(VLOOKUP($A71,'The List'!$B1:$AH671,20,FALSE)-AVERAGE('The List'!U2:U671))/STDEV('The List'!U2:U671)</f>
        <v>1.2138063126428766</v>
      </c>
      <c r="I71" s="55" cm="1">
        <f t="array" ref="I71">(VLOOKUP($A71,'The List'!$B1:$AH671,21,FALSE)-AVERAGE('The List'!V2:V671))/STDEV('The List'!V2:V671)</f>
        <v>0.96727524867412529</v>
      </c>
      <c r="J71" s="55" cm="1">
        <f t="array" ref="J71">(VLOOKUP($A71,'The List'!$B1:$AH671,22,FALSE)-AVERAGE('The List'!W2:W671))/STDEV('The List'!W2:W671)</f>
        <v>0.79865470858736698</v>
      </c>
      <c r="K71" s="55" cm="1">
        <f t="array" ref="K71">(VLOOKUP($A71,'The List'!$B1:$AH671,23,FALSE)-AVERAGE('The List'!X2:X671))/STDEV('The List'!X2:X671)</f>
        <v>1.5572922305569625</v>
      </c>
      <c r="L71" s="55" cm="1">
        <f t="array" ref="L71">(VLOOKUP($A71,'The List'!$B1:$AH671,24,FALSE)-AVERAGE('The List'!Y2:Y671))/STDEV('The List'!Y2:Y671)</f>
        <v>-0.56217036075628546</v>
      </c>
      <c r="M71" s="55" cm="1">
        <f t="array" ref="M71">(VLOOKUP($A71,'The List'!$B1:$AH671,25,FALSE)-AVERAGE('The List'!Z2:Z671))/STDEV('The List'!Z2:Z671)</f>
        <v>-0.70400883742609932</v>
      </c>
      <c r="N71" s="55" cm="1">
        <f t="array" ref="N71">(VLOOKUP($A71,'The List'!$B1:$AH671,26,FALSE)-AVERAGE('The List'!AA2:AA671))/STDEV('The List'!AA2:AA671)</f>
        <v>-0.74552883318618057</v>
      </c>
      <c r="O71" s="55" cm="1">
        <f t="array" ref="O71">(VLOOKUP($A71,'The List'!$B1:$AH671,27,FALSE)-AVERAGE('The List'!AB2:AB671))/STDEV('The List'!AB2:AB671)</f>
        <v>-0.92917439989577855</v>
      </c>
      <c r="P71" s="55" cm="1">
        <f t="array" ref="P71">(VLOOKUP($A71,'The List'!$B1:$AH671,28,FALSE)-AVERAGE('The List'!AC2:AC671))/STDEV('The List'!AC2:AC671)</f>
        <v>1.0866090389703322E-2</v>
      </c>
      <c r="Q71" s="55" cm="1">
        <f t="array" ref="Q71">(VLOOKUP($A71,'The List'!$B1:$AH671,29,FALSE)-AVERAGE('The List'!AD2:AD671))/STDEV('The List'!AD2:AD671)</f>
        <v>1.6664865153709765</v>
      </c>
      <c r="R71" s="55" cm="1">
        <f t="array" ref="R71">(VLOOKUP($A71,'The List'!$B1:$AH671,30,FALSE)-AVERAGE('The List'!AE2:AE671))/STDEV('The List'!AE2:AE671)</f>
        <v>0.55935186959049976</v>
      </c>
      <c r="S71" s="55" cm="1">
        <f t="array" ref="S71">(VLOOKUP($A71,'The List'!$B1:$AH671,31,FALSE)-AVERAGE('The List'!AF2:AF671))/STDEV('The List'!AF2:AF671)</f>
        <v>0.46280200193363741</v>
      </c>
      <c r="T71" s="55" cm="1">
        <f t="array" ref="T71">(VLOOKUP($A71,'The List'!$B1:$AH671,32,FALSE)-AVERAGE('The List'!AG2:AG671))/STDEV('The List'!AG2:AG671)</f>
        <v>0.66364952976348868</v>
      </c>
      <c r="U71" s="55" cm="1">
        <f t="array" ref="U71">(VLOOKUP($A71,'The List'!$B1:$AH671,33,FALSE)-AVERAGE('The List'!AH2:AH671))/STDEV('The List'!AH2:AH671)</f>
        <v>0.86963371689487623</v>
      </c>
      <c r="V71" s="55"/>
      <c r="W71" s="78"/>
      <c r="X71" s="57"/>
      <c r="Y71" s="57"/>
      <c r="Z71" s="57"/>
      <c r="AA71" s="57"/>
      <c r="AB71" s="57"/>
      <c r="AC71" s="60"/>
      <c r="AD71" s="61"/>
      <c r="AE71" s="55"/>
    </row>
    <row r="72" spans="1:31" ht="21.25" customHeight="1" x14ac:dyDescent="0.15">
      <c r="A72" s="10" t="s">
        <v>265</v>
      </c>
      <c r="B72" s="18" t="str" cm="1">
        <f t="array" ref="B72">VLOOKUP(A72,'Player Data'!A1:B673,2,FALSE)</f>
        <v>PHI</v>
      </c>
      <c r="C72" s="52" cm="1">
        <f t="array" ref="C72">((E72)*Settings!$C$12)+(F72*Settings!$C$2)+(G72*Settings!$C$3)+(H72*Settings!$C$4)+(I72*Settings!$C$5)+(K72*Settings!$C$9)+(N72*Settings!$C$6)+(J72*Settings!$C$8)+(O72*Settings!$C$7)+(P72*Settings!$C$14)+(Q72*Settings!$C$15)+(R72*Settings!$C$16)+(S72*Settings!$C$17)+(T72*Settings!$C$18)+(U72*Settings!$C$19)+(L72*Settings!$C$10)+(Settings!$C$11*M72)</f>
        <v>4.9504733272307719</v>
      </c>
      <c r="D72" s="57" cm="1">
        <f t="array" ref="D72">IF(Settings!$E$12="YES",VLOOKUP(A72,'Player Data'!A1:E673,5,FALSE),82)</f>
        <v>82.542500000000004</v>
      </c>
      <c r="E72" s="55" cm="1">
        <f t="array" ref="E72">(VLOOKUP($A72,'The List'!$B1:$AH671,17,FALSE)-AVERAGE('The List'!R2:R671))/STDEV('The List'!R2:R671)</f>
        <v>0.51826101405298597</v>
      </c>
      <c r="F72" s="55" cm="1">
        <f t="array" ref="F72">(VLOOKUP($A72,'The List'!$B1:$AH671,18,FALSE)-AVERAGE('The List'!S2:S671))/STDEV('The List'!S2:S671)</f>
        <v>1.2163252091901133</v>
      </c>
      <c r="G72" s="55" cm="1">
        <f t="array" ref="G72">(VLOOKUP($A72,'The List'!$B1:$AH671,19,FALSE)-AVERAGE('The List'!T2:T671))/STDEV('The List'!T2:T671)</f>
        <v>1.3674217388620864</v>
      </c>
      <c r="H72" s="55" cm="1">
        <f t="array" ref="H72">(VLOOKUP($A72,'The List'!$B1:$AH671,20,FALSE)-AVERAGE('The List'!U2:U671))/STDEV('The List'!U2:U671)</f>
        <v>1.3997580923309558</v>
      </c>
      <c r="I72" s="55" cm="1">
        <f t="array" ref="I72">(VLOOKUP($A72,'The List'!$B1:$AH671,21,FALSE)-AVERAGE('The List'!V2:V671))/STDEV('The List'!V2:V671)</f>
        <v>1.0954713475104843</v>
      </c>
      <c r="J72" s="55" cm="1">
        <f t="array" ref="J72">(VLOOKUP($A72,'The List'!$B1:$AH671,22,FALSE)-AVERAGE('The List'!W2:W671))/STDEV('The List'!W2:W671)</f>
        <v>0.4553935458018854</v>
      </c>
      <c r="K72" s="55" cm="1">
        <f t="array" ref="K72">(VLOOKUP($A72,'The List'!$B1:$AH671,23,FALSE)-AVERAGE('The List'!X2:X671))/STDEV('The List'!X2:X671)</f>
        <v>0.66357046972338374</v>
      </c>
      <c r="L72" s="55" cm="1">
        <f t="array" ref="L72">(VLOOKUP($A72,'The List'!$B1:$AH671,24,FALSE)-AVERAGE('The List'!Y2:Y671))/STDEV('The List'!Y2:Y671)</f>
        <v>0.89178547802217512</v>
      </c>
      <c r="M72" s="55" cm="1">
        <f t="array" ref="M72">(VLOOKUP($A72,'The List'!$B1:$AH671,25,FALSE)-AVERAGE('The List'!Z2:Z671))/STDEV('The List'!Z2:Z671)</f>
        <v>0.78217195163945907</v>
      </c>
      <c r="N72" s="55" cm="1">
        <f t="array" ref="N72">(VLOOKUP($A72,'The List'!$B1:$AH671,26,FALSE)-AVERAGE('The List'!AA2:AA671))/STDEV('The List'!AA2:AA671)</f>
        <v>-0.643492390346453</v>
      </c>
      <c r="O72" s="55" cm="1">
        <f t="array" ref="O72">(VLOOKUP($A72,'The List'!$B1:$AH671,27,FALSE)-AVERAGE('The List'!AB2:AB671))/STDEV('The List'!AB2:AB671)</f>
        <v>0.30133084922510556</v>
      </c>
      <c r="P72" s="55" cm="1">
        <f t="array" ref="P72">(VLOOKUP($A72,'The List'!$B1:$AH671,28,FALSE)-AVERAGE('The List'!AC2:AC671))/STDEV('The List'!AC2:AC671)</f>
        <v>0.12330579209251777</v>
      </c>
      <c r="Q72" s="55" cm="1">
        <f t="array" ref="Q72">(VLOOKUP($A72,'The List'!$B1:$AH671,29,FALSE)-AVERAGE('The List'!AD2:AD671))/STDEV('The List'!AD2:AD671)</f>
        <v>1.1278711601986395</v>
      </c>
      <c r="R72" s="55" cm="1">
        <f t="array" ref="R72">(VLOOKUP($A72,'The List'!$B1:$AH671,30,FALSE)-AVERAGE('The List'!AE2:AE671))/STDEV('The List'!AE2:AE671)</f>
        <v>1.2222486429043067</v>
      </c>
      <c r="S72" s="55" cm="1">
        <f t="array" ref="S72">(VLOOKUP($A72,'The List'!$B1:$AH671,31,FALSE)-AVERAGE('The List'!AF2:AF671))/STDEV('The List'!AF2:AF671)</f>
        <v>-0.46792567226326293</v>
      </c>
      <c r="T72" s="55" cm="1">
        <f t="array" ref="T72">(VLOOKUP($A72,'The List'!$B1:$AH671,32,FALSE)-AVERAGE('The List'!AG2:AG671))/STDEV('The List'!AG2:AG671)</f>
        <v>-0.43421190954869676</v>
      </c>
      <c r="U72" s="55" cm="1">
        <f t="array" ref="U72">(VLOOKUP($A72,'The List'!$B1:$AH671,33,FALSE)-AVERAGE('The List'!AH2:AH671))/STDEV('The List'!AH2:AH671)</f>
        <v>0.52825818665552571</v>
      </c>
      <c r="V72" s="55"/>
      <c r="W72" s="78"/>
      <c r="X72" s="57"/>
      <c r="Y72" s="57"/>
      <c r="Z72" s="57"/>
      <c r="AA72" s="57"/>
      <c r="AB72" s="57"/>
      <c r="AC72" s="60"/>
      <c r="AD72" s="61"/>
      <c r="AE72" s="55"/>
    </row>
    <row r="73" spans="1:31" ht="21.25" customHeight="1" x14ac:dyDescent="0.15">
      <c r="A73" s="10" t="s">
        <v>280</v>
      </c>
      <c r="B73" s="18" t="str" cm="1">
        <f t="array" ref="B73">VLOOKUP(A73,'Player Data'!A1:B673,2,FALSE)</f>
        <v>TOR</v>
      </c>
      <c r="C73" s="52" cm="1">
        <f t="array" ref="C73">((E73)*Settings!$C$12)+(F73*Settings!$C$2)+(G73*Settings!$C$3)+(H73*Settings!$C$4)+(I73*Settings!$C$5)+(K73*Settings!$C$9)+(N73*Settings!$C$6)+(J73*Settings!$C$8)+(O73*Settings!$C$7)+(P73*Settings!$C$14)+(Q73*Settings!$C$15)+(R73*Settings!$C$16)+(S73*Settings!$C$17)+(T73*Settings!$C$18)+(U73*Settings!$C$19)+(L73*Settings!$C$10)+(Settings!$C$11*M73)</f>
        <v>4.0588527634139435</v>
      </c>
      <c r="D73" s="57" cm="1">
        <f t="array" ref="D73">IF(Settings!$E$12="YES",VLOOKUP(A73,'Player Data'!A1:E673,5,FALSE),82)</f>
        <v>82.747500000000002</v>
      </c>
      <c r="E73" s="55" cm="1">
        <f t="array" ref="E73">(VLOOKUP($A73,'The List'!$B1:$AH671,17,FALSE)-AVERAGE('The List'!R2:R671))/STDEV('The List'!R2:R671)</f>
        <v>0.56353800848164726</v>
      </c>
      <c r="F73" s="55" cm="1">
        <f t="array" ref="F73">(VLOOKUP($A73,'The List'!$B1:$AH671,18,FALSE)-AVERAGE('The List'!S2:S671))/STDEV('The List'!S2:S671)</f>
        <v>1.4255180395643803</v>
      </c>
      <c r="G73" s="55" cm="1">
        <f t="array" ref="G73">(VLOOKUP($A73,'The List'!$B1:$AH671,19,FALSE)-AVERAGE('The List'!T2:T671))/STDEV('The List'!T2:T671)</f>
        <v>1.2220888788242228</v>
      </c>
      <c r="H73" s="55" cm="1">
        <f t="array" ref="H73">(VLOOKUP($A73,'The List'!$B1:$AH671,20,FALSE)-AVERAGE('The List'!U2:U671))/STDEV('The List'!U2:U671)</f>
        <v>1.4011587986720704</v>
      </c>
      <c r="I73" s="55" cm="1">
        <f t="array" ref="I73">(VLOOKUP($A73,'The List'!$B1:$AH671,21,FALSE)-AVERAGE('The List'!V2:V671))/STDEV('The List'!V2:V671)</f>
        <v>0.60863728672679851</v>
      </c>
      <c r="J73" s="55" cm="1">
        <f t="array" ref="J73">(VLOOKUP($A73,'The List'!$B1:$AH671,22,FALSE)-AVERAGE('The List'!W2:W671))/STDEV('The List'!W2:W671)</f>
        <v>0.98368350323276987</v>
      </c>
      <c r="K73" s="55" cm="1">
        <f t="array" ref="K73">(VLOOKUP($A73,'The List'!$B1:$AH671,23,FALSE)-AVERAGE('The List'!X2:X671))/STDEV('The List'!X2:X671)</f>
        <v>1.0218597770403817</v>
      </c>
      <c r="L73" s="55" cm="1">
        <f t="array" ref="L73">(VLOOKUP($A73,'The List'!$B1:$AH671,24,FALSE)-AVERAGE('The List'!Y2:Y671))/STDEV('The List'!Y2:Y671)</f>
        <v>0.4472736694562251</v>
      </c>
      <c r="M73" s="55" cm="1">
        <f t="array" ref="M73">(VLOOKUP($A73,'The List'!$B1:$AH671,25,FALSE)-AVERAGE('The List'!Z2:Z671))/STDEV('The List'!Z2:Z671)</f>
        <v>-3.2051679627490851E-2</v>
      </c>
      <c r="N73" s="55" cm="1">
        <f t="array" ref="N73">(VLOOKUP($A73,'The List'!$B1:$AH671,26,FALSE)-AVERAGE('The List'!AA2:AA671))/STDEV('The List'!AA2:AA671)</f>
        <v>-0.67655965579223165</v>
      </c>
      <c r="O73" s="55" cm="1">
        <f t="array" ref="O73">(VLOOKUP($A73,'The List'!$B1:$AH671,27,FALSE)-AVERAGE('The List'!AB2:AB671))/STDEV('The List'!AB2:AB671)</f>
        <v>1.5374521500077321</v>
      </c>
      <c r="P73" s="55" cm="1">
        <f t="array" ref="P73">(VLOOKUP($A73,'The List'!$B1:$AH671,28,FALSE)-AVERAGE('The List'!AC2:AC671))/STDEV('The List'!AC2:AC671)</f>
        <v>-0.24116645491284094</v>
      </c>
      <c r="Q73" s="55" cm="1">
        <f t="array" ref="Q73">(VLOOKUP($A73,'The List'!$B1:$AH671,29,FALSE)-AVERAGE('The List'!AD2:AD671))/STDEV('The List'!AD2:AD671)</f>
        <v>0.69847489196323331</v>
      </c>
      <c r="R73" s="55" cm="1">
        <f t="array" ref="R73">(VLOOKUP($A73,'The List'!$B1:$AH671,30,FALSE)-AVERAGE('The List'!AE2:AE671))/STDEV('The List'!AE2:AE671)</f>
        <v>1.0535396193553364</v>
      </c>
      <c r="S73" s="55" cm="1">
        <f t="array" ref="S73">(VLOOKUP($A73,'The List'!$B1:$AH671,31,FALSE)-AVERAGE('The List'!AF2:AF671))/STDEV('The List'!AF2:AF671)</f>
        <v>-0.5921924256516754</v>
      </c>
      <c r="T73" s="55" cm="1">
        <f t="array" ref="T73">(VLOOKUP($A73,'The List'!$B1:$AH671,32,FALSE)-AVERAGE('The List'!AG2:AG671))/STDEV('The List'!AG2:AG671)</f>
        <v>-0.62248670301575315</v>
      </c>
      <c r="U73" s="55" cm="1">
        <f t="array" ref="U73">(VLOOKUP($A73,'The List'!$B1:$AH671,33,FALSE)-AVERAGE('The List'!AH2:AH671))/STDEV('The List'!AH2:AH671)</f>
        <v>-0.91283659197485278</v>
      </c>
      <c r="V73" s="55"/>
      <c r="W73" s="78"/>
      <c r="X73" s="57"/>
      <c r="Y73" s="57"/>
      <c r="Z73" s="57"/>
      <c r="AA73" s="57"/>
      <c r="AB73" s="57"/>
      <c r="AC73" s="60"/>
      <c r="AD73" s="61"/>
      <c r="AE73" s="55"/>
    </row>
    <row r="74" spans="1:31" ht="21.25" customHeight="1" x14ac:dyDescent="0.15">
      <c r="A74" s="10" t="s">
        <v>231</v>
      </c>
      <c r="B74" s="18" t="str" cm="1">
        <f t="array" ref="B74">VLOOKUP(A74,'Player Data'!A1:B673,2,FALSE)</f>
        <v>MTL</v>
      </c>
      <c r="C74" s="52" cm="1">
        <f t="array" ref="C74">((E74)*Settings!$C$12)+(F74*Settings!$C$2)+(G74*Settings!$C$3)+(H74*Settings!$C$4)+(I74*Settings!$C$5)+(K74*Settings!$C$9)+(N74*Settings!$C$6)+(J74*Settings!$C$8)+(O74*Settings!$C$7)+(P74*Settings!$C$14)+(Q74*Settings!$C$15)+(R74*Settings!$C$16)+(S74*Settings!$C$17)+(T74*Settings!$C$18)+(U74*Settings!$C$19)+(L74*Settings!$C$10)+(Settings!$C$11*M74)</f>
        <v>7.3390280628720319</v>
      </c>
      <c r="D74" s="57" cm="1">
        <f t="array" ref="D74">IF(Settings!$E$12="YES",VLOOKUP(A74,'Player Data'!A1:E673,5,FALSE),82)</f>
        <v>83.617500000000007</v>
      </c>
      <c r="E74" s="55" cm="1">
        <f t="array" ref="E74">(VLOOKUP($A74,'The List'!$B1:$AH671,17,FALSE)-AVERAGE('The List'!R2:R671))/STDEV('The List'!R2:R671)</f>
        <v>0.48742133682068045</v>
      </c>
      <c r="F74" s="55" cm="1">
        <f t="array" ref="F74">(VLOOKUP($A74,'The List'!$B1:$AH671,18,FALSE)-AVERAGE('The List'!S2:S671))/STDEV('The List'!S2:S671)</f>
        <v>1.3603250374912421</v>
      </c>
      <c r="G74" s="55" cm="1">
        <f t="array" ref="G74">(VLOOKUP($A74,'The List'!$B1:$AH671,19,FALSE)-AVERAGE('The List'!T2:T671))/STDEV('The List'!T2:T671)</f>
        <v>1.2934920898830842</v>
      </c>
      <c r="H74" s="55" cm="1">
        <f t="array" ref="H74">(VLOOKUP($A74,'The List'!$B1:$AH671,20,FALSE)-AVERAGE('The List'!U2:U671))/STDEV('The List'!U2:U671)</f>
        <v>1.4171463246869296</v>
      </c>
      <c r="I74" s="55" cm="1">
        <f t="array" ref="I74">(VLOOKUP($A74,'The List'!$B1:$AH671,21,FALSE)-AVERAGE('The List'!V2:V671))/STDEV('The List'!V2:V671)</f>
        <v>0.921926748011485</v>
      </c>
      <c r="J74" s="55" cm="1">
        <f t="array" ref="J74">(VLOOKUP($A74,'The List'!$B1:$AH671,22,FALSE)-AVERAGE('The List'!W2:W671))/STDEV('The List'!W2:W671)</f>
        <v>2.4617727713256992</v>
      </c>
      <c r="K74" s="55" cm="1">
        <f t="array" ref="K74">(VLOOKUP($A74,'The List'!$B1:$AH671,23,FALSE)-AVERAGE('The List'!X2:X671))/STDEV('The List'!X2:X671)</f>
        <v>1.5575513645485262</v>
      </c>
      <c r="L74" s="55" cm="1">
        <f t="array" ref="L74">(VLOOKUP($A74,'The List'!$B1:$AH671,24,FALSE)-AVERAGE('The List'!Y2:Y671))/STDEV('The List'!Y2:Y671)</f>
        <v>-0.54538354121402177</v>
      </c>
      <c r="M74" s="55" cm="1">
        <f t="array" ref="M74">(VLOOKUP($A74,'The List'!$B1:$AH671,25,FALSE)-AVERAGE('The List'!Z2:Z671))/STDEV('The List'!Z2:Z671)</f>
        <v>-0.6875737715283875</v>
      </c>
      <c r="N74" s="55" cm="1">
        <f t="array" ref="N74">(VLOOKUP($A74,'The List'!$B1:$AH671,26,FALSE)-AVERAGE('The List'!AA2:AA671))/STDEV('The List'!AA2:AA671)</f>
        <v>0.2423263347945584</v>
      </c>
      <c r="O74" s="55" cm="1">
        <f t="array" ref="O74">(VLOOKUP($A74,'The List'!$B1:$AH671,27,FALSE)-AVERAGE('The List'!AB2:AB671))/STDEV('The List'!AB2:AB671)</f>
        <v>0.92003175592998299</v>
      </c>
      <c r="P74" s="55" cm="1">
        <f t="array" ref="P74">(VLOOKUP($A74,'The List'!$B1:$AH671,28,FALSE)-AVERAGE('The List'!AC2:AC671))/STDEV('The List'!AC2:AC671)</f>
        <v>0.83056677931408585</v>
      </c>
      <c r="Q74" s="55" cm="1">
        <f t="array" ref="Q74">(VLOOKUP($A74,'The List'!$B1:$AH671,29,FALSE)-AVERAGE('The List'!AD2:AD671))/STDEV('The List'!AD2:AD671)</f>
        <v>1.1328397088290494</v>
      </c>
      <c r="R74" s="55" cm="1">
        <f t="array" ref="R74">(VLOOKUP($A74,'The List'!$B1:$AH671,30,FALSE)-AVERAGE('The List'!AE2:AE671))/STDEV('The List'!AE2:AE671)</f>
        <v>1.5087850255004536</v>
      </c>
      <c r="S74" s="55" cm="1">
        <f t="array" ref="S74">(VLOOKUP($A74,'The List'!$B1:$AH671,31,FALSE)-AVERAGE('The List'!AF2:AF671))/STDEV('The List'!AF2:AF671)</f>
        <v>-0.50942250726162774</v>
      </c>
      <c r="T74" s="55" cm="1">
        <f t="array" ref="T74">(VLOOKUP($A74,'The List'!$B1:$AH671,32,FALSE)-AVERAGE('The List'!AG2:AG671))/STDEV('The List'!AG2:AG671)</f>
        <v>-0.47999587015102374</v>
      </c>
      <c r="U74" s="55" cm="1">
        <f t="array" ref="U74">(VLOOKUP($A74,'The List'!$B1:$AH671,33,FALSE)-AVERAGE('The List'!AH2:AH671))/STDEV('The List'!AH2:AH671)</f>
        <v>0.36148069571924868</v>
      </c>
      <c r="V74" s="55"/>
      <c r="W74" s="57"/>
      <c r="X74" s="55"/>
      <c r="Y74" s="55"/>
      <c r="Z74" s="55"/>
      <c r="AA74" s="55"/>
      <c r="AB74" s="55"/>
      <c r="AC74" s="55"/>
      <c r="AD74" s="55"/>
      <c r="AE74" s="55"/>
    </row>
    <row r="75" spans="1:31" ht="21.25" customHeight="1" x14ac:dyDescent="0.15">
      <c r="A75" s="10" t="s">
        <v>216</v>
      </c>
      <c r="B75" s="18" t="str" cm="1">
        <f t="array" ref="B75">VLOOKUP(A75,'Player Data'!A1:B673,2,FALSE)</f>
        <v>CBJ</v>
      </c>
      <c r="C75" s="52" cm="1">
        <f t="array" ref="C75">((E75)*Settings!$C$12)+(F75*Settings!$C$2)+(G75*Settings!$C$3)+(H75*Settings!$C$4)+(I75*Settings!$C$5)+(K75*Settings!$C$9)+(N75*Settings!$C$6)+(J75*Settings!$C$8)+(O75*Settings!$C$7)+(P75*Settings!$C$14)+(Q75*Settings!$C$15)+(R75*Settings!$C$16)+(S75*Settings!$C$17)+(T75*Settings!$C$18)+(U75*Settings!$C$19)+(L75*Settings!$C$10)+(Settings!$C$11*M75)</f>
        <v>5.1547403532399461</v>
      </c>
      <c r="D75" s="57" cm="1">
        <f t="array" ref="D75">IF(Settings!$E$12="YES",VLOOKUP(A75,'Player Data'!A1:E673,5,FALSE),82)</f>
        <v>80.73</v>
      </c>
      <c r="E75" s="55" cm="1">
        <f t="array" ref="E75">(VLOOKUP($A75,'The List'!$B1:$AH671,17,FALSE)-AVERAGE('The List'!R2:R671))/STDEV('The List'!R2:R671)</f>
        <v>0.74247897514676642</v>
      </c>
      <c r="F75" s="55" cm="1">
        <f t="array" ref="F75">(VLOOKUP($A75,'The List'!$B1:$AH671,18,FALSE)-AVERAGE('The List'!S2:S671))/STDEV('The List'!S2:S671)</f>
        <v>1.8068443229255375</v>
      </c>
      <c r="G75" s="55" cm="1">
        <f t="array" ref="G75">(VLOOKUP($A75,'The List'!$B1:$AH671,19,FALSE)-AVERAGE('The List'!T2:T671))/STDEV('The List'!T2:T671)</f>
        <v>1.0142900024183568</v>
      </c>
      <c r="H75" s="55" cm="1">
        <f t="array" ref="H75">(VLOOKUP($A75,'The List'!$B1:$AH671,20,FALSE)-AVERAGE('The List'!U2:U671))/STDEV('The List'!U2:U671)</f>
        <v>1.4396405790467042</v>
      </c>
      <c r="I75" s="55" cm="1">
        <f t="array" ref="I75">(VLOOKUP($A75,'The List'!$B1:$AH671,21,FALSE)-AVERAGE('The List'!V2:V671))/STDEV('The List'!V2:V671)</f>
        <v>1.8019656818162246</v>
      </c>
      <c r="J75" s="55" cm="1">
        <f t="array" ref="J75">(VLOOKUP($A75,'The List'!$B1:$AH671,22,FALSE)-AVERAGE('The List'!W2:W671))/STDEV('The List'!W2:W671)</f>
        <v>0.88135332726968607</v>
      </c>
      <c r="K75" s="55" cm="1">
        <f t="array" ref="K75">(VLOOKUP($A75,'The List'!$B1:$AH671,23,FALSE)-AVERAGE('The List'!X2:X671))/STDEV('The List'!X2:X671)</f>
        <v>0.91172921173459009</v>
      </c>
      <c r="L75" s="55" cm="1">
        <f t="array" ref="L75">(VLOOKUP($A75,'The List'!$B1:$AH671,24,FALSE)-AVERAGE('The List'!Y2:Y671))/STDEV('The List'!Y2:Y671)</f>
        <v>-0.24837492443286055</v>
      </c>
      <c r="M75" s="55" cm="1">
        <f t="array" ref="M75">(VLOOKUP($A75,'The List'!$B1:$AH671,25,FALSE)-AVERAGE('The List'!Z2:Z671))/STDEV('The List'!Z2:Z671)</f>
        <v>-0.34485440688225344</v>
      </c>
      <c r="N75" s="55" cm="1">
        <f t="array" ref="N75">(VLOOKUP($A75,'The List'!$B1:$AH671,26,FALSE)-AVERAGE('The List'!AA2:AA671))/STDEV('The List'!AA2:AA671)</f>
        <v>-0.32772401439181098</v>
      </c>
      <c r="O75" s="55" cm="1">
        <f t="array" ref="O75">(VLOOKUP($A75,'The List'!$B1:$AH671,27,FALSE)-AVERAGE('The List'!AB2:AB671))/STDEV('The List'!AB2:AB671)</f>
        <v>0.75196830598294484</v>
      </c>
      <c r="P75" s="55" cm="1">
        <f t="array" ref="P75">(VLOOKUP($A75,'The List'!$B1:$AH671,28,FALSE)-AVERAGE('The List'!AC2:AC671))/STDEV('The List'!AC2:AC671)</f>
        <v>-0.11777095249250019</v>
      </c>
      <c r="Q75" s="55" cm="1">
        <f t="array" ref="Q75">(VLOOKUP($A75,'The List'!$B1:$AH671,29,FALSE)-AVERAGE('The List'!AD2:AD671))/STDEV('The List'!AD2:AD671)</f>
        <v>6.5406101229548264E-2</v>
      </c>
      <c r="R75" s="55" cm="1">
        <f t="array" ref="R75">(VLOOKUP($A75,'The List'!$B1:$AH671,30,FALSE)-AVERAGE('The List'!AE2:AE671))/STDEV('The List'!AE2:AE671)</f>
        <v>1.8671206225109704</v>
      </c>
      <c r="S75" s="55" cm="1">
        <f t="array" ref="S75">(VLOOKUP($A75,'The List'!$B1:$AH671,31,FALSE)-AVERAGE('The List'!AF2:AF671))/STDEV('The List'!AF2:AF671)</f>
        <v>1.8220314593596083</v>
      </c>
      <c r="T75" s="55" cm="1">
        <f t="array" ref="T75">(VLOOKUP($A75,'The List'!$B1:$AH671,32,FALSE)-AVERAGE('The List'!AG2:AG671))/STDEV('The List'!AG2:AG671)</f>
        <v>2.4033016046593736</v>
      </c>
      <c r="U75" s="55" cm="1">
        <f t="array" ref="U75">(VLOOKUP($A75,'The List'!$B1:$AH671,33,FALSE)-AVERAGE('The List'!AH2:AH671))/STDEV('The List'!AH2:AH671)</f>
        <v>0.84879765588327394</v>
      </c>
      <c r="V75" s="55"/>
      <c r="W75" s="78"/>
      <c r="X75" s="57"/>
      <c r="Y75" s="57"/>
      <c r="Z75" s="57"/>
      <c r="AA75" s="57"/>
      <c r="AB75" s="57"/>
      <c r="AC75" s="60"/>
      <c r="AD75" s="61"/>
      <c r="AE75" s="55"/>
    </row>
    <row r="76" spans="1:31" ht="21.25" customHeight="1" x14ac:dyDescent="0.15">
      <c r="A76" s="10" t="s">
        <v>204</v>
      </c>
      <c r="B76" s="18" t="str" cm="1">
        <f t="array" ref="B76">VLOOKUP(A76,'Player Data'!A1:B673,2,FALSE)</f>
        <v>NYI</v>
      </c>
      <c r="C76" s="52" cm="1">
        <f t="array" ref="C76">((E76)*Settings!$C$12)+(F76*Settings!$C$2)+(G76*Settings!$C$3)+(H76*Settings!$C$4)+(I76*Settings!$C$5)+(K76*Settings!$C$9)+(N76*Settings!$C$6)+(J76*Settings!$C$8)+(O76*Settings!$C$7)+(P76*Settings!$C$14)+(Q76*Settings!$C$15)+(R76*Settings!$C$16)+(S76*Settings!$C$17)+(T76*Settings!$C$18)+(U76*Settings!$C$19)+(L76*Settings!$C$10)+(Settings!$C$11*M76)</f>
        <v>4.9588812512340636</v>
      </c>
      <c r="D76" s="57" cm="1">
        <f t="array" ref="D76">IF(Settings!$E$12="YES",VLOOKUP(A76,'Player Data'!A1:E673,5,FALSE),82)</f>
        <v>81.31</v>
      </c>
      <c r="E76" s="55" cm="1">
        <f t="array" ref="E76">(VLOOKUP($A76,'The List'!$B1:$AH671,17,FALSE)-AVERAGE('The List'!R2:R671))/STDEV('The List'!R2:R671)</f>
        <v>1.3567063653686717</v>
      </c>
      <c r="F76" s="55" cm="1">
        <f t="array" ref="F76">(VLOOKUP($A76,'The List'!$B1:$AH671,18,FALSE)-AVERAGE('The List'!S2:S671))/STDEV('The List'!S2:S671)</f>
        <v>1.9548458267393802</v>
      </c>
      <c r="G76" s="55" cm="1">
        <f t="array" ref="G76">(VLOOKUP($A76,'The List'!$B1:$AH671,19,FALSE)-AVERAGE('The List'!T2:T671))/STDEV('The List'!T2:T671)</f>
        <v>0.69646710761155906</v>
      </c>
      <c r="H76" s="55" cm="1">
        <f t="array" ref="H76">(VLOOKUP($A76,'The List'!$B1:$AH671,20,FALSE)-AVERAGE('The List'!U2:U671))/STDEV('The List'!U2:U671)</f>
        <v>1.3053967034867207</v>
      </c>
      <c r="I76" s="55" cm="1">
        <f t="array" ref="I76">(VLOOKUP($A76,'The List'!$B1:$AH671,21,FALSE)-AVERAGE('The List'!V2:V671))/STDEV('The List'!V2:V671)</f>
        <v>2.5141185846717087</v>
      </c>
      <c r="J76" s="55" cm="1">
        <f t="array" ref="J76">(VLOOKUP($A76,'The List'!$B1:$AH671,22,FALSE)-AVERAGE('The List'!W2:W671))/STDEV('The List'!W2:W671)</f>
        <v>1.1437372851091439</v>
      </c>
      <c r="K76" s="55" cm="1">
        <f t="array" ref="K76">(VLOOKUP($A76,'The List'!$B1:$AH671,23,FALSE)-AVERAGE('The List'!X2:X671))/STDEV('The List'!X2:X671)</f>
        <v>0.72928844236718626</v>
      </c>
      <c r="L76" s="55" cm="1">
        <f t="array" ref="L76">(VLOOKUP($A76,'The List'!$B1:$AH671,24,FALSE)-AVERAGE('The List'!Y2:Y671))/STDEV('The List'!Y2:Y671)</f>
        <v>2.8929801580827275</v>
      </c>
      <c r="M76" s="55" cm="1">
        <f t="array" ref="M76">(VLOOKUP($A76,'The List'!$B1:$AH671,25,FALSE)-AVERAGE('The List'!Z2:Z671))/STDEV('The List'!Z2:Z671)</f>
        <v>1.774091663382851</v>
      </c>
      <c r="N76" s="55" cm="1">
        <f t="array" ref="N76">(VLOOKUP($A76,'The List'!$B1:$AH671,26,FALSE)-AVERAGE('The List'!AA2:AA671))/STDEV('The List'!AA2:AA671)</f>
        <v>-0.394068273469658</v>
      </c>
      <c r="O76" s="55" cm="1">
        <f t="array" ref="O76">(VLOOKUP($A76,'The List'!$B1:$AH671,27,FALSE)-AVERAGE('The List'!AB2:AB671))/STDEV('The List'!AB2:AB671)</f>
        <v>-0.20884241196799697</v>
      </c>
      <c r="P76" s="55" cm="1">
        <f t="array" ref="P76">(VLOOKUP($A76,'The List'!$B1:$AH671,28,FALSE)-AVERAGE('The List'!AC2:AC671))/STDEV('The List'!AC2:AC671)</f>
        <v>-0.5267665065742686</v>
      </c>
      <c r="Q76" s="55" cm="1">
        <f t="array" ref="Q76">(VLOOKUP($A76,'The List'!$B1:$AH671,29,FALSE)-AVERAGE('The List'!AD2:AD671))/STDEV('The List'!AD2:AD671)</f>
        <v>-1.5003930111842411E-2</v>
      </c>
      <c r="R76" s="55" cm="1">
        <f t="array" ref="R76">(VLOOKUP($A76,'The List'!$B1:$AH671,30,FALSE)-AVERAGE('The List'!AE2:AE671))/STDEV('The List'!AE2:AE671)</f>
        <v>1.7023121641392003</v>
      </c>
      <c r="S76" s="55" cm="1">
        <f t="array" ref="S76">(VLOOKUP($A76,'The List'!$B1:$AH671,31,FALSE)-AVERAGE('The List'!AF2:AF671))/STDEV('The List'!AF2:AF671)</f>
        <v>3.5420133602439341</v>
      </c>
      <c r="T76" s="55" cm="1">
        <f t="array" ref="T76">(VLOOKUP($A76,'The List'!$B1:$AH671,32,FALSE)-AVERAGE('The List'!AG2:AG671))/STDEV('The List'!AG2:AG671)</f>
        <v>2.7677408281932618</v>
      </c>
      <c r="U76" s="55" cm="1">
        <f t="array" ref="U76">(VLOOKUP($A76,'The List'!$B1:$AH671,33,FALSE)-AVERAGE('The List'!AH2:AH671))/STDEV('The List'!AH2:AH671)</f>
        <v>1.3348499062059083</v>
      </c>
      <c r="V76" s="55"/>
      <c r="W76" s="78"/>
      <c r="X76" s="57"/>
      <c r="Y76" s="57"/>
      <c r="Z76" s="57"/>
      <c r="AA76" s="57"/>
      <c r="AB76" s="57"/>
      <c r="AC76" s="60"/>
      <c r="AD76" s="61"/>
      <c r="AE76" s="55"/>
    </row>
    <row r="77" spans="1:31" ht="21.25" customHeight="1" x14ac:dyDescent="0.15">
      <c r="A77" s="10" t="s">
        <v>235</v>
      </c>
      <c r="B77" s="18" t="str" cm="1">
        <f t="array" ref="B77">VLOOKUP(A77,'Player Data'!A1:B673,2,FALSE)</f>
        <v>VAN</v>
      </c>
      <c r="C77" s="52" cm="1">
        <f t="array" ref="C77">((E77)*Settings!$C$12)+(F77*Settings!$C$2)+(G77*Settings!$C$3)+(H77*Settings!$C$4)+(I77*Settings!$C$5)+(K77*Settings!$C$9)+(N77*Settings!$C$6)+(J77*Settings!$C$8)+(O77*Settings!$C$7)+(P77*Settings!$C$14)+(Q77*Settings!$C$15)+(R77*Settings!$C$16)+(S77*Settings!$C$17)+(T77*Settings!$C$18)+(U77*Settings!$C$19)+(L77*Settings!$C$10)+(Settings!$C$11*M77)</f>
        <v>2.3067304461602509</v>
      </c>
      <c r="D77" s="57" cm="1">
        <f t="array" ref="D77">IF(Settings!$E$12="YES",VLOOKUP(A77,'Player Data'!A1:E673,5,FALSE),82)</f>
        <v>80.135000000000005</v>
      </c>
      <c r="E77" s="55" cm="1">
        <f t="array" ref="E77">(VLOOKUP($A77,'The List'!$B1:$AH671,17,FALSE)-AVERAGE('The List'!R2:R671))/STDEV('The List'!R2:R671)</f>
        <v>0.91518829188474815</v>
      </c>
      <c r="F77" s="55" cm="1">
        <f t="array" ref="F77">(VLOOKUP($A77,'The List'!$B1:$AH671,18,FALSE)-AVERAGE('The List'!S2:S671))/STDEV('The List'!S2:S671)</f>
        <v>0.71320914483484044</v>
      </c>
      <c r="G77" s="55" cm="1">
        <f t="array" ref="G77">(VLOOKUP($A77,'The List'!$B1:$AH671,19,FALSE)-AVERAGE('The List'!T2:T671))/STDEV('The List'!T2:T671)</f>
        <v>1.2087160148699017</v>
      </c>
      <c r="H77" s="55" cm="1">
        <f t="array" ref="H77">(VLOOKUP($A77,'The List'!$B1:$AH671,20,FALSE)-AVERAGE('The List'!U2:U671))/STDEV('The List'!U2:U671)</f>
        <v>1.0767113763210556</v>
      </c>
      <c r="I77" s="55" cm="1">
        <f t="array" ref="I77">(VLOOKUP($A77,'The List'!$B1:$AH671,21,FALSE)-AVERAGE('The List'!V2:V671))/STDEV('The List'!V2:V671)</f>
        <v>0.58430512426848358</v>
      </c>
      <c r="J77" s="55" cm="1">
        <f t="array" ref="J77">(VLOOKUP($A77,'The List'!$B1:$AH671,22,FALSE)-AVERAGE('The List'!W2:W671))/STDEV('The List'!W2:W671)</f>
        <v>1.1437792218549767</v>
      </c>
      <c r="K77" s="55" cm="1">
        <f t="array" ref="K77">(VLOOKUP($A77,'The List'!$B1:$AH671,23,FALSE)-AVERAGE('The List'!X2:X671))/STDEV('The List'!X2:X671)</f>
        <v>1.4662981926702348</v>
      </c>
      <c r="L77" s="55" cm="1">
        <f t="array" ref="L77">(VLOOKUP($A77,'The List'!$B1:$AH671,24,FALSE)-AVERAGE('The List'!Y2:Y671))/STDEV('The List'!Y2:Y671)</f>
        <v>1.2099297543261487</v>
      </c>
      <c r="M77" s="55" cm="1">
        <f t="array" ref="M77">(VLOOKUP($A77,'The List'!$B1:$AH671,25,FALSE)-AVERAGE('The List'!Z2:Z671))/STDEV('The List'!Z2:Z671)</f>
        <v>1.1464408958875969</v>
      </c>
      <c r="N77" s="55" cm="1">
        <f t="array" ref="N77">(VLOOKUP($A77,'The List'!$B1:$AH671,26,FALSE)-AVERAGE('The List'!AA2:AA671))/STDEV('The List'!AA2:AA671)</f>
        <v>1.1508541687082203</v>
      </c>
      <c r="O77" s="55" cm="1">
        <f t="array" ref="O77">(VLOOKUP($A77,'The List'!$B1:$AH671,27,FALSE)-AVERAGE('The List'!AB2:AB671))/STDEV('The List'!AB2:AB671)</f>
        <v>-0.11192272760897086</v>
      </c>
      <c r="P77" s="55" cm="1">
        <f t="array" ref="P77">(VLOOKUP($A77,'The List'!$B1:$AH671,28,FALSE)-AVERAGE('The List'!AC2:AC671))/STDEV('The List'!AC2:AC671)</f>
        <v>-2.1173057139296896</v>
      </c>
      <c r="Q77" s="55" cm="1">
        <f t="array" ref="Q77">(VLOOKUP($A77,'The List'!$B1:$AH671,29,FALSE)-AVERAGE('The List'!AD2:AD671))/STDEV('The List'!AD2:AD671)</f>
        <v>-0.69934648526174037</v>
      </c>
      <c r="R77" s="55" cm="1">
        <f t="array" ref="R77">(VLOOKUP($A77,'The List'!$B1:$AH671,30,FALSE)-AVERAGE('The List'!AE2:AE671))/STDEV('The List'!AE2:AE671)</f>
        <v>0.28098402832616243</v>
      </c>
      <c r="S77" s="55" cm="1">
        <f t="array" ref="S77">(VLOOKUP($A77,'The List'!$B1:$AH671,31,FALSE)-AVERAGE('The List'!AF2:AF671))/STDEV('The List'!AF2:AF671)</f>
        <v>2.6549670373413163</v>
      </c>
      <c r="T77" s="55" cm="1">
        <f t="array" ref="T77">(VLOOKUP($A77,'The List'!$B1:$AH671,32,FALSE)-AVERAGE('The List'!AG2:AG671))/STDEV('The List'!AG2:AG671)</f>
        <v>3.0440958496837838</v>
      </c>
      <c r="U77" s="55" cm="1">
        <f t="array" ref="U77">(VLOOKUP($A77,'The List'!$B1:$AH671,33,FALSE)-AVERAGE('The List'!AH2:AH671))/STDEV('The List'!AH2:AH671)</f>
        <v>0.96957034659660768</v>
      </c>
      <c r="V77" s="55"/>
      <c r="W77" s="78"/>
      <c r="X77" s="57"/>
      <c r="Y77" s="57"/>
      <c r="Z77" s="57"/>
      <c r="AA77" s="57"/>
      <c r="AB77" s="57"/>
      <c r="AC77" s="60"/>
      <c r="AD77" s="61"/>
      <c r="AE77" s="55"/>
    </row>
    <row r="78" spans="1:31" ht="21.25" customHeight="1" x14ac:dyDescent="0.15">
      <c r="A78" s="10" t="s">
        <v>239</v>
      </c>
      <c r="B78" s="18" t="str" cm="1">
        <f t="array" ref="B78">VLOOKUP(A78,'Player Data'!A1:B673,2,FALSE)</f>
        <v>ANA</v>
      </c>
      <c r="C78" s="52" cm="1">
        <f t="array" ref="C78">((E78)*Settings!$C$12)+(F78*Settings!$C$2)+(G78*Settings!$C$3)+(H78*Settings!$C$4)+(I78*Settings!$C$5)+(K78*Settings!$C$9)+(N78*Settings!$C$6)+(J78*Settings!$C$8)+(O78*Settings!$C$7)+(P78*Settings!$C$14)+(Q78*Settings!$C$15)+(R78*Settings!$C$16)+(S78*Settings!$C$17)+(T78*Settings!$C$18)+(U78*Settings!$C$19)+(L78*Settings!$C$10)+(Settings!$C$11*M78)</f>
        <v>5.2910975633495907</v>
      </c>
      <c r="D78" s="57" cm="1">
        <f t="array" ref="D78">IF(Settings!$E$12="YES",VLOOKUP(A78,'Player Data'!A1:E673,5,FALSE),82)</f>
        <v>83.355000000000004</v>
      </c>
      <c r="E78" s="55" cm="1">
        <f t="array" ref="E78">(VLOOKUP($A78,'The List'!$B1:$AH671,17,FALSE)-AVERAGE('The List'!R2:R671))/STDEV('The List'!R2:R671)</f>
        <v>0.27374735752477536</v>
      </c>
      <c r="F78" s="55" cm="1">
        <f t="array" ref="F78">(VLOOKUP($A78,'The List'!$B1:$AH671,18,FALSE)-AVERAGE('The List'!S2:S671))/STDEV('The List'!S2:S671)</f>
        <v>1.35061920791603</v>
      </c>
      <c r="G78" s="55" cm="1">
        <f t="array" ref="G78">(VLOOKUP($A78,'The List'!$B1:$AH671,19,FALSE)-AVERAGE('The List'!T2:T671))/STDEV('The List'!T2:T671)</f>
        <v>1.4015589174076808</v>
      </c>
      <c r="H78" s="55" cm="1">
        <f t="array" ref="H78">(VLOOKUP($A78,'The List'!$B1:$AH671,20,FALSE)-AVERAGE('The List'!U2:U671))/STDEV('The List'!U2:U671)</f>
        <v>1.4808135233454627</v>
      </c>
      <c r="I78" s="55" cm="1">
        <f t="array" ref="I78">(VLOOKUP($A78,'The List'!$B1:$AH671,21,FALSE)-AVERAGE('The List'!V2:V671))/STDEV('The List'!V2:V671)</f>
        <v>1.4770949458904874</v>
      </c>
      <c r="J78" s="55" cm="1">
        <f t="array" ref="J78">(VLOOKUP($A78,'The List'!$B1:$AH671,22,FALSE)-AVERAGE('The List'!W2:W671))/STDEV('The List'!W2:W671)</f>
        <v>5.514268530720022E-2</v>
      </c>
      <c r="K78" s="55" cm="1">
        <f t="array" ref="K78">(VLOOKUP($A78,'The List'!$B1:$AH671,23,FALSE)-AVERAGE('The List'!X2:X671))/STDEV('The List'!X2:X671)</f>
        <v>1.0133051242935804</v>
      </c>
      <c r="L78" s="55" cm="1">
        <f t="array" ref="L78">(VLOOKUP($A78,'The List'!$B1:$AH671,24,FALSE)-AVERAGE('The List'!Y2:Y671))/STDEV('The List'!Y2:Y671)</f>
        <v>-0.52636130083318877</v>
      </c>
      <c r="M78" s="55" cm="1">
        <f t="array" ref="M78">(VLOOKUP($A78,'The List'!$B1:$AH671,25,FALSE)-AVERAGE('The List'!Z2:Z671))/STDEV('The List'!Z2:Z671)</f>
        <v>-0.66940585183171075</v>
      </c>
      <c r="N78" s="55" cm="1">
        <f t="array" ref="N78">(VLOOKUP($A78,'The List'!$B1:$AH671,26,FALSE)-AVERAGE('The List'!AA2:AA671))/STDEV('The List'!AA2:AA671)</f>
        <v>-0.93280701776742159</v>
      </c>
      <c r="O78" s="55" cm="1">
        <f t="array" ref="O78">(VLOOKUP($A78,'The List'!$B1:$AH671,27,FALSE)-AVERAGE('The List'!AB2:AB671))/STDEV('The List'!AB2:AB671)</f>
        <v>0.19634303894917113</v>
      </c>
      <c r="P78" s="55" cm="1">
        <f t="array" ref="P78">(VLOOKUP($A78,'The List'!$B1:$AH671,28,FALSE)-AVERAGE('The List'!AC2:AC671))/STDEV('The List'!AC2:AC671)</f>
        <v>-0.7220178149522597</v>
      </c>
      <c r="Q78" s="55" cm="1">
        <f t="array" ref="Q78">(VLOOKUP($A78,'The List'!$B1:$AH671,29,FALSE)-AVERAGE('The List'!AD2:AD671))/STDEV('The List'!AD2:AD671)</f>
        <v>1.7033442005614929</v>
      </c>
      <c r="R78" s="55" cm="1">
        <f t="array" ref="R78">(VLOOKUP($A78,'The List'!$B1:$AH671,30,FALSE)-AVERAGE('The List'!AE2:AE671))/STDEV('The List'!AE2:AE671)</f>
        <v>1.1518256183480302</v>
      </c>
      <c r="S78" s="55" cm="1">
        <f t="array" ref="S78">(VLOOKUP($A78,'The List'!$B1:$AH671,31,FALSE)-AVERAGE('The List'!AF2:AF671))/STDEV('The List'!AF2:AF671)</f>
        <v>-0.57909373358020533</v>
      </c>
      <c r="T78" s="55" cm="1">
        <f t="array" ref="T78">(VLOOKUP($A78,'The List'!$B1:$AH671,32,FALSE)-AVERAGE('The List'!AG2:AG671))/STDEV('The List'!AG2:AG671)</f>
        <v>-0.63546108385719247</v>
      </c>
      <c r="U78" s="55" cm="1">
        <f t="array" ref="U78">(VLOOKUP($A78,'The List'!$B1:$AH671,33,FALSE)-AVERAGE('The List'!AH2:AH671))/STDEV('The List'!AH2:AH671)</f>
        <v>1.5032507840676137</v>
      </c>
      <c r="V78" s="55"/>
      <c r="W78" s="78"/>
      <c r="X78" s="57"/>
      <c r="Y78" s="57"/>
      <c r="Z78" s="57"/>
      <c r="AA78" s="57"/>
      <c r="AB78" s="57"/>
      <c r="AC78" s="60"/>
      <c r="AD78" s="61"/>
      <c r="AE78" s="55"/>
    </row>
    <row r="79" spans="1:31" ht="21.25" customHeight="1" x14ac:dyDescent="0.15">
      <c r="A79" s="10" t="s">
        <v>251</v>
      </c>
      <c r="B79" s="18" t="str" cm="1">
        <f t="array" ref="B79">VLOOKUP(A79,'Player Data'!A1:B673,2,FALSE)</f>
        <v>WSH</v>
      </c>
      <c r="C79" s="52" cm="1">
        <f t="array" ref="C79">((E79)*Settings!$C$12)+(F79*Settings!$C$2)+(G79*Settings!$C$3)+(H79*Settings!$C$4)+(I79*Settings!$C$5)+(K79*Settings!$C$9)+(N79*Settings!$C$6)+(J79*Settings!$C$8)+(O79*Settings!$C$7)+(P79*Settings!$C$14)+(Q79*Settings!$C$15)+(R79*Settings!$C$16)+(S79*Settings!$C$17)+(T79*Settings!$C$18)+(U79*Settings!$C$19)+(L79*Settings!$C$10)+(Settings!$C$11*M79)</f>
        <v>5.3887062500828655</v>
      </c>
      <c r="D79" s="57" cm="1">
        <f t="array" ref="D79">IF(Settings!$E$12="YES",VLOOKUP(A79,'Player Data'!A1:E673,5,FALSE),82)</f>
        <v>83.674999999999997</v>
      </c>
      <c r="E79" s="55" cm="1">
        <f t="array" ref="E79">(VLOOKUP($A79,'The List'!$B1:$AH671,17,FALSE)-AVERAGE('The List'!R2:R671))/STDEV('The List'!R2:R671)</f>
        <v>0.29772288286735865</v>
      </c>
      <c r="F79" s="55" cm="1">
        <f t="array" ref="F79">(VLOOKUP($A79,'The List'!$B1:$AH671,18,FALSE)-AVERAGE('The List'!S2:S671))/STDEV('The List'!S2:S671)</f>
        <v>1.0060646357721341</v>
      </c>
      <c r="G79" s="55" cm="1">
        <f t="array" ref="G79">(VLOOKUP($A79,'The List'!$B1:$AH671,19,FALSE)-AVERAGE('The List'!T2:T671))/STDEV('The List'!T2:T671)</f>
        <v>1.4090739698478538</v>
      </c>
      <c r="H79" s="55" cm="1">
        <f t="array" ref="H79">(VLOOKUP($A79,'The List'!$B1:$AH671,20,FALSE)-AVERAGE('The List'!U2:U671))/STDEV('The List'!U2:U671)</f>
        <v>1.3326690832089092</v>
      </c>
      <c r="I79" s="55" cm="1">
        <f t="array" ref="I79">(VLOOKUP($A79,'The List'!$B1:$AH671,21,FALSE)-AVERAGE('The List'!V2:V671))/STDEV('The List'!V2:V671)</f>
        <v>0.51802749461402198</v>
      </c>
      <c r="J79" s="55" cm="1">
        <f t="array" ref="J79">(VLOOKUP($A79,'The List'!$B1:$AH671,22,FALSE)-AVERAGE('The List'!W2:W671))/STDEV('The List'!W2:W671)</f>
        <v>1.161075237223012</v>
      </c>
      <c r="K79" s="55" cm="1">
        <f t="array" ref="K79">(VLOOKUP($A79,'The List'!$B1:$AH671,23,FALSE)-AVERAGE('The List'!X2:X671))/STDEV('The List'!X2:X671)</f>
        <v>1.6760317002132223</v>
      </c>
      <c r="L79" s="55" cm="1">
        <f t="array" ref="L79">(VLOOKUP($A79,'The List'!$B1:$AH671,24,FALSE)-AVERAGE('The List'!Y2:Y671))/STDEV('The List'!Y2:Y671)</f>
        <v>-0.52836464013878714</v>
      </c>
      <c r="M79" s="55" cm="1">
        <f t="array" ref="M79">(VLOOKUP($A79,'The List'!$B1:$AH671,25,FALSE)-AVERAGE('The List'!Z2:Z671))/STDEV('The List'!Z2:Z671)</f>
        <v>-0.67046212388518411</v>
      </c>
      <c r="N79" s="55" cm="1">
        <f t="array" ref="N79">(VLOOKUP($A79,'The List'!$B1:$AH671,26,FALSE)-AVERAGE('The List'!AA2:AA671))/STDEV('The List'!AA2:AA671)</f>
        <v>-0.22649267651969629</v>
      </c>
      <c r="O79" s="55" cm="1">
        <f t="array" ref="O79">(VLOOKUP($A79,'The List'!$B1:$AH671,27,FALSE)-AVERAGE('The List'!AB2:AB671))/STDEV('The List'!AB2:AB671)</f>
        <v>-1.3164329363458238</v>
      </c>
      <c r="P79" s="55" cm="1">
        <f t="array" ref="P79">(VLOOKUP($A79,'The List'!$B1:$AH671,28,FALSE)-AVERAGE('The List'!AC2:AC671))/STDEV('The List'!AC2:AC671)</f>
        <v>0.85056186274341872</v>
      </c>
      <c r="Q79" s="55" cm="1">
        <f t="array" ref="Q79">(VLOOKUP($A79,'The List'!$B1:$AH671,29,FALSE)-AVERAGE('The List'!AD2:AD671))/STDEV('The List'!AD2:AD671)</f>
        <v>0.15543926341191089</v>
      </c>
      <c r="R79" s="55" cm="1">
        <f t="array" ref="R79">(VLOOKUP($A79,'The List'!$B1:$AH671,30,FALSE)-AVERAGE('The List'!AE2:AE671))/STDEV('The List'!AE2:AE671)</f>
        <v>0.89180886032994233</v>
      </c>
      <c r="S79" s="55" cm="1">
        <f t="array" ref="S79">(VLOOKUP($A79,'The List'!$B1:$AH671,31,FALSE)-AVERAGE('The List'!AF2:AF671))/STDEV('The List'!AF2:AF671)</f>
        <v>3.0397917318221936</v>
      </c>
      <c r="T79" s="55" cm="1">
        <f t="array" ref="T79">(VLOOKUP($A79,'The List'!$B1:$AH671,32,FALSE)-AVERAGE('The List'!AG2:AG671))/STDEV('The List'!AG2:AG671)</f>
        <v>2.4752313392084688</v>
      </c>
      <c r="U79" s="55" cm="1">
        <f t="array" ref="U79">(VLOOKUP($A79,'The List'!$B1:$AH671,33,FALSE)-AVERAGE('The List'!AH2:AH671))/STDEV('The List'!AH2:AH671)</f>
        <v>1.289650888498773</v>
      </c>
      <c r="V79" s="55"/>
      <c r="W79" s="57"/>
      <c r="X79" s="57"/>
      <c r="Y79" s="57"/>
      <c r="Z79" s="57"/>
      <c r="AA79" s="57"/>
      <c r="AB79" s="57"/>
      <c r="AC79" s="60"/>
      <c r="AD79" s="61"/>
      <c r="AE79" s="55"/>
    </row>
    <row r="80" spans="1:31" ht="21.25" customHeight="1" x14ac:dyDescent="0.15">
      <c r="A80" s="10" t="s">
        <v>141</v>
      </c>
      <c r="B80" s="18" t="str" cm="1">
        <f t="array" ref="B80">VLOOKUP(A80,'Player Data'!A1:B673,2,FALSE)</f>
        <v>NYI</v>
      </c>
      <c r="C80" s="52" cm="1">
        <f t="array" ref="C80">((E80)*Settings!$C$12)+(F80*Settings!$C$2)+(G80*Settings!$C$3)+(H80*Settings!$C$4)+(I80*Settings!$C$5)+(K80*Settings!$C$9)+(N80*Settings!$C$6)+(J80*Settings!$C$8)+(O80*Settings!$C$7)+(P80*Settings!$C$14)+(Q80*Settings!$C$15)+(R80*Settings!$C$16)+(S80*Settings!$C$17)+(T80*Settings!$C$18)+(U80*Settings!$C$19)+(L80*Settings!$C$10)+(Settings!$C$11*M80)</f>
        <v>7.8251101428660972</v>
      </c>
      <c r="D80" s="57" cm="1">
        <f t="array" ref="D80">IF(Settings!$E$12="YES",VLOOKUP(A80,'Player Data'!A1:E673,5,FALSE),82)</f>
        <v>83.355000000000004</v>
      </c>
      <c r="E80" s="55" cm="1">
        <f t="array" ref="E80">(VLOOKUP($A80,'The List'!$B1:$AH671,17,FALSE)-AVERAGE('The List'!R2:R671))/STDEV('The List'!R2:R671)</f>
        <v>2.1004182677182248</v>
      </c>
      <c r="F80" s="55" cm="1">
        <f t="array" ref="F80">(VLOOKUP($A80,'The List'!$B1:$AH671,18,FALSE)-AVERAGE('The List'!S2:S671))/STDEV('The List'!S2:S671)</f>
        <v>1.2134714876710913</v>
      </c>
      <c r="G80" s="55" cm="1">
        <f t="array" ref="G80">(VLOOKUP($A80,'The List'!$B1:$AH671,19,FALSE)-AVERAGE('The List'!T2:T671))/STDEV('The List'!T2:T671)</f>
        <v>1.4805162544964592</v>
      </c>
      <c r="H80" s="55" cm="1">
        <f t="array" ref="H80">(VLOOKUP($A80,'The List'!$B1:$AH671,20,FALSE)-AVERAGE('The List'!U2:U671))/STDEV('The List'!U2:U671)</f>
        <v>1.4696278115614856</v>
      </c>
      <c r="I80" s="55" cm="1">
        <f t="array" ref="I80">(VLOOKUP($A80,'The List'!$B1:$AH671,21,FALSE)-AVERAGE('The List'!V2:V671))/STDEV('The List'!V2:V671)</f>
        <v>1.802905083638827</v>
      </c>
      <c r="J80" s="55" cm="1">
        <f t="array" ref="J80">(VLOOKUP($A80,'The List'!$B1:$AH671,22,FALSE)-AVERAGE('The List'!W2:W671))/STDEV('The List'!W2:W671)</f>
        <v>1.9918773165350285</v>
      </c>
      <c r="K80" s="55" cm="1">
        <f t="array" ref="K80">(VLOOKUP($A80,'The List'!$B1:$AH671,23,FALSE)-AVERAGE('The List'!X2:X671))/STDEV('The List'!X2:X671)</f>
        <v>1.5573528073440857</v>
      </c>
      <c r="L80" s="55" cm="1">
        <f t="array" ref="L80">(VLOOKUP($A80,'The List'!$B1:$AH671,24,FALSE)-AVERAGE('The List'!Y2:Y671))/STDEV('The List'!Y2:Y671)</f>
        <v>-0.50309091640576298</v>
      </c>
      <c r="M80" s="55" cm="1">
        <f t="array" ref="M80">(VLOOKUP($A80,'The List'!$B1:$AH671,25,FALSE)-AVERAGE('The List'!Z2:Z671))/STDEV('The List'!Z2:Z671)</f>
        <v>-0.58248987652637385</v>
      </c>
      <c r="N80" s="55" cm="1">
        <f t="array" ref="N80">(VLOOKUP($A80,'The List'!$B1:$AH671,26,FALSE)-AVERAGE('The List'!AA2:AA671))/STDEV('The List'!AA2:AA671)</f>
        <v>1.2853430252610889</v>
      </c>
      <c r="O80" s="55" cm="1">
        <f t="array" ref="O80">(VLOOKUP($A80,'The List'!$B1:$AH671,27,FALSE)-AVERAGE('The List'!AB2:AB671))/STDEV('The List'!AB2:AB671)</f>
        <v>-0.81897261983571301</v>
      </c>
      <c r="P80" s="55" cm="1">
        <f t="array" ref="P80">(VLOOKUP($A80,'The List'!$B1:$AH671,28,FALSE)-AVERAGE('The List'!AC2:AC671))/STDEV('The List'!AC2:AC671)</f>
        <v>-0.36182089803630951</v>
      </c>
      <c r="Q80" s="55" cm="1">
        <f t="array" ref="Q80">(VLOOKUP($A80,'The List'!$B1:$AH671,29,FALSE)-AVERAGE('The List'!AD2:AD671))/STDEV('The List'!AD2:AD671)</f>
        <v>0.84734238249085425</v>
      </c>
      <c r="R80" s="55" cm="1">
        <f t="array" ref="R80">(VLOOKUP($A80,'The List'!$B1:$AH671,30,FALSE)-AVERAGE('The List'!AE2:AE671))/STDEV('The List'!AE2:AE671)</f>
        <v>1.0257142664688161</v>
      </c>
      <c r="S80" s="55" cm="1">
        <f t="array" ref="S80">(VLOOKUP($A80,'The List'!$B1:$AH671,31,FALSE)-AVERAGE('The List'!AF2:AF671))/STDEV('The List'!AF2:AF671)</f>
        <v>-0.5939690971349143</v>
      </c>
      <c r="T80" s="55" cm="1">
        <f t="array" ref="T80">(VLOOKUP($A80,'The List'!$B1:$AH671,32,FALSE)-AVERAGE('The List'!AG2:AG671))/STDEV('The List'!AG2:AG671)</f>
        <v>-0.64602208138248207</v>
      </c>
      <c r="U80" s="55" cm="1">
        <f t="array" ref="U80">(VLOOKUP($A80,'The List'!$B1:$AH671,33,FALSE)-AVERAGE('The List'!AH2:AH671))/STDEV('The List'!AH2:AH671)</f>
        <v>-1.2548938914719048</v>
      </c>
      <c r="V80" s="55"/>
      <c r="W80" s="78"/>
      <c r="X80" s="57"/>
      <c r="Y80" s="57"/>
      <c r="Z80" s="57"/>
      <c r="AA80" s="57"/>
      <c r="AB80" s="57"/>
      <c r="AC80" s="60"/>
      <c r="AD80" s="61"/>
      <c r="AE80" s="55"/>
    </row>
    <row r="81" spans="1:31" ht="21.25" customHeight="1" x14ac:dyDescent="0.15">
      <c r="A81" s="10" t="s">
        <v>275</v>
      </c>
      <c r="B81" s="18" t="str" cm="1">
        <f t="array" ref="B81">VLOOKUP(A81,'Player Data'!A1:B673,2,FALSE)</f>
        <v>STL</v>
      </c>
      <c r="C81" s="52" cm="1">
        <f t="array" ref="C81">((E81)*Settings!$C$12)+(F81*Settings!$C$2)+(G81*Settings!$C$3)+(H81*Settings!$C$4)+(I81*Settings!$C$5)+(K81*Settings!$C$9)+(N81*Settings!$C$6)+(J81*Settings!$C$8)+(O81*Settings!$C$7)+(P81*Settings!$C$14)+(Q81*Settings!$C$15)+(R81*Settings!$C$16)+(S81*Settings!$C$17)+(T81*Settings!$C$18)+(U81*Settings!$C$19)+(L81*Settings!$C$10)+(Settings!$C$11*M81)</f>
        <v>2.9790439575038681</v>
      </c>
      <c r="D81" s="57" cm="1">
        <f t="array" ref="D81">IF(Settings!$E$12="YES",VLOOKUP(A81,'Player Data'!A1:E673,5,FALSE),82)</f>
        <v>79.05</v>
      </c>
      <c r="E81" s="55" cm="1">
        <f t="array" ref="E81">(VLOOKUP($A81,'The List'!$B1:$AH671,17,FALSE)-AVERAGE('The List'!R2:R671))/STDEV('The List'!R2:R671)</f>
        <v>0.24025318884906849</v>
      </c>
      <c r="F81" s="55" cm="1">
        <f t="array" ref="F81">(VLOOKUP($A81,'The List'!$B1:$AH671,18,FALSE)-AVERAGE('The List'!S2:S671))/STDEV('The List'!S2:S671)</f>
        <v>1.2260103855753237</v>
      </c>
      <c r="G81" s="55" cm="1">
        <f t="array" ref="G81">(VLOOKUP($A81,'The List'!$B1:$AH671,19,FALSE)-AVERAGE('The List'!T2:T671))/STDEV('The List'!T2:T671)</f>
        <v>0.98736602359583425</v>
      </c>
      <c r="H81" s="55" cm="1">
        <f t="array" ref="H81">(VLOOKUP($A81,'The List'!$B1:$AH671,20,FALSE)-AVERAGE('The List'!U2:U671))/STDEV('The List'!U2:U671)</f>
        <v>1.1650021555426391</v>
      </c>
      <c r="I81" s="55" cm="1">
        <f t="array" ref="I81">(VLOOKUP($A81,'The List'!$B1:$AH671,21,FALSE)-AVERAGE('The List'!V2:V671))/STDEV('The List'!V2:V671)</f>
        <v>1.295356827961033</v>
      </c>
      <c r="J81" s="55" cm="1">
        <f t="array" ref="J81">(VLOOKUP($A81,'The List'!$B1:$AH671,22,FALSE)-AVERAGE('The List'!W2:W671))/STDEV('The List'!W2:W671)</f>
        <v>1.3252737683694313</v>
      </c>
      <c r="K81" s="55" cm="1">
        <f t="array" ref="K81">(VLOOKUP($A81,'The List'!$B1:$AH671,23,FALSE)-AVERAGE('The List'!X2:X671))/STDEV('The List'!X2:X671)</f>
        <v>0.65858800467934608</v>
      </c>
      <c r="L81" s="55" cm="1">
        <f t="array" ref="L81">(VLOOKUP($A81,'The List'!$B1:$AH671,24,FALSE)-AVERAGE('The List'!Y2:Y671))/STDEV('The List'!Y2:Y671)</f>
        <v>-0.56154715004568057</v>
      </c>
      <c r="M81" s="55" cm="1">
        <f t="array" ref="M81">(VLOOKUP($A81,'The List'!$B1:$AH671,25,FALSE)-AVERAGE('The List'!Z2:Z671))/STDEV('The List'!Z2:Z671)</f>
        <v>-0.70352713459082683</v>
      </c>
      <c r="N81" s="55" cm="1">
        <f t="array" ref="N81">(VLOOKUP($A81,'The List'!$B1:$AH671,26,FALSE)-AVERAGE('The List'!AA2:AA671))/STDEV('The List'!AA2:AA671)</f>
        <v>-0.48595588331134926</v>
      </c>
      <c r="O81" s="55" cm="1">
        <f t="array" ref="O81">(VLOOKUP($A81,'The List'!$B1:$AH671,27,FALSE)-AVERAGE('The List'!AB2:AB671))/STDEV('The List'!AB2:AB671)</f>
        <v>-0.13762296469874741</v>
      </c>
      <c r="P81" s="55" cm="1">
        <f t="array" ref="P81">(VLOOKUP($A81,'The List'!$B1:$AH671,28,FALSE)-AVERAGE('The List'!AC2:AC671))/STDEV('The List'!AC2:AC671)</f>
        <v>-0.1898448052126433</v>
      </c>
      <c r="Q81" s="55" cm="1">
        <f t="array" ref="Q81">(VLOOKUP($A81,'The List'!$B1:$AH671,29,FALSE)-AVERAGE('The List'!AD2:AD671))/STDEV('The List'!AD2:AD671)</f>
        <v>-0.51247659578367677</v>
      </c>
      <c r="R81" s="55" cm="1">
        <f t="array" ref="R81">(VLOOKUP($A81,'The List'!$B1:$AH671,30,FALSE)-AVERAGE('The List'!AE2:AE671))/STDEV('The List'!AE2:AE671)</f>
        <v>1.0071248846554173</v>
      </c>
      <c r="S81" s="55" cm="1">
        <f t="array" ref="S81">(VLOOKUP($A81,'The List'!$B1:$AH671,31,FALSE)-AVERAGE('The List'!AF2:AF671))/STDEV('The List'!AF2:AF671)</f>
        <v>-0.57313756061807075</v>
      </c>
      <c r="T81" s="55" cm="1">
        <f t="array" ref="T81">(VLOOKUP($A81,'The List'!$B1:$AH671,32,FALSE)-AVERAGE('The List'!AG2:AG671))/STDEV('The List'!AG2:AG671)</f>
        <v>-0.5965389163964433</v>
      </c>
      <c r="U81" s="55" cm="1">
        <f t="array" ref="U81">(VLOOKUP($A81,'The List'!$B1:$AH671,33,FALSE)-AVERAGE('The List'!AH2:AH671))/STDEV('The List'!AH2:AH671)</f>
        <v>0.16806505128080479</v>
      </c>
      <c r="V81" s="55"/>
      <c r="W81" s="57"/>
      <c r="X81" s="55"/>
      <c r="Y81" s="55"/>
      <c r="Z81" s="55"/>
      <c r="AA81" s="55"/>
      <c r="AB81" s="55"/>
      <c r="AC81" s="55"/>
      <c r="AD81" s="55"/>
      <c r="AE81" s="55"/>
    </row>
    <row r="82" spans="1:31" ht="21.25" customHeight="1" x14ac:dyDescent="0.15">
      <c r="A82" s="10" t="s">
        <v>229</v>
      </c>
      <c r="B82" s="18" t="str" cm="1">
        <f t="array" ref="B82">VLOOKUP(A82,'Player Data'!A1:B673,2,FALSE)</f>
        <v>FLA</v>
      </c>
      <c r="C82" s="52" cm="1">
        <f t="array" ref="C82">((E82)*Settings!$C$12)+(F82*Settings!$C$2)+(G82*Settings!$C$3)+(H82*Settings!$C$4)+(I82*Settings!$C$5)+(K82*Settings!$C$9)+(N82*Settings!$C$6)+(J82*Settings!$C$8)+(O82*Settings!$C$7)+(P82*Settings!$C$14)+(Q82*Settings!$C$15)+(R82*Settings!$C$16)+(S82*Settings!$C$17)+(T82*Settings!$C$18)+(U82*Settings!$C$19)+(L82*Settings!$C$10)+(Settings!$C$11*M82)</f>
        <v>9.2978897819713939</v>
      </c>
      <c r="D82" s="57" cm="1">
        <f t="array" ref="D82">IF(Settings!$E$12="YES",VLOOKUP(A82,'Player Data'!A1:E673,5,FALSE),82)</f>
        <v>78.650000000000006</v>
      </c>
      <c r="E82" s="55" cm="1">
        <f t="array" ref="E82">(VLOOKUP($A82,'The List'!$B1:$AH671,17,FALSE)-AVERAGE('The List'!R2:R671))/STDEV('The List'!R2:R671)</f>
        <v>0.17361035087971932</v>
      </c>
      <c r="F82" s="55" cm="1">
        <f t="array" ref="F82">(VLOOKUP($A82,'The List'!$B1:$AH671,18,FALSE)-AVERAGE('The List'!S2:S671))/STDEV('The List'!S2:S671)</f>
        <v>1.4080535963511409</v>
      </c>
      <c r="G82" s="55" cm="1">
        <f t="array" ref="G82">(VLOOKUP($A82,'The List'!$B1:$AH671,19,FALSE)-AVERAGE('The List'!T2:T671))/STDEV('The List'!T2:T671)</f>
        <v>0.83002302378886061</v>
      </c>
      <c r="H82" s="55" cm="1">
        <f t="array" ref="H82">(VLOOKUP($A82,'The List'!$B1:$AH671,20,FALSE)-AVERAGE('The List'!U2:U671))/STDEV('The List'!U2:U671)</f>
        <v>1.1468028517402329</v>
      </c>
      <c r="I82" s="55" cm="1">
        <f t="array" ref="I82">(VLOOKUP($A82,'The List'!$B1:$AH671,21,FALSE)-AVERAGE('The List'!V2:V671))/STDEV('The List'!V2:V671)</f>
        <v>2.7320638313231531</v>
      </c>
      <c r="J82" s="55" cm="1">
        <f t="array" ref="J82">(VLOOKUP($A82,'The List'!$B1:$AH671,22,FALSE)-AVERAGE('The List'!W2:W671))/STDEV('The List'!W2:W671)</f>
        <v>1.121519212211983</v>
      </c>
      <c r="K82" s="55" cm="1">
        <f t="array" ref="K82">(VLOOKUP($A82,'The List'!$B1:$AH671,23,FALSE)-AVERAGE('The List'!X2:X671))/STDEV('The List'!X2:X671)</f>
        <v>0.89649359721084598</v>
      </c>
      <c r="L82" s="55" cm="1">
        <f t="array" ref="L82">(VLOOKUP($A82,'The List'!$B1:$AH671,24,FALSE)-AVERAGE('The List'!Y2:Y671))/STDEV('The List'!Y2:Y671)</f>
        <v>-0.20404072532708681</v>
      </c>
      <c r="M82" s="55" cm="1">
        <f t="array" ref="M82">(VLOOKUP($A82,'The List'!$B1:$AH671,25,FALSE)-AVERAGE('The List'!Z2:Z671))/STDEV('The List'!Z2:Z671)</f>
        <v>-0.46513952757687266</v>
      </c>
      <c r="N82" s="55" cm="1">
        <f t="array" ref="N82">(VLOOKUP($A82,'The List'!$B1:$AH671,26,FALSE)-AVERAGE('The List'!AA2:AA671))/STDEV('The List'!AA2:AA671)</f>
        <v>-0.80921463582090569</v>
      </c>
      <c r="O82" s="55" cm="1">
        <f t="array" ref="O82">(VLOOKUP($A82,'The List'!$B1:$AH671,27,FALSE)-AVERAGE('The List'!AB2:AB671))/STDEV('The List'!AB2:AB671)</f>
        <v>2.6841696872448826</v>
      </c>
      <c r="P82" s="55" cm="1">
        <f t="array" ref="P82">(VLOOKUP($A82,'The List'!$B1:$AH671,28,FALSE)-AVERAGE('The List'!AC2:AC671))/STDEV('The List'!AC2:AC671)</f>
        <v>1.1872599725814583</v>
      </c>
      <c r="Q82" s="55" cm="1">
        <f t="array" ref="Q82">(VLOOKUP($A82,'The List'!$B1:$AH671,29,FALSE)-AVERAGE('The List'!AD2:AD671))/STDEV('The List'!AD2:AD671)</f>
        <v>3.0532103965368411</v>
      </c>
      <c r="R82" s="55" cm="1">
        <f t="array" ref="R82">(VLOOKUP($A82,'The List'!$B1:$AH671,30,FALSE)-AVERAGE('The List'!AE2:AE671))/STDEV('The List'!AE2:AE671)</f>
        <v>1.5585399095774672</v>
      </c>
      <c r="S82" s="55" cm="1">
        <f t="array" ref="S82">(VLOOKUP($A82,'The List'!$B1:$AH671,31,FALSE)-AVERAGE('The List'!AF2:AF671))/STDEV('The List'!AF2:AF671)</f>
        <v>0.40103279158107286</v>
      </c>
      <c r="T82" s="55" cm="1">
        <f t="array" ref="T82">(VLOOKUP($A82,'The List'!$B1:$AH671,32,FALSE)-AVERAGE('The List'!AG2:AG671))/STDEV('The List'!AG2:AG671)</f>
        <v>0.26342935332841155</v>
      </c>
      <c r="U82" s="55" cm="1">
        <f t="array" ref="U82">(VLOOKUP($A82,'The List'!$B1:$AH671,33,FALSE)-AVERAGE('The List'!AH2:AH671))/STDEV('The List'!AH2:AH671)</f>
        <v>1.2188547108383552</v>
      </c>
      <c r="V82" s="55"/>
      <c r="W82" s="78"/>
      <c r="X82" s="57"/>
      <c r="Y82" s="57"/>
      <c r="Z82" s="57"/>
      <c r="AA82" s="57"/>
      <c r="AB82" s="57"/>
      <c r="AC82" s="60"/>
      <c r="AD82" s="61"/>
      <c r="AE82" s="55"/>
    </row>
    <row r="83" spans="1:31" ht="21.25" customHeight="1" x14ac:dyDescent="0.15">
      <c r="A83" s="10" t="s">
        <v>536</v>
      </c>
      <c r="B83" s="18" t="str" cm="1">
        <f t="array" ref="B83">VLOOKUP(A83,'Player Data'!A1:B673,2,FALSE)</f>
        <v>ANA</v>
      </c>
      <c r="C83" s="52" cm="1">
        <f t="array" ref="C83">((E83)*Settings!$C$12)+(F83*Settings!$C$2)+(G83*Settings!$C$3)+(H83*Settings!$C$4)+(I83*Settings!$C$5)+(K83*Settings!$C$9)+(N83*Settings!$C$6)+(J83*Settings!$C$8)+(O83*Settings!$C$7)+(P83*Settings!$C$14)+(Q83*Settings!$C$15)+(R83*Settings!$C$16)+(S83*Settings!$C$17)+(T83*Settings!$C$18)+(U83*Settings!$C$19)+(L83*Settings!$C$10)+(Settings!$C$11*M83)</f>
        <v>-2.3548064321197115</v>
      </c>
      <c r="D83" s="57" cm="1">
        <f t="array" ref="D83">IF(Settings!$E$12="YES",VLOOKUP(A83,'Player Data'!A1:E673,5,FALSE),82)</f>
        <v>52</v>
      </c>
      <c r="E83" s="55" cm="1">
        <f t="array" ref="E83">(VLOOKUP($A83,'The List'!$B1:$AH671,17,FALSE)-AVERAGE('The List'!R2:R671))/STDEV('The List'!R2:R671)</f>
        <v>0.44774902866863486</v>
      </c>
      <c r="F83" s="55" cm="1">
        <f t="array" ref="F83">(VLOOKUP($A83,'The List'!$B1:$AH671,18,FALSE)-AVERAGE('The List'!S2:S671))/STDEV('The List'!S2:S671)</f>
        <v>0.14228508193610057</v>
      </c>
      <c r="G83" s="55" cm="1">
        <f t="array" ref="G83">(VLOOKUP($A83,'The List'!$B1:$AH671,19,FALSE)-AVERAGE('The List'!T2:T671))/STDEV('The List'!T2:T671)</f>
        <v>0.18783058724792634</v>
      </c>
      <c r="H83" s="55" cm="1">
        <f t="array" ref="H83">(VLOOKUP($A83,'The List'!$B1:$AH671,20,FALSE)-AVERAGE('The List'!U2:U671))/STDEV('The List'!U2:U671)</f>
        <v>0.18127324364071334</v>
      </c>
      <c r="I83" s="55" cm="1">
        <f t="array" ref="I83">(VLOOKUP($A83,'The List'!$B1:$AH671,21,FALSE)-AVERAGE('The List'!V2:V671))/STDEV('The List'!V2:V671)</f>
        <v>8.2090964168591282E-2</v>
      </c>
      <c r="J83" s="55" cm="1">
        <f t="array" ref="J83">(VLOOKUP($A83,'The List'!$B1:$AH671,22,FALSE)-AVERAGE('The List'!W2:W671))/STDEV('The List'!W2:W671)</f>
        <v>-0.17230892544126031</v>
      </c>
      <c r="K83" s="55" cm="1">
        <f t="array" ref="K83">(VLOOKUP($A83,'The List'!$B1:$AH671,23,FALSE)-AVERAGE('The List'!X2:X671))/STDEV('The List'!X2:X671)</f>
        <v>9.7961124054217631E-3</v>
      </c>
      <c r="L83" s="55" cm="1">
        <f t="array" ref="L83">(VLOOKUP($A83,'The List'!$B1:$AH671,24,FALSE)-AVERAGE('The List'!Y2:Y671))/STDEV('The List'!Y2:Y671)</f>
        <v>1.7416207226071088</v>
      </c>
      <c r="M83" s="55" cm="1">
        <f t="array" ref="M83">(VLOOKUP($A83,'The List'!$B1:$AH671,25,FALSE)-AVERAGE('The List'!Z2:Z671))/STDEV('The List'!Z2:Z671)</f>
        <v>2.0157115019945819</v>
      </c>
      <c r="N83" s="55" cm="1">
        <f t="array" ref="N83">(VLOOKUP($A83,'The List'!$B1:$AH671,26,FALSE)-AVERAGE('The List'!AA2:AA671))/STDEV('The List'!AA2:AA671)</f>
        <v>-1.1510067912346602</v>
      </c>
      <c r="O83" s="55" cm="1">
        <f t="array" ref="O83">(VLOOKUP($A83,'The List'!$B1:$AH671,27,FALSE)-AVERAGE('The List'!AB2:AB671))/STDEV('The List'!AB2:AB671)</f>
        <v>-1.5704040091058888</v>
      </c>
      <c r="P83" s="55" cm="1">
        <f t="array" ref="P83">(VLOOKUP($A83,'The List'!$B1:$AH671,28,FALSE)-AVERAGE('The List'!AC2:AC671))/STDEV('The List'!AC2:AC671)</f>
        <v>-0.41164817699319683</v>
      </c>
      <c r="Q83" s="55" cm="1">
        <f t="array" ref="Q83">(VLOOKUP($A83,'The List'!$B1:$AH671,29,FALSE)-AVERAGE('The List'!AD2:AD671))/STDEV('The List'!AD2:AD671)</f>
        <v>-1.2141542096498945</v>
      </c>
      <c r="R83" s="55" cm="1">
        <f t="array" ref="R83">(VLOOKUP($A83,'The List'!$B1:$AH671,30,FALSE)-AVERAGE('The List'!AE2:AE671))/STDEV('The List'!AE2:AE671)</f>
        <v>4.8647541920820249E-2</v>
      </c>
      <c r="S83" s="55" cm="1">
        <f t="array" ref="S83">(VLOOKUP($A83,'The List'!$B1:$AH671,31,FALSE)-AVERAGE('The List'!AF2:AF671))/STDEV('The List'!AF2:AF671)</f>
        <v>-0.5735844578002055</v>
      </c>
      <c r="T83" s="55" cm="1">
        <f t="array" ref="T83">(VLOOKUP($A83,'The List'!$B1:$AH671,32,FALSE)-AVERAGE('The List'!AG2:AG671))/STDEV('The List'!AG2:AG671)</f>
        <v>-0.60954096462955876</v>
      </c>
      <c r="U83" s="55" cm="1">
        <f t="array" ref="U83">(VLOOKUP($A83,'The List'!$B1:$AH671,33,FALSE)-AVERAGE('The List'!AH2:AH671))/STDEV('The List'!AH2:AH671)</f>
        <v>0.46005529712687948</v>
      </c>
      <c r="V83" s="55"/>
      <c r="W83" s="78"/>
      <c r="X83" s="57"/>
      <c r="Y83" s="57"/>
      <c r="Z83" s="57"/>
      <c r="AA83" s="57"/>
      <c r="AB83" s="57"/>
      <c r="AC83" s="60"/>
      <c r="AD83" s="61"/>
      <c r="AE83" s="55"/>
    </row>
    <row r="84" spans="1:31" ht="21.25" customHeight="1" x14ac:dyDescent="0.15">
      <c r="A84" s="10" t="s">
        <v>278</v>
      </c>
      <c r="B84" s="18" t="str" cm="1">
        <f t="array" ref="B84">VLOOKUP(A84,'Player Data'!A1:B673,2,FALSE)</f>
        <v>BOS</v>
      </c>
      <c r="C84" s="52" cm="1">
        <f t="array" ref="C84">((E84)*Settings!$C$12)+(F84*Settings!$C$2)+(G84*Settings!$C$3)+(H84*Settings!$C$4)+(I84*Settings!$C$5)+(K84*Settings!$C$9)+(N84*Settings!$C$6)+(J84*Settings!$C$8)+(O84*Settings!$C$7)+(P84*Settings!$C$14)+(Q84*Settings!$C$15)+(R84*Settings!$C$16)+(S84*Settings!$C$17)+(T84*Settings!$C$18)+(U84*Settings!$C$19)+(L84*Settings!$C$10)+(Settings!$C$11*M84)</f>
        <v>3.5710589707507894</v>
      </c>
      <c r="D84" s="57" cm="1">
        <f t="array" ref="D84">IF(Settings!$E$12="YES",VLOOKUP(A84,'Player Data'!A1:E673,5,FALSE),82)</f>
        <v>82.564999999999998</v>
      </c>
      <c r="E84" s="55" cm="1">
        <f t="array" ref="E84">(VLOOKUP($A84,'The List'!$B1:$AH671,17,FALSE)-AVERAGE('The List'!R2:R671))/STDEV('The List'!R2:R671)</f>
        <v>0.16895880565797586</v>
      </c>
      <c r="F84" s="55" cm="1">
        <f t="array" ref="F84">(VLOOKUP($A84,'The List'!$B1:$AH671,18,FALSE)-AVERAGE('The List'!S2:S671))/STDEV('The List'!S2:S671)</f>
        <v>2.1276058646292335</v>
      </c>
      <c r="G84" s="55" cm="1">
        <f t="array" ref="G84">(VLOOKUP($A84,'The List'!$B1:$AH671,19,FALSE)-AVERAGE('The List'!T2:T671))/STDEV('The List'!T2:T671)</f>
        <v>0.49428223089788409</v>
      </c>
      <c r="H84" s="55" cm="1">
        <f t="array" ref="H84">(VLOOKUP($A84,'The List'!$B1:$AH671,20,FALSE)-AVERAGE('The List'!U2:U671))/STDEV('The List'!U2:U671)</f>
        <v>1.2548733539278552</v>
      </c>
      <c r="I84" s="55" cm="1">
        <f t="array" ref="I84">(VLOOKUP($A84,'The List'!$B1:$AH671,21,FALSE)-AVERAGE('The List'!V2:V671))/STDEV('The List'!V2:V671)</f>
        <v>0.94184633754053193</v>
      </c>
      <c r="J84" s="55" cm="1">
        <f t="array" ref="J84">(VLOOKUP($A84,'The List'!$B1:$AH671,22,FALSE)-AVERAGE('The List'!W2:W671))/STDEV('The List'!W2:W671)</f>
        <v>2.0871530832905867</v>
      </c>
      <c r="K84" s="55" cm="1">
        <f t="array" ref="K84">(VLOOKUP($A84,'The List'!$B1:$AH671,23,FALSE)-AVERAGE('The List'!X2:X671))/STDEV('The List'!X2:X671)</f>
        <v>1.3717129074404297</v>
      </c>
      <c r="L84" s="55" cm="1">
        <f t="array" ref="L84">(VLOOKUP($A84,'The List'!$B1:$AH671,24,FALSE)-AVERAGE('The List'!Y2:Y671))/STDEV('The List'!Y2:Y671)</f>
        <v>-0.56305011405462679</v>
      </c>
      <c r="M84" s="55" cm="1">
        <f t="array" ref="M84">(VLOOKUP($A84,'The List'!$B1:$AH671,25,FALSE)-AVERAGE('The List'!Z2:Z671))/STDEV('The List'!Z2:Z671)</f>
        <v>-0.70498665238650926</v>
      </c>
      <c r="N84" s="55" cm="1">
        <f t="array" ref="N84">(VLOOKUP($A84,'The List'!$B1:$AH671,26,FALSE)-AVERAGE('The List'!AA2:AA671))/STDEV('The List'!AA2:AA671)</f>
        <v>-0.71383253851434303</v>
      </c>
      <c r="O84" s="55" cm="1">
        <f t="array" ref="O84">(VLOOKUP($A84,'The List'!$B1:$AH671,27,FALSE)-AVERAGE('The List'!AB2:AB671))/STDEV('The List'!AB2:AB671)</f>
        <v>0.53693238848465086</v>
      </c>
      <c r="P84" s="55" cm="1">
        <f t="array" ref="P84">(VLOOKUP($A84,'The List'!$B1:$AH671,28,FALSE)-AVERAGE('The List'!AC2:AC671))/STDEV('The List'!AC2:AC671)</f>
        <v>-0.32018745247806357</v>
      </c>
      <c r="Q84" s="55" cm="1">
        <f t="array" ref="Q84">(VLOOKUP($A84,'The List'!$B1:$AH671,29,FALSE)-AVERAGE('The List'!AD2:AD671))/STDEV('The List'!AD2:AD671)</f>
        <v>-0.33036837876488284</v>
      </c>
      <c r="R84" s="55" cm="1">
        <f t="array" ref="R84">(VLOOKUP($A84,'The List'!$B1:$AH671,30,FALSE)-AVERAGE('The List'!AE2:AE671))/STDEV('The List'!AE2:AE671)</f>
        <v>1.6102919310916082</v>
      </c>
      <c r="S84" s="55" cm="1">
        <f t="array" ref="S84">(VLOOKUP($A84,'The List'!$B1:$AH671,31,FALSE)-AVERAGE('The List'!AF2:AF671))/STDEV('The List'!AF2:AF671)</f>
        <v>1.8316297903643197E-2</v>
      </c>
      <c r="T84" s="55" cm="1">
        <f t="array" ref="T84">(VLOOKUP($A84,'The List'!$B1:$AH671,32,FALSE)-AVERAGE('The List'!AG2:AG671))/STDEV('The List'!AG2:AG671)</f>
        <v>0.12328238982002153</v>
      </c>
      <c r="U84" s="55" cm="1">
        <f t="array" ref="U84">(VLOOKUP($A84,'The List'!$B1:$AH671,33,FALSE)-AVERAGE('The List'!AH2:AH671))/STDEV('The List'!AH2:AH671)</f>
        <v>0.85395355607792223</v>
      </c>
      <c r="V84" s="55"/>
      <c r="W84" s="78"/>
      <c r="X84" s="57"/>
      <c r="Y84" s="57"/>
      <c r="Z84" s="57"/>
      <c r="AA84" s="57"/>
      <c r="AB84" s="57"/>
      <c r="AC84" s="60"/>
      <c r="AD84" s="61"/>
      <c r="AE84" s="55"/>
    </row>
    <row r="85" spans="1:31" ht="21.25" customHeight="1" x14ac:dyDescent="0.15">
      <c r="A85" s="10" t="s">
        <v>240</v>
      </c>
      <c r="B85" s="18" t="str" cm="1">
        <f t="array" ref="B85">VLOOKUP(A85,'Player Data'!A1:B673,2,FALSE)</f>
        <v>NYR</v>
      </c>
      <c r="C85" s="52" cm="1">
        <f t="array" ref="C85">((E85)*Settings!$C$12)+(F85*Settings!$C$2)+(G85*Settings!$C$3)+(H85*Settings!$C$4)+(I85*Settings!$C$5)+(K85*Settings!$C$9)+(N85*Settings!$C$6)+(J85*Settings!$C$8)+(O85*Settings!$C$7)+(P85*Settings!$C$14)+(Q85*Settings!$C$15)+(R85*Settings!$C$16)+(S85*Settings!$C$17)+(T85*Settings!$C$18)+(U85*Settings!$C$19)+(L85*Settings!$C$10)+(Settings!$C$11*M85)</f>
        <v>5.4906433599230553</v>
      </c>
      <c r="D85" s="57" cm="1">
        <f t="array" ref="D85">IF(Settings!$E$12="YES",VLOOKUP(A85,'Player Data'!A1:E673,5,FALSE),82)</f>
        <v>80.53</v>
      </c>
      <c r="E85" s="55" cm="1">
        <f t="array" ref="E85">(VLOOKUP($A85,'The List'!$B1:$AH671,17,FALSE)-AVERAGE('The List'!R2:R671))/STDEV('The List'!R2:R671)</f>
        <v>0.20824520152827497</v>
      </c>
      <c r="F85" s="55" cm="1">
        <f t="array" ref="F85">(VLOOKUP($A85,'The List'!$B1:$AH671,18,FALSE)-AVERAGE('The List'!S2:S671))/STDEV('The List'!S2:S671)</f>
        <v>2.2901434472739788</v>
      </c>
      <c r="G85" s="55" cm="1">
        <f t="array" ref="G85">(VLOOKUP($A85,'The List'!$B1:$AH671,19,FALSE)-AVERAGE('The List'!T2:T671))/STDEV('The List'!T2:T671)</f>
        <v>0.22108551318204456</v>
      </c>
      <c r="H85" s="55" cm="1">
        <f t="array" ref="H85">(VLOOKUP($A85,'The List'!$B1:$AH671,20,FALSE)-AVERAGE('The List'!U2:U671))/STDEV('The List'!U2:U671)</f>
        <v>1.1551484501783833</v>
      </c>
      <c r="I85" s="55" cm="1">
        <f t="array" ref="I85">(VLOOKUP($A85,'The List'!$B1:$AH671,21,FALSE)-AVERAGE('The List'!V2:V671))/STDEV('The List'!V2:V671)</f>
        <v>1.8243724784544613</v>
      </c>
      <c r="J85" s="55" cm="1">
        <f t="array" ref="J85">(VLOOKUP($A85,'The List'!$B1:$AH671,22,FALSE)-AVERAGE('The List'!W2:W671))/STDEV('The List'!W2:W671)</f>
        <v>4.1689016872532116</v>
      </c>
      <c r="K85" s="55" cm="1">
        <f t="array" ref="K85">(VLOOKUP($A85,'The List'!$B1:$AH671,23,FALSE)-AVERAGE('The List'!X2:X671))/STDEV('The List'!X2:X671)</f>
        <v>1.9825939874733574</v>
      </c>
      <c r="L85" s="55" cm="1">
        <f t="array" ref="L85">(VLOOKUP($A85,'The List'!$B1:$AH671,24,FALSE)-AVERAGE('The List'!Y2:Y671))/STDEV('The List'!Y2:Y671)</f>
        <v>-0.56043571755213983</v>
      </c>
      <c r="M85" s="55" cm="1">
        <f t="array" ref="M85">(VLOOKUP($A85,'The List'!$B1:$AH671,25,FALSE)-AVERAGE('The List'!Z2:Z671))/STDEV('The List'!Z2:Z671)</f>
        <v>-0.70240483349614657</v>
      </c>
      <c r="N85" s="55" cm="1">
        <f t="array" ref="N85">(VLOOKUP($A85,'The List'!$B1:$AH671,26,FALSE)-AVERAGE('The List'!AA2:AA671))/STDEV('The List'!AA2:AA671)</f>
        <v>-0.81493554673900304</v>
      </c>
      <c r="O85" s="55" cm="1">
        <f t="array" ref="O85">(VLOOKUP($A85,'The List'!$B1:$AH671,27,FALSE)-AVERAGE('The List'!AB2:AB671))/STDEV('The List'!AB2:AB671)</f>
        <v>-1.0643826212787992</v>
      </c>
      <c r="P85" s="55" cm="1">
        <f t="array" ref="P85">(VLOOKUP($A85,'The List'!$B1:$AH671,28,FALSE)-AVERAGE('The List'!AC2:AC671))/STDEV('The List'!AC2:AC671)</f>
        <v>0.25554671974517673</v>
      </c>
      <c r="Q85" s="55" cm="1">
        <f t="array" ref="Q85">(VLOOKUP($A85,'The List'!$B1:$AH671,29,FALSE)-AVERAGE('The List'!AD2:AD671))/STDEV('The List'!AD2:AD671)</f>
        <v>-0.26816323946696041</v>
      </c>
      <c r="R85" s="55" cm="1">
        <f t="array" ref="R85">(VLOOKUP($A85,'The List'!$B1:$AH671,30,FALSE)-AVERAGE('The List'!AE2:AE671))/STDEV('The List'!AE2:AE671)</f>
        <v>2.261419511370593</v>
      </c>
      <c r="S85" s="55" cm="1">
        <f t="array" ref="S85">(VLOOKUP($A85,'The List'!$B1:$AH671,31,FALSE)-AVERAGE('The List'!AF2:AF671))/STDEV('The List'!AF2:AF671)</f>
        <v>-0.59145881521497923</v>
      </c>
      <c r="T85" s="55" cm="1">
        <f t="array" ref="T85">(VLOOKUP($A85,'The List'!$B1:$AH671,32,FALSE)-AVERAGE('The List'!AG2:AG671))/STDEV('The List'!AG2:AG671)</f>
        <v>-0.62879793453407073</v>
      </c>
      <c r="U85" s="55" cm="1">
        <f t="array" ref="U85">(VLOOKUP($A85,'The List'!$B1:$AH671,33,FALSE)-AVERAGE('The List'!AH2:AH671))/STDEV('The List'!AH2:AH671)</f>
        <v>-0.63727710649835045</v>
      </c>
      <c r="V85" s="55"/>
      <c r="W85" s="57"/>
      <c r="X85" s="55"/>
      <c r="Y85" s="55"/>
      <c r="Z85" s="55"/>
      <c r="AA85" s="55"/>
      <c r="AB85" s="55"/>
      <c r="AC85" s="55"/>
      <c r="AD85" s="55"/>
      <c r="AE85" s="55"/>
    </row>
    <row r="86" spans="1:31" ht="21.25" customHeight="1" x14ac:dyDescent="0.15">
      <c r="A86" s="10" t="s">
        <v>170</v>
      </c>
      <c r="B86" s="18" t="str" cm="1">
        <f t="array" ref="B86">VLOOKUP(A86,'Player Data'!A1:B673,2,FALSE)</f>
        <v>VGK</v>
      </c>
      <c r="C86" s="52" cm="1">
        <f t="array" ref="C86">((E86)*Settings!$C$12)+(F86*Settings!$C$2)+(G86*Settings!$C$3)+(H86*Settings!$C$4)+(I86*Settings!$C$5)+(K86*Settings!$C$9)+(N86*Settings!$C$6)+(J86*Settings!$C$8)+(O86*Settings!$C$7)+(P86*Settings!$C$14)+(Q86*Settings!$C$15)+(R86*Settings!$C$16)+(S86*Settings!$C$17)+(T86*Settings!$C$18)+(U86*Settings!$C$19)+(L86*Settings!$C$10)+(Settings!$C$11*M86)</f>
        <v>5.4831074655242196</v>
      </c>
      <c r="D86" s="57" cm="1">
        <f t="array" ref="D86">IF(Settings!$E$12="YES",VLOOKUP(A86,'Player Data'!A1:E673,5,FALSE),82)</f>
        <v>76.337500000000006</v>
      </c>
      <c r="E86" s="55" cm="1">
        <f t="array" ref="E86">(VLOOKUP($A86,'The List'!$B1:$AH671,17,FALSE)-AVERAGE('The List'!R2:R671))/STDEV('The List'!R2:R671)</f>
        <v>2.0423454180925287</v>
      </c>
      <c r="F86" s="55" cm="1">
        <f t="array" ref="F86">(VLOOKUP($A86,'The List'!$B1:$AH671,18,FALSE)-AVERAGE('The List'!S2:S671))/STDEV('The List'!S2:S671)</f>
        <v>-0.4482334481941358</v>
      </c>
      <c r="G86" s="55" cm="1">
        <f t="array" ref="G86">(VLOOKUP($A86,'The List'!$B1:$AH671,19,FALSE)-AVERAGE('The List'!T2:T671))/STDEV('The List'!T2:T671)</f>
        <v>1.9025168047547913</v>
      </c>
      <c r="H86" s="55" cm="1">
        <f t="array" ref="H86">(VLOOKUP($A86,'The List'!$B1:$AH671,20,FALSE)-AVERAGE('The List'!U2:U671))/STDEV('The List'!U2:U671)</f>
        <v>0.99780159779413535</v>
      </c>
      <c r="I86" s="55" cm="1">
        <f t="array" ref="I86">(VLOOKUP($A86,'The List'!$B1:$AH671,21,FALSE)-AVERAGE('The List'!V2:V671))/STDEV('The List'!V2:V671)</f>
        <v>0.47754558047648149</v>
      </c>
      <c r="J86" s="55" cm="1">
        <f t="array" ref="J86">(VLOOKUP($A86,'The List'!$B1:$AH671,22,FALSE)-AVERAGE('The List'!W2:W671))/STDEV('The List'!W2:W671)</f>
        <v>0.17582110508371657</v>
      </c>
      <c r="K86" s="55" cm="1">
        <f t="array" ref="K86">(VLOOKUP($A86,'The List'!$B1:$AH671,23,FALSE)-AVERAGE('The List'!X2:X671))/STDEV('The List'!X2:X671)</f>
        <v>1.4205456604214801</v>
      </c>
      <c r="L86" s="55" cm="1">
        <f t="array" ref="L86">(VLOOKUP($A86,'The List'!$B1:$AH671,24,FALSE)-AVERAGE('The List'!Y2:Y671))/STDEV('The List'!Y2:Y671)</f>
        <v>-0.52054953137418591</v>
      </c>
      <c r="M86" s="55" cm="1">
        <f t="array" ref="M86">(VLOOKUP($A86,'The List'!$B1:$AH671,25,FALSE)-AVERAGE('The List'!Z2:Z671))/STDEV('The List'!Z2:Z671)</f>
        <v>-0.60276960001810975</v>
      </c>
      <c r="N86" s="55" cm="1">
        <f t="array" ref="N86">(VLOOKUP($A86,'The List'!$B1:$AH671,26,FALSE)-AVERAGE('The List'!AA2:AA671))/STDEV('The List'!AA2:AA671)</f>
        <v>0.95360568060303053</v>
      </c>
      <c r="O86" s="55" cm="1">
        <f t="array" ref="O86">(VLOOKUP($A86,'The List'!$B1:$AH671,27,FALSE)-AVERAGE('The List'!AB2:AB671))/STDEV('The List'!AB2:AB671)</f>
        <v>-1.4419221470260111</v>
      </c>
      <c r="P86" s="55" cm="1">
        <f t="array" ref="P86">(VLOOKUP($A86,'The List'!$B1:$AH671,28,FALSE)-AVERAGE('The List'!AC2:AC671))/STDEV('The List'!AC2:AC671)</f>
        <v>1.3344999640730211</v>
      </c>
      <c r="Q86" s="55" cm="1">
        <f t="array" ref="Q86">(VLOOKUP($A86,'The List'!$B1:$AH671,29,FALSE)-AVERAGE('The List'!AD2:AD671))/STDEV('The List'!AD2:AD671)</f>
        <v>-0.15737277661044852</v>
      </c>
      <c r="R86" s="55" cm="1">
        <f t="array" ref="R86">(VLOOKUP($A86,'The List'!$B1:$AH671,30,FALSE)-AVERAGE('The List'!AE2:AE671))/STDEV('The List'!AE2:AE671)</f>
        <v>-0.23278124809725625</v>
      </c>
      <c r="S86" s="55" cm="1">
        <f t="array" ref="S86">(VLOOKUP($A86,'The List'!$B1:$AH671,31,FALSE)-AVERAGE('The List'!AF2:AF671))/STDEV('The List'!AF2:AF671)</f>
        <v>-0.5939690971349143</v>
      </c>
      <c r="T86" s="55" cm="1">
        <f t="array" ref="T86">(VLOOKUP($A86,'The List'!$B1:$AH671,32,FALSE)-AVERAGE('The List'!AG2:AG671))/STDEV('The List'!AG2:AG671)</f>
        <v>-0.64602208138248207</v>
      </c>
      <c r="U86" s="55" cm="1">
        <f t="array" ref="U86">(VLOOKUP($A86,'The List'!$B1:$AH671,33,FALSE)-AVERAGE('The List'!AH2:AH671))/STDEV('The List'!AH2:AH671)</f>
        <v>-1.2548938914719048</v>
      </c>
      <c r="V86" s="55"/>
      <c r="W86" s="78"/>
      <c r="X86" s="57"/>
      <c r="Y86" s="57"/>
      <c r="Z86" s="57"/>
      <c r="AA86" s="57"/>
      <c r="AB86" s="57"/>
      <c r="AC86" s="60"/>
      <c r="AD86" s="61"/>
      <c r="AE86" s="55"/>
    </row>
    <row r="87" spans="1:31" ht="21.25" customHeight="1" x14ac:dyDescent="0.15">
      <c r="A87" s="10" t="s">
        <v>271</v>
      </c>
      <c r="B87" s="18" t="str" cm="1">
        <f t="array" ref="B87">VLOOKUP(A87,'Player Data'!A1:B673,2,FALSE)</f>
        <v>EDM</v>
      </c>
      <c r="C87" s="52" cm="1">
        <f t="array" ref="C87">((E87)*Settings!$C$12)+(F87*Settings!$C$2)+(G87*Settings!$C$3)+(H87*Settings!$C$4)+(I87*Settings!$C$5)+(K87*Settings!$C$9)+(N87*Settings!$C$6)+(J87*Settings!$C$8)+(O87*Settings!$C$7)+(P87*Settings!$C$14)+(Q87*Settings!$C$15)+(R87*Settings!$C$16)+(S87*Settings!$C$17)+(T87*Settings!$C$18)+(U87*Settings!$C$19)+(L87*Settings!$C$10)+(Settings!$C$11*M87)</f>
        <v>7.0008688448509817</v>
      </c>
      <c r="D87" s="57" cm="1">
        <f t="array" ref="D87">IF(Settings!$E$12="YES",VLOOKUP(A87,'Player Data'!A1:E673,5,FALSE),82)</f>
        <v>78.332499999999996</v>
      </c>
      <c r="E87" s="55" cm="1">
        <f t="array" ref="E87">(VLOOKUP($A87,'The List'!$B1:$AH671,17,FALSE)-AVERAGE('The List'!R2:R671))/STDEV('The List'!R2:R671)</f>
        <v>0.79997058694180345</v>
      </c>
      <c r="F87" s="55" cm="1">
        <f t="array" ref="F87">(VLOOKUP($A87,'The List'!$B1:$AH671,18,FALSE)-AVERAGE('The List'!S2:S671))/STDEV('The List'!S2:S671)</f>
        <v>2.265454088300181</v>
      </c>
      <c r="G87" s="55" cm="1">
        <f t="array" ref="G87">(VLOOKUP($A87,'The List'!$B1:$AH671,19,FALSE)-AVERAGE('The List'!T2:T671))/STDEV('The List'!T2:T671)</f>
        <v>9.6705852185784105E-2</v>
      </c>
      <c r="H87" s="55" cm="1">
        <f t="array" ref="H87">(VLOOKUP($A87,'The List'!$B1:$AH671,20,FALSE)-AVERAGE('The List'!U2:U671))/STDEV('The List'!U2:U671)</f>
        <v>1.0659601684200077</v>
      </c>
      <c r="I87" s="55" cm="1">
        <f t="array" ref="I87">(VLOOKUP($A87,'The List'!$B1:$AH671,21,FALSE)-AVERAGE('The List'!V2:V671))/STDEV('The List'!V2:V671)</f>
        <v>1.783760794687451</v>
      </c>
      <c r="J87" s="55" cm="1">
        <f t="array" ref="J87">(VLOOKUP($A87,'The List'!$B1:$AH671,22,FALSE)-AVERAGE('The List'!W2:W671))/STDEV('The List'!W2:W671)</f>
        <v>2.5593538368181314</v>
      </c>
      <c r="K87" s="55" cm="1">
        <f t="array" ref="K87">(VLOOKUP($A87,'The List'!$B1:$AH671,23,FALSE)-AVERAGE('The List'!X2:X671))/STDEV('The List'!X2:X671)</f>
        <v>1.1904035732661531</v>
      </c>
      <c r="L87" s="55" cm="1">
        <f t="array" ref="L87">(VLOOKUP($A87,'The List'!$B1:$AH671,24,FALSE)-AVERAGE('The List'!Y2:Y671))/STDEV('The List'!Y2:Y671)</f>
        <v>-0.35487366341851329</v>
      </c>
      <c r="M87" s="55" cm="1">
        <f t="array" ref="M87">(VLOOKUP($A87,'The List'!$B1:$AH671,25,FALSE)-AVERAGE('The List'!Z2:Z671))/STDEV('The List'!Z2:Z671)</f>
        <v>-0.50313154367561963</v>
      </c>
      <c r="N87" s="55" cm="1">
        <f t="array" ref="N87">(VLOOKUP($A87,'The List'!$B1:$AH671,26,FALSE)-AVERAGE('The List'!AA2:AA671))/STDEV('The List'!AA2:AA671)</f>
        <v>-0.90296338942131171</v>
      </c>
      <c r="O87" s="55" cm="1">
        <f t="array" ref="O87">(VLOOKUP($A87,'The List'!$B1:$AH671,27,FALSE)-AVERAGE('The List'!AB2:AB671))/STDEV('The List'!AB2:AB671)</f>
        <v>-0.33876732452870184</v>
      </c>
      <c r="P87" s="55" cm="1">
        <f t="array" ref="P87">(VLOOKUP($A87,'The List'!$B1:$AH671,28,FALSE)-AVERAGE('The List'!AC2:AC671))/STDEV('The List'!AC2:AC671)</f>
        <v>1.9992468470656382</v>
      </c>
      <c r="Q87" s="55" cm="1">
        <f t="array" ref="Q87">(VLOOKUP($A87,'The List'!$B1:$AH671,29,FALSE)-AVERAGE('The List'!AD2:AD671))/STDEV('The List'!AD2:AD671)</f>
        <v>0.56826107876708642</v>
      </c>
      <c r="R87" s="55" cm="1">
        <f t="array" ref="R87">(VLOOKUP($A87,'The List'!$B1:$AH671,30,FALSE)-AVERAGE('The List'!AE2:AE671))/STDEV('The List'!AE2:AE671)</f>
        <v>2.6561918805486848</v>
      </c>
      <c r="S87" s="55" cm="1">
        <f t="array" ref="S87">(VLOOKUP($A87,'The List'!$B1:$AH671,31,FALSE)-AVERAGE('The List'!AF2:AF671))/STDEV('The List'!AF2:AF671)</f>
        <v>-0.58800140918451127</v>
      </c>
      <c r="T87" s="55" cm="1">
        <f t="array" ref="T87">(VLOOKUP($A87,'The List'!$B1:$AH671,32,FALSE)-AVERAGE('The List'!AG2:AG671))/STDEV('The List'!AG2:AG671)</f>
        <v>-0.62854698460857927</v>
      </c>
      <c r="U87" s="55" cm="1">
        <f t="array" ref="U87">(VLOOKUP($A87,'The List'!$B1:$AH671,33,FALSE)-AVERAGE('The List'!AH2:AH671))/STDEV('The List'!AH2:AH671)</f>
        <v>-2.8952824833953887E-2</v>
      </c>
      <c r="V87" s="55"/>
      <c r="W87" s="78"/>
      <c r="X87" s="57"/>
      <c r="Y87" s="57"/>
      <c r="Z87" s="57"/>
      <c r="AA87" s="57"/>
      <c r="AB87" s="57"/>
      <c r="AC87" s="60"/>
      <c r="AD87" s="61"/>
      <c r="AE87" s="55"/>
    </row>
    <row r="88" spans="1:31" ht="21.25" customHeight="1" x14ac:dyDescent="0.15">
      <c r="A88" s="10" t="s">
        <v>282</v>
      </c>
      <c r="B88" s="18" t="str" cm="1">
        <f t="array" ref="B88">VLOOKUP(A88,'Player Data'!A1:B673,2,FALSE)</f>
        <v>OTT</v>
      </c>
      <c r="C88" s="52" cm="1">
        <f t="array" ref="C88">((E88)*Settings!$C$12)+(F88*Settings!$C$2)+(G88*Settings!$C$3)+(H88*Settings!$C$4)+(I88*Settings!$C$5)+(K88*Settings!$C$9)+(N88*Settings!$C$6)+(J88*Settings!$C$8)+(O88*Settings!$C$7)+(P88*Settings!$C$14)+(Q88*Settings!$C$15)+(R88*Settings!$C$16)+(S88*Settings!$C$17)+(T88*Settings!$C$18)+(U88*Settings!$C$19)+(L88*Settings!$C$10)+(Settings!$C$11*M88)</f>
        <v>4.3934263737130319</v>
      </c>
      <c r="D88" s="57" cm="1">
        <f t="array" ref="D88">IF(Settings!$E$12="YES",VLOOKUP(A88,'Player Data'!A1:E673,5,FALSE),82)</f>
        <v>83.497500000000002</v>
      </c>
      <c r="E88" s="55" cm="1">
        <f t="array" ref="E88">(VLOOKUP($A88,'The List'!$B1:$AH671,17,FALSE)-AVERAGE('The List'!R2:R671))/STDEV('The List'!R2:R671)</f>
        <v>-2.8943556208409826E-2</v>
      </c>
      <c r="F88" s="55" cm="1">
        <f t="array" ref="F88">(VLOOKUP($A88,'The List'!$B1:$AH671,18,FALSE)-AVERAGE('The List'!S2:S671))/STDEV('The List'!S2:S671)</f>
        <v>1.4108860947556465</v>
      </c>
      <c r="G88" s="55" cm="1">
        <f t="array" ref="G88">(VLOOKUP($A88,'The List'!$B1:$AH671,19,FALSE)-AVERAGE('The List'!T2:T671))/STDEV('The List'!T2:T671)</f>
        <v>0.98138317437512457</v>
      </c>
      <c r="H88" s="55" cm="1">
        <f t="array" ref="H88">(VLOOKUP($A88,'The List'!$B1:$AH671,20,FALSE)-AVERAGE('The List'!U2:U671))/STDEV('The List'!U2:U671)</f>
        <v>1.2432643054650574</v>
      </c>
      <c r="I88" s="55" cm="1">
        <f t="array" ref="I88">(VLOOKUP($A88,'The List'!$B1:$AH671,21,FALSE)-AVERAGE('The List'!V2:V671))/STDEV('The List'!V2:V671)</f>
        <v>0.78737292779813783</v>
      </c>
      <c r="J88" s="55" cm="1">
        <f t="array" ref="J88">(VLOOKUP($A88,'The List'!$B1:$AH671,22,FALSE)-AVERAGE('The List'!W2:W671))/STDEV('The List'!W2:W671)</f>
        <v>2.2908982425926814</v>
      </c>
      <c r="K88" s="55" cm="1">
        <f t="array" ref="K88">(VLOOKUP($A88,'The List'!$B1:$AH671,23,FALSE)-AVERAGE('The List'!X2:X671))/STDEV('The List'!X2:X671)</f>
        <v>1.91701890689319</v>
      </c>
      <c r="L88" s="55" cm="1">
        <f t="array" ref="L88">(VLOOKUP($A88,'The List'!$B1:$AH671,24,FALSE)-AVERAGE('The List'!Y2:Y671))/STDEV('The List'!Y2:Y671)</f>
        <v>-0.5547151126273373</v>
      </c>
      <c r="M88" s="55" cm="1">
        <f t="array" ref="M88">(VLOOKUP($A88,'The List'!$B1:$AH671,25,FALSE)-AVERAGE('The List'!Z2:Z671))/STDEV('The List'!Z2:Z671)</f>
        <v>-0.69675937909057017</v>
      </c>
      <c r="N88" s="55" cm="1">
        <f t="array" ref="N88">(VLOOKUP($A88,'The List'!$B1:$AH671,26,FALSE)-AVERAGE('The List'!AA2:AA671))/STDEV('The List'!AA2:AA671)</f>
        <v>-0.94904674499126518</v>
      </c>
      <c r="O88" s="55" cm="1">
        <f t="array" ref="O88">(VLOOKUP($A88,'The List'!$B1:$AH671,27,FALSE)-AVERAGE('The List'!AB2:AB671))/STDEV('The List'!AB2:AB671)</f>
        <v>0.72738364399638911</v>
      </c>
      <c r="P88" s="55" cm="1">
        <f t="array" ref="P88">(VLOOKUP($A88,'The List'!$B1:$AH671,28,FALSE)-AVERAGE('The List'!AC2:AC671))/STDEV('The List'!AC2:AC671)</f>
        <v>0.31289540916476632</v>
      </c>
      <c r="Q88" s="55" cm="1">
        <f t="array" ref="Q88">(VLOOKUP($A88,'The List'!$B1:$AH671,29,FALSE)-AVERAGE('The List'!AD2:AD671))/STDEV('The List'!AD2:AD671)</f>
        <v>-6.7083394282568098E-2</v>
      </c>
      <c r="R88" s="55" cm="1">
        <f t="array" ref="R88">(VLOOKUP($A88,'The List'!$B1:$AH671,30,FALSE)-AVERAGE('The List'!AE2:AE671))/STDEV('The List'!AE2:AE671)</f>
        <v>1.7508041672657733</v>
      </c>
      <c r="S88" s="55" cm="1">
        <f t="array" ref="S88">(VLOOKUP($A88,'The List'!$B1:$AH671,31,FALSE)-AVERAGE('The List'!AF2:AF671))/STDEV('The List'!AF2:AF671)</f>
        <v>-0.5118378464204757</v>
      </c>
      <c r="T88" s="55" cm="1">
        <f t="array" ref="T88">(VLOOKUP($A88,'The List'!$B1:$AH671,32,FALSE)-AVERAGE('The List'!AG2:AG671))/STDEV('The List'!AG2:AG671)</f>
        <v>-0.56191895914598755</v>
      </c>
      <c r="U88" s="55" cm="1">
        <f t="array" ref="U88">(VLOOKUP($A88,'The List'!$B1:$AH671,33,FALSE)-AVERAGE('The List'!AH2:AH671))/STDEV('The List'!AH2:AH671)</f>
        <v>1.0886054810535368</v>
      </c>
      <c r="V88" s="55"/>
      <c r="W88" s="78"/>
      <c r="X88" s="57"/>
      <c r="Y88" s="57"/>
      <c r="Z88" s="57"/>
      <c r="AA88" s="57"/>
      <c r="AB88" s="57"/>
      <c r="AC88" s="60"/>
      <c r="AD88" s="61"/>
      <c r="AE88" s="55"/>
    </row>
    <row r="89" spans="1:31" ht="21.25" customHeight="1" x14ac:dyDescent="0.15">
      <c r="A89" s="10" t="s">
        <v>269</v>
      </c>
      <c r="B89" s="18" t="str" cm="1">
        <f t="array" ref="B89">VLOOKUP(A89,'Player Data'!A1:B673,2,FALSE)</f>
        <v>TOR</v>
      </c>
      <c r="C89" s="52" cm="1">
        <f t="array" ref="C89">((E89)*Settings!$C$12)+(F89*Settings!$C$2)+(G89*Settings!$C$3)+(H89*Settings!$C$4)+(I89*Settings!$C$5)+(K89*Settings!$C$9)+(N89*Settings!$C$6)+(J89*Settings!$C$8)+(O89*Settings!$C$7)+(P89*Settings!$C$14)+(Q89*Settings!$C$15)+(R89*Settings!$C$16)+(S89*Settings!$C$17)+(T89*Settings!$C$18)+(U89*Settings!$C$19)+(L89*Settings!$C$10)+(Settings!$C$11*M89)</f>
        <v>3.9745011152956082</v>
      </c>
      <c r="D89" s="57" cm="1">
        <f t="array" ref="D89">IF(Settings!$E$12="YES",VLOOKUP(A89,'Player Data'!A1:E673,5,FALSE),82)</f>
        <v>82.867500000000007</v>
      </c>
      <c r="E89" s="55" cm="1">
        <f t="array" ref="E89">(VLOOKUP($A89,'The List'!$B1:$AH671,17,FALSE)-AVERAGE('The List'!R2:R671))/STDEV('The List'!R2:R671)</f>
        <v>0.2372622271427009</v>
      </c>
      <c r="F89" s="55" cm="1">
        <f t="array" ref="F89">(VLOOKUP($A89,'The List'!$B1:$AH671,18,FALSE)-AVERAGE('The List'!S2:S671))/STDEV('The List'!S2:S671)</f>
        <v>1.5270349281108182</v>
      </c>
      <c r="G89" s="55" cm="1">
        <f t="array" ref="G89">(VLOOKUP($A89,'The List'!$B1:$AH671,19,FALSE)-AVERAGE('The List'!T2:T671))/STDEV('The List'!T2:T671)</f>
        <v>0.84725126411607132</v>
      </c>
      <c r="H89" s="55" cm="1">
        <f t="array" ref="H89">(VLOOKUP($A89,'The List'!$B1:$AH671,20,FALSE)-AVERAGE('The List'!U2:U671))/STDEV('The List'!U2:U671)</f>
        <v>1.2104287526337203</v>
      </c>
      <c r="I89" s="55" cm="1">
        <f t="array" ref="I89">(VLOOKUP($A89,'The List'!$B1:$AH671,21,FALSE)-AVERAGE('The List'!V2:V671))/STDEV('The List'!V2:V671)</f>
        <v>1.2880990934179435</v>
      </c>
      <c r="J89" s="55" cm="1">
        <f t="array" ref="J89">(VLOOKUP($A89,'The List'!$B1:$AH671,22,FALSE)-AVERAGE('The List'!W2:W671))/STDEV('The List'!W2:W671)</f>
        <v>1.3671679910130721</v>
      </c>
      <c r="K89" s="55" cm="1">
        <f t="array" ref="K89">(VLOOKUP($A89,'The List'!$B1:$AH671,23,FALSE)-AVERAGE('The List'!X2:X671))/STDEV('The List'!X2:X671)</f>
        <v>0.64142469472161823</v>
      </c>
      <c r="L89" s="55" cm="1">
        <f t="array" ref="L89">(VLOOKUP($A89,'The List'!$B1:$AH671,24,FALSE)-AVERAGE('The List'!Y2:Y671))/STDEV('The List'!Y2:Y671)</f>
        <v>-0.54836129899346897</v>
      </c>
      <c r="M89" s="55" cm="1">
        <f t="array" ref="M89">(VLOOKUP($A89,'The List'!$B1:$AH671,25,FALSE)-AVERAGE('The List'!Z2:Z671))/STDEV('The List'!Z2:Z671)</f>
        <v>-0.69046077891043578</v>
      </c>
      <c r="N89" s="55" cm="1">
        <f t="array" ref="N89">(VLOOKUP($A89,'The List'!$B1:$AH671,26,FALSE)-AVERAGE('The List'!AA2:AA671))/STDEV('The List'!AA2:AA671)</f>
        <v>-0.79116123254449744</v>
      </c>
      <c r="O89" s="55" cm="1">
        <f t="array" ref="O89">(VLOOKUP($A89,'The List'!$B1:$AH671,27,FALSE)-AVERAGE('The List'!AB2:AB671))/STDEV('The List'!AB2:AB671)</f>
        <v>-9.154811788801677E-2</v>
      </c>
      <c r="P89" s="55" cm="1">
        <f t="array" ref="P89">(VLOOKUP($A89,'The List'!$B1:$AH671,28,FALSE)-AVERAGE('The List'!AC2:AC671))/STDEV('The List'!AC2:AC671)</f>
        <v>0.239690772757082</v>
      </c>
      <c r="Q89" s="55" cm="1">
        <f t="array" ref="Q89">(VLOOKUP($A89,'The List'!$B1:$AH671,29,FALSE)-AVERAGE('The List'!AD2:AD671))/STDEV('The List'!AD2:AD671)</f>
        <v>0.22216159471657218</v>
      </c>
      <c r="R89" s="55" cm="1">
        <f t="array" ref="R89">(VLOOKUP($A89,'The List'!$B1:$AH671,30,FALSE)-AVERAGE('The List'!AE2:AE671))/STDEV('The List'!AE2:AE671)</f>
        <v>1.140172146425249</v>
      </c>
      <c r="S89" s="55" cm="1">
        <f t="array" ref="S89">(VLOOKUP($A89,'The List'!$B1:$AH671,31,FALSE)-AVERAGE('The List'!AF2:AF671))/STDEV('The List'!AF2:AF671)</f>
        <v>3.231093019361555</v>
      </c>
      <c r="T89" s="55" cm="1">
        <f t="array" ref="T89">(VLOOKUP($A89,'The List'!$B1:$AH671,32,FALSE)-AVERAGE('The List'!AG2:AG671))/STDEV('The List'!AG2:AG671)</f>
        <v>2.2762578205535111</v>
      </c>
      <c r="U89" s="55" cm="1">
        <f t="array" ref="U89">(VLOOKUP($A89,'The List'!$B1:$AH671,33,FALSE)-AVERAGE('The List'!AH2:AH671))/STDEV('The List'!AH2:AH671)</f>
        <v>1.4217902007123642</v>
      </c>
      <c r="V89" s="55"/>
      <c r="W89" s="57"/>
      <c r="X89" s="57"/>
      <c r="Y89" s="57"/>
      <c r="Z89" s="57"/>
      <c r="AA89" s="57"/>
      <c r="AB89" s="57"/>
      <c r="AC89" s="60"/>
      <c r="AD89" s="61"/>
      <c r="AE89" s="55"/>
    </row>
    <row r="90" spans="1:31" ht="21.25" customHeight="1" x14ac:dyDescent="0.15">
      <c r="A90" s="10" t="s">
        <v>254</v>
      </c>
      <c r="B90" s="18" t="str" cm="1">
        <f t="array" ref="B90">VLOOKUP(A90,'Player Data'!A1:B673,2,FALSE)</f>
        <v>NSH</v>
      </c>
      <c r="C90" s="52" cm="1">
        <f t="array" ref="C90">((E90)*Settings!$C$12)+(F90*Settings!$C$2)+(G90*Settings!$C$3)+(H90*Settings!$C$4)+(I90*Settings!$C$5)+(K90*Settings!$C$9)+(N90*Settings!$C$6)+(J90*Settings!$C$8)+(O90*Settings!$C$7)+(P90*Settings!$C$14)+(Q90*Settings!$C$15)+(R90*Settings!$C$16)+(S90*Settings!$C$17)+(T90*Settings!$C$18)+(U90*Settings!$C$19)+(L90*Settings!$C$10)+(Settings!$C$11*M90)</f>
        <v>3.3153282049790631</v>
      </c>
      <c r="D90" s="57" cm="1">
        <f t="array" ref="D90">IF(Settings!$E$12="YES",VLOOKUP(A90,'Player Data'!A1:E673,5,FALSE),82)</f>
        <v>83.44</v>
      </c>
      <c r="E90" s="55" cm="1">
        <f t="array" ref="E90">(VLOOKUP($A90,'The List'!$B1:$AH671,17,FALSE)-AVERAGE('The List'!R2:R671))/STDEV('The List'!R2:R671)</f>
        <v>0.9534206258078074</v>
      </c>
      <c r="F90" s="55" cm="1">
        <f t="array" ref="F90">(VLOOKUP($A90,'The List'!$B1:$AH671,18,FALSE)-AVERAGE('The List'!S2:S671))/STDEV('The List'!S2:S671)</f>
        <v>0.9170417104698233</v>
      </c>
      <c r="G90" s="55" cm="1">
        <f t="array" ref="G90">(VLOOKUP($A90,'The List'!$B1:$AH671,19,FALSE)-AVERAGE('The List'!T2:T671))/STDEV('The List'!T2:T671)</f>
        <v>1.2584059227541953</v>
      </c>
      <c r="H90" s="55" cm="1">
        <f t="array" ref="H90">(VLOOKUP($A90,'The List'!$B1:$AH671,20,FALSE)-AVERAGE('The List'!U2:U671))/STDEV('The List'!U2:U671)</f>
        <v>1.1984021414410642</v>
      </c>
      <c r="I90" s="55" cm="1">
        <f t="array" ref="I90">(VLOOKUP($A90,'The List'!$B1:$AH671,21,FALSE)-AVERAGE('The List'!V2:V671))/STDEV('The List'!V2:V671)</f>
        <v>0.688094917177554</v>
      </c>
      <c r="J90" s="55" cm="1">
        <f t="array" ref="J90">(VLOOKUP($A90,'The List'!$B1:$AH671,22,FALSE)-AVERAGE('The List'!W2:W671))/STDEV('The List'!W2:W671)</f>
        <v>1.1947608385528738</v>
      </c>
      <c r="K90" s="55" cm="1">
        <f t="array" ref="K90">(VLOOKUP($A90,'The List'!$B1:$AH671,23,FALSE)-AVERAGE('The List'!X2:X671))/STDEV('The List'!X2:X671)</f>
        <v>1.1230806363925587</v>
      </c>
      <c r="L90" s="55" cm="1">
        <f t="array" ref="L90">(VLOOKUP($A90,'The List'!$B1:$AH671,24,FALSE)-AVERAGE('The List'!Y2:Y671))/STDEV('The List'!Y2:Y671)</f>
        <v>1.6122413357585037</v>
      </c>
      <c r="M90" s="55" cm="1">
        <f t="array" ref="M90">(VLOOKUP($A90,'The List'!$B1:$AH671,25,FALSE)-AVERAGE('The List'!Z2:Z671))/STDEV('The List'!Z2:Z671)</f>
        <v>1.3636530657909176</v>
      </c>
      <c r="N90" s="55" cm="1">
        <f t="array" ref="N90">(VLOOKUP($A90,'The List'!$B1:$AH671,26,FALSE)-AVERAGE('The List'!AA2:AA671))/STDEV('The List'!AA2:AA671)</f>
        <v>0.1491363046616119</v>
      </c>
      <c r="O90" s="55" cm="1">
        <f t="array" ref="O90">(VLOOKUP($A90,'The List'!$B1:$AH671,27,FALSE)-AVERAGE('The List'!AB2:AB671))/STDEV('The List'!AB2:AB671)</f>
        <v>-1.2847747238319209</v>
      </c>
      <c r="P90" s="55" cm="1">
        <f t="array" ref="P90">(VLOOKUP($A90,'The List'!$B1:$AH671,28,FALSE)-AVERAGE('The List'!AC2:AC671))/STDEV('The List'!AC2:AC671)</f>
        <v>-0.3747341253006965</v>
      </c>
      <c r="Q90" s="55" cm="1">
        <f t="array" ref="Q90">(VLOOKUP($A90,'The List'!$B1:$AH671,29,FALSE)-AVERAGE('The List'!AD2:AD671))/STDEV('The List'!AD2:AD671)</f>
        <v>-0.44569716117598335</v>
      </c>
      <c r="R90" s="55" cm="1">
        <f t="array" ref="R90">(VLOOKUP($A90,'The List'!$B1:$AH671,30,FALSE)-AVERAGE('The List'!AE2:AE671))/STDEV('The List'!AE2:AE671)</f>
        <v>0.647704057143768</v>
      </c>
      <c r="S90" s="55" cm="1">
        <f t="array" ref="S90">(VLOOKUP($A90,'The List'!$B1:$AH671,31,FALSE)-AVERAGE('The List'!AF2:AF671))/STDEV('The List'!AF2:AF671)</f>
        <v>3.1794534147928188</v>
      </c>
      <c r="T90" s="55" cm="1">
        <f t="array" ref="T90">(VLOOKUP($A90,'The List'!$B1:$AH671,32,FALSE)-AVERAGE('The List'!AG2:AG671))/STDEV('The List'!AG2:AG671)</f>
        <v>2.6345229133189711</v>
      </c>
      <c r="U90" s="55" cm="1">
        <f t="array" ref="U90">(VLOOKUP($A90,'The List'!$B1:$AH671,33,FALSE)-AVERAGE('The List'!AH2:AH671))/STDEV('The List'!AH2:AH671)</f>
        <v>1.2759406772129342</v>
      </c>
      <c r="V90" s="55"/>
      <c r="W90" s="57"/>
      <c r="X90" s="55"/>
      <c r="Y90" s="55"/>
      <c r="Z90" s="55"/>
      <c r="AA90" s="55"/>
      <c r="AB90" s="55"/>
      <c r="AC90" s="55"/>
      <c r="AD90" s="55"/>
      <c r="AE90" s="55"/>
    </row>
    <row r="91" spans="1:31" ht="21.25" customHeight="1" x14ac:dyDescent="0.15">
      <c r="A91" s="10" t="s">
        <v>313</v>
      </c>
      <c r="B91" s="18" t="str" cm="1">
        <f t="array" ref="B91">VLOOKUP(A91,'Player Data'!A1:B673,2,FALSE)</f>
        <v>VAN</v>
      </c>
      <c r="C91" s="52" cm="1">
        <f t="array" ref="C91">((E91)*Settings!$C$12)+(F91*Settings!$C$2)+(G91*Settings!$C$3)+(H91*Settings!$C$4)+(I91*Settings!$C$5)+(K91*Settings!$C$9)+(N91*Settings!$C$6)+(J91*Settings!$C$8)+(O91*Settings!$C$7)+(P91*Settings!$C$14)+(Q91*Settings!$C$15)+(R91*Settings!$C$16)+(S91*Settings!$C$17)+(T91*Settings!$C$18)+(U91*Settings!$C$19)+(L91*Settings!$C$10)+(Settings!$C$11*M91)</f>
        <v>0.7633596579150731</v>
      </c>
      <c r="D91" s="57" cm="1">
        <f t="array" ref="D91">IF(Settings!$E$12="YES",VLOOKUP(A91,'Player Data'!A1:E673,5,FALSE),82)</f>
        <v>78.349999999999994</v>
      </c>
      <c r="E91" s="55" cm="1">
        <f t="array" ref="E91">(VLOOKUP($A91,'The List'!$B1:$AH671,17,FALSE)-AVERAGE('The List'!R2:R671))/STDEV('The List'!R2:R671)</f>
        <v>0.60504432832976796</v>
      </c>
      <c r="F91" s="55" cm="1">
        <f t="array" ref="F91">(VLOOKUP($A91,'The List'!$B1:$AH671,18,FALSE)-AVERAGE('The List'!S2:S671))/STDEV('The List'!S2:S671)</f>
        <v>0.96927351305787479</v>
      </c>
      <c r="G91" s="55" cm="1">
        <f t="array" ref="G91">(VLOOKUP($A91,'The List'!$B1:$AH671,19,FALSE)-AVERAGE('The List'!T2:T671))/STDEV('The List'!T2:T671)</f>
        <v>0.93780396167365487</v>
      </c>
      <c r="H91" s="55" cm="1">
        <f t="array" ref="H91">(VLOOKUP($A91,'The List'!$B1:$AH671,20,FALSE)-AVERAGE('The List'!U2:U671))/STDEV('The List'!U2:U671)</f>
        <v>1.0199193147384755</v>
      </c>
      <c r="I91" s="55" cm="1">
        <f t="array" ref="I91">(VLOOKUP($A91,'The List'!$B1:$AH671,21,FALSE)-AVERAGE('The List'!V2:V671))/STDEV('The List'!V2:V671)</f>
        <v>0.26315635209347576</v>
      </c>
      <c r="J91" s="55" cm="1">
        <f t="array" ref="J91">(VLOOKUP($A91,'The List'!$B1:$AH671,22,FALSE)-AVERAGE('The List'!W2:W671))/STDEV('The List'!W2:W671)</f>
        <v>1.0931562540420219</v>
      </c>
      <c r="K91" s="55" cm="1">
        <f t="array" ref="K91">(VLOOKUP($A91,'The List'!$B1:$AH671,23,FALSE)-AVERAGE('The List'!X2:X671))/STDEV('The List'!X2:X671)</f>
        <v>1.3104969553895491</v>
      </c>
      <c r="L91" s="55" cm="1">
        <f t="array" ref="L91">(VLOOKUP($A91,'The List'!$B1:$AH671,24,FALSE)-AVERAGE('The List'!Y2:Y671))/STDEV('The List'!Y2:Y671)</f>
        <v>-4.8945624653921958E-2</v>
      </c>
      <c r="M91" s="55" cm="1">
        <f t="array" ref="M91">(VLOOKUP($A91,'The List'!$B1:$AH671,25,FALSE)-AVERAGE('The List'!Z2:Z671))/STDEV('The List'!Z2:Z671)</f>
        <v>-0.20153152866898463</v>
      </c>
      <c r="N91" s="55" cm="1">
        <f t="array" ref="N91">(VLOOKUP($A91,'The List'!$B1:$AH671,26,FALSE)-AVERAGE('The List'!AA2:AA671))/STDEV('The List'!AA2:AA671)</f>
        <v>-0.47704270928275494</v>
      </c>
      <c r="O91" s="55" cm="1">
        <f t="array" ref="O91">(VLOOKUP($A91,'The List'!$B1:$AH671,27,FALSE)-AVERAGE('The List'!AB2:AB671))/STDEV('The List'!AB2:AB671)</f>
        <v>-0.37700213418568407</v>
      </c>
      <c r="P91" s="55" cm="1">
        <f t="array" ref="P91">(VLOOKUP($A91,'The List'!$B1:$AH671,28,FALSE)-AVERAGE('The List'!AC2:AC671))/STDEV('The List'!AC2:AC671)</f>
        <v>-2.0189225614699424</v>
      </c>
      <c r="Q91" s="55" cm="1">
        <f t="array" ref="Q91">(VLOOKUP($A91,'The List'!$B1:$AH671,29,FALSE)-AVERAGE('The List'!AD2:AD671))/STDEV('The List'!AD2:AD671)</f>
        <v>-0.22140585354678413</v>
      </c>
      <c r="R91" s="55" cm="1">
        <f t="array" ref="R91">(VLOOKUP($A91,'The List'!$B1:$AH671,30,FALSE)-AVERAGE('The List'!AE2:AE671))/STDEV('The List'!AE2:AE671)</f>
        <v>0.47927309318174827</v>
      </c>
      <c r="S91" s="55" cm="1">
        <f t="array" ref="S91">(VLOOKUP($A91,'The List'!$B1:$AH671,31,FALSE)-AVERAGE('The List'!AF2:AF671))/STDEV('The List'!AF2:AF671)</f>
        <v>1.5422941018740712</v>
      </c>
      <c r="T91" s="55" cm="1">
        <f t="array" ref="T91">(VLOOKUP($A91,'The List'!$B1:$AH671,32,FALSE)-AVERAGE('The List'!AG2:AG671))/STDEV('The List'!AG2:AG671)</f>
        <v>1.9256837414208159</v>
      </c>
      <c r="U91" s="55" cm="1">
        <f t="array" ref="U91">(VLOOKUP($A91,'The List'!$B1:$AH671,33,FALSE)-AVERAGE('The List'!AH2:AH671))/STDEV('The List'!AH2:AH671)</f>
        <v>0.90285835760127575</v>
      </c>
      <c r="V91" s="55"/>
      <c r="W91" s="78"/>
      <c r="X91" s="57"/>
      <c r="Y91" s="57"/>
      <c r="Z91" s="57"/>
      <c r="AA91" s="57"/>
      <c r="AB91" s="57"/>
      <c r="AC91" s="60"/>
      <c r="AD91" s="61"/>
      <c r="AE91" s="55"/>
    </row>
    <row r="92" spans="1:31" ht="21.25" customHeight="1" x14ac:dyDescent="0.15">
      <c r="A92" s="10" t="s">
        <v>330</v>
      </c>
      <c r="B92" s="18" t="str" cm="1">
        <f t="array" ref="B92">VLOOKUP(A92,'Player Data'!A1:B673,2,FALSE)</f>
        <v>PHI</v>
      </c>
      <c r="C92" s="52" cm="1">
        <f t="array" ref="C92">((E92)*Settings!$C$12)+(F92*Settings!$C$2)+(G92*Settings!$C$3)+(H92*Settings!$C$4)+(I92*Settings!$C$5)+(K92*Settings!$C$9)+(N92*Settings!$C$6)+(J92*Settings!$C$8)+(O92*Settings!$C$7)+(P92*Settings!$C$14)+(Q92*Settings!$C$15)+(R92*Settings!$C$16)+(S92*Settings!$C$17)+(T92*Settings!$C$18)+(U92*Settings!$C$19)+(L92*Settings!$C$10)+(Settings!$C$11*M92)</f>
        <v>3.7023649153629781</v>
      </c>
      <c r="D92" s="57" cm="1">
        <f t="array" ref="D92">IF(Settings!$E$12="YES",VLOOKUP(A92,'Player Data'!A1:E673,5,FALSE),82)</f>
        <v>75.314999999999998</v>
      </c>
      <c r="E92" s="55" cm="1">
        <f t="array" ref="E92">(VLOOKUP($A92,'The List'!$B1:$AH671,17,FALSE)-AVERAGE('The List'!R2:R671))/STDEV('The List'!R2:R671)</f>
        <v>0.47591357888899988</v>
      </c>
      <c r="F92" s="55" cm="1">
        <f t="array" ref="F92">(VLOOKUP($A92,'The List'!$B1:$AH671,18,FALSE)-AVERAGE('The List'!S2:S671))/STDEV('The List'!S2:S671)</f>
        <v>0.99196701197265236</v>
      </c>
      <c r="G92" s="55" cm="1">
        <f t="array" ref="G92">(VLOOKUP($A92,'The List'!$B1:$AH671,19,FALSE)-AVERAGE('The List'!T2:T671))/STDEV('The List'!T2:T671)</f>
        <v>0.95274868290629744</v>
      </c>
      <c r="H92" s="55" cm="1">
        <f t="array" ref="H92">(VLOOKUP($A92,'The List'!$B1:$AH671,20,FALSE)-AVERAGE('The List'!U2:U671))/STDEV('The List'!U2:U671)</f>
        <v>1.0393880773211108</v>
      </c>
      <c r="I92" s="55" cm="1">
        <f t="array" ref="I92">(VLOOKUP($A92,'The List'!$B1:$AH671,21,FALSE)-AVERAGE('The List'!V2:V671))/STDEV('The List'!V2:V671)</f>
        <v>0.63115699449540363</v>
      </c>
      <c r="J92" s="55" cm="1">
        <f t="array" ref="J92">(VLOOKUP($A92,'The List'!$B1:$AH671,22,FALSE)-AVERAGE('The List'!W2:W671))/STDEV('The List'!W2:W671)</f>
        <v>1.230356099518493</v>
      </c>
      <c r="K92" s="55" cm="1">
        <f t="array" ref="K92">(VLOOKUP($A92,'The List'!$B1:$AH671,23,FALSE)-AVERAGE('The List'!X2:X671))/STDEV('The List'!X2:X671)</f>
        <v>0.86800241890900642</v>
      </c>
      <c r="L92" s="55" cm="1">
        <f t="array" ref="L92">(VLOOKUP($A92,'The List'!$B1:$AH671,24,FALSE)-AVERAGE('The List'!Y2:Y671))/STDEV('The List'!Y2:Y671)</f>
        <v>-0.53895929835980982</v>
      </c>
      <c r="M92" s="55" cm="1">
        <f t="array" ref="M92">(VLOOKUP($A92,'The List'!$B1:$AH671,25,FALSE)-AVERAGE('The List'!Z2:Z671))/STDEV('The List'!Z2:Z671)</f>
        <v>-0.68130645214905927</v>
      </c>
      <c r="N92" s="55" cm="1">
        <f t="array" ref="N92">(VLOOKUP($A92,'The List'!$B1:$AH671,26,FALSE)-AVERAGE('The List'!AA2:AA671))/STDEV('The List'!AA2:AA671)</f>
        <v>-0.87009346408627719</v>
      </c>
      <c r="O92" s="55" cm="1">
        <f t="array" ref="O92">(VLOOKUP($A92,'The List'!$B1:$AH671,27,FALSE)-AVERAGE('The List'!AB2:AB671))/STDEV('The List'!AB2:AB671)</f>
        <v>-0.76604944898412508</v>
      </c>
      <c r="P92" s="55" cm="1">
        <f t="array" ref="P92">(VLOOKUP($A92,'The List'!$B1:$AH671,28,FALSE)-AVERAGE('The List'!AC2:AC671))/STDEV('The List'!AC2:AC671)</f>
        <v>0.37339860765927491</v>
      </c>
      <c r="Q92" s="55" cm="1">
        <f t="array" ref="Q92">(VLOOKUP($A92,'The List'!$B1:$AH671,29,FALSE)-AVERAGE('The List'!AD2:AD671))/STDEV('The List'!AD2:AD671)</f>
        <v>0.75518466350662072</v>
      </c>
      <c r="R92" s="55" cm="1">
        <f t="array" ref="R92">(VLOOKUP($A92,'The List'!$B1:$AH671,30,FALSE)-AVERAGE('The List'!AE2:AE671))/STDEV('The List'!AE2:AE671)</f>
        <v>1.0006781119458847</v>
      </c>
      <c r="S92" s="55" cm="1">
        <f t="array" ref="S92">(VLOOKUP($A92,'The List'!$B1:$AH671,31,FALSE)-AVERAGE('The List'!AF2:AF671))/STDEV('The List'!AF2:AF671)</f>
        <v>-1.0277408229935614E-2</v>
      </c>
      <c r="T92" s="55" cm="1">
        <f t="array" ref="T92">(VLOOKUP($A92,'The List'!$B1:$AH671,32,FALSE)-AVERAGE('The List'!AG2:AG671))/STDEV('The List'!AG2:AG671)</f>
        <v>0.49141800539016556</v>
      </c>
      <c r="U92" s="55" cm="1">
        <f t="array" ref="U92">(VLOOKUP($A92,'The List'!$B1:$AH671,33,FALSE)-AVERAGE('The List'!AH2:AH671))/STDEV('The List'!AH2:AH671)</f>
        <v>0.36953903003807975</v>
      </c>
      <c r="V92" s="55"/>
      <c r="W92" s="78"/>
      <c r="X92" s="57"/>
      <c r="Y92" s="57"/>
      <c r="Z92" s="57"/>
      <c r="AA92" s="57"/>
      <c r="AB92" s="57"/>
      <c r="AC92" s="60"/>
      <c r="AD92" s="61"/>
      <c r="AE92" s="55"/>
    </row>
    <row r="93" spans="1:31" ht="21.25" customHeight="1" x14ac:dyDescent="0.15">
      <c r="A93" s="10" t="s">
        <v>249</v>
      </c>
      <c r="B93" s="18" t="str" cm="1">
        <f t="array" ref="B93">VLOOKUP(A93,'Player Data'!A1:B673,2,FALSE)</f>
        <v>NYR</v>
      </c>
      <c r="C93" s="52" cm="1">
        <f t="array" ref="C93">((E93)*Settings!$C$12)+(F93*Settings!$C$2)+(G93*Settings!$C$3)+(H93*Settings!$C$4)+(I93*Settings!$C$5)+(K93*Settings!$C$9)+(N93*Settings!$C$6)+(J93*Settings!$C$8)+(O93*Settings!$C$7)+(P93*Settings!$C$14)+(Q93*Settings!$C$15)+(R93*Settings!$C$16)+(S93*Settings!$C$17)+(T93*Settings!$C$18)+(U93*Settings!$C$19)+(L93*Settings!$C$10)+(Settings!$C$11*M93)</f>
        <v>4.4326981710898519</v>
      </c>
      <c r="D93" s="57" cm="1">
        <f t="array" ref="D93">IF(Settings!$E$12="YES",VLOOKUP(A93,'Player Data'!A1:E673,5,FALSE),82)</f>
        <v>84.03</v>
      </c>
      <c r="E93" s="55" cm="1">
        <f t="array" ref="E93">(VLOOKUP($A93,'The List'!$B1:$AH671,17,FALSE)-AVERAGE('The List'!R2:R671))/STDEV('The List'!R2:R671)</f>
        <v>0.470714588576162</v>
      </c>
      <c r="F93" s="55" cm="1">
        <f t="array" ref="F93">(VLOOKUP($A93,'The List'!$B1:$AH671,18,FALSE)-AVERAGE('The List'!S2:S671))/STDEV('The List'!S2:S671)</f>
        <v>1.5375442735761378</v>
      </c>
      <c r="G93" s="55" cm="1">
        <f t="array" ref="G93">(VLOOKUP($A93,'The List'!$B1:$AH671,19,FALSE)-AVERAGE('The List'!T2:T671))/STDEV('The List'!T2:T671)</f>
        <v>1.0561789239026871</v>
      </c>
      <c r="H93" s="55" cm="1">
        <f t="array" ref="H93">(VLOOKUP($A93,'The List'!$B1:$AH671,20,FALSE)-AVERAGE('The List'!U2:U671))/STDEV('The List'!U2:U671)</f>
        <v>1.3465059158326815</v>
      </c>
      <c r="I93" s="55" cm="1">
        <f t="array" ref="I93">(VLOOKUP($A93,'The List'!$B1:$AH671,21,FALSE)-AVERAGE('The List'!V2:V671))/STDEV('The List'!V2:V671)</f>
        <v>1.2520991257927903</v>
      </c>
      <c r="J93" s="55" cm="1">
        <f t="array" ref="J93">(VLOOKUP($A93,'The List'!$B1:$AH671,22,FALSE)-AVERAGE('The List'!W2:W671))/STDEV('The List'!W2:W671)</f>
        <v>2.2807425799311898</v>
      </c>
      <c r="K93" s="55" cm="1">
        <f t="array" ref="K93">(VLOOKUP($A93,'The List'!$B1:$AH671,23,FALSE)-AVERAGE('The List'!X2:X671))/STDEV('The List'!X2:X671)</f>
        <v>1.2724697112690082</v>
      </c>
      <c r="L93" s="55" cm="1">
        <f t="array" ref="L93">(VLOOKUP($A93,'The List'!$B1:$AH671,24,FALSE)-AVERAGE('The List'!Y2:Y671))/STDEV('The List'!Y2:Y671)</f>
        <v>-0.54613869632326628</v>
      </c>
      <c r="M93" s="55" cm="1">
        <f t="array" ref="M93">(VLOOKUP($A93,'The List'!$B1:$AH671,25,FALSE)-AVERAGE('The List'!Z2:Z671))/STDEV('The List'!Z2:Z671)</f>
        <v>-0.68839199140439522</v>
      </c>
      <c r="N93" s="55" cm="1">
        <f t="array" ref="N93">(VLOOKUP($A93,'The List'!$B1:$AH671,26,FALSE)-AVERAGE('The List'!AA2:AA671))/STDEV('The List'!AA2:AA671)</f>
        <v>-0.65614556213218611</v>
      </c>
      <c r="O93" s="55" cm="1">
        <f t="array" ref="O93">(VLOOKUP($A93,'The List'!$B1:$AH671,27,FALSE)-AVERAGE('The List'!AB2:AB671))/STDEV('The List'!AB2:AB671)</f>
        <v>0.14039448443487068</v>
      </c>
      <c r="P93" s="55" cm="1">
        <f t="array" ref="P93">(VLOOKUP($A93,'The List'!$B1:$AH671,28,FALSE)-AVERAGE('The List'!AC2:AC671))/STDEV('The List'!AC2:AC671)</f>
        <v>0.17773540965892529</v>
      </c>
      <c r="Q93" s="55" cm="1">
        <f t="array" ref="Q93">(VLOOKUP($A93,'The List'!$B1:$AH671,29,FALSE)-AVERAGE('The List'!AD2:AD671))/STDEV('The List'!AD2:AD671)</f>
        <v>-0.20718371097751018</v>
      </c>
      <c r="R93" s="55" cm="1">
        <f t="array" ref="R93">(VLOOKUP($A93,'The List'!$B1:$AH671,30,FALSE)-AVERAGE('The List'!AE2:AE671))/STDEV('The List'!AE2:AE671)</f>
        <v>1.5225507708717867</v>
      </c>
      <c r="S93" s="55" cm="1">
        <f t="array" ref="S93">(VLOOKUP($A93,'The List'!$B1:$AH671,31,FALSE)-AVERAGE('The List'!AF2:AF671))/STDEV('The List'!AF2:AF671)</f>
        <v>-0.53370611499560938</v>
      </c>
      <c r="T93" s="55" cm="1">
        <f t="array" ref="T93">(VLOOKUP($A93,'The List'!$B1:$AH671,32,FALSE)-AVERAGE('The List'!AG2:AG671))/STDEV('The List'!AG2:AG671)</f>
        <v>-0.47629665701019736</v>
      </c>
      <c r="U93" s="55" cm="1">
        <f t="array" ref="U93">(VLOOKUP($A93,'The List'!$B1:$AH671,33,FALSE)-AVERAGE('The List'!AH2:AH671))/STDEV('The List'!AH2:AH671)</f>
        <v>6.3827401237197875E-3</v>
      </c>
      <c r="V93" s="55"/>
      <c r="W93" s="78"/>
      <c r="X93" s="57"/>
      <c r="Y93" s="57"/>
      <c r="Z93" s="57"/>
      <c r="AA93" s="57"/>
      <c r="AB93" s="57"/>
      <c r="AC93" s="60"/>
      <c r="AD93" s="61"/>
      <c r="AE93" s="55"/>
    </row>
    <row r="94" spans="1:31" ht="21.25" customHeight="1" x14ac:dyDescent="0.15">
      <c r="A94" s="10" t="s">
        <v>267</v>
      </c>
      <c r="B94" s="18" t="str" cm="1">
        <f t="array" ref="B94">VLOOKUP(A94,'Player Data'!A1:B673,2,FALSE)</f>
        <v>PIT</v>
      </c>
      <c r="C94" s="52" cm="1">
        <f t="array" ref="C94">((E94)*Settings!$C$12)+(F94*Settings!$C$2)+(G94*Settings!$C$3)+(H94*Settings!$C$4)+(I94*Settings!$C$5)+(K94*Settings!$C$9)+(N94*Settings!$C$6)+(J94*Settings!$C$8)+(O94*Settings!$C$7)+(P94*Settings!$C$14)+(Q94*Settings!$C$15)+(R94*Settings!$C$16)+(S94*Settings!$C$17)+(T94*Settings!$C$18)+(U94*Settings!$C$19)+(L94*Settings!$C$10)+(Settings!$C$11*M94)</f>
        <v>3.5684802742122872</v>
      </c>
      <c r="D94" s="57" cm="1">
        <f t="array" ref="D94">IF(Settings!$E$12="YES",VLOOKUP(A94,'Player Data'!A1:E673,5,FALSE),82)</f>
        <v>78.787499999999994</v>
      </c>
      <c r="E94" s="55" cm="1">
        <f t="array" ref="E94">(VLOOKUP($A94,'The List'!$B1:$AH671,17,FALSE)-AVERAGE('The List'!R2:R671))/STDEV('The List'!R2:R671)</f>
        <v>0.6110873603191086</v>
      </c>
      <c r="F94" s="55" cm="1">
        <f t="array" ref="F94">(VLOOKUP($A94,'The List'!$B1:$AH671,18,FALSE)-AVERAGE('The List'!S2:S671))/STDEV('The List'!S2:S671)</f>
        <v>1.5041408400504308</v>
      </c>
      <c r="G94" s="55" cm="1">
        <f t="array" ref="G94">(VLOOKUP($A94,'The List'!$B1:$AH671,19,FALSE)-AVERAGE('The List'!T2:T671))/STDEV('The List'!T2:T671)</f>
        <v>0.55764454272782826</v>
      </c>
      <c r="H94" s="55" cm="1">
        <f t="array" ref="H94">(VLOOKUP($A94,'The List'!$B1:$AH671,20,FALSE)-AVERAGE('The List'!U2:U671))/STDEV('The List'!U2:U671)</f>
        <v>1.01811004465304</v>
      </c>
      <c r="I94" s="55" cm="1">
        <f t="array" ref="I94">(VLOOKUP($A94,'The List'!$B1:$AH671,21,FALSE)-AVERAGE('The List'!V2:V671))/STDEV('The List'!V2:V671)</f>
        <v>1.4203138608354138</v>
      </c>
      <c r="J94" s="55" cm="1">
        <f t="array" ref="J94">(VLOOKUP($A94,'The List'!$B1:$AH671,22,FALSE)-AVERAGE('The List'!W2:W671))/STDEV('The List'!W2:W671)</f>
        <v>1.419300350415488</v>
      </c>
      <c r="K94" s="55" cm="1">
        <f t="array" ref="K94">(VLOOKUP($A94,'The List'!$B1:$AH671,23,FALSE)-AVERAGE('The List'!X2:X671))/STDEV('The List'!X2:X671)</f>
        <v>1.0247483620140529</v>
      </c>
      <c r="L94" s="55" cm="1">
        <f t="array" ref="L94">(VLOOKUP($A94,'The List'!$B1:$AH671,24,FALSE)-AVERAGE('The List'!Y2:Y671))/STDEV('The List'!Y2:Y671)</f>
        <v>1.5408536779241988</v>
      </c>
      <c r="M94" s="55" cm="1">
        <f t="array" ref="M94">(VLOOKUP($A94,'The List'!$B1:$AH671,25,FALSE)-AVERAGE('The List'!Z2:Z671))/STDEV('The List'!Z2:Z671)</f>
        <v>1.7556844547366559</v>
      </c>
      <c r="N94" s="55" cm="1">
        <f t="array" ref="N94">(VLOOKUP($A94,'The List'!$B1:$AH671,26,FALSE)-AVERAGE('The List'!AA2:AA671))/STDEV('The List'!AA2:AA671)</f>
        <v>-6.3678737791086099E-2</v>
      </c>
      <c r="O94" s="55" cm="1">
        <f t="array" ref="O94">(VLOOKUP($A94,'The List'!$B1:$AH671,27,FALSE)-AVERAGE('The List'!AB2:AB671))/STDEV('The List'!AB2:AB671)</f>
        <v>0.21872929433996902</v>
      </c>
      <c r="P94" s="55" cm="1">
        <f t="array" ref="P94">(VLOOKUP($A94,'The List'!$B1:$AH671,28,FALSE)-AVERAGE('The List'!AC2:AC671))/STDEV('The List'!AC2:AC671)</f>
        <v>2.0232768662703262E-2</v>
      </c>
      <c r="Q94" s="55" cm="1">
        <f t="array" ref="Q94">(VLOOKUP($A94,'The List'!$B1:$AH671,29,FALSE)-AVERAGE('The List'!AD2:AD671))/STDEV('The List'!AD2:AD671)</f>
        <v>-0.89492136228705588</v>
      </c>
      <c r="R94" s="55" cm="1">
        <f t="array" ref="R94">(VLOOKUP($A94,'The List'!$B1:$AH671,30,FALSE)-AVERAGE('The List'!AE2:AE671))/STDEV('The List'!AE2:AE671)</f>
        <v>1.2720450837987338</v>
      </c>
      <c r="S94" s="55" cm="1">
        <f t="array" ref="S94">(VLOOKUP($A94,'The List'!$B1:$AH671,31,FALSE)-AVERAGE('The List'!AF2:AF671))/STDEV('The List'!AF2:AF671)</f>
        <v>-0.23506295864020341</v>
      </c>
      <c r="T94" s="55" cm="1">
        <f t="array" ref="T94">(VLOOKUP($A94,'The List'!$B1:$AH671,32,FALSE)-AVERAGE('The List'!AG2:AG671))/STDEV('The List'!AG2:AG671)</f>
        <v>4.0350425399435431E-2</v>
      </c>
      <c r="U94" s="55" cm="1">
        <f t="array" ref="U94">(VLOOKUP($A94,'The List'!$B1:$AH671,33,FALSE)-AVERAGE('The List'!AH2:AH671))/STDEV('The List'!AH2:AH671)</f>
        <v>0.38934366679940163</v>
      </c>
      <c r="V94" s="55"/>
      <c r="W94" s="78"/>
      <c r="X94" s="57"/>
      <c r="Y94" s="57"/>
      <c r="Z94" s="57"/>
      <c r="AA94" s="57"/>
      <c r="AB94" s="57"/>
      <c r="AC94" s="60"/>
      <c r="AD94" s="61"/>
      <c r="AE94" s="55"/>
    </row>
    <row r="95" spans="1:31" ht="21.25" customHeight="1" x14ac:dyDescent="0.15">
      <c r="A95" s="10" t="s">
        <v>246</v>
      </c>
      <c r="B95" s="18" t="str" cm="1">
        <f t="array" ref="B95">VLOOKUP(A95,'Player Data'!A1:B673,2,FALSE)</f>
        <v>UTA</v>
      </c>
      <c r="C95" s="52" cm="1">
        <f t="array" ref="C95">((E95)*Settings!$C$12)+(F95*Settings!$C$2)+(G95*Settings!$C$3)+(H95*Settings!$C$4)+(I95*Settings!$C$5)+(K95*Settings!$C$9)+(N95*Settings!$C$6)+(J95*Settings!$C$8)+(O95*Settings!$C$7)+(P95*Settings!$C$14)+(Q95*Settings!$C$15)+(R95*Settings!$C$16)+(S95*Settings!$C$17)+(T95*Settings!$C$18)+(U95*Settings!$C$19)+(L95*Settings!$C$10)+(Settings!$C$11*M95)</f>
        <v>4.3282410355416046</v>
      </c>
      <c r="D95" s="57" cm="1">
        <f t="array" ref="D95">IF(Settings!$E$12="YES",VLOOKUP(A95,'Player Data'!A1:E673,5,FALSE),82)</f>
        <v>83.73</v>
      </c>
      <c r="E95" s="55" cm="1">
        <f t="array" ref="E95">(VLOOKUP($A95,'The List'!$B1:$AH671,17,FALSE)-AVERAGE('The List'!R2:R671))/STDEV('The List'!R2:R671)</f>
        <v>0.55848479527907768</v>
      </c>
      <c r="F95" s="55" cm="1">
        <f t="array" ref="F95">(VLOOKUP($A95,'The List'!$B1:$AH671,18,FALSE)-AVERAGE('The List'!S2:S671))/STDEV('The List'!S2:S671)</f>
        <v>1.2793210429297852</v>
      </c>
      <c r="G95" s="55" cm="1">
        <f t="array" ref="G95">(VLOOKUP($A95,'The List'!$B1:$AH671,19,FALSE)-AVERAGE('The List'!T2:T671))/STDEV('The List'!T2:T671)</f>
        <v>1.1972118804878182</v>
      </c>
      <c r="H95" s="55" cm="1">
        <f t="array" ref="H95">(VLOOKUP($A95,'The List'!$B1:$AH671,20,FALSE)-AVERAGE('The List'!U2:U671))/STDEV('The List'!U2:U671)</f>
        <v>1.3206468708890329</v>
      </c>
      <c r="I95" s="55" cm="1">
        <f t="array" ref="I95">(VLOOKUP($A95,'The List'!$B1:$AH671,21,FALSE)-AVERAGE('The List'!V2:V671))/STDEV('The List'!V2:V671)</f>
        <v>1.1613987453221097</v>
      </c>
      <c r="J95" s="55" cm="1">
        <f t="array" ref="J95">(VLOOKUP($A95,'The List'!$B1:$AH671,22,FALSE)-AVERAGE('The List'!W2:W671))/STDEV('The List'!W2:W671)</f>
        <v>1.812645725593983</v>
      </c>
      <c r="K95" s="55" cm="1">
        <f t="array" ref="K95">(VLOOKUP($A95,'The List'!$B1:$AH671,23,FALSE)-AVERAGE('The List'!X2:X671))/STDEV('The List'!X2:X671)</f>
        <v>1.2482934442798139</v>
      </c>
      <c r="L95" s="55" cm="1">
        <f t="array" ref="L95">(VLOOKUP($A95,'The List'!$B1:$AH671,24,FALSE)-AVERAGE('The List'!Y2:Y671))/STDEV('The List'!Y2:Y671)</f>
        <v>2.5344485309398874</v>
      </c>
      <c r="M95" s="55" cm="1">
        <f t="array" ref="M95">(VLOOKUP($A95,'The List'!$B1:$AH671,25,FALSE)-AVERAGE('The List'!Z2:Z671))/STDEV('The List'!Z2:Z671)</f>
        <v>1.2830784039571095</v>
      </c>
      <c r="N95" s="55" cm="1">
        <f t="array" ref="N95">(VLOOKUP($A95,'The List'!$B1:$AH671,26,FALSE)-AVERAGE('The List'!AA2:AA671))/STDEV('The List'!AA2:AA671)</f>
        <v>-0.34690305856533621</v>
      </c>
      <c r="O95" s="55" cm="1">
        <f t="array" ref="O95">(VLOOKUP($A95,'The List'!$B1:$AH671,27,FALSE)-AVERAGE('The List'!AB2:AB671))/STDEV('The List'!AB2:AB671)</f>
        <v>-1.2295098652278518</v>
      </c>
      <c r="P95" s="55" cm="1">
        <f t="array" ref="P95">(VLOOKUP($A95,'The List'!$B1:$AH671,28,FALSE)-AVERAGE('The List'!AC2:AC671))/STDEV('The List'!AC2:AC671)</f>
        <v>0.46413391719917385</v>
      </c>
      <c r="Q95" s="55" cm="1">
        <f t="array" ref="Q95">(VLOOKUP($A95,'The List'!$B1:$AH671,29,FALSE)-AVERAGE('The List'!AD2:AD671))/STDEV('The List'!AD2:AD671)</f>
        <v>-0.67521493611176087</v>
      </c>
      <c r="R95" s="55" cm="1">
        <f t="array" ref="R95">(VLOOKUP($A95,'The List'!$B1:$AH671,30,FALSE)-AVERAGE('The List'!AE2:AE671))/STDEV('The List'!AE2:AE671)</f>
        <v>1.3442493424664737</v>
      </c>
      <c r="S95" s="55" cm="1">
        <f t="array" ref="S95">(VLOOKUP($A95,'The List'!$B1:$AH671,31,FALSE)-AVERAGE('The List'!AF2:AF671))/STDEV('The List'!AF2:AF671)</f>
        <v>1.1586162038542418</v>
      </c>
      <c r="T95" s="55" cm="1">
        <f t="array" ref="T95">(VLOOKUP($A95,'The List'!$B1:$AH671,32,FALSE)-AVERAGE('The List'!AG2:AG671))/STDEV('The List'!AG2:AG671)</f>
        <v>1.5603667513131223</v>
      </c>
      <c r="U95" s="55" cm="1">
        <f t="array" ref="U95">(VLOOKUP($A95,'The List'!$B1:$AH671,33,FALSE)-AVERAGE('The List'!AH2:AH671))/STDEV('The List'!AH2:AH671)</f>
        <v>0.85169736628527259</v>
      </c>
      <c r="V95" s="55"/>
      <c r="W95" s="78"/>
      <c r="X95" s="57"/>
      <c r="Y95" s="57"/>
      <c r="Z95" s="57"/>
      <c r="AA95" s="57"/>
      <c r="AB95" s="57"/>
      <c r="AC95" s="60"/>
      <c r="AD95" s="61"/>
      <c r="AE95" s="55"/>
    </row>
    <row r="96" spans="1:31" ht="21.25" customHeight="1" x14ac:dyDescent="0.15">
      <c r="A96" s="10" t="s">
        <v>262</v>
      </c>
      <c r="B96" s="18" t="str" cm="1">
        <f t="array" ref="B96">VLOOKUP(A96,'Player Data'!A1:B673,2,FALSE)</f>
        <v>L.A</v>
      </c>
      <c r="C96" s="52" cm="1">
        <f t="array" ref="C96">((E96)*Settings!$C$12)+(F96*Settings!$C$2)+(G96*Settings!$C$3)+(H96*Settings!$C$4)+(I96*Settings!$C$5)+(K96*Settings!$C$9)+(N96*Settings!$C$6)+(J96*Settings!$C$8)+(O96*Settings!$C$7)+(P96*Settings!$C$14)+(Q96*Settings!$C$15)+(R96*Settings!$C$16)+(S96*Settings!$C$17)+(T96*Settings!$C$18)+(U96*Settings!$C$19)+(L96*Settings!$C$10)+(Settings!$C$11*M96)</f>
        <v>5.200655825298532</v>
      </c>
      <c r="D96" s="57" cm="1">
        <f t="array" ref="D96">IF(Settings!$E$12="YES",VLOOKUP(A96,'Player Data'!A1:E673,5,FALSE),82)</f>
        <v>83.16</v>
      </c>
      <c r="E96" s="55" cm="1">
        <f t="array" ref="E96">(VLOOKUP($A96,'The List'!$B1:$AH671,17,FALSE)-AVERAGE('The List'!R2:R671))/STDEV('The List'!R2:R671)</f>
        <v>1.0137601551005311</v>
      </c>
      <c r="F96" s="55" cm="1">
        <f t="array" ref="F96">(VLOOKUP($A96,'The List'!$B1:$AH671,18,FALSE)-AVERAGE('The List'!S2:S671))/STDEV('The List'!S2:S671)</f>
        <v>1.376582503344008</v>
      </c>
      <c r="G96" s="55" cm="1">
        <f t="array" ref="G96">(VLOOKUP($A96,'The List'!$B1:$AH671,19,FALSE)-AVERAGE('The List'!T2:T671))/STDEV('The List'!T2:T671)</f>
        <v>0.85638335011400324</v>
      </c>
      <c r="H96" s="55" cm="1">
        <f t="array" ref="H96">(VLOOKUP($A96,'The List'!$B1:$AH671,20,FALSE)-AVERAGE('The List'!U2:U671))/STDEV('The List'!U2:U671)</f>
        <v>1.1494203184952627</v>
      </c>
      <c r="I96" s="55" cm="1">
        <f t="array" ref="I96">(VLOOKUP($A96,'The List'!$B1:$AH671,21,FALSE)-AVERAGE('The List'!V2:V671))/STDEV('The List'!V2:V671)</f>
        <v>1.2973004462809823</v>
      </c>
      <c r="J96" s="55" cm="1">
        <f t="array" ref="J96">(VLOOKUP($A96,'The List'!$B1:$AH671,22,FALSE)-AVERAGE('The List'!W2:W671))/STDEV('The List'!W2:W671)</f>
        <v>1.0256727034347113</v>
      </c>
      <c r="K96" s="55" cm="1">
        <f t="array" ref="K96">(VLOOKUP($A96,'The List'!$B1:$AH671,23,FALSE)-AVERAGE('The List'!X2:X671))/STDEV('The List'!X2:X671)</f>
        <v>0.81892248834198988</v>
      </c>
      <c r="L96" s="55" cm="1">
        <f t="array" ref="L96">(VLOOKUP($A96,'The List'!$B1:$AH671,24,FALSE)-AVERAGE('The List'!Y2:Y671))/STDEV('The List'!Y2:Y671)</f>
        <v>0.25688851882202568</v>
      </c>
      <c r="M96" s="55" cm="1">
        <f t="array" ref="M96">(VLOOKUP($A96,'The List'!$B1:$AH671,25,FALSE)-AVERAGE('The List'!Z2:Z671))/STDEV('The List'!Z2:Z671)</f>
        <v>0.54865962135665758</v>
      </c>
      <c r="N96" s="55" cm="1">
        <f t="array" ref="N96">(VLOOKUP($A96,'The List'!$B1:$AH671,26,FALSE)-AVERAGE('The List'!AA2:AA671))/STDEV('The List'!AA2:AA671)</f>
        <v>-0.52478146143905502</v>
      </c>
      <c r="O96" s="55" cm="1">
        <f t="array" ref="O96">(VLOOKUP($A96,'The List'!$B1:$AH671,27,FALSE)-AVERAGE('The List'!AB2:AB671))/STDEV('The List'!AB2:AB671)</f>
        <v>-0.2648761847479027</v>
      </c>
      <c r="P96" s="55" cm="1">
        <f t="array" ref="P96">(VLOOKUP($A96,'The List'!$B1:$AH671,28,FALSE)-AVERAGE('The List'!AC2:AC671))/STDEV('The List'!AC2:AC671)</f>
        <v>0.21042469424733504</v>
      </c>
      <c r="Q96" s="55" cm="1">
        <f t="array" ref="Q96">(VLOOKUP($A96,'The List'!$B1:$AH671,29,FALSE)-AVERAGE('The List'!AD2:AD671))/STDEV('The List'!AD2:AD671)</f>
        <v>1.1658238044092688</v>
      </c>
      <c r="R96" s="55" cm="1">
        <f t="array" ref="R96">(VLOOKUP($A96,'The List'!$B1:$AH671,30,FALSE)-AVERAGE('The List'!AE2:AE671))/STDEV('The List'!AE2:AE671)</f>
        <v>1.3792990685745843</v>
      </c>
      <c r="S96" s="55" cm="1">
        <f t="array" ref="S96">(VLOOKUP($A96,'The List'!$B1:$AH671,31,FALSE)-AVERAGE('The List'!AF2:AF671))/STDEV('The List'!AF2:AF671)</f>
        <v>1.6726095393730835</v>
      </c>
      <c r="T96" s="55" cm="1">
        <f t="array" ref="T96">(VLOOKUP($A96,'The List'!$B1:$AH671,32,FALSE)-AVERAGE('The List'!AG2:AG671))/STDEV('The List'!AG2:AG671)</f>
        <v>2.2974438646105004</v>
      </c>
      <c r="U96" s="55" cm="1">
        <f t="array" ref="U96">(VLOOKUP($A96,'The List'!$B1:$AH671,33,FALSE)-AVERAGE('The List'!AH2:AH671))/STDEV('The List'!AH2:AH671)</f>
        <v>0.81630991667096686</v>
      </c>
      <c r="V96" s="55"/>
      <c r="W96" s="78"/>
      <c r="X96" s="57"/>
      <c r="Y96" s="57"/>
      <c r="Z96" s="57"/>
      <c r="AA96" s="57"/>
      <c r="AB96" s="57"/>
      <c r="AC96" s="60"/>
      <c r="AD96" s="61"/>
      <c r="AE96" s="55"/>
    </row>
    <row r="97" spans="1:31" ht="21.25" customHeight="1" x14ac:dyDescent="0.15">
      <c r="A97" s="10" t="s">
        <v>283</v>
      </c>
      <c r="B97" s="18" t="str" cm="1">
        <f t="array" ref="B97">VLOOKUP(A97,'Player Data'!A1:B673,2,FALSE)</f>
        <v>VGK</v>
      </c>
      <c r="C97" s="52" cm="1">
        <f t="array" ref="C97">((E97)*Settings!$C$12)+(F97*Settings!$C$2)+(G97*Settings!$C$3)+(H97*Settings!$C$4)+(I97*Settings!$C$5)+(K97*Settings!$C$9)+(N97*Settings!$C$6)+(J97*Settings!$C$8)+(O97*Settings!$C$7)+(P97*Settings!$C$14)+(Q97*Settings!$C$15)+(R97*Settings!$C$16)+(S97*Settings!$C$17)+(T97*Settings!$C$18)+(U97*Settings!$C$19)+(L97*Settings!$C$10)+(Settings!$C$11*M97)</f>
        <v>4.7118209443490455</v>
      </c>
      <c r="D97" s="57" cm="1">
        <f t="array" ref="D97">IF(Settings!$E$12="YES",VLOOKUP(A97,'Player Data'!A1:E673,5,FALSE),82)</f>
        <v>79.992500000000007</v>
      </c>
      <c r="E97" s="55" cm="1">
        <f t="array" ref="E97">(VLOOKUP($A97,'The List'!$B1:$AH671,17,FALSE)-AVERAGE('The List'!R2:R671))/STDEV('The List'!R2:R671)</f>
        <v>0.10953488464802133</v>
      </c>
      <c r="F97" s="55" cm="1">
        <f t="array" ref="F97">(VLOOKUP($A97,'The List'!$B1:$AH671,18,FALSE)-AVERAGE('The List'!S2:S671))/STDEV('The List'!S2:S671)</f>
        <v>1.3767389116666928</v>
      </c>
      <c r="G97" s="55" cm="1">
        <f t="array" ref="G97">(VLOOKUP($A97,'The List'!$B1:$AH671,19,FALSE)-AVERAGE('The List'!T2:T671))/STDEV('The List'!T2:T671)</f>
        <v>0.62616040233749515</v>
      </c>
      <c r="H97" s="55" cm="1">
        <f t="array" ref="H97">(VLOOKUP($A97,'The List'!$B1:$AH671,20,FALSE)-AVERAGE('The List'!U2:U671))/STDEV('The List'!U2:U671)</f>
        <v>1.0046806944931432</v>
      </c>
      <c r="I97" s="55" cm="1">
        <f t="array" ref="I97">(VLOOKUP($A97,'The List'!$B1:$AH671,21,FALSE)-AVERAGE('The List'!V2:V671))/STDEV('The List'!V2:V671)</f>
        <v>1.1633036093932543</v>
      </c>
      <c r="J97" s="55" cm="1">
        <f t="array" ref="J97">(VLOOKUP($A97,'The List'!$B1:$AH671,22,FALSE)-AVERAGE('The List'!W2:W671))/STDEV('The List'!W2:W671)</f>
        <v>3.0829618440928934</v>
      </c>
      <c r="K97" s="55" cm="1">
        <f t="array" ref="K97">(VLOOKUP($A97,'The List'!$B1:$AH671,23,FALSE)-AVERAGE('The List'!X2:X671))/STDEV('The List'!X2:X671)</f>
        <v>1.8200460762182975</v>
      </c>
      <c r="L97" s="55" cm="1">
        <f t="array" ref="L97">(VLOOKUP($A97,'The List'!$B1:$AH671,24,FALSE)-AVERAGE('The List'!Y2:Y671))/STDEV('The List'!Y2:Y671)</f>
        <v>-0.33019363320488682</v>
      </c>
      <c r="M97" s="55" cm="1">
        <f t="array" ref="M97">(VLOOKUP($A97,'The List'!$B1:$AH671,25,FALSE)-AVERAGE('The List'!Z2:Z671))/STDEV('The List'!Z2:Z671)</f>
        <v>-0.53335862166896508</v>
      </c>
      <c r="N97" s="55" cm="1">
        <f t="array" ref="N97">(VLOOKUP($A97,'The List'!$B1:$AH671,26,FALSE)-AVERAGE('The List'!AA2:AA671))/STDEV('The List'!AA2:AA671)</f>
        <v>-0.41777276156650356</v>
      </c>
      <c r="O97" s="55" cm="1">
        <f t="array" ref="O97">(VLOOKUP($A97,'The List'!$B1:$AH671,27,FALSE)-AVERAGE('The List'!AB2:AB671))/STDEV('The List'!AB2:AB671)</f>
        <v>0.36225465041155336</v>
      </c>
      <c r="P97" s="55" cm="1">
        <f t="array" ref="P97">(VLOOKUP($A97,'The List'!$B1:$AH671,28,FALSE)-AVERAGE('The List'!AC2:AC671))/STDEV('The List'!AC2:AC671)</f>
        <v>0.62023429596045754</v>
      </c>
      <c r="Q97" s="55" cm="1">
        <f t="array" ref="Q97">(VLOOKUP($A97,'The List'!$B1:$AH671,29,FALSE)-AVERAGE('The List'!AD2:AD671))/STDEV('The List'!AD2:AD671)</f>
        <v>-0.47688958966064848</v>
      </c>
      <c r="R97" s="55" cm="1">
        <f t="array" ref="R97">(VLOOKUP($A97,'The List'!$B1:$AH671,30,FALSE)-AVERAGE('The List'!AE2:AE671))/STDEV('The List'!AE2:AE671)</f>
        <v>1.9429245986193897</v>
      </c>
      <c r="S97" s="55" cm="1">
        <f t="array" ref="S97">(VLOOKUP($A97,'The List'!$B1:$AH671,31,FALSE)-AVERAGE('The List'!AF2:AF671))/STDEV('The List'!AF2:AF671)</f>
        <v>2.6905687934318574</v>
      </c>
      <c r="T97" s="55" cm="1">
        <f t="array" ref="T97">(VLOOKUP($A97,'The List'!$B1:$AH671,32,FALSE)-AVERAGE('The List'!AG2:AG671))/STDEV('The List'!AG2:AG671)</f>
        <v>1.9702083927585339</v>
      </c>
      <c r="U97" s="55" cm="1">
        <f t="array" ref="U97">(VLOOKUP($A97,'The List'!$B1:$AH671,33,FALSE)-AVERAGE('The List'!AH2:AH671))/STDEV('The List'!AH2:AH671)</f>
        <v>1.3749898690750295</v>
      </c>
      <c r="V97" s="55"/>
      <c r="W97" s="78"/>
      <c r="X97" s="57"/>
      <c r="Y97" s="57"/>
      <c r="Z97" s="57"/>
      <c r="AA97" s="57"/>
      <c r="AB97" s="57"/>
      <c r="AC97" s="60"/>
      <c r="AD97" s="61"/>
      <c r="AE97" s="55"/>
    </row>
    <row r="98" spans="1:31" ht="21.25" customHeight="1" x14ac:dyDescent="0.15">
      <c r="A98" s="10" t="s">
        <v>799</v>
      </c>
      <c r="B98" s="18" t="str" cm="1">
        <f t="array" ref="B98">VLOOKUP(A98,'Player Data'!A1:B673,2,FALSE)</f>
        <v>FLA</v>
      </c>
      <c r="C98" s="52" cm="1">
        <f t="array" ref="C98">((E98)*Settings!$C$12)+(F98*Settings!$C$2)+(G98*Settings!$C$3)+(H98*Settings!$C$4)+(I98*Settings!$C$5)+(K98*Settings!$C$9)+(N98*Settings!$C$6)+(J98*Settings!$C$8)+(O98*Settings!$C$7)+(P98*Settings!$C$14)+(Q98*Settings!$C$15)+(R98*Settings!$C$16)+(S98*Settings!$C$17)+(T98*Settings!$C$18)+(U98*Settings!$C$19)+(L98*Settings!$C$10)+(Settings!$C$11*M98)</f>
        <v>-1.0879507713346586</v>
      </c>
      <c r="D98" s="57" cm="1">
        <f t="array" ref="D98">IF(Settings!$E$12="YES",VLOOKUP(A98,'Player Data'!A1:E673,5,FALSE),82)</f>
        <v>61.45</v>
      </c>
      <c r="E98" s="55" cm="1">
        <f t="array" ref="E98">(VLOOKUP($A98,'The List'!$B1:$AH671,17,FALSE)-AVERAGE('The List'!R2:R671))/STDEV('The List'!R2:R671)</f>
        <v>-2.328695078690084</v>
      </c>
      <c r="F98" s="55" cm="1">
        <f t="array" ref="F98">(VLOOKUP($A98,'The List'!$B1:$AH671,18,FALSE)-AVERAGE('The List'!S2:S671))/STDEV('The List'!S2:S671)</f>
        <v>-1.020123370285938</v>
      </c>
      <c r="G98" s="55" cm="1">
        <f t="array" ref="G98">(VLOOKUP($A98,'The List'!$B1:$AH671,19,FALSE)-AVERAGE('The List'!T2:T671))/STDEV('The List'!T2:T671)</f>
        <v>-1.3674916628355616</v>
      </c>
      <c r="H98" s="55" cm="1">
        <f t="array" ref="H98">(VLOOKUP($A98,'The List'!$B1:$AH671,20,FALSE)-AVERAGE('The List'!U2:U671))/STDEV('The List'!U2:U671)</f>
        <v>-1.3127515862604759</v>
      </c>
      <c r="I98" s="55" cm="1">
        <f t="array" ref="I98">(VLOOKUP($A98,'The List'!$B1:$AH671,21,FALSE)-AVERAGE('The List'!V2:V671))/STDEV('The List'!V2:V671)</f>
        <v>-1.3306262114770184</v>
      </c>
      <c r="J98" s="55" cm="1">
        <f t="array" ref="J98">(VLOOKUP($A98,'The List'!$B1:$AH671,22,FALSE)-AVERAGE('The List'!W2:W671))/STDEV('The List'!W2:W671)</f>
        <v>-0.7472543252125412</v>
      </c>
      <c r="K98" s="55" cm="1">
        <f t="array" ref="K98">(VLOOKUP($A98,'The List'!$B1:$AH671,23,FALSE)-AVERAGE('The List'!X2:X671))/STDEV('The List'!X2:X671)</f>
        <v>-0.80959396165972575</v>
      </c>
      <c r="L98" s="55" cm="1">
        <f t="array" ref="L98">(VLOOKUP($A98,'The List'!$B1:$AH671,24,FALSE)-AVERAGE('The List'!Y2:Y671))/STDEV('The List'!Y2:Y671)</f>
        <v>-0.56569022661034529</v>
      </c>
      <c r="M98" s="55" cm="1">
        <f t="array" ref="M98">(VLOOKUP($A98,'The List'!$B1:$AH671,25,FALSE)-AVERAGE('The List'!Z2:Z671))/STDEV('The List'!Z2:Z671)</f>
        <v>-0.70756870995144849</v>
      </c>
      <c r="N98" s="55" cm="1">
        <f t="array" ref="N98">(VLOOKUP($A98,'The List'!$B1:$AH671,26,FALSE)-AVERAGE('The List'!AA2:AA671))/STDEV('The List'!AA2:AA671)</f>
        <v>-1.0091528667366327</v>
      </c>
      <c r="O98" s="55" cm="1">
        <f t="array" ref="O98">(VLOOKUP($A98,'The List'!$B1:$AH671,27,FALSE)-AVERAGE('The List'!AB2:AB671))/STDEV('The List'!AB2:AB671)</f>
        <v>0.98291535258422236</v>
      </c>
      <c r="P98" s="55" cm="1">
        <f t="array" ref="P98">(VLOOKUP($A98,'The List'!$B1:$AH671,28,FALSE)-AVERAGE('The List'!AC2:AC671))/STDEV('The List'!AC2:AC671)</f>
        <v>0.37762189222966008</v>
      </c>
      <c r="Q98" s="55" cm="1">
        <f t="array" ref="Q98">(VLOOKUP($A98,'The List'!$B1:$AH671,29,FALSE)-AVERAGE('The List'!AD2:AD671))/STDEV('The List'!AD2:AD671)</f>
        <v>4.0714154094305579</v>
      </c>
      <c r="R98" s="55" cm="1">
        <f t="array" ref="R98">(VLOOKUP($A98,'The List'!$B1:$AH671,30,FALSE)-AVERAGE('The List'!AE2:AE671))/STDEV('The List'!AE2:AE671)</f>
        <v>-0.96785025725535589</v>
      </c>
      <c r="S98" s="55" cm="1">
        <f t="array" ref="S98">(VLOOKUP($A98,'The List'!$B1:$AH671,31,FALSE)-AVERAGE('The List'!AF2:AF671))/STDEV('The List'!AF2:AF671)</f>
        <v>-0.59030826994075514</v>
      </c>
      <c r="T98" s="55" cm="1">
        <f t="array" ref="T98">(VLOOKUP($A98,'The List'!$B1:$AH671,32,FALSE)-AVERAGE('The List'!AG2:AG671))/STDEV('The List'!AG2:AG671)</f>
        <v>-0.63790696082414144</v>
      </c>
      <c r="U98" s="55" cm="1">
        <f t="array" ref="U98">(VLOOKUP($A98,'The List'!$B1:$AH671,33,FALSE)-AVERAGE('The List'!AH2:AH671))/STDEV('The List'!AH2:AH671)</f>
        <v>0.23685724961936538</v>
      </c>
      <c r="V98" s="55"/>
      <c r="W98" s="57"/>
      <c r="X98" s="55"/>
      <c r="Y98" s="55"/>
      <c r="Z98" s="55"/>
      <c r="AA98" s="55"/>
      <c r="AB98" s="55"/>
      <c r="AC98" s="55"/>
      <c r="AD98" s="55"/>
      <c r="AE98" s="55"/>
    </row>
    <row r="99" spans="1:31" ht="21.25" customHeight="1" x14ac:dyDescent="0.15">
      <c r="A99" s="10" t="s">
        <v>288</v>
      </c>
      <c r="B99" s="18" t="str" cm="1">
        <f t="array" ref="B99">VLOOKUP(A99,'Player Data'!A1:B673,2,FALSE)</f>
        <v>S.J</v>
      </c>
      <c r="C99" s="52" cm="1">
        <f t="array" ref="C99">((E99)*Settings!$C$12)+(F99*Settings!$C$2)+(G99*Settings!$C$3)+(H99*Settings!$C$4)+(I99*Settings!$C$5)+(K99*Settings!$C$9)+(N99*Settings!$C$6)+(J99*Settings!$C$8)+(O99*Settings!$C$7)+(P99*Settings!$C$14)+(Q99*Settings!$C$15)+(R99*Settings!$C$16)+(S99*Settings!$C$17)+(T99*Settings!$C$18)+(U99*Settings!$C$19)+(L99*Settings!$C$10)+(Settings!$C$11*M99)</f>
        <v>2.9055371284199514</v>
      </c>
      <c r="D99" s="57" cm="1">
        <f t="array" ref="D99">IF(Settings!$E$12="YES",VLOOKUP(A99,'Player Data'!A1:E673,5,FALSE),82)</f>
        <v>77</v>
      </c>
      <c r="E99" s="55" cm="1">
        <f t="array" ref="E99">(VLOOKUP($A99,'The List'!$B1:$AH671,17,FALSE)-AVERAGE('The List'!R2:R671))/STDEV('The List'!R2:R671)</f>
        <v>-3.3156974555788886E-2</v>
      </c>
      <c r="F99" s="55" cm="1">
        <f t="array" ref="F99">(VLOOKUP($A99,'The List'!$B1:$AH671,18,FALSE)-AVERAGE('The List'!S2:S671))/STDEV('The List'!S2:S671)</f>
        <v>1.3061548565876731</v>
      </c>
      <c r="G99" s="55" cm="1">
        <f t="array" ref="G99">(VLOOKUP($A99,'The List'!$B1:$AH671,19,FALSE)-AVERAGE('The List'!T2:T671))/STDEV('The List'!T2:T671)</f>
        <v>0.90799276910376425</v>
      </c>
      <c r="H99" s="55" cm="1">
        <f t="array" ref="H99">(VLOOKUP($A99,'The List'!$B1:$AH671,20,FALSE)-AVERAGE('The List'!U2:U671))/STDEV('The List'!U2:U671)</f>
        <v>1.1506351558005992</v>
      </c>
      <c r="I99" s="55" cm="1">
        <f t="array" ref="I99">(VLOOKUP($A99,'The List'!$B1:$AH671,21,FALSE)-AVERAGE('The List'!V2:V671))/STDEV('The List'!V2:V671)</f>
        <v>0.41758339482519102</v>
      </c>
      <c r="J99" s="55" cm="1">
        <f t="array" ref="J99">(VLOOKUP($A99,'The List'!$B1:$AH671,22,FALSE)-AVERAGE('The List'!W2:W671))/STDEV('The List'!W2:W671)</f>
        <v>2.1161894177693901</v>
      </c>
      <c r="K99" s="55" cm="1">
        <f t="array" ref="K99">(VLOOKUP($A99,'The List'!$B1:$AH671,23,FALSE)-AVERAGE('The List'!X2:X671))/STDEV('The List'!X2:X671)</f>
        <v>1.6174534319821952</v>
      </c>
      <c r="L99" s="55" cm="1">
        <f t="array" ref="L99">(VLOOKUP($A99,'The List'!$B1:$AH671,24,FALSE)-AVERAGE('The List'!Y2:Y671))/STDEV('The List'!Y2:Y671)</f>
        <v>-0.55591802344335639</v>
      </c>
      <c r="M99" s="55" cm="1">
        <f t="array" ref="M99">(VLOOKUP($A99,'The List'!$B1:$AH671,25,FALSE)-AVERAGE('The List'!Z2:Z671))/STDEV('The List'!Z2:Z671)</f>
        <v>-0.69802853901754258</v>
      </c>
      <c r="N99" s="55" cm="1">
        <f t="array" ref="N99">(VLOOKUP($A99,'The List'!$B1:$AH671,26,FALSE)-AVERAGE('The List'!AA2:AA671))/STDEV('The List'!AA2:AA671)</f>
        <v>-0.52648941902511071</v>
      </c>
      <c r="O99" s="55" cm="1">
        <f t="array" ref="O99">(VLOOKUP($A99,'The List'!$B1:$AH671,27,FALSE)-AVERAGE('The List'!AB2:AB671))/STDEV('The List'!AB2:AB671)</f>
        <v>-0.86526895108487367</v>
      </c>
      <c r="P99" s="55" cm="1">
        <f t="array" ref="P99">(VLOOKUP($A99,'The List'!$B1:$AH671,28,FALSE)-AVERAGE('The List'!AC2:AC671))/STDEV('The List'!AC2:AC671)</f>
        <v>-0.48421313408084921</v>
      </c>
      <c r="Q99" s="55" cm="1">
        <f t="array" ref="Q99">(VLOOKUP($A99,'The List'!$B1:$AH671,29,FALSE)-AVERAGE('The List'!AD2:AD671))/STDEV('The List'!AD2:AD671)</f>
        <v>-0.33294477097291258</v>
      </c>
      <c r="R99" s="55" cm="1">
        <f t="array" ref="R99">(VLOOKUP($A99,'The List'!$B1:$AH671,30,FALSE)-AVERAGE('The List'!AE2:AE671))/STDEV('The List'!AE2:AE671)</f>
        <v>1.0063679066133535</v>
      </c>
      <c r="S99" s="55" cm="1">
        <f t="array" ref="S99">(VLOOKUP($A99,'The List'!$B1:$AH671,31,FALSE)-AVERAGE('The List'!AF2:AF671))/STDEV('The List'!AF2:AF671)</f>
        <v>1.1268071603411038</v>
      </c>
      <c r="T99" s="55" cm="1">
        <f t="array" ref="T99">(VLOOKUP($A99,'The List'!$B1:$AH671,32,FALSE)-AVERAGE('The List'!AG2:AG671))/STDEV('The List'!AG2:AG671)</f>
        <v>1.5258749443353838</v>
      </c>
      <c r="U99" s="55" cm="1">
        <f t="array" ref="U99">(VLOOKUP($A99,'The List'!$B1:$AH671,33,FALSE)-AVERAGE('The List'!AH2:AH671))/STDEV('The List'!AH2:AH671)</f>
        <v>0.84877577631247469</v>
      </c>
      <c r="V99" s="55"/>
      <c r="W99" s="78"/>
      <c r="X99" s="57"/>
      <c r="Y99" s="57"/>
      <c r="Z99" s="57"/>
      <c r="AA99" s="57"/>
      <c r="AB99" s="57"/>
      <c r="AC99" s="60"/>
      <c r="AD99" s="61"/>
      <c r="AE99" s="55"/>
    </row>
    <row r="100" spans="1:31" ht="21.25" customHeight="1" x14ac:dyDescent="0.15">
      <c r="A100" s="10" t="s">
        <v>266</v>
      </c>
      <c r="B100" s="18" t="str" cm="1">
        <f t="array" ref="B100">VLOOKUP(A100,'Player Data'!A1:B673,2,FALSE)</f>
        <v>NSH</v>
      </c>
      <c r="C100" s="52" cm="1">
        <f t="array" ref="C100">((E100)*Settings!$C$12)+(F100*Settings!$C$2)+(G100*Settings!$C$3)+(H100*Settings!$C$4)+(I100*Settings!$C$5)+(K100*Settings!$C$9)+(N100*Settings!$C$6)+(J100*Settings!$C$8)+(O100*Settings!$C$7)+(P100*Settings!$C$14)+(Q100*Settings!$C$15)+(R100*Settings!$C$16)+(S100*Settings!$C$17)+(T100*Settings!$C$18)+(U100*Settings!$C$19)+(L100*Settings!$C$10)+(Settings!$C$11*M100)</f>
        <v>4.9523133696184107</v>
      </c>
      <c r="D100" s="57" cm="1">
        <f t="array" ref="D100">IF(Settings!$E$12="YES",VLOOKUP(A100,'Player Data'!A1:E673,5,FALSE),82)</f>
        <v>83.73</v>
      </c>
      <c r="E100" s="55" cm="1">
        <f t="array" ref="E100">(VLOOKUP($A100,'The List'!$B1:$AH671,17,FALSE)-AVERAGE('The List'!R2:R671))/STDEV('The List'!R2:R671)</f>
        <v>0.2632623056211994</v>
      </c>
      <c r="F100" s="55" cm="1">
        <f t="array" ref="F100">(VLOOKUP($A100,'The List'!$B1:$AH671,18,FALSE)-AVERAGE('The List'!S2:S671))/STDEV('The List'!S2:S671)</f>
        <v>2.1329895135655788</v>
      </c>
      <c r="G100" s="55" cm="1">
        <f t="array" ref="G100">(VLOOKUP($A100,'The List'!$B1:$AH671,19,FALSE)-AVERAGE('The List'!T2:T671))/STDEV('The List'!T2:T671)</f>
        <v>0.26134961027744158</v>
      </c>
      <c r="H100" s="55" cm="1">
        <f t="array" ref="H100">(VLOOKUP($A100,'The List'!$B1:$AH671,20,FALSE)-AVERAGE('The List'!U2:U671))/STDEV('The List'!U2:U671)</f>
        <v>1.1107485729597382</v>
      </c>
      <c r="I100" s="55" cm="1">
        <f t="array" ref="I100">(VLOOKUP($A100,'The List'!$B1:$AH671,21,FALSE)-AVERAGE('The List'!V2:V671))/STDEV('The List'!V2:V671)</f>
        <v>1.4340607594244743</v>
      </c>
      <c r="J100" s="55" cm="1">
        <f t="array" ref="J100">(VLOOKUP($A100,'The List'!$B1:$AH671,22,FALSE)-AVERAGE('The List'!W2:W671))/STDEV('The List'!W2:W671)</f>
        <v>3.0129199372211759</v>
      </c>
      <c r="K100" s="55" cm="1">
        <f t="array" ref="K100">(VLOOKUP($A100,'The List'!$B1:$AH671,23,FALSE)-AVERAGE('The List'!X2:X671))/STDEV('The List'!X2:X671)</f>
        <v>1.680511056087642</v>
      </c>
      <c r="L100" s="55" cm="1">
        <f t="array" ref="L100">(VLOOKUP($A100,'The List'!$B1:$AH671,24,FALSE)-AVERAGE('The List'!Y2:Y671))/STDEV('The List'!Y2:Y671)</f>
        <v>-0.54143170775428395</v>
      </c>
      <c r="M100" s="55" cm="1">
        <f t="array" ref="M100">(VLOOKUP($A100,'The List'!$B1:$AH671,25,FALSE)-AVERAGE('The List'!Z2:Z671))/STDEV('The List'!Z2:Z671)</f>
        <v>-0.684218216036247</v>
      </c>
      <c r="N100" s="55" cm="1">
        <f t="array" ref="N100">(VLOOKUP($A100,'The List'!$B1:$AH671,26,FALSE)-AVERAGE('The List'!AA2:AA671))/STDEV('The List'!AA2:AA671)</f>
        <v>-0.60109061288820731</v>
      </c>
      <c r="O100" s="55" cm="1">
        <f t="array" ref="O100">(VLOOKUP($A100,'The List'!$B1:$AH671,27,FALSE)-AVERAGE('The List'!AB2:AB671))/STDEV('The List'!AB2:AB671)</f>
        <v>-7.1560018376467111E-2</v>
      </c>
      <c r="P100" s="55" cm="1">
        <f t="array" ref="P100">(VLOOKUP($A100,'The List'!$B1:$AH671,28,FALSE)-AVERAGE('The List'!AC2:AC671))/STDEV('The List'!AC2:AC671)</f>
        <v>-0.82233564601781728</v>
      </c>
      <c r="Q100" s="55" cm="1">
        <f t="array" ref="Q100">(VLOOKUP($A100,'The List'!$B1:$AH671,29,FALSE)-AVERAGE('The List'!AD2:AD671))/STDEV('The List'!AD2:AD671)</f>
        <v>0.86682868916929789</v>
      </c>
      <c r="R100" s="55" cm="1">
        <f t="array" ref="R100">(VLOOKUP($A100,'The List'!$B1:$AH671,30,FALSE)-AVERAGE('The List'!AE2:AE671))/STDEV('The List'!AE2:AE671)</f>
        <v>1.7002959757841178</v>
      </c>
      <c r="S100" s="55" cm="1">
        <f t="array" ref="S100">(VLOOKUP($A100,'The List'!$B1:$AH671,31,FALSE)-AVERAGE('The List'!AF2:AF671))/STDEV('The List'!AF2:AF671)</f>
        <v>1.0085446886069518</v>
      </c>
      <c r="T100" s="55" cm="1">
        <f t="array" ref="T100">(VLOOKUP($A100,'The List'!$B1:$AH671,32,FALSE)-AVERAGE('The List'!AG2:AG671))/STDEV('The List'!AG2:AG671)</f>
        <v>0.78419361934489673</v>
      </c>
      <c r="U100" s="55" cm="1">
        <f t="array" ref="U100">(VLOOKUP($A100,'The List'!$B1:$AH671,33,FALSE)-AVERAGE('The List'!AH2:AH671))/STDEV('The List'!AH2:AH671)</f>
        <v>1.2460728277504511</v>
      </c>
      <c r="V100" s="55"/>
      <c r="W100" s="57"/>
      <c r="X100" s="55"/>
      <c r="Y100" s="55"/>
      <c r="Z100" s="55"/>
      <c r="AA100" s="55"/>
      <c r="AB100" s="55"/>
      <c r="AC100" s="55"/>
      <c r="AD100" s="55"/>
      <c r="AE100" s="55"/>
    </row>
    <row r="101" spans="1:31" ht="21.25" customHeight="1" x14ac:dyDescent="0.15">
      <c r="A101" s="10" t="s">
        <v>321</v>
      </c>
      <c r="B101" s="18" t="str" cm="1">
        <f t="array" ref="B101">VLOOKUP(A101,'Player Data'!A1:B673,2,FALSE)</f>
        <v>SEA</v>
      </c>
      <c r="C101" s="52" cm="1">
        <f t="array" ref="C101">((E101)*Settings!$C$12)+(F101*Settings!$C$2)+(G101*Settings!$C$3)+(H101*Settings!$C$4)+(I101*Settings!$C$5)+(K101*Settings!$C$9)+(N101*Settings!$C$6)+(J101*Settings!$C$8)+(O101*Settings!$C$7)+(P101*Settings!$C$14)+(Q101*Settings!$C$15)+(R101*Settings!$C$16)+(S101*Settings!$C$17)+(T101*Settings!$C$18)+(U101*Settings!$C$19)+(L101*Settings!$C$10)+(Settings!$C$11*M101)</f>
        <v>1.2180920739004422</v>
      </c>
      <c r="D101" s="57" cm="1">
        <f t="array" ref="D101">IF(Settings!$E$12="YES",VLOOKUP(A101,'Player Data'!A1:E673,5,FALSE),82)</f>
        <v>78.504999999999995</v>
      </c>
      <c r="E101" s="55" cm="1">
        <f t="array" ref="E101">(VLOOKUP($A101,'The List'!$B1:$AH671,17,FALSE)-AVERAGE('The List'!R2:R671))/STDEV('The List'!R2:R671)</f>
        <v>-0.11659644139518113</v>
      </c>
      <c r="F101" s="55" cm="1">
        <f t="array" ref="F101">(VLOOKUP($A101,'The List'!$B1:$AH671,18,FALSE)-AVERAGE('The List'!S2:S671))/STDEV('The List'!S2:S671)</f>
        <v>1.1748871303653641</v>
      </c>
      <c r="G101" s="55" cm="1">
        <f t="array" ref="G101">(VLOOKUP($A101,'The List'!$B1:$AH671,19,FALSE)-AVERAGE('The List'!T2:T671))/STDEV('The List'!T2:T671)</f>
        <v>0.65765910934755123</v>
      </c>
      <c r="H101" s="55" cm="1">
        <f t="array" ref="H101">(VLOOKUP($A101,'The List'!$B1:$AH671,20,FALSE)-AVERAGE('The List'!U2:U671))/STDEV('The List'!U2:U671)</f>
        <v>0.93493597052644262</v>
      </c>
      <c r="I101" s="55" cm="1">
        <f t="array" ref="I101">(VLOOKUP($A101,'The List'!$B1:$AH671,21,FALSE)-AVERAGE('The List'!V2:V671))/STDEV('The List'!V2:V671)</f>
        <v>0.94684264085421788</v>
      </c>
      <c r="J101" s="55" cm="1">
        <f t="array" ref="J101">(VLOOKUP($A101,'The List'!$B1:$AH671,22,FALSE)-AVERAGE('The List'!W2:W671))/STDEV('The List'!W2:W671)</f>
        <v>1.3471219612181669</v>
      </c>
      <c r="K101" s="55" cm="1">
        <f t="array" ref="K101">(VLOOKUP($A101,'The List'!$B1:$AH671,23,FALSE)-AVERAGE('The List'!X2:X671))/STDEV('The List'!X2:X671)</f>
        <v>1.0596035485205342</v>
      </c>
      <c r="L101" s="55" cm="1">
        <f t="array" ref="L101">(VLOOKUP($A101,'The List'!$B1:$AH671,24,FALSE)-AVERAGE('The List'!Y2:Y671))/STDEV('The List'!Y2:Y671)</f>
        <v>-0.46282576553673749</v>
      </c>
      <c r="M101" s="55" cm="1">
        <f t="array" ref="M101">(VLOOKUP($A101,'The List'!$B1:$AH671,25,FALSE)-AVERAGE('The List'!Z2:Z671))/STDEV('The List'!Z2:Z671)</f>
        <v>-0.59802764224511706</v>
      </c>
      <c r="N101" s="55" cm="1">
        <f t="array" ref="N101">(VLOOKUP($A101,'The List'!$B1:$AH671,26,FALSE)-AVERAGE('The List'!AA2:AA671))/STDEV('The List'!AA2:AA671)</f>
        <v>-0.6408023329550262</v>
      </c>
      <c r="O101" s="55" cm="1">
        <f t="array" ref="O101">(VLOOKUP($A101,'The List'!$B1:$AH671,27,FALSE)-AVERAGE('The List'!AB2:AB671))/STDEV('The List'!AB2:AB671)</f>
        <v>-0.57507670730684091</v>
      </c>
      <c r="P101" s="55" cm="1">
        <f t="array" ref="P101">(VLOOKUP($A101,'The List'!$B1:$AH671,28,FALSE)-AVERAGE('The List'!AC2:AC671))/STDEV('The List'!AC2:AC671)</f>
        <v>-1.2774845403446562</v>
      </c>
      <c r="Q101" s="55" cm="1">
        <f t="array" ref="Q101">(VLOOKUP($A101,'The List'!$B1:$AH671,29,FALSE)-AVERAGE('The List'!AD2:AD671))/STDEV('The List'!AD2:AD671)</f>
        <v>-0.70261348188754236</v>
      </c>
      <c r="R101" s="55" cm="1">
        <f t="array" ref="R101">(VLOOKUP($A101,'The List'!$B1:$AH671,30,FALSE)-AVERAGE('The List'!AE2:AE671))/STDEV('The List'!AE2:AE671)</f>
        <v>0.85897904597674379</v>
      </c>
      <c r="S101" s="55" cm="1">
        <f t="array" ref="S101">(VLOOKUP($A101,'The List'!$B1:$AH671,31,FALSE)-AVERAGE('The List'!AF2:AF671))/STDEV('The List'!AF2:AF671)</f>
        <v>-0.30882080007115992</v>
      </c>
      <c r="T101" s="55" cm="1">
        <f t="array" ref="T101">(VLOOKUP($A101,'The List'!$B1:$AH671,32,FALSE)-AVERAGE('The List'!AG2:AG671))/STDEV('The List'!AG2:AG671)</f>
        <v>-0.31436829445061143</v>
      </c>
      <c r="U101" s="55" cm="1">
        <f t="array" ref="U101">(VLOOKUP($A101,'The List'!$B1:$AH671,33,FALSE)-AVERAGE('The List'!AH2:AH671))/STDEV('The List'!AH2:AH671)</f>
        <v>0.94231457137681918</v>
      </c>
      <c r="V101" s="55"/>
      <c r="W101" s="78"/>
      <c r="X101" s="57"/>
      <c r="Y101" s="57"/>
      <c r="Z101" s="57"/>
      <c r="AA101" s="57"/>
      <c r="AB101" s="57"/>
      <c r="AC101" s="60"/>
      <c r="AD101" s="61"/>
      <c r="AE101" s="55"/>
    </row>
    <row r="102" spans="1:31" ht="21.25" customHeight="1" x14ac:dyDescent="0.15">
      <c r="A102" s="10" t="s">
        <v>294</v>
      </c>
      <c r="B102" s="18" t="str" cm="1">
        <f t="array" ref="B102">VLOOKUP(A102,'Player Data'!A1:B673,2,FALSE)</f>
        <v>WSH</v>
      </c>
      <c r="C102" s="52" cm="1">
        <f t="array" ref="C102">((E102)*Settings!$C$12)+(F102*Settings!$C$2)+(G102*Settings!$C$3)+(H102*Settings!$C$4)+(I102*Settings!$C$5)+(K102*Settings!$C$9)+(N102*Settings!$C$6)+(J102*Settings!$C$8)+(O102*Settings!$C$7)+(P102*Settings!$C$14)+(Q102*Settings!$C$15)+(R102*Settings!$C$16)+(S102*Settings!$C$17)+(T102*Settings!$C$18)+(U102*Settings!$C$19)+(L102*Settings!$C$10)+(Settings!$C$11*M102)</f>
        <v>8.542478817544005</v>
      </c>
      <c r="D102" s="57" cm="1">
        <f t="array" ref="D102">IF(Settings!$E$12="YES",VLOOKUP(A102,'Player Data'!A1:E673,5,FALSE),82)</f>
        <v>81.317499999999995</v>
      </c>
      <c r="E102" s="55" cm="1">
        <f t="array" ref="E102">(VLOOKUP($A102,'The List'!$B1:$AH671,17,FALSE)-AVERAGE('The List'!R2:R671))/STDEV('The List'!R2:R671)</f>
        <v>0.6492250528866127</v>
      </c>
      <c r="F102" s="55" cm="1">
        <f t="array" ref="F102">(VLOOKUP($A102,'The List'!$B1:$AH671,18,FALSE)-AVERAGE('The List'!S2:S671))/STDEV('The List'!S2:S671)</f>
        <v>1.5331564890645693</v>
      </c>
      <c r="G102" s="55" cm="1">
        <f t="array" ref="G102">(VLOOKUP($A102,'The List'!$B1:$AH671,19,FALSE)-AVERAGE('The List'!T2:T671))/STDEV('The List'!T2:T671)</f>
        <v>0.54934414144867472</v>
      </c>
      <c r="H102" s="55" cm="1">
        <f t="array" ref="H102">(VLOOKUP($A102,'The List'!$B1:$AH671,20,FALSE)-AVERAGE('The List'!U2:U671))/STDEV('The List'!U2:U671)</f>
        <v>1.0257627483411362</v>
      </c>
      <c r="I102" s="55" cm="1">
        <f t="array" ref="I102">(VLOOKUP($A102,'The List'!$B1:$AH671,21,FALSE)-AVERAGE('The List'!V2:V671))/STDEV('The List'!V2:V671)</f>
        <v>0.85745784477587261</v>
      </c>
      <c r="J102" s="55" cm="1">
        <f t="array" ref="J102">(VLOOKUP($A102,'The List'!$B1:$AH671,22,FALSE)-AVERAGE('The List'!W2:W671))/STDEV('The List'!W2:W671)</f>
        <v>1.4064697987508319</v>
      </c>
      <c r="K102" s="55" cm="1">
        <f t="array" ref="K102">(VLOOKUP($A102,'The List'!$B1:$AH671,23,FALSE)-AVERAGE('The List'!X2:X671))/STDEV('The List'!X2:X671)</f>
        <v>0.60035412226070251</v>
      </c>
      <c r="L102" s="55" cm="1">
        <f t="array" ref="L102">(VLOOKUP($A102,'The List'!$B1:$AH671,24,FALSE)-AVERAGE('The List'!Y2:Y671))/STDEV('The List'!Y2:Y671)</f>
        <v>2.4644761399895265</v>
      </c>
      <c r="M102" s="55" cm="1">
        <f t="array" ref="M102">(VLOOKUP($A102,'The List'!$B1:$AH671,25,FALSE)-AVERAGE('The List'!Z2:Z671))/STDEV('The List'!Z2:Z671)</f>
        <v>2.2532726523314599</v>
      </c>
      <c r="N102" s="55" cm="1">
        <f t="array" ref="N102">(VLOOKUP($A102,'The List'!$B1:$AH671,26,FALSE)-AVERAGE('The List'!AA2:AA671))/STDEV('The List'!AA2:AA671)</f>
        <v>-2.512116046387005E-2</v>
      </c>
      <c r="O102" s="55" cm="1">
        <f t="array" ref="O102">(VLOOKUP($A102,'The List'!$B1:$AH671,27,FALSE)-AVERAGE('The List'!AB2:AB671))/STDEV('The List'!AB2:AB671)</f>
        <v>2.3069456460011728</v>
      </c>
      <c r="P102" s="55" cm="1">
        <f t="array" ref="P102">(VLOOKUP($A102,'The List'!$B1:$AH671,28,FALSE)-AVERAGE('The List'!AC2:AC671))/STDEV('The List'!AC2:AC671)</f>
        <v>1.2462824080342467</v>
      </c>
      <c r="Q102" s="55" cm="1">
        <f t="array" ref="Q102">(VLOOKUP($A102,'The List'!$B1:$AH671,29,FALSE)-AVERAGE('The List'!AD2:AD671))/STDEV('The List'!AD2:AD671)</f>
        <v>3.7810049724238093</v>
      </c>
      <c r="R102" s="55" cm="1">
        <f t="array" ref="R102">(VLOOKUP($A102,'The List'!$B1:$AH671,30,FALSE)-AVERAGE('The List'!AE2:AE671))/STDEV('The List'!AE2:AE671)</f>
        <v>1.3851258068351358</v>
      </c>
      <c r="S102" s="55" cm="1">
        <f t="array" ref="S102">(VLOOKUP($A102,'The List'!$B1:$AH671,31,FALSE)-AVERAGE('The List'!AF2:AF671))/STDEV('The List'!AF2:AF671)</f>
        <v>-0.52021063800808687</v>
      </c>
      <c r="T102" s="55" cm="1">
        <f t="array" ref="T102">(VLOOKUP($A102,'The List'!$B1:$AH671,32,FALSE)-AVERAGE('The List'!AG2:AG671))/STDEV('The List'!AG2:AG671)</f>
        <v>-0.50739509000825134</v>
      </c>
      <c r="U102" s="55" cm="1">
        <f t="array" ref="U102">(VLOOKUP($A102,'The List'!$B1:$AH671,33,FALSE)-AVERAGE('The List'!AH2:AH671))/STDEV('The List'!AH2:AH671)</f>
        <v>0.40773186385109672</v>
      </c>
      <c r="V102" s="55"/>
      <c r="W102" s="57"/>
      <c r="X102" s="55"/>
      <c r="Y102" s="55"/>
      <c r="Z102" s="55"/>
      <c r="AA102" s="55"/>
      <c r="AB102" s="55"/>
      <c r="AC102" s="55"/>
      <c r="AD102" s="55"/>
      <c r="AE102" s="55"/>
    </row>
    <row r="103" spans="1:31" ht="21.25" customHeight="1" x14ac:dyDescent="0.15">
      <c r="A103" s="10" t="s">
        <v>158</v>
      </c>
      <c r="B103" s="18" t="str" cm="1">
        <f t="array" ref="B103">VLOOKUP(A103,'Player Data'!A1:B673,2,FALSE)</f>
        <v>TOR</v>
      </c>
      <c r="C103" s="52" cm="1">
        <f t="array" ref="C103">((E103)*Settings!$C$12)+(F103*Settings!$C$2)+(G103*Settings!$C$3)+(H103*Settings!$C$4)+(I103*Settings!$C$5)+(K103*Settings!$C$9)+(N103*Settings!$C$6)+(J103*Settings!$C$8)+(O103*Settings!$C$7)+(P103*Settings!$C$14)+(Q103*Settings!$C$15)+(R103*Settings!$C$16)+(S103*Settings!$C$17)+(T103*Settings!$C$18)+(U103*Settings!$C$19)+(L103*Settings!$C$10)+(Settings!$C$11*M103)</f>
        <v>6.4417212978728262</v>
      </c>
      <c r="D103" s="57" cm="1">
        <f t="array" ref="D103">IF(Settings!$E$12="YES",VLOOKUP(A103,'Player Data'!A1:E673,5,FALSE),82)</f>
        <v>81.194999999999993</v>
      </c>
      <c r="E103" s="55" cm="1">
        <f t="array" ref="E103">(VLOOKUP($A103,'The List'!$B1:$AH671,17,FALSE)-AVERAGE('The List'!R2:R671))/STDEV('The List'!R2:R671)</f>
        <v>1.7062618902063997</v>
      </c>
      <c r="F103" s="55" cm="1">
        <f t="array" ref="F103">(VLOOKUP($A103,'The List'!$B1:$AH671,18,FALSE)-AVERAGE('The List'!S2:S671))/STDEV('The List'!S2:S671)</f>
        <v>9.4826152946509312E-2</v>
      </c>
      <c r="G103" s="55" cm="1">
        <f t="array" ref="G103">(VLOOKUP($A103,'The List'!$B1:$AH671,19,FALSE)-AVERAGE('The List'!T2:T671))/STDEV('The List'!T2:T671)</f>
        <v>1.5474555965481074</v>
      </c>
      <c r="H103" s="55" cm="1">
        <f t="array" ref="H103">(VLOOKUP($A103,'The List'!$B1:$AH671,20,FALSE)-AVERAGE('The List'!U2:U671))/STDEV('The List'!U2:U671)</f>
        <v>1.0154137036188422</v>
      </c>
      <c r="I103" s="55" cm="1">
        <f t="array" ref="I103">(VLOOKUP($A103,'The List'!$B1:$AH671,21,FALSE)-AVERAGE('The List'!V2:V671))/STDEV('The List'!V2:V671)</f>
        <v>1.2499458923637081</v>
      </c>
      <c r="J103" s="55" cm="1">
        <f t="array" ref="J103">(VLOOKUP($A103,'The List'!$B1:$AH671,22,FALSE)-AVERAGE('The List'!W2:W671))/STDEV('The List'!W2:W671)</f>
        <v>1.2105870362160227</v>
      </c>
      <c r="K103" s="55" cm="1">
        <f t="array" ref="K103">(VLOOKUP($A103,'The List'!$B1:$AH671,23,FALSE)-AVERAGE('The List'!X2:X671))/STDEV('The List'!X2:X671)</f>
        <v>1.5424647944651761</v>
      </c>
      <c r="L103" s="55" cm="1">
        <f t="array" ref="L103">(VLOOKUP($A103,'The List'!$B1:$AH671,24,FALSE)-AVERAGE('The List'!Y2:Y671))/STDEV('The List'!Y2:Y671)</f>
        <v>-0.51379959998855573</v>
      </c>
      <c r="M103" s="55" cm="1">
        <f t="array" ref="M103">(VLOOKUP($A103,'The List'!$B1:$AH671,25,FALSE)-AVERAGE('The List'!Z2:Z671))/STDEV('The List'!Z2:Z671)</f>
        <v>-0.59537642556217607</v>
      </c>
      <c r="N103" s="55" cm="1">
        <f t="array" ref="N103">(VLOOKUP($A103,'The List'!$B1:$AH671,26,FALSE)-AVERAGE('The List'!AA2:AA671))/STDEV('The List'!AA2:AA671)</f>
        <v>0.82038781764979551</v>
      </c>
      <c r="O103" s="55" cm="1">
        <f t="array" ref="O103">(VLOOKUP($A103,'The List'!$B1:$AH671,27,FALSE)-AVERAGE('The List'!AB2:AB671))/STDEV('The List'!AB2:AB671)</f>
        <v>-0.2102450933043816</v>
      </c>
      <c r="P103" s="55" cm="1">
        <f t="array" ref="P103">(VLOOKUP($A103,'The List'!$B1:$AH671,28,FALSE)-AVERAGE('The List'!AC2:AC671))/STDEV('The List'!AC2:AC671)</f>
        <v>0.51902100518715499</v>
      </c>
      <c r="Q103" s="55" cm="1">
        <f t="array" ref="Q103">(VLOOKUP($A103,'The List'!$B1:$AH671,29,FALSE)-AVERAGE('The List'!AD2:AD671))/STDEV('The List'!AD2:AD671)</f>
        <v>0.66762003871237496</v>
      </c>
      <c r="R103" s="55" cm="1">
        <f t="array" ref="R103">(VLOOKUP($A103,'The List'!$B1:$AH671,30,FALSE)-AVERAGE('The List'!AE2:AE671))/STDEV('The List'!AE2:AE671)</f>
        <v>-8.204680906835958E-2</v>
      </c>
      <c r="S103" s="55" cm="1">
        <f t="array" ref="S103">(VLOOKUP($A103,'The List'!$B1:$AH671,31,FALSE)-AVERAGE('The List'!AF2:AF671))/STDEV('The List'!AF2:AF671)</f>
        <v>-0.5939690971349143</v>
      </c>
      <c r="T103" s="55" cm="1">
        <f t="array" ref="T103">(VLOOKUP($A103,'The List'!$B1:$AH671,32,FALSE)-AVERAGE('The List'!AG2:AG671))/STDEV('The List'!AG2:AG671)</f>
        <v>-0.64602208138248207</v>
      </c>
      <c r="U103" s="55" cm="1">
        <f t="array" ref="U103">(VLOOKUP($A103,'The List'!$B1:$AH671,33,FALSE)-AVERAGE('The List'!AH2:AH671))/STDEV('The List'!AH2:AH671)</f>
        <v>-1.2548938914719048</v>
      </c>
      <c r="V103" s="55"/>
      <c r="W103" s="78"/>
      <c r="X103" s="57"/>
      <c r="Y103" s="57"/>
      <c r="Z103" s="57"/>
      <c r="AA103" s="57"/>
      <c r="AB103" s="57"/>
      <c r="AC103" s="60"/>
      <c r="AD103" s="61"/>
      <c r="AE103" s="55"/>
    </row>
    <row r="104" spans="1:31" ht="21.25" customHeight="1" x14ac:dyDescent="0.15">
      <c r="A104" s="10" t="s">
        <v>252</v>
      </c>
      <c r="B104" s="18" t="str" cm="1">
        <f t="array" ref="B104">VLOOKUP(A104,'Player Data'!A1:B673,2,FALSE)</f>
        <v>WSH</v>
      </c>
      <c r="C104" s="52" cm="1">
        <f t="array" ref="C104">((E104)*Settings!$C$12)+(F104*Settings!$C$2)+(G104*Settings!$C$3)+(H104*Settings!$C$4)+(I104*Settings!$C$5)+(K104*Settings!$C$9)+(N104*Settings!$C$6)+(J104*Settings!$C$8)+(O104*Settings!$C$7)+(P104*Settings!$C$14)+(Q104*Settings!$C$15)+(R104*Settings!$C$16)+(S104*Settings!$C$17)+(T104*Settings!$C$18)+(U104*Settings!$C$19)+(L104*Settings!$C$10)+(Settings!$C$11*M104)</f>
        <v>6.1969769574687206</v>
      </c>
      <c r="D104" s="57" cm="1">
        <f t="array" ref="D104">IF(Settings!$E$12="YES",VLOOKUP(A104,'Player Data'!A1:E673,5,FALSE),82)</f>
        <v>82.797499999999999</v>
      </c>
      <c r="E104" s="55" cm="1">
        <f t="array" ref="E104">(VLOOKUP($A104,'The List'!$B1:$AH671,17,FALSE)-AVERAGE('The List'!R2:R671))/STDEV('The List'!R2:R671)</f>
        <v>0.53796389401890465</v>
      </c>
      <c r="F104" s="55" cm="1">
        <f t="array" ref="F104">(VLOOKUP($A104,'The List'!$B1:$AH671,18,FALSE)-AVERAGE('The List'!S2:S671))/STDEV('The List'!S2:S671)</f>
        <v>1.5662377575202822</v>
      </c>
      <c r="G104" s="55" cm="1">
        <f t="array" ref="G104">(VLOOKUP($A104,'The List'!$B1:$AH671,19,FALSE)-AVERAGE('The List'!T2:T671))/STDEV('The List'!T2:T671)</f>
        <v>0.57804352861652009</v>
      </c>
      <c r="H104" s="55" cm="1">
        <f t="array" ref="H104">(VLOOKUP($A104,'The List'!$B1:$AH671,20,FALSE)-AVERAGE('The List'!U2:U671))/STDEV('The List'!U2:U671)</f>
        <v>1.0584919505730255</v>
      </c>
      <c r="I104" s="55" cm="1">
        <f t="array" ref="I104">(VLOOKUP($A104,'The List'!$B1:$AH671,21,FALSE)-AVERAGE('The List'!V2:V671))/STDEV('The List'!V2:V671)</f>
        <v>1.2015423345241762</v>
      </c>
      <c r="J104" s="55" cm="1">
        <f t="array" ref="J104">(VLOOKUP($A104,'The List'!$B1:$AH671,22,FALSE)-AVERAGE('The List'!W2:W671))/STDEV('The List'!W2:W671)</f>
        <v>8.8804320376719884E-2</v>
      </c>
      <c r="K104" s="55" cm="1">
        <f t="array" ref="K104">(VLOOKUP($A104,'The List'!$B1:$AH671,23,FALSE)-AVERAGE('The List'!X2:X671))/STDEV('The List'!X2:X671)</f>
        <v>-0.13328781276582935</v>
      </c>
      <c r="L104" s="55" cm="1">
        <f t="array" ref="L104">(VLOOKUP($A104,'The List'!$B1:$AH671,24,FALSE)-AVERAGE('The List'!Y2:Y671))/STDEV('The List'!Y2:Y671)</f>
        <v>5.5654920946436395</v>
      </c>
      <c r="M104" s="55" cm="1">
        <f t="array" ref="M104">(VLOOKUP($A104,'The List'!$B1:$AH671,25,FALSE)-AVERAGE('The List'!Z2:Z671))/STDEV('The List'!Z2:Z671)</f>
        <v>4.4254877181145735</v>
      </c>
      <c r="N104" s="55" cm="1">
        <f t="array" ref="N104">(VLOOKUP($A104,'The List'!$B1:$AH671,26,FALSE)-AVERAGE('The List'!AA2:AA671))/STDEV('The List'!AA2:AA671)</f>
        <v>0.82832450414529968</v>
      </c>
      <c r="O104" s="55" cm="1">
        <f t="array" ref="O104">(VLOOKUP($A104,'The List'!$B1:$AH671,27,FALSE)-AVERAGE('The List'!AB2:AB671))/STDEV('The List'!AB2:AB671)</f>
        <v>-7.704543199379657E-2</v>
      </c>
      <c r="P104" s="55" cm="1">
        <f t="array" ref="P104">(VLOOKUP($A104,'The List'!$B1:$AH671,28,FALSE)-AVERAGE('The List'!AC2:AC671))/STDEV('The List'!AC2:AC671)</f>
        <v>1.158855287224807</v>
      </c>
      <c r="Q104" s="55" cm="1">
        <f t="array" ref="Q104">(VLOOKUP($A104,'The List'!$B1:$AH671,29,FALSE)-AVERAGE('The List'!AD2:AD671))/STDEV('The List'!AD2:AD671)</f>
        <v>0.9972613582034654</v>
      </c>
      <c r="R104" s="55" cm="1">
        <f t="array" ref="R104">(VLOOKUP($A104,'The List'!$B1:$AH671,30,FALSE)-AVERAGE('The List'!AE2:AE671))/STDEV('The List'!AE2:AE671)</f>
        <v>1.4160872991047495</v>
      </c>
      <c r="S104" s="55" cm="1">
        <f t="array" ref="S104">(VLOOKUP($A104,'The List'!$B1:$AH671,31,FALSE)-AVERAGE('The List'!AF2:AF671))/STDEV('The List'!AF2:AF671)</f>
        <v>-0.35470397384263302</v>
      </c>
      <c r="T104" s="55" cm="1">
        <f t="array" ref="T104">(VLOOKUP($A104,'The List'!$B1:$AH671,32,FALSE)-AVERAGE('The List'!AG2:AG671))/STDEV('The List'!AG2:AG671)</f>
        <v>-0.31070190125395181</v>
      </c>
      <c r="U104" s="55" cm="1">
        <f t="array" ref="U104">(VLOOKUP($A104,'The List'!$B1:$AH671,33,FALSE)-AVERAGE('The List'!AH2:AH671))/STDEV('The List'!AH2:AH671)</f>
        <v>0.7299649595645471</v>
      </c>
      <c r="V104" s="55"/>
      <c r="W104" s="57"/>
      <c r="X104" s="55"/>
      <c r="Y104" s="55"/>
      <c r="Z104" s="55"/>
      <c r="AA104" s="55"/>
      <c r="AB104" s="55"/>
      <c r="AC104" s="55"/>
      <c r="AD104" s="55"/>
      <c r="AE104" s="55"/>
    </row>
    <row r="105" spans="1:31" ht="21.25" customHeight="1" x14ac:dyDescent="0.15">
      <c r="A105" s="10" t="s">
        <v>248</v>
      </c>
      <c r="B105" s="18" t="str" cm="1">
        <f t="array" ref="B105">VLOOKUP(A105,'Player Data'!A1:B673,2,FALSE)</f>
        <v>MIN</v>
      </c>
      <c r="C105" s="52" cm="1">
        <f t="array" ref="C105">((E105)*Settings!$C$12)+(F105*Settings!$C$2)+(G105*Settings!$C$3)+(H105*Settings!$C$4)+(I105*Settings!$C$5)+(K105*Settings!$C$9)+(N105*Settings!$C$6)+(J105*Settings!$C$8)+(O105*Settings!$C$7)+(P105*Settings!$C$14)+(Q105*Settings!$C$15)+(R105*Settings!$C$16)+(S105*Settings!$C$17)+(T105*Settings!$C$18)+(U105*Settings!$C$19)+(L105*Settings!$C$10)+(Settings!$C$11*M105)</f>
        <v>5.8556804886328848</v>
      </c>
      <c r="D105" s="57" cm="1">
        <f t="array" ref="D105">IF(Settings!$E$12="YES",VLOOKUP(A105,'Player Data'!A1:E673,5,FALSE),82)</f>
        <v>76.45</v>
      </c>
      <c r="E105" s="55" cm="1">
        <f t="array" ref="E105">(VLOOKUP($A105,'The List'!$B1:$AH671,17,FALSE)-AVERAGE('The List'!R2:R671))/STDEV('The List'!R2:R671)</f>
        <v>0.86937679221233555</v>
      </c>
      <c r="F105" s="55" cm="1">
        <f t="array" ref="F105">(VLOOKUP($A105,'The List'!$B1:$AH671,18,FALSE)-AVERAGE('The List'!S2:S671))/STDEV('The List'!S2:S671)</f>
        <v>1.0659350128223799</v>
      </c>
      <c r="G105" s="55" cm="1">
        <f t="array" ref="G105">(VLOOKUP($A105,'The List'!$B1:$AH671,19,FALSE)-AVERAGE('The List'!T2:T671))/STDEV('The List'!T2:T671)</f>
        <v>0.77498462309759153</v>
      </c>
      <c r="H105" s="55" cm="1">
        <f t="array" ref="H105">(VLOOKUP($A105,'The List'!$B1:$AH671,20,FALSE)-AVERAGE('The List'!U2:U671))/STDEV('The List'!U2:U671)</f>
        <v>0.96039341491573049</v>
      </c>
      <c r="I105" s="55" cm="1">
        <f t="array" ref="I105">(VLOOKUP($A105,'The List'!$B1:$AH671,21,FALSE)-AVERAGE('The List'!V2:V671))/STDEV('The List'!V2:V671)</f>
        <v>1.8264799172994717</v>
      </c>
      <c r="J105" s="55" cm="1">
        <f t="array" ref="J105">(VLOOKUP($A105,'The List'!$B1:$AH671,22,FALSE)-AVERAGE('The List'!W2:W671))/STDEV('The List'!W2:W671)</f>
        <v>1.7035707327024951</v>
      </c>
      <c r="K105" s="55" cm="1">
        <f t="array" ref="K105">(VLOOKUP($A105,'The List'!$B1:$AH671,23,FALSE)-AVERAGE('The List'!X2:X671))/STDEV('The List'!X2:X671)</f>
        <v>1.1164544402794145</v>
      </c>
      <c r="L105" s="55" cm="1">
        <f t="array" ref="L105">(VLOOKUP($A105,'The List'!$B1:$AH671,24,FALSE)-AVERAGE('The List'!Y2:Y671))/STDEV('The List'!Y2:Y671)</f>
        <v>-3.0332624637945269E-2</v>
      </c>
      <c r="M105" s="55" cm="1">
        <f t="array" ref="M105">(VLOOKUP($A105,'The List'!$B1:$AH671,25,FALSE)-AVERAGE('The List'!Z2:Z671))/STDEV('The List'!Z2:Z671)</f>
        <v>-0.28568394248943363</v>
      </c>
      <c r="N105" s="55" cm="1">
        <f t="array" ref="N105">(VLOOKUP($A105,'The List'!$B1:$AH671,26,FALSE)-AVERAGE('The List'!AA2:AA671))/STDEV('The List'!AA2:AA671)</f>
        <v>-0.46420596226710414</v>
      </c>
      <c r="O105" s="55" cm="1">
        <f t="array" ref="O105">(VLOOKUP($A105,'The List'!$B1:$AH671,27,FALSE)-AVERAGE('The List'!AB2:AB671))/STDEV('The List'!AB2:AB671)</f>
        <v>0.72417305559069356</v>
      </c>
      <c r="P105" s="55" cm="1">
        <f t="array" ref="P105">(VLOOKUP($A105,'The List'!$B1:$AH671,28,FALSE)-AVERAGE('The List'!AC2:AC671))/STDEV('The List'!AC2:AC671)</f>
        <v>0.94418783246422067</v>
      </c>
      <c r="Q105" s="55" cm="1">
        <f t="array" ref="Q105">(VLOOKUP($A105,'The List'!$B1:$AH671,29,FALSE)-AVERAGE('The List'!AD2:AD671))/STDEV('The List'!AD2:AD671)</f>
        <v>0.59184462493691037</v>
      </c>
      <c r="R105" s="55" cm="1">
        <f t="array" ref="R105">(VLOOKUP($A105,'The List'!$B1:$AH671,30,FALSE)-AVERAGE('The List'!AE2:AE671))/STDEV('The List'!AE2:AE671)</f>
        <v>1.1475845560480922</v>
      </c>
      <c r="S105" s="55" cm="1">
        <f t="array" ref="S105">(VLOOKUP($A105,'The List'!$B1:$AH671,31,FALSE)-AVERAGE('The List'!AF2:AF671))/STDEV('The List'!AF2:AF671)</f>
        <v>3.07649564681856</v>
      </c>
      <c r="T105" s="55" cm="1">
        <f t="array" ref="T105">(VLOOKUP($A105,'The List'!$B1:$AH671,32,FALSE)-AVERAGE('The List'!AG2:AG671))/STDEV('The List'!AG2:AG671)</f>
        <v>3.4653662324627343</v>
      </c>
      <c r="U105" s="55" cm="1">
        <f t="array" ref="U105">(VLOOKUP($A105,'The List'!$B1:$AH671,33,FALSE)-AVERAGE('The List'!AH2:AH671))/STDEV('The List'!AH2:AH671)</f>
        <v>0.98551797496843452</v>
      </c>
      <c r="V105" s="55"/>
      <c r="W105" s="57"/>
      <c r="X105" s="55"/>
      <c r="Y105" s="55"/>
      <c r="Z105" s="55"/>
      <c r="AA105" s="55"/>
      <c r="AB105" s="55"/>
      <c r="AC105" s="55"/>
      <c r="AD105" s="55"/>
      <c r="AE105" s="55"/>
    </row>
    <row r="106" spans="1:31" ht="21.25" customHeight="1" x14ac:dyDescent="0.15">
      <c r="A106" s="10" t="s">
        <v>299</v>
      </c>
      <c r="B106" s="18" t="str" cm="1">
        <f t="array" ref="B106">VLOOKUP(A106,'Player Data'!A1:B673,2,FALSE)</f>
        <v>BOS</v>
      </c>
      <c r="C106" s="52" cm="1">
        <f t="array" ref="C106">((E106)*Settings!$C$12)+(F106*Settings!$C$2)+(G106*Settings!$C$3)+(H106*Settings!$C$4)+(I106*Settings!$C$5)+(K106*Settings!$C$9)+(N106*Settings!$C$6)+(J106*Settings!$C$8)+(O106*Settings!$C$7)+(P106*Settings!$C$14)+(Q106*Settings!$C$15)+(R106*Settings!$C$16)+(S106*Settings!$C$17)+(T106*Settings!$C$18)+(U106*Settings!$C$19)+(L106*Settings!$C$10)+(Settings!$C$11*M106)</f>
        <v>2.62369569686593</v>
      </c>
      <c r="D106" s="57" cm="1">
        <f t="array" ref="D106">IF(Settings!$E$12="YES",VLOOKUP(A106,'Player Data'!A1:E673,5,FALSE),82)</f>
        <v>83.342500000000001</v>
      </c>
      <c r="E106" s="55" cm="1">
        <f t="array" ref="E106">(VLOOKUP($A106,'The List'!$B1:$AH671,17,FALSE)-AVERAGE('The List'!R2:R671))/STDEV('The List'!R2:R671)</f>
        <v>0.2356954854567283</v>
      </c>
      <c r="F106" s="55" cm="1">
        <f t="array" ref="F106">(VLOOKUP($A106,'The List'!$B1:$AH671,18,FALSE)-AVERAGE('The List'!S2:S671))/STDEV('The List'!S2:S671)</f>
        <v>1.5901611574225198</v>
      </c>
      <c r="G106" s="55" cm="1">
        <f t="array" ref="G106">(VLOOKUP($A106,'The List'!$B1:$AH671,19,FALSE)-AVERAGE('The List'!T2:T671))/STDEV('The List'!T2:T671)</f>
        <v>0.74635079968824003</v>
      </c>
      <c r="H106" s="55" cm="1">
        <f t="array" ref="H106">(VLOOKUP($A106,'The List'!$B1:$AH671,20,FALSE)-AVERAGE('The List'!U2:U671))/STDEV('The List'!U2:U671)</f>
        <v>1.1749706278291696</v>
      </c>
      <c r="I106" s="55" cm="1">
        <f t="array" ref="I106">(VLOOKUP($A106,'The List'!$B1:$AH671,21,FALSE)-AVERAGE('The List'!V2:V671))/STDEV('The List'!V2:V671)</f>
        <v>1.1645999722280953</v>
      </c>
      <c r="J106" s="55" cm="1">
        <f t="array" ref="J106">(VLOOKUP($A106,'The List'!$B1:$AH671,22,FALSE)-AVERAGE('The List'!W2:W671))/STDEV('The List'!W2:W671)</f>
        <v>0.8704591715068023</v>
      </c>
      <c r="K106" s="55" cm="1">
        <f t="array" ref="K106">(VLOOKUP($A106,'The List'!$B1:$AH671,23,FALSE)-AVERAGE('The List'!X2:X671))/STDEV('The List'!X2:X671)</f>
        <v>0.59154372707139546</v>
      </c>
      <c r="L106" s="55" cm="1">
        <f t="array" ref="L106">(VLOOKUP($A106,'The List'!$B1:$AH671,24,FALSE)-AVERAGE('The List'!Y2:Y671))/STDEV('The List'!Y2:Y671)</f>
        <v>-8.2430368051950639E-3</v>
      </c>
      <c r="M106" s="55" cm="1">
        <f t="array" ref="M106">(VLOOKUP($A106,'The List'!$B1:$AH671,25,FALSE)-AVERAGE('The List'!Z2:Z671))/STDEV('The List'!Z2:Z671)</f>
        <v>-0.1602010964030639</v>
      </c>
      <c r="N106" s="55" cm="1">
        <f t="array" ref="N106">(VLOOKUP($A106,'The List'!$B1:$AH671,26,FALSE)-AVERAGE('The List'!AA2:AA671))/STDEV('The List'!AA2:AA671)</f>
        <v>-1.0126523797659406</v>
      </c>
      <c r="O106" s="55" cm="1">
        <f t="array" ref="O106">(VLOOKUP($A106,'The List'!$B1:$AH671,27,FALSE)-AVERAGE('The List'!AB2:AB671))/STDEV('The List'!AB2:AB671)</f>
        <v>-1.1426490913001726</v>
      </c>
      <c r="P106" s="55" cm="1">
        <f t="array" ref="P106">(VLOOKUP($A106,'The List'!$B1:$AH671,28,FALSE)-AVERAGE('The List'!AC2:AC671))/STDEV('The List'!AC2:AC671)</f>
        <v>-0.18162435120218745</v>
      </c>
      <c r="Q106" s="55" cm="1">
        <f t="array" ref="Q106">(VLOOKUP($A106,'The List'!$B1:$AH671,29,FALSE)-AVERAGE('The List'!AD2:AD671))/STDEV('The List'!AD2:AD671)</f>
        <v>-0.27468322857619215</v>
      </c>
      <c r="R106" s="55" cm="1">
        <f t="array" ref="R106">(VLOOKUP($A106,'The List'!$B1:$AH671,30,FALSE)-AVERAGE('The List'!AE2:AE671))/STDEV('The List'!AE2:AE671)</f>
        <v>1.1581594725453661</v>
      </c>
      <c r="S106" s="55" cm="1">
        <f t="array" ref="S106">(VLOOKUP($A106,'The List'!$B1:$AH671,31,FALSE)-AVERAGE('The List'!AF2:AF671))/STDEV('The List'!AF2:AF671)</f>
        <v>-0.5671761303030437</v>
      </c>
      <c r="T106" s="55" cm="1">
        <f t="array" ref="T106">(VLOOKUP($A106,'The List'!$B1:$AH671,32,FALSE)-AVERAGE('The List'!AG2:AG671))/STDEV('The List'!AG2:AG671)</f>
        <v>-0.55650304359021119</v>
      </c>
      <c r="U106" s="55" cm="1">
        <f t="array" ref="U106">(VLOOKUP($A106,'The List'!$B1:$AH671,33,FALSE)-AVERAGE('The List'!AH2:AH671))/STDEV('The List'!AH2:AH671)</f>
        <v>-0.14382434752794832</v>
      </c>
      <c r="V106" s="55"/>
      <c r="W106" s="57"/>
      <c r="X106" s="55"/>
      <c r="Y106" s="55"/>
      <c r="Z106" s="55"/>
      <c r="AA106" s="55"/>
      <c r="AB106" s="55"/>
      <c r="AC106" s="55"/>
      <c r="AD106" s="55"/>
      <c r="AE106" s="55"/>
    </row>
    <row r="107" spans="1:31" ht="21.25" customHeight="1" x14ac:dyDescent="0.15">
      <c r="A107" s="10" t="s">
        <v>335</v>
      </c>
      <c r="B107" s="18" t="str" cm="1">
        <f t="array" ref="B107">VLOOKUP(A107,'Player Data'!A1:B673,2,FALSE)</f>
        <v>FLA</v>
      </c>
      <c r="C107" s="52" cm="1">
        <f t="array" ref="C107">((E107)*Settings!$C$12)+(F107*Settings!$C$2)+(G107*Settings!$C$3)+(H107*Settings!$C$4)+(I107*Settings!$C$5)+(K107*Settings!$C$9)+(N107*Settings!$C$6)+(J107*Settings!$C$8)+(O107*Settings!$C$7)+(P107*Settings!$C$14)+(Q107*Settings!$C$15)+(R107*Settings!$C$16)+(S107*Settings!$C$17)+(T107*Settings!$C$18)+(U107*Settings!$C$19)+(L107*Settings!$C$10)+(Settings!$C$11*M107)</f>
        <v>4.5313439280941585</v>
      </c>
      <c r="D107" s="57" cm="1">
        <f t="array" ref="D107">IF(Settings!$E$12="YES",VLOOKUP(A107,'Player Data'!A1:E673,5,FALSE),82)</f>
        <v>77.192499999999995</v>
      </c>
      <c r="E107" s="55" cm="1">
        <f t="array" ref="E107">(VLOOKUP($A107,'The List'!$B1:$AH671,17,FALSE)-AVERAGE('The List'!R2:R671))/STDEV('The List'!R2:R671)</f>
        <v>-6.5227248330784618E-3</v>
      </c>
      <c r="F107" s="55" cm="1">
        <f t="array" ref="F107">(VLOOKUP($A107,'The List'!$B1:$AH671,18,FALSE)-AVERAGE('The List'!S2:S671))/STDEV('The List'!S2:S671)</f>
        <v>1.2203943085497235</v>
      </c>
      <c r="G107" s="55" cm="1">
        <f t="array" ref="G107">(VLOOKUP($A107,'The List'!$B1:$AH671,19,FALSE)-AVERAGE('The List'!T2:T671))/STDEV('The List'!T2:T671)</f>
        <v>0.47523310874593466</v>
      </c>
      <c r="H107" s="55" cm="1">
        <f t="array" ref="H107">(VLOOKUP($A107,'The List'!$B1:$AH671,20,FALSE)-AVERAGE('The List'!U2:U671))/STDEV('The List'!U2:U671)</f>
        <v>0.84038152407001743</v>
      </c>
      <c r="I107" s="55" cm="1">
        <f t="array" ref="I107">(VLOOKUP($A107,'The List'!$B1:$AH671,21,FALSE)-AVERAGE('The List'!V2:V671))/STDEV('The List'!V2:V671)</f>
        <v>0.96138518772906623</v>
      </c>
      <c r="J107" s="55" cm="1">
        <f t="array" ref="J107">(VLOOKUP($A107,'The List'!$B1:$AH671,22,FALSE)-AVERAGE('The List'!W2:W671))/STDEV('The List'!W2:W671)</f>
        <v>0.83510689779481539</v>
      </c>
      <c r="K107" s="55" cm="1">
        <f t="array" ref="K107">(VLOOKUP($A107,'The List'!$B1:$AH671,23,FALSE)-AVERAGE('The List'!X2:X671))/STDEV('The List'!X2:X671)</f>
        <v>1.050106055751608</v>
      </c>
      <c r="L107" s="55" cm="1">
        <f t="array" ref="L107">(VLOOKUP($A107,'The List'!$B1:$AH671,24,FALSE)-AVERAGE('The List'!Y2:Y671))/STDEV('The List'!Y2:Y671)</f>
        <v>0.12470504334683331</v>
      </c>
      <c r="M107" s="55" cm="1">
        <f t="array" ref="M107">(VLOOKUP($A107,'The List'!$B1:$AH671,25,FALSE)-AVERAGE('The List'!Z2:Z671))/STDEV('The List'!Z2:Z671)</f>
        <v>-0.13116455792477358</v>
      </c>
      <c r="N107" s="55" cm="1">
        <f t="array" ref="N107">(VLOOKUP($A107,'The List'!$B1:$AH671,26,FALSE)-AVERAGE('The List'!AA2:AA671))/STDEV('The List'!AA2:AA671)</f>
        <v>-0.89259742874486503</v>
      </c>
      <c r="O107" s="55" cm="1">
        <f t="array" ref="O107">(VLOOKUP($A107,'The List'!$B1:$AH671,27,FALSE)-AVERAGE('The List'!AB2:AB671))/STDEV('The List'!AB2:AB671)</f>
        <v>-0.36844675455416437</v>
      </c>
      <c r="P107" s="55" cm="1">
        <f t="array" ref="P107">(VLOOKUP($A107,'The List'!$B1:$AH671,28,FALSE)-AVERAGE('The List'!AC2:AC671))/STDEV('The List'!AC2:AC671)</f>
        <v>0.30303019472830861</v>
      </c>
      <c r="Q107" s="55" cm="1">
        <f t="array" ref="Q107">(VLOOKUP($A107,'The List'!$B1:$AH671,29,FALSE)-AVERAGE('The List'!AD2:AD671))/STDEV('The List'!AD2:AD671)</f>
        <v>1.4137925013343822</v>
      </c>
      <c r="R107" s="55" cm="1">
        <f t="array" ref="R107">(VLOOKUP($A107,'The List'!$B1:$AH671,30,FALSE)-AVERAGE('The List'!AE2:AE671))/STDEV('The List'!AE2:AE671)</f>
        <v>1.363290310421206</v>
      </c>
      <c r="S107" s="55" cm="1">
        <f t="array" ref="S107">(VLOOKUP($A107,'The List'!$B1:$AH671,31,FALSE)-AVERAGE('The List'!AF2:AF671))/STDEV('The List'!AF2:AF671)</f>
        <v>-0.56531273193391585</v>
      </c>
      <c r="T107" s="55" cm="1">
        <f t="array" ref="T107">(VLOOKUP($A107,'The List'!$B1:$AH671,32,FALSE)-AVERAGE('The List'!AG2:AG671))/STDEV('The List'!AG2:AG671)</f>
        <v>-0.58088160646788367</v>
      </c>
      <c r="U107" s="55" cm="1">
        <f t="array" ref="U107">(VLOOKUP($A107,'The List'!$B1:$AH671,33,FALSE)-AVERAGE('The List'!AH2:AH671))/STDEV('The List'!AH2:AH671)</f>
        <v>0.21164667795580722</v>
      </c>
      <c r="V107" s="55"/>
      <c r="W107" s="78"/>
      <c r="X107" s="57"/>
      <c r="Y107" s="57"/>
      <c r="Z107" s="57"/>
      <c r="AA107" s="57"/>
      <c r="AB107" s="57"/>
      <c r="AC107" s="60"/>
      <c r="AD107" s="61"/>
      <c r="AE107" s="55"/>
    </row>
    <row r="108" spans="1:31" ht="21.25" customHeight="1" x14ac:dyDescent="0.15">
      <c r="A108" s="10" t="s">
        <v>366</v>
      </c>
      <c r="B108" s="18" t="str" cm="1">
        <f t="array" ref="B108">VLOOKUP(A108,'Player Data'!A1:B673,2,FALSE)</f>
        <v>CBJ</v>
      </c>
      <c r="C108" s="52" cm="1">
        <f t="array" ref="C108">((E108)*Settings!$C$12)+(F108*Settings!$C$2)+(G108*Settings!$C$3)+(H108*Settings!$C$4)+(I108*Settings!$C$5)+(K108*Settings!$C$9)+(N108*Settings!$C$6)+(J108*Settings!$C$8)+(O108*Settings!$C$7)+(P108*Settings!$C$14)+(Q108*Settings!$C$15)+(R108*Settings!$C$16)+(S108*Settings!$C$17)+(T108*Settings!$C$18)+(U108*Settings!$C$19)+(L108*Settings!$C$10)+(Settings!$C$11*M108)</f>
        <v>1.4173909827626776</v>
      </c>
      <c r="D108" s="57" cm="1">
        <f t="array" ref="D108">IF(Settings!$E$12="YES",VLOOKUP(A108,'Player Data'!A1:E673,5,FALSE),82)</f>
        <v>74.092500000000001</v>
      </c>
      <c r="E108" s="55" cm="1">
        <f t="array" ref="E108">(VLOOKUP($A108,'The List'!$B1:$AH671,17,FALSE)-AVERAGE('The List'!R2:R671))/STDEV('The List'!R2:R671)</f>
        <v>0.46864944504075362</v>
      </c>
      <c r="F108" s="55" cm="1">
        <f t="array" ref="F108">(VLOOKUP($A108,'The List'!$B1:$AH671,18,FALSE)-AVERAGE('The List'!S2:S671))/STDEV('The List'!S2:S671)</f>
        <v>0.98577570092563516</v>
      </c>
      <c r="G108" s="55" cm="1">
        <f t="array" ref="G108">(VLOOKUP($A108,'The List'!$B1:$AH671,19,FALSE)-AVERAGE('The List'!T2:T671))/STDEV('The List'!T2:T671)</f>
        <v>0.45448698563798057</v>
      </c>
      <c r="H108" s="55" cm="1">
        <f t="array" ref="H108">(VLOOKUP($A108,'The List'!$B1:$AH671,20,FALSE)-AVERAGE('The List'!U2:U671))/STDEV('The List'!U2:U671)</f>
        <v>0.72323714966921582</v>
      </c>
      <c r="I108" s="55" cm="1">
        <f t="array" ref="I108">(VLOOKUP($A108,'The List'!$B1:$AH671,21,FALSE)-AVERAGE('The List'!V2:V671))/STDEV('The List'!V2:V671)</f>
        <v>0.8849032478813833</v>
      </c>
      <c r="J108" s="55" cm="1">
        <f t="array" ref="J108">(VLOOKUP($A108,'The List'!$B1:$AH671,22,FALSE)-AVERAGE('The List'!W2:W671))/STDEV('The List'!W2:W671)</f>
        <v>0.76457013183406242</v>
      </c>
      <c r="K108" s="55" cm="1">
        <f t="array" ref="K108">(VLOOKUP($A108,'The List'!$B1:$AH671,23,FALSE)-AVERAGE('The List'!X2:X671))/STDEV('The List'!X2:X671)</f>
        <v>0.21115001780853263</v>
      </c>
      <c r="L108" s="55" cm="1">
        <f t="array" ref="L108">(VLOOKUP($A108,'The List'!$B1:$AH671,24,FALSE)-AVERAGE('The List'!Y2:Y671))/STDEV('The List'!Y2:Y671)</f>
        <v>0.28286721222756428</v>
      </c>
      <c r="M108" s="55" cm="1">
        <f t="array" ref="M108">(VLOOKUP($A108,'The List'!$B1:$AH671,25,FALSE)-AVERAGE('The List'!Z2:Z671))/STDEV('The List'!Z2:Z671)</f>
        <v>0.15975296673825232</v>
      </c>
      <c r="N108" s="55" cm="1">
        <f t="array" ref="N108">(VLOOKUP($A108,'The List'!$B1:$AH671,26,FALSE)-AVERAGE('The List'!AA2:AA671))/STDEV('The List'!AA2:AA671)</f>
        <v>-0.85717910883594894</v>
      </c>
      <c r="O108" s="55" cm="1">
        <f t="array" ref="O108">(VLOOKUP($A108,'The List'!$B1:$AH671,27,FALSE)-AVERAGE('The List'!AB2:AB671))/STDEV('The List'!AB2:AB671)</f>
        <v>-0.36637382855228789</v>
      </c>
      <c r="P108" s="55" cm="1">
        <f t="array" ref="P108">(VLOOKUP($A108,'The List'!$B1:$AH671,28,FALSE)-AVERAGE('The List'!AC2:AC671))/STDEV('The List'!AC2:AC671)</f>
        <v>0.49625682488291611</v>
      </c>
      <c r="Q108" s="55" cm="1">
        <f t="array" ref="Q108">(VLOOKUP($A108,'The List'!$B1:$AH671,29,FALSE)-AVERAGE('The List'!AD2:AD671))/STDEV('The List'!AD2:AD671)</f>
        <v>-0.75800268553782113</v>
      </c>
      <c r="R108" s="55" cm="1">
        <f t="array" ref="R108">(VLOOKUP($A108,'The List'!$B1:$AH671,30,FALSE)-AVERAGE('The List'!AE2:AE671))/STDEV('The List'!AE2:AE671)</f>
        <v>1.0403157339037084</v>
      </c>
      <c r="S108" s="55" cm="1">
        <f t="array" ref="S108">(VLOOKUP($A108,'The List'!$B1:$AH671,31,FALSE)-AVERAGE('The List'!AF2:AF671))/STDEV('The List'!AF2:AF671)</f>
        <v>-0.58240207927564847</v>
      </c>
      <c r="T108" s="55" cm="1">
        <f t="array" ref="T108">(VLOOKUP($A108,'The List'!$B1:$AH671,32,FALSE)-AVERAGE('The List'!AG2:AG671))/STDEV('The List'!AG2:AG671)</f>
        <v>-0.63068032978437683</v>
      </c>
      <c r="U108" s="55" cm="1">
        <f t="array" ref="U108">(VLOOKUP($A108,'The List'!$B1:$AH671,33,FALSE)-AVERAGE('The List'!AH2:AH671))/STDEV('The List'!AH2:AH671)</f>
        <v>0.79231972789654359</v>
      </c>
      <c r="V108" s="55"/>
      <c r="W108" s="78"/>
      <c r="X108" s="57"/>
      <c r="Y108" s="57"/>
      <c r="Z108" s="57"/>
      <c r="AA108" s="57"/>
      <c r="AB108" s="57"/>
      <c r="AC108" s="60"/>
      <c r="AD108" s="61"/>
      <c r="AE108" s="55"/>
    </row>
    <row r="109" spans="1:31" ht="21.25" customHeight="1" x14ac:dyDescent="0.15">
      <c r="A109" s="10" t="s">
        <v>157</v>
      </c>
      <c r="B109" s="18" t="str" cm="1">
        <f t="array" ref="B109">VLOOKUP(A109,'Player Data'!A1:B673,2,FALSE)</f>
        <v>NSH</v>
      </c>
      <c r="C109" s="52" cm="1">
        <f t="array" ref="C109">((E109)*Settings!$C$12)+(F109*Settings!$C$2)+(G109*Settings!$C$3)+(H109*Settings!$C$4)+(I109*Settings!$C$5)+(K109*Settings!$C$9)+(N109*Settings!$C$6)+(J109*Settings!$C$8)+(O109*Settings!$C$7)+(P109*Settings!$C$14)+(Q109*Settings!$C$15)+(R109*Settings!$C$16)+(S109*Settings!$C$17)+(T109*Settings!$C$18)+(U109*Settings!$C$19)+(L109*Settings!$C$10)+(Settings!$C$11*M109)</f>
        <v>5.1844572971382537</v>
      </c>
      <c r="D109" s="57" cm="1">
        <f t="array" ref="D109">IF(Settings!$E$12="YES",VLOOKUP(A109,'Player Data'!A1:E673,5,FALSE),82)</f>
        <v>77.557500000000005</v>
      </c>
      <c r="E109" s="55" cm="1">
        <f t="array" ref="E109">(VLOOKUP($A109,'The List'!$B1:$AH671,17,FALSE)-AVERAGE('The List'!R2:R671))/STDEV('The List'!R2:R671)</f>
        <v>2.1112093159876952</v>
      </c>
      <c r="F109" s="55" cm="1">
        <f t="array" ref="F109">(VLOOKUP($A109,'The List'!$B1:$AH671,18,FALSE)-AVERAGE('The List'!S2:S671))/STDEV('The List'!S2:S671)</f>
        <v>-0.16486455474663653</v>
      </c>
      <c r="G109" s="55" cm="1">
        <f t="array" ref="G109">(VLOOKUP($A109,'The List'!$B1:$AH671,19,FALSE)-AVERAGE('The List'!T2:T671))/STDEV('The List'!T2:T671)</f>
        <v>1.4409403129654195</v>
      </c>
      <c r="H109" s="55" cm="1">
        <f t="array" ref="H109">(VLOOKUP($A109,'The List'!$B1:$AH671,20,FALSE)-AVERAGE('The List'!U2:U671))/STDEV('The List'!U2:U671)</f>
        <v>0.83319703459297256</v>
      </c>
      <c r="I109" s="55" cm="1">
        <f t="array" ref="I109">(VLOOKUP($A109,'The List'!$B1:$AH671,21,FALSE)-AVERAGE('The List'!V2:V671))/STDEV('The List'!V2:V671)</f>
        <v>1.3150789803947016</v>
      </c>
      <c r="J109" s="55" cm="1">
        <f t="array" ref="J109">(VLOOKUP($A109,'The List'!$B1:$AH671,22,FALSE)-AVERAGE('The List'!W2:W671))/STDEV('The List'!W2:W671)</f>
        <v>0.30222488361970806</v>
      </c>
      <c r="K109" s="55" cm="1">
        <f t="array" ref="K109">(VLOOKUP($A109,'The List'!$B1:$AH671,23,FALSE)-AVERAGE('The List'!X2:X671))/STDEV('The List'!X2:X671)</f>
        <v>1.4725151549969941</v>
      </c>
      <c r="L109" s="55" cm="1">
        <f t="array" ref="L109">(VLOOKUP($A109,'The List'!$B1:$AH671,24,FALSE)-AVERAGE('The List'!Y2:Y671))/STDEV('The List'!Y2:Y671)</f>
        <v>-0.52421303922600615</v>
      </c>
      <c r="M109" s="55" cm="1">
        <f t="array" ref="M109">(VLOOKUP($A109,'The List'!$B1:$AH671,25,FALSE)-AVERAGE('The List'!Z2:Z671))/STDEV('The List'!Z2:Z671)</f>
        <v>-0.44616044300758811</v>
      </c>
      <c r="N109" s="55" cm="1">
        <f t="array" ref="N109">(VLOOKUP($A109,'The List'!$B1:$AH671,26,FALSE)-AVERAGE('The List'!AA2:AA671))/STDEV('The List'!AA2:AA671)</f>
        <v>1.4822834350790199</v>
      </c>
      <c r="O109" s="55" cm="1">
        <f t="array" ref="O109">(VLOOKUP($A109,'The List'!$B1:$AH671,27,FALSE)-AVERAGE('The List'!AB2:AB671))/STDEV('The List'!AB2:AB671)</f>
        <v>-0.92406675170814312</v>
      </c>
      <c r="P109" s="55" cm="1">
        <f t="array" ref="P109">(VLOOKUP($A109,'The List'!$B1:$AH671,28,FALSE)-AVERAGE('The List'!AC2:AC671))/STDEV('The List'!AC2:AC671)</f>
        <v>-0.69578533374081586</v>
      </c>
      <c r="Q109" s="55" cm="1">
        <f t="array" ref="Q109">(VLOOKUP($A109,'The List'!$B1:$AH671,29,FALSE)-AVERAGE('The List'!AD2:AD671))/STDEV('The List'!AD2:AD671)</f>
        <v>0.33428930218957109</v>
      </c>
      <c r="R109" s="55" cm="1">
        <f t="array" ref="R109">(VLOOKUP($A109,'The List'!$B1:$AH671,30,FALSE)-AVERAGE('The List'!AE2:AE671))/STDEV('The List'!AE2:AE671)</f>
        <v>-0.28885406532978991</v>
      </c>
      <c r="S109" s="55" cm="1">
        <f t="array" ref="S109">(VLOOKUP($A109,'The List'!$B1:$AH671,31,FALSE)-AVERAGE('The List'!AF2:AF671))/STDEV('The List'!AF2:AF671)</f>
        <v>-0.5939690971349143</v>
      </c>
      <c r="T109" s="55" cm="1">
        <f t="array" ref="T109">(VLOOKUP($A109,'The List'!$B1:$AH671,32,FALSE)-AVERAGE('The List'!AG2:AG671))/STDEV('The List'!AG2:AG671)</f>
        <v>-0.64602208138248207</v>
      </c>
      <c r="U109" s="55" cm="1">
        <f t="array" ref="U109">(VLOOKUP($A109,'The List'!$B1:$AH671,33,FALSE)-AVERAGE('The List'!AH2:AH671))/STDEV('The List'!AH2:AH671)</f>
        <v>-1.2548938914719048</v>
      </c>
      <c r="V109" s="55"/>
      <c r="W109" s="57"/>
      <c r="X109" s="55"/>
      <c r="Y109" s="55"/>
      <c r="Z109" s="55"/>
      <c r="AA109" s="55"/>
      <c r="AB109" s="55"/>
      <c r="AC109" s="55"/>
      <c r="AD109" s="55"/>
      <c r="AE109" s="55"/>
    </row>
    <row r="110" spans="1:31" ht="21.25" customHeight="1" x14ac:dyDescent="0.15">
      <c r="A110" s="10" t="s">
        <v>163</v>
      </c>
      <c r="B110" s="18" t="str" cm="1">
        <f t="array" ref="B110">VLOOKUP(A110,'Player Data'!A1:B673,2,FALSE)</f>
        <v>WPG</v>
      </c>
      <c r="C110" s="52" cm="1">
        <f t="array" ref="C110">((E110)*Settings!$C$12)+(F110*Settings!$C$2)+(G110*Settings!$C$3)+(H110*Settings!$C$4)+(I110*Settings!$C$5)+(K110*Settings!$C$9)+(N110*Settings!$C$6)+(J110*Settings!$C$8)+(O110*Settings!$C$7)+(P110*Settings!$C$14)+(Q110*Settings!$C$15)+(R110*Settings!$C$16)+(S110*Settings!$C$17)+(T110*Settings!$C$18)+(U110*Settings!$C$19)+(L110*Settings!$C$10)+(Settings!$C$11*M110)</f>
        <v>5.8224000203072332</v>
      </c>
      <c r="D110" s="57" cm="1">
        <f t="array" ref="D110">IF(Settings!$E$12="YES",VLOOKUP(A110,'Player Data'!A1:E673,5,FALSE),82)</f>
        <v>82.767499999999998</v>
      </c>
      <c r="E110" s="55" cm="1">
        <f t="array" ref="E110">(VLOOKUP($A110,'The List'!$B1:$AH671,17,FALSE)-AVERAGE('The List'!R2:R671))/STDEV('The List'!R2:R671)</f>
        <v>2.0335710373470968</v>
      </c>
      <c r="F110" s="55" cm="1">
        <f t="array" ref="F110">(VLOOKUP($A110,'The List'!$B1:$AH671,18,FALSE)-AVERAGE('The List'!S2:S671))/STDEV('The List'!S2:S671)</f>
        <v>-0.24418026948186861</v>
      </c>
      <c r="G110" s="55" cm="1">
        <f t="array" ref="G110">(VLOOKUP($A110,'The List'!$B1:$AH671,19,FALSE)-AVERAGE('The List'!T2:T671))/STDEV('The List'!T2:T671)</f>
        <v>1.7183337115907227</v>
      </c>
      <c r="H110" s="55" cm="1">
        <f t="array" ref="H110">(VLOOKUP($A110,'The List'!$B1:$AH671,20,FALSE)-AVERAGE('The List'!U2:U671))/STDEV('The List'!U2:U671)</f>
        <v>0.9724853609229448</v>
      </c>
      <c r="I110" s="55" cm="1">
        <f t="array" ref="I110">(VLOOKUP($A110,'The List'!$B1:$AH671,21,FALSE)-AVERAGE('The List'!V2:V671))/STDEV('The List'!V2:V671)</f>
        <v>0.67076762442996019</v>
      </c>
      <c r="J110" s="55" cm="1">
        <f t="array" ref="J110">(VLOOKUP($A110,'The List'!$B1:$AH671,22,FALSE)-AVERAGE('The List'!W2:W671))/STDEV('The List'!W2:W671)</f>
        <v>-0.142389114299425</v>
      </c>
      <c r="K110" s="55" cm="1">
        <f t="array" ref="K110">(VLOOKUP($A110,'The List'!$B1:$AH671,23,FALSE)-AVERAGE('The List'!X2:X671))/STDEV('The List'!X2:X671)</f>
        <v>1.0852621917936862</v>
      </c>
      <c r="L110" s="55" cm="1">
        <f t="array" ref="L110">(VLOOKUP($A110,'The List'!$B1:$AH671,24,FALSE)-AVERAGE('The List'!Y2:Y671))/STDEV('The List'!Y2:Y671)</f>
        <v>-0.54254893411203187</v>
      </c>
      <c r="M110" s="55" cm="1">
        <f t="array" ref="M110">(VLOOKUP($A110,'The List'!$B1:$AH671,25,FALSE)-AVERAGE('The List'!Z2:Z671))/STDEV('The List'!Z2:Z671)</f>
        <v>-0.65485315267531619</v>
      </c>
      <c r="N110" s="55" cm="1">
        <f t="array" ref="N110">(VLOOKUP($A110,'The List'!$B1:$AH671,26,FALSE)-AVERAGE('The List'!AA2:AA671))/STDEV('The List'!AA2:AA671)</f>
        <v>1.5104035118992314</v>
      </c>
      <c r="O110" s="55" cm="1">
        <f t="array" ref="O110">(VLOOKUP($A110,'The List'!$B1:$AH671,27,FALSE)-AVERAGE('The List'!AB2:AB671))/STDEV('The List'!AB2:AB671)</f>
        <v>-0.77094215161291912</v>
      </c>
      <c r="P110" s="55" cm="1">
        <f t="array" ref="P110">(VLOOKUP($A110,'The List'!$B1:$AH671,28,FALSE)-AVERAGE('The List'!AC2:AC671))/STDEV('The List'!AC2:AC671)</f>
        <v>0.8759222029089917</v>
      </c>
      <c r="Q110" s="55" cm="1">
        <f t="array" ref="Q110">(VLOOKUP($A110,'The List'!$B1:$AH671,29,FALSE)-AVERAGE('The List'!AD2:AD671))/STDEV('The List'!AD2:AD671)</f>
        <v>0.20589104716650936</v>
      </c>
      <c r="R110" s="55" cm="1">
        <f t="array" ref="R110">(VLOOKUP($A110,'The List'!$B1:$AH671,30,FALSE)-AVERAGE('The List'!AE2:AE671))/STDEV('The List'!AE2:AE671)</f>
        <v>-0.10929327976025058</v>
      </c>
      <c r="S110" s="55" cm="1">
        <f t="array" ref="S110">(VLOOKUP($A110,'The List'!$B1:$AH671,31,FALSE)-AVERAGE('The List'!AF2:AF671))/STDEV('The List'!AF2:AF671)</f>
        <v>-0.5939690971349143</v>
      </c>
      <c r="T110" s="55" cm="1">
        <f t="array" ref="T110">(VLOOKUP($A110,'The List'!$B1:$AH671,32,FALSE)-AVERAGE('The List'!AG2:AG671))/STDEV('The List'!AG2:AG671)</f>
        <v>-0.64602208138248207</v>
      </c>
      <c r="U110" s="55" cm="1">
        <f t="array" ref="U110">(VLOOKUP($A110,'The List'!$B1:$AH671,33,FALSE)-AVERAGE('The List'!AH2:AH671))/STDEV('The List'!AH2:AH671)</f>
        <v>-1.2548938914719048</v>
      </c>
      <c r="V110" s="55"/>
      <c r="W110" s="57"/>
      <c r="X110" s="55"/>
      <c r="Y110" s="55"/>
      <c r="Z110" s="55"/>
      <c r="AA110" s="55"/>
      <c r="AB110" s="55"/>
      <c r="AC110" s="55"/>
      <c r="AD110" s="55"/>
      <c r="AE110" s="55"/>
    </row>
    <row r="111" spans="1:31" ht="21.25" customHeight="1" x14ac:dyDescent="0.15">
      <c r="A111" s="10" t="s">
        <v>296</v>
      </c>
      <c r="B111" s="18" t="str" cm="1">
        <f t="array" ref="B111">VLOOKUP(A111,'Player Data'!A1:B673,2,FALSE)</f>
        <v>OTT</v>
      </c>
      <c r="C111" s="52" cm="1">
        <f t="array" ref="C111">((E111)*Settings!$C$12)+(F111*Settings!$C$2)+(G111*Settings!$C$3)+(H111*Settings!$C$4)+(I111*Settings!$C$5)+(K111*Settings!$C$9)+(N111*Settings!$C$6)+(J111*Settings!$C$8)+(O111*Settings!$C$7)+(P111*Settings!$C$14)+(Q111*Settings!$C$15)+(R111*Settings!$C$16)+(S111*Settings!$C$17)+(T111*Settings!$C$18)+(U111*Settings!$C$19)+(L111*Settings!$C$10)+(Settings!$C$11*M111)</f>
        <v>3.4324083778855359</v>
      </c>
      <c r="D111" s="57" cm="1">
        <f t="array" ref="D111">IF(Settings!$E$12="YES",VLOOKUP(A111,'Player Data'!A1:E673,5,FALSE),82)</f>
        <v>82.432500000000005</v>
      </c>
      <c r="E111" s="55" cm="1">
        <f t="array" ref="E111">(VLOOKUP($A111,'The List'!$B1:$AH671,17,FALSE)-AVERAGE('The List'!R2:R671))/STDEV('The List'!R2:R671)</f>
        <v>0.30366745790843042</v>
      </c>
      <c r="F111" s="55" cm="1">
        <f t="array" ref="F111">(VLOOKUP($A111,'The List'!$B1:$AH671,18,FALSE)-AVERAGE('The List'!S2:S671))/STDEV('The List'!S2:S671)</f>
        <v>0.56518234559467684</v>
      </c>
      <c r="G111" s="55" cm="1">
        <f t="array" ref="G111">(VLOOKUP($A111,'The List'!$B1:$AH671,19,FALSE)-AVERAGE('The List'!T2:T671))/STDEV('The List'!T2:T671)</f>
        <v>1.306857114937332</v>
      </c>
      <c r="H111" s="55" cm="1">
        <f t="array" ref="H111">(VLOOKUP($A111,'The List'!$B1:$AH671,20,FALSE)-AVERAGE('The List'!U2:U671))/STDEV('The List'!U2:U671)</f>
        <v>1.0727653394994534</v>
      </c>
      <c r="I111" s="55" cm="1">
        <f t="array" ref="I111">(VLOOKUP($A111,'The List'!$B1:$AH671,21,FALSE)-AVERAGE('The List'!V2:V671))/STDEV('The List'!V2:V671)</f>
        <v>0.84346839077325553</v>
      </c>
      <c r="J111" s="55" cm="1">
        <f t="array" ref="J111">(VLOOKUP($A111,'The List'!$B1:$AH671,22,FALSE)-AVERAGE('The List'!W2:W671))/STDEV('The List'!W2:W671)</f>
        <v>1.0000669661468129</v>
      </c>
      <c r="K111" s="55" cm="1">
        <f t="array" ref="K111">(VLOOKUP($A111,'The List'!$B1:$AH671,23,FALSE)-AVERAGE('The List'!X2:X671))/STDEV('The List'!X2:X671)</f>
        <v>1.1580544214507353</v>
      </c>
      <c r="L111" s="55" cm="1">
        <f t="array" ref="L111">(VLOOKUP($A111,'The List'!$B1:$AH671,24,FALSE)-AVERAGE('The List'!Y2:Y671))/STDEV('The List'!Y2:Y671)</f>
        <v>-0.34432836938928707</v>
      </c>
      <c r="M111" s="55" cm="1">
        <f t="array" ref="M111">(VLOOKUP($A111,'The List'!$B1:$AH671,25,FALSE)-AVERAGE('The List'!Z2:Z671))/STDEV('The List'!Z2:Z671)</f>
        <v>-0.30358581168253412</v>
      </c>
      <c r="N111" s="55" cm="1">
        <f t="array" ref="N111">(VLOOKUP($A111,'The List'!$B1:$AH671,26,FALSE)-AVERAGE('The List'!AA2:AA671))/STDEV('The List'!AA2:AA671)</f>
        <v>-0.36798574883285889</v>
      </c>
      <c r="O111" s="55" cm="1">
        <f t="array" ref="O111">(VLOOKUP($A111,'The List'!$B1:$AH671,27,FALSE)-AVERAGE('The List'!AB2:AB671))/STDEV('The List'!AB2:AB671)</f>
        <v>-0.39926689407390603</v>
      </c>
      <c r="P111" s="55" cm="1">
        <f t="array" ref="P111">(VLOOKUP($A111,'The List'!$B1:$AH671,28,FALSE)-AVERAGE('The List'!AC2:AC671))/STDEV('The List'!AC2:AC671)</f>
        <v>0.15068078855488465</v>
      </c>
      <c r="Q111" s="55" cm="1">
        <f t="array" ref="Q111">(VLOOKUP($A111,'The List'!$B1:$AH671,29,FALSE)-AVERAGE('The List'!AD2:AD671))/STDEV('The List'!AD2:AD671)</f>
        <v>-0.22384893459248986</v>
      </c>
      <c r="R111" s="55" cm="1">
        <f t="array" ref="R111">(VLOOKUP($A111,'The List'!$B1:$AH671,30,FALSE)-AVERAGE('The List'!AE2:AE671))/STDEV('The List'!AE2:AE671)</f>
        <v>0.81334475423633001</v>
      </c>
      <c r="S111" s="55" cm="1">
        <f t="array" ref="S111">(VLOOKUP($A111,'The List'!$B1:$AH671,31,FALSE)-AVERAGE('The List'!AF2:AF671))/STDEV('The List'!AF2:AF671)</f>
        <v>-0.49792102389668386</v>
      </c>
      <c r="T111" s="55" cm="1">
        <f t="array" ref="T111">(VLOOKUP($A111,'The List'!$B1:$AH671,32,FALSE)-AVERAGE('The List'!AG2:AG671))/STDEV('The List'!AG2:AG671)</f>
        <v>-0.43583383096838674</v>
      </c>
      <c r="U111" s="55" cm="1">
        <f t="array" ref="U111">(VLOOKUP($A111,'The List'!$B1:$AH671,33,FALSE)-AVERAGE('The List'!AH2:AH671))/STDEV('The List'!AH2:AH671)</f>
        <v>0.24987039311742293</v>
      </c>
      <c r="V111" s="55"/>
      <c r="W111" s="78"/>
      <c r="X111" s="57"/>
      <c r="Y111" s="57"/>
      <c r="Z111" s="57"/>
      <c r="AA111" s="57"/>
      <c r="AB111" s="57"/>
      <c r="AC111" s="60"/>
      <c r="AD111" s="61"/>
      <c r="AE111" s="55"/>
    </row>
    <row r="112" spans="1:31" ht="21.25" customHeight="1" x14ac:dyDescent="0.15">
      <c r="A112" s="10" t="s">
        <v>350</v>
      </c>
      <c r="B112" s="18" t="str" cm="1">
        <f t="array" ref="B112">VLOOKUP(A112,'Player Data'!A1:B673,2,FALSE)</f>
        <v>CGY</v>
      </c>
      <c r="C112" s="52" cm="1">
        <f t="array" ref="C112">((E112)*Settings!$C$12)+(F112*Settings!$C$2)+(G112*Settings!$C$3)+(H112*Settings!$C$4)+(I112*Settings!$C$5)+(K112*Settings!$C$9)+(N112*Settings!$C$6)+(J112*Settings!$C$8)+(O112*Settings!$C$7)+(P112*Settings!$C$14)+(Q112*Settings!$C$15)+(R112*Settings!$C$16)+(S112*Settings!$C$17)+(T112*Settings!$C$18)+(U112*Settings!$C$19)+(L112*Settings!$C$10)+(Settings!$C$11*M112)</f>
        <v>-0.28219096264593158</v>
      </c>
      <c r="D112" s="57" cm="1">
        <f t="array" ref="D112">IF(Settings!$E$12="YES",VLOOKUP(A112,'Player Data'!A1:E673,5,FALSE),82)</f>
        <v>74</v>
      </c>
      <c r="E112" s="55" cm="1">
        <f t="array" ref="E112">(VLOOKUP($A112,'The List'!$B1:$AH671,17,FALSE)-AVERAGE('The List'!R2:R671))/STDEV('The List'!R2:R671)</f>
        <v>1.0615756734087824E-2</v>
      </c>
      <c r="F112" s="55" cm="1">
        <f t="array" ref="F112">(VLOOKUP($A112,'The List'!$B1:$AH671,18,FALSE)-AVERAGE('The List'!S2:S671))/STDEV('The List'!S2:S671)</f>
        <v>0.45857507330912234</v>
      </c>
      <c r="G112" s="55" cm="1">
        <f t="array" ref="G112">(VLOOKUP($A112,'The List'!$B1:$AH671,19,FALSE)-AVERAGE('The List'!T2:T671))/STDEV('The List'!T2:T671)</f>
        <v>0.74558908894629816</v>
      </c>
      <c r="H112" s="55" cm="1">
        <f t="array" ref="H112">(VLOOKUP($A112,'The List'!$B1:$AH671,20,FALSE)-AVERAGE('The List'!U2:U671))/STDEV('The List'!U2:U671)</f>
        <v>0.67243138602423291</v>
      </c>
      <c r="I112" s="55" cm="1">
        <f t="array" ref="I112">(VLOOKUP($A112,'The List'!$B1:$AH671,21,FALSE)-AVERAGE('The List'!V2:V671))/STDEV('The List'!V2:V671)</f>
        <v>0.60445345089087166</v>
      </c>
      <c r="J112" s="55" cm="1">
        <f t="array" ref="J112">(VLOOKUP($A112,'The List'!$B1:$AH671,22,FALSE)-AVERAGE('The List'!W2:W671))/STDEV('The List'!W2:W671)</f>
        <v>0.60286085389033695</v>
      </c>
      <c r="K112" s="55" cm="1">
        <f t="array" ref="K112">(VLOOKUP($A112,'The List'!$B1:$AH671,23,FALSE)-AVERAGE('The List'!X2:X671))/STDEV('The List'!X2:X671)</f>
        <v>1.2001901931397188</v>
      </c>
      <c r="L112" s="55" cm="1">
        <f t="array" ref="L112">(VLOOKUP($A112,'The List'!$B1:$AH671,24,FALSE)-AVERAGE('The List'!Y2:Y671))/STDEV('The List'!Y2:Y671)</f>
        <v>-0.54186476983504472</v>
      </c>
      <c r="M112" s="55" cm="1">
        <f t="array" ref="M112">(VLOOKUP($A112,'The List'!$B1:$AH671,25,FALSE)-AVERAGE('The List'!Z2:Z671))/STDEV('The List'!Z2:Z671)</f>
        <v>-0.68463601537687457</v>
      </c>
      <c r="N112" s="55" cm="1">
        <f t="array" ref="N112">(VLOOKUP($A112,'The List'!$B1:$AH671,26,FALSE)-AVERAGE('The List'!AA2:AA671))/STDEV('The List'!AA2:AA671)</f>
        <v>-0.28612455516809382</v>
      </c>
      <c r="O112" s="55" cm="1">
        <f t="array" ref="O112">(VLOOKUP($A112,'The List'!$B1:$AH671,27,FALSE)-AVERAGE('The List'!AB2:AB671))/STDEV('The List'!AB2:AB671)</f>
        <v>-0.91600050472139682</v>
      </c>
      <c r="P112" s="55" cm="1">
        <f t="array" ref="P112">(VLOOKUP($A112,'The List'!$B1:$AH671,28,FALSE)-AVERAGE('The List'!AC2:AC671))/STDEV('The List'!AC2:AC671)</f>
        <v>-2.063683005174902</v>
      </c>
      <c r="Q112" s="55" cm="1">
        <f t="array" ref="Q112">(VLOOKUP($A112,'The List'!$B1:$AH671,29,FALSE)-AVERAGE('The List'!AD2:AD671))/STDEV('The List'!AD2:AD671)</f>
        <v>-0.94119120858894667</v>
      </c>
      <c r="R112" s="55" cm="1">
        <f t="array" ref="R112">(VLOOKUP($A112,'The List'!$B1:$AH671,30,FALSE)-AVERAGE('The List'!AE2:AE671))/STDEV('The List'!AE2:AE671)</f>
        <v>0.31085973314287635</v>
      </c>
      <c r="S112" s="55" cm="1">
        <f t="array" ref="S112">(VLOOKUP($A112,'The List'!$B1:$AH671,31,FALSE)-AVERAGE('The List'!AF2:AF671))/STDEV('The List'!AF2:AF671)</f>
        <v>-0.56215183838902438</v>
      </c>
      <c r="T112" s="55" cm="1">
        <f t="array" ref="T112">(VLOOKUP($A112,'The List'!$B1:$AH671,32,FALSE)-AVERAGE('The List'!AG2:AG671))/STDEV('The List'!AG2:AG671)</f>
        <v>-0.48789795033270483</v>
      </c>
      <c r="U112" s="55" cm="1">
        <f t="array" ref="U112">(VLOOKUP($A112,'The List'!$B1:$AH671,33,FALSE)-AVERAGE('The List'!AH2:AH671))/STDEV('The List'!AH2:AH671)</f>
        <v>-0.44367486925440003</v>
      </c>
      <c r="V112" s="55"/>
      <c r="W112" s="78"/>
      <c r="X112" s="57"/>
      <c r="Y112" s="57"/>
      <c r="Z112" s="57"/>
      <c r="AA112" s="57"/>
      <c r="AB112" s="57"/>
      <c r="AC112" s="60"/>
      <c r="AD112" s="61"/>
      <c r="AE112" s="55"/>
    </row>
    <row r="113" spans="1:31" ht="21.25" customHeight="1" x14ac:dyDescent="0.15">
      <c r="A113" s="10" t="s">
        <v>152</v>
      </c>
      <c r="B113" s="18" t="str" cm="1">
        <f t="array" ref="B113">VLOOKUP(A113,'Player Data'!A1:B673,2,FALSE)</f>
        <v>OTT</v>
      </c>
      <c r="C113" s="52" cm="1">
        <f t="array" ref="C113">((E113)*Settings!$C$12)+(F113*Settings!$C$2)+(G113*Settings!$C$3)+(H113*Settings!$C$4)+(I113*Settings!$C$5)+(K113*Settings!$C$9)+(N113*Settings!$C$6)+(J113*Settings!$C$8)+(O113*Settings!$C$7)+(P113*Settings!$C$14)+(Q113*Settings!$C$15)+(R113*Settings!$C$16)+(S113*Settings!$C$17)+(T113*Settings!$C$18)+(U113*Settings!$C$19)+(L113*Settings!$C$10)+(Settings!$C$11*M113)</f>
        <v>5.9101773133356552</v>
      </c>
      <c r="D113" s="57" cm="1">
        <f t="array" ref="D113">IF(Settings!$E$12="YES",VLOOKUP(A113,'Player Data'!A1:E673,5,FALSE),82)</f>
        <v>80.792500000000004</v>
      </c>
      <c r="E113" s="55" cm="1">
        <f t="array" ref="E113">(VLOOKUP($A113,'The List'!$B1:$AH671,17,FALSE)-AVERAGE('The List'!R2:R671))/STDEV('The List'!R2:R671)</f>
        <v>2.0342187170375312</v>
      </c>
      <c r="F113" s="55" cm="1">
        <f t="array" ref="F113">(VLOOKUP($A113,'The List'!$B1:$AH671,18,FALSE)-AVERAGE('The List'!S2:S671))/STDEV('The List'!S2:S671)</f>
        <v>2.6112354954954241E-3</v>
      </c>
      <c r="G113" s="55" cm="1">
        <f t="array" ref="G113">(VLOOKUP($A113,'The List'!$B1:$AH671,19,FALSE)-AVERAGE('The List'!T2:T671))/STDEV('The List'!T2:T671)</f>
        <v>1.4062350848446132</v>
      </c>
      <c r="H113" s="55" cm="1">
        <f t="array" ref="H113">(VLOOKUP($A113,'The List'!$B1:$AH671,20,FALSE)-AVERAGE('The List'!U2:U671))/STDEV('The List'!U2:U671)</f>
        <v>0.88567299426480806</v>
      </c>
      <c r="I113" s="55" cm="1">
        <f t="array" ref="I113">(VLOOKUP($A113,'The List'!$B1:$AH671,21,FALSE)-AVERAGE('The List'!V2:V671))/STDEV('The List'!V2:V671)</f>
        <v>0.89613644457479735</v>
      </c>
      <c r="J113" s="55" cm="1">
        <f t="array" ref="J113">(VLOOKUP($A113,'The List'!$B1:$AH671,22,FALSE)-AVERAGE('The List'!W2:W671))/STDEV('The List'!W2:W671)</f>
        <v>0.62551264965568876</v>
      </c>
      <c r="K113" s="55" cm="1">
        <f t="array" ref="K113">(VLOOKUP($A113,'The List'!$B1:$AH671,23,FALSE)-AVERAGE('The List'!X2:X671))/STDEV('The List'!X2:X671)</f>
        <v>1.5056030922507466</v>
      </c>
      <c r="L113" s="55" cm="1">
        <f t="array" ref="L113">(VLOOKUP($A113,'The List'!$B1:$AH671,24,FALSE)-AVERAGE('The List'!Y2:Y671))/STDEV('The List'!Y2:Y671)</f>
        <v>-0.51838583683430295</v>
      </c>
      <c r="M113" s="55" cm="1">
        <f t="array" ref="M113">(VLOOKUP($A113,'The List'!$B1:$AH671,25,FALSE)-AVERAGE('The List'!Z2:Z671))/STDEV('The List'!Z2:Z671)</f>
        <v>0.79637341143179574</v>
      </c>
      <c r="N113" s="55" cm="1">
        <f t="array" ref="N113">(VLOOKUP($A113,'The List'!$B1:$AH671,26,FALSE)-AVERAGE('The List'!AA2:AA671))/STDEV('The List'!AA2:AA671)</f>
        <v>2.3307491592071634</v>
      </c>
      <c r="O113" s="55" cm="1">
        <f t="array" ref="O113">(VLOOKUP($A113,'The List'!$B1:$AH671,27,FALSE)-AVERAGE('The List'!AB2:AB671))/STDEV('The List'!AB2:AB671)</f>
        <v>-0.76147534646602733</v>
      </c>
      <c r="P113" s="55" cm="1">
        <f t="array" ref="P113">(VLOOKUP($A113,'The List'!$B1:$AH671,28,FALSE)-AVERAGE('The List'!AC2:AC671))/STDEV('The List'!AC2:AC671)</f>
        <v>0.65502192373178525</v>
      </c>
      <c r="Q113" s="55" cm="1">
        <f t="array" ref="Q113">(VLOOKUP($A113,'The List'!$B1:$AH671,29,FALSE)-AVERAGE('The List'!AD2:AD671))/STDEV('The List'!AD2:AD671)</f>
        <v>-0.88617962676894546</v>
      </c>
      <c r="R113" s="55" cm="1">
        <f t="array" ref="R113">(VLOOKUP($A113,'The List'!$B1:$AH671,30,FALSE)-AVERAGE('The List'!AE2:AE671))/STDEV('The List'!AE2:AE671)</f>
        <v>0.18973680265266363</v>
      </c>
      <c r="S113" s="55" cm="1">
        <f t="array" ref="S113">(VLOOKUP($A113,'The List'!$B1:$AH671,31,FALSE)-AVERAGE('The List'!AF2:AF671))/STDEV('The List'!AF2:AF671)</f>
        <v>-0.59377218507531448</v>
      </c>
      <c r="T113" s="55" cm="1">
        <f t="array" ref="T113">(VLOOKUP($A113,'The List'!$B1:$AH671,32,FALSE)-AVERAGE('The List'!AG2:AG671))/STDEV('The List'!AG2:AG671)</f>
        <v>-0.64538341943182598</v>
      </c>
      <c r="U113" s="55" cm="1">
        <f t="array" ref="U113">(VLOOKUP($A113,'The List'!$B1:$AH671,33,FALSE)-AVERAGE('The List'!AH2:AH671))/STDEV('The List'!AH2:AH671)</f>
        <v>-0.11861505061569302</v>
      </c>
      <c r="V113" s="55"/>
      <c r="W113" s="78"/>
      <c r="X113" s="57"/>
      <c r="Y113" s="57"/>
      <c r="Z113" s="57"/>
      <c r="AA113" s="57"/>
      <c r="AB113" s="57"/>
      <c r="AC113" s="60"/>
      <c r="AD113" s="61"/>
      <c r="AE113" s="55"/>
    </row>
    <row r="114" spans="1:31" ht="21.25" customHeight="1" x14ac:dyDescent="0.15">
      <c r="A114" s="10" t="s">
        <v>369</v>
      </c>
      <c r="B114" s="18" t="str" cm="1">
        <f t="array" ref="B114">VLOOKUP(A114,'Player Data'!A1:B673,2,FALSE)</f>
        <v>BOS</v>
      </c>
      <c r="C114" s="52" cm="1">
        <f t="array" ref="C114">((E114)*Settings!$C$12)+(F114*Settings!$C$2)+(G114*Settings!$C$3)+(H114*Settings!$C$4)+(I114*Settings!$C$5)+(K114*Settings!$C$9)+(N114*Settings!$C$6)+(J114*Settings!$C$8)+(O114*Settings!$C$7)+(P114*Settings!$C$14)+(Q114*Settings!$C$15)+(R114*Settings!$C$16)+(S114*Settings!$C$17)+(T114*Settings!$C$18)+(U114*Settings!$C$19)+(L114*Settings!$C$10)+(Settings!$C$11*M114)</f>
        <v>1.2517199204761964</v>
      </c>
      <c r="D114" s="57" cm="1">
        <f t="array" ref="D114">IF(Settings!$E$12="YES",VLOOKUP(A114,'Player Data'!A1:E673,5,FALSE),82)</f>
        <v>82.92</v>
      </c>
      <c r="E114" s="55" cm="1">
        <f t="array" ref="E114">(VLOOKUP($A114,'The List'!$B1:$AH671,17,FALSE)-AVERAGE('The List'!R2:R671))/STDEV('The List'!R2:R671)</f>
        <v>1.5918032481620093E-2</v>
      </c>
      <c r="F114" s="55" cm="1">
        <f t="array" ref="F114">(VLOOKUP($A114,'The List'!$B1:$AH671,18,FALSE)-AVERAGE('The List'!S2:S671))/STDEV('The List'!S2:S671)</f>
        <v>0.99227384548675845</v>
      </c>
      <c r="G114" s="55" cm="1">
        <f t="array" ref="G114">(VLOOKUP($A114,'The List'!$B1:$AH671,19,FALSE)-AVERAGE('The List'!T2:T671))/STDEV('The List'!T2:T671)</f>
        <v>0.80872638501377769</v>
      </c>
      <c r="H114" s="55" cm="1">
        <f t="array" ref="H114">(VLOOKUP($A114,'The List'!$B1:$AH671,20,FALSE)-AVERAGE('The List'!U2:U671))/STDEV('The List'!U2:U671)</f>
        <v>0.94893494749088336</v>
      </c>
      <c r="I114" s="55" cm="1">
        <f t="array" ref="I114">(VLOOKUP($A114,'The List'!$B1:$AH671,21,FALSE)-AVERAGE('The List'!V2:V671))/STDEV('The List'!V2:V671)</f>
        <v>0.24269832184452786</v>
      </c>
      <c r="J114" s="55" cm="1">
        <f t="array" ref="J114">(VLOOKUP($A114,'The List'!$B1:$AH671,22,FALSE)-AVERAGE('The List'!W2:W671))/STDEV('The List'!W2:W671)</f>
        <v>1.4111103667074649</v>
      </c>
      <c r="K114" s="55" cm="1">
        <f t="array" ref="K114">(VLOOKUP($A114,'The List'!$B1:$AH671,23,FALSE)-AVERAGE('The List'!X2:X671))/STDEV('The List'!X2:X671)</f>
        <v>1.0093656294221582</v>
      </c>
      <c r="L114" s="55" cm="1">
        <f t="array" ref="L114">(VLOOKUP($A114,'The List'!$B1:$AH671,24,FALSE)-AVERAGE('The List'!Y2:Y671))/STDEV('The List'!Y2:Y671)</f>
        <v>-0.11385095733870616</v>
      </c>
      <c r="M114" s="55" cm="1">
        <f t="array" ref="M114">(VLOOKUP($A114,'The List'!$B1:$AH671,25,FALSE)-AVERAGE('The List'!Z2:Z671))/STDEV('The List'!Z2:Z671)</f>
        <v>-0.19259695007263847</v>
      </c>
      <c r="N114" s="55" cm="1">
        <f t="array" ref="N114">(VLOOKUP($A114,'The List'!$B1:$AH671,26,FALSE)-AVERAGE('The List'!AA2:AA671))/STDEV('The List'!AA2:AA671)</f>
        <v>-0.9127526607176939</v>
      </c>
      <c r="O114" s="55" cm="1">
        <f t="array" ref="O114">(VLOOKUP($A114,'The List'!$B1:$AH671,27,FALSE)-AVERAGE('The List'!AB2:AB671))/STDEV('The List'!AB2:AB671)</f>
        <v>-0.331473889926579</v>
      </c>
      <c r="P114" s="55" cm="1">
        <f t="array" ref="P114">(VLOOKUP($A114,'The List'!$B1:$AH671,28,FALSE)-AVERAGE('The List'!AC2:AC671))/STDEV('The List'!AC2:AC671)</f>
        <v>-0.36881043525002982</v>
      </c>
      <c r="Q114" s="55" cm="1">
        <f t="array" ref="Q114">(VLOOKUP($A114,'The List'!$B1:$AH671,29,FALSE)-AVERAGE('The List'!AD2:AD671))/STDEV('The List'!AD2:AD671)</f>
        <v>-0.51978116532330221</v>
      </c>
      <c r="R114" s="55" cm="1">
        <f t="array" ref="R114">(VLOOKUP($A114,'The List'!$B1:$AH671,30,FALSE)-AVERAGE('The List'!AE2:AE671))/STDEV('The List'!AE2:AE671)</f>
        <v>0.65517887444051126</v>
      </c>
      <c r="S114" s="55" cm="1">
        <f t="array" ref="S114">(VLOOKUP($A114,'The List'!$B1:$AH671,31,FALSE)-AVERAGE('The List'!AF2:AF671))/STDEV('The List'!AF2:AF671)</f>
        <v>1.9216485817430262</v>
      </c>
      <c r="T114" s="55" cm="1">
        <f t="array" ref="T114">(VLOOKUP($A114,'The List'!$B1:$AH671,32,FALSE)-AVERAGE('The List'!AG2:AG671))/STDEV('The List'!AG2:AG671)</f>
        <v>1.6693364167802351</v>
      </c>
      <c r="U114" s="55" cm="1">
        <f t="array" ref="U114">(VLOOKUP($A114,'The List'!$B1:$AH671,33,FALSE)-AVERAGE('The List'!AH2:AH671))/STDEV('The List'!AH2:AH671)</f>
        <v>1.2109128830081717</v>
      </c>
      <c r="V114" s="55"/>
      <c r="W114" s="78"/>
      <c r="X114" s="57"/>
      <c r="Y114" s="57"/>
      <c r="Z114" s="57"/>
      <c r="AA114" s="57"/>
      <c r="AB114" s="57"/>
      <c r="AC114" s="60"/>
      <c r="AD114" s="61"/>
      <c r="AE114" s="55"/>
    </row>
    <row r="115" spans="1:31" ht="21.25" customHeight="1" x14ac:dyDescent="0.15">
      <c r="A115" s="10" t="s">
        <v>336</v>
      </c>
      <c r="B115" s="18" t="str" cm="1">
        <f t="array" ref="B115">VLOOKUP(A115,'Player Data'!A1:B673,2,FALSE)</f>
        <v>PHI</v>
      </c>
      <c r="C115" s="52" cm="1">
        <f t="array" ref="C115">((E115)*Settings!$C$12)+(F115*Settings!$C$2)+(G115*Settings!$C$3)+(H115*Settings!$C$4)+(I115*Settings!$C$5)+(K115*Settings!$C$9)+(N115*Settings!$C$6)+(J115*Settings!$C$8)+(O115*Settings!$C$7)+(P115*Settings!$C$14)+(Q115*Settings!$C$15)+(R115*Settings!$C$16)+(S115*Settings!$C$17)+(T115*Settings!$C$18)+(U115*Settings!$C$19)+(L115*Settings!$C$10)+(Settings!$C$11*M115)</f>
        <v>4.2580595127092185</v>
      </c>
      <c r="D115" s="57" cm="1">
        <f t="array" ref="D115">IF(Settings!$E$12="YES",VLOOKUP(A115,'Player Data'!A1:E673,5,FALSE),82)</f>
        <v>83.277500000000003</v>
      </c>
      <c r="E115" s="55" cm="1">
        <f t="array" ref="E115">(VLOOKUP($A115,'The List'!$B1:$AH671,17,FALSE)-AVERAGE('The List'!R2:R671))/STDEV('The List'!R2:R671)</f>
        <v>-0.26509049170111521</v>
      </c>
      <c r="F115" s="55" cm="1">
        <f t="array" ref="F115">(VLOOKUP($A115,'The List'!$B1:$AH671,18,FALSE)-AVERAGE('The List'!S2:S671))/STDEV('The List'!S2:S671)</f>
        <v>0.96463306804558202</v>
      </c>
      <c r="G115" s="55" cm="1">
        <f t="array" ref="G115">(VLOOKUP($A115,'The List'!$B1:$AH671,19,FALSE)-AVERAGE('The List'!T2:T671))/STDEV('The List'!T2:T671)</f>
        <v>0.82265769913740494</v>
      </c>
      <c r="H115" s="55" cm="1">
        <f t="array" ref="H115">(VLOOKUP($A115,'The List'!$B1:$AH671,20,FALSE)-AVERAGE('The List'!U2:U671))/STDEV('The List'!U2:U671)</f>
        <v>0.94543405886938592</v>
      </c>
      <c r="I115" s="55" cm="1">
        <f t="array" ref="I115">(VLOOKUP($A115,'The List'!$B1:$AH671,21,FALSE)-AVERAGE('The List'!V2:V671))/STDEV('The List'!V2:V671)</f>
        <v>0.9309261017074314</v>
      </c>
      <c r="J115" s="55" cm="1">
        <f t="array" ref="J115">(VLOOKUP($A115,'The List'!$B1:$AH671,22,FALSE)-AVERAGE('The List'!W2:W671))/STDEV('The List'!W2:W671)</f>
        <v>1.0114026870522212</v>
      </c>
      <c r="K115" s="55" cm="1">
        <f t="array" ref="K115">(VLOOKUP($A115,'The List'!$B1:$AH671,23,FALSE)-AVERAGE('The List'!X2:X671))/STDEV('The List'!X2:X671)</f>
        <v>0.74084907616081219</v>
      </c>
      <c r="L115" s="55" cm="1">
        <f t="array" ref="L115">(VLOOKUP($A115,'The List'!$B1:$AH671,24,FALSE)-AVERAGE('The List'!Y2:Y671))/STDEV('The List'!Y2:Y671)</f>
        <v>-0.56403589506584906</v>
      </c>
      <c r="M115" s="55" cm="1">
        <f t="array" ref="M115">(VLOOKUP($A115,'The List'!$B1:$AH671,25,FALSE)-AVERAGE('The List'!Z2:Z671))/STDEV('The List'!Z2:Z671)</f>
        <v>-0.70593900285570643</v>
      </c>
      <c r="N115" s="55" cm="1">
        <f t="array" ref="N115">(VLOOKUP($A115,'The List'!$B1:$AH671,26,FALSE)-AVERAGE('The List'!AA2:AA671))/STDEV('The List'!AA2:AA671)</f>
        <v>-1.0298785928235641</v>
      </c>
      <c r="O115" s="55" cm="1">
        <f t="array" ref="O115">(VLOOKUP($A115,'The List'!$B1:$AH671,27,FALSE)-AVERAGE('The List'!AB2:AB671))/STDEV('The List'!AB2:AB671)</f>
        <v>-0.95383074511394905</v>
      </c>
      <c r="P115" s="55" cm="1">
        <f t="array" ref="P115">(VLOOKUP($A115,'The List'!$B1:$AH671,28,FALSE)-AVERAGE('The List'!AC2:AC671))/STDEV('The List'!AC2:AC671)</f>
        <v>0.33943975084984968</v>
      </c>
      <c r="Q115" s="55" cm="1">
        <f t="array" ref="Q115">(VLOOKUP($A115,'The List'!$B1:$AH671,29,FALSE)-AVERAGE('The List'!AD2:AD671))/STDEV('The List'!AD2:AD671)</f>
        <v>1.4894324096317024</v>
      </c>
      <c r="R115" s="55" cm="1">
        <f t="array" ref="R115">(VLOOKUP($A115,'The List'!$B1:$AH671,30,FALSE)-AVERAGE('The List'!AE2:AE671))/STDEV('The List'!AE2:AE671)</f>
        <v>0.97368379417982409</v>
      </c>
      <c r="S115" s="55" cm="1">
        <f t="array" ref="S115">(VLOOKUP($A115,'The List'!$B1:$AH671,31,FALSE)-AVERAGE('The List'!AF2:AF671))/STDEV('The List'!AF2:AF671)</f>
        <v>-0.5709152375938733</v>
      </c>
      <c r="T115" s="55" cm="1">
        <f t="array" ref="T115">(VLOOKUP($A115,'The List'!$B1:$AH671,32,FALSE)-AVERAGE('The List'!AG2:AG671))/STDEV('The List'!AG2:AG671)</f>
        <v>-0.5781224312387323</v>
      </c>
      <c r="U115" s="55" cm="1">
        <f t="array" ref="U115">(VLOOKUP($A115,'The List'!$B1:$AH671,33,FALSE)-AVERAGE('The List'!AH2:AH671))/STDEV('The List'!AH2:AH671)</f>
        <v>-3.4142403640872204E-2</v>
      </c>
      <c r="V115" s="55"/>
      <c r="W115" s="78"/>
      <c r="X115" s="57"/>
      <c r="Y115" s="57"/>
      <c r="Z115" s="57"/>
      <c r="AA115" s="57"/>
      <c r="AB115" s="57"/>
      <c r="AC115" s="60"/>
      <c r="AD115" s="61"/>
      <c r="AE115" s="55"/>
    </row>
    <row r="116" spans="1:31" ht="21.25" customHeight="1" x14ac:dyDescent="0.15">
      <c r="A116" s="10" t="s">
        <v>146</v>
      </c>
      <c r="B116" s="18" t="str" cm="1">
        <f t="array" ref="B116">VLOOKUP(A116,'Player Data'!A1:B673,2,FALSE)</f>
        <v>DET</v>
      </c>
      <c r="C116" s="52" cm="1">
        <f t="array" ref="C116">((E116)*Settings!$C$12)+(F116*Settings!$C$2)+(G116*Settings!$C$3)+(H116*Settings!$C$4)+(I116*Settings!$C$5)+(K116*Settings!$C$9)+(N116*Settings!$C$6)+(J116*Settings!$C$8)+(O116*Settings!$C$7)+(P116*Settings!$C$14)+(Q116*Settings!$C$15)+(R116*Settings!$C$16)+(S116*Settings!$C$17)+(T116*Settings!$C$18)+(U116*Settings!$C$19)+(L116*Settings!$C$10)+(Settings!$C$11*M116)</f>
        <v>9.4065005582116044</v>
      </c>
      <c r="D116" s="57" cm="1">
        <f t="array" ref="D116">IF(Settings!$E$12="YES",VLOOKUP(A116,'Player Data'!A1:E673,5,FALSE),82)</f>
        <v>84.03</v>
      </c>
      <c r="E116" s="55" cm="1">
        <f t="array" ref="E116">(VLOOKUP($A116,'The List'!$B1:$AH671,17,FALSE)-AVERAGE('The List'!R2:R671))/STDEV('The List'!R2:R671)</f>
        <v>2.3861305750993211</v>
      </c>
      <c r="F116" s="55" cm="1">
        <f t="array" ref="F116">(VLOOKUP($A116,'The List'!$B1:$AH671,18,FALSE)-AVERAGE('The List'!S2:S671))/STDEV('The List'!S2:S671)</f>
        <v>-0.281939724423312</v>
      </c>
      <c r="G116" s="55" cm="1">
        <f t="array" ref="G116">(VLOOKUP($A116,'The List'!$B1:$AH671,19,FALSE)-AVERAGE('The List'!T2:T671))/STDEV('The List'!T2:T671)</f>
        <v>1.732610192899591</v>
      </c>
      <c r="H116" s="55" cm="1">
        <f t="array" ref="H116">(VLOOKUP($A116,'The List'!$B1:$AH671,20,FALSE)-AVERAGE('The List'!U2:U671))/STDEV('The List'!U2:U671)</f>
        <v>0.96471214354702295</v>
      </c>
      <c r="I116" s="55" cm="1">
        <f t="array" ref="I116">(VLOOKUP($A116,'The List'!$B1:$AH671,21,FALSE)-AVERAGE('The List'!V2:V671))/STDEV('The List'!V2:V671)</f>
        <v>1.0203512037495002</v>
      </c>
      <c r="J116" s="55" cm="1">
        <f t="array" ref="J116">(VLOOKUP($A116,'The List'!$B1:$AH671,22,FALSE)-AVERAGE('The List'!W2:W671))/STDEV('The List'!W2:W671)</f>
        <v>0.35452609104377231</v>
      </c>
      <c r="K116" s="55" cm="1">
        <f t="array" ref="K116">(VLOOKUP($A116,'The List'!$B1:$AH671,23,FALSE)-AVERAGE('The List'!X2:X671))/STDEV('The List'!X2:X671)</f>
        <v>1.9752146857631898</v>
      </c>
      <c r="L116" s="55" cm="1">
        <f t="array" ref="L116">(VLOOKUP($A116,'The List'!$B1:$AH671,24,FALSE)-AVERAGE('The List'!Y2:Y671))/STDEV('The List'!Y2:Y671)</f>
        <v>-0.53485573736903025</v>
      </c>
      <c r="M116" s="55" cm="1">
        <f t="array" ref="M116">(VLOOKUP($A116,'The List'!$B1:$AH671,25,FALSE)-AVERAGE('The List'!Z2:Z671))/STDEV('The List'!Z2:Z671)</f>
        <v>-0.4117829618311355</v>
      </c>
      <c r="N116" s="55" cm="1">
        <f t="array" ref="N116">(VLOOKUP($A116,'The List'!$B1:$AH671,26,FALSE)-AVERAGE('The List'!AA2:AA671))/STDEV('The List'!AA2:AA671)</f>
        <v>2.9925374058482306</v>
      </c>
      <c r="O116" s="55" cm="1">
        <f t="array" ref="O116">(VLOOKUP($A116,'The List'!$B1:$AH671,27,FALSE)-AVERAGE('The List'!AB2:AB671))/STDEV('The List'!AB2:AB671)</f>
        <v>1.1945039695381694</v>
      </c>
      <c r="P116" s="55" cm="1">
        <f t="array" ref="P116">(VLOOKUP($A116,'The List'!$B1:$AH671,28,FALSE)-AVERAGE('The List'!AC2:AC671))/STDEV('The List'!AC2:AC671)</f>
        <v>0.38179478668835265</v>
      </c>
      <c r="Q116" s="55" cm="1">
        <f t="array" ref="Q116">(VLOOKUP($A116,'The List'!$B1:$AH671,29,FALSE)-AVERAGE('The List'!AD2:AD671))/STDEV('The List'!AD2:AD671)</f>
        <v>1.585932007686053</v>
      </c>
      <c r="R116" s="55" cm="1">
        <f t="array" ref="R116">(VLOOKUP($A116,'The List'!$B1:$AH671,30,FALSE)-AVERAGE('The List'!AE2:AE671))/STDEV('The List'!AE2:AE671)</f>
        <v>-0.26643327746250889</v>
      </c>
      <c r="S116" s="55" cm="1">
        <f t="array" ref="S116">(VLOOKUP($A116,'The List'!$B1:$AH671,31,FALSE)-AVERAGE('The List'!AF2:AF671))/STDEV('The List'!AF2:AF671)</f>
        <v>-0.5939690971349143</v>
      </c>
      <c r="T116" s="55" cm="1">
        <f t="array" ref="T116">(VLOOKUP($A116,'The List'!$B1:$AH671,32,FALSE)-AVERAGE('The List'!AG2:AG671))/STDEV('The List'!AG2:AG671)</f>
        <v>-0.64602208138248207</v>
      </c>
      <c r="U116" s="55" cm="1">
        <f t="array" ref="U116">(VLOOKUP($A116,'The List'!$B1:$AH671,33,FALSE)-AVERAGE('The List'!AH2:AH671))/STDEV('The List'!AH2:AH671)</f>
        <v>-1.2548938914719048</v>
      </c>
      <c r="V116" s="55"/>
      <c r="W116" s="78"/>
      <c r="X116" s="57"/>
      <c r="Y116" s="57"/>
      <c r="Z116" s="57"/>
      <c r="AA116" s="57"/>
      <c r="AB116" s="57"/>
      <c r="AC116" s="60"/>
      <c r="AD116" s="61"/>
      <c r="AE116" s="55"/>
    </row>
    <row r="117" spans="1:31" ht="21.25" customHeight="1" x14ac:dyDescent="0.15">
      <c r="A117" s="10" t="s">
        <v>328</v>
      </c>
      <c r="B117" s="18" t="str" cm="1">
        <f t="array" ref="B117">VLOOKUP(A117,'Player Data'!A1:B673,2,FALSE)</f>
        <v>NSH</v>
      </c>
      <c r="C117" s="52" cm="1">
        <f t="array" ref="C117">((E117)*Settings!$C$12)+(F117*Settings!$C$2)+(G117*Settings!$C$3)+(H117*Settings!$C$4)+(I117*Settings!$C$5)+(K117*Settings!$C$9)+(N117*Settings!$C$6)+(J117*Settings!$C$8)+(O117*Settings!$C$7)+(P117*Settings!$C$14)+(Q117*Settings!$C$15)+(R117*Settings!$C$16)+(S117*Settings!$C$17)+(T117*Settings!$C$18)+(U117*Settings!$C$19)+(L117*Settings!$C$10)+(Settings!$C$11*M117)</f>
        <v>1.7782577117230314</v>
      </c>
      <c r="D117" s="57" cm="1">
        <f t="array" ref="D117">IF(Settings!$E$12="YES",VLOOKUP(A117,'Player Data'!A1:E673,5,FALSE),82)</f>
        <v>81.727500000000006</v>
      </c>
      <c r="E117" s="55" cm="1">
        <f t="array" ref="E117">(VLOOKUP($A117,'The List'!$B1:$AH671,17,FALSE)-AVERAGE('The List'!R2:R671))/STDEV('The List'!R2:R671)</f>
        <v>0.14326887042941666</v>
      </c>
      <c r="F117" s="55" cm="1">
        <f t="array" ref="F117">(VLOOKUP($A117,'The List'!$B1:$AH671,18,FALSE)-AVERAGE('The List'!S2:S671))/STDEV('The List'!S2:S671)</f>
        <v>0.27152844662279096</v>
      </c>
      <c r="G117" s="55" cm="1">
        <f t="array" ref="G117">(VLOOKUP($A117,'The List'!$B1:$AH671,19,FALSE)-AVERAGE('The List'!T2:T671))/STDEV('The List'!T2:T671)</f>
        <v>1.218564270964096</v>
      </c>
      <c r="H117" s="55" cm="1">
        <f t="array" ref="H117">(VLOOKUP($A117,'The List'!$B1:$AH671,20,FALSE)-AVERAGE('The List'!U2:U671))/STDEV('The List'!U2:U671)</f>
        <v>0.8869417596467043</v>
      </c>
      <c r="I117" s="55" cm="1">
        <f t="array" ref="I117">(VLOOKUP($A117,'The List'!$B1:$AH671,21,FALSE)-AVERAGE('The List'!V2:V671))/STDEV('The List'!V2:V671)</f>
        <v>1.1353781694941067</v>
      </c>
      <c r="J117" s="55" cm="1">
        <f t="array" ref="J117">(VLOOKUP($A117,'The List'!$B1:$AH671,22,FALSE)-AVERAGE('The List'!W2:W671))/STDEV('The List'!W2:W671)</f>
        <v>-5.8907862431247092E-2</v>
      </c>
      <c r="K117" s="55" cm="1">
        <f t="array" ref="K117">(VLOOKUP($A117,'The List'!$B1:$AH671,23,FALSE)-AVERAGE('The List'!X2:X671))/STDEV('The List'!X2:X671)</f>
        <v>0.79842047179238995</v>
      </c>
      <c r="L117" s="55" cm="1">
        <f t="array" ref="L117">(VLOOKUP($A117,'The List'!$B1:$AH671,24,FALSE)-AVERAGE('The List'!Y2:Y671))/STDEV('The List'!Y2:Y671)</f>
        <v>-0.5557607286511127</v>
      </c>
      <c r="M117" s="55" cm="1">
        <f t="array" ref="M117">(VLOOKUP($A117,'The List'!$B1:$AH671,25,FALSE)-AVERAGE('The List'!Z2:Z671))/STDEV('The List'!Z2:Z671)</f>
        <v>-0.69793767001325724</v>
      </c>
      <c r="N117" s="55" cm="1">
        <f t="array" ref="N117">(VLOOKUP($A117,'The List'!$B1:$AH671,26,FALSE)-AVERAGE('The List'!AA2:AA671))/STDEV('The List'!AA2:AA671)</f>
        <v>-1.012213426984216</v>
      </c>
      <c r="O117" s="55" cm="1">
        <f t="array" ref="O117">(VLOOKUP($A117,'The List'!$B1:$AH671,27,FALSE)-AVERAGE('The List'!AB2:AB671))/STDEV('The List'!AB2:AB671)</f>
        <v>-1.0912766544209309</v>
      </c>
      <c r="P117" s="55" cm="1">
        <f t="array" ref="P117">(VLOOKUP($A117,'The List'!$B1:$AH671,28,FALSE)-AVERAGE('The List'!AC2:AC671))/STDEV('The List'!AC2:AC671)</f>
        <v>-0.16216100896715677</v>
      </c>
      <c r="Q117" s="55" cm="1">
        <f t="array" ref="Q117">(VLOOKUP($A117,'The List'!$B1:$AH671,29,FALSE)-AVERAGE('The List'!AD2:AD671))/STDEV('The List'!AD2:AD671)</f>
        <v>-0.47125921119897979</v>
      </c>
      <c r="R117" s="55" cm="1">
        <f t="array" ref="R117">(VLOOKUP($A117,'The List'!$B1:$AH671,30,FALSE)-AVERAGE('The List'!AE2:AE671))/STDEV('The List'!AE2:AE671)</f>
        <v>8.8911941914267836E-2</v>
      </c>
      <c r="S117" s="55" cm="1">
        <f t="array" ref="S117">(VLOOKUP($A117,'The List'!$B1:$AH671,31,FALSE)-AVERAGE('The List'!AF2:AF671))/STDEV('The List'!AF2:AF671)</f>
        <v>-0.59341960434028496</v>
      </c>
      <c r="T117" s="55" cm="1">
        <f t="array" ref="T117">(VLOOKUP($A117,'The List'!$B1:$AH671,32,FALSE)-AVERAGE('The List'!AG2:AG671))/STDEV('The List'!AG2:AG671)</f>
        <v>-0.63667894309308504</v>
      </c>
      <c r="U117" s="55" cm="1">
        <f t="array" ref="U117">(VLOOKUP($A117,'The List'!$B1:$AH671,33,FALSE)-AVERAGE('The List'!AH2:AH671))/STDEV('The List'!AH2:AH671)</f>
        <v>-0.98394919968919925</v>
      </c>
      <c r="V117" s="55"/>
      <c r="W117" s="78"/>
      <c r="X117" s="57"/>
      <c r="Y117" s="57"/>
      <c r="Z117" s="57"/>
      <c r="AA117" s="57"/>
      <c r="AB117" s="57"/>
      <c r="AC117" s="60"/>
      <c r="AD117" s="61"/>
      <c r="AE117" s="55"/>
    </row>
    <row r="118" spans="1:31" ht="21.25" customHeight="1" x14ac:dyDescent="0.15">
      <c r="A118" s="10" t="s">
        <v>186</v>
      </c>
      <c r="B118" s="18" t="str" cm="1">
        <f t="array" ref="B118">VLOOKUP(A118,'Player Data'!A1:B673,2,FALSE)</f>
        <v>BOS</v>
      </c>
      <c r="C118" s="52" cm="1">
        <f t="array" ref="C118">((E118)*Settings!$C$12)+(F118*Settings!$C$2)+(G118*Settings!$C$3)+(H118*Settings!$C$4)+(I118*Settings!$C$5)+(K118*Settings!$C$9)+(N118*Settings!$C$6)+(J118*Settings!$C$8)+(O118*Settings!$C$7)+(P118*Settings!$C$14)+(Q118*Settings!$C$15)+(R118*Settings!$C$16)+(S118*Settings!$C$17)+(T118*Settings!$C$18)+(U118*Settings!$C$19)+(L118*Settings!$C$10)+(Settings!$C$11*M118)</f>
        <v>6.7430455954945376</v>
      </c>
      <c r="D118" s="57" cm="1">
        <f t="array" ref="D118">IF(Settings!$E$12="YES",VLOOKUP(A118,'Player Data'!A1:E673,5,FALSE),82)</f>
        <v>76.522499999999994</v>
      </c>
      <c r="E118" s="55" cm="1">
        <f t="array" ref="E118">(VLOOKUP($A118,'The List'!$B1:$AH671,17,FALSE)-AVERAGE('The List'!R2:R671))/STDEV('The List'!R2:R671)</f>
        <v>2.3422806889287036</v>
      </c>
      <c r="F118" s="55" cm="1">
        <f t="array" ref="F118">(VLOOKUP($A118,'The List'!$B1:$AH671,18,FALSE)-AVERAGE('The List'!S2:S671))/STDEV('The List'!S2:S671)</f>
        <v>-0.27378399295937661</v>
      </c>
      <c r="G118" s="55" cm="1">
        <f t="array" ref="G118">(VLOOKUP($A118,'The List'!$B1:$AH671,19,FALSE)-AVERAGE('The List'!T2:T671))/STDEV('The List'!T2:T671)</f>
        <v>1.3401233279895679</v>
      </c>
      <c r="H118" s="55" cm="1">
        <f t="array" ref="H118">(VLOOKUP($A118,'The List'!$B1:$AH671,20,FALSE)-AVERAGE('The List'!U2:U671))/STDEV('The List'!U2:U671)</f>
        <v>0.72145849780667404</v>
      </c>
      <c r="I118" s="55" cm="1">
        <f t="array" ref="I118">(VLOOKUP($A118,'The List'!$B1:$AH671,21,FALSE)-AVERAGE('The List'!V2:V671))/STDEV('The List'!V2:V671)</f>
        <v>0.21016797970831644</v>
      </c>
      <c r="J118" s="55" cm="1">
        <f t="array" ref="J118">(VLOOKUP($A118,'The List'!$B1:$AH671,22,FALSE)-AVERAGE('The List'!W2:W671))/STDEV('The List'!W2:W671)</f>
        <v>-0.15709226714873564</v>
      </c>
      <c r="K118" s="55" cm="1">
        <f t="array" ref="K118">(VLOOKUP($A118,'The List'!$B1:$AH671,23,FALSE)-AVERAGE('The List'!X2:X671))/STDEV('The List'!X2:X671)</f>
        <v>0.95059098540609155</v>
      </c>
      <c r="L118" s="55" cm="1">
        <f t="array" ref="L118">(VLOOKUP($A118,'The List'!$B1:$AH671,24,FALSE)-AVERAGE('The List'!Y2:Y671))/STDEV('The List'!Y2:Y671)</f>
        <v>7.8697688725509196E-3</v>
      </c>
      <c r="M118" s="55" cm="1">
        <f t="array" ref="M118">(VLOOKUP($A118,'The List'!$B1:$AH671,25,FALSE)-AVERAGE('The List'!Z2:Z671))/STDEV('The List'!Z2:Z671)</f>
        <v>-0.22184219557396492</v>
      </c>
      <c r="N118" s="55" cm="1">
        <f t="array" ref="N118">(VLOOKUP($A118,'The List'!$B1:$AH671,26,FALSE)-AVERAGE('The List'!AA2:AA671))/STDEV('The List'!AA2:AA671)</f>
        <v>2.0272383052026557</v>
      </c>
      <c r="O118" s="55" cm="1">
        <f t="array" ref="O118">(VLOOKUP($A118,'The List'!$B1:$AH671,27,FALSE)-AVERAGE('The List'!AB2:AB671))/STDEV('The List'!AB2:AB671)</f>
        <v>0.24266004227684987</v>
      </c>
      <c r="P118" s="55" cm="1">
        <f t="array" ref="P118">(VLOOKUP($A118,'The List'!$B1:$AH671,28,FALSE)-AVERAGE('The List'!AC2:AC671))/STDEV('The List'!AC2:AC671)</f>
        <v>-0.23807647060419918</v>
      </c>
      <c r="Q118" s="55" cm="1">
        <f t="array" ref="Q118">(VLOOKUP($A118,'The List'!$B1:$AH671,29,FALSE)-AVERAGE('The List'!AD2:AD671))/STDEV('The List'!AD2:AD671)</f>
        <v>2.7267854607514814</v>
      </c>
      <c r="R118" s="55" cm="1">
        <f t="array" ref="R118">(VLOOKUP($A118,'The List'!$B1:$AH671,30,FALSE)-AVERAGE('The List'!AE2:AE671))/STDEV('The List'!AE2:AE671)</f>
        <v>-0.40990900433587546</v>
      </c>
      <c r="S118" s="55" cm="1">
        <f t="array" ref="S118">(VLOOKUP($A118,'The List'!$B1:$AH671,31,FALSE)-AVERAGE('The List'!AF2:AF671))/STDEV('The List'!AF2:AF671)</f>
        <v>-0.5939690971349143</v>
      </c>
      <c r="T118" s="55" cm="1">
        <f t="array" ref="T118">(VLOOKUP($A118,'The List'!$B1:$AH671,32,FALSE)-AVERAGE('The List'!AG2:AG671))/STDEV('The List'!AG2:AG671)</f>
        <v>-0.64602208138248207</v>
      </c>
      <c r="U118" s="55" cm="1">
        <f t="array" ref="U118">(VLOOKUP($A118,'The List'!$B1:$AH671,33,FALSE)-AVERAGE('The List'!AH2:AH671))/STDEV('The List'!AH2:AH671)</f>
        <v>-1.2548938914719048</v>
      </c>
      <c r="V118" s="55"/>
      <c r="W118" s="78"/>
      <c r="X118" s="57"/>
      <c r="Y118" s="57"/>
      <c r="Z118" s="57"/>
      <c r="AA118" s="57"/>
      <c r="AB118" s="57"/>
      <c r="AC118" s="60"/>
      <c r="AD118" s="61"/>
      <c r="AE118" s="55"/>
    </row>
    <row r="119" spans="1:31" ht="21.25" customHeight="1" x14ac:dyDescent="0.15">
      <c r="A119" s="10" t="s">
        <v>316</v>
      </c>
      <c r="B119" s="18" t="str" cm="1">
        <f t="array" ref="B119">VLOOKUP(A119,'Player Data'!A1:B673,2,FALSE)</f>
        <v>VAN</v>
      </c>
      <c r="C119" s="52" cm="1">
        <f t="array" ref="C119">((E119)*Settings!$C$12)+(F119*Settings!$C$2)+(G119*Settings!$C$3)+(H119*Settings!$C$4)+(I119*Settings!$C$5)+(K119*Settings!$C$9)+(N119*Settings!$C$6)+(J119*Settings!$C$8)+(O119*Settings!$C$7)+(P119*Settings!$C$14)+(Q119*Settings!$C$15)+(R119*Settings!$C$16)+(S119*Settings!$C$17)+(T119*Settings!$C$18)+(U119*Settings!$C$19)+(L119*Settings!$C$10)+(Settings!$C$11*M119)</f>
        <v>-0.44516889686452066</v>
      </c>
      <c r="D119" s="57" cm="1">
        <f t="array" ref="D119">IF(Settings!$E$12="YES",VLOOKUP(A119,'Player Data'!A1:E673,5,FALSE),82)</f>
        <v>81.724999999999994</v>
      </c>
      <c r="E119" s="55" cm="1">
        <f t="array" ref="E119">(VLOOKUP($A119,'The List'!$B1:$AH671,17,FALSE)-AVERAGE('The List'!R2:R671))/STDEV('The List'!R2:R671)</f>
        <v>0.65986177772163979</v>
      </c>
      <c r="F119" s="55" cm="1">
        <f t="array" ref="F119">(VLOOKUP($A119,'The List'!$B1:$AH671,18,FALSE)-AVERAGE('The List'!S2:S671))/STDEV('The List'!S2:S671)</f>
        <v>1.3738473148821539</v>
      </c>
      <c r="G119" s="55" cm="1">
        <f t="array" ref="G119">(VLOOKUP($A119,'The List'!$B1:$AH671,19,FALSE)-AVERAGE('The List'!T2:T671))/STDEV('The List'!T2:T671)</f>
        <v>0.43060654865088233</v>
      </c>
      <c r="H119" s="55" cm="1">
        <f t="array" ref="H119">(VLOOKUP($A119,'The List'!$B1:$AH671,20,FALSE)-AVERAGE('The List'!U2:U671))/STDEV('The List'!U2:U671)</f>
        <v>0.88039541411887134</v>
      </c>
      <c r="I119" s="55" cm="1">
        <f t="array" ref="I119">(VLOOKUP($A119,'The List'!$B1:$AH671,21,FALSE)-AVERAGE('The List'!V2:V671))/STDEV('The List'!V2:V671)</f>
        <v>0.97656496133582049</v>
      </c>
      <c r="J119" s="55" cm="1">
        <f t="array" ref="J119">(VLOOKUP($A119,'The List'!$B1:$AH671,22,FALSE)-AVERAGE('The List'!W2:W671))/STDEV('The List'!W2:W671)</f>
        <v>1.6205126992923604</v>
      </c>
      <c r="K119" s="55" cm="1">
        <f t="array" ref="K119">(VLOOKUP($A119,'The List'!$B1:$AH671,23,FALSE)-AVERAGE('The List'!X2:X671))/STDEV('The List'!X2:X671)</f>
        <v>1.2832698267115001</v>
      </c>
      <c r="L119" s="55" cm="1">
        <f t="array" ref="L119">(VLOOKUP($A119,'The List'!$B1:$AH671,24,FALSE)-AVERAGE('The List'!Y2:Y671))/STDEV('The List'!Y2:Y671)</f>
        <v>1.5401841235140785</v>
      </c>
      <c r="M119" s="55" cm="1">
        <f t="array" ref="M119">(VLOOKUP($A119,'The List'!$B1:$AH671,25,FALSE)-AVERAGE('The List'!Z2:Z671))/STDEV('The List'!Z2:Z671)</f>
        <v>0.70691879677770253</v>
      </c>
      <c r="N119" s="55" cm="1">
        <f t="array" ref="N119">(VLOOKUP($A119,'The List'!$B1:$AH671,26,FALSE)-AVERAGE('The List'!AA2:AA671))/STDEV('The List'!AA2:AA671)</f>
        <v>-0.75702399212173177</v>
      </c>
      <c r="O119" s="55" cm="1">
        <f t="array" ref="O119">(VLOOKUP($A119,'The List'!$B1:$AH671,27,FALSE)-AVERAGE('The List'!AB2:AB671))/STDEV('The List'!AB2:AB671)</f>
        <v>-0.39531335896781228</v>
      </c>
      <c r="P119" s="55" cm="1">
        <f t="array" ref="P119">(VLOOKUP($A119,'The List'!$B1:$AH671,28,FALSE)-AVERAGE('The List'!AC2:AC671))/STDEV('The List'!AC2:AC671)</f>
        <v>-2.7020093780520535</v>
      </c>
      <c r="Q119" s="55" cm="1">
        <f t="array" ref="Q119">(VLOOKUP($A119,'The List'!$B1:$AH671,29,FALSE)-AVERAGE('The List'!AD2:AD671))/STDEV('The List'!AD2:AD671)</f>
        <v>-1.0504241782710926</v>
      </c>
      <c r="R119" s="55" cm="1">
        <f t="array" ref="R119">(VLOOKUP($A119,'The List'!$B1:$AH671,30,FALSE)-AVERAGE('The List'!AE2:AE671))/STDEV('The List'!AE2:AE671)</f>
        <v>0.79256369813984218</v>
      </c>
      <c r="S119" s="55" cm="1">
        <f t="array" ref="S119">(VLOOKUP($A119,'The List'!$B1:$AH671,31,FALSE)-AVERAGE('The List'!AF2:AF671))/STDEV('The List'!AF2:AF671)</f>
        <v>-0.36319683272913111</v>
      </c>
      <c r="T119" s="55" cm="1">
        <f t="array" ref="T119">(VLOOKUP($A119,'The List'!$B1:$AH671,32,FALSE)-AVERAGE('The List'!AG2:AG671))/STDEV('The List'!AG2:AG671)</f>
        <v>-0.28657696817467626</v>
      </c>
      <c r="U119" s="55" cm="1">
        <f t="array" ref="U119">(VLOOKUP($A119,'The List'!$B1:$AH671,33,FALSE)-AVERAGE('The List'!AH2:AH671))/STDEV('The List'!AH2:AH671)</f>
        <v>0.61180818531560333</v>
      </c>
      <c r="V119" s="55"/>
      <c r="W119" s="78"/>
      <c r="X119" s="57"/>
      <c r="Y119" s="57"/>
      <c r="Z119" s="57"/>
      <c r="AA119" s="57"/>
      <c r="AB119" s="57"/>
      <c r="AC119" s="60"/>
      <c r="AD119" s="61"/>
      <c r="AE119" s="55"/>
    </row>
    <row r="120" spans="1:31" ht="21.25" customHeight="1" x14ac:dyDescent="0.15">
      <c r="A120" s="10" t="s">
        <v>341</v>
      </c>
      <c r="B120" s="18" t="str" cm="1">
        <f t="array" ref="B120">VLOOKUP(A120,'Player Data'!A1:B673,2,FALSE)</f>
        <v>EDM</v>
      </c>
      <c r="C120" s="52" cm="1">
        <f t="array" ref="C120">((E120)*Settings!$C$12)+(F120*Settings!$C$2)+(G120*Settings!$C$3)+(H120*Settings!$C$4)+(I120*Settings!$C$5)+(K120*Settings!$C$9)+(N120*Settings!$C$6)+(J120*Settings!$C$8)+(O120*Settings!$C$7)+(P120*Settings!$C$14)+(Q120*Settings!$C$15)+(R120*Settings!$C$16)+(S120*Settings!$C$17)+(T120*Settings!$C$18)+(U120*Settings!$C$19)+(L120*Settings!$C$10)+(Settings!$C$11*M120)</f>
        <v>4.2167105286581039</v>
      </c>
      <c r="D120" s="57" cm="1">
        <f t="array" ref="D120">IF(Settings!$E$12="YES",VLOOKUP(A120,'Player Data'!A1:E673,5,FALSE),82)</f>
        <v>81.504999999999995</v>
      </c>
      <c r="E120" s="55" cm="1">
        <f t="array" ref="E120">(VLOOKUP($A120,'The List'!$B1:$AH671,17,FALSE)-AVERAGE('The List'!R2:R671))/STDEV('The List'!R2:R671)</f>
        <v>0.39092697177893632</v>
      </c>
      <c r="F120" s="55" cm="1">
        <f t="array" ref="F120">(VLOOKUP($A120,'The List'!$B1:$AH671,18,FALSE)-AVERAGE('The List'!S2:S671))/STDEV('The List'!S2:S671)</f>
        <v>0.58330280013605917</v>
      </c>
      <c r="G120" s="55" cm="1">
        <f t="array" ref="G120">(VLOOKUP($A120,'The List'!$B1:$AH671,19,FALSE)-AVERAGE('The List'!T2:T671))/STDEV('The List'!T2:T671)</f>
        <v>0.93334951495416385</v>
      </c>
      <c r="H120" s="55" cm="1">
        <f t="array" ref="H120">(VLOOKUP($A120,'The List'!$B1:$AH671,20,FALSE)-AVERAGE('The List'!U2:U671))/STDEV('The List'!U2:U671)</f>
        <v>0.8458706820840769</v>
      </c>
      <c r="I120" s="55" cm="1">
        <f t="array" ref="I120">(VLOOKUP($A120,'The List'!$B1:$AH671,21,FALSE)-AVERAGE('The List'!V2:V671))/STDEV('The List'!V2:V671)</f>
        <v>0.49571583938575015</v>
      </c>
      <c r="J120" s="55" cm="1">
        <f t="array" ref="J120">(VLOOKUP($A120,'The List'!$B1:$AH671,22,FALSE)-AVERAGE('The List'!W2:W671))/STDEV('The List'!W2:W671)</f>
        <v>1.7369232844404321</v>
      </c>
      <c r="K120" s="55" cm="1">
        <f t="array" ref="K120">(VLOOKUP($A120,'The List'!$B1:$AH671,23,FALSE)-AVERAGE('The List'!X2:X671))/STDEV('The List'!X2:X671)</f>
        <v>1.9867579353094245</v>
      </c>
      <c r="L120" s="55" cm="1">
        <f t="array" ref="L120">(VLOOKUP($A120,'The List'!$B1:$AH671,24,FALSE)-AVERAGE('The List'!Y2:Y671))/STDEV('The List'!Y2:Y671)</f>
        <v>2.9110964529270891E-2</v>
      </c>
      <c r="M120" s="55" cm="1">
        <f t="array" ref="M120">(VLOOKUP($A120,'The List'!$B1:$AH671,25,FALSE)-AVERAGE('The List'!Z2:Z671))/STDEV('The List'!Z2:Z671)</f>
        <v>0.68557810725123758</v>
      </c>
      <c r="N120" s="55" cm="1">
        <f t="array" ref="N120">(VLOOKUP($A120,'The List'!$B1:$AH671,26,FALSE)-AVERAGE('The List'!AA2:AA671))/STDEV('The List'!AA2:AA671)</f>
        <v>-0.65294726810096482</v>
      </c>
      <c r="O120" s="55" cm="1">
        <f t="array" ref="O120">(VLOOKUP($A120,'The List'!$B1:$AH671,27,FALSE)-AVERAGE('The List'!AB2:AB671))/STDEV('The List'!AB2:AB671)</f>
        <v>-1.0250003001408352</v>
      </c>
      <c r="P120" s="55" cm="1">
        <f t="array" ref="P120">(VLOOKUP($A120,'The List'!$B1:$AH671,28,FALSE)-AVERAGE('The List'!AC2:AC671))/STDEV('The List'!AC2:AC671)</f>
        <v>1.1432946334726091</v>
      </c>
      <c r="Q120" s="55" cm="1">
        <f t="array" ref="Q120">(VLOOKUP($A120,'The List'!$B1:$AH671,29,FALSE)-AVERAGE('The List'!AD2:AD671))/STDEV('The List'!AD2:AD671)</f>
        <v>-0.27276292649893696</v>
      </c>
      <c r="R120" s="55" cm="1">
        <f t="array" ref="R120">(VLOOKUP($A120,'The List'!$B1:$AH671,30,FALSE)-AVERAGE('The List'!AE2:AE671))/STDEV('The List'!AE2:AE671)</f>
        <v>0.8109135569178415</v>
      </c>
      <c r="S120" s="55" cm="1">
        <f t="array" ref="S120">(VLOOKUP($A120,'The List'!$B1:$AH671,31,FALSE)-AVERAGE('The List'!AF2:AF671))/STDEV('The List'!AF2:AF671)</f>
        <v>0.39200946524527414</v>
      </c>
      <c r="T120" s="55" cm="1">
        <f t="array" ref="T120">(VLOOKUP($A120,'The List'!$B1:$AH671,32,FALSE)-AVERAGE('The List'!AG2:AG671))/STDEV('The List'!AG2:AG671)</f>
        <v>0.49532062677976518</v>
      </c>
      <c r="U120" s="55" cm="1">
        <f t="array" ref="U120">(VLOOKUP($A120,'The List'!$B1:$AH671,33,FALSE)-AVERAGE('The List'!AH2:AH671))/STDEV('The List'!AH2:AH671)</f>
        <v>0.94777045557741146</v>
      </c>
      <c r="V120" s="55"/>
      <c r="W120" s="57"/>
      <c r="X120" s="57"/>
      <c r="Y120" s="57"/>
      <c r="Z120" s="57"/>
      <c r="AA120" s="57"/>
      <c r="AB120" s="57"/>
      <c r="AC120" s="60"/>
      <c r="AD120" s="61"/>
      <c r="AE120" s="55"/>
    </row>
    <row r="121" spans="1:31" ht="21.25" customHeight="1" x14ac:dyDescent="0.15">
      <c r="A121" s="10" t="s">
        <v>284</v>
      </c>
      <c r="B121" s="18" t="str" cm="1">
        <f t="array" ref="B121">VLOOKUP(A121,'Player Data'!A1:B673,2,FALSE)</f>
        <v>BUF</v>
      </c>
      <c r="C121" s="52" cm="1">
        <f t="array" ref="C121">((E121)*Settings!$C$12)+(F121*Settings!$C$2)+(G121*Settings!$C$3)+(H121*Settings!$C$4)+(I121*Settings!$C$5)+(K121*Settings!$C$9)+(N121*Settings!$C$6)+(J121*Settings!$C$8)+(O121*Settings!$C$7)+(P121*Settings!$C$14)+(Q121*Settings!$C$15)+(R121*Settings!$C$16)+(S121*Settings!$C$17)+(T121*Settings!$C$18)+(U121*Settings!$C$19)+(L121*Settings!$C$10)+(Settings!$C$11*M121)</f>
        <v>5.506895403632976</v>
      </c>
      <c r="D121" s="57" cm="1">
        <f t="array" ref="D121">IF(Settings!$E$12="YES",VLOOKUP(A121,'Player Data'!A1:E673,5,FALSE),82)</f>
        <v>78.95</v>
      </c>
      <c r="E121" s="55" cm="1">
        <f t="array" ref="E121">(VLOOKUP($A121,'The List'!$B1:$AH671,17,FALSE)-AVERAGE('The List'!R2:R671))/STDEV('The List'!R2:R671)</f>
        <v>0.51897583781497703</v>
      </c>
      <c r="F121" s="55" cm="1">
        <f t="array" ref="F121">(VLOOKUP($A121,'The List'!$B1:$AH671,18,FALSE)-AVERAGE('The List'!S2:S671))/STDEV('The List'!S2:S671)</f>
        <v>0.85102649018298293</v>
      </c>
      <c r="G121" s="55" cm="1">
        <f t="array" ref="G121">(VLOOKUP($A121,'The List'!$B1:$AH671,19,FALSE)-AVERAGE('The List'!T2:T671))/STDEV('The List'!T2:T671)</f>
        <v>1.3863942474760449</v>
      </c>
      <c r="H121" s="55" cm="1">
        <f t="array" ref="H121">(VLOOKUP($A121,'The List'!$B1:$AH671,20,FALSE)-AVERAGE('The List'!U2:U671))/STDEV('The List'!U2:U671)</f>
        <v>1.2496166049429771</v>
      </c>
      <c r="I121" s="55" cm="1">
        <f t="array" ref="I121">(VLOOKUP($A121,'The List'!$B1:$AH671,21,FALSE)-AVERAGE('The List'!V2:V671))/STDEV('The List'!V2:V671)</f>
        <v>1.0269464140772915</v>
      </c>
      <c r="J121" s="55" cm="1">
        <f t="array" ref="J121">(VLOOKUP($A121,'The List'!$B1:$AH671,22,FALSE)-AVERAGE('The List'!W2:W671))/STDEV('The List'!W2:W671)</f>
        <v>0.78425556033516697</v>
      </c>
      <c r="K121" s="55" cm="1">
        <f t="array" ref="K121">(VLOOKUP($A121,'The List'!$B1:$AH671,23,FALSE)-AVERAGE('The List'!X2:X671))/STDEV('The List'!X2:X671)</f>
        <v>0.77578887565418753</v>
      </c>
      <c r="L121" s="55" cm="1">
        <f t="array" ref="L121">(VLOOKUP($A121,'The List'!$B1:$AH671,24,FALSE)-AVERAGE('The List'!Y2:Y671))/STDEV('The List'!Y2:Y671)</f>
        <v>0.91661904938959149</v>
      </c>
      <c r="M121" s="55" cm="1">
        <f t="array" ref="M121">(VLOOKUP($A121,'The List'!$B1:$AH671,25,FALSE)-AVERAGE('The List'!Z2:Z671))/STDEV('The List'!Z2:Z671)</f>
        <v>1.0271881378667034</v>
      </c>
      <c r="N121" s="55" cm="1">
        <f t="array" ref="N121">(VLOOKUP($A121,'The List'!$B1:$AH671,26,FALSE)-AVERAGE('The List'!AA2:AA671))/STDEV('The List'!AA2:AA671)</f>
        <v>-0.72218300029766125</v>
      </c>
      <c r="O121" s="55" cm="1">
        <f t="array" ref="O121">(VLOOKUP($A121,'The List'!$B1:$AH671,27,FALSE)-AVERAGE('The List'!AB2:AB671))/STDEV('The List'!AB2:AB671)</f>
        <v>-0.67314932916413384</v>
      </c>
      <c r="P121" s="55" cm="1">
        <f t="array" ref="P121">(VLOOKUP($A121,'The List'!$B1:$AH671,28,FALSE)-AVERAGE('The List'!AC2:AC671))/STDEV('The List'!AC2:AC671)</f>
        <v>0.90406134840945351</v>
      </c>
      <c r="Q121" s="55" cm="1">
        <f t="array" ref="Q121">(VLOOKUP($A121,'The List'!$B1:$AH671,29,FALSE)-AVERAGE('The List'!AD2:AD671))/STDEV('The List'!AD2:AD671)</f>
        <v>1.2848610281306769</v>
      </c>
      <c r="R121" s="55" cm="1">
        <f t="array" ref="R121">(VLOOKUP($A121,'The List'!$B1:$AH671,30,FALSE)-AVERAGE('The List'!AE2:AE671))/STDEV('The List'!AE2:AE671)</f>
        <v>0.76060128999158683</v>
      </c>
      <c r="S121" s="55" cm="1">
        <f t="array" ref="S121">(VLOOKUP($A121,'The List'!$B1:$AH671,31,FALSE)-AVERAGE('The List'!AF2:AF671))/STDEV('The List'!AF2:AF671)</f>
        <v>-0.5582296853916735</v>
      </c>
      <c r="T121" s="55" cm="1">
        <f t="array" ref="T121">(VLOOKUP($A121,'The List'!$B1:$AH671,32,FALSE)-AVERAGE('The List'!AG2:AG671))/STDEV('The List'!AG2:AG671)</f>
        <v>-0.56747294315308217</v>
      </c>
      <c r="U121" s="55" cm="1">
        <f t="array" ref="U121">(VLOOKUP($A121,'The List'!$B1:$AH671,33,FALSE)-AVERAGE('The List'!AH2:AH671))/STDEV('The List'!AH2:AH671)</f>
        <v>0.24550542945079465</v>
      </c>
      <c r="V121" s="55"/>
      <c r="W121" s="78"/>
      <c r="X121" s="57"/>
      <c r="Y121" s="57"/>
      <c r="Z121" s="57"/>
      <c r="AA121" s="57"/>
      <c r="AB121" s="57"/>
      <c r="AC121" s="60"/>
      <c r="AD121" s="61"/>
      <c r="AE121" s="55"/>
    </row>
    <row r="122" spans="1:31" ht="21.25" customHeight="1" x14ac:dyDescent="0.15">
      <c r="A122" s="10" t="s">
        <v>178</v>
      </c>
      <c r="B122" s="18" t="str" cm="1">
        <f t="array" ref="B122">VLOOKUP(A122,'Player Data'!A1:B673,2,FALSE)</f>
        <v>DAL</v>
      </c>
      <c r="C122" s="52" cm="1">
        <f t="array" ref="C122">((E122)*Settings!$C$12)+(F122*Settings!$C$2)+(G122*Settings!$C$3)+(H122*Settings!$C$4)+(I122*Settings!$C$5)+(K122*Settings!$C$9)+(N122*Settings!$C$6)+(J122*Settings!$C$8)+(O122*Settings!$C$7)+(P122*Settings!$C$14)+(Q122*Settings!$C$15)+(R122*Settings!$C$16)+(S122*Settings!$C$17)+(T122*Settings!$C$18)+(U122*Settings!$C$19)+(L122*Settings!$C$10)+(Settings!$C$11*M122)</f>
        <v>5.6066010263390043</v>
      </c>
      <c r="D122" s="57" cm="1">
        <f t="array" ref="D122">IF(Settings!$E$12="YES",VLOOKUP(A122,'Player Data'!A1:E673,5,FALSE),82)</f>
        <v>77.642499999999998</v>
      </c>
      <c r="E122" s="55" cm="1">
        <f t="array" ref="E122">(VLOOKUP($A122,'The List'!$B1:$AH671,17,FALSE)-AVERAGE('The List'!R2:R671))/STDEV('The List'!R2:R671)</f>
        <v>2.2132662494260651</v>
      </c>
      <c r="F122" s="55" cm="1">
        <f t="array" ref="F122">(VLOOKUP($A122,'The List'!$B1:$AH671,18,FALSE)-AVERAGE('The List'!S2:S671))/STDEV('The List'!S2:S671)</f>
        <v>-0.46140932374673183</v>
      </c>
      <c r="G122" s="55" cm="1">
        <f t="array" ref="G122">(VLOOKUP($A122,'The List'!$B1:$AH671,19,FALSE)-AVERAGE('The List'!T2:T671))/STDEV('The List'!T2:T671)</f>
        <v>1.4653207804109458</v>
      </c>
      <c r="H122" s="55" cm="1">
        <f t="array" ref="H122">(VLOOKUP($A122,'The List'!$B1:$AH671,20,FALSE)-AVERAGE('The List'!U2:U671))/STDEV('The List'!U2:U671)</f>
        <v>0.71696175675694029</v>
      </c>
      <c r="I122" s="55" cm="1">
        <f t="array" ref="I122">(VLOOKUP($A122,'The List'!$B1:$AH671,21,FALSE)-AVERAGE('The List'!V2:V671))/STDEV('The List'!V2:V671)</f>
        <v>0.45623888352684383</v>
      </c>
      <c r="J122" s="55" cm="1">
        <f t="array" ref="J122">(VLOOKUP($A122,'The List'!$B1:$AH671,22,FALSE)-AVERAGE('The List'!W2:W671))/STDEV('The List'!W2:W671)</f>
        <v>-0.30663164418469796</v>
      </c>
      <c r="K122" s="55" cm="1">
        <f t="array" ref="K122">(VLOOKUP($A122,'The List'!$B1:$AH671,23,FALSE)-AVERAGE('The List'!X2:X671))/STDEV('The List'!X2:X671)</f>
        <v>1.2241820072283005</v>
      </c>
      <c r="L122" s="55" cm="1">
        <f t="array" ref="L122">(VLOOKUP($A122,'The List'!$B1:$AH671,24,FALSE)-AVERAGE('The List'!Y2:Y671))/STDEV('The List'!Y2:Y671)</f>
        <v>0.54216218117456905</v>
      </c>
      <c r="M122" s="55" cm="1">
        <f t="array" ref="M122">(VLOOKUP($A122,'The List'!$B1:$AH671,25,FALSE)-AVERAGE('The List'!Z2:Z671))/STDEV('The List'!Z2:Z671)</f>
        <v>9.1802113433026855E-2</v>
      </c>
      <c r="N122" s="55" cm="1">
        <f t="array" ref="N122">(VLOOKUP($A122,'The List'!$B1:$AH671,26,FALSE)-AVERAGE('The List'!AA2:AA671))/STDEV('The List'!AA2:AA671)</f>
        <v>1.7673863828244472</v>
      </c>
      <c r="O122" s="55" cm="1">
        <f t="array" ref="O122">(VLOOKUP($A122,'The List'!$B1:$AH671,27,FALSE)-AVERAGE('The List'!AB2:AB671))/STDEV('The List'!AB2:AB671)</f>
        <v>-0.99618577558161481</v>
      </c>
      <c r="P122" s="55" cm="1">
        <f t="array" ref="P122">(VLOOKUP($A122,'The List'!$B1:$AH671,28,FALSE)-AVERAGE('The List'!AC2:AC671))/STDEV('The List'!AC2:AC671)</f>
        <v>1.3316401590544065</v>
      </c>
      <c r="Q122" s="55" cm="1">
        <f t="array" ref="Q122">(VLOOKUP($A122,'The List'!$B1:$AH671,29,FALSE)-AVERAGE('The List'!AD2:AD671))/STDEV('The List'!AD2:AD671)</f>
        <v>-0.17675786295920784</v>
      </c>
      <c r="R122" s="55" cm="1">
        <f t="array" ref="R122">(VLOOKUP($A122,'The List'!$B1:$AH671,30,FALSE)-AVERAGE('The List'!AE2:AE671))/STDEV('The List'!AE2:AE671)</f>
        <v>-0.37160232680278177</v>
      </c>
      <c r="S122" s="55" cm="1">
        <f t="array" ref="S122">(VLOOKUP($A122,'The List'!$B1:$AH671,31,FALSE)-AVERAGE('The List'!AF2:AF671))/STDEV('The List'!AF2:AF671)</f>
        <v>-0.5939690971349143</v>
      </c>
      <c r="T122" s="55" cm="1">
        <f t="array" ref="T122">(VLOOKUP($A122,'The List'!$B1:$AH671,32,FALSE)-AVERAGE('The List'!AG2:AG671))/STDEV('The List'!AG2:AG671)</f>
        <v>-0.64602208138248207</v>
      </c>
      <c r="U122" s="55" cm="1">
        <f t="array" ref="U122">(VLOOKUP($A122,'The List'!$B1:$AH671,33,FALSE)-AVERAGE('The List'!AH2:AH671))/STDEV('The List'!AH2:AH671)</f>
        <v>-1.2548938914719048</v>
      </c>
      <c r="V122" s="55"/>
      <c r="W122" s="78"/>
      <c r="X122" s="57"/>
      <c r="Y122" s="57"/>
      <c r="Z122" s="57"/>
      <c r="AA122" s="57"/>
      <c r="AB122" s="57"/>
      <c r="AC122" s="60"/>
      <c r="AD122" s="61"/>
      <c r="AE122" s="55"/>
    </row>
    <row r="123" spans="1:31" ht="21.25" customHeight="1" x14ac:dyDescent="0.15">
      <c r="A123" s="10" t="s">
        <v>375</v>
      </c>
      <c r="B123" s="18" t="str" cm="1">
        <f t="array" ref="B123">VLOOKUP(A123,'Player Data'!A1:B673,2,FALSE)</f>
        <v>ANA</v>
      </c>
      <c r="C123" s="52" cm="1">
        <f t="array" ref="C123">((E123)*Settings!$C$12)+(F123*Settings!$C$2)+(G123*Settings!$C$3)+(H123*Settings!$C$4)+(I123*Settings!$C$5)+(K123*Settings!$C$9)+(N123*Settings!$C$6)+(J123*Settings!$C$8)+(O123*Settings!$C$7)+(P123*Settings!$C$14)+(Q123*Settings!$C$15)+(R123*Settings!$C$16)+(S123*Settings!$C$17)+(T123*Settings!$C$18)+(U123*Settings!$C$19)+(L123*Settings!$C$10)+(Settings!$C$11*M123)</f>
        <v>1.169831699652097</v>
      </c>
      <c r="D123" s="57" cm="1">
        <f t="array" ref="D123">IF(Settings!$E$12="YES",VLOOKUP(A123,'Player Data'!A1:E673,5,FALSE),82)</f>
        <v>78.607500000000002</v>
      </c>
      <c r="E123" s="55" cm="1">
        <f t="array" ref="E123">(VLOOKUP($A123,'The List'!$B1:$AH671,17,FALSE)-AVERAGE('The List'!R2:R671))/STDEV('The List'!R2:R671)</f>
        <v>0.43230576754809935</v>
      </c>
      <c r="F123" s="55" cm="1">
        <f t="array" ref="F123">(VLOOKUP($A123,'The List'!$B1:$AH671,18,FALSE)-AVERAGE('The List'!S2:S671))/STDEV('The List'!S2:S671)</f>
        <v>0.61494585598408658</v>
      </c>
      <c r="G123" s="55" cm="1">
        <f t="array" ref="G123">(VLOOKUP($A123,'The List'!$B1:$AH671,19,FALSE)-AVERAGE('The List'!T2:T671))/STDEV('The List'!T2:T671)</f>
        <v>0.73806388884554841</v>
      </c>
      <c r="H123" s="55" cm="1">
        <f t="array" ref="H123">(VLOOKUP($A123,'The List'!$B1:$AH671,20,FALSE)-AVERAGE('The List'!U2:U671))/STDEV('The List'!U2:U671)</f>
        <v>0.73707638957036414</v>
      </c>
      <c r="I123" s="55" cm="1">
        <f t="array" ref="I123">(VLOOKUP($A123,'The List'!$B1:$AH671,21,FALSE)-AVERAGE('The List'!V2:V671))/STDEV('The List'!V2:V671)</f>
        <v>0.3510086730049814</v>
      </c>
      <c r="J123" s="55" cm="1">
        <f t="array" ref="J123">(VLOOKUP($A123,'The List'!$B1:$AH671,22,FALSE)-AVERAGE('The List'!W2:W671))/STDEV('The List'!W2:W671)</f>
        <v>0.52562726461828368</v>
      </c>
      <c r="K123" s="55" cm="1">
        <f t="array" ref="K123">(VLOOKUP($A123,'The List'!$B1:$AH671,23,FALSE)-AVERAGE('The List'!X2:X671))/STDEV('The List'!X2:X671)</f>
        <v>0.5869613965275331</v>
      </c>
      <c r="L123" s="55" cm="1">
        <f t="array" ref="L123">(VLOOKUP($A123,'The List'!$B1:$AH671,24,FALSE)-AVERAGE('The List'!Y2:Y671))/STDEV('The List'!Y2:Y671)</f>
        <v>0.17993047190212239</v>
      </c>
      <c r="M123" s="55" cm="1">
        <f t="array" ref="M123">(VLOOKUP($A123,'The List'!$B1:$AH671,25,FALSE)-AVERAGE('The List'!Z2:Z671))/STDEV('The List'!Z2:Z671)</f>
        <v>3.5496744130857801E-2</v>
      </c>
      <c r="N123" s="55" cm="1">
        <f t="array" ref="N123">(VLOOKUP($A123,'The List'!$B1:$AH671,26,FALSE)-AVERAGE('The List'!AA2:AA671))/STDEV('The List'!AA2:AA671)</f>
        <v>-0.23853479480265541</v>
      </c>
      <c r="O123" s="55" cm="1">
        <f t="array" ref="O123">(VLOOKUP($A123,'The List'!$B1:$AH671,27,FALSE)-AVERAGE('The List'!AB2:AB671))/STDEV('The List'!AB2:AB671)</f>
        <v>-0.68551523290398364</v>
      </c>
      <c r="P123" s="55" cm="1">
        <f t="array" ref="P123">(VLOOKUP($A123,'The List'!$B1:$AH671,28,FALSE)-AVERAGE('The List'!AC2:AC671))/STDEV('The List'!AC2:AC671)</f>
        <v>-0.52208857925665664</v>
      </c>
      <c r="Q123" s="55" cm="1">
        <f t="array" ref="Q123">(VLOOKUP($A123,'The List'!$B1:$AH671,29,FALSE)-AVERAGE('The List'!AD2:AD671))/STDEV('The List'!AD2:AD671)</f>
        <v>-0.36052474065074053</v>
      </c>
      <c r="R123" s="55" cm="1">
        <f t="array" ref="R123">(VLOOKUP($A123,'The List'!$B1:$AH671,30,FALSE)-AVERAGE('The List'!AE2:AE671))/STDEV('The List'!AE2:AE671)</f>
        <v>0.48017471003252854</v>
      </c>
      <c r="S123" s="55" cm="1">
        <f t="array" ref="S123">(VLOOKUP($A123,'The List'!$B1:$AH671,31,FALSE)-AVERAGE('The List'!AF2:AF671))/STDEV('The List'!AF2:AF671)</f>
        <v>1.6030427755325822</v>
      </c>
      <c r="T123" s="55" cm="1">
        <f t="array" ref="T123">(VLOOKUP($A123,'The List'!$B1:$AH671,32,FALSE)-AVERAGE('The List'!AG2:AG671))/STDEV('The List'!AG2:AG671)</f>
        <v>1.7981466242230932</v>
      </c>
      <c r="U123" s="55" cm="1">
        <f t="array" ref="U123">(VLOOKUP($A123,'The List'!$B1:$AH671,33,FALSE)-AVERAGE('The List'!AH2:AH671))/STDEV('The List'!AH2:AH671)</f>
        <v>0.99336927221796467</v>
      </c>
      <c r="V123" s="55"/>
      <c r="W123" s="57"/>
      <c r="X123" s="55"/>
      <c r="Y123" s="55"/>
      <c r="Z123" s="55"/>
      <c r="AA123" s="55"/>
      <c r="AB123" s="55"/>
      <c r="AC123" s="55"/>
      <c r="AD123" s="55"/>
      <c r="AE123" s="55"/>
    </row>
    <row r="124" spans="1:31" ht="21.25" customHeight="1" x14ac:dyDescent="0.15">
      <c r="A124" s="10" t="s">
        <v>276</v>
      </c>
      <c r="B124" s="18" t="str" cm="1">
        <f t="array" ref="B124">VLOOKUP(A124,'Player Data'!A1:B673,2,FALSE)</f>
        <v>WSH</v>
      </c>
      <c r="C124" s="52" cm="1">
        <f t="array" ref="C124">((E124)*Settings!$C$12)+(F124*Settings!$C$2)+(G124*Settings!$C$3)+(H124*Settings!$C$4)+(I124*Settings!$C$5)+(K124*Settings!$C$9)+(N124*Settings!$C$6)+(J124*Settings!$C$8)+(O124*Settings!$C$7)+(P124*Settings!$C$14)+(Q124*Settings!$C$15)+(R124*Settings!$C$16)+(S124*Settings!$C$17)+(T124*Settings!$C$18)+(U124*Settings!$C$19)+(L124*Settings!$C$10)+(Settings!$C$11*M124)</f>
        <v>4.5165597780964157</v>
      </c>
      <c r="D124" s="57" cm="1">
        <f t="array" ref="D124">IF(Settings!$E$12="YES",VLOOKUP(A124,'Player Data'!A1:E673,5,FALSE),82)</f>
        <v>82.254999999999995</v>
      </c>
      <c r="E124" s="55" cm="1">
        <f t="array" ref="E124">(VLOOKUP($A124,'The List'!$B1:$AH671,17,FALSE)-AVERAGE('The List'!R2:R671))/STDEV('The List'!R2:R671)</f>
        <v>-0.22132010827407331</v>
      </c>
      <c r="F124" s="55" cm="1">
        <f t="array" ref="F124">(VLOOKUP($A124,'The List'!$B1:$AH671,18,FALSE)-AVERAGE('The List'!S2:S671))/STDEV('The List'!S2:S671)</f>
        <v>1.4391122859315297</v>
      </c>
      <c r="G124" s="55" cm="1">
        <f t="array" ref="G124">(VLOOKUP($A124,'The List'!$B1:$AH671,19,FALSE)-AVERAGE('The List'!T2:T671))/STDEV('The List'!T2:T671)</f>
        <v>0.73005943480139812</v>
      </c>
      <c r="H124" s="55" cm="1">
        <f t="array" ref="H124">(VLOOKUP($A124,'The List'!$B1:$AH671,20,FALSE)-AVERAGE('The List'!U2:U671))/STDEV('The List'!U2:U671)</f>
        <v>1.0977063468392099</v>
      </c>
      <c r="I124" s="55" cm="1">
        <f t="array" ref="I124">(VLOOKUP($A124,'The List'!$B1:$AH671,21,FALSE)-AVERAGE('The List'!V2:V671))/STDEV('The List'!V2:V671)</f>
        <v>1.496712550718726</v>
      </c>
      <c r="J124" s="55" cm="1">
        <f t="array" ref="J124">(VLOOKUP($A124,'The List'!$B1:$AH671,22,FALSE)-AVERAGE('The List'!W2:W671))/STDEV('The List'!W2:W671)</f>
        <v>0.90126851224033733</v>
      </c>
      <c r="K124" s="55" cm="1">
        <f t="array" ref="K124">(VLOOKUP($A124,'The List'!$B1:$AH671,23,FALSE)-AVERAGE('The List'!X2:X671))/STDEV('The List'!X2:X671)</f>
        <v>1.0157950879689146</v>
      </c>
      <c r="L124" s="55" cm="1">
        <f t="array" ref="L124">(VLOOKUP($A124,'The List'!$B1:$AH671,24,FALSE)-AVERAGE('The List'!Y2:Y671))/STDEV('The List'!Y2:Y671)</f>
        <v>-0.55477357755349521</v>
      </c>
      <c r="M124" s="55" cm="1">
        <f t="array" ref="M124">(VLOOKUP($A124,'The List'!$B1:$AH671,25,FALSE)-AVERAGE('The List'!Z2:Z671))/STDEV('The List'!Z2:Z671)</f>
        <v>-0.69682354163357196</v>
      </c>
      <c r="N124" s="55" cm="1">
        <f t="array" ref="N124">(VLOOKUP($A124,'The List'!$B1:$AH671,26,FALSE)-AVERAGE('The List'!AA2:AA671))/STDEV('The List'!AA2:AA671)</f>
        <v>-0.7738295288011956</v>
      </c>
      <c r="O124" s="55" cm="1">
        <f t="array" ref="O124">(VLOOKUP($A124,'The List'!$B1:$AH671,27,FALSE)-AVERAGE('The List'!AB2:AB671))/STDEV('The List'!AB2:AB671)</f>
        <v>-1.1317573911597472</v>
      </c>
      <c r="P124" s="55" cm="1">
        <f t="array" ref="P124">(VLOOKUP($A124,'The List'!$B1:$AH671,28,FALSE)-AVERAGE('The List'!AC2:AC671))/STDEV('The List'!AC2:AC671)</f>
        <v>1.5692032417583142</v>
      </c>
      <c r="Q124" s="55" cm="1">
        <f t="array" ref="Q124">(VLOOKUP($A124,'The List'!$B1:$AH671,29,FALSE)-AVERAGE('The List'!AD2:AD671))/STDEV('The List'!AD2:AD671)</f>
        <v>-0.96049329428127206</v>
      </c>
      <c r="R124" s="55" cm="1">
        <f t="array" ref="R124">(VLOOKUP($A124,'The List'!$B1:$AH671,30,FALSE)-AVERAGE('The List'!AE2:AE671))/STDEV('The List'!AE2:AE671)</f>
        <v>1.2971077529868127</v>
      </c>
      <c r="S124" s="55" cm="1">
        <f t="array" ref="S124">(VLOOKUP($A124,'The List'!$B1:$AH671,31,FALSE)-AVERAGE('The List'!AF2:AF671))/STDEV('The List'!AF2:AF671)</f>
        <v>-0.57710110875433662</v>
      </c>
      <c r="T124" s="55" cm="1">
        <f t="array" ref="T124">(VLOOKUP($A124,'The List'!$B1:$AH671,32,FALSE)-AVERAGE('The List'!AG2:AG671))/STDEV('The List'!AG2:AG671)</f>
        <v>-0.58790443691240046</v>
      </c>
      <c r="U124" s="55" cm="1">
        <f t="array" ref="U124">(VLOOKUP($A124,'The List'!$B1:$AH671,33,FALSE)-AVERAGE('The List'!AH2:AH671))/STDEV('The List'!AH2:AH671)</f>
        <v>-0.16951733569439364</v>
      </c>
      <c r="V124" s="55"/>
      <c r="W124" s="78"/>
      <c r="X124" s="57"/>
      <c r="Y124" s="57"/>
      <c r="Z124" s="57"/>
      <c r="AA124" s="57"/>
      <c r="AB124" s="57"/>
      <c r="AC124" s="60"/>
      <c r="AD124" s="61"/>
      <c r="AE124" s="55"/>
    </row>
    <row r="125" spans="1:31" ht="21.25" customHeight="1" x14ac:dyDescent="0.15">
      <c r="A125" s="10" t="s">
        <v>334</v>
      </c>
      <c r="B125" s="18" t="str" cm="1">
        <f t="array" ref="B125">VLOOKUP(A125,'Player Data'!A1:B673,2,FALSE)</f>
        <v>STL</v>
      </c>
      <c r="C125" s="52" cm="1">
        <f t="array" ref="C125">((E125)*Settings!$C$12)+(F125*Settings!$C$2)+(G125*Settings!$C$3)+(H125*Settings!$C$4)+(I125*Settings!$C$5)+(K125*Settings!$C$9)+(N125*Settings!$C$6)+(J125*Settings!$C$8)+(O125*Settings!$C$7)+(P125*Settings!$C$14)+(Q125*Settings!$C$15)+(R125*Settings!$C$16)+(S125*Settings!$C$17)+(T125*Settings!$C$18)+(U125*Settings!$C$19)+(L125*Settings!$C$10)+(Settings!$C$11*M125)</f>
        <v>3.051040243189294</v>
      </c>
      <c r="D125" s="57" cm="1">
        <f t="array" ref="D125">IF(Settings!$E$12="YES",VLOOKUP(A125,'Player Data'!A1:E673,5,FALSE),82)</f>
        <v>80.162499999999994</v>
      </c>
      <c r="E125" s="55" cm="1">
        <f t="array" ref="E125">(VLOOKUP($A125,'The List'!$B1:$AH671,17,FALSE)-AVERAGE('The List'!R2:R671))/STDEV('The List'!R2:R671)</f>
        <v>6.1806840712532493E-2</v>
      </c>
      <c r="F125" s="55" cm="1">
        <f t="array" ref="F125">(VLOOKUP($A125,'The List'!$B1:$AH671,18,FALSE)-AVERAGE('The List'!S2:S671))/STDEV('The List'!S2:S671)</f>
        <v>0.93878869473458437</v>
      </c>
      <c r="G125" s="55" cm="1">
        <f t="array" ref="G125">(VLOOKUP($A125,'The List'!$B1:$AH671,19,FALSE)-AVERAGE('The List'!T2:T671))/STDEV('The List'!T2:T671)</f>
        <v>0.57073472244405177</v>
      </c>
      <c r="H125" s="55" cm="1">
        <f t="array" ref="H125">(VLOOKUP($A125,'The List'!$B1:$AH671,20,FALSE)-AVERAGE('The List'!U2:U671))/STDEV('The List'!U2:U671)</f>
        <v>0.7755092500096028</v>
      </c>
      <c r="I125" s="55" cm="1">
        <f t="array" ref="I125">(VLOOKUP($A125,'The List'!$B1:$AH671,21,FALSE)-AVERAGE('The List'!V2:V671))/STDEV('The List'!V2:V671)</f>
        <v>0.86932088426282994</v>
      </c>
      <c r="J125" s="55" cm="1">
        <f t="array" ref="J125">(VLOOKUP($A125,'The List'!$B1:$AH671,22,FALSE)-AVERAGE('The List'!W2:W671))/STDEV('The List'!W2:W671)</f>
        <v>0.99679016491534045</v>
      </c>
      <c r="K125" s="55" cm="1">
        <f t="array" ref="K125">(VLOOKUP($A125,'The List'!$B1:$AH671,23,FALSE)-AVERAGE('The List'!X2:X671))/STDEV('The List'!X2:X671)</f>
        <v>0.56084412762483604</v>
      </c>
      <c r="L125" s="55" cm="1">
        <f t="array" ref="L125">(VLOOKUP($A125,'The List'!$B1:$AH671,24,FALSE)-AVERAGE('The List'!Y2:Y671))/STDEV('The List'!Y2:Y671)</f>
        <v>-0.45891452027185325</v>
      </c>
      <c r="M125" s="55" cm="1">
        <f t="array" ref="M125">(VLOOKUP($A125,'The List'!$B1:$AH671,25,FALSE)-AVERAGE('The List'!Z2:Z671))/STDEV('The List'!Z2:Z671)</f>
        <v>-0.5883403387745656</v>
      </c>
      <c r="N125" s="55" cm="1">
        <f t="array" ref="N125">(VLOOKUP($A125,'The List'!$B1:$AH671,26,FALSE)-AVERAGE('The List'!AA2:AA671))/STDEV('The List'!AA2:AA671)</f>
        <v>-0.67328597771988308</v>
      </c>
      <c r="O125" s="55" cm="1">
        <f t="array" ref="O125">(VLOOKUP($A125,'The List'!$B1:$AH671,27,FALSE)-AVERAGE('The List'!AB2:AB671))/STDEV('The List'!AB2:AB671)</f>
        <v>0.25278101666345337</v>
      </c>
      <c r="P125" s="55" cm="1">
        <f t="array" ref="P125">(VLOOKUP($A125,'The List'!$B1:$AH671,28,FALSE)-AVERAGE('The List'!AC2:AC671))/STDEV('The List'!AC2:AC671)</f>
        <v>-0.68937184361389481</v>
      </c>
      <c r="Q125" s="55" cm="1">
        <f t="array" ref="Q125">(VLOOKUP($A125,'The List'!$B1:$AH671,29,FALSE)-AVERAGE('The List'!AD2:AD671))/STDEV('The List'!AD2:AD671)</f>
        <v>1.4740096354567696</v>
      </c>
      <c r="R125" s="55" cm="1">
        <f t="array" ref="R125">(VLOOKUP($A125,'The List'!$B1:$AH671,30,FALSE)-AVERAGE('The List'!AE2:AE671))/STDEV('The List'!AE2:AE671)</f>
        <v>0.7483200351222099</v>
      </c>
      <c r="S125" s="55" cm="1">
        <f t="array" ref="S125">(VLOOKUP($A125,'The List'!$B1:$AH671,31,FALSE)-AVERAGE('The List'!AF2:AF671))/STDEV('The List'!AF2:AF671)</f>
        <v>1.693131347809296</v>
      </c>
      <c r="T125" s="55" cm="1">
        <f t="array" ref="T125">(VLOOKUP($A125,'The List'!$B1:$AH671,32,FALSE)-AVERAGE('The List'!AG2:AG671))/STDEV('The List'!AG2:AG671)</f>
        <v>1.7750457020899064</v>
      </c>
      <c r="U125" s="55" cm="1">
        <f t="array" ref="U125">(VLOOKUP($A125,'The List'!$B1:$AH671,33,FALSE)-AVERAGE('The List'!AH2:AH671))/STDEV('The List'!AH2:AH671)</f>
        <v>1.0504583465354242</v>
      </c>
      <c r="V125" s="55"/>
      <c r="W125" s="57"/>
      <c r="X125" s="55"/>
      <c r="Y125" s="55"/>
      <c r="Z125" s="55"/>
      <c r="AA125" s="55"/>
      <c r="AB125" s="55"/>
      <c r="AC125" s="55"/>
      <c r="AD125" s="55"/>
      <c r="AE125" s="55"/>
    </row>
    <row r="126" spans="1:31" ht="21.25" customHeight="1" x14ac:dyDescent="0.15">
      <c r="A126" s="10" t="s">
        <v>286</v>
      </c>
      <c r="B126" s="18" t="str" cm="1">
        <f t="array" ref="B126">VLOOKUP(A126,'Player Data'!A1:B673,2,FALSE)</f>
        <v>COL</v>
      </c>
      <c r="C126" s="52" cm="1">
        <f t="array" ref="C126">((E126)*Settings!$C$12)+(F126*Settings!$C$2)+(G126*Settings!$C$3)+(H126*Settings!$C$4)+(I126*Settings!$C$5)+(K126*Settings!$C$9)+(N126*Settings!$C$6)+(J126*Settings!$C$8)+(O126*Settings!$C$7)+(P126*Settings!$C$14)+(Q126*Settings!$C$15)+(R126*Settings!$C$16)+(S126*Settings!$C$17)+(T126*Settings!$C$18)+(U126*Settings!$C$19)+(L126*Settings!$C$10)+(Settings!$C$11*M126)</f>
        <v>5.1793558837570979</v>
      </c>
      <c r="D126" s="57" cm="1">
        <f t="array" ref="D126">IF(Settings!$E$12="YES",VLOOKUP(A126,'Player Data'!A1:E673,5,FALSE),82)</f>
        <v>83.577500000000001</v>
      </c>
      <c r="E126" s="55" cm="1">
        <f t="array" ref="E126">(VLOOKUP($A126,'The List'!$B1:$AH671,17,FALSE)-AVERAGE('The List'!R2:R671))/STDEV('The List'!R2:R671)</f>
        <v>0.51200814917831483</v>
      </c>
      <c r="F126" s="55" cm="1">
        <f t="array" ref="F126">(VLOOKUP($A126,'The List'!$B1:$AH671,18,FALSE)-AVERAGE('The List'!S2:S671))/STDEV('The List'!S2:S671)</f>
        <v>1.3450091107254767</v>
      </c>
      <c r="G126" s="55" cm="1">
        <f t="array" ref="G126">(VLOOKUP($A126,'The List'!$B1:$AH671,19,FALSE)-AVERAGE('The List'!T2:T671))/STDEV('The List'!T2:T671)</f>
        <v>0.43495757068635998</v>
      </c>
      <c r="H126" s="55" cm="1">
        <f t="array" ref="H126">(VLOOKUP($A126,'The List'!$B1:$AH671,20,FALSE)-AVERAGE('The List'!U2:U671))/STDEV('The List'!U2:U671)</f>
        <v>0.87033730015563515</v>
      </c>
      <c r="I126" s="55" cm="1">
        <f t="array" ref="I126">(VLOOKUP($A126,'The List'!$B1:$AH671,21,FALSE)-AVERAGE('The List'!V2:V671))/STDEV('The List'!V2:V671)</f>
        <v>1.1423300450956368</v>
      </c>
      <c r="J126" s="55" cm="1">
        <f t="array" ref="J126">(VLOOKUP($A126,'The List'!$B1:$AH671,22,FALSE)-AVERAGE('The List'!W2:W671))/STDEV('The List'!W2:W671)</f>
        <v>0.94491430894878614</v>
      </c>
      <c r="K126" s="55" cm="1">
        <f t="array" ref="K126">(VLOOKUP($A126,'The List'!$B1:$AH671,23,FALSE)-AVERAGE('The List'!X2:X671))/STDEV('The List'!X2:X671)</f>
        <v>0.44806127297829257</v>
      </c>
      <c r="L126" s="55" cm="1">
        <f t="array" ref="L126">(VLOOKUP($A126,'The List'!$B1:$AH671,24,FALSE)-AVERAGE('The List'!Y2:Y671))/STDEV('The List'!Y2:Y671)</f>
        <v>1.8258007675489998</v>
      </c>
      <c r="M126" s="55" cm="1">
        <f t="array" ref="M126">(VLOOKUP($A126,'The List'!$B1:$AH671,25,FALSE)-AVERAGE('The List'!Z2:Z671))/STDEV('The List'!Z2:Z671)</f>
        <v>1.7054025926767751</v>
      </c>
      <c r="N126" s="55" cm="1">
        <f t="array" ref="N126">(VLOOKUP($A126,'The List'!$B1:$AH671,26,FALSE)-AVERAGE('The List'!AA2:AA671))/STDEV('The List'!AA2:AA671)</f>
        <v>-0.13984991867920149</v>
      </c>
      <c r="O126" s="55" cm="1">
        <f t="array" ref="O126">(VLOOKUP($A126,'The List'!$B1:$AH671,27,FALSE)-AVERAGE('The List'!AB2:AB671))/STDEV('The List'!AB2:AB671)</f>
        <v>-0.90563711992318396</v>
      </c>
      <c r="P126" s="55" cm="1">
        <f t="array" ref="P126">(VLOOKUP($A126,'The List'!$B1:$AH671,28,FALSE)-AVERAGE('The List'!AC2:AC671))/STDEV('The List'!AC2:AC671)</f>
        <v>2.0351526211909916</v>
      </c>
      <c r="Q126" s="55" cm="1">
        <f t="array" ref="Q126">(VLOOKUP($A126,'The List'!$B1:$AH671,29,FALSE)-AVERAGE('The List'!AD2:AD671))/STDEV('The List'!AD2:AD671)</f>
        <v>-8.6304818240457465E-2</v>
      </c>
      <c r="R126" s="55" cm="1">
        <f t="array" ref="R126">(VLOOKUP($A126,'The List'!$B1:$AH671,30,FALSE)-AVERAGE('The List'!AE2:AE671))/STDEV('The List'!AE2:AE671)</f>
        <v>1.7304329601507833</v>
      </c>
      <c r="S126" s="55" cm="1">
        <f t="array" ref="S126">(VLOOKUP($A126,'The List'!$B1:$AH671,31,FALSE)-AVERAGE('The List'!AF2:AF671))/STDEV('The List'!AF2:AF671)</f>
        <v>2.5567326890184567</v>
      </c>
      <c r="T126" s="55" cm="1">
        <f t="array" ref="T126">(VLOOKUP($A126,'The List'!$B1:$AH671,32,FALSE)-AVERAGE('The List'!AG2:AG671))/STDEV('The List'!AG2:AG671)</f>
        <v>2.7365300910503416</v>
      </c>
      <c r="U126" s="55" cm="1">
        <f t="array" ref="U126">(VLOOKUP($A126,'The List'!$B1:$AH671,33,FALSE)-AVERAGE('The List'!AH2:AH671))/STDEV('The List'!AH2:AH671)</f>
        <v>1.0342756402715396</v>
      </c>
      <c r="V126" s="55"/>
      <c r="W126" s="78"/>
      <c r="X126" s="57"/>
      <c r="Y126" s="57"/>
      <c r="Z126" s="57"/>
      <c r="AA126" s="57"/>
      <c r="AB126" s="57"/>
      <c r="AC126" s="60"/>
      <c r="AD126" s="61"/>
      <c r="AE126" s="55"/>
    </row>
    <row r="127" spans="1:31" ht="21.25" customHeight="1" x14ac:dyDescent="0.15">
      <c r="A127" s="10" t="s">
        <v>315</v>
      </c>
      <c r="B127" s="18" t="str" cm="1">
        <f t="array" ref="B127">VLOOKUP(A127,'Player Data'!A1:B673,2,FALSE)</f>
        <v>L.A</v>
      </c>
      <c r="C127" s="52" cm="1">
        <f t="array" ref="C127">((E127)*Settings!$C$12)+(F127*Settings!$C$2)+(G127*Settings!$C$3)+(H127*Settings!$C$4)+(I127*Settings!$C$5)+(K127*Settings!$C$9)+(N127*Settings!$C$6)+(J127*Settings!$C$8)+(O127*Settings!$C$7)+(P127*Settings!$C$14)+(Q127*Settings!$C$15)+(R127*Settings!$C$16)+(S127*Settings!$C$17)+(T127*Settings!$C$18)+(U127*Settings!$C$19)+(L127*Settings!$C$10)+(Settings!$C$11*M127)</f>
        <v>4.1025866036290655</v>
      </c>
      <c r="D127" s="57" cm="1">
        <f t="array" ref="D127">IF(Settings!$E$12="YES",VLOOKUP(A127,'Player Data'!A1:E673,5,FALSE),82)</f>
        <v>79.277500000000003</v>
      </c>
      <c r="E127" s="55" cm="1">
        <f t="array" ref="E127">(VLOOKUP($A127,'The List'!$B1:$AH671,17,FALSE)-AVERAGE('The List'!R2:R671))/STDEV('The List'!R2:R671)</f>
        <v>0.2669650545161551</v>
      </c>
      <c r="F127" s="55" cm="1">
        <f t="array" ref="F127">(VLOOKUP($A127,'The List'!$B1:$AH671,18,FALSE)-AVERAGE('The List'!S2:S671))/STDEV('The List'!S2:S671)</f>
        <v>1.300463531505341</v>
      </c>
      <c r="G127" s="55" cm="1">
        <f t="array" ref="G127">(VLOOKUP($A127,'The List'!$B1:$AH671,19,FALSE)-AVERAGE('The List'!T2:T671))/STDEV('The List'!T2:T671)</f>
        <v>0.43597742575477333</v>
      </c>
      <c r="H127" s="55" cm="1">
        <f t="array" ref="H127">(VLOOKUP($A127,'The List'!$B1:$AH671,20,FALSE)-AVERAGE('The List'!U2:U671))/STDEV('The List'!U2:U671)</f>
        <v>0.85121487912478877</v>
      </c>
      <c r="I127" s="55" cm="1">
        <f t="array" ref="I127">(VLOOKUP($A127,'The List'!$B1:$AH671,21,FALSE)-AVERAGE('The List'!V2:V671))/STDEV('The List'!V2:V671)</f>
        <v>1.366695729181312</v>
      </c>
      <c r="J127" s="55" cm="1">
        <f t="array" ref="J127">(VLOOKUP($A127,'The List'!$B1:$AH671,22,FALSE)-AVERAGE('The List'!W2:W671))/STDEV('The List'!W2:W671)</f>
        <v>1.3619650553560674</v>
      </c>
      <c r="K127" s="55" cm="1">
        <f t="array" ref="K127">(VLOOKUP($A127,'The List'!$B1:$AH671,23,FALSE)-AVERAGE('The List'!X2:X671))/STDEV('The List'!X2:X671)</f>
        <v>1.1956176649280179</v>
      </c>
      <c r="L127" s="55" cm="1">
        <f t="array" ref="L127">(VLOOKUP($A127,'The List'!$B1:$AH671,24,FALSE)-AVERAGE('The List'!Y2:Y671))/STDEV('The List'!Y2:Y671)</f>
        <v>-0.53839044143197301</v>
      </c>
      <c r="M127" s="55" cm="1">
        <f t="array" ref="M127">(VLOOKUP($A127,'The List'!$B1:$AH671,25,FALSE)-AVERAGE('The List'!Z2:Z671))/STDEV('The List'!Z2:Z671)</f>
        <v>-0.6806751256679664</v>
      </c>
      <c r="N127" s="55" cm="1">
        <f t="array" ref="N127">(VLOOKUP($A127,'The List'!$B1:$AH671,26,FALSE)-AVERAGE('The List'!AA2:AA671))/STDEV('The List'!AA2:AA671)</f>
        <v>-0.85654202484410968</v>
      </c>
      <c r="O127" s="55" cm="1">
        <f t="array" ref="O127">(VLOOKUP($A127,'The List'!$B1:$AH671,27,FALSE)-AVERAGE('The List'!AB2:AB671))/STDEV('The List'!AB2:AB671)</f>
        <v>-0.58416278833786395</v>
      </c>
      <c r="P127" s="55" cm="1">
        <f t="array" ref="P127">(VLOOKUP($A127,'The List'!$B1:$AH671,28,FALSE)-AVERAGE('The List'!AC2:AC671))/STDEV('The List'!AC2:AC671)</f>
        <v>-2.6056646645459598E-2</v>
      </c>
      <c r="Q127" s="55" cm="1">
        <f t="array" ref="Q127">(VLOOKUP($A127,'The List'!$B1:$AH671,29,FALSE)-AVERAGE('The List'!AD2:AD671))/STDEV('The List'!AD2:AD671)</f>
        <v>0.68643092374918979</v>
      </c>
      <c r="R127" s="55" cm="1">
        <f t="array" ref="R127">(VLOOKUP($A127,'The List'!$B1:$AH671,30,FALSE)-AVERAGE('The List'!AE2:AE671))/STDEV('The List'!AE2:AE671)</f>
        <v>1.3041595565945558</v>
      </c>
      <c r="S127" s="55" cm="1">
        <f t="array" ref="S127">(VLOOKUP($A127,'The List'!$B1:$AH671,31,FALSE)-AVERAGE('The List'!AF2:AF671))/STDEV('The List'!AF2:AF671)</f>
        <v>-0.54149254205284092</v>
      </c>
      <c r="T127" s="55" cm="1">
        <f t="array" ref="T127">(VLOOKUP($A127,'The List'!$B1:$AH671,32,FALSE)-AVERAGE('The List'!AG2:AG671))/STDEV('The List'!AG2:AG671)</f>
        <v>-0.52962936301976393</v>
      </c>
      <c r="U127" s="55" cm="1">
        <f t="array" ref="U127">(VLOOKUP($A127,'The List'!$B1:$AH671,33,FALSE)-AVERAGE('The List'!AH2:AH671))/STDEV('The List'!AH2:AH671)</f>
        <v>0.23628943843694036</v>
      </c>
      <c r="V127" s="55"/>
      <c r="W127" s="78"/>
      <c r="X127" s="57"/>
      <c r="Y127" s="57"/>
      <c r="Z127" s="57"/>
      <c r="AA127" s="57"/>
      <c r="AB127" s="57"/>
      <c r="AC127" s="60"/>
      <c r="AD127" s="61"/>
      <c r="AE127" s="55"/>
    </row>
    <row r="128" spans="1:31" ht="21.25" customHeight="1" x14ac:dyDescent="0.15">
      <c r="A128" s="10" t="s">
        <v>293</v>
      </c>
      <c r="B128" s="18" t="str" cm="1">
        <f t="array" ref="B128">VLOOKUP(A128,'Player Data'!A1:B673,2,FALSE)</f>
        <v>OTT</v>
      </c>
      <c r="C128" s="52" cm="1">
        <f t="array" ref="C128">((E128)*Settings!$C$12)+(F128*Settings!$C$2)+(G128*Settings!$C$3)+(H128*Settings!$C$4)+(I128*Settings!$C$5)+(K128*Settings!$C$9)+(N128*Settings!$C$6)+(J128*Settings!$C$8)+(O128*Settings!$C$7)+(P128*Settings!$C$14)+(Q128*Settings!$C$15)+(R128*Settings!$C$16)+(S128*Settings!$C$17)+(T128*Settings!$C$18)+(U128*Settings!$C$19)+(L128*Settings!$C$10)+(Settings!$C$11*M128)</f>
        <v>4.9281615737601436</v>
      </c>
      <c r="D128" s="57" cm="1">
        <f t="array" ref="D128">IF(Settings!$E$12="YES",VLOOKUP(A128,'Player Data'!A1:E673,5,FALSE),82)</f>
        <v>83.73</v>
      </c>
      <c r="E128" s="55" cm="1">
        <f t="array" ref="E128">(VLOOKUP($A128,'The List'!$B1:$AH671,17,FALSE)-AVERAGE('The List'!R2:R671))/STDEV('The List'!R2:R671)</f>
        <v>1.1180568859367825E-2</v>
      </c>
      <c r="F128" s="55" cm="1">
        <f t="array" ref="F128">(VLOOKUP($A128,'The List'!$B1:$AH671,18,FALSE)-AVERAGE('The List'!S2:S671))/STDEV('The List'!S2:S671)</f>
        <v>0.9824027837563305</v>
      </c>
      <c r="G128" s="55" cm="1">
        <f t="array" ref="G128">(VLOOKUP($A128,'The List'!$B1:$AH671,19,FALSE)-AVERAGE('The List'!T2:T671))/STDEV('The List'!T2:T671)</f>
        <v>0.6840836952217304</v>
      </c>
      <c r="H128" s="55" cm="1">
        <f t="array" ref="H128">(VLOOKUP($A128,'The List'!$B1:$AH671,20,FALSE)-AVERAGE('The List'!U2:U671))/STDEV('The List'!U2:U671)</f>
        <v>0.86615577814804035</v>
      </c>
      <c r="I128" s="55" cm="1">
        <f t="array" ref="I128">(VLOOKUP($A128,'The List'!$B1:$AH671,21,FALSE)-AVERAGE('The List'!V2:V671))/STDEV('The List'!V2:V671)</f>
        <v>1.2946778970393369</v>
      </c>
      <c r="J128" s="55" cm="1">
        <f t="array" ref="J128">(VLOOKUP($A128,'The List'!$B1:$AH671,22,FALSE)-AVERAGE('The List'!W2:W671))/STDEV('The List'!W2:W671)</f>
        <v>1.8618906368221306</v>
      </c>
      <c r="K128" s="55" cm="1">
        <f t="array" ref="K128">(VLOOKUP($A128,'The List'!$B1:$AH671,23,FALSE)-AVERAGE('The List'!X2:X671))/STDEV('The List'!X2:X671)</f>
        <v>1.423585679787974</v>
      </c>
      <c r="L128" s="55" cm="1">
        <f t="array" ref="L128">(VLOOKUP($A128,'The List'!$B1:$AH671,24,FALSE)-AVERAGE('The List'!Y2:Y671))/STDEV('The List'!Y2:Y671)</f>
        <v>-0.40585575009308467</v>
      </c>
      <c r="M128" s="55" cm="1">
        <f t="array" ref="M128">(VLOOKUP($A128,'The List'!$B1:$AH671,25,FALSE)-AVERAGE('The List'!Z2:Z671))/STDEV('The List'!Z2:Z671)</f>
        <v>-0.60077622482565485</v>
      </c>
      <c r="N128" s="55" cm="1">
        <f t="array" ref="N128">(VLOOKUP($A128,'The List'!$B1:$AH671,26,FALSE)-AVERAGE('The List'!AA2:AA671))/STDEV('The List'!AA2:AA671)</f>
        <v>-0.81714697829923932</v>
      </c>
      <c r="O128" s="55" cm="1">
        <f t="array" ref="O128">(VLOOKUP($A128,'The List'!$B1:$AH671,27,FALSE)-AVERAGE('The List'!AB2:AB671))/STDEV('The List'!AB2:AB671)</f>
        <v>2.2277849036811945</v>
      </c>
      <c r="P128" s="55" cm="1">
        <f t="array" ref="P128">(VLOOKUP($A128,'The List'!$B1:$AH671,28,FALSE)-AVERAGE('The List'!AC2:AC671))/STDEV('The List'!AC2:AC671)</f>
        <v>0.57636224084517407</v>
      </c>
      <c r="Q128" s="55" cm="1">
        <f t="array" ref="Q128">(VLOOKUP($A128,'The List'!$B1:$AH671,29,FALSE)-AVERAGE('The List'!AD2:AD671))/STDEV('The List'!AD2:AD671)</f>
        <v>0.78419625540883797</v>
      </c>
      <c r="R128" s="55" cm="1">
        <f t="array" ref="R128">(VLOOKUP($A128,'The List'!$B1:$AH671,30,FALSE)-AVERAGE('The List'!AE2:AE671))/STDEV('The List'!AE2:AE671)</f>
        <v>1.2758320347420078</v>
      </c>
      <c r="S128" s="55" cm="1">
        <f t="array" ref="S128">(VLOOKUP($A128,'The List'!$B1:$AH671,31,FALSE)-AVERAGE('The List'!AF2:AF671))/STDEV('The List'!AF2:AF671)</f>
        <v>1.6388661542284657</v>
      </c>
      <c r="T128" s="55" cm="1">
        <f t="array" ref="T128">(VLOOKUP($A128,'The List'!$B1:$AH671,32,FALSE)-AVERAGE('The List'!AG2:AG671))/STDEV('The List'!AG2:AG671)</f>
        <v>1.6875254908931745</v>
      </c>
      <c r="U128" s="55" cm="1">
        <f t="array" ref="U128">(VLOOKUP($A128,'The List'!$B1:$AH671,33,FALSE)-AVERAGE('The List'!AH2:AH671))/STDEV('The List'!AH2:AH671)</f>
        <v>1.0651751438834809</v>
      </c>
      <c r="V128" s="55"/>
      <c r="W128" s="78"/>
      <c r="X128" s="57"/>
      <c r="Y128" s="57"/>
      <c r="Z128" s="57"/>
      <c r="AA128" s="57"/>
      <c r="AB128" s="57"/>
      <c r="AC128" s="60"/>
      <c r="AD128" s="61"/>
      <c r="AE128" s="55"/>
    </row>
    <row r="129" spans="1:31" ht="21.25" customHeight="1" x14ac:dyDescent="0.15">
      <c r="A129" s="10" t="s">
        <v>187</v>
      </c>
      <c r="B129" s="18" t="str" cm="1">
        <f t="array" ref="B129">VLOOKUP(A129,'Player Data'!A1:B673,2,FALSE)</f>
        <v>UTA</v>
      </c>
      <c r="C129" s="52" cm="1">
        <f t="array" ref="C129">((E129)*Settings!$C$12)+(F129*Settings!$C$2)+(G129*Settings!$C$3)+(H129*Settings!$C$4)+(I129*Settings!$C$5)+(K129*Settings!$C$9)+(N129*Settings!$C$6)+(J129*Settings!$C$8)+(O129*Settings!$C$7)+(P129*Settings!$C$14)+(Q129*Settings!$C$15)+(R129*Settings!$C$16)+(S129*Settings!$C$17)+(T129*Settings!$C$18)+(U129*Settings!$C$19)+(L129*Settings!$C$10)+(Settings!$C$11*M129)</f>
        <v>5.0119384590766094</v>
      </c>
      <c r="D129" s="57" cm="1">
        <f t="array" ref="D129">IF(Settings!$E$12="YES",VLOOKUP(A129,'Player Data'!A1:E673,5,FALSE),82)</f>
        <v>77.832499999999996</v>
      </c>
      <c r="E129" s="55" cm="1">
        <f t="array" ref="E129">(VLOOKUP($A129,'The List'!$B1:$AH671,17,FALSE)-AVERAGE('The List'!R2:R671))/STDEV('The List'!R2:R671)</f>
        <v>1.9117338924534435</v>
      </c>
      <c r="F129" s="55" cm="1">
        <f t="array" ref="F129">(VLOOKUP($A129,'The List'!$B1:$AH671,18,FALSE)-AVERAGE('The List'!S2:S671))/STDEV('The List'!S2:S671)</f>
        <v>-0.31990161221847457</v>
      </c>
      <c r="G129" s="55" cm="1">
        <f t="array" ref="G129">(VLOOKUP($A129,'The List'!$B1:$AH671,19,FALSE)-AVERAGE('The List'!T2:T671))/STDEV('The List'!T2:T671)</f>
        <v>1.3001810308876132</v>
      </c>
      <c r="H129" s="55" cm="1">
        <f t="array" ref="H129">(VLOOKUP($A129,'The List'!$B1:$AH671,20,FALSE)-AVERAGE('The List'!U2:U671))/STDEV('The List'!U2:U671)</f>
        <v>0.6758736193017737</v>
      </c>
      <c r="I129" s="55" cm="1">
        <f t="array" ref="I129">(VLOOKUP($A129,'The List'!$B1:$AH671,21,FALSE)-AVERAGE('The List'!V2:V671))/STDEV('The List'!V2:V671)</f>
        <v>0.31558063472105041</v>
      </c>
      <c r="J129" s="55" cm="1">
        <f t="array" ref="J129">(VLOOKUP($A129,'The List'!$B1:$AH671,22,FALSE)-AVERAGE('The List'!W2:W671))/STDEV('The List'!W2:W671)</f>
        <v>0.23383345550903034</v>
      </c>
      <c r="K129" s="55" cm="1">
        <f t="array" ref="K129">(VLOOKUP($A129,'The List'!$B1:$AH671,23,FALSE)-AVERAGE('The List'!X2:X671))/STDEV('The List'!X2:X671)</f>
        <v>1.5363783672147766</v>
      </c>
      <c r="L129" s="55" cm="1">
        <f t="array" ref="L129">(VLOOKUP($A129,'The List'!$B1:$AH671,24,FALSE)-AVERAGE('The List'!Y2:Y671))/STDEV('The List'!Y2:Y671)</f>
        <v>-0.52725246415071259</v>
      </c>
      <c r="M129" s="55" cm="1">
        <f t="array" ref="M129">(VLOOKUP($A129,'The List'!$B1:$AH671,25,FALSE)-AVERAGE('The List'!Z2:Z671))/STDEV('The List'!Z2:Z671)</f>
        <v>0.46353373666855785</v>
      </c>
      <c r="N129" s="55" cm="1">
        <f t="array" ref="N129">(VLOOKUP($A129,'The List'!$B1:$AH671,26,FALSE)-AVERAGE('The List'!AA2:AA671))/STDEV('The List'!AA2:AA671)</f>
        <v>1.6682895802690512</v>
      </c>
      <c r="O129" s="55" cm="1">
        <f t="array" ref="O129">(VLOOKUP($A129,'The List'!$B1:$AH671,27,FALSE)-AVERAGE('The List'!AB2:AB671))/STDEV('The List'!AB2:AB671)</f>
        <v>-0.67460357356321465</v>
      </c>
      <c r="P129" s="55" cm="1">
        <f t="array" ref="P129">(VLOOKUP($A129,'The List'!$B1:$AH671,28,FALSE)-AVERAGE('The List'!AC2:AC671))/STDEV('The List'!AC2:AC671)</f>
        <v>-0.10953787873499414</v>
      </c>
      <c r="Q129" s="55" cm="1">
        <f t="array" ref="Q129">(VLOOKUP($A129,'The List'!$B1:$AH671,29,FALSE)-AVERAGE('The List'!AD2:AD671))/STDEV('The List'!AD2:AD671)</f>
        <v>0.62094833693758755</v>
      </c>
      <c r="R129" s="55" cm="1">
        <f t="array" ref="R129">(VLOOKUP($A129,'The List'!$B1:$AH671,30,FALSE)-AVERAGE('The List'!AE2:AE671))/STDEV('The List'!AE2:AE671)</f>
        <v>-0.27117655381841077</v>
      </c>
      <c r="S129" s="55" cm="1">
        <f t="array" ref="S129">(VLOOKUP($A129,'The List'!$B1:$AH671,31,FALSE)-AVERAGE('The List'!AF2:AF671))/STDEV('The List'!AF2:AF671)</f>
        <v>-0.5939690971349143</v>
      </c>
      <c r="T129" s="55" cm="1">
        <f t="array" ref="T129">(VLOOKUP($A129,'The List'!$B1:$AH671,32,FALSE)-AVERAGE('The List'!AG2:AG671))/STDEV('The List'!AG2:AG671)</f>
        <v>-0.64602208138248207</v>
      </c>
      <c r="U129" s="55" cm="1">
        <f t="array" ref="U129">(VLOOKUP($A129,'The List'!$B1:$AH671,33,FALSE)-AVERAGE('The List'!AH2:AH671))/STDEV('The List'!AH2:AH671)</f>
        <v>-1.2548938914719048</v>
      </c>
      <c r="V129" s="55"/>
      <c r="W129" s="57"/>
      <c r="X129" s="55"/>
      <c r="Y129" s="55"/>
      <c r="Z129" s="55"/>
      <c r="AA129" s="55"/>
      <c r="AB129" s="55"/>
      <c r="AC129" s="55"/>
      <c r="AD129" s="55"/>
      <c r="AE129" s="55"/>
    </row>
    <row r="130" spans="1:31" ht="21.25" customHeight="1" x14ac:dyDescent="0.15">
      <c r="A130" s="10" t="s">
        <v>161</v>
      </c>
      <c r="B130" s="18" t="str" cm="1">
        <f t="array" ref="B130">VLOOKUP(A130,'Player Data'!A1:B673,2,FALSE)</f>
        <v>ANA</v>
      </c>
      <c r="C130" s="52" cm="1">
        <f t="array" ref="C130">((E130)*Settings!$C$12)+(F130*Settings!$C$2)+(G130*Settings!$C$3)+(H130*Settings!$C$4)+(I130*Settings!$C$5)+(K130*Settings!$C$9)+(N130*Settings!$C$6)+(J130*Settings!$C$8)+(O130*Settings!$C$7)+(P130*Settings!$C$14)+(Q130*Settings!$C$15)+(R130*Settings!$C$16)+(S130*Settings!$C$17)+(T130*Settings!$C$18)+(U130*Settings!$C$19)+(L130*Settings!$C$10)+(Settings!$C$11*M130)</f>
        <v>4.197492889464816</v>
      </c>
      <c r="D130" s="57" cm="1">
        <f t="array" ref="D130">IF(Settings!$E$12="YES",VLOOKUP(A130,'Player Data'!A1:E673,5,FALSE),82)</f>
        <v>81.967500000000001</v>
      </c>
      <c r="E130" s="55" cm="1">
        <f t="array" ref="E130">(VLOOKUP($A130,'The List'!$B1:$AH671,17,FALSE)-AVERAGE('The List'!R2:R671))/STDEV('The List'!R2:R671)</f>
        <v>2.1298904181441851</v>
      </c>
      <c r="F130" s="55" cm="1">
        <f t="array" ref="F130">(VLOOKUP($A130,'The List'!$B1:$AH671,18,FALSE)-AVERAGE('The List'!S2:S671))/STDEV('The List'!S2:S671)</f>
        <v>-0.10849342389485493</v>
      </c>
      <c r="G130" s="55" cm="1">
        <f t="array" ref="G130">(VLOOKUP($A130,'The List'!$B1:$AH671,19,FALSE)-AVERAGE('The List'!T2:T671))/STDEV('The List'!T2:T671)</f>
        <v>1.5096274004813983</v>
      </c>
      <c r="H130" s="55" cm="1">
        <f t="array" ref="H130">(VLOOKUP($A130,'The List'!$B1:$AH671,20,FALSE)-AVERAGE('The List'!U2:U671))/STDEV('The List'!U2:U671)</f>
        <v>0.90141149459129422</v>
      </c>
      <c r="I130" s="55" cm="1">
        <f t="array" ref="I130">(VLOOKUP($A130,'The List'!$B1:$AH671,21,FALSE)-AVERAGE('The List'!V2:V671))/STDEV('The List'!V2:V671)</f>
        <v>0.61910972483872362</v>
      </c>
      <c r="J130" s="55" cm="1">
        <f t="array" ref="J130">(VLOOKUP($A130,'The List'!$B1:$AH671,22,FALSE)-AVERAGE('The List'!W2:W671))/STDEV('The List'!W2:W671)</f>
        <v>0.2637478221435654</v>
      </c>
      <c r="K130" s="55" cm="1">
        <f t="array" ref="K130">(VLOOKUP($A130,'The List'!$B1:$AH671,23,FALSE)-AVERAGE('The List'!X2:X671))/STDEV('The List'!X2:X671)</f>
        <v>1.1614778805520181</v>
      </c>
      <c r="L130" s="55" cm="1">
        <f t="array" ref="L130">(VLOOKUP($A130,'The List'!$B1:$AH671,24,FALSE)-AVERAGE('The List'!Y2:Y671))/STDEV('The List'!Y2:Y671)</f>
        <v>0.33300487668784129</v>
      </c>
      <c r="M130" s="55" cm="1">
        <f t="array" ref="M130">(VLOOKUP($A130,'The List'!$B1:$AH671,25,FALSE)-AVERAGE('The List'!Z2:Z671))/STDEV('The List'!Z2:Z671)</f>
        <v>0.77184188949698262</v>
      </c>
      <c r="N130" s="55" cm="1">
        <f t="array" ref="N130">(VLOOKUP($A130,'The List'!$B1:$AH671,26,FALSE)-AVERAGE('The List'!AA2:AA671))/STDEV('The List'!AA2:AA671)</f>
        <v>1.8817880076955589</v>
      </c>
      <c r="O130" s="55" cm="1">
        <f t="array" ref="O130">(VLOOKUP($A130,'The List'!$B1:$AH671,27,FALSE)-AVERAGE('The List'!AB2:AB671))/STDEV('The List'!AB2:AB671)</f>
        <v>-0.14891300017679832</v>
      </c>
      <c r="P130" s="55" cm="1">
        <f t="array" ref="P130">(VLOOKUP($A130,'The List'!$B1:$AH671,28,FALSE)-AVERAGE('The List'!AC2:AC671))/STDEV('The List'!AC2:AC671)</f>
        <v>-0.79966636231435562</v>
      </c>
      <c r="Q130" s="55" cm="1">
        <f t="array" ref="Q130">(VLOOKUP($A130,'The List'!$B1:$AH671,29,FALSE)-AVERAGE('The List'!AD2:AD671))/STDEV('The List'!AD2:AD671)</f>
        <v>-6.6350337893671701E-2</v>
      </c>
      <c r="R130" s="55" cm="1">
        <f t="array" ref="R130">(VLOOKUP($A130,'The List'!$B1:$AH671,30,FALSE)-AVERAGE('The List'!AE2:AE671))/STDEV('The List'!AE2:AE671)</f>
        <v>-0.18030680416910849</v>
      </c>
      <c r="S130" s="55" cm="1">
        <f t="array" ref="S130">(VLOOKUP($A130,'The List'!$B1:$AH671,31,FALSE)-AVERAGE('The List'!AF2:AF671))/STDEV('The List'!AF2:AF671)</f>
        <v>-0.5939690971349143</v>
      </c>
      <c r="T130" s="55" cm="1">
        <f t="array" ref="T130">(VLOOKUP($A130,'The List'!$B1:$AH671,32,FALSE)-AVERAGE('The List'!AG2:AG671))/STDEV('The List'!AG2:AG671)</f>
        <v>-0.64520614325583636</v>
      </c>
      <c r="U130" s="55" cm="1">
        <f t="array" ref="U130">(VLOOKUP($A130,'The List'!$B1:$AH671,33,FALSE)-AVERAGE('The List'!AH2:AH671))/STDEV('The List'!AH2:AH671)</f>
        <v>-1.2548938914719048</v>
      </c>
      <c r="V130" s="55"/>
      <c r="W130" s="78"/>
      <c r="X130" s="57"/>
      <c r="Y130" s="57"/>
      <c r="Z130" s="57"/>
      <c r="AA130" s="57"/>
      <c r="AB130" s="57"/>
      <c r="AC130" s="60"/>
      <c r="AD130" s="61"/>
      <c r="AE130" s="55"/>
    </row>
    <row r="131" spans="1:31" ht="21.25" customHeight="1" x14ac:dyDescent="0.15">
      <c r="A131" s="10" t="s">
        <v>453</v>
      </c>
      <c r="B131" s="18" t="str" cm="1">
        <f t="array" ref="B131">VLOOKUP(A131,'Player Data'!A1:B673,2,FALSE)</f>
        <v>WSH</v>
      </c>
      <c r="C131" s="52" cm="1">
        <f t="array" ref="C131">((E131)*Settings!$C$12)+(F131*Settings!$C$2)+(G131*Settings!$C$3)+(H131*Settings!$C$4)+(I131*Settings!$C$5)+(K131*Settings!$C$9)+(N131*Settings!$C$6)+(J131*Settings!$C$8)+(O131*Settings!$C$7)+(P131*Settings!$C$14)+(Q131*Settings!$C$15)+(R131*Settings!$C$16)+(S131*Settings!$C$17)+(T131*Settings!$C$18)+(U131*Settings!$C$19)+(L131*Settings!$C$10)+(Settings!$C$11*M131)</f>
        <v>2.729344552414636</v>
      </c>
      <c r="D131" s="57" cm="1">
        <f t="array" ref="D131">IF(Settings!$E$12="YES",VLOOKUP(A131,'Player Data'!A1:E673,5,FALSE),82)</f>
        <v>74.622500000000002</v>
      </c>
      <c r="E131" s="55" cm="1">
        <f t="array" ref="E131">(VLOOKUP($A131,'The List'!$B1:$AH671,17,FALSE)-AVERAGE('The List'!R2:R671))/STDEV('The List'!R2:R671)</f>
        <v>-1.3162054687280208E-2</v>
      </c>
      <c r="F131" s="55" cm="1">
        <f t="array" ref="F131">(VLOOKUP($A131,'The List'!$B1:$AH671,18,FALSE)-AVERAGE('The List'!S2:S671))/STDEV('The List'!S2:S671)</f>
        <v>0.28342999121019979</v>
      </c>
      <c r="G131" s="55" cm="1">
        <f t="array" ref="G131">(VLOOKUP($A131,'The List'!$B1:$AH671,19,FALSE)-AVERAGE('The List'!T2:T671))/STDEV('The List'!T2:T671)</f>
        <v>0.68779131503058055</v>
      </c>
      <c r="H131" s="55" cm="1">
        <f t="array" ref="H131">(VLOOKUP($A131,'The List'!$B1:$AH671,20,FALSE)-AVERAGE('The List'!U2:U671))/STDEV('The List'!U2:U671)</f>
        <v>0.55836882836295398</v>
      </c>
      <c r="I131" s="55" cm="1">
        <f t="array" ref="I131">(VLOOKUP($A131,'The List'!$B1:$AH671,21,FALSE)-AVERAGE('The List'!V2:V671))/STDEV('The List'!V2:V671)</f>
        <v>-1.8539415217738813E-2</v>
      </c>
      <c r="J131" s="55" cm="1">
        <f t="array" ref="J131">(VLOOKUP($A131,'The List'!$B1:$AH671,22,FALSE)-AVERAGE('The List'!W2:W671))/STDEV('The List'!W2:W671)</f>
        <v>0.70519766883285206</v>
      </c>
      <c r="K131" s="55" cm="1">
        <f t="array" ref="K131">(VLOOKUP($A131,'The List'!$B1:$AH671,23,FALSE)-AVERAGE('The List'!X2:X671))/STDEV('The List'!X2:X671)</f>
        <v>0.40387857603524163</v>
      </c>
      <c r="L131" s="55" cm="1">
        <f t="array" ref="L131">(VLOOKUP($A131,'The List'!$B1:$AH671,24,FALSE)-AVERAGE('The List'!Y2:Y671))/STDEV('The List'!Y2:Y671)</f>
        <v>-0.38996859502265901</v>
      </c>
      <c r="M131" s="55" cm="1">
        <f t="array" ref="M131">(VLOOKUP($A131,'The List'!$B1:$AH671,25,FALSE)-AVERAGE('The List'!Z2:Z671))/STDEV('The List'!Z2:Z671)</f>
        <v>-0.53531427953303656</v>
      </c>
      <c r="N131" s="55" cm="1">
        <f t="array" ref="N131">(VLOOKUP($A131,'The List'!$B1:$AH671,26,FALSE)-AVERAGE('The List'!AA2:AA671))/STDEV('The List'!AA2:AA671)</f>
        <v>-0.53390615454231916</v>
      </c>
      <c r="O131" s="55" cm="1">
        <f t="array" ref="O131">(VLOOKUP($A131,'The List'!$B1:$AH671,27,FALSE)-AVERAGE('The List'!AB2:AB671))/STDEV('The List'!AB2:AB671)</f>
        <v>-0.42276833825618476</v>
      </c>
      <c r="P131" s="55" cm="1">
        <f t="array" ref="P131">(VLOOKUP($A131,'The List'!$B1:$AH671,28,FALSE)-AVERAGE('The List'!AC2:AC671))/STDEV('The List'!AC2:AC671)</f>
        <v>0.89302441168839919</v>
      </c>
      <c r="Q131" s="55" cm="1">
        <f t="array" ref="Q131">(VLOOKUP($A131,'The List'!$B1:$AH671,29,FALSE)-AVERAGE('The List'!AD2:AD671))/STDEV('The List'!AD2:AD671)</f>
        <v>1.0136658282102728</v>
      </c>
      <c r="R131" s="55" cm="1">
        <f t="array" ref="R131">(VLOOKUP($A131,'The List'!$B1:$AH671,30,FALSE)-AVERAGE('The List'!AE2:AE671))/STDEV('The List'!AE2:AE671)</f>
        <v>0.21547908200499671</v>
      </c>
      <c r="S131" s="55" cm="1">
        <f t="array" ref="S131">(VLOOKUP($A131,'The List'!$B1:$AH671,31,FALSE)-AVERAGE('The List'!AF2:AF671))/STDEV('The List'!AF2:AF671)</f>
        <v>1.6658439170493216</v>
      </c>
      <c r="T131" s="55" cm="1">
        <f t="array" ref="T131">(VLOOKUP($A131,'The List'!$B1:$AH671,32,FALSE)-AVERAGE('The List'!AG2:AG671))/STDEV('The List'!AG2:AG671)</f>
        <v>1.833376390844291</v>
      </c>
      <c r="U131" s="55" cm="1">
        <f t="array" ref="U131">(VLOOKUP($A131,'The List'!$B1:$AH671,33,FALSE)-AVERAGE('The List'!AH2:AH671))/STDEV('The List'!AH2:AH671)</f>
        <v>1.0093070118309384</v>
      </c>
      <c r="V131" s="55"/>
      <c r="W131" s="57"/>
      <c r="X131" s="55"/>
      <c r="Y131" s="55"/>
      <c r="Z131" s="55"/>
      <c r="AA131" s="55"/>
      <c r="AB131" s="55"/>
      <c r="AC131" s="55"/>
      <c r="AD131" s="55"/>
      <c r="AE131" s="55"/>
    </row>
    <row r="132" spans="1:31" ht="21.25" customHeight="1" x14ac:dyDescent="0.15">
      <c r="A132" s="10" t="s">
        <v>380</v>
      </c>
      <c r="B132" s="18" t="str" cm="1">
        <f t="array" ref="B132">VLOOKUP(A132,'Player Data'!A1:B673,2,FALSE)</f>
        <v>DET</v>
      </c>
      <c r="C132" s="52" cm="1">
        <f t="array" ref="C132">((E132)*Settings!$C$12)+(F132*Settings!$C$2)+(G132*Settings!$C$3)+(H132*Settings!$C$4)+(I132*Settings!$C$5)+(K132*Settings!$C$9)+(N132*Settings!$C$6)+(J132*Settings!$C$8)+(O132*Settings!$C$7)+(P132*Settings!$C$14)+(Q132*Settings!$C$15)+(R132*Settings!$C$16)+(S132*Settings!$C$17)+(T132*Settings!$C$18)+(U132*Settings!$C$19)+(L132*Settings!$C$10)+(Settings!$C$11*M132)</f>
        <v>1.5109290804876938</v>
      </c>
      <c r="D132" s="57" cm="1">
        <f t="array" ref="D132">IF(Settings!$E$12="YES",VLOOKUP(A132,'Player Data'!A1:E673,5,FALSE),82)</f>
        <v>73.260000000000005</v>
      </c>
      <c r="E132" s="55" cm="1">
        <f t="array" ref="E132">(VLOOKUP($A132,'The List'!$B1:$AH671,17,FALSE)-AVERAGE('The List'!R2:R671))/STDEV('The List'!R2:R671)</f>
        <v>-0.27671100858248621</v>
      </c>
      <c r="F132" s="55" cm="1">
        <f t="array" ref="F132">(VLOOKUP($A132,'The List'!$B1:$AH671,18,FALSE)-AVERAGE('The List'!S2:S671))/STDEV('The List'!S2:S671)</f>
        <v>0.89964463886597867</v>
      </c>
      <c r="G132" s="55" cm="1">
        <f t="array" ref="G132">(VLOOKUP($A132,'The List'!$B1:$AH671,19,FALSE)-AVERAGE('The List'!T2:T671))/STDEV('The List'!T2:T671)</f>
        <v>0.16823489880737444</v>
      </c>
      <c r="H132" s="55" cm="1">
        <f t="array" ref="H132">(VLOOKUP($A132,'The List'!$B1:$AH671,20,FALSE)-AVERAGE('The List'!U2:U671))/STDEV('The List'!U2:U671)</f>
        <v>0.50497161936917401</v>
      </c>
      <c r="I132" s="55" cm="1">
        <f t="array" ref="I132">(VLOOKUP($A132,'The List'!$B1:$AH671,21,FALSE)-AVERAGE('The List'!V2:V671))/STDEV('The List'!V2:V671)</f>
        <v>1.0642335721484388</v>
      </c>
      <c r="J132" s="55" cm="1">
        <f t="array" ref="J132">(VLOOKUP($A132,'The List'!$B1:$AH671,22,FALSE)-AVERAGE('The List'!W2:W671))/STDEV('The List'!W2:W671)</f>
        <v>0.55753033785595829</v>
      </c>
      <c r="K132" s="55" cm="1">
        <f t="array" ref="K132">(VLOOKUP($A132,'The List'!$B1:$AH671,23,FALSE)-AVERAGE('The List'!X2:X671))/STDEV('The List'!X2:X671)</f>
        <v>0.36401943898910272</v>
      </c>
      <c r="L132" s="55" cm="1">
        <f t="array" ref="L132">(VLOOKUP($A132,'The List'!$B1:$AH671,24,FALSE)-AVERAGE('The List'!Y2:Y671))/STDEV('The List'!Y2:Y671)</f>
        <v>-0.56569022661034529</v>
      </c>
      <c r="M132" s="55" cm="1">
        <f t="array" ref="M132">(VLOOKUP($A132,'The List'!$B1:$AH671,25,FALSE)-AVERAGE('The List'!Z2:Z671))/STDEV('The List'!Z2:Z671)</f>
        <v>-0.70756870995144849</v>
      </c>
      <c r="N132" s="55" cm="1">
        <f t="array" ref="N132">(VLOOKUP($A132,'The List'!$B1:$AH671,26,FALSE)-AVERAGE('The List'!AA2:AA671))/STDEV('The List'!AA2:AA671)</f>
        <v>-0.72558046124833575</v>
      </c>
      <c r="O132" s="55" cm="1">
        <f t="array" ref="O132">(VLOOKUP($A132,'The List'!$B1:$AH671,27,FALSE)-AVERAGE('The List'!AB2:AB671))/STDEV('The List'!AB2:AB671)</f>
        <v>-1.0357912167604517</v>
      </c>
      <c r="P132" s="55" cm="1">
        <f t="array" ref="P132">(VLOOKUP($A132,'The List'!$B1:$AH671,28,FALSE)-AVERAGE('The List'!AC2:AC671))/STDEV('The List'!AC2:AC671)</f>
        <v>-6.9767608853290752E-2</v>
      </c>
      <c r="Q132" s="55" cm="1">
        <f t="array" ref="Q132">(VLOOKUP($A132,'The List'!$B1:$AH671,29,FALSE)-AVERAGE('The List'!AD2:AD671))/STDEV('The List'!AD2:AD671)</f>
        <v>-0.18985539822157438</v>
      </c>
      <c r="R132" s="55" cm="1">
        <f t="array" ref="R132">(VLOOKUP($A132,'The List'!$B1:$AH671,30,FALSE)-AVERAGE('The List'!AE2:AE671))/STDEV('The List'!AE2:AE671)</f>
        <v>0.89067105534027691</v>
      </c>
      <c r="S132" s="55" cm="1">
        <f t="array" ref="S132">(VLOOKUP($A132,'The List'!$B1:$AH671,31,FALSE)-AVERAGE('The List'!AF2:AF671))/STDEV('The List'!AF2:AF671)</f>
        <v>-0.54656649177048677</v>
      </c>
      <c r="T132" s="55" cm="1">
        <f t="array" ref="T132">(VLOOKUP($A132,'The List'!$B1:$AH671,32,FALSE)-AVERAGE('The List'!AG2:AG671))/STDEV('The List'!AG2:AG671)</f>
        <v>-0.57453964595206841</v>
      </c>
      <c r="U132" s="55" cm="1">
        <f t="array" ref="U132">(VLOOKUP($A132,'The List'!$B1:$AH671,33,FALSE)-AVERAGE('The List'!AH2:AH671))/STDEV('The List'!AH2:AH671)</f>
        <v>0.64778621507227752</v>
      </c>
      <c r="V132" s="55"/>
      <c r="W132" s="57"/>
      <c r="X132" s="55"/>
      <c r="Y132" s="55"/>
      <c r="Z132" s="55"/>
      <c r="AA132" s="55"/>
      <c r="AB132" s="55"/>
      <c r="AC132" s="55"/>
      <c r="AD132" s="55"/>
      <c r="AE132" s="55"/>
    </row>
    <row r="133" spans="1:31" ht="21.25" customHeight="1" x14ac:dyDescent="0.15">
      <c r="A133" s="10" t="s">
        <v>301</v>
      </c>
      <c r="B133" s="18" t="str" cm="1">
        <f t="array" ref="B133">VLOOKUP(A133,'Player Data'!A1:B673,2,FALSE)</f>
        <v>COL</v>
      </c>
      <c r="C133" s="52" cm="1">
        <f t="array" ref="C133">((E133)*Settings!$C$12)+(F133*Settings!$C$2)+(G133*Settings!$C$3)+(H133*Settings!$C$4)+(I133*Settings!$C$5)+(K133*Settings!$C$9)+(N133*Settings!$C$6)+(J133*Settings!$C$8)+(O133*Settings!$C$7)+(P133*Settings!$C$14)+(Q133*Settings!$C$15)+(R133*Settings!$C$16)+(S133*Settings!$C$17)+(T133*Settings!$C$18)+(U133*Settings!$C$19)+(L133*Settings!$C$10)+(Settings!$C$11*M133)</f>
        <v>5.3952496544659834</v>
      </c>
      <c r="D133" s="57" cm="1">
        <f t="array" ref="D133">IF(Settings!$E$12="YES",VLOOKUP(A133,'Player Data'!A1:E673,5,FALSE),82)</f>
        <v>83.142499999999998</v>
      </c>
      <c r="E133" s="55" cm="1">
        <f t="array" ref="E133">(VLOOKUP($A133,'The List'!$B1:$AH671,17,FALSE)-AVERAGE('The List'!R2:R671))/STDEV('The List'!R2:R671)</f>
        <v>0.15965513395772707</v>
      </c>
      <c r="F133" s="55" cm="1">
        <f t="array" ref="F133">(VLOOKUP($A133,'The List'!$B1:$AH671,18,FALSE)-AVERAGE('The List'!S2:S671))/STDEV('The List'!S2:S671)</f>
        <v>0.82039752165616209</v>
      </c>
      <c r="G133" s="55" cm="1">
        <f t="array" ref="G133">(VLOOKUP($A133,'The List'!$B1:$AH671,19,FALSE)-AVERAGE('The List'!T2:T671))/STDEV('The List'!T2:T671)</f>
        <v>0.68677961529999876</v>
      </c>
      <c r="H133" s="55" cm="1">
        <f t="array" ref="H133">(VLOOKUP($A133,'The List'!$B1:$AH671,20,FALSE)-AVERAGE('The List'!U2:U671))/STDEV('The List'!U2:U671)</f>
        <v>0.79597328700567527</v>
      </c>
      <c r="I133" s="55" cm="1">
        <f t="array" ref="I133">(VLOOKUP($A133,'The List'!$B1:$AH671,21,FALSE)-AVERAGE('The List'!V2:V671))/STDEV('The List'!V2:V671)</f>
        <v>1.7015248926512798</v>
      </c>
      <c r="J133" s="55" cm="1">
        <f t="array" ref="J133">(VLOOKUP($A133,'The List'!$B1:$AH671,22,FALSE)-AVERAGE('The List'!W2:W671))/STDEV('The List'!W2:W671)</f>
        <v>1.3991352051889447</v>
      </c>
      <c r="K133" s="55" cm="1">
        <f t="array" ref="K133">(VLOOKUP($A133,'The List'!$B1:$AH671,23,FALSE)-AVERAGE('The List'!X2:X671))/STDEV('The List'!X2:X671)</f>
        <v>1.4787674044433716</v>
      </c>
      <c r="L133" s="55" cm="1">
        <f t="array" ref="L133">(VLOOKUP($A133,'The List'!$B1:$AH671,24,FALSE)-AVERAGE('The List'!Y2:Y671))/STDEV('The List'!Y2:Y671)</f>
        <v>-0.52728581342309211</v>
      </c>
      <c r="M133" s="55" cm="1">
        <f t="array" ref="M133">(VLOOKUP($A133,'The List'!$B1:$AH671,25,FALSE)-AVERAGE('The List'!Z2:Z671))/STDEV('The List'!Z2:Z671)</f>
        <v>-0.66912940100581486</v>
      </c>
      <c r="N133" s="55" cm="1">
        <f t="array" ref="N133">(VLOOKUP($A133,'The List'!$B1:$AH671,26,FALSE)-AVERAGE('The List'!AA2:AA671))/STDEV('The List'!AA2:AA671)</f>
        <v>-0.86812612898858843</v>
      </c>
      <c r="O133" s="55" cm="1">
        <f t="array" ref="O133">(VLOOKUP($A133,'The List'!$B1:$AH671,27,FALSE)-AVERAGE('The List'!AB2:AB671))/STDEV('The List'!AB2:AB671)</f>
        <v>-0.68131561392546047</v>
      </c>
      <c r="P133" s="55" cm="1">
        <f t="array" ref="P133">(VLOOKUP($A133,'The List'!$B1:$AH671,28,FALSE)-AVERAGE('The List'!AC2:AC671))/STDEV('The List'!AC2:AC671)</f>
        <v>1.1462075762477122</v>
      </c>
      <c r="Q133" s="55" cm="1">
        <f t="array" ref="Q133">(VLOOKUP($A133,'The List'!$B1:$AH671,29,FALSE)-AVERAGE('The List'!AD2:AD671))/STDEV('The List'!AD2:AD671)</f>
        <v>0.42969877315604804</v>
      </c>
      <c r="R133" s="55" cm="1">
        <f t="array" ref="R133">(VLOOKUP($A133,'The List'!$B1:$AH671,30,FALSE)-AVERAGE('The List'!AE2:AE671))/STDEV('The List'!AE2:AE671)</f>
        <v>1.1387334588025397</v>
      </c>
      <c r="S133" s="55" cm="1">
        <f t="array" ref="S133">(VLOOKUP($A133,'The List'!$B1:$AH671,31,FALSE)-AVERAGE('The List'!AF2:AF671))/STDEV('The List'!AF2:AF671)</f>
        <v>1.7904408818414908</v>
      </c>
      <c r="T133" s="55" cm="1">
        <f t="array" ref="T133">(VLOOKUP($A133,'The List'!$B1:$AH671,32,FALSE)-AVERAGE('The List'!AG2:AG671))/STDEV('The List'!AG2:AG671)</f>
        <v>2.1956623953405869</v>
      </c>
      <c r="U133" s="55" cm="1">
        <f t="array" ref="U133">(VLOOKUP($A133,'The List'!$B1:$AH671,33,FALSE)-AVERAGE('The List'!AH2:AH671))/STDEV('The List'!AH2:AH671)</f>
        <v>0.91438657192973638</v>
      </c>
      <c r="V133" s="55"/>
      <c r="W133" s="78"/>
      <c r="X133" s="57"/>
      <c r="Y133" s="57"/>
      <c r="Z133" s="57"/>
      <c r="AA133" s="57"/>
      <c r="AB133" s="57"/>
      <c r="AC133" s="60"/>
      <c r="AD133" s="61"/>
      <c r="AE133" s="55"/>
    </row>
    <row r="134" spans="1:31" ht="21.25" customHeight="1" x14ac:dyDescent="0.15">
      <c r="A134" s="10" t="s">
        <v>160</v>
      </c>
      <c r="B134" s="18" t="str" cm="1">
        <f t="array" ref="B134">VLOOKUP(A134,'Player Data'!A1:B673,2,FALSE)</f>
        <v>WSH</v>
      </c>
      <c r="C134" s="52" cm="1">
        <f t="array" ref="C134">((E134)*Settings!$C$12)+(F134*Settings!$C$2)+(G134*Settings!$C$3)+(H134*Settings!$C$4)+(I134*Settings!$C$5)+(K134*Settings!$C$9)+(N134*Settings!$C$6)+(J134*Settings!$C$8)+(O134*Settings!$C$7)+(P134*Settings!$C$14)+(Q134*Settings!$C$15)+(R134*Settings!$C$16)+(S134*Settings!$C$17)+(T134*Settings!$C$18)+(U134*Settings!$C$19)+(L134*Settings!$C$10)+(Settings!$C$11*M134)</f>
        <v>8.6771399649480987</v>
      </c>
      <c r="D134" s="57" cm="1">
        <f t="array" ref="D134">IF(Settings!$E$12="YES",VLOOKUP(A134,'Player Data'!A1:E673,5,FALSE),82)</f>
        <v>82.575000000000003</v>
      </c>
      <c r="E134" s="55" cm="1">
        <f t="array" ref="E134">(VLOOKUP($A134,'The List'!$B1:$AH671,17,FALSE)-AVERAGE('The List'!R2:R671))/STDEV('The List'!R2:R671)</f>
        <v>1.6810699165977887</v>
      </c>
      <c r="F134" s="55" cm="1">
        <f t="array" ref="F134">(VLOOKUP($A134,'The List'!$B1:$AH671,18,FALSE)-AVERAGE('The List'!S2:S671))/STDEV('The List'!S2:S671)</f>
        <v>0.75065140889289617</v>
      </c>
      <c r="G134" s="55" cm="1">
        <f t="array" ref="G134">(VLOOKUP($A134,'The List'!$B1:$AH671,19,FALSE)-AVERAGE('The List'!T2:T671))/STDEV('The List'!T2:T671)</f>
        <v>0.6836858082890479</v>
      </c>
      <c r="H134" s="55" cm="1">
        <f t="array" ref="H134">(VLOOKUP($A134,'The List'!$B1:$AH671,20,FALSE)-AVERAGE('The List'!U2:U671))/STDEV('The List'!U2:U671)</f>
        <v>0.76308246570207072</v>
      </c>
      <c r="I134" s="55" cm="1">
        <f t="array" ref="I134">(VLOOKUP($A134,'The List'!$B1:$AH671,21,FALSE)-AVERAGE('The List'!V2:V671))/STDEV('The List'!V2:V671)</f>
        <v>1.5759768089986097</v>
      </c>
      <c r="J134" s="55" cm="1">
        <f t="array" ref="J134">(VLOOKUP($A134,'The List'!$B1:$AH671,22,FALSE)-AVERAGE('The List'!W2:W671))/STDEV('The List'!W2:W671)</f>
        <v>1.2506439820393704</v>
      </c>
      <c r="K134" s="55" cm="1">
        <f t="array" ref="K134">(VLOOKUP($A134,'The List'!$B1:$AH671,23,FALSE)-AVERAGE('The List'!X2:X671))/STDEV('The List'!X2:X671)</f>
        <v>1.0604623947306997</v>
      </c>
      <c r="L134" s="55" cm="1">
        <f t="array" ref="L134">(VLOOKUP($A134,'The List'!$B1:$AH671,24,FALSE)-AVERAGE('The List'!Y2:Y671))/STDEV('The List'!Y2:Y671)</f>
        <v>-0.53153719929093546</v>
      </c>
      <c r="M134" s="55" cm="1">
        <f t="array" ref="M134">(VLOOKUP($A134,'The List'!$B1:$AH671,25,FALSE)-AVERAGE('The List'!Z2:Z671))/STDEV('The List'!Z2:Z671)</f>
        <v>-0.63795009530030056</v>
      </c>
      <c r="N134" s="55" cm="1">
        <f t="array" ref="N134">(VLOOKUP($A134,'The List'!$B1:$AH671,26,FALSE)-AVERAGE('The List'!AA2:AA671))/STDEV('The List'!AA2:AA671)</f>
        <v>1.3943089818993857</v>
      </c>
      <c r="O134" s="55" cm="1">
        <f t="array" ref="O134">(VLOOKUP($A134,'The List'!$B1:$AH671,27,FALSE)-AVERAGE('The List'!AB2:AB671))/STDEV('The List'!AB2:AB671)</f>
        <v>-0.48139835527475983</v>
      </c>
      <c r="P134" s="55" cm="1">
        <f t="array" ref="P134">(VLOOKUP($A134,'The List'!$B1:$AH671,28,FALSE)-AVERAGE('The List'!AC2:AC671))/STDEV('The List'!AC2:AC671)</f>
        <v>1.2887492298020209</v>
      </c>
      <c r="Q134" s="55" cm="1">
        <f t="array" ref="Q134">(VLOOKUP($A134,'The List'!$B1:$AH671,29,FALSE)-AVERAGE('The List'!AD2:AD671))/STDEV('The List'!AD2:AD671)</f>
        <v>1.9233053323354388</v>
      </c>
      <c r="R134" s="55" cm="1">
        <f t="array" ref="R134">(VLOOKUP($A134,'The List'!$B1:$AH671,30,FALSE)-AVERAGE('The List'!AE2:AE671))/STDEV('The List'!AE2:AE671)</f>
        <v>0.65276196101996864</v>
      </c>
      <c r="S134" s="55" cm="1">
        <f t="array" ref="S134">(VLOOKUP($A134,'The List'!$B1:$AH671,31,FALSE)-AVERAGE('The List'!AF2:AF671))/STDEV('The List'!AF2:AF671)</f>
        <v>-0.5939690971349143</v>
      </c>
      <c r="T134" s="55" cm="1">
        <f t="array" ref="T134">(VLOOKUP($A134,'The List'!$B1:$AH671,32,FALSE)-AVERAGE('The List'!AG2:AG671))/STDEV('The List'!AG2:AG671)</f>
        <v>-0.64602208138248207</v>
      </c>
      <c r="U134" s="55" cm="1">
        <f t="array" ref="U134">(VLOOKUP($A134,'The List'!$B1:$AH671,33,FALSE)-AVERAGE('The List'!AH2:AH671))/STDEV('The List'!AH2:AH671)</f>
        <v>-1.2548938914719048</v>
      </c>
      <c r="V134" s="55"/>
      <c r="W134" s="78"/>
      <c r="X134" s="57"/>
      <c r="Y134" s="57"/>
      <c r="Z134" s="57"/>
      <c r="AA134" s="57"/>
      <c r="AB134" s="57"/>
      <c r="AC134" s="60"/>
      <c r="AD134" s="61"/>
      <c r="AE134" s="55"/>
    </row>
    <row r="135" spans="1:31" ht="21.25" customHeight="1" x14ac:dyDescent="0.15">
      <c r="A135" s="10" t="s">
        <v>372</v>
      </c>
      <c r="B135" s="18" t="str" cm="1">
        <f t="array" ref="B135">VLOOKUP(A135,'Player Data'!A1:B673,2,FALSE)</f>
        <v>WSH</v>
      </c>
      <c r="C135" s="52" cm="1">
        <f t="array" ref="C135">((E135)*Settings!$C$12)+(F135*Settings!$C$2)+(G135*Settings!$C$3)+(H135*Settings!$C$4)+(I135*Settings!$C$5)+(K135*Settings!$C$9)+(N135*Settings!$C$6)+(J135*Settings!$C$8)+(O135*Settings!$C$7)+(P135*Settings!$C$14)+(Q135*Settings!$C$15)+(R135*Settings!$C$16)+(S135*Settings!$C$17)+(T135*Settings!$C$18)+(U135*Settings!$C$19)+(L135*Settings!$C$10)+(Settings!$C$11*M135)</f>
        <v>1.4905801360702036</v>
      </c>
      <c r="D135" s="57" cm="1">
        <f t="array" ref="D135">IF(Settings!$E$12="YES",VLOOKUP(A135,'Player Data'!A1:E673,5,FALSE),82)</f>
        <v>81.739999999999995</v>
      </c>
      <c r="E135" s="55" cm="1">
        <f t="array" ref="E135">(VLOOKUP($A135,'The List'!$B1:$AH671,17,FALSE)-AVERAGE('The List'!R2:R671))/STDEV('The List'!R2:R671)</f>
        <v>-4.0846583729816248E-2</v>
      </c>
      <c r="F135" s="55" cm="1">
        <f t="array" ref="F135">(VLOOKUP($A135,'The List'!$B1:$AH671,18,FALSE)-AVERAGE('The List'!S2:S671))/STDEV('The List'!S2:S671)</f>
        <v>1.1133367520151114</v>
      </c>
      <c r="G135" s="55" cm="1">
        <f t="array" ref="G135">(VLOOKUP($A135,'The List'!$B1:$AH671,19,FALSE)-AVERAGE('The List'!T2:T671))/STDEV('The List'!T2:T671)</f>
        <v>0.57804793413284894</v>
      </c>
      <c r="H135" s="55" cm="1">
        <f t="array" ref="H135">(VLOOKUP($A135,'The List'!$B1:$AH671,20,FALSE)-AVERAGE('The List'!U2:U671))/STDEV('The List'!U2:U671)</f>
        <v>0.85755239757665902</v>
      </c>
      <c r="I135" s="55" cm="1">
        <f t="array" ref="I135">(VLOOKUP($A135,'The List'!$B1:$AH671,21,FALSE)-AVERAGE('The List'!V2:V671))/STDEV('The List'!V2:V671)</f>
        <v>0.50409130520595646</v>
      </c>
      <c r="J135" s="55" cm="1">
        <f t="array" ref="J135">(VLOOKUP($A135,'The List'!$B1:$AH671,22,FALSE)-AVERAGE('The List'!W2:W671))/STDEV('The List'!W2:W671)</f>
        <v>-0.65340045171493366</v>
      </c>
      <c r="K135" s="55" cm="1">
        <f t="array" ref="K135">(VLOOKUP($A135,'The List'!$B1:$AH671,23,FALSE)-AVERAGE('The List'!X2:X671))/STDEV('The List'!X2:X671)</f>
        <v>-0.66829711476297782</v>
      </c>
      <c r="L135" s="55" cm="1">
        <f t="array" ref="L135">(VLOOKUP($A135,'The List'!$B1:$AH671,24,FALSE)-AVERAGE('The List'!Y2:Y671))/STDEV('The List'!Y2:Y671)</f>
        <v>2.3498893002853474</v>
      </c>
      <c r="M135" s="55" cm="1">
        <f t="array" ref="M135">(VLOOKUP($A135,'The List'!$B1:$AH671,25,FALSE)-AVERAGE('The List'!Z2:Z671))/STDEV('The List'!Z2:Z671)</f>
        <v>2.6546360102989528</v>
      </c>
      <c r="N135" s="55" cm="1">
        <f t="array" ref="N135">(VLOOKUP($A135,'The List'!$B1:$AH671,26,FALSE)-AVERAGE('The List'!AA2:AA671))/STDEV('The List'!AA2:AA671)</f>
        <v>-0.55333512355983261</v>
      </c>
      <c r="O135" s="55" cm="1">
        <f t="array" ref="O135">(VLOOKUP($A135,'The List'!$B1:$AH671,27,FALSE)-AVERAGE('The List'!AB2:AB671))/STDEV('The List'!AB2:AB671)</f>
        <v>-0.9906760322084458</v>
      </c>
      <c r="P135" s="55" cm="1">
        <f t="array" ref="P135">(VLOOKUP($A135,'The List'!$B1:$AH671,28,FALSE)-AVERAGE('The List'!AC2:AC671))/STDEV('The List'!AC2:AC671)</f>
        <v>1.3142102295140983</v>
      </c>
      <c r="Q135" s="55" cm="1">
        <f t="array" ref="Q135">(VLOOKUP($A135,'The List'!$B1:$AH671,29,FALSE)-AVERAGE('The List'!AD2:AD671))/STDEV('The List'!AD2:AD671)</f>
        <v>-0.79747384647500119</v>
      </c>
      <c r="R135" s="55" cm="1">
        <f t="array" ref="R135">(VLOOKUP($A135,'The List'!$B1:$AH671,30,FALSE)-AVERAGE('The List'!AE2:AE671))/STDEV('The List'!AE2:AE671)</f>
        <v>0.99220721120480904</v>
      </c>
      <c r="S135" s="55" cm="1">
        <f t="array" ref="S135">(VLOOKUP($A135,'The List'!$B1:$AH671,31,FALSE)-AVERAGE('The List'!AF2:AF671))/STDEV('The List'!AF2:AF671)</f>
        <v>-0.47410375497793023</v>
      </c>
      <c r="T135" s="55" cm="1">
        <f t="array" ref="T135">(VLOOKUP($A135,'The List'!$B1:$AH671,32,FALSE)-AVERAGE('The List'!AG2:AG671))/STDEV('The List'!AG2:AG671)</f>
        <v>-0.42691896120614553</v>
      </c>
      <c r="U135" s="55" cm="1">
        <f t="array" ref="U135">(VLOOKUP($A135,'The List'!$B1:$AH671,33,FALSE)-AVERAGE('The List'!AH2:AH671))/STDEV('The List'!AH2:AH671)</f>
        <v>0.43736627626062752</v>
      </c>
      <c r="V135" s="55"/>
      <c r="W135" s="57"/>
      <c r="X135" s="55"/>
      <c r="Y135" s="55"/>
      <c r="Z135" s="55"/>
      <c r="AA135" s="55"/>
      <c r="AB135" s="55"/>
      <c r="AC135" s="55"/>
      <c r="AD135" s="55"/>
      <c r="AE135" s="55"/>
    </row>
    <row r="136" spans="1:31" ht="21.25" customHeight="1" x14ac:dyDescent="0.15">
      <c r="A136" s="10" t="s">
        <v>451</v>
      </c>
      <c r="B136" s="18" t="str" cm="1">
        <f t="array" ref="B136">VLOOKUP(A136,'Player Data'!A1:B673,2,FALSE)</f>
        <v>DAL</v>
      </c>
      <c r="C136" s="52" cm="1">
        <f t="array" ref="C136">((E136)*Settings!$C$12)+(F136*Settings!$C$2)+(G136*Settings!$C$3)+(H136*Settings!$C$4)+(I136*Settings!$C$5)+(K136*Settings!$C$9)+(N136*Settings!$C$6)+(J136*Settings!$C$8)+(O136*Settings!$C$7)+(P136*Settings!$C$14)+(Q136*Settings!$C$15)+(R136*Settings!$C$16)+(S136*Settings!$C$17)+(T136*Settings!$C$18)+(U136*Settings!$C$19)+(L136*Settings!$C$10)+(Settings!$C$11*M136)</f>
        <v>0.25598175483585295</v>
      </c>
      <c r="D136" s="57" cm="1">
        <f t="array" ref="D136">IF(Settings!$E$12="YES",VLOOKUP(A136,'Player Data'!A1:E673,5,FALSE),82)</f>
        <v>79.392499999999998</v>
      </c>
      <c r="E136" s="55" cm="1">
        <f t="array" ref="E136">(VLOOKUP($A136,'The List'!$B1:$AH671,17,FALSE)-AVERAGE('The List'!R2:R671))/STDEV('The List'!R2:R671)</f>
        <v>-0.43145317892563217</v>
      </c>
      <c r="F136" s="55" cm="1">
        <f t="array" ref="F136">(VLOOKUP($A136,'The List'!$B1:$AH671,18,FALSE)-AVERAGE('The List'!S2:S671))/STDEV('The List'!S2:S671)</f>
        <v>0.52807368261244014</v>
      </c>
      <c r="G136" s="55" cm="1">
        <f t="array" ref="G136">(VLOOKUP($A136,'The List'!$B1:$AH671,19,FALSE)-AVERAGE('The List'!T2:T671))/STDEV('The List'!T2:T671)</f>
        <v>0.66278919164208594</v>
      </c>
      <c r="H136" s="55" cm="1">
        <f t="array" ref="H136">(VLOOKUP($A136,'The List'!$B1:$AH671,20,FALSE)-AVERAGE('The List'!U2:U671))/STDEV('The List'!U2:U671)</f>
        <v>0.65118570878262327</v>
      </c>
      <c r="I136" s="55" cm="1">
        <f t="array" ref="I136">(VLOOKUP($A136,'The List'!$B1:$AH671,21,FALSE)-AVERAGE('The List'!V2:V671))/STDEV('The List'!V2:V671)</f>
        <v>-0.10983200833797607</v>
      </c>
      <c r="J136" s="55" cm="1">
        <f t="array" ref="J136">(VLOOKUP($A136,'The List'!$B1:$AH671,22,FALSE)-AVERAGE('The List'!W2:W671))/STDEV('The List'!W2:W671)</f>
        <v>0.2449394664955199</v>
      </c>
      <c r="K136" s="55" cm="1">
        <f t="array" ref="K136">(VLOOKUP($A136,'The List'!$B1:$AH671,23,FALSE)-AVERAGE('The List'!X2:X671))/STDEV('The List'!X2:X671)</f>
        <v>0.29189436445253569</v>
      </c>
      <c r="L136" s="55" cm="1">
        <f t="array" ref="L136">(VLOOKUP($A136,'The List'!$B1:$AH671,24,FALSE)-AVERAGE('The List'!Y2:Y671))/STDEV('The List'!Y2:Y671)</f>
        <v>-0.55460896861587816</v>
      </c>
      <c r="M136" s="55" cm="1">
        <f t="array" ref="M136">(VLOOKUP($A136,'The List'!$B1:$AH671,25,FALSE)-AVERAGE('The List'!Z2:Z671))/STDEV('The List'!Z2:Z671)</f>
        <v>-0.69642193379170403</v>
      </c>
      <c r="N136" s="55" cm="1">
        <f t="array" ref="N136">(VLOOKUP($A136,'The List'!$B1:$AH671,26,FALSE)-AVERAGE('The List'!AA2:AA671))/STDEV('The List'!AA2:AA671)</f>
        <v>-0.87193919548665988</v>
      </c>
      <c r="O136" s="55" cm="1">
        <f t="array" ref="O136">(VLOOKUP($A136,'The List'!$B1:$AH671,27,FALSE)-AVERAGE('The List'!AB2:AB671))/STDEV('The List'!AB2:AB671)</f>
        <v>-0.93027451832879682</v>
      </c>
      <c r="P136" s="55" cm="1">
        <f t="array" ref="P136">(VLOOKUP($A136,'The List'!$B1:$AH671,28,FALSE)-AVERAGE('The List'!AC2:AC671))/STDEV('The List'!AC2:AC671)</f>
        <v>0.94611769202970841</v>
      </c>
      <c r="Q136" s="55" cm="1">
        <f t="array" ref="Q136">(VLOOKUP($A136,'The List'!$B1:$AH671,29,FALSE)-AVERAGE('The List'!AD2:AD671))/STDEV('The List'!AD2:AD671)</f>
        <v>-1.1911219720762816</v>
      </c>
      <c r="R136" s="55" cm="1">
        <f t="array" ref="R136">(VLOOKUP($A136,'The List'!$B1:$AH671,30,FALSE)-AVERAGE('The List'!AE2:AE671))/STDEV('The List'!AE2:AE671)</f>
        <v>0.67414646258670841</v>
      </c>
      <c r="S136" s="55" cm="1">
        <f t="array" ref="S136">(VLOOKUP($A136,'The List'!$B1:$AH671,31,FALSE)-AVERAGE('The List'!AF2:AF671))/STDEV('The List'!AF2:AF671)</f>
        <v>1.0631076815083298</v>
      </c>
      <c r="T136" s="55" cm="1">
        <f t="array" ref="T136">(VLOOKUP($A136,'The List'!$B1:$AH671,32,FALSE)-AVERAGE('The List'!AG2:AG671))/STDEV('The List'!AG2:AG671)</f>
        <v>0.89183289992087755</v>
      </c>
      <c r="U136" s="55" cm="1">
        <f t="array" ref="U136">(VLOOKUP($A136,'The List'!$B1:$AH671,33,FALSE)-AVERAGE('The List'!AH2:AH671))/STDEV('The List'!AH2:AH671)</f>
        <v>1.2014365350604148</v>
      </c>
      <c r="V136" s="55"/>
      <c r="W136" s="78"/>
      <c r="X136" s="57"/>
      <c r="Y136" s="57"/>
      <c r="Z136" s="57"/>
      <c r="AA136" s="57"/>
      <c r="AB136" s="57"/>
      <c r="AC136" s="60"/>
      <c r="AD136" s="61"/>
      <c r="AE136" s="55"/>
    </row>
    <row r="137" spans="1:31" ht="21.25" customHeight="1" x14ac:dyDescent="0.15">
      <c r="A137" s="10" t="s">
        <v>656</v>
      </c>
      <c r="B137" s="18" t="str" cm="1">
        <f t="array" ref="B137">VLOOKUP(A137,'Player Data'!A1:B673,2,FALSE)</f>
        <v>TOR</v>
      </c>
      <c r="C137" s="52" cm="1">
        <f t="array" ref="C137">((E137)*Settings!$C$12)+(F137*Settings!$C$2)+(G137*Settings!$C$3)+(H137*Settings!$C$4)+(I137*Settings!$C$5)+(K137*Settings!$C$9)+(N137*Settings!$C$6)+(J137*Settings!$C$8)+(O137*Settings!$C$7)+(P137*Settings!$C$14)+(Q137*Settings!$C$15)+(R137*Settings!$C$16)+(S137*Settings!$C$17)+(T137*Settings!$C$18)+(U137*Settings!$C$19)+(L137*Settings!$C$10)+(Settings!$C$11*M137)</f>
        <v>-2.6395032719234406</v>
      </c>
      <c r="D137" s="57" cm="1">
        <f t="array" ref="D137">IF(Settings!$E$12="YES",VLOOKUP(A137,'Player Data'!A1:E673,5,FALSE),82)</f>
        <v>76.95</v>
      </c>
      <c r="E137" s="55" cm="1">
        <f t="array" ref="E137">(VLOOKUP($A137,'The List'!$B1:$AH671,17,FALSE)-AVERAGE('The List'!R2:R671))/STDEV('The List'!R2:R671)</f>
        <v>-0.6784958124564674</v>
      </c>
      <c r="F137" s="55" cm="1">
        <f t="array" ref="F137">(VLOOKUP($A137,'The List'!$B1:$AH671,18,FALSE)-AVERAGE('The List'!S2:S671))/STDEV('The List'!S2:S671)</f>
        <v>-0.32313550948271497</v>
      </c>
      <c r="G137" s="55" cm="1">
        <f t="array" ref="G137">(VLOOKUP($A137,'The List'!$B1:$AH671,19,FALSE)-AVERAGE('The List'!T2:T671))/STDEV('The List'!T2:T671)</f>
        <v>-0.54814229448896845</v>
      </c>
      <c r="H137" s="55" cm="1">
        <f t="array" ref="H137">(VLOOKUP($A137,'The List'!$B1:$AH671,20,FALSE)-AVERAGE('The List'!U2:U671))/STDEV('The List'!U2:U671)</f>
        <v>-0.48814680627828028</v>
      </c>
      <c r="I137" s="55" cm="1">
        <f t="array" ref="I137">(VLOOKUP($A137,'The List'!$B1:$AH671,21,FALSE)-AVERAGE('The List'!V2:V671))/STDEV('The List'!V2:V671)</f>
        <v>-0.53131610577888955</v>
      </c>
      <c r="J137" s="55" cm="1">
        <f t="array" ref="J137">(VLOOKUP($A137,'The List'!$B1:$AH671,22,FALSE)-AVERAGE('The List'!W2:W671))/STDEV('The List'!W2:W671)</f>
        <v>-0.72868411659998789</v>
      </c>
      <c r="K137" s="55" cm="1">
        <f t="array" ref="K137">(VLOOKUP($A137,'The List'!$B1:$AH671,23,FALSE)-AVERAGE('The List'!X2:X671))/STDEV('The List'!X2:X671)</f>
        <v>-0.80032166848884623</v>
      </c>
      <c r="L137" s="55" cm="1">
        <f t="array" ref="L137">(VLOOKUP($A137,'The List'!$B1:$AH671,24,FALSE)-AVERAGE('The List'!Y2:Y671))/STDEV('The List'!Y2:Y671)</f>
        <v>3.4700889285388978</v>
      </c>
      <c r="M137" s="55" cm="1">
        <f t="array" ref="M137">(VLOOKUP($A137,'The List'!$B1:$AH671,25,FALSE)-AVERAGE('The List'!Z2:Z671))/STDEV('The List'!Z2:Z671)</f>
        <v>2.4204587434030347</v>
      </c>
      <c r="N137" s="55" cm="1">
        <f t="array" ref="N137">(VLOOKUP($A137,'The List'!$B1:$AH671,26,FALSE)-AVERAGE('The List'!AA2:AA671))/STDEV('The List'!AA2:AA671)</f>
        <v>-0.67551812866022154</v>
      </c>
      <c r="O137" s="55" cm="1">
        <f t="array" ref="O137">(VLOOKUP($A137,'The List'!$B1:$AH671,27,FALSE)-AVERAGE('The List'!AB2:AB671))/STDEV('The List'!AB2:AB671)</f>
        <v>0.15874041948892836</v>
      </c>
      <c r="P137" s="55" cm="1">
        <f t="array" ref="P137">(VLOOKUP($A137,'The List'!$B1:$AH671,28,FALSE)-AVERAGE('The List'!AC2:AC671))/STDEV('The List'!AC2:AC671)</f>
        <v>-0.24395275544716155</v>
      </c>
      <c r="Q137" s="55" cm="1">
        <f t="array" ref="Q137">(VLOOKUP($A137,'The List'!$B1:$AH671,29,FALSE)-AVERAGE('The List'!AD2:AD671))/STDEV('The List'!AD2:AD671)</f>
        <v>0.4828831904233617</v>
      </c>
      <c r="R137" s="55" cm="1">
        <f t="array" ref="R137">(VLOOKUP($A137,'The List'!$B1:$AH671,30,FALSE)-AVERAGE('The List'!AE2:AE671))/STDEV('The List'!AE2:AE671)</f>
        <v>-0.43872711668064673</v>
      </c>
      <c r="S137" s="55" cm="1">
        <f t="array" ref="S137">(VLOOKUP($A137,'The List'!$B1:$AH671,31,FALSE)-AVERAGE('The List'!AF2:AF671))/STDEV('The List'!AF2:AF671)</f>
        <v>1.4120234130168419</v>
      </c>
      <c r="T137" s="55" cm="1">
        <f t="array" ref="T137">(VLOOKUP($A137,'The List'!$B1:$AH671,32,FALSE)-AVERAGE('The List'!AG2:AG671))/STDEV('The List'!AG2:AG671)</f>
        <v>1.4509721676242189</v>
      </c>
      <c r="U137" s="55" cm="1">
        <f t="array" ref="U137">(VLOOKUP($A137,'The List'!$B1:$AH671,33,FALSE)-AVERAGE('The List'!AH2:AH671))/STDEV('The List'!AH2:AH671)</f>
        <v>1.0648895033621373</v>
      </c>
      <c r="V137" s="55"/>
      <c r="W137" s="78"/>
      <c r="X137" s="57"/>
      <c r="Y137" s="57"/>
      <c r="Z137" s="57"/>
      <c r="AA137" s="57"/>
      <c r="AB137" s="57"/>
      <c r="AC137" s="60"/>
      <c r="AD137" s="61"/>
      <c r="AE137" s="55"/>
    </row>
    <row r="138" spans="1:31" ht="21.25" customHeight="1" x14ac:dyDescent="0.15">
      <c r="A138" s="10" t="s">
        <v>357</v>
      </c>
      <c r="B138" s="18" t="str" cm="1">
        <f t="array" ref="B138">VLOOKUP(A138,'Player Data'!A1:B673,2,FALSE)</f>
        <v>CHI</v>
      </c>
      <c r="C138" s="52" cm="1">
        <f t="array" ref="C138">((E138)*Settings!$C$12)+(F138*Settings!$C$2)+(G138*Settings!$C$3)+(H138*Settings!$C$4)+(I138*Settings!$C$5)+(K138*Settings!$C$9)+(N138*Settings!$C$6)+(J138*Settings!$C$8)+(O138*Settings!$C$7)+(P138*Settings!$C$14)+(Q138*Settings!$C$15)+(R138*Settings!$C$16)+(S138*Settings!$C$17)+(T138*Settings!$C$18)+(U138*Settings!$C$19)+(L138*Settings!$C$10)+(Settings!$C$11*M138)</f>
        <v>1.0796009778687785</v>
      </c>
      <c r="D138" s="57" cm="1">
        <f t="array" ref="D138">IF(Settings!$E$12="YES",VLOOKUP(A138,'Player Data'!A1:E673,5,FALSE),82)</f>
        <v>83.297499999999999</v>
      </c>
      <c r="E138" s="55" cm="1">
        <f t="array" ref="E138">(VLOOKUP($A138,'The List'!$B1:$AH671,17,FALSE)-AVERAGE('The List'!R2:R671))/STDEV('The List'!R2:R671)</f>
        <v>0.24401124392654033</v>
      </c>
      <c r="F138" s="55" cm="1">
        <f t="array" ref="F138">(VLOOKUP($A138,'The List'!$B1:$AH671,18,FALSE)-AVERAGE('The List'!S2:S671))/STDEV('The List'!S2:S671)</f>
        <v>1.397513501947613</v>
      </c>
      <c r="G138" s="55" cm="1">
        <f t="array" ref="G138">(VLOOKUP($A138,'The List'!$B1:$AH671,19,FALSE)-AVERAGE('The List'!T2:T671))/STDEV('The List'!T2:T671)</f>
        <v>0.2055784092778716</v>
      </c>
      <c r="H138" s="55" cm="1">
        <f t="array" ref="H138">(VLOOKUP($A138,'The List'!$B1:$AH671,20,FALSE)-AVERAGE('The List'!U2:U671))/STDEV('The List'!U2:U671)</f>
        <v>0.74935407459541648</v>
      </c>
      <c r="I138" s="55" cm="1">
        <f t="array" ref="I138">(VLOOKUP($A138,'The List'!$B1:$AH671,21,FALSE)-AVERAGE('The List'!V2:V671))/STDEV('The List'!V2:V671)</f>
        <v>0.72536326504216631</v>
      </c>
      <c r="J138" s="55" cm="1">
        <f t="array" ref="J138">(VLOOKUP($A138,'The List'!$B1:$AH671,22,FALSE)-AVERAGE('The List'!W2:W671))/STDEV('The List'!W2:W671)</f>
        <v>2.1122844814029764</v>
      </c>
      <c r="K138" s="55" cm="1">
        <f t="array" ref="K138">(VLOOKUP($A138,'The List'!$B1:$AH671,23,FALSE)-AVERAGE('The List'!X2:X671))/STDEV('The List'!X2:X671)</f>
        <v>1.2307338405219732</v>
      </c>
      <c r="L138" s="55" cm="1">
        <f t="array" ref="L138">(VLOOKUP($A138,'The List'!$B1:$AH671,24,FALSE)-AVERAGE('The List'!Y2:Y671))/STDEV('The List'!Y2:Y671)</f>
        <v>-0.56467505967986431</v>
      </c>
      <c r="M138" s="55" cm="1">
        <f t="array" ref="M138">(VLOOKUP($A138,'The List'!$B1:$AH671,25,FALSE)-AVERAGE('The List'!Z2:Z671))/STDEV('The List'!Z2:Z671)</f>
        <v>-0.70657231979310797</v>
      </c>
      <c r="N138" s="55" cm="1">
        <f t="array" ref="N138">(VLOOKUP($A138,'The List'!$B1:$AH671,26,FALSE)-AVERAGE('The List'!AA2:AA671))/STDEV('The List'!AA2:AA671)</f>
        <v>-0.88621127814537581</v>
      </c>
      <c r="O138" s="55" cm="1">
        <f t="array" ref="O138">(VLOOKUP($A138,'The List'!$B1:$AH671,27,FALSE)-AVERAGE('The List'!AB2:AB671))/STDEV('The List'!AB2:AB671)</f>
        <v>-0.47318567215744645</v>
      </c>
      <c r="P138" s="55" cm="1">
        <f t="array" ref="P138">(VLOOKUP($A138,'The List'!$B1:$AH671,28,FALSE)-AVERAGE('The List'!AC2:AC671))/STDEV('The List'!AC2:AC671)</f>
        <v>-1.6569441503757556</v>
      </c>
      <c r="Q138" s="55" cm="1">
        <f t="array" ref="Q138">(VLOOKUP($A138,'The List'!$B1:$AH671,29,FALSE)-AVERAGE('The List'!AD2:AD671))/STDEV('The List'!AD2:AD671)</f>
        <v>6.3567389600285643E-2</v>
      </c>
      <c r="R138" s="55" cm="1">
        <f t="array" ref="R138">(VLOOKUP($A138,'The List'!$B1:$AH671,30,FALSE)-AVERAGE('The List'!AE2:AE671))/STDEV('The List'!AE2:AE671)</f>
        <v>0.80221367102013286</v>
      </c>
      <c r="S138" s="55" cm="1">
        <f t="array" ref="S138">(VLOOKUP($A138,'The List'!$B1:$AH671,31,FALSE)-AVERAGE('The List'!AF2:AF671))/STDEV('The List'!AF2:AF671)</f>
        <v>-0.4060224043641435</v>
      </c>
      <c r="T138" s="55" cm="1">
        <f t="array" ref="T138">(VLOOKUP($A138,'The List'!$B1:$AH671,32,FALSE)-AVERAGE('The List'!AG2:AG671))/STDEV('The List'!AG2:AG671)</f>
        <v>-0.37411064271506822</v>
      </c>
      <c r="U138" s="55" cm="1">
        <f t="array" ref="U138">(VLOOKUP($A138,'The List'!$B1:$AH671,33,FALSE)-AVERAGE('The List'!AH2:AH671))/STDEV('The List'!AH2:AH671)</f>
        <v>0.69417549108902976</v>
      </c>
      <c r="V138" s="55"/>
      <c r="W138" s="57"/>
      <c r="X138" s="55"/>
      <c r="Y138" s="55"/>
      <c r="Z138" s="55"/>
      <c r="AA138" s="55"/>
      <c r="AB138" s="55"/>
      <c r="AC138" s="55"/>
      <c r="AD138" s="55"/>
      <c r="AE138" s="55"/>
    </row>
    <row r="139" spans="1:31" ht="21.25" customHeight="1" x14ac:dyDescent="0.15">
      <c r="A139" s="10" t="s">
        <v>373</v>
      </c>
      <c r="B139" s="18" t="str" cm="1">
        <f t="array" ref="B139">VLOOKUP(A139,'Player Data'!A1:B673,2,FALSE)</f>
        <v>BUF</v>
      </c>
      <c r="C139" s="52" cm="1">
        <f t="array" ref="C139">((E139)*Settings!$C$12)+(F139*Settings!$C$2)+(G139*Settings!$C$3)+(H139*Settings!$C$4)+(I139*Settings!$C$5)+(K139*Settings!$C$9)+(N139*Settings!$C$6)+(J139*Settings!$C$8)+(O139*Settings!$C$7)+(P139*Settings!$C$14)+(Q139*Settings!$C$15)+(R139*Settings!$C$16)+(S139*Settings!$C$17)+(T139*Settings!$C$18)+(U139*Settings!$C$19)+(L139*Settings!$C$10)+(Settings!$C$11*M139)</f>
        <v>1.9502299990449172</v>
      </c>
      <c r="D139" s="57" cm="1">
        <f t="array" ref="D139">IF(Settings!$E$12="YES",VLOOKUP(A139,'Player Data'!A1:E673,5,FALSE),82)</f>
        <v>76.567499999999995</v>
      </c>
      <c r="E139" s="55" cm="1">
        <f t="array" ref="E139">(VLOOKUP($A139,'The List'!$B1:$AH671,17,FALSE)-AVERAGE('The List'!R2:R671))/STDEV('The List'!R2:R671)</f>
        <v>-4.9984087957376404E-2</v>
      </c>
      <c r="F139" s="55" cm="1">
        <f t="array" ref="F139">(VLOOKUP($A139,'The List'!$B1:$AH671,18,FALSE)-AVERAGE('The List'!S2:S671))/STDEV('The List'!S2:S671)</f>
        <v>1.0253371657267452</v>
      </c>
      <c r="G139" s="55" cm="1">
        <f t="array" ref="G139">(VLOOKUP($A139,'The List'!$B1:$AH671,19,FALSE)-AVERAGE('The List'!T2:T671))/STDEV('The List'!T2:T671)</f>
        <v>0.31900283609574998</v>
      </c>
      <c r="H139" s="55" cm="1">
        <f t="array" ref="H139">(VLOOKUP($A139,'The List'!$B1:$AH671,20,FALSE)-AVERAGE('The List'!U2:U671))/STDEV('The List'!U2:U671)</f>
        <v>0.65557089606821817</v>
      </c>
      <c r="I139" s="55" cm="1">
        <f t="array" ref="I139">(VLOOKUP($A139,'The List'!$B1:$AH671,21,FALSE)-AVERAGE('The List'!V2:V671))/STDEV('The List'!V2:V671)</f>
        <v>0.74537328407932735</v>
      </c>
      <c r="J139" s="55" cm="1">
        <f t="array" ref="J139">(VLOOKUP($A139,'The List'!$B1:$AH671,22,FALSE)-AVERAGE('The List'!W2:W671))/STDEV('The List'!W2:W671)</f>
        <v>1.5523887502780263</v>
      </c>
      <c r="K139" s="55" cm="1">
        <f t="array" ref="K139">(VLOOKUP($A139,'The List'!$B1:$AH671,23,FALSE)-AVERAGE('The List'!X2:X671))/STDEV('The List'!X2:X671)</f>
        <v>0.80890730594964477</v>
      </c>
      <c r="L139" s="55" cm="1">
        <f t="array" ref="L139">(VLOOKUP($A139,'The List'!$B1:$AH671,24,FALSE)-AVERAGE('The List'!Y2:Y671))/STDEV('The List'!Y2:Y671)</f>
        <v>-0.555826691554824</v>
      </c>
      <c r="M139" s="55" cm="1">
        <f t="array" ref="M139">(VLOOKUP($A139,'The List'!$B1:$AH671,25,FALSE)-AVERAGE('The List'!Z2:Z671))/STDEV('The List'!Z2:Z671)</f>
        <v>-0.69788175991397106</v>
      </c>
      <c r="N139" s="55" cm="1">
        <f t="array" ref="N139">(VLOOKUP($A139,'The List'!$B1:$AH671,26,FALSE)-AVERAGE('The List'!AA2:AA671))/STDEV('The List'!AA2:AA671)</f>
        <v>-0.8327875011531144</v>
      </c>
      <c r="O139" s="55" cm="1">
        <f t="array" ref="O139">(VLOOKUP($A139,'The List'!$B1:$AH671,27,FALSE)-AVERAGE('The List'!AB2:AB671))/STDEV('The List'!AB2:AB671)</f>
        <v>-0.16427027032473901</v>
      </c>
      <c r="P139" s="55" cm="1">
        <f t="array" ref="P139">(VLOOKUP($A139,'The List'!$B1:$AH671,28,FALSE)-AVERAGE('The List'!AC2:AC671))/STDEV('The List'!AC2:AC671)</f>
        <v>0.51792886422345785</v>
      </c>
      <c r="Q139" s="55" cm="1">
        <f t="array" ref="Q139">(VLOOKUP($A139,'The List'!$B1:$AH671,29,FALSE)-AVERAGE('The List'!AD2:AD671))/STDEV('The List'!AD2:AD671)</f>
        <v>-0.63353195587689382</v>
      </c>
      <c r="R139" s="55" cm="1">
        <f t="array" ref="R139">(VLOOKUP($A139,'The List'!$B1:$AH671,30,FALSE)-AVERAGE('The List'!AE2:AE671))/STDEV('The List'!AE2:AE671)</f>
        <v>0.92483252236853453</v>
      </c>
      <c r="S139" s="55" cm="1">
        <f t="array" ref="S139">(VLOOKUP($A139,'The List'!$B1:$AH671,31,FALSE)-AVERAGE('The List'!AF2:AF671))/STDEV('The List'!AF2:AF671)</f>
        <v>-0.54923481315397293</v>
      </c>
      <c r="T139" s="55" cm="1">
        <f t="array" ref="T139">(VLOOKUP($A139,'The List'!$B1:$AH671,32,FALSE)-AVERAGE('The List'!AG2:AG671))/STDEV('The List'!AG2:AG671)</f>
        <v>-0.52689439436560215</v>
      </c>
      <c r="U139" s="55" cm="1">
        <f t="array" ref="U139">(VLOOKUP($A139,'The List'!$B1:$AH671,33,FALSE)-AVERAGE('The List'!AH2:AH671))/STDEV('The List'!AH2:AH671)</f>
        <v>5.8284555543530826E-2</v>
      </c>
      <c r="V139" s="55"/>
      <c r="W139" s="57"/>
      <c r="X139" s="55"/>
      <c r="Y139" s="55"/>
      <c r="Z139" s="55"/>
      <c r="AA139" s="55"/>
      <c r="AB139" s="55"/>
      <c r="AC139" s="55"/>
      <c r="AD139" s="55"/>
      <c r="AE139" s="55"/>
    </row>
    <row r="140" spans="1:31" ht="21.25" customHeight="1" x14ac:dyDescent="0.15">
      <c r="A140" s="10" t="s">
        <v>320</v>
      </c>
      <c r="B140" s="18" t="str" cm="1">
        <f t="array" ref="B140">VLOOKUP(A140,'Player Data'!A1:B673,2,FALSE)</f>
        <v>SEA</v>
      </c>
      <c r="C140" s="52" cm="1">
        <f t="array" ref="C140">((E140)*Settings!$C$12)+(F140*Settings!$C$2)+(G140*Settings!$C$3)+(H140*Settings!$C$4)+(I140*Settings!$C$5)+(K140*Settings!$C$9)+(N140*Settings!$C$6)+(J140*Settings!$C$8)+(O140*Settings!$C$7)+(P140*Settings!$C$14)+(Q140*Settings!$C$15)+(R140*Settings!$C$16)+(S140*Settings!$C$17)+(T140*Settings!$C$18)+(U140*Settings!$C$19)+(L140*Settings!$C$10)+(Settings!$C$11*M140)</f>
        <v>0.62072602905089069</v>
      </c>
      <c r="D140" s="57" cm="1">
        <f t="array" ref="D140">IF(Settings!$E$12="YES",VLOOKUP(A140,'Player Data'!A1:E673,5,FALSE),82)</f>
        <v>83.53</v>
      </c>
      <c r="E140" s="55" cm="1">
        <f t="array" ref="E140">(VLOOKUP($A140,'The List'!$B1:$AH671,17,FALSE)-AVERAGE('The List'!R2:R671))/STDEV('The List'!R2:R671)</f>
        <v>0.87899460639166038</v>
      </c>
      <c r="F140" s="55" cm="1">
        <f t="array" ref="F140">(VLOOKUP($A140,'The List'!$B1:$AH671,18,FALSE)-AVERAGE('The List'!S2:S671))/STDEV('The List'!S2:S671)</f>
        <v>0.90651264611489402</v>
      </c>
      <c r="G140" s="55" cm="1">
        <f t="array" ref="G140">(VLOOKUP($A140,'The List'!$B1:$AH671,19,FALSE)-AVERAGE('The List'!T2:T671))/STDEV('The List'!T2:T671)</f>
        <v>0.53447618456724166</v>
      </c>
      <c r="H140" s="55" cm="1">
        <f t="array" ref="H140">(VLOOKUP($A140,'The List'!$B1:$AH671,20,FALSE)-AVERAGE('The List'!U2:U671))/STDEV('The List'!U2:U671)</f>
        <v>0.73838264040605472</v>
      </c>
      <c r="I140" s="55" cm="1">
        <f t="array" ref="I140">(VLOOKUP($A140,'The List'!$B1:$AH671,21,FALSE)-AVERAGE('The List'!V2:V671))/STDEV('The List'!V2:V671)</f>
        <v>0.60219309566035173</v>
      </c>
      <c r="J140" s="55" cm="1">
        <f t="array" ref="J140">(VLOOKUP($A140,'The List'!$B1:$AH671,22,FALSE)-AVERAGE('The List'!W2:W671))/STDEV('The List'!W2:W671)</f>
        <v>0.87933771846432229</v>
      </c>
      <c r="K140" s="55" cm="1">
        <f t="array" ref="K140">(VLOOKUP($A140,'The List'!$B1:$AH671,23,FALSE)-AVERAGE('The List'!X2:X671))/STDEV('The List'!X2:X671)</f>
        <v>0.44247334803945937</v>
      </c>
      <c r="L140" s="55" cm="1">
        <f t="array" ref="L140">(VLOOKUP($A140,'The List'!$B1:$AH671,24,FALSE)-AVERAGE('The List'!Y2:Y671))/STDEV('The List'!Y2:Y671)</f>
        <v>-0.11015571931203098</v>
      </c>
      <c r="M140" s="55" cm="1">
        <f t="array" ref="M140">(VLOOKUP($A140,'The List'!$B1:$AH671,25,FALSE)-AVERAGE('The List'!Z2:Z671))/STDEV('The List'!Z2:Z671)</f>
        <v>-0.26113539927055207</v>
      </c>
      <c r="N140" s="55" cm="1">
        <f t="array" ref="N140">(VLOOKUP($A140,'The List'!$B1:$AH671,26,FALSE)-AVERAGE('The List'!AA2:AA671))/STDEV('The List'!AA2:AA671)</f>
        <v>0.23922577919107937</v>
      </c>
      <c r="O140" s="55" cm="1">
        <f t="array" ref="O140">(VLOOKUP($A140,'The List'!$B1:$AH671,27,FALSE)-AVERAGE('The List'!AB2:AB671))/STDEV('The List'!AB2:AB671)</f>
        <v>-0.92501853498679443</v>
      </c>
      <c r="P140" s="55" cm="1">
        <f t="array" ref="P140">(VLOOKUP($A140,'The List'!$B1:$AH671,28,FALSE)-AVERAGE('The List'!AC2:AC671))/STDEV('The List'!AC2:AC671)</f>
        <v>-1.5698749539958052</v>
      </c>
      <c r="Q140" s="55" cm="1">
        <f t="array" ref="Q140">(VLOOKUP($A140,'The List'!$B1:$AH671,29,FALSE)-AVERAGE('The List'!AD2:AD671))/STDEV('The List'!AD2:AD671)</f>
        <v>-0.53428007052633042</v>
      </c>
      <c r="R140" s="55" cm="1">
        <f t="array" ref="R140">(VLOOKUP($A140,'The List'!$B1:$AH671,30,FALSE)-AVERAGE('The List'!AE2:AE671))/STDEV('The List'!AE2:AE671)</f>
        <v>0.6279167348618323</v>
      </c>
      <c r="S140" s="55" cm="1">
        <f t="array" ref="S140">(VLOOKUP($A140,'The List'!$B1:$AH671,31,FALSE)-AVERAGE('The List'!AF2:AF671))/STDEV('The List'!AF2:AF671)</f>
        <v>2.1169003657730467</v>
      </c>
      <c r="T140" s="55" cm="1">
        <f t="array" ref="T140">(VLOOKUP($A140,'The List'!$B1:$AH671,32,FALSE)-AVERAGE('The List'!AG2:AG671))/STDEV('The List'!AG2:AG671)</f>
        <v>2.5270202344944006</v>
      </c>
      <c r="U140" s="55" cm="1">
        <f t="array" ref="U140">(VLOOKUP($A140,'The List'!$B1:$AH671,33,FALSE)-AVERAGE('The List'!AH2:AH671))/STDEV('The List'!AH2:AH671)</f>
        <v>0.93504456540454095</v>
      </c>
      <c r="V140" s="55"/>
      <c r="W140" s="78"/>
      <c r="X140" s="57"/>
      <c r="Y140" s="57"/>
      <c r="Z140" s="57"/>
      <c r="AA140" s="57"/>
      <c r="AB140" s="57"/>
      <c r="AC140" s="60"/>
      <c r="AD140" s="61"/>
      <c r="AE140" s="55"/>
    </row>
    <row r="141" spans="1:31" ht="21.25" customHeight="1" x14ac:dyDescent="0.15">
      <c r="A141" s="10" t="s">
        <v>418</v>
      </c>
      <c r="B141" s="18" t="str" cm="1">
        <f t="array" ref="B141">VLOOKUP(A141,'Player Data'!A1:B673,2,FALSE)</f>
        <v>L.A</v>
      </c>
      <c r="C141" s="52" cm="1">
        <f t="array" ref="C141">((E141)*Settings!$C$12)+(F141*Settings!$C$2)+(G141*Settings!$C$3)+(H141*Settings!$C$4)+(I141*Settings!$C$5)+(K141*Settings!$C$9)+(N141*Settings!$C$6)+(J141*Settings!$C$8)+(O141*Settings!$C$7)+(P141*Settings!$C$14)+(Q141*Settings!$C$15)+(R141*Settings!$C$16)+(S141*Settings!$C$17)+(T141*Settings!$C$18)+(U141*Settings!$C$19)+(L141*Settings!$C$10)+(Settings!$C$11*M141)</f>
        <v>0.5430651153624213</v>
      </c>
      <c r="D141" s="57" cm="1">
        <f t="array" ref="D141">IF(Settings!$E$12="YES",VLOOKUP(A141,'Player Data'!A1:E673,5,FALSE),82)</f>
        <v>76.86</v>
      </c>
      <c r="E141" s="55" cm="1">
        <f t="array" ref="E141">(VLOOKUP($A141,'The List'!$B1:$AH671,17,FALSE)-AVERAGE('The List'!R2:R671))/STDEV('The List'!R2:R671)</f>
        <v>-0.14771458716306599</v>
      </c>
      <c r="F141" s="55" cm="1">
        <f t="array" ref="F141">(VLOOKUP($A141,'The List'!$B1:$AH671,18,FALSE)-AVERAGE('The List'!S2:S671))/STDEV('The List'!S2:S671)</f>
        <v>8.6550397915703181E-2</v>
      </c>
      <c r="G141" s="55" cm="1">
        <f t="array" ref="G141">(VLOOKUP($A141,'The List'!$B1:$AH671,19,FALSE)-AVERAGE('The List'!T2:T671))/STDEV('The List'!T2:T671)</f>
        <v>0.80644478001564146</v>
      </c>
      <c r="H141" s="55" cm="1">
        <f t="array" ref="H141">(VLOOKUP($A141,'The List'!$B1:$AH671,20,FALSE)-AVERAGE('The List'!U2:U671))/STDEV('The List'!U2:U671)</f>
        <v>0.54565003879321095</v>
      </c>
      <c r="I141" s="55" cm="1">
        <f t="array" ref="I141">(VLOOKUP($A141,'The List'!$B1:$AH671,21,FALSE)-AVERAGE('The List'!V2:V671))/STDEV('The List'!V2:V671)</f>
        <v>0.20838359379717497</v>
      </c>
      <c r="J141" s="55" cm="1">
        <f t="array" ref="J141">(VLOOKUP($A141,'The List'!$B1:$AH671,22,FALSE)-AVERAGE('The List'!W2:W671))/STDEV('The List'!W2:W671)</f>
        <v>0.10973736105469303</v>
      </c>
      <c r="K141" s="55" cm="1">
        <f t="array" ref="K141">(VLOOKUP($A141,'The List'!$B1:$AH671,23,FALSE)-AVERAGE('The List'!X2:X671))/STDEV('The List'!X2:X671)</f>
        <v>0.78017765525800142</v>
      </c>
      <c r="L141" s="55" cm="1">
        <f t="array" ref="L141">(VLOOKUP($A141,'The List'!$B1:$AH671,24,FALSE)-AVERAGE('The List'!Y2:Y671))/STDEV('The List'!Y2:Y671)</f>
        <v>-0.55688653282323775</v>
      </c>
      <c r="M141" s="55" cm="1">
        <f t="array" ref="M141">(VLOOKUP($A141,'The List'!$B1:$AH671,25,FALSE)-AVERAGE('The List'!Z2:Z671))/STDEV('The List'!Z2:Z671)</f>
        <v>-0.69846908655214157</v>
      </c>
      <c r="N141" s="55" cm="1">
        <f t="array" ref="N141">(VLOOKUP($A141,'The List'!$B1:$AH671,26,FALSE)-AVERAGE('The List'!AA2:AA671))/STDEV('The List'!AA2:AA671)</f>
        <v>-0.70817251873062415</v>
      </c>
      <c r="O141" s="55" cm="1">
        <f t="array" ref="O141">(VLOOKUP($A141,'The List'!$B1:$AH671,27,FALSE)-AVERAGE('The List'!AB2:AB671))/STDEV('The List'!AB2:AB671)</f>
        <v>-1.1358930671661209</v>
      </c>
      <c r="P141" s="55" cm="1">
        <f t="array" ref="P141">(VLOOKUP($A141,'The List'!$B1:$AH671,28,FALSE)-AVERAGE('The List'!AC2:AC671))/STDEV('The List'!AC2:AC671)</f>
        <v>-0.10205585355754163</v>
      </c>
      <c r="Q141" s="55" cm="1">
        <f t="array" ref="Q141">(VLOOKUP($A141,'The List'!$B1:$AH671,29,FALSE)-AVERAGE('The List'!AD2:AD671))/STDEV('The List'!AD2:AD671)</f>
        <v>-0.52826293933593416</v>
      </c>
      <c r="R141" s="55" cm="1">
        <f t="array" ref="R141">(VLOOKUP($A141,'The List'!$B1:$AH671,30,FALSE)-AVERAGE('The List'!AE2:AE671))/STDEV('The List'!AE2:AE671)</f>
        <v>0.10586643412051522</v>
      </c>
      <c r="S141" s="55" cm="1">
        <f t="array" ref="S141">(VLOOKUP($A141,'The List'!$B1:$AH671,31,FALSE)-AVERAGE('The List'!AF2:AF671))/STDEV('The List'!AF2:AF671)</f>
        <v>-0.47006961681047205</v>
      </c>
      <c r="T141" s="55" cm="1">
        <f t="array" ref="T141">(VLOOKUP($A141,'The List'!$B1:$AH671,32,FALSE)-AVERAGE('The List'!AG2:AG671))/STDEV('The List'!AG2:AG671)</f>
        <v>-0.46238579991967671</v>
      </c>
      <c r="U141" s="55" cm="1">
        <f t="array" ref="U141">(VLOOKUP($A141,'The List'!$B1:$AH671,33,FALSE)-AVERAGE('The List'!AH2:AH671))/STDEV('The List'!AH2:AH671)</f>
        <v>0.66709333206473809</v>
      </c>
      <c r="V141" s="55"/>
      <c r="W141" s="57"/>
      <c r="X141" s="57"/>
      <c r="Y141" s="57"/>
      <c r="Z141" s="57"/>
      <c r="AA141" s="57"/>
      <c r="AB141" s="57"/>
      <c r="AC141" s="60"/>
      <c r="AD141" s="61"/>
      <c r="AE141" s="55"/>
    </row>
    <row r="142" spans="1:31" ht="21.25" customHeight="1" x14ac:dyDescent="0.15">
      <c r="A142" s="10" t="s">
        <v>359</v>
      </c>
      <c r="B142" s="18" t="str" cm="1">
        <f t="array" ref="B142">VLOOKUP(A142,'Player Data'!A1:B673,2,FALSE)</f>
        <v>WSH</v>
      </c>
      <c r="C142" s="52" cm="1">
        <f t="array" ref="C142">((E142)*Settings!$C$12)+(F142*Settings!$C$2)+(G142*Settings!$C$3)+(H142*Settings!$C$4)+(I142*Settings!$C$5)+(K142*Settings!$C$9)+(N142*Settings!$C$6)+(J142*Settings!$C$8)+(O142*Settings!$C$7)+(P142*Settings!$C$14)+(Q142*Settings!$C$15)+(R142*Settings!$C$16)+(S142*Settings!$C$17)+(T142*Settings!$C$18)+(U142*Settings!$C$19)+(L142*Settings!$C$10)+(Settings!$C$11*M142)</f>
        <v>2.1913543316758974</v>
      </c>
      <c r="D142" s="57" cm="1">
        <f t="array" ref="D142">IF(Settings!$E$12="YES",VLOOKUP(A142,'Player Data'!A1:E673,5,FALSE),82)</f>
        <v>81.392499999999998</v>
      </c>
      <c r="E142" s="55" cm="1">
        <f t="array" ref="E142">(VLOOKUP($A142,'The List'!$B1:$AH671,17,FALSE)-AVERAGE('The List'!R2:R671))/STDEV('The List'!R2:R671)</f>
        <v>-0.51286162140651625</v>
      </c>
      <c r="F142" s="55" cm="1">
        <f t="array" ref="F142">(VLOOKUP($A142,'The List'!$B1:$AH671,18,FALSE)-AVERAGE('The List'!S2:S671))/STDEV('The List'!S2:S671)</f>
        <v>1.4280310244837824</v>
      </c>
      <c r="G142" s="55" cm="1">
        <f t="array" ref="G142">(VLOOKUP($A142,'The List'!$B1:$AH671,19,FALSE)-AVERAGE('The List'!T2:T671))/STDEV('The List'!T2:T671)</f>
        <v>5.6137013100039199E-2</v>
      </c>
      <c r="H142" s="55" cm="1">
        <f t="array" ref="H142">(VLOOKUP($A142,'The List'!$B1:$AH671,20,FALSE)-AVERAGE('The List'!U2:U671))/STDEV('The List'!U2:U671)</f>
        <v>0.66889618608354573</v>
      </c>
      <c r="I142" s="55" cm="1">
        <f t="array" ref="I142">(VLOOKUP($A142,'The List'!$B1:$AH671,21,FALSE)-AVERAGE('The List'!V2:V671))/STDEV('The List'!V2:V671)</f>
        <v>1.2876245165042366</v>
      </c>
      <c r="J142" s="55" cm="1">
        <f t="array" ref="J142">(VLOOKUP($A142,'The List'!$B1:$AH671,22,FALSE)-AVERAGE('The List'!W2:W671))/STDEV('The List'!W2:W671)</f>
        <v>0.87542561204482727</v>
      </c>
      <c r="K142" s="55" cm="1">
        <f t="array" ref="K142">(VLOOKUP($A142,'The List'!$B1:$AH671,23,FALSE)-AVERAGE('The List'!X2:X671))/STDEV('The List'!X2:X671)</f>
        <v>0.60208924282176357</v>
      </c>
      <c r="L142" s="55" cm="1">
        <f t="array" ref="L142">(VLOOKUP($A142,'The List'!$B1:$AH671,24,FALSE)-AVERAGE('The List'!Y2:Y671))/STDEV('The List'!Y2:Y671)</f>
        <v>-0.56084229846135059</v>
      </c>
      <c r="M142" s="55" cm="1">
        <f t="array" ref="M142">(VLOOKUP($A142,'The List'!$B1:$AH671,25,FALSE)-AVERAGE('The List'!Z2:Z671))/STDEV('The List'!Z2:Z671)</f>
        <v>-0.70288529353831708</v>
      </c>
      <c r="N142" s="55" cm="1">
        <f t="array" ref="N142">(VLOOKUP($A142,'The List'!$B1:$AH671,26,FALSE)-AVERAGE('The List'!AA2:AA671))/STDEV('The List'!AA2:AA671)</f>
        <v>-1.1750226798597989</v>
      </c>
      <c r="O142" s="55" cm="1">
        <f t="array" ref="O142">(VLOOKUP($A142,'The List'!$B1:$AH671,27,FALSE)-AVERAGE('The List'!AB2:AB671))/STDEV('The List'!AB2:AB671)</f>
        <v>0.62893532035460831</v>
      </c>
      <c r="P142" s="55" cm="1">
        <f t="array" ref="P142">(VLOOKUP($A142,'The List'!$B1:$AH671,28,FALSE)-AVERAGE('The List'!AC2:AC671))/STDEV('The List'!AC2:AC671)</f>
        <v>0.85101628869619905</v>
      </c>
      <c r="Q142" s="55" cm="1">
        <f t="array" ref="Q142">(VLOOKUP($A142,'The List'!$B1:$AH671,29,FALSE)-AVERAGE('The List'!AD2:AD671))/STDEV('The List'!AD2:AD671)</f>
        <v>-0.85852107407032408</v>
      </c>
      <c r="R142" s="55" cm="1">
        <f t="array" ref="R142">(VLOOKUP($A142,'The List'!$B1:$AH671,30,FALSE)-AVERAGE('The List'!AE2:AE671))/STDEV('The List'!AE2:AE671)</f>
        <v>1.28673655482338</v>
      </c>
      <c r="S142" s="55" cm="1">
        <f t="array" ref="S142">(VLOOKUP($A142,'The List'!$B1:$AH671,31,FALSE)-AVERAGE('The List'!AF2:AF671))/STDEV('The List'!AF2:AF671)</f>
        <v>-0.59090715272974048</v>
      </c>
      <c r="T142" s="55" cm="1">
        <f t="array" ref="T142">(VLOOKUP($A142,'The List'!$B1:$AH671,32,FALSE)-AVERAGE('The List'!AG2:AG671))/STDEV('The List'!AG2:AG671)</f>
        <v>-0.63433421511300592</v>
      </c>
      <c r="U142" s="55" cm="1">
        <f t="array" ref="U142">(VLOOKUP($A142,'The List'!$B1:$AH671,33,FALSE)-AVERAGE('The List'!AH2:AH671))/STDEV('The List'!AH2:AH671)</f>
        <v>-0.25215265128505132</v>
      </c>
      <c r="V142" s="55"/>
      <c r="W142" s="78"/>
      <c r="X142" s="57"/>
      <c r="Y142" s="57"/>
      <c r="Z142" s="57"/>
      <c r="AA142" s="57"/>
      <c r="AB142" s="57"/>
      <c r="AC142" s="60"/>
      <c r="AD142" s="61"/>
      <c r="AE142" s="55"/>
    </row>
    <row r="143" spans="1:31" ht="21.25" customHeight="1" x14ac:dyDescent="0.15">
      <c r="A143" s="10" t="s">
        <v>277</v>
      </c>
      <c r="B143" s="18" t="str" cm="1">
        <f t="array" ref="B143">VLOOKUP(A143,'Player Data'!A1:B673,2,FALSE)</f>
        <v>N.J</v>
      </c>
      <c r="C143" s="52" cm="1">
        <f t="array" ref="C143">((E143)*Settings!$C$12)+(F143*Settings!$C$2)+(G143*Settings!$C$3)+(H143*Settings!$C$4)+(I143*Settings!$C$5)+(K143*Settings!$C$9)+(N143*Settings!$C$6)+(J143*Settings!$C$8)+(O143*Settings!$C$7)+(P143*Settings!$C$14)+(Q143*Settings!$C$15)+(R143*Settings!$C$16)+(S143*Settings!$C$17)+(T143*Settings!$C$18)+(U143*Settings!$C$19)+(L143*Settings!$C$10)+(Settings!$C$11*M143)</f>
        <v>4.1195107659796628</v>
      </c>
      <c r="D143" s="57" cm="1">
        <f t="array" ref="D143">IF(Settings!$E$12="YES",VLOOKUP(A143,'Player Data'!A1:E673,5,FALSE),82)</f>
        <v>81.567499999999995</v>
      </c>
      <c r="E143" s="55" cm="1">
        <f t="array" ref="E143">(VLOOKUP($A143,'The List'!$B1:$AH671,17,FALSE)-AVERAGE('The List'!R2:R671))/STDEV('The List'!R2:R671)</f>
        <v>0.20214417077688682</v>
      </c>
      <c r="F143" s="55" cm="1">
        <f t="array" ref="F143">(VLOOKUP($A143,'The List'!$B1:$AH671,18,FALSE)-AVERAGE('The List'!S2:S671))/STDEV('The List'!S2:S671)</f>
        <v>1.3088775189758313</v>
      </c>
      <c r="G143" s="55" cm="1">
        <f t="array" ref="G143">(VLOOKUP($A143,'The List'!$B1:$AH671,19,FALSE)-AVERAGE('The List'!T2:T671))/STDEV('The List'!T2:T671)</f>
        <v>0.14185432955044455</v>
      </c>
      <c r="H143" s="55" cm="1">
        <f t="array" ref="H143">(VLOOKUP($A143,'The List'!$B1:$AH671,20,FALSE)-AVERAGE('The List'!U2:U671))/STDEV('The List'!U2:U671)</f>
        <v>0.66994610728195347</v>
      </c>
      <c r="I143" s="55" cm="1">
        <f t="array" ref="I143">(VLOOKUP($A143,'The List'!$B1:$AH671,21,FALSE)-AVERAGE('The List'!V2:V671))/STDEV('The List'!V2:V671)</f>
        <v>2.2426629848918291</v>
      </c>
      <c r="J143" s="55" cm="1">
        <f t="array" ref="J143">(VLOOKUP($A143,'The List'!$B1:$AH671,22,FALSE)-AVERAGE('The List'!W2:W671))/STDEV('The List'!W2:W671)</f>
        <v>1.637921121501019</v>
      </c>
      <c r="K143" s="55" cm="1">
        <f t="array" ref="K143">(VLOOKUP($A143,'The List'!$B1:$AH671,23,FALSE)-AVERAGE('The List'!X2:X671))/STDEV('The List'!X2:X671)</f>
        <v>0.74766262562729202</v>
      </c>
      <c r="L143" s="55" cm="1">
        <f t="array" ref="L143">(VLOOKUP($A143,'The List'!$B1:$AH671,24,FALSE)-AVERAGE('The List'!Y2:Y671))/STDEV('The List'!Y2:Y671)</f>
        <v>-0.49545421960630442</v>
      </c>
      <c r="M143" s="55" cm="1">
        <f t="array" ref="M143">(VLOOKUP($A143,'The List'!$B1:$AH671,25,FALSE)-AVERAGE('The List'!Z2:Z671))/STDEV('The List'!Z2:Z671)</f>
        <v>-0.63910069493054222</v>
      </c>
      <c r="N143" s="55" cm="1">
        <f t="array" ref="N143">(VLOOKUP($A143,'The List'!$B1:$AH671,26,FALSE)-AVERAGE('The List'!AA2:AA671))/STDEV('The List'!AA2:AA671)</f>
        <v>-0.27653088035986995</v>
      </c>
      <c r="O143" s="55" cm="1">
        <f t="array" ref="O143">(VLOOKUP($A143,'The List'!$B1:$AH671,27,FALSE)-AVERAGE('The List'!AB2:AB671))/STDEV('The List'!AB2:AB671)</f>
        <v>0.75677952288756745</v>
      </c>
      <c r="P143" s="55" cm="1">
        <f t="array" ref="P143">(VLOOKUP($A143,'The List'!$B1:$AH671,28,FALSE)-AVERAGE('The List'!AC2:AC671))/STDEV('The List'!AC2:AC671)</f>
        <v>-3.9690755815975018E-2</v>
      </c>
      <c r="Q143" s="55" cm="1">
        <f t="array" ref="Q143">(VLOOKUP($A143,'The List'!$B1:$AH671,29,FALSE)-AVERAGE('The List'!AD2:AD671))/STDEV('The List'!AD2:AD671)</f>
        <v>-5.3250568898896957E-3</v>
      </c>
      <c r="R143" s="55" cm="1">
        <f t="array" ref="R143">(VLOOKUP($A143,'The List'!$B1:$AH671,30,FALSE)-AVERAGE('The List'!AE2:AE671))/STDEV('The List'!AE2:AE671)</f>
        <v>1.1701351748012014</v>
      </c>
      <c r="S143" s="55" cm="1">
        <f t="array" ref="S143">(VLOOKUP($A143,'The List'!$B1:$AH671,31,FALSE)-AVERAGE('The List'!AF2:AF671))/STDEV('The List'!AF2:AF671)</f>
        <v>-0.38266593071867699</v>
      </c>
      <c r="T143" s="55" cm="1">
        <f t="array" ref="T143">(VLOOKUP($A143,'The List'!$B1:$AH671,32,FALSE)-AVERAGE('The List'!AG2:AG671))/STDEV('The List'!AG2:AG671)</f>
        <v>-0.32458377506669445</v>
      </c>
      <c r="U143" s="55" cm="1">
        <f t="array" ref="U143">(VLOOKUP($A143,'The List'!$B1:$AH671,33,FALSE)-AVERAGE('The List'!AH2:AH671))/STDEV('The List'!AH2:AH671)</f>
        <v>0.63805034160518881</v>
      </c>
      <c r="V143" s="55"/>
      <c r="W143" s="78"/>
      <c r="X143" s="57"/>
      <c r="Y143" s="57"/>
      <c r="Z143" s="57"/>
      <c r="AA143" s="57"/>
      <c r="AB143" s="57"/>
      <c r="AC143" s="60"/>
      <c r="AD143" s="61"/>
      <c r="AE143" s="55"/>
    </row>
    <row r="144" spans="1:31" ht="21.25" customHeight="1" x14ac:dyDescent="0.15">
      <c r="A144" s="10" t="s">
        <v>189</v>
      </c>
      <c r="B144" s="18" t="str" cm="1">
        <f t="array" ref="B144">VLOOKUP(A144,'Player Data'!A1:B673,2,FALSE)</f>
        <v>PIT</v>
      </c>
      <c r="C144" s="52" cm="1">
        <f t="array" ref="C144">((E144)*Settings!$C$12)+(F144*Settings!$C$2)+(G144*Settings!$C$3)+(H144*Settings!$C$4)+(I144*Settings!$C$5)+(K144*Settings!$C$9)+(N144*Settings!$C$6)+(J144*Settings!$C$8)+(O144*Settings!$C$7)+(P144*Settings!$C$14)+(Q144*Settings!$C$15)+(R144*Settings!$C$16)+(S144*Settings!$C$17)+(T144*Settings!$C$18)+(U144*Settings!$C$19)+(L144*Settings!$C$10)+(Settings!$C$11*M144)</f>
        <v>4.0927551794873684</v>
      </c>
      <c r="D144" s="57" cm="1">
        <f t="array" ref="D144">IF(Settings!$E$12="YES",VLOOKUP(A144,'Player Data'!A1:E673,5,FALSE),82)</f>
        <v>82.787499999999994</v>
      </c>
      <c r="E144" s="55" cm="1">
        <f t="array" ref="E144">(VLOOKUP($A144,'The List'!$B1:$AH671,17,FALSE)-AVERAGE('The List'!R2:R671))/STDEV('The List'!R2:R671)</f>
        <v>1.8519137130153986</v>
      </c>
      <c r="F144" s="55" cm="1">
        <f t="array" ref="F144">(VLOOKUP($A144,'The List'!$B1:$AH671,18,FALSE)-AVERAGE('The List'!S2:S671))/STDEV('The List'!S2:S671)</f>
        <v>-0.48588119912910765</v>
      </c>
      <c r="G144" s="55" cm="1">
        <f t="array" ref="G144">(VLOOKUP($A144,'The List'!$B1:$AH671,19,FALSE)-AVERAGE('The List'!T2:T671))/STDEV('The List'!T2:T671)</f>
        <v>1.4552185564581235</v>
      </c>
      <c r="H144" s="55" cm="1">
        <f t="array" ref="H144">(VLOOKUP($A144,'The List'!$B1:$AH671,20,FALSE)-AVERAGE('The List'!U2:U671))/STDEV('The List'!U2:U671)</f>
        <v>0.6997498724502188</v>
      </c>
      <c r="I144" s="55" cm="1">
        <f t="array" ref="I144">(VLOOKUP($A144,'The List'!$B1:$AH671,21,FALSE)-AVERAGE('The List'!V2:V671))/STDEV('The List'!V2:V671)</f>
        <v>0.93332962584716117</v>
      </c>
      <c r="J144" s="55" cm="1">
        <f t="array" ref="J144">(VLOOKUP($A144,'The List'!$B1:$AH671,22,FALSE)-AVERAGE('The List'!W2:W671))/STDEV('The List'!W2:W671)</f>
        <v>-0.16799339353388285</v>
      </c>
      <c r="K144" s="55" cm="1">
        <f t="array" ref="K144">(VLOOKUP($A144,'The List'!$B1:$AH671,23,FALSE)-AVERAGE('The List'!X2:X671))/STDEV('The List'!X2:X671)</f>
        <v>1.2438190257219819</v>
      </c>
      <c r="L144" s="55" cm="1">
        <f t="array" ref="L144">(VLOOKUP($A144,'The List'!$B1:$AH671,24,FALSE)-AVERAGE('The List'!Y2:Y671))/STDEV('The List'!Y2:Y671)</f>
        <v>-0.52008270957501967</v>
      </c>
      <c r="M144" s="55" cm="1">
        <f t="array" ref="M144">(VLOOKUP($A144,'The List'!$B1:$AH671,25,FALSE)-AVERAGE('The List'!Z2:Z671))/STDEV('The List'!Z2:Z671)</f>
        <v>-0.52715760788104105</v>
      </c>
      <c r="N144" s="55" cm="1">
        <f t="array" ref="N144">(VLOOKUP($A144,'The List'!$B1:$AH671,26,FALSE)-AVERAGE('The List'!AA2:AA671))/STDEV('The List'!AA2:AA671)</f>
        <v>0.73645526810617334</v>
      </c>
      <c r="O144" s="55" cm="1">
        <f t="array" ref="O144">(VLOOKUP($A144,'The List'!$B1:$AH671,27,FALSE)-AVERAGE('The List'!AB2:AB671))/STDEV('The List'!AB2:AB671)</f>
        <v>-0.9839489765241678</v>
      </c>
      <c r="P144" s="55" cm="1">
        <f t="array" ref="P144">(VLOOKUP($A144,'The List'!$B1:$AH671,28,FALSE)-AVERAGE('The List'!AC2:AC671))/STDEV('The List'!AC2:AC671)</f>
        <v>0.22033240922837438</v>
      </c>
      <c r="Q144" s="55" cm="1">
        <f t="array" ref="Q144">(VLOOKUP($A144,'The List'!$B1:$AH671,29,FALSE)-AVERAGE('The List'!AD2:AD671))/STDEV('The List'!AD2:AD671)</f>
        <v>-1.0518506745337946E-2</v>
      </c>
      <c r="R144" s="55" cm="1">
        <f t="array" ref="R144">(VLOOKUP($A144,'The List'!$B1:$AH671,30,FALSE)-AVERAGE('The List'!AE2:AE671))/STDEV('The List'!AE2:AE671)</f>
        <v>-0.53099221685988873</v>
      </c>
      <c r="S144" s="55" cm="1">
        <f t="array" ref="S144">(VLOOKUP($A144,'The List'!$B1:$AH671,31,FALSE)-AVERAGE('The List'!AF2:AF671))/STDEV('The List'!AF2:AF671)</f>
        <v>-0.5939690971349143</v>
      </c>
      <c r="T144" s="55" cm="1">
        <f t="array" ref="T144">(VLOOKUP($A144,'The List'!$B1:$AH671,32,FALSE)-AVERAGE('The List'!AG2:AG671))/STDEV('The List'!AG2:AG671)</f>
        <v>-0.64602193229214244</v>
      </c>
      <c r="U144" s="55" cm="1">
        <f t="array" ref="U144">(VLOOKUP($A144,'The List'!$B1:$AH671,33,FALSE)-AVERAGE('The List'!AH2:AH671))/STDEV('The List'!AH2:AH671)</f>
        <v>-1.2548938914719048</v>
      </c>
      <c r="V144" s="55"/>
      <c r="W144" s="78"/>
      <c r="X144" s="57"/>
      <c r="Y144" s="57"/>
      <c r="Z144" s="57"/>
      <c r="AA144" s="57"/>
      <c r="AB144" s="57"/>
      <c r="AC144" s="60"/>
      <c r="AD144" s="61"/>
      <c r="AE144" s="55"/>
    </row>
    <row r="145" spans="1:31" ht="21.25" customHeight="1" x14ac:dyDescent="0.15">
      <c r="A145" s="10" t="s">
        <v>367</v>
      </c>
      <c r="B145" s="18" t="str" cm="1">
        <f t="array" ref="B145">VLOOKUP(A145,'Player Data'!A1:B673,2,FALSE)</f>
        <v>T.B</v>
      </c>
      <c r="C145" s="52" cm="1">
        <f t="array" ref="C145">((E145)*Settings!$C$12)+(F145*Settings!$C$2)+(G145*Settings!$C$3)+(H145*Settings!$C$4)+(I145*Settings!$C$5)+(K145*Settings!$C$9)+(N145*Settings!$C$6)+(J145*Settings!$C$8)+(O145*Settings!$C$7)+(P145*Settings!$C$14)+(Q145*Settings!$C$15)+(R145*Settings!$C$16)+(S145*Settings!$C$17)+(T145*Settings!$C$18)+(U145*Settings!$C$19)+(L145*Settings!$C$10)+(Settings!$C$11*M145)</f>
        <v>3.4311733005226293</v>
      </c>
      <c r="D145" s="57" cm="1">
        <f t="array" ref="D145">IF(Settings!$E$12="YES",VLOOKUP(A145,'Player Data'!A1:E673,5,FALSE),82)</f>
        <v>81.502499999999998</v>
      </c>
      <c r="E145" s="55" cm="1">
        <f t="array" ref="E145">(VLOOKUP($A145,'The List'!$B1:$AH671,17,FALSE)-AVERAGE('The List'!R2:R671))/STDEV('The List'!R2:R671)</f>
        <v>0.14986008197303005</v>
      </c>
      <c r="F145" s="55" cm="1">
        <f t="array" ref="F145">(VLOOKUP($A145,'The List'!$B1:$AH671,18,FALSE)-AVERAGE('The List'!S2:S671))/STDEV('The List'!S2:S671)</f>
        <v>0.92082646701841653</v>
      </c>
      <c r="G145" s="55" cm="1">
        <f t="array" ref="G145">(VLOOKUP($A145,'The List'!$B1:$AH671,19,FALSE)-AVERAGE('The List'!T2:T671))/STDEV('The List'!T2:T671)</f>
        <v>0.38297420891093614</v>
      </c>
      <c r="H145" s="55" cm="1">
        <f t="array" ref="H145">(VLOOKUP($A145,'The List'!$B1:$AH671,20,FALSE)-AVERAGE('The List'!U2:U671))/STDEV('The List'!U2:U671)</f>
        <v>0.6494394283483943</v>
      </c>
      <c r="I145" s="55" cm="1">
        <f t="array" ref="I145">(VLOOKUP($A145,'The List'!$B1:$AH671,21,FALSE)-AVERAGE('The List'!V2:V671))/STDEV('The List'!V2:V671)</f>
        <v>0.28236175601792196</v>
      </c>
      <c r="J145" s="55" cm="1">
        <f t="array" ref="J145">(VLOOKUP($A145,'The List'!$B1:$AH671,22,FALSE)-AVERAGE('The List'!W2:W671))/STDEV('The List'!W2:W671)</f>
        <v>0.20773882785292497</v>
      </c>
      <c r="K145" s="55" cm="1">
        <f t="array" ref="K145">(VLOOKUP($A145,'The List'!$B1:$AH671,23,FALSE)-AVERAGE('The List'!X2:X671))/STDEV('The List'!X2:X671)</f>
        <v>-0.19650295951401706</v>
      </c>
      <c r="L145" s="55" cm="1">
        <f t="array" ref="L145">(VLOOKUP($A145,'The List'!$B1:$AH671,24,FALSE)-AVERAGE('The List'!Y2:Y671))/STDEV('The List'!Y2:Y671)</f>
        <v>3.0540665974721382</v>
      </c>
      <c r="M145" s="55" cm="1">
        <f t="array" ref="M145">(VLOOKUP($A145,'The List'!$B1:$AH671,25,FALSE)-AVERAGE('The List'!Z2:Z671))/STDEV('The List'!Z2:Z671)</f>
        <v>3.8401923791499115</v>
      </c>
      <c r="N145" s="55" cm="1">
        <f t="array" ref="N145">(VLOOKUP($A145,'The List'!$B1:$AH671,26,FALSE)-AVERAGE('The List'!AA2:AA671))/STDEV('The List'!AA2:AA671)</f>
        <v>-0.13235263900483626</v>
      </c>
      <c r="O145" s="55" cm="1">
        <f t="array" ref="O145">(VLOOKUP($A145,'The List'!$B1:$AH671,27,FALSE)-AVERAGE('The List'!AB2:AB671))/STDEV('The List'!AB2:AB671)</f>
        <v>-0.68852752725718969</v>
      </c>
      <c r="P145" s="55" cm="1">
        <f t="array" ref="P145">(VLOOKUP($A145,'The List'!$B1:$AH671,28,FALSE)-AVERAGE('The List'!AC2:AC671))/STDEV('The List'!AC2:AC671)</f>
        <v>2.0818934850714159</v>
      </c>
      <c r="Q145" s="55" cm="1">
        <f t="array" ref="Q145">(VLOOKUP($A145,'The List'!$B1:$AH671,29,FALSE)-AVERAGE('The List'!AD2:AD671))/STDEV('The List'!AD2:AD671)</f>
        <v>9.1972982022792124E-2</v>
      </c>
      <c r="R145" s="55" cm="1">
        <f t="array" ref="R145">(VLOOKUP($A145,'The List'!$B1:$AH671,30,FALSE)-AVERAGE('The List'!AE2:AE671))/STDEV('The List'!AE2:AE671)</f>
        <v>1.2093546922496532</v>
      </c>
      <c r="S145" s="55" cm="1">
        <f t="array" ref="S145">(VLOOKUP($A145,'The List'!$B1:$AH671,31,FALSE)-AVERAGE('The List'!AF2:AF671))/STDEV('The List'!AF2:AF671)</f>
        <v>2.1758667249123165</v>
      </c>
      <c r="T145" s="55" cm="1">
        <f t="array" ref="T145">(VLOOKUP($A145,'The List'!$B1:$AH671,32,FALSE)-AVERAGE('The List'!AG2:AG671))/STDEV('The List'!AG2:AG671)</f>
        <v>2.4021305385129628</v>
      </c>
      <c r="U145" s="55" cm="1">
        <f t="array" ref="U145">(VLOOKUP($A145,'The List'!$B1:$AH671,33,FALSE)-AVERAGE('The List'!AH2:AH671))/STDEV('The List'!AH2:AH671)</f>
        <v>1.0058443742921814</v>
      </c>
      <c r="V145" s="55"/>
      <c r="W145" s="57"/>
      <c r="X145" s="55"/>
      <c r="Y145" s="55"/>
      <c r="Z145" s="55"/>
      <c r="AA145" s="55"/>
      <c r="AB145" s="55"/>
      <c r="AC145" s="55"/>
      <c r="AD145" s="55"/>
      <c r="AE145" s="55"/>
    </row>
    <row r="146" spans="1:31" ht="21.25" customHeight="1" x14ac:dyDescent="0.15">
      <c r="A146" s="10" t="s">
        <v>242</v>
      </c>
      <c r="B146" s="18" t="str" cm="1">
        <f t="array" ref="B146">VLOOKUP(A146,'Player Data'!A1:B673,2,FALSE)</f>
        <v>WSH</v>
      </c>
      <c r="C146" s="52" cm="1">
        <f t="array" ref="C146">((E146)*Settings!$C$12)+(F146*Settings!$C$2)+(G146*Settings!$C$3)+(H146*Settings!$C$4)+(I146*Settings!$C$5)+(K146*Settings!$C$9)+(N146*Settings!$C$6)+(J146*Settings!$C$8)+(O146*Settings!$C$7)+(P146*Settings!$C$14)+(Q146*Settings!$C$15)+(R146*Settings!$C$16)+(S146*Settings!$C$17)+(T146*Settings!$C$18)+(U146*Settings!$C$19)+(L146*Settings!$C$10)+(Settings!$C$11*M146)</f>
        <v>3.2441186593239477</v>
      </c>
      <c r="D146" s="57" cm="1">
        <f t="array" ref="D146">IF(Settings!$E$12="YES",VLOOKUP(A146,'Player Data'!A1:E673,5,FALSE),82)</f>
        <v>74</v>
      </c>
      <c r="E146" s="55" cm="1">
        <f t="array" ref="E146">(VLOOKUP($A146,'The List'!$B1:$AH671,17,FALSE)-AVERAGE('The List'!R2:R671))/STDEV('The List'!R2:R671)</f>
        <v>0.59589976592987837</v>
      </c>
      <c r="F146" s="55" cm="1">
        <f t="array" ref="F146">(VLOOKUP($A146,'The List'!$B1:$AH671,18,FALSE)-AVERAGE('The List'!S2:S671))/STDEV('The List'!S2:S671)</f>
        <v>-0.2645557581049825</v>
      </c>
      <c r="G146" s="55" cm="1">
        <f t="array" ref="G146">(VLOOKUP($A146,'The List'!$B1:$AH671,19,FALSE)-AVERAGE('The List'!T2:T671))/STDEV('The List'!T2:T671)</f>
        <v>0.87760618796670475</v>
      </c>
      <c r="H146" s="55" cm="1">
        <f t="array" ref="H146">(VLOOKUP($A146,'The List'!$B1:$AH671,20,FALSE)-AVERAGE('The List'!U2:U671))/STDEV('The List'!U2:U671)</f>
        <v>0.43463202508290277</v>
      </c>
      <c r="I146" s="55" cm="1">
        <f t="array" ref="I146">(VLOOKUP($A146,'The List'!$B1:$AH671,21,FALSE)-AVERAGE('The List'!V2:V671))/STDEV('The List'!V2:V671)</f>
        <v>-0.23488446509803707</v>
      </c>
      <c r="J146" s="55" cm="1">
        <f t="array" ref="J146">(VLOOKUP($A146,'The List'!$B1:$AH671,22,FALSE)-AVERAGE('The List'!W2:W671))/STDEV('The List'!W2:W671)</f>
        <v>-0.22803293822915133</v>
      </c>
      <c r="K146" s="55" cm="1">
        <f t="array" ref="K146">(VLOOKUP($A146,'The List'!$B1:$AH671,23,FALSE)-AVERAGE('The List'!X2:X671))/STDEV('The List'!X2:X671)</f>
        <v>1.6105883430743295</v>
      </c>
      <c r="L146" s="55" cm="1">
        <f t="array" ref="L146">(VLOOKUP($A146,'The List'!$B1:$AH671,24,FALSE)-AVERAGE('The List'!Y2:Y671))/STDEV('The List'!Y2:Y671)</f>
        <v>-0.55969635262584849</v>
      </c>
      <c r="M146" s="55" cm="1">
        <f t="array" ref="M146">(VLOOKUP($A146,'The List'!$B1:$AH671,25,FALSE)-AVERAGE('The List'!Z2:Z671))/STDEV('The List'!Z2:Z671)</f>
        <v>-0.69626512249172956</v>
      </c>
      <c r="N146" s="55" cm="1">
        <f t="array" ref="N146">(VLOOKUP($A146,'The List'!$B1:$AH671,26,FALSE)-AVERAGE('The List'!AA2:AA671))/STDEV('The List'!AA2:AA671)</f>
        <v>0.31575670500204966</v>
      </c>
      <c r="O146" s="55" cm="1">
        <f t="array" ref="O146">(VLOOKUP($A146,'The List'!$B1:$AH671,27,FALSE)-AVERAGE('The List'!AB2:AB671))/STDEV('The List'!AB2:AB671)</f>
        <v>5.9705408036214262E-2</v>
      </c>
      <c r="P146" s="55" cm="1">
        <f t="array" ref="P146">(VLOOKUP($A146,'The List'!$B1:$AH671,28,FALSE)-AVERAGE('The List'!AC2:AC671))/STDEV('The List'!AC2:AC671)</f>
        <v>0.51608174831284492</v>
      </c>
      <c r="Q146" s="55" cm="1">
        <f t="array" ref="Q146">(VLOOKUP($A146,'The List'!$B1:$AH671,29,FALSE)-AVERAGE('The List'!AD2:AD671))/STDEV('The List'!AD2:AD671)</f>
        <v>0.42352589817103836</v>
      </c>
      <c r="R146" s="55" cm="1">
        <f t="array" ref="R146">(VLOOKUP($A146,'The List'!$B1:$AH671,30,FALSE)-AVERAGE('The List'!AE2:AE671))/STDEV('The List'!AE2:AE671)</f>
        <v>-0.29739292482251922</v>
      </c>
      <c r="S146" s="55" cm="1">
        <f t="array" ref="S146">(VLOOKUP($A146,'The List'!$B1:$AH671,31,FALSE)-AVERAGE('The List'!AF2:AF671))/STDEV('The List'!AF2:AF671)</f>
        <v>-0.5939690971349143</v>
      </c>
      <c r="T146" s="55" cm="1">
        <f t="array" ref="T146">(VLOOKUP($A146,'The List'!$B1:$AH671,32,FALSE)-AVERAGE('The List'!AG2:AG671))/STDEV('The List'!AG2:AG671)</f>
        <v>-0.64602208138248207</v>
      </c>
      <c r="U146" s="55" cm="1">
        <f t="array" ref="U146">(VLOOKUP($A146,'The List'!$B1:$AH671,33,FALSE)-AVERAGE('The List'!AH2:AH671))/STDEV('The List'!AH2:AH671)</f>
        <v>-1.2548938914719048</v>
      </c>
      <c r="V146" s="55"/>
      <c r="W146" s="57"/>
      <c r="X146" s="55"/>
      <c r="Y146" s="55"/>
      <c r="Z146" s="55"/>
      <c r="AA146" s="55"/>
      <c r="AB146" s="55"/>
      <c r="AC146" s="55"/>
      <c r="AD146" s="55"/>
      <c r="AE146" s="55"/>
    </row>
    <row r="147" spans="1:31" ht="21.25" customHeight="1" x14ac:dyDescent="0.15">
      <c r="A147" s="10" t="s">
        <v>454</v>
      </c>
      <c r="B147" s="18" t="str" cm="1">
        <f t="array" ref="B147">VLOOKUP(A147,'Player Data'!A1:B673,2,FALSE)</f>
        <v>S.J</v>
      </c>
      <c r="C147" s="52" cm="1">
        <f t="array" ref="C147">((E147)*Settings!$C$12)+(F147*Settings!$C$2)+(G147*Settings!$C$3)+(H147*Settings!$C$4)+(I147*Settings!$C$5)+(K147*Settings!$C$9)+(N147*Settings!$C$6)+(J147*Settings!$C$8)+(O147*Settings!$C$7)+(P147*Settings!$C$14)+(Q147*Settings!$C$15)+(R147*Settings!$C$16)+(S147*Settings!$C$17)+(T147*Settings!$C$18)+(U147*Settings!$C$19)+(L147*Settings!$C$10)+(Settings!$C$11*M147)</f>
        <v>2.0135471327664427</v>
      </c>
      <c r="D147" s="57" cm="1">
        <f t="array" ref="D147">IF(Settings!$E$12="YES",VLOOKUP(A147,'Player Data'!A1:E673,5,FALSE),82)</f>
        <v>78.694999999999993</v>
      </c>
      <c r="E147" s="55" cm="1">
        <f t="array" ref="E147">(VLOOKUP($A147,'The List'!$B1:$AH671,17,FALSE)-AVERAGE('The List'!R2:R671))/STDEV('The List'!R2:R671)</f>
        <v>-0.16931692398457468</v>
      </c>
      <c r="F147" s="55" cm="1">
        <f t="array" ref="F147">(VLOOKUP($A147,'The List'!$B1:$AH671,18,FALSE)-AVERAGE('The List'!S2:S671))/STDEV('The List'!S2:S671)</f>
        <v>0.7593476044020524</v>
      </c>
      <c r="G147" s="55" cm="1">
        <f t="array" ref="G147">(VLOOKUP($A147,'The List'!$B1:$AH671,19,FALSE)-AVERAGE('The List'!T2:T671))/STDEV('The List'!T2:T671)</f>
        <v>0.36479072283746633</v>
      </c>
      <c r="H147" s="55" cm="1">
        <f t="array" ref="H147">(VLOOKUP($A147,'The List'!$B1:$AH671,20,FALSE)-AVERAGE('The List'!U2:U671))/STDEV('The List'!U2:U671)</f>
        <v>0.5663574529437615</v>
      </c>
      <c r="I147" s="55" cm="1">
        <f t="array" ref="I147">(VLOOKUP($A147,'The List'!$B1:$AH671,21,FALSE)-AVERAGE('The List'!V2:V671))/STDEV('The List'!V2:V671)</f>
        <v>0.2416293088580288</v>
      </c>
      <c r="J147" s="55" cm="1">
        <f t="array" ref="J147">(VLOOKUP($A147,'The List'!$B1:$AH671,22,FALSE)-AVERAGE('The List'!W2:W671))/STDEV('The List'!W2:W671)</f>
        <v>0.41893564500097696</v>
      </c>
      <c r="K147" s="55" cm="1">
        <f t="array" ref="K147">(VLOOKUP($A147,'The List'!$B1:$AH671,23,FALSE)-AVERAGE('The List'!X2:X671))/STDEV('The List'!X2:X671)</f>
        <v>0.12253980900644763</v>
      </c>
      <c r="L147" s="55" cm="1">
        <f t="array" ref="L147">(VLOOKUP($A147,'The List'!$B1:$AH671,24,FALSE)-AVERAGE('The List'!Y2:Y671))/STDEV('The List'!Y2:Y671)</f>
        <v>-0.51993844434657366</v>
      </c>
      <c r="M147" s="55" cm="1">
        <f t="array" ref="M147">(VLOOKUP($A147,'The List'!$B1:$AH671,25,FALSE)-AVERAGE('The List'!Z2:Z671))/STDEV('The List'!Z2:Z671)</f>
        <v>-0.6622298541982129</v>
      </c>
      <c r="N147" s="55" cm="1">
        <f t="array" ref="N147">(VLOOKUP($A147,'The List'!$B1:$AH671,26,FALSE)-AVERAGE('The List'!AA2:AA671))/STDEV('The List'!AA2:AA671)</f>
        <v>-0.81769259535792649</v>
      </c>
      <c r="O147" s="55" cm="1">
        <f t="array" ref="O147">(VLOOKUP($A147,'The List'!$B1:$AH671,27,FALSE)-AVERAGE('The List'!AB2:AB671))/STDEV('The List'!AB2:AB671)</f>
        <v>0.16650392113921866</v>
      </c>
      <c r="P147" s="55" cm="1">
        <f t="array" ref="P147">(VLOOKUP($A147,'The List'!$B1:$AH671,28,FALSE)-AVERAGE('The List'!AC2:AC671))/STDEV('The List'!AC2:AC671)</f>
        <v>-3.1482058512284854E-2</v>
      </c>
      <c r="Q147" s="55" cm="1">
        <f t="array" ref="Q147">(VLOOKUP($A147,'The List'!$B1:$AH671,29,FALSE)-AVERAGE('The List'!AD2:AD671))/STDEV('The List'!AD2:AD671)</f>
        <v>1.3744143415326591</v>
      </c>
      <c r="R147" s="55" cm="1">
        <f t="array" ref="R147">(VLOOKUP($A147,'The List'!$B1:$AH671,30,FALSE)-AVERAGE('The List'!AE2:AE671))/STDEV('The List'!AE2:AE671)</f>
        <v>0.52856357974082491</v>
      </c>
      <c r="S147" s="55" cm="1">
        <f t="array" ref="S147">(VLOOKUP($A147,'The List'!$B1:$AH671,31,FALSE)-AVERAGE('The List'!AF2:AF671))/STDEV('The List'!AF2:AF671)</f>
        <v>-0.51796633346348731</v>
      </c>
      <c r="T147" s="55" cm="1">
        <f t="array" ref="T147">(VLOOKUP($A147,'The List'!$B1:$AH671,32,FALSE)-AVERAGE('The List'!AG2:AG671))/STDEV('The List'!AG2:AG671)</f>
        <v>-0.53263409613957802</v>
      </c>
      <c r="U147" s="55" cm="1">
        <f t="array" ref="U147">(VLOOKUP($A147,'The List'!$B1:$AH671,33,FALSE)-AVERAGE('The List'!AH2:AH671))/STDEV('The List'!AH2:AH671)</f>
        <v>0.65976145145921106</v>
      </c>
      <c r="V147" s="55"/>
      <c r="W147" s="78"/>
      <c r="X147" s="57"/>
      <c r="Y147" s="57"/>
      <c r="Z147" s="57"/>
      <c r="AA147" s="57"/>
      <c r="AB147" s="57"/>
      <c r="AC147" s="60"/>
      <c r="AD147" s="61"/>
      <c r="AE147" s="55"/>
    </row>
    <row r="148" spans="1:31" ht="21.25" customHeight="1" x14ac:dyDescent="0.15">
      <c r="A148" s="10" t="s">
        <v>217</v>
      </c>
      <c r="B148" s="18" t="str" cm="1">
        <f t="array" ref="B148">VLOOKUP(A148,'Player Data'!A1:B673,2,FALSE)</f>
        <v>CAR</v>
      </c>
      <c r="C148" s="52" cm="1">
        <f t="array" ref="C148">((E148)*Settings!$C$12)+(F148*Settings!$C$2)+(G148*Settings!$C$3)+(H148*Settings!$C$4)+(I148*Settings!$C$5)+(K148*Settings!$C$9)+(N148*Settings!$C$6)+(J148*Settings!$C$8)+(O148*Settings!$C$7)+(P148*Settings!$C$14)+(Q148*Settings!$C$15)+(R148*Settings!$C$16)+(S148*Settings!$C$17)+(T148*Settings!$C$18)+(U148*Settings!$C$19)+(L148*Settings!$C$10)+(Settings!$C$11*M148)</f>
        <v>4.172452258347608</v>
      </c>
      <c r="D148" s="57" cm="1">
        <f t="array" ref="D148">IF(Settings!$E$12="YES",VLOOKUP(A148,'Player Data'!A1:E673,5,FALSE),82)</f>
        <v>77.487499999999997</v>
      </c>
      <c r="E148" s="55" cm="1">
        <f t="array" ref="E148">(VLOOKUP($A148,'The List'!$B1:$AH671,17,FALSE)-AVERAGE('The List'!R2:R671))/STDEV('The List'!R2:R671)</f>
        <v>0.61865467803809604</v>
      </c>
      <c r="F148" s="55" cm="1">
        <f t="array" ref="F148">(VLOOKUP($A148,'The List'!$B1:$AH671,18,FALSE)-AVERAGE('The List'!S2:S671))/STDEV('The List'!S2:S671)</f>
        <v>-0.47205295070204234</v>
      </c>
      <c r="G148" s="55" cm="1">
        <f t="array" ref="G148">(VLOOKUP($A148,'The List'!$B1:$AH671,19,FALSE)-AVERAGE('The List'!T2:T671))/STDEV('The List'!T2:T671)</f>
        <v>1.1769611692325672</v>
      </c>
      <c r="H148" s="55" cm="1">
        <f t="array" ref="H148">(VLOOKUP($A148,'The List'!$B1:$AH671,20,FALSE)-AVERAGE('The List'!U2:U671))/STDEV('The List'!U2:U671)</f>
        <v>0.5308627376198225</v>
      </c>
      <c r="I148" s="55" cm="1">
        <f t="array" ref="I148">(VLOOKUP($A148,'The List'!$B1:$AH671,21,FALSE)-AVERAGE('The List'!V2:V671))/STDEV('The List'!V2:V671)</f>
        <v>0.22185969737593494</v>
      </c>
      <c r="J148" s="55" cm="1">
        <f t="array" ref="J148">(VLOOKUP($A148,'The List'!$B1:$AH671,22,FALSE)-AVERAGE('The List'!W2:W671))/STDEV('The List'!W2:W671)</f>
        <v>0.32703108778976636</v>
      </c>
      <c r="K148" s="55" cm="1">
        <f t="array" ref="K148">(VLOOKUP($A148,'The List'!$B1:$AH671,23,FALSE)-AVERAGE('The List'!X2:X671))/STDEV('The List'!X2:X671)</f>
        <v>1.4705095195496716</v>
      </c>
      <c r="L148" s="55" cm="1">
        <f t="array" ref="L148">(VLOOKUP($A148,'The List'!$B1:$AH671,24,FALSE)-AVERAGE('The List'!Y2:Y671))/STDEV('The List'!Y2:Y671)</f>
        <v>-0.56023244895325386</v>
      </c>
      <c r="M148" s="55" cm="1">
        <f t="array" ref="M148">(VLOOKUP($A148,'The List'!$B1:$AH671,25,FALSE)-AVERAGE('The List'!Z2:Z671))/STDEV('The List'!Z2:Z671)</f>
        <v>-0.69489212529110866</v>
      </c>
      <c r="N148" s="55" cm="1">
        <f t="array" ref="N148">(VLOOKUP($A148,'The List'!$B1:$AH671,26,FALSE)-AVERAGE('The List'!AA2:AA671))/STDEV('The List'!AA2:AA671)</f>
        <v>0.64196745453681725</v>
      </c>
      <c r="O148" s="55" cm="1">
        <f t="array" ref="O148">(VLOOKUP($A148,'The List'!$B1:$AH671,27,FALSE)-AVERAGE('The List'!AB2:AB671))/STDEV('The List'!AB2:AB671)</f>
        <v>-0.63692546774124559</v>
      </c>
      <c r="P148" s="55" cm="1">
        <f t="array" ref="P148">(VLOOKUP($A148,'The List'!$B1:$AH671,28,FALSE)-AVERAGE('The List'!AC2:AC671))/STDEV('The List'!AC2:AC671)</f>
        <v>1.4156691817979303</v>
      </c>
      <c r="Q148" s="55" cm="1">
        <f t="array" ref="Q148">(VLOOKUP($A148,'The List'!$B1:$AH671,29,FALSE)-AVERAGE('The List'!AD2:AD671))/STDEV('The List'!AD2:AD671)</f>
        <v>-0.28246181344327165</v>
      </c>
      <c r="R148" s="55" cm="1">
        <f t="array" ref="R148">(VLOOKUP($A148,'The List'!$B1:$AH671,30,FALSE)-AVERAGE('The List'!AE2:AE671))/STDEV('The List'!AE2:AE671)</f>
        <v>-0.36822561178429813</v>
      </c>
      <c r="S148" s="55" cm="1">
        <f t="array" ref="S148">(VLOOKUP($A148,'The List'!$B1:$AH671,31,FALSE)-AVERAGE('The List'!AF2:AF671))/STDEV('The List'!AF2:AF671)</f>
        <v>-0.5939690971349143</v>
      </c>
      <c r="T148" s="55" cm="1">
        <f t="array" ref="T148">(VLOOKUP($A148,'The List'!$B1:$AH671,32,FALSE)-AVERAGE('The List'!AG2:AG671))/STDEV('The List'!AG2:AG671)</f>
        <v>-0.64602208138248207</v>
      </c>
      <c r="U148" s="55" cm="1">
        <f t="array" ref="U148">(VLOOKUP($A148,'The List'!$B1:$AH671,33,FALSE)-AVERAGE('The List'!AH2:AH671))/STDEV('The List'!AH2:AH671)</f>
        <v>-1.2548938914719048</v>
      </c>
      <c r="V148" s="55"/>
      <c r="W148" s="78"/>
      <c r="X148" s="57"/>
      <c r="Y148" s="57"/>
      <c r="Z148" s="57"/>
      <c r="AA148" s="57"/>
      <c r="AB148" s="57"/>
      <c r="AC148" s="60"/>
      <c r="AD148" s="61"/>
      <c r="AE148" s="55"/>
    </row>
    <row r="149" spans="1:31" ht="21.25" customHeight="1" x14ac:dyDescent="0.15">
      <c r="A149" s="10" t="s">
        <v>458</v>
      </c>
      <c r="B149" s="18" t="str" cm="1">
        <f t="array" ref="B149">VLOOKUP(A149,'Player Data'!A1:B673,2,FALSE)</f>
        <v>VGK</v>
      </c>
      <c r="C149" s="52" cm="1">
        <f t="array" ref="C149">((E149)*Settings!$C$12)+(F149*Settings!$C$2)+(G149*Settings!$C$3)+(H149*Settings!$C$4)+(I149*Settings!$C$5)+(K149*Settings!$C$9)+(N149*Settings!$C$6)+(J149*Settings!$C$8)+(O149*Settings!$C$7)+(P149*Settings!$C$14)+(Q149*Settings!$C$15)+(R149*Settings!$C$16)+(S149*Settings!$C$17)+(T149*Settings!$C$18)+(U149*Settings!$C$19)+(L149*Settings!$C$10)+(Settings!$C$11*M149)</f>
        <v>0.90128850940133165</v>
      </c>
      <c r="D149" s="57" cm="1">
        <f t="array" ref="D149">IF(Settings!$E$12="YES",VLOOKUP(A149,'Player Data'!A1:E673,5,FALSE),82)</f>
        <v>82.38</v>
      </c>
      <c r="E149" s="55" cm="1">
        <f t="array" ref="E149">(VLOOKUP($A149,'The List'!$B1:$AH671,17,FALSE)-AVERAGE('The List'!R2:R671))/STDEV('The List'!R2:R671)</f>
        <v>-0.2940908480583258</v>
      </c>
      <c r="F149" s="55" cm="1">
        <f t="array" ref="F149">(VLOOKUP($A149,'The List'!$B1:$AH671,18,FALSE)-AVERAGE('The List'!S2:S671))/STDEV('The List'!S2:S671)</f>
        <v>0.78232707857490125</v>
      </c>
      <c r="G149" s="55" cm="1">
        <f t="array" ref="G149">(VLOOKUP($A149,'The List'!$B1:$AH671,19,FALSE)-AVERAGE('The List'!T2:T671))/STDEV('The List'!T2:T671)</f>
        <v>0.50941755667050148</v>
      </c>
      <c r="H149" s="55" cm="1">
        <f t="array" ref="H149">(VLOOKUP($A149,'The List'!$B1:$AH671,20,FALSE)-AVERAGE('The List'!U2:U671))/STDEV('The List'!U2:U671)</f>
        <v>0.6675224608559065</v>
      </c>
      <c r="I149" s="55" cm="1">
        <f t="array" ref="I149">(VLOOKUP($A149,'The List'!$B1:$AH671,21,FALSE)-AVERAGE('The List'!V2:V671))/STDEV('The List'!V2:V671)</f>
        <v>3.5009125049250842E-2</v>
      </c>
      <c r="J149" s="55" cm="1">
        <f t="array" ref="J149">(VLOOKUP($A149,'The List'!$B1:$AH671,22,FALSE)-AVERAGE('The List'!W2:W671))/STDEV('The List'!W2:W671)</f>
        <v>-0.30753342532101363</v>
      </c>
      <c r="K149" s="55" cm="1">
        <f t="array" ref="K149">(VLOOKUP($A149,'The List'!$B1:$AH671,23,FALSE)-AVERAGE('The List'!X2:X671))/STDEV('The List'!X2:X671)</f>
        <v>-0.44293941137097975</v>
      </c>
      <c r="L149" s="55" cm="1">
        <f t="array" ref="L149">(VLOOKUP($A149,'The List'!$B1:$AH671,24,FALSE)-AVERAGE('The List'!Y2:Y671))/STDEV('The List'!Y2:Y671)</f>
        <v>-0.56091614468458273</v>
      </c>
      <c r="M149" s="55" cm="1">
        <f t="array" ref="M149">(VLOOKUP($A149,'The List'!$B1:$AH671,25,FALSE)-AVERAGE('The List'!Z2:Z671))/STDEV('The List'!Z2:Z671)</f>
        <v>-0.70291006548890222</v>
      </c>
      <c r="N149" s="55" cm="1">
        <f t="array" ref="N149">(VLOOKUP($A149,'The List'!$B1:$AH671,26,FALSE)-AVERAGE('The List'!AA2:AA671))/STDEV('The List'!AA2:AA671)</f>
        <v>-0.67836353960309925</v>
      </c>
      <c r="O149" s="55" cm="1">
        <f t="array" ref="O149">(VLOOKUP($A149,'The List'!$B1:$AH671,27,FALSE)-AVERAGE('The List'!AB2:AB671))/STDEV('The List'!AB2:AB671)</f>
        <v>0.80195909624221862</v>
      </c>
      <c r="P149" s="55" cm="1">
        <f t="array" ref="P149">(VLOOKUP($A149,'The List'!$B1:$AH671,28,FALSE)-AVERAGE('The List'!AC2:AC671))/STDEV('The List'!AC2:AC671)</f>
        <v>1.4286693199917333</v>
      </c>
      <c r="Q149" s="55" cm="1">
        <f t="array" ref="Q149">(VLOOKUP($A149,'The List'!$B1:$AH671,29,FALSE)-AVERAGE('The List'!AD2:AD671))/STDEV('The List'!AD2:AD671)</f>
        <v>-0.73283161991097612</v>
      </c>
      <c r="R149" s="55" cm="1">
        <f t="array" ref="R149">(VLOOKUP($A149,'The List'!$B1:$AH671,30,FALSE)-AVERAGE('The List'!AE2:AE671))/STDEV('The List'!AE2:AE671)</f>
        <v>1.2342753450416601</v>
      </c>
      <c r="S149" s="55" cm="1">
        <f t="array" ref="S149">(VLOOKUP($A149,'The List'!$B1:$AH671,31,FALSE)-AVERAGE('The List'!AF2:AF671))/STDEV('The List'!AF2:AF671)</f>
        <v>-0.50830489178068061</v>
      </c>
      <c r="T149" s="55" cm="1">
        <f t="array" ref="T149">(VLOOKUP($A149,'The List'!$B1:$AH671,32,FALSE)-AVERAGE('The List'!AG2:AG671))/STDEV('The List'!AG2:AG671)</f>
        <v>-0.4575003742241297</v>
      </c>
      <c r="U149" s="55" cm="1">
        <f t="array" ref="U149">(VLOOKUP($A149,'The List'!$B1:$AH671,33,FALSE)-AVERAGE('The List'!AH2:AH671))/STDEV('The List'!AH2:AH671)</f>
        <v>0.2441840142387677</v>
      </c>
      <c r="V149" s="55"/>
      <c r="W149" s="78"/>
      <c r="X149" s="57"/>
      <c r="Y149" s="57"/>
      <c r="Z149" s="57"/>
      <c r="AA149" s="57"/>
      <c r="AB149" s="57"/>
      <c r="AC149" s="60"/>
      <c r="AD149" s="61"/>
      <c r="AE149" s="55"/>
    </row>
    <row r="150" spans="1:31" ht="21.25" customHeight="1" x14ac:dyDescent="0.15">
      <c r="A150" s="10" t="s">
        <v>338</v>
      </c>
      <c r="B150" s="18" t="str" cm="1">
        <f t="array" ref="B150">VLOOKUP(A150,'Player Data'!A1:B673,2,FALSE)</f>
        <v>CGY</v>
      </c>
      <c r="C150" s="52" cm="1">
        <f t="array" ref="C150">((E150)*Settings!$C$12)+(F150*Settings!$C$2)+(G150*Settings!$C$3)+(H150*Settings!$C$4)+(I150*Settings!$C$5)+(K150*Settings!$C$9)+(N150*Settings!$C$6)+(J150*Settings!$C$8)+(O150*Settings!$C$7)+(P150*Settings!$C$14)+(Q150*Settings!$C$15)+(R150*Settings!$C$16)+(S150*Settings!$C$17)+(T150*Settings!$C$18)+(U150*Settings!$C$19)+(L150*Settings!$C$10)+(Settings!$C$11*M150)</f>
        <v>0.36124960272281609</v>
      </c>
      <c r="D150" s="57" cm="1">
        <f t="array" ref="D150">IF(Settings!$E$12="YES",VLOOKUP(A150,'Player Data'!A1:E673,5,FALSE),82)</f>
        <v>81.787499999999994</v>
      </c>
      <c r="E150" s="55" cm="1">
        <f t="array" ref="E150">(VLOOKUP($A150,'The List'!$B1:$AH671,17,FALSE)-AVERAGE('The List'!R2:R671))/STDEV('The List'!R2:R671)</f>
        <v>0.20294058096896447</v>
      </c>
      <c r="F150" s="55" cm="1">
        <f t="array" ref="F150">(VLOOKUP($A150,'The List'!$B1:$AH671,18,FALSE)-AVERAGE('The List'!S2:S671))/STDEV('The List'!S2:S671)</f>
        <v>0.91114654485822377</v>
      </c>
      <c r="G150" s="55" cm="1">
        <f t="array" ref="G150">(VLOOKUP($A150,'The List'!$B1:$AH671,19,FALSE)-AVERAGE('The List'!T2:T671))/STDEV('The List'!T2:T671)</f>
        <v>0.38807391396359381</v>
      </c>
      <c r="H150" s="55" cm="1">
        <f t="array" ref="H150">(VLOOKUP($A150,'The List'!$B1:$AH671,20,FALSE)-AVERAGE('The List'!U2:U671))/STDEV('The List'!U2:U671)</f>
        <v>0.6483523450168458</v>
      </c>
      <c r="I150" s="55" cm="1">
        <f t="array" ref="I150">(VLOOKUP($A150,'The List'!$B1:$AH671,21,FALSE)-AVERAGE('The List'!V2:V671))/STDEV('The List'!V2:V671)</f>
        <v>1.3870809160862827</v>
      </c>
      <c r="J150" s="55" cm="1">
        <f t="array" ref="J150">(VLOOKUP($A150,'The List'!$B1:$AH671,22,FALSE)-AVERAGE('The List'!W2:W671))/STDEV('The List'!W2:W671)</f>
        <v>1.0229456696378096</v>
      </c>
      <c r="K150" s="55" cm="1">
        <f t="array" ref="K150">(VLOOKUP($A150,'The List'!$B1:$AH671,23,FALSE)-AVERAGE('The List'!X2:X671))/STDEV('The List'!X2:X671)</f>
        <v>0.88747803915925427</v>
      </c>
      <c r="L150" s="55" cm="1">
        <f t="array" ref="L150">(VLOOKUP($A150,'The List'!$B1:$AH671,24,FALSE)-AVERAGE('The List'!Y2:Y671))/STDEV('The List'!Y2:Y671)</f>
        <v>-0.5490087516272687</v>
      </c>
      <c r="M150" s="55" cm="1">
        <f t="array" ref="M150">(VLOOKUP($A150,'The List'!$B1:$AH671,25,FALSE)-AVERAGE('The List'!Z2:Z671))/STDEV('The List'!Z2:Z671)</f>
        <v>-0.69120758969038498</v>
      </c>
      <c r="N150" s="55" cm="1">
        <f t="array" ref="N150">(VLOOKUP($A150,'The List'!$B1:$AH671,26,FALSE)-AVERAGE('The List'!AA2:AA671))/STDEV('The List'!AA2:AA671)</f>
        <v>-0.86989343704616939</v>
      </c>
      <c r="O150" s="55" cm="1">
        <f t="array" ref="O150">(VLOOKUP($A150,'The List'!$B1:$AH671,27,FALSE)-AVERAGE('The List'!AB2:AB671))/STDEV('The List'!AB2:AB671)</f>
        <v>-1.0641432104307231</v>
      </c>
      <c r="P150" s="55" cm="1">
        <f t="array" ref="P150">(VLOOKUP($A150,'The List'!$B1:$AH671,28,FALSE)-AVERAGE('The List'!AC2:AC671))/STDEV('The List'!AC2:AC671)</f>
        <v>-2.2576726361808612</v>
      </c>
      <c r="Q150" s="55" cm="1">
        <f t="array" ref="Q150">(VLOOKUP($A150,'The List'!$B1:$AH671,29,FALSE)-AVERAGE('The List'!AD2:AD671))/STDEV('The List'!AD2:AD671)</f>
        <v>-8.496373811750807E-2</v>
      </c>
      <c r="R150" s="55" cm="1">
        <f t="array" ref="R150">(VLOOKUP($A150,'The List'!$B1:$AH671,30,FALSE)-AVERAGE('The List'!AE2:AE671))/STDEV('The List'!AE2:AE671)</f>
        <v>0.7174784302842</v>
      </c>
      <c r="S150" s="55" cm="1">
        <f t="array" ref="S150">(VLOOKUP($A150,'The List'!$B1:$AH671,31,FALSE)-AVERAGE('The List'!AF2:AF671))/STDEV('The List'!AF2:AF671)</f>
        <v>-0.25048571191877117</v>
      </c>
      <c r="T150" s="55" cm="1">
        <f t="array" ref="T150">(VLOOKUP($A150,'The List'!$B1:$AH671,32,FALSE)-AVERAGE('The List'!AG2:AG671))/STDEV('The List'!AG2:AG671)</f>
        <v>-9.7832377544038576E-2</v>
      </c>
      <c r="U150" s="55" cm="1">
        <f t="array" ref="U150">(VLOOKUP($A150,'The List'!$B1:$AH671,33,FALSE)-AVERAGE('The List'!AH2:AH671))/STDEV('The List'!AH2:AH671)</f>
        <v>0.58487206808373815</v>
      </c>
      <c r="V150" s="55"/>
      <c r="W150" s="78"/>
      <c r="X150" s="57"/>
      <c r="Y150" s="57"/>
      <c r="Z150" s="57"/>
      <c r="AA150" s="57"/>
      <c r="AB150" s="57"/>
      <c r="AC150" s="60"/>
      <c r="AD150" s="61"/>
      <c r="AE150" s="55"/>
    </row>
    <row r="151" spans="1:31" ht="21.25" customHeight="1" x14ac:dyDescent="0.15">
      <c r="A151" s="10" t="s">
        <v>345</v>
      </c>
      <c r="B151" s="18" t="str" cm="1">
        <f t="array" ref="B151">VLOOKUP(A151,'Player Data'!A1:B673,2,FALSE)</f>
        <v>FLA</v>
      </c>
      <c r="C151" s="52" cm="1">
        <f t="array" ref="C151">((E151)*Settings!$C$12)+(F151*Settings!$C$2)+(G151*Settings!$C$3)+(H151*Settings!$C$4)+(I151*Settings!$C$5)+(K151*Settings!$C$9)+(N151*Settings!$C$6)+(J151*Settings!$C$8)+(O151*Settings!$C$7)+(P151*Settings!$C$14)+(Q151*Settings!$C$15)+(R151*Settings!$C$16)+(S151*Settings!$C$17)+(T151*Settings!$C$18)+(U151*Settings!$C$19)+(L151*Settings!$C$10)+(Settings!$C$11*M151)</f>
        <v>5.0961811733187403</v>
      </c>
      <c r="D151" s="57" cm="1">
        <f t="array" ref="D151">IF(Settings!$E$12="YES",VLOOKUP(A151,'Player Data'!A1:E673,5,FALSE),82)</f>
        <v>80.84</v>
      </c>
      <c r="E151" s="55" cm="1">
        <f t="array" ref="E151">(VLOOKUP($A151,'The List'!$B1:$AH671,17,FALSE)-AVERAGE('The List'!R2:R671))/STDEV('The List'!R2:R671)</f>
        <v>-1.2912402895283039E-2</v>
      </c>
      <c r="F151" s="55" cm="1">
        <f t="array" ref="F151">(VLOOKUP($A151,'The List'!$B1:$AH671,18,FALSE)-AVERAGE('The List'!S2:S671))/STDEV('The List'!S2:S671)</f>
        <v>0.99512791231478837</v>
      </c>
      <c r="G151" s="55" cm="1">
        <f t="array" ref="G151">(VLOOKUP($A151,'The List'!$B1:$AH671,19,FALSE)-AVERAGE('The List'!T2:T671))/STDEV('The List'!T2:T671)</f>
        <v>0.27589527587782497</v>
      </c>
      <c r="H151" s="55" cm="1">
        <f t="array" ref="H151">(VLOOKUP($A151,'The List'!$B1:$AH671,20,FALSE)-AVERAGE('The List'!U2:U671))/STDEV('The List'!U2:U671)</f>
        <v>0.61505327963711642</v>
      </c>
      <c r="I151" s="55" cm="1">
        <f t="array" ref="I151">(VLOOKUP($A151,'The List'!$B1:$AH671,21,FALSE)-AVERAGE('The List'!V2:V671))/STDEV('The List'!V2:V671)</f>
        <v>1.215907554796094</v>
      </c>
      <c r="J151" s="55" cm="1">
        <f t="array" ref="J151">(VLOOKUP($A151,'The List'!$B1:$AH671,22,FALSE)-AVERAGE('The List'!W2:W671))/STDEV('The List'!W2:W671)</f>
        <v>0.25727657450183961</v>
      </c>
      <c r="K151" s="55" cm="1">
        <f t="array" ref="K151">(VLOOKUP($A151,'The List'!$B1:$AH671,23,FALSE)-AVERAGE('The List'!X2:X671))/STDEV('The List'!X2:X671)</f>
        <v>6.0231069536257412E-2</v>
      </c>
      <c r="L151" s="55" cm="1">
        <f t="array" ref="L151">(VLOOKUP($A151,'The List'!$B1:$AH671,24,FALSE)-AVERAGE('The List'!Y2:Y671))/STDEV('The List'!Y2:Y671)</f>
        <v>-0.41393670920338305</v>
      </c>
      <c r="M151" s="55" cm="1">
        <f t="array" ref="M151">(VLOOKUP($A151,'The List'!$B1:$AH671,25,FALSE)-AVERAGE('The List'!Z2:Z671))/STDEV('The List'!Z2:Z671)</f>
        <v>-0.55957599157746563</v>
      </c>
      <c r="N151" s="55" cm="1">
        <f t="array" ref="N151">(VLOOKUP($A151,'The List'!$B1:$AH671,26,FALSE)-AVERAGE('The List'!AA2:AA671))/STDEV('The List'!AA2:AA671)</f>
        <v>-0.64833402689502606</v>
      </c>
      <c r="O151" s="55" cm="1">
        <f t="array" ref="O151">(VLOOKUP($A151,'The List'!$B1:$AH671,27,FALSE)-AVERAGE('The List'!AB2:AB671))/STDEV('The List'!AB2:AB671)</f>
        <v>0.83757856819801035</v>
      </c>
      <c r="P151" s="55" cm="1">
        <f t="array" ref="P151">(VLOOKUP($A151,'The List'!$B1:$AH671,28,FALSE)-AVERAGE('The List'!AC2:AC671))/STDEV('The List'!AC2:AC671)</f>
        <v>0.81689512972925382</v>
      </c>
      <c r="Q151" s="55" cm="1">
        <f t="array" ref="Q151">(VLOOKUP($A151,'The List'!$B1:$AH671,29,FALSE)-AVERAGE('The List'!AD2:AD671))/STDEV('The List'!AD2:AD671)</f>
        <v>2.3804582579595475</v>
      </c>
      <c r="R151" s="55" cm="1">
        <f t="array" ref="R151">(VLOOKUP($A151,'The List'!$B1:$AH671,30,FALSE)-AVERAGE('The List'!AE2:AE671))/STDEV('The List'!AE2:AE671)</f>
        <v>1.1289124968658761</v>
      </c>
      <c r="S151" s="55" cm="1">
        <f t="array" ref="S151">(VLOOKUP($A151,'The List'!$B1:$AH671,31,FALSE)-AVERAGE('The List'!AF2:AF671))/STDEV('The List'!AF2:AF671)</f>
        <v>1.7139863951223437</v>
      </c>
      <c r="T151" s="55" cm="1">
        <f t="array" ref="T151">(VLOOKUP($A151,'The List'!$B1:$AH671,32,FALSE)-AVERAGE('The List'!AG2:AG671))/STDEV('The List'!AG2:AG671)</f>
        <v>2.1555954372646067</v>
      </c>
      <c r="U151" s="55" cm="1">
        <f t="array" ref="U151">(VLOOKUP($A151,'The List'!$B1:$AH671,33,FALSE)-AVERAGE('The List'!AH2:AH671))/STDEV('The List'!AH2:AH671)</f>
        <v>0.89333100097908513</v>
      </c>
      <c r="V151" s="55"/>
      <c r="W151" s="78"/>
      <c r="X151" s="57"/>
      <c r="Y151" s="57"/>
      <c r="Z151" s="57"/>
      <c r="AA151" s="57"/>
      <c r="AB151" s="57"/>
      <c r="AC151" s="60"/>
      <c r="AD151" s="61"/>
      <c r="AE151" s="55"/>
    </row>
    <row r="152" spans="1:31" ht="21.25" customHeight="1" x14ac:dyDescent="0.15">
      <c r="A152" s="10" t="s">
        <v>395</v>
      </c>
      <c r="B152" s="18" t="str" cm="1">
        <f t="array" ref="B152">VLOOKUP(A152,'Player Data'!A1:B673,2,FALSE)</f>
        <v>CHI</v>
      </c>
      <c r="C152" s="52" cm="1">
        <f t="array" ref="C152">((E152)*Settings!$C$12)+(F152*Settings!$C$2)+(G152*Settings!$C$3)+(H152*Settings!$C$4)+(I152*Settings!$C$5)+(K152*Settings!$C$9)+(N152*Settings!$C$6)+(J152*Settings!$C$8)+(O152*Settings!$C$7)+(P152*Settings!$C$14)+(Q152*Settings!$C$15)+(R152*Settings!$C$16)+(S152*Settings!$C$17)+(T152*Settings!$C$18)+(U152*Settings!$C$19)+(L152*Settings!$C$10)+(Settings!$C$11*M152)</f>
        <v>-0.94610708361449802</v>
      </c>
      <c r="D152" s="57" cm="1">
        <f t="array" ref="D152">IF(Settings!$E$12="YES",VLOOKUP(A152,'Player Data'!A1:E673,5,FALSE),82)</f>
        <v>74.502499999999998</v>
      </c>
      <c r="E152" s="55" cm="1">
        <f t="array" ref="E152">(VLOOKUP($A152,'The List'!$B1:$AH671,17,FALSE)-AVERAGE('The List'!R2:R671))/STDEV('The List'!R2:R671)</f>
        <v>0.30536509144949514</v>
      </c>
      <c r="F152" s="55" cm="1">
        <f t="array" ref="F152">(VLOOKUP($A152,'The List'!$B1:$AH671,18,FALSE)-AVERAGE('The List'!S2:S671))/STDEV('The List'!S2:S671)</f>
        <v>0.53845763863249096</v>
      </c>
      <c r="G152" s="55" cm="1">
        <f t="array" ref="G152">(VLOOKUP($A152,'The List'!$B1:$AH671,19,FALSE)-AVERAGE('The List'!T2:T671))/STDEV('The List'!T2:T671)</f>
        <v>0.30880987453051539</v>
      </c>
      <c r="H152" s="55" cm="1">
        <f t="array" ref="H152">(VLOOKUP($A152,'The List'!$B1:$AH671,20,FALSE)-AVERAGE('The List'!U2:U671))/STDEV('The List'!U2:U671)</f>
        <v>0.43314172211852831</v>
      </c>
      <c r="I152" s="55" cm="1">
        <f t="array" ref="I152">(VLOOKUP($A152,'The List'!$B1:$AH671,21,FALSE)-AVERAGE('The List'!V2:V671))/STDEV('The List'!V2:V671)</f>
        <v>0.4072555813899843</v>
      </c>
      <c r="J152" s="55" cm="1">
        <f t="array" ref="J152">(VLOOKUP($A152,'The List'!$B1:$AH671,22,FALSE)-AVERAGE('The List'!W2:W671))/STDEV('The List'!W2:W671)</f>
        <v>0.28673769299267987</v>
      </c>
      <c r="K152" s="55" cm="1">
        <f t="array" ref="K152">(VLOOKUP($A152,'The List'!$B1:$AH671,23,FALSE)-AVERAGE('The List'!X2:X671))/STDEV('The List'!X2:X671)</f>
        <v>0.31447184687145519</v>
      </c>
      <c r="L152" s="55" cm="1">
        <f t="array" ref="L152">(VLOOKUP($A152,'The List'!$B1:$AH671,24,FALSE)-AVERAGE('The List'!Y2:Y671))/STDEV('The List'!Y2:Y671)</f>
        <v>0.48451054052173087</v>
      </c>
      <c r="M152" s="55" cm="1">
        <f t="array" ref="M152">(VLOOKUP($A152,'The List'!$B1:$AH671,25,FALSE)-AVERAGE('The List'!Z2:Z671))/STDEV('The List'!Z2:Z671)</f>
        <v>0.48713305660567169</v>
      </c>
      <c r="N152" s="55" cm="1">
        <f t="array" ref="N152">(VLOOKUP($A152,'The List'!$B1:$AH671,26,FALSE)-AVERAGE('The List'!AA2:AA671))/STDEV('The List'!AA2:AA671)</f>
        <v>-0.36805652586458593</v>
      </c>
      <c r="O152" s="55" cm="1">
        <f t="array" ref="O152">(VLOOKUP($A152,'The List'!$B1:$AH671,27,FALSE)-AVERAGE('The List'!AB2:AB671))/STDEV('The List'!AB2:AB671)</f>
        <v>-0.74566273700901486</v>
      </c>
      <c r="P152" s="55" cm="1">
        <f t="array" ref="P152">(VLOOKUP($A152,'The List'!$B1:$AH671,28,FALSE)-AVERAGE('The List'!AC2:AC671))/STDEV('The List'!AC2:AC671)</f>
        <v>-1.8279934446448471</v>
      </c>
      <c r="Q152" s="55" cm="1">
        <f t="array" ref="Q152">(VLOOKUP($A152,'The List'!$B1:$AH671,29,FALSE)-AVERAGE('The List'!AD2:AD671))/STDEV('The List'!AD2:AD671)</f>
        <v>-0.31905205452951052</v>
      </c>
      <c r="R152" s="55" cm="1">
        <f t="array" ref="R152">(VLOOKUP($A152,'The List'!$B1:$AH671,30,FALSE)-AVERAGE('The List'!AE2:AE671))/STDEV('The List'!AE2:AE671)</f>
        <v>0.13967698284620886</v>
      </c>
      <c r="S152" s="55" cm="1">
        <f t="array" ref="S152">(VLOOKUP($A152,'The List'!$B1:$AH671,31,FALSE)-AVERAGE('The List'!AF2:AF671))/STDEV('The List'!AF2:AF671)</f>
        <v>1.3816860992505118</v>
      </c>
      <c r="T152" s="55" cm="1">
        <f t="array" ref="T152">(VLOOKUP($A152,'The List'!$B1:$AH671,32,FALSE)-AVERAGE('The List'!AG2:AG671))/STDEV('The List'!AG2:AG671)</f>
        <v>1.7854585867731114</v>
      </c>
      <c r="U152" s="55" cm="1">
        <f t="array" ref="U152">(VLOOKUP($A152,'The List'!$B1:$AH671,33,FALSE)-AVERAGE('The List'!AH2:AH671))/STDEV('The List'!AH2:AH671)</f>
        <v>0.87758629932971755</v>
      </c>
      <c r="V152" s="55"/>
      <c r="W152" s="78"/>
      <c r="X152" s="57"/>
      <c r="Y152" s="57"/>
      <c r="Z152" s="57"/>
      <c r="AA152" s="57"/>
      <c r="AB152" s="57"/>
      <c r="AC152" s="60"/>
      <c r="AD152" s="61"/>
      <c r="AE152" s="55"/>
    </row>
    <row r="153" spans="1:31" ht="21.25" customHeight="1" x14ac:dyDescent="0.15">
      <c r="A153" s="10" t="s">
        <v>365</v>
      </c>
      <c r="B153" s="18" t="str" cm="1">
        <f t="array" ref="B153">VLOOKUP(A153,'Player Data'!A1:B673,2,FALSE)</f>
        <v>WPG</v>
      </c>
      <c r="C153" s="52" cm="1">
        <f t="array" ref="C153">((E153)*Settings!$C$12)+(F153*Settings!$C$2)+(G153*Settings!$C$3)+(H153*Settings!$C$4)+(I153*Settings!$C$5)+(K153*Settings!$C$9)+(N153*Settings!$C$6)+(J153*Settings!$C$8)+(O153*Settings!$C$7)+(P153*Settings!$C$14)+(Q153*Settings!$C$15)+(R153*Settings!$C$16)+(S153*Settings!$C$17)+(T153*Settings!$C$18)+(U153*Settings!$C$19)+(L153*Settings!$C$10)+(Settings!$C$11*M153)</f>
        <v>1.9257981710885894</v>
      </c>
      <c r="D153" s="57" cm="1">
        <f t="array" ref="D153">IF(Settings!$E$12="YES",VLOOKUP(A153,'Player Data'!A1:E673,5,FALSE),82)</f>
        <v>80.444999999999993</v>
      </c>
      <c r="E153" s="55" cm="1">
        <f t="array" ref="E153">(VLOOKUP($A153,'The List'!$B1:$AH671,17,FALSE)-AVERAGE('The List'!R2:R671))/STDEV('The List'!R2:R671)</f>
        <v>-3.4819650175212574E-2</v>
      </c>
      <c r="F153" s="55" cm="1">
        <f t="array" ref="F153">(VLOOKUP($A153,'The List'!$B1:$AH671,18,FALSE)-AVERAGE('The List'!S2:S671))/STDEV('The List'!S2:S671)</f>
        <v>0.61605525842279318</v>
      </c>
      <c r="G153" s="55" cm="1">
        <f t="array" ref="G153">(VLOOKUP($A153,'The List'!$B1:$AH671,19,FALSE)-AVERAGE('The List'!T2:T671))/STDEV('The List'!T2:T671)</f>
        <v>0.51558597920652471</v>
      </c>
      <c r="H153" s="55" cm="1">
        <f t="array" ref="H153">(VLOOKUP($A153,'The List'!$B1:$AH671,20,FALSE)-AVERAGE('The List'!U2:U671))/STDEV('The List'!U2:U671)</f>
        <v>0.59763117643481245</v>
      </c>
      <c r="I153" s="55" cm="1">
        <f t="array" ref="I153">(VLOOKUP($A153,'The List'!$B1:$AH671,21,FALSE)-AVERAGE('The List'!V2:V671))/STDEV('The List'!V2:V671)</f>
        <v>0.81918624511941318</v>
      </c>
      <c r="J153" s="55" cm="1">
        <f t="array" ref="J153">(VLOOKUP($A153,'The List'!$B1:$AH671,22,FALSE)-AVERAGE('The List'!W2:W671))/STDEV('The List'!W2:W671)</f>
        <v>1.0108166260607638</v>
      </c>
      <c r="K153" s="55" cm="1">
        <f t="array" ref="K153">(VLOOKUP($A153,'The List'!$B1:$AH671,23,FALSE)-AVERAGE('The List'!X2:X671))/STDEV('The List'!X2:X671)</f>
        <v>0.77387998451296447</v>
      </c>
      <c r="L153" s="55" cm="1">
        <f t="array" ref="L153">(VLOOKUP($A153,'The List'!$B1:$AH671,24,FALSE)-AVERAGE('The List'!Y2:Y671))/STDEV('The List'!Y2:Y671)</f>
        <v>-0.55955154265918583</v>
      </c>
      <c r="M153" s="55" cm="1">
        <f t="array" ref="M153">(VLOOKUP($A153,'The List'!$B1:$AH671,25,FALSE)-AVERAGE('The List'!Z2:Z671))/STDEV('The List'!Z2:Z671)</f>
        <v>-0.70155921446477942</v>
      </c>
      <c r="N153" s="55" cm="1">
        <f t="array" ref="N153">(VLOOKUP($A153,'The List'!$B1:$AH671,26,FALSE)-AVERAGE('The List'!AA2:AA671))/STDEV('The List'!AA2:AA671)</f>
        <v>-0.56882236428934518</v>
      </c>
      <c r="O153" s="55" cm="1">
        <f t="array" ref="O153">(VLOOKUP($A153,'The List'!$B1:$AH671,27,FALSE)-AVERAGE('The List'!AB2:AB671))/STDEV('The List'!AB2:AB671)</f>
        <v>-0.34601990399249827</v>
      </c>
      <c r="P153" s="55" cm="1">
        <f t="array" ref="P153">(VLOOKUP($A153,'The List'!$B1:$AH671,28,FALSE)-AVERAGE('The List'!AC2:AC671))/STDEV('The List'!AC2:AC671)</f>
        <v>0.34849365002578825</v>
      </c>
      <c r="Q153" s="55" cm="1">
        <f t="array" ref="Q153">(VLOOKUP($A153,'The List'!$B1:$AH671,29,FALSE)-AVERAGE('The List'!AD2:AD671))/STDEV('The List'!AD2:AD671)</f>
        <v>-0.5785805819095492</v>
      </c>
      <c r="R153" s="55" cm="1">
        <f t="array" ref="R153">(VLOOKUP($A153,'The List'!$B1:$AH671,30,FALSE)-AVERAGE('The List'!AE2:AE671))/STDEV('The List'!AE2:AE671)</f>
        <v>0.82483915311058853</v>
      </c>
      <c r="S153" s="55" cm="1">
        <f t="array" ref="S153">(VLOOKUP($A153,'The List'!$B1:$AH671,31,FALSE)-AVERAGE('The List'!AF2:AF671))/STDEV('The List'!AF2:AF671)</f>
        <v>-0.52606807718446613</v>
      </c>
      <c r="T153" s="55" cm="1">
        <f t="array" ref="T153">(VLOOKUP($A153,'The List'!$B1:$AH671,32,FALSE)-AVERAGE('The List'!AG2:AG671))/STDEV('The List'!AG2:AG671)</f>
        <v>-0.5182215070513746</v>
      </c>
      <c r="U153" s="55" cm="1">
        <f t="array" ref="U153">(VLOOKUP($A153,'The List'!$B1:$AH671,33,FALSE)-AVERAGE('The List'!AH2:AH671))/STDEV('The List'!AH2:AH671)</f>
        <v>0.40621574326544468</v>
      </c>
      <c r="V153" s="55"/>
      <c r="W153" s="57"/>
      <c r="X153" s="55"/>
      <c r="Y153" s="55"/>
      <c r="Z153" s="55"/>
      <c r="AA153" s="55"/>
      <c r="AB153" s="55"/>
      <c r="AC153" s="55"/>
      <c r="AD153" s="55"/>
      <c r="AE153" s="55"/>
    </row>
    <row r="154" spans="1:31" ht="21.25" customHeight="1" x14ac:dyDescent="0.15">
      <c r="A154" s="10" t="s">
        <v>391</v>
      </c>
      <c r="B154" s="18" t="str" cm="1">
        <f t="array" ref="B154">VLOOKUP(A154,'Player Data'!A1:B673,2,FALSE)</f>
        <v>WSH</v>
      </c>
      <c r="C154" s="52" cm="1">
        <f t="array" ref="C154">((E154)*Settings!$C$12)+(F154*Settings!$C$2)+(G154*Settings!$C$3)+(H154*Settings!$C$4)+(I154*Settings!$C$5)+(K154*Settings!$C$9)+(N154*Settings!$C$6)+(J154*Settings!$C$8)+(O154*Settings!$C$7)+(P154*Settings!$C$14)+(Q154*Settings!$C$15)+(R154*Settings!$C$16)+(S154*Settings!$C$17)+(T154*Settings!$C$18)+(U154*Settings!$C$19)+(L154*Settings!$C$10)+(Settings!$C$11*M154)</f>
        <v>3.3344173998945483</v>
      </c>
      <c r="D154" s="57" cm="1">
        <f t="array" ref="D154">IF(Settings!$E$12="YES",VLOOKUP(A154,'Player Data'!A1:E673,5,FALSE),82)</f>
        <v>76</v>
      </c>
      <c r="E154" s="55" cm="1">
        <f t="array" ref="E154">(VLOOKUP($A154,'The List'!$B1:$AH671,17,FALSE)-AVERAGE('The List'!R2:R671))/STDEV('The List'!R2:R671)</f>
        <v>-0.35271846036099647</v>
      </c>
      <c r="F154" s="55" cm="1">
        <f t="array" ref="F154">(VLOOKUP($A154,'The List'!$B1:$AH671,18,FALSE)-AVERAGE('The List'!S2:S671))/STDEV('The List'!S2:S671)</f>
        <v>0.84475926084901953</v>
      </c>
      <c r="G154" s="55" cm="1">
        <f t="array" ref="G154">(VLOOKUP($A154,'The List'!$B1:$AH671,19,FALSE)-AVERAGE('The List'!T2:T671))/STDEV('The List'!T2:T671)</f>
        <v>0.31712220472692515</v>
      </c>
      <c r="H154" s="55" cm="1">
        <f t="array" ref="H154">(VLOOKUP($A154,'The List'!$B1:$AH671,20,FALSE)-AVERAGE('The List'!U2:U671))/STDEV('The List'!U2:U671)</f>
        <v>0.57426950063811555</v>
      </c>
      <c r="I154" s="55" cm="1">
        <f t="array" ref="I154">(VLOOKUP($A154,'The List'!$B1:$AH671,21,FALSE)-AVERAGE('The List'!V2:V671))/STDEV('The List'!V2:V671)</f>
        <v>0.699128162670273</v>
      </c>
      <c r="J154" s="55" cm="1">
        <f t="array" ref="J154">(VLOOKUP($A154,'The List'!$B1:$AH671,22,FALSE)-AVERAGE('The List'!W2:W671))/STDEV('The List'!W2:W671)</f>
        <v>0.59437119578609232</v>
      </c>
      <c r="K154" s="55" cm="1">
        <f t="array" ref="K154">(VLOOKUP($A154,'The List'!$B1:$AH671,23,FALSE)-AVERAGE('The List'!X2:X671))/STDEV('The List'!X2:X671)</f>
        <v>0.77509671083891274</v>
      </c>
      <c r="L154" s="55" cm="1">
        <f t="array" ref="L154">(VLOOKUP($A154,'The List'!$B1:$AH671,24,FALSE)-AVERAGE('The List'!Y2:Y671))/STDEV('The List'!Y2:Y671)</f>
        <v>-0.55995075614711431</v>
      </c>
      <c r="M154" s="55" cm="1">
        <f t="array" ref="M154">(VLOOKUP($A154,'The List'!$B1:$AH671,25,FALSE)-AVERAGE('The List'!Z2:Z671))/STDEV('The List'!Z2:Z671)</f>
        <v>-0.70194994392868004</v>
      </c>
      <c r="N154" s="55" cm="1">
        <f t="array" ref="N154">(VLOOKUP($A154,'The List'!$B1:$AH671,26,FALSE)-AVERAGE('The List'!AA2:AA671))/STDEV('The List'!AA2:AA671)</f>
        <v>-0.88395709555960544</v>
      </c>
      <c r="O154" s="55" cm="1">
        <f t="array" ref="O154">(VLOOKUP($A154,'The List'!$B1:$AH671,27,FALSE)-AVERAGE('The List'!AB2:AB671))/STDEV('The List'!AB2:AB671)</f>
        <v>0.77970542061001913</v>
      </c>
      <c r="P154" s="55" cm="1">
        <f t="array" ref="P154">(VLOOKUP($A154,'The List'!$B1:$AH671,28,FALSE)-AVERAGE('The List'!AC2:AC671))/STDEV('The List'!AC2:AC671)</f>
        <v>0.6998564143010565</v>
      </c>
      <c r="Q154" s="55" cm="1">
        <f t="array" ref="Q154">(VLOOKUP($A154,'The List'!$B1:$AH671,29,FALSE)-AVERAGE('The List'!AD2:AD671))/STDEV('The List'!AD2:AD671)</f>
        <v>0.8824117420679668</v>
      </c>
      <c r="R154" s="55" cm="1">
        <f t="array" ref="R154">(VLOOKUP($A154,'The List'!$B1:$AH671,30,FALSE)-AVERAGE('The List'!AE2:AE671))/STDEV('The List'!AE2:AE671)</f>
        <v>0.74083958521235338</v>
      </c>
      <c r="S154" s="55" cm="1">
        <f t="array" ref="S154">(VLOOKUP($A154,'The List'!$B1:$AH671,31,FALSE)-AVERAGE('The List'!AF2:AF671))/STDEV('The List'!AF2:AF671)</f>
        <v>-0.56075332746951156</v>
      </c>
      <c r="T154" s="55" cm="1">
        <f t="array" ref="T154">(VLOOKUP($A154,'The List'!$B1:$AH671,32,FALSE)-AVERAGE('The List'!AG2:AG671))/STDEV('The List'!AG2:AG671)</f>
        <v>-0.62102922474848421</v>
      </c>
      <c r="U154" s="55" cm="1">
        <f t="array" ref="U154">(VLOOKUP($A154,'The List'!$B1:$AH671,33,FALSE)-AVERAGE('The List'!AH2:AH671))/STDEV('The List'!AH2:AH671)</f>
        <v>1.4387907378640603</v>
      </c>
      <c r="V154" s="55"/>
      <c r="W154" s="57"/>
      <c r="X154" s="55"/>
      <c r="Y154" s="55"/>
      <c r="Z154" s="55"/>
      <c r="AA154" s="55"/>
      <c r="AB154" s="55"/>
      <c r="AC154" s="55"/>
      <c r="AD154" s="55"/>
      <c r="AE154" s="55"/>
    </row>
    <row r="155" spans="1:31" ht="21.25" customHeight="1" x14ac:dyDescent="0.15">
      <c r="A155" s="10" t="s">
        <v>184</v>
      </c>
      <c r="B155" s="18" t="str" cm="1">
        <f t="array" ref="B155">VLOOKUP(A155,'Player Data'!A1:B673,2,FALSE)</f>
        <v>T.B</v>
      </c>
      <c r="C155" s="52" cm="1">
        <f t="array" ref="C155">((E155)*Settings!$C$12)+(F155*Settings!$C$2)+(G155*Settings!$C$3)+(H155*Settings!$C$4)+(I155*Settings!$C$5)+(K155*Settings!$C$9)+(N155*Settings!$C$6)+(J155*Settings!$C$8)+(O155*Settings!$C$7)+(P155*Settings!$C$14)+(Q155*Settings!$C$15)+(R155*Settings!$C$16)+(S155*Settings!$C$17)+(T155*Settings!$C$18)+(U155*Settings!$C$19)+(L155*Settings!$C$10)+(Settings!$C$11*M155)</f>
        <v>5.7822446594244745</v>
      </c>
      <c r="D155" s="57" cm="1">
        <f t="array" ref="D155">IF(Settings!$E$12="YES",VLOOKUP(A155,'Player Data'!A1:E673,5,FALSE),82)</f>
        <v>81.665000000000006</v>
      </c>
      <c r="E155" s="55" cm="1">
        <f t="array" ref="E155">(VLOOKUP($A155,'The List'!$B1:$AH671,17,FALSE)-AVERAGE('The List'!R2:R671))/STDEV('The List'!R2:R671)</f>
        <v>1.4243052621350176</v>
      </c>
      <c r="F155" s="55" cm="1">
        <f t="array" ref="F155">(VLOOKUP($A155,'The List'!$B1:$AH671,18,FALSE)-AVERAGE('The List'!S2:S671))/STDEV('The List'!S2:S671)</f>
        <v>-0.6124554661082714</v>
      </c>
      <c r="G155" s="55" cm="1">
        <f t="array" ref="G155">(VLOOKUP($A155,'The List'!$B1:$AH671,19,FALSE)-AVERAGE('The List'!T2:T671))/STDEV('The List'!T2:T671)</f>
        <v>1.6056097069345747</v>
      </c>
      <c r="H155" s="55" cm="1">
        <f t="array" ref="H155">(VLOOKUP($A155,'The List'!$B1:$AH671,20,FALSE)-AVERAGE('The List'!U2:U671))/STDEV('The List'!U2:U671)</f>
        <v>0.73818686344644724</v>
      </c>
      <c r="I155" s="55" cm="1">
        <f t="array" ref="I155">(VLOOKUP($A155,'The List'!$B1:$AH671,21,FALSE)-AVERAGE('The List'!V2:V671))/STDEV('The List'!V2:V671)</f>
        <v>0.65876301682913208</v>
      </c>
      <c r="J155" s="55" cm="1">
        <f t="array" ref="J155">(VLOOKUP($A155,'The List'!$B1:$AH671,22,FALSE)-AVERAGE('The List'!W2:W671))/STDEV('The List'!W2:W671)</f>
        <v>-8.8674559440097958E-2</v>
      </c>
      <c r="K155" s="55" cm="1">
        <f t="array" ref="K155">(VLOOKUP($A155,'The List'!$B1:$AH671,23,FALSE)-AVERAGE('The List'!X2:X671))/STDEV('The List'!X2:X671)</f>
        <v>1.0288997888980969</v>
      </c>
      <c r="L155" s="55" cm="1">
        <f t="array" ref="L155">(VLOOKUP($A155,'The List'!$B1:$AH671,24,FALSE)-AVERAGE('The List'!Y2:Y671))/STDEV('The List'!Y2:Y671)</f>
        <v>-0.55478189806227729</v>
      </c>
      <c r="M155" s="55" cm="1">
        <f t="array" ref="M155">(VLOOKUP($A155,'The List'!$B1:$AH671,25,FALSE)-AVERAGE('The List'!Z2:Z671))/STDEV('The List'!Z2:Z671)</f>
        <v>-0.67895748674369283</v>
      </c>
      <c r="N155" s="55" cm="1">
        <f t="array" ref="N155">(VLOOKUP($A155,'The List'!$B1:$AH671,26,FALSE)-AVERAGE('The List'!AA2:AA671))/STDEV('The List'!AA2:AA671)</f>
        <v>1.3447969385832295</v>
      </c>
      <c r="O155" s="55" cm="1">
        <f t="array" ref="O155">(VLOOKUP($A155,'The List'!$B1:$AH671,27,FALSE)-AVERAGE('The List'!AB2:AB671))/STDEV('The List'!AB2:AB671)</f>
        <v>-0.77818651973560193</v>
      </c>
      <c r="P155" s="55" cm="1">
        <f t="array" ref="P155">(VLOOKUP($A155,'The List'!$B1:$AH671,28,FALSE)-AVERAGE('The List'!AC2:AC671))/STDEV('The List'!AC2:AC671)</f>
        <v>1.7811137922658868</v>
      </c>
      <c r="Q155" s="55" cm="1">
        <f t="array" ref="Q155">(VLOOKUP($A155,'The List'!$B1:$AH671,29,FALSE)-AVERAGE('The List'!AD2:AD671))/STDEV('The List'!AD2:AD671)</f>
        <v>-2.4483117978173635E-2</v>
      </c>
      <c r="R155" s="55" cm="1">
        <f t="array" ref="R155">(VLOOKUP($A155,'The List'!$B1:$AH671,30,FALSE)-AVERAGE('The List'!AE2:AE671))/STDEV('The List'!AE2:AE671)</f>
        <v>-0.49147315022156807</v>
      </c>
      <c r="S155" s="55" cm="1">
        <f t="array" ref="S155">(VLOOKUP($A155,'The List'!$B1:$AH671,31,FALSE)-AVERAGE('The List'!AF2:AF671))/STDEV('The List'!AF2:AF671)</f>
        <v>-0.5939690971349143</v>
      </c>
      <c r="T155" s="55" cm="1">
        <f t="array" ref="T155">(VLOOKUP($A155,'The List'!$B1:$AH671,32,FALSE)-AVERAGE('The List'!AG2:AG671))/STDEV('The List'!AG2:AG671)</f>
        <v>-0.64228388649979096</v>
      </c>
      <c r="U155" s="55" cm="1">
        <f t="array" ref="U155">(VLOOKUP($A155,'The List'!$B1:$AH671,33,FALSE)-AVERAGE('The List'!AH2:AH671))/STDEV('The List'!AH2:AH671)</f>
        <v>-1.2548938914719048</v>
      </c>
      <c r="V155" s="55"/>
      <c r="W155" s="57"/>
      <c r="X155" s="55"/>
      <c r="Y155" s="55"/>
      <c r="Z155" s="55"/>
      <c r="AA155" s="55"/>
      <c r="AB155" s="55"/>
      <c r="AC155" s="55"/>
      <c r="AD155" s="55"/>
      <c r="AE155" s="55"/>
    </row>
    <row r="156" spans="1:31" ht="21.25" customHeight="1" x14ac:dyDescent="0.15">
      <c r="A156" s="10" t="s">
        <v>374</v>
      </c>
      <c r="B156" s="18" t="str" cm="1">
        <f t="array" ref="B156">VLOOKUP(A156,'Player Data'!A1:B673,2,FALSE)</f>
        <v>OTT</v>
      </c>
      <c r="C156" s="52" cm="1">
        <f t="array" ref="C156">((E156)*Settings!$C$12)+(F156*Settings!$C$2)+(G156*Settings!$C$3)+(H156*Settings!$C$4)+(I156*Settings!$C$5)+(K156*Settings!$C$9)+(N156*Settings!$C$6)+(J156*Settings!$C$8)+(O156*Settings!$C$7)+(P156*Settings!$C$14)+(Q156*Settings!$C$15)+(R156*Settings!$C$16)+(S156*Settings!$C$17)+(T156*Settings!$C$18)+(U156*Settings!$C$19)+(L156*Settings!$C$10)+(Settings!$C$11*M156)</f>
        <v>2.0788523658139031</v>
      </c>
      <c r="D156" s="57" cm="1">
        <f t="array" ref="D156">IF(Settings!$E$12="YES",VLOOKUP(A156,'Player Data'!A1:E673,5,FALSE),82)</f>
        <v>76.504999999999995</v>
      </c>
      <c r="E156" s="55" cm="1">
        <f t="array" ref="E156">(VLOOKUP($A156,'The List'!$B1:$AH671,17,FALSE)-AVERAGE('The List'!R2:R671))/STDEV('The List'!R2:R671)</f>
        <v>0.44843606518256235</v>
      </c>
      <c r="F156" s="55" cm="1">
        <f t="array" ref="F156">(VLOOKUP($A156,'The List'!$B1:$AH671,18,FALSE)-AVERAGE('The List'!S2:S671))/STDEV('The List'!S2:S671)</f>
        <v>0.93736483183770813</v>
      </c>
      <c r="G156" s="55" cm="1">
        <f t="array" ref="G156">(VLOOKUP($A156,'The List'!$B1:$AH671,19,FALSE)-AVERAGE('The List'!T2:T671))/STDEV('The List'!T2:T671)</f>
        <v>9.5430421224475578E-2</v>
      </c>
      <c r="H156" s="55" cm="1">
        <f t="array" ref="H156">(VLOOKUP($A156,'The List'!$B1:$AH671,20,FALSE)-AVERAGE('The List'!U2:U671))/STDEV('The List'!U2:U671)</f>
        <v>0.4759136163334261</v>
      </c>
      <c r="I156" s="55" cm="1">
        <f t="array" ref="I156">(VLOOKUP($A156,'The List'!$B1:$AH671,21,FALSE)-AVERAGE('The List'!V2:V671))/STDEV('The List'!V2:V671)</f>
        <v>0.67760665077712978</v>
      </c>
      <c r="J156" s="55" cm="1">
        <f t="array" ref="J156">(VLOOKUP($A156,'The List'!$B1:$AH671,22,FALSE)-AVERAGE('The List'!W2:W671))/STDEV('The List'!W2:W671)</f>
        <v>0.40961170558347726</v>
      </c>
      <c r="K156" s="55" cm="1">
        <f t="array" ref="K156">(VLOOKUP($A156,'The List'!$B1:$AH671,23,FALSE)-AVERAGE('The List'!X2:X671))/STDEV('The List'!X2:X671)</f>
        <v>-0.2092206797905824</v>
      </c>
      <c r="L156" s="55" cm="1">
        <f t="array" ref="L156">(VLOOKUP($A156,'The List'!$B1:$AH671,24,FALSE)-AVERAGE('The List'!Y2:Y671))/STDEV('The List'!Y2:Y671)</f>
        <v>2.7398322907311345</v>
      </c>
      <c r="M156" s="55" cm="1">
        <f t="array" ref="M156">(VLOOKUP($A156,'The List'!$B1:$AH671,25,FALSE)-AVERAGE('The List'!Z2:Z671))/STDEV('The List'!Z2:Z671)</f>
        <v>3.5495402813381678</v>
      </c>
      <c r="N156" s="55" cm="1">
        <f t="array" ref="N156">(VLOOKUP($A156,'The List'!$B1:$AH671,26,FALSE)-AVERAGE('The List'!AA2:AA671))/STDEV('The List'!AA2:AA671)</f>
        <v>-0.21931309520604675</v>
      </c>
      <c r="O156" s="55" cm="1">
        <f t="array" ref="O156">(VLOOKUP($A156,'The List'!$B1:$AH671,27,FALSE)-AVERAGE('The List'!AB2:AB671))/STDEV('The List'!AB2:AB671)</f>
        <v>0.11156456867062799</v>
      </c>
      <c r="P156" s="55" cm="1">
        <f t="array" ref="P156">(VLOOKUP($A156,'The List'!$B1:$AH671,28,FALSE)-AVERAGE('The List'!AC2:AC671))/STDEV('The List'!AC2:AC671)</f>
        <v>0.48562105282762841</v>
      </c>
      <c r="Q156" s="55" cm="1">
        <f t="array" ref="Q156">(VLOOKUP($A156,'The List'!$B1:$AH671,29,FALSE)-AVERAGE('The List'!AD2:AD671))/STDEV('The List'!AD2:AD671)</f>
        <v>0.31136318414359015</v>
      </c>
      <c r="R156" s="55" cm="1">
        <f t="array" ref="R156">(VLOOKUP($A156,'The List'!$B1:$AH671,30,FALSE)-AVERAGE('The List'!AE2:AE671))/STDEV('The List'!AE2:AE671)</f>
        <v>1.2259076350789233</v>
      </c>
      <c r="S156" s="55" cm="1">
        <f t="array" ref="S156">(VLOOKUP($A156,'The List'!$B1:$AH671,31,FALSE)-AVERAGE('The List'!AF2:AF671))/STDEV('The List'!AF2:AF671)</f>
        <v>1.4666101500858655</v>
      </c>
      <c r="T156" s="55" cm="1">
        <f t="array" ref="T156">(VLOOKUP($A156,'The List'!$B1:$AH671,32,FALSE)-AVERAGE('The List'!AG2:AG671))/STDEV('The List'!AG2:AG671)</f>
        <v>1.46099059679848</v>
      </c>
      <c r="U156" s="55" cm="1">
        <f t="array" ref="U156">(VLOOKUP($A156,'The List'!$B1:$AH671,33,FALSE)-AVERAGE('The List'!AH2:AH671))/STDEV('The List'!AH2:AH671)</f>
        <v>1.09026095470358</v>
      </c>
      <c r="V156" s="55"/>
      <c r="W156" s="78"/>
      <c r="X156" s="57"/>
      <c r="Y156" s="57"/>
      <c r="Z156" s="57"/>
      <c r="AA156" s="57"/>
      <c r="AB156" s="57"/>
      <c r="AC156" s="60"/>
      <c r="AD156" s="61"/>
      <c r="AE156" s="55"/>
    </row>
    <row r="157" spans="1:31" ht="21.25" customHeight="1" x14ac:dyDescent="0.15">
      <c r="A157" s="10" t="s">
        <v>332</v>
      </c>
      <c r="B157" s="18" t="str" cm="1">
        <f t="array" ref="B157">VLOOKUP(A157,'Player Data'!A1:B673,2,FALSE)</f>
        <v>CAR</v>
      </c>
      <c r="C157" s="52" cm="1">
        <f t="array" ref="C157">((E157)*Settings!$C$12)+(F157*Settings!$C$2)+(G157*Settings!$C$3)+(H157*Settings!$C$4)+(I157*Settings!$C$5)+(K157*Settings!$C$9)+(N157*Settings!$C$6)+(J157*Settings!$C$8)+(O157*Settings!$C$7)+(P157*Settings!$C$14)+(Q157*Settings!$C$15)+(R157*Settings!$C$16)+(S157*Settings!$C$17)+(T157*Settings!$C$18)+(U157*Settings!$C$19)+(L157*Settings!$C$10)+(Settings!$C$11*M157)</f>
        <v>4.8568396025492149</v>
      </c>
      <c r="D157" s="57" cm="1">
        <f t="array" ref="D157">IF(Settings!$E$12="YES",VLOOKUP(A157,'Player Data'!A1:E673,5,FALSE),82)</f>
        <v>83.277500000000003</v>
      </c>
      <c r="E157" s="55" cm="1">
        <f t="array" ref="E157">(VLOOKUP($A157,'The List'!$B1:$AH671,17,FALSE)-AVERAGE('The List'!R2:R671))/STDEV('The List'!R2:R671)</f>
        <v>-9.1886986428706838E-2</v>
      </c>
      <c r="F157" s="55" cm="1">
        <f t="array" ref="F157">(VLOOKUP($A157,'The List'!$B1:$AH671,18,FALSE)-AVERAGE('The List'!S2:S671))/STDEV('The List'!S2:S671)</f>
        <v>1.1182658805811736</v>
      </c>
      <c r="G157" s="55" cm="1">
        <f t="array" ref="G157">(VLOOKUP($A157,'The List'!$B1:$AH671,19,FALSE)-AVERAGE('The List'!T2:T671))/STDEV('The List'!T2:T671)</f>
        <v>0.631513170580568</v>
      </c>
      <c r="H157" s="55" cm="1">
        <f t="array" ref="H157">(VLOOKUP($A157,'The List'!$B1:$AH671,20,FALSE)-AVERAGE('The List'!U2:U671))/STDEV('The List'!U2:U671)</f>
        <v>0.89336869621816772</v>
      </c>
      <c r="I157" s="55" cm="1">
        <f t="array" ref="I157">(VLOOKUP($A157,'The List'!$B1:$AH671,21,FALSE)-AVERAGE('The List'!V2:V671))/STDEV('The List'!V2:V671)</f>
        <v>0.98877167590866377</v>
      </c>
      <c r="J157" s="55" cm="1">
        <f t="array" ref="J157">(VLOOKUP($A157,'The List'!$B1:$AH671,22,FALSE)-AVERAGE('The List'!W2:W671))/STDEV('The List'!W2:W671)</f>
        <v>0.51293507589809451</v>
      </c>
      <c r="K157" s="55" cm="1">
        <f t="array" ref="K157">(VLOOKUP($A157,'The List'!$B1:$AH671,23,FALSE)-AVERAGE('The List'!X2:X671))/STDEV('The List'!X2:X671)</f>
        <v>0.43446035906567737</v>
      </c>
      <c r="L157" s="55" cm="1">
        <f t="array" ref="L157">(VLOOKUP($A157,'The List'!$B1:$AH671,24,FALSE)-AVERAGE('The List'!Y2:Y671))/STDEV('The List'!Y2:Y671)</f>
        <v>-0.53068263536951232</v>
      </c>
      <c r="M157" s="55" cm="1">
        <f t="array" ref="M157">(VLOOKUP($A157,'The List'!$B1:$AH671,25,FALSE)-AVERAGE('The List'!Z2:Z671))/STDEV('The List'!Z2:Z671)</f>
        <v>-0.67328629259221684</v>
      </c>
      <c r="N157" s="55" cm="1">
        <f t="array" ref="N157">(VLOOKUP($A157,'The List'!$B1:$AH671,26,FALSE)-AVERAGE('The List'!AA2:AA671))/STDEV('The List'!AA2:AA671)</f>
        <v>-0.69189143598730563</v>
      </c>
      <c r="O157" s="55" cm="1">
        <f t="array" ref="O157">(VLOOKUP($A157,'The List'!$B1:$AH671,27,FALSE)-AVERAGE('The List'!AB2:AB671))/STDEV('The List'!AB2:AB671)</f>
        <v>-1.2384922045562516</v>
      </c>
      <c r="P157" s="55" cm="1">
        <f t="array" ref="P157">(VLOOKUP($A157,'The List'!$B1:$AH671,28,FALSE)-AVERAGE('The List'!AC2:AC671))/STDEV('The List'!AC2:AC671)</f>
        <v>1.9413915756136064</v>
      </c>
      <c r="Q157" s="55" cm="1">
        <f t="array" ref="Q157">(VLOOKUP($A157,'The List'!$B1:$AH671,29,FALSE)-AVERAGE('The List'!AD2:AD671))/STDEV('The List'!AD2:AD671)</f>
        <v>0.43432837678683167</v>
      </c>
      <c r="R157" s="55" cm="1">
        <f t="array" ref="R157">(VLOOKUP($A157,'The List'!$B1:$AH671,30,FALSE)-AVERAGE('The List'!AE2:AE671))/STDEV('The List'!AE2:AE671)</f>
        <v>1.338393371247858</v>
      </c>
      <c r="S157" s="55" cm="1">
        <f t="array" ref="S157">(VLOOKUP($A157,'The List'!$B1:$AH671,31,FALSE)-AVERAGE('The List'!AF2:AF671))/STDEV('The List'!AF2:AF671)</f>
        <v>-0.58028919747386964</v>
      </c>
      <c r="T157" s="55" cm="1">
        <f t="array" ref="T157">(VLOOKUP($A157,'The List'!$B1:$AH671,32,FALSE)-AVERAGE('The List'!AG2:AG671))/STDEV('The List'!AG2:AG671)</f>
        <v>-0.58878520422316072</v>
      </c>
      <c r="U157" s="55" cm="1">
        <f t="array" ref="U157">(VLOOKUP($A157,'The List'!$B1:$AH671,33,FALSE)-AVERAGE('The List'!AH2:AH671))/STDEV('The List'!AH2:AH671)</f>
        <v>-0.32223889634202091</v>
      </c>
      <c r="V157" s="55"/>
      <c r="W157" s="78"/>
      <c r="X157" s="57"/>
      <c r="Y157" s="57"/>
      <c r="Z157" s="57"/>
      <c r="AA157" s="57"/>
      <c r="AB157" s="57"/>
      <c r="AC157" s="60"/>
      <c r="AD157" s="61"/>
      <c r="AE157" s="55"/>
    </row>
    <row r="158" spans="1:31" ht="21.25" customHeight="1" x14ac:dyDescent="0.15">
      <c r="A158" s="10" t="s">
        <v>596</v>
      </c>
      <c r="B158" s="18" t="str" cm="1">
        <f t="array" ref="B158">VLOOKUP(A158,'Player Data'!A1:B673,2,FALSE)</f>
        <v>DAL</v>
      </c>
      <c r="C158" s="52" cm="1">
        <f t="array" ref="C158">((E158)*Settings!$C$12)+(F158*Settings!$C$2)+(G158*Settings!$C$3)+(H158*Settings!$C$4)+(I158*Settings!$C$5)+(K158*Settings!$C$9)+(N158*Settings!$C$6)+(J158*Settings!$C$8)+(O158*Settings!$C$7)+(P158*Settings!$C$14)+(Q158*Settings!$C$15)+(R158*Settings!$C$16)+(S158*Settings!$C$17)+(T158*Settings!$C$18)+(U158*Settings!$C$19)+(L158*Settings!$C$10)+(Settings!$C$11*M158)</f>
        <v>-1.588240919396203</v>
      </c>
      <c r="D158" s="57" cm="1">
        <f t="array" ref="D158">IF(Settings!$E$12="YES",VLOOKUP(A158,'Player Data'!A1:E673,5,FALSE),82)</f>
        <v>64.342500000000001</v>
      </c>
      <c r="E158" s="55" cm="1">
        <f t="array" ref="E158">(VLOOKUP($A158,'The List'!$B1:$AH671,17,FALSE)-AVERAGE('The List'!R2:R671))/STDEV('The List'!R2:R671)</f>
        <v>-0.4337556760113544</v>
      </c>
      <c r="F158" s="55" cm="1">
        <f t="array" ref="F158">(VLOOKUP($A158,'The List'!$B1:$AH671,18,FALSE)-AVERAGE('The List'!S2:S671))/STDEV('The List'!S2:S671)</f>
        <v>0.35255331546526619</v>
      </c>
      <c r="G158" s="55" cm="1">
        <f t="array" ref="G158">(VLOOKUP($A158,'The List'!$B1:$AH671,19,FALSE)-AVERAGE('The List'!T2:T671))/STDEV('The List'!T2:T671)</f>
        <v>-4.5034647567065052E-2</v>
      </c>
      <c r="H158" s="55" cm="1">
        <f t="array" ref="H158">(VLOOKUP($A158,'The List'!$B1:$AH671,20,FALSE)-AVERAGE('The List'!U2:U671))/STDEV('The List'!U2:U671)</f>
        <v>0.12809368125278284</v>
      </c>
      <c r="I158" s="55" cm="1">
        <f t="array" ref="I158">(VLOOKUP($A158,'The List'!$B1:$AH671,21,FALSE)-AVERAGE('The List'!V2:V671))/STDEV('The List'!V2:V671)</f>
        <v>-0.44050113262347113</v>
      </c>
      <c r="J158" s="55" cm="1">
        <f t="array" ref="J158">(VLOOKUP($A158,'The List'!$B1:$AH671,22,FALSE)-AVERAGE('The List'!W2:W671))/STDEV('The List'!W2:W671)</f>
        <v>-6.9241530053406053E-2</v>
      </c>
      <c r="K158" s="55" cm="1">
        <f t="array" ref="K158">(VLOOKUP($A158,'The List'!$B1:$AH671,23,FALSE)-AVERAGE('The List'!X2:X671))/STDEV('The List'!X2:X671)</f>
        <v>-0.28731084463866369</v>
      </c>
      <c r="L158" s="55" cm="1">
        <f t="array" ref="L158">(VLOOKUP($A158,'The List'!$B1:$AH671,24,FALSE)-AVERAGE('The List'!Y2:Y671))/STDEV('The List'!Y2:Y671)</f>
        <v>-0.46835135549747181</v>
      </c>
      <c r="M158" s="55" cm="1">
        <f t="array" ref="M158">(VLOOKUP($A158,'The List'!$B1:$AH671,25,FALSE)-AVERAGE('The List'!Z2:Z671))/STDEV('The List'!Z2:Z671)</f>
        <v>-0.51904600919533994</v>
      </c>
      <c r="N158" s="55" cm="1">
        <f t="array" ref="N158">(VLOOKUP($A158,'The List'!$B1:$AH671,26,FALSE)-AVERAGE('The List'!AA2:AA671))/STDEV('The List'!AA2:AA671)</f>
        <v>-1.1176075185098462</v>
      </c>
      <c r="O158" s="55" cm="1">
        <f t="array" ref="O158">(VLOOKUP($A158,'The List'!$B1:$AH671,27,FALSE)-AVERAGE('The List'!AB2:AB671))/STDEV('The List'!AB2:AB671)</f>
        <v>-0.81397711733204714</v>
      </c>
      <c r="P158" s="55" cm="1">
        <f t="array" ref="P158">(VLOOKUP($A158,'The List'!$B1:$AH671,28,FALSE)-AVERAGE('The List'!AC2:AC671))/STDEV('The List'!AC2:AC671)</f>
        <v>0.99639656451985392</v>
      </c>
      <c r="Q158" s="55" cm="1">
        <f t="array" ref="Q158">(VLOOKUP($A158,'The List'!$B1:$AH671,29,FALSE)-AVERAGE('The List'!AD2:AD671))/STDEV('The List'!AD2:AD671)</f>
        <v>-1.0467366560422773</v>
      </c>
      <c r="R158" s="55" cm="1">
        <f t="array" ref="R158">(VLOOKUP($A158,'The List'!$B1:$AH671,30,FALSE)-AVERAGE('The List'!AE2:AE671))/STDEV('The List'!AE2:AE671)</f>
        <v>0.48864533697088269</v>
      </c>
      <c r="S158" s="55" cm="1">
        <f t="array" ref="S158">(VLOOKUP($A158,'The List'!$B1:$AH671,31,FALSE)-AVERAGE('The List'!AF2:AF671))/STDEV('The List'!AF2:AF671)</f>
        <v>0.75315073646371933</v>
      </c>
      <c r="T158" s="55" cm="1">
        <f t="array" ref="T158">(VLOOKUP($A158,'The List'!$B1:$AH671,32,FALSE)-AVERAGE('The List'!AG2:AG671))/STDEV('The List'!AG2:AG671)</f>
        <v>0.54034687704483342</v>
      </c>
      <c r="U158" s="55" cm="1">
        <f t="array" ref="U158">(VLOOKUP($A158,'The List'!$B1:$AH671,33,FALSE)-AVERAGE('The List'!AH2:AH671))/STDEV('The List'!AH2:AH671)</f>
        <v>1.2612562882219696</v>
      </c>
      <c r="V158" s="55"/>
      <c r="W158" s="57"/>
      <c r="X158" s="55"/>
      <c r="Y158" s="55"/>
      <c r="Z158" s="55"/>
      <c r="AA158" s="55"/>
      <c r="AB158" s="55"/>
      <c r="AC158" s="55"/>
      <c r="AD158" s="55"/>
      <c r="AE158" s="55"/>
    </row>
    <row r="159" spans="1:31" ht="21.25" customHeight="1" x14ac:dyDescent="0.15">
      <c r="A159" s="10" t="s">
        <v>363</v>
      </c>
      <c r="B159" s="18" t="str" cm="1">
        <f t="array" ref="B159">VLOOKUP(A159,'Player Data'!A1:B673,2,FALSE)</f>
        <v>FLA</v>
      </c>
      <c r="C159" s="52" cm="1">
        <f t="array" ref="C159">((E159)*Settings!$C$12)+(F159*Settings!$C$2)+(G159*Settings!$C$3)+(H159*Settings!$C$4)+(I159*Settings!$C$5)+(K159*Settings!$C$9)+(N159*Settings!$C$6)+(J159*Settings!$C$8)+(O159*Settings!$C$7)+(P159*Settings!$C$14)+(Q159*Settings!$C$15)+(R159*Settings!$C$16)+(S159*Settings!$C$17)+(T159*Settings!$C$18)+(U159*Settings!$C$19)+(L159*Settings!$C$10)+(Settings!$C$11*M159)</f>
        <v>2.497578424087465</v>
      </c>
      <c r="D159" s="57" cm="1">
        <f t="array" ref="D159">IF(Settings!$E$12="YES",VLOOKUP(A159,'Player Data'!A1:E673,5,FALSE),82)</f>
        <v>80.022499999999994</v>
      </c>
      <c r="E159" s="55" cm="1">
        <f t="array" ref="E159">(VLOOKUP($A159,'The List'!$B1:$AH671,17,FALSE)-AVERAGE('The List'!R2:R671))/STDEV('The List'!R2:R671)</f>
        <v>0.17399041808224786</v>
      </c>
      <c r="F159" s="55" cm="1">
        <f t="array" ref="F159">(VLOOKUP($A159,'The List'!$B1:$AH671,18,FALSE)-AVERAGE('The List'!S2:S671))/STDEV('The List'!S2:S671)</f>
        <v>0.5994093601998105</v>
      </c>
      <c r="G159" s="55" cm="1">
        <f t="array" ref="G159">(VLOOKUP($A159,'The List'!$B1:$AH671,19,FALSE)-AVERAGE('The List'!T2:T671))/STDEV('The List'!T2:T671)</f>
        <v>0.46886245149660172</v>
      </c>
      <c r="H159" s="55" cm="1">
        <f t="array" ref="H159">(VLOOKUP($A159,'The List'!$B1:$AH671,20,FALSE)-AVERAGE('The List'!U2:U671))/STDEV('The List'!U2:U671)</f>
        <v>0.56085690118666176</v>
      </c>
      <c r="I159" s="55" cm="1">
        <f t="array" ref="I159">(VLOOKUP($A159,'The List'!$B1:$AH671,21,FALSE)-AVERAGE('The List'!V2:V671))/STDEV('The List'!V2:V671)</f>
        <v>0.68126128668140995</v>
      </c>
      <c r="J159" s="55" cm="1">
        <f t="array" ref="J159">(VLOOKUP($A159,'The List'!$B1:$AH671,22,FALSE)-AVERAGE('The List'!W2:W671))/STDEV('The List'!W2:W671)</f>
        <v>0.15280911172925077</v>
      </c>
      <c r="K159" s="55" cm="1">
        <f t="array" ref="K159">(VLOOKUP($A159,'The List'!$B1:$AH671,23,FALSE)-AVERAGE('The List'!X2:X671))/STDEV('The List'!X2:X671)</f>
        <v>0.32322407560952565</v>
      </c>
      <c r="L159" s="55" cm="1">
        <f t="array" ref="L159">(VLOOKUP($A159,'The List'!$B1:$AH671,24,FALSE)-AVERAGE('The List'!Y2:Y671))/STDEV('The List'!Y2:Y671)</f>
        <v>1.3285799638498765</v>
      </c>
      <c r="M159" s="55" cm="1">
        <f t="array" ref="M159">(VLOOKUP($A159,'The List'!$B1:$AH671,25,FALSE)-AVERAGE('The List'!Z2:Z671))/STDEV('The List'!Z2:Z671)</f>
        <v>1.4477492910480032</v>
      </c>
      <c r="N159" s="55" cm="1">
        <f t="array" ref="N159">(VLOOKUP($A159,'The List'!$B1:$AH671,26,FALSE)-AVERAGE('The List'!AA2:AA671))/STDEV('The List'!AA2:AA671)</f>
        <v>-0.49011177738105371</v>
      </c>
      <c r="O159" s="55" cm="1">
        <f t="array" ref="O159">(VLOOKUP($A159,'The List'!$B1:$AH671,27,FALSE)-AVERAGE('The List'!AB2:AB671))/STDEV('The List'!AB2:AB671)</f>
        <v>0.1975968028004165</v>
      </c>
      <c r="P159" s="55" cm="1">
        <f t="array" ref="P159">(VLOOKUP($A159,'The List'!$B1:$AH671,28,FALSE)-AVERAGE('The List'!AC2:AC671))/STDEV('The List'!AC2:AC671)</f>
        <v>0.6880502644254114</v>
      </c>
      <c r="Q159" s="55" cm="1">
        <f t="array" ref="Q159">(VLOOKUP($A159,'The List'!$B1:$AH671,29,FALSE)-AVERAGE('The List'!AD2:AD671))/STDEV('The List'!AD2:AD671)</f>
        <v>0.22688276305575933</v>
      </c>
      <c r="R159" s="55" cm="1">
        <f t="array" ref="R159">(VLOOKUP($A159,'The List'!$B1:$AH671,30,FALSE)-AVERAGE('The List'!AE2:AE671))/STDEV('The List'!AE2:AE671)</f>
        <v>0.71718819808826451</v>
      </c>
      <c r="S159" s="55" cm="1">
        <f t="array" ref="S159">(VLOOKUP($A159,'The List'!$B1:$AH671,31,FALSE)-AVERAGE('The List'!AF2:AF671))/STDEV('The List'!AF2:AF671)</f>
        <v>2.4652180143399915</v>
      </c>
      <c r="T159" s="55" cm="1">
        <f t="array" ref="T159">(VLOOKUP($A159,'The List'!$B1:$AH671,32,FALSE)-AVERAGE('The List'!AG2:AG671))/STDEV('The List'!AG2:AG671)</f>
        <v>2.2453618787190517</v>
      </c>
      <c r="U159" s="55" cm="1">
        <f t="array" ref="U159">(VLOOKUP($A159,'The List'!$B1:$AH671,33,FALSE)-AVERAGE('The List'!AH2:AH671))/STDEV('The List'!AH2:AH671)</f>
        <v>1.1805466848952679</v>
      </c>
      <c r="V159" s="55"/>
      <c r="W159" s="78"/>
      <c r="X159" s="57"/>
      <c r="Y159" s="57"/>
      <c r="Z159" s="57"/>
      <c r="AA159" s="57"/>
      <c r="AB159" s="57"/>
      <c r="AC159" s="60"/>
      <c r="AD159" s="61"/>
      <c r="AE159" s="55"/>
    </row>
    <row r="160" spans="1:31" ht="21.25" customHeight="1" x14ac:dyDescent="0.15">
      <c r="A160" s="10" t="s">
        <v>404</v>
      </c>
      <c r="B160" s="18" t="str" cm="1">
        <f t="array" ref="B160">VLOOKUP(A160,'Player Data'!A1:B673,2,FALSE)</f>
        <v>BUF</v>
      </c>
      <c r="C160" s="52" cm="1">
        <f t="array" ref="C160">((E160)*Settings!$C$12)+(F160*Settings!$C$2)+(G160*Settings!$C$3)+(H160*Settings!$C$4)+(I160*Settings!$C$5)+(K160*Settings!$C$9)+(N160*Settings!$C$6)+(J160*Settings!$C$8)+(O160*Settings!$C$7)+(P160*Settings!$C$14)+(Q160*Settings!$C$15)+(R160*Settings!$C$16)+(S160*Settings!$C$17)+(T160*Settings!$C$18)+(U160*Settings!$C$19)+(L160*Settings!$C$10)+(Settings!$C$11*M160)</f>
        <v>0.47826364702370405</v>
      </c>
      <c r="D160" s="57" cm="1">
        <f t="array" ref="D160">IF(Settings!$E$12="YES",VLOOKUP(A160,'Player Data'!A1:E673,5,FALSE),82)</f>
        <v>77.430000000000007</v>
      </c>
      <c r="E160" s="55" cm="1">
        <f t="array" ref="E160">(VLOOKUP($A160,'The List'!$B1:$AH671,17,FALSE)-AVERAGE('The List'!R2:R671))/STDEV('The List'!R2:R671)</f>
        <v>-0.25649177363580183</v>
      </c>
      <c r="F160" s="55" cm="1">
        <f t="array" ref="F160">(VLOOKUP($A160,'The List'!$B1:$AH671,18,FALSE)-AVERAGE('The List'!S2:S671))/STDEV('The List'!S2:S671)</f>
        <v>0.54021019642153079</v>
      </c>
      <c r="G160" s="55" cm="1">
        <f t="array" ref="G160">(VLOOKUP($A160,'The List'!$B1:$AH671,19,FALSE)-AVERAGE('The List'!T2:T671))/STDEV('The List'!T2:T671)</f>
        <v>0.37996282876778131</v>
      </c>
      <c r="H160" s="55" cm="1">
        <f t="array" ref="H160">(VLOOKUP($A160,'The List'!$B1:$AH671,20,FALSE)-AVERAGE('The List'!U2:U671))/STDEV('The List'!U2:U671)</f>
        <v>0.47867412653629887</v>
      </c>
      <c r="I160" s="55" cm="1">
        <f t="array" ref="I160">(VLOOKUP($A160,'The List'!$B1:$AH671,21,FALSE)-AVERAGE('The List'!V2:V671))/STDEV('The List'!V2:V671)</f>
        <v>0.77015998157023202</v>
      </c>
      <c r="J160" s="55" cm="1">
        <f t="array" ref="J160">(VLOOKUP($A160,'The List'!$B1:$AH671,22,FALSE)-AVERAGE('The List'!W2:W671))/STDEV('The List'!W2:W671)</f>
        <v>0.40831752170964664</v>
      </c>
      <c r="K160" s="55" cm="1">
        <f t="array" ref="K160">(VLOOKUP($A160,'The List'!$B1:$AH671,23,FALSE)-AVERAGE('The List'!X2:X671))/STDEV('The List'!X2:X671)</f>
        <v>0.49235719117307314</v>
      </c>
      <c r="L160" s="55" cm="1">
        <f t="array" ref="L160">(VLOOKUP($A160,'The List'!$B1:$AH671,24,FALSE)-AVERAGE('The List'!Y2:Y671))/STDEV('The List'!Y2:Y671)</f>
        <v>-0.48882669797605005</v>
      </c>
      <c r="M160" s="55" cm="1">
        <f t="array" ref="M160">(VLOOKUP($A160,'The List'!$B1:$AH671,25,FALSE)-AVERAGE('The List'!Z2:Z671))/STDEV('The List'!Z2:Z671)</f>
        <v>-0.63225308797630408</v>
      </c>
      <c r="N160" s="55" cm="1">
        <f t="array" ref="N160">(VLOOKUP($A160,'The List'!$B1:$AH671,26,FALSE)-AVERAGE('The List'!AA2:AA671))/STDEV('The List'!AA2:AA671)</f>
        <v>-0.95482369778871468</v>
      </c>
      <c r="O160" s="55" cm="1">
        <f t="array" ref="O160">(VLOOKUP($A160,'The List'!$B1:$AH671,27,FALSE)-AVERAGE('The List'!AB2:AB671))/STDEV('The List'!AB2:AB671)</f>
        <v>-0.69278019892835885</v>
      </c>
      <c r="P160" s="55" cm="1">
        <f t="array" ref="P160">(VLOOKUP($A160,'The List'!$B1:$AH671,28,FALSE)-AVERAGE('The List'!AC2:AC671))/STDEV('The List'!AC2:AC671)</f>
        <v>3.1953941856401609E-2</v>
      </c>
      <c r="Q160" s="55" cm="1">
        <f t="array" ref="Q160">(VLOOKUP($A160,'The List'!$B1:$AH671,29,FALSE)-AVERAGE('The List'!AD2:AD671))/STDEV('The List'!AD2:AD671)</f>
        <v>-0.78155679497660047</v>
      </c>
      <c r="R160" s="55" cm="1">
        <f t="array" ref="R160">(VLOOKUP($A160,'The List'!$B1:$AH671,30,FALSE)-AVERAGE('The List'!AE2:AE671))/STDEV('The List'!AE2:AE671)</f>
        <v>0.46775782066281002</v>
      </c>
      <c r="S160" s="55" cm="1">
        <f t="array" ref="S160">(VLOOKUP($A160,'The List'!$B1:$AH671,31,FALSE)-AVERAGE('The List'!AF2:AF671))/STDEV('The List'!AF2:AF671)</f>
        <v>-0.58174376051194354</v>
      </c>
      <c r="T160" s="55" cm="1">
        <f t="array" ref="T160">(VLOOKUP($A160,'The List'!$B1:$AH671,32,FALSE)-AVERAGE('The List'!AG2:AG671))/STDEV('The List'!AG2:AG671)</f>
        <v>-0.59945114609916594</v>
      </c>
      <c r="U160" s="55" cm="1">
        <f t="array" ref="U160">(VLOOKUP($A160,'The List'!$B1:$AH671,33,FALSE)-AVERAGE('The List'!AH2:AH671))/STDEV('The List'!AH2:AH671)</f>
        <v>-0.25055625938695103</v>
      </c>
      <c r="V160" s="55"/>
      <c r="W160" s="78"/>
      <c r="X160" s="57"/>
      <c r="Y160" s="57"/>
      <c r="Z160" s="57"/>
      <c r="AA160" s="57"/>
      <c r="AB160" s="57"/>
      <c r="AC160" s="60"/>
      <c r="AD160" s="61"/>
      <c r="AE160" s="55"/>
    </row>
    <row r="161" spans="1:31" ht="21.25" customHeight="1" x14ac:dyDescent="0.15">
      <c r="A161" s="10" t="s">
        <v>309</v>
      </c>
      <c r="B161" s="18" t="str" cm="1">
        <f t="array" ref="B161">VLOOKUP(A161,'Player Data'!A1:B673,2,FALSE)</f>
        <v>MIN</v>
      </c>
      <c r="C161" s="52" cm="1">
        <f t="array" ref="C161">((E161)*Settings!$C$12)+(F161*Settings!$C$2)+(G161*Settings!$C$3)+(H161*Settings!$C$4)+(I161*Settings!$C$5)+(K161*Settings!$C$9)+(N161*Settings!$C$6)+(J161*Settings!$C$8)+(O161*Settings!$C$7)+(P161*Settings!$C$14)+(Q161*Settings!$C$15)+(R161*Settings!$C$16)+(S161*Settings!$C$17)+(T161*Settings!$C$18)+(U161*Settings!$C$19)+(L161*Settings!$C$10)+(Settings!$C$11*M161)</f>
        <v>6.0876328239385975</v>
      </c>
      <c r="D161" s="57" cm="1">
        <f t="array" ref="D161">IF(Settings!$E$12="YES",VLOOKUP(A161,'Player Data'!A1:E673,5,FALSE),82)</f>
        <v>80.377499999999998</v>
      </c>
      <c r="E161" s="55" cm="1">
        <f t="array" ref="E161">(VLOOKUP($A161,'The List'!$B1:$AH671,17,FALSE)-AVERAGE('The List'!R2:R671))/STDEV('The List'!R2:R671)</f>
        <v>0.2175803401475036</v>
      </c>
      <c r="F161" s="55" cm="1">
        <f t="array" ref="F161">(VLOOKUP($A161,'The List'!$B1:$AH671,18,FALSE)-AVERAGE('The List'!S2:S671))/STDEV('The List'!S2:S671)</f>
        <v>1.1256604125797776</v>
      </c>
      <c r="G161" s="55" cm="1">
        <f t="array" ref="G161">(VLOOKUP($A161,'The List'!$B1:$AH671,19,FALSE)-AVERAGE('The List'!T2:T671))/STDEV('The List'!T2:T671)</f>
        <v>9.5405746481918199E-2</v>
      </c>
      <c r="H161" s="55" cm="1">
        <f t="array" ref="H161">(VLOOKUP($A161,'The List'!$B1:$AH671,20,FALSE)-AVERAGE('The List'!U2:U671))/STDEV('The List'!U2:U671)</f>
        <v>0.55944074917213926</v>
      </c>
      <c r="I161" s="55" cm="1">
        <f t="array" ref="I161">(VLOOKUP($A161,'The List'!$B1:$AH671,21,FALSE)-AVERAGE('The List'!V2:V671))/STDEV('The List'!V2:V671)</f>
        <v>1.302027072660062</v>
      </c>
      <c r="J161" s="55" cm="1">
        <f t="array" ref="J161">(VLOOKUP($A161,'The List'!$B1:$AH671,22,FALSE)-AVERAGE('The List'!W2:W671))/STDEV('The List'!W2:W671)</f>
        <v>1.994101816955437</v>
      </c>
      <c r="K161" s="55" cm="1">
        <f t="array" ref="K161">(VLOOKUP($A161,'The List'!$B1:$AH671,23,FALSE)-AVERAGE('The List'!X2:X671))/STDEV('The List'!X2:X671)</f>
        <v>0.87869172224270398</v>
      </c>
      <c r="L161" s="55" cm="1">
        <f t="array" ref="L161">(VLOOKUP($A161,'The List'!$B1:$AH671,24,FALSE)-AVERAGE('The List'!Y2:Y671))/STDEV('The List'!Y2:Y671)</f>
        <v>-0.54171244098620075</v>
      </c>
      <c r="M161" s="55" cm="1">
        <f t="array" ref="M161">(VLOOKUP($A161,'The List'!$B1:$AH671,25,FALSE)-AVERAGE('The List'!Z2:Z671))/STDEV('The List'!Z2:Z671)</f>
        <v>-0.68429456353878482</v>
      </c>
      <c r="N161" s="55" cm="1">
        <f t="array" ref="N161">(VLOOKUP($A161,'The List'!$B1:$AH671,26,FALSE)-AVERAGE('The List'!AA2:AA671))/STDEV('The List'!AA2:AA671)</f>
        <v>0.40000343388702192</v>
      </c>
      <c r="O161" s="55" cm="1">
        <f t="array" ref="O161">(VLOOKUP($A161,'The List'!$B1:$AH671,27,FALSE)-AVERAGE('The List'!AB2:AB671))/STDEV('The List'!AB2:AB671)</f>
        <v>-0.22177294123832311</v>
      </c>
      <c r="P161" s="55" cm="1">
        <f t="array" ref="P161">(VLOOKUP($A161,'The List'!$B1:$AH671,28,FALSE)-AVERAGE('The List'!AC2:AC671))/STDEV('The List'!AC2:AC671)</f>
        <v>0.54053226600495752</v>
      </c>
      <c r="Q161" s="55" cm="1">
        <f t="array" ref="Q161">(VLOOKUP($A161,'The List'!$B1:$AH671,29,FALSE)-AVERAGE('The List'!AD2:AD671))/STDEV('The List'!AD2:AD671)</f>
        <v>1.7453121700821563</v>
      </c>
      <c r="R161" s="55" cm="1">
        <f t="array" ref="R161">(VLOOKUP($A161,'The List'!$B1:$AH671,30,FALSE)-AVERAGE('The List'!AE2:AE671))/STDEV('The List'!AE2:AE671)</f>
        <v>1.2083778533065961</v>
      </c>
      <c r="S161" s="55" cm="1">
        <f t="array" ref="S161">(VLOOKUP($A161,'The List'!$B1:$AH671,31,FALSE)-AVERAGE('The List'!AF2:AF671))/STDEV('The List'!AF2:AF671)</f>
        <v>1.8817695062323159</v>
      </c>
      <c r="T161" s="55" cm="1">
        <f t="array" ref="T161">(VLOOKUP($A161,'The List'!$B1:$AH671,32,FALSE)-AVERAGE('The List'!AG2:AG671))/STDEV('The List'!AG2:AG671)</f>
        <v>2.3914946307081943</v>
      </c>
      <c r="U161" s="55" cm="1">
        <f t="array" ref="U161">(VLOOKUP($A161,'The List'!$B1:$AH671,33,FALSE)-AVERAGE('The List'!AH2:AH671))/STDEV('The List'!AH2:AH671)</f>
        <v>0.8811293229467112</v>
      </c>
      <c r="V161" s="55"/>
      <c r="W161" s="78"/>
      <c r="X161" s="57"/>
      <c r="Y161" s="57"/>
      <c r="Z161" s="57"/>
      <c r="AA161" s="57"/>
      <c r="AB161" s="57"/>
      <c r="AC161" s="60"/>
      <c r="AD161" s="61"/>
      <c r="AE161" s="55"/>
    </row>
    <row r="162" spans="1:31" ht="21.25" customHeight="1" x14ac:dyDescent="0.15">
      <c r="A162" s="10" t="s">
        <v>401</v>
      </c>
      <c r="B162" s="18" t="str" cm="1">
        <f t="array" ref="B162">VLOOKUP(A162,'Player Data'!A1:B673,2,FALSE)</f>
        <v>SEA</v>
      </c>
      <c r="C162" s="52" cm="1">
        <f t="array" ref="C162">((E162)*Settings!$C$12)+(F162*Settings!$C$2)+(G162*Settings!$C$3)+(H162*Settings!$C$4)+(I162*Settings!$C$5)+(K162*Settings!$C$9)+(N162*Settings!$C$6)+(J162*Settings!$C$8)+(O162*Settings!$C$7)+(P162*Settings!$C$14)+(Q162*Settings!$C$15)+(R162*Settings!$C$16)+(S162*Settings!$C$17)+(T162*Settings!$C$18)+(U162*Settings!$C$19)+(L162*Settings!$C$10)+(Settings!$C$11*M162)</f>
        <v>-0.1944645468798219</v>
      </c>
      <c r="D162" s="57" cm="1">
        <f t="array" ref="D162">IF(Settings!$E$12="YES",VLOOKUP(A162,'Player Data'!A1:E673,5,FALSE),82)</f>
        <v>77.775000000000006</v>
      </c>
      <c r="E162" s="55" cm="1">
        <f t="array" ref="E162">(VLOOKUP($A162,'The List'!$B1:$AH671,17,FALSE)-AVERAGE('The List'!R2:R671))/STDEV('The List'!R2:R671)</f>
        <v>0.31893461217071528</v>
      </c>
      <c r="F162" s="55" cm="1">
        <f t="array" ref="F162">(VLOOKUP($A162,'The List'!$B1:$AH671,18,FALSE)-AVERAGE('The List'!S2:S671))/STDEV('The List'!S2:S671)</f>
        <v>0.68245427298583861</v>
      </c>
      <c r="G162" s="55" cm="1">
        <f t="array" ref="G162">(VLOOKUP($A162,'The List'!$B1:$AH671,19,FALSE)-AVERAGE('The List'!T2:T671))/STDEV('The List'!T2:T671)</f>
        <v>0.29302610940080176</v>
      </c>
      <c r="H162" s="55" cm="1">
        <f t="array" ref="H162">(VLOOKUP($A162,'The List'!$B1:$AH671,20,FALSE)-AVERAGE('The List'!U2:U671))/STDEV('The List'!U2:U671)</f>
        <v>0.48710199142086574</v>
      </c>
      <c r="I162" s="55" cm="1">
        <f t="array" ref="I162">(VLOOKUP($A162,'The List'!$B1:$AH671,21,FALSE)-AVERAGE('The List'!V2:V671))/STDEV('The List'!V2:V671)</f>
        <v>0.57666103449032879</v>
      </c>
      <c r="J162" s="55" cm="1">
        <f t="array" ref="J162">(VLOOKUP($A162,'The List'!$B1:$AH671,22,FALSE)-AVERAGE('The List'!W2:W671))/STDEV('The List'!W2:W671)</f>
        <v>0.3705144245392698</v>
      </c>
      <c r="K162" s="55" cm="1">
        <f t="array" ref="K162">(VLOOKUP($A162,'The List'!$B1:$AH671,23,FALSE)-AVERAGE('The List'!X2:X671))/STDEV('The List'!X2:X671)</f>
        <v>0.53668546795887284</v>
      </c>
      <c r="L162" s="55" cm="1">
        <f t="array" ref="L162">(VLOOKUP($A162,'The List'!$B1:$AH671,24,FALSE)-AVERAGE('The List'!Y2:Y671))/STDEV('The List'!Y2:Y671)</f>
        <v>-0.52070066396360604</v>
      </c>
      <c r="M162" s="55" cm="1">
        <f t="array" ref="M162">(VLOOKUP($A162,'The List'!$B1:$AH671,25,FALSE)-AVERAGE('The List'!Z2:Z671))/STDEV('The List'!Z2:Z671)</f>
        <v>-0.66277830290679496</v>
      </c>
      <c r="N162" s="55" cm="1">
        <f t="array" ref="N162">(VLOOKUP($A162,'The List'!$B1:$AH671,26,FALSE)-AVERAGE('The List'!AA2:AA671))/STDEV('The List'!AA2:AA671)</f>
        <v>-0.58536768478759937</v>
      </c>
      <c r="O162" s="55" cm="1">
        <f t="array" ref="O162">(VLOOKUP($A162,'The List'!$B1:$AH671,27,FALSE)-AVERAGE('The List'!AB2:AB671))/STDEV('The List'!AB2:AB671)</f>
        <v>-0.72933749092483624</v>
      </c>
      <c r="P162" s="55" cm="1">
        <f t="array" ref="P162">(VLOOKUP($A162,'The List'!$B1:$AH671,28,FALSE)-AVERAGE('The List'!AC2:AC671))/STDEV('The List'!AC2:AC671)</f>
        <v>-1.2648371391939224</v>
      </c>
      <c r="Q162" s="55" cm="1">
        <f t="array" ref="Q162">(VLOOKUP($A162,'The List'!$B1:$AH671,29,FALSE)-AVERAGE('The List'!AD2:AD671))/STDEV('The List'!AD2:AD671)</f>
        <v>-0.43308660773414226</v>
      </c>
      <c r="R162" s="55" cm="1">
        <f t="array" ref="R162">(VLOOKUP($A162,'The List'!$B1:$AH671,30,FALSE)-AVERAGE('The List'!AE2:AE671))/STDEV('The List'!AE2:AE671)</f>
        <v>0.43500925461296375</v>
      </c>
      <c r="S162" s="55" cm="1">
        <f t="array" ref="S162">(VLOOKUP($A162,'The List'!$B1:$AH671,31,FALSE)-AVERAGE('The List'!AF2:AF671))/STDEV('The List'!AF2:AF671)</f>
        <v>-0.52402465288637257</v>
      </c>
      <c r="T162" s="55" cm="1">
        <f t="array" ref="T162">(VLOOKUP($A162,'The List'!$B1:$AH671,32,FALSE)-AVERAGE('The List'!AG2:AG671))/STDEV('The List'!AG2:AG671)</f>
        <v>-0.53036269865594565</v>
      </c>
      <c r="U162" s="55" cm="1">
        <f t="array" ref="U162">(VLOOKUP($A162,'The List'!$B1:$AH671,33,FALSE)-AVERAGE('The List'!AH2:AH671))/STDEV('The List'!AH2:AH671)</f>
        <v>0.54587935550528355</v>
      </c>
      <c r="V162" s="55"/>
      <c r="W162" s="78"/>
      <c r="X162" s="57"/>
      <c r="Y162" s="57"/>
      <c r="Z162" s="57"/>
      <c r="AA162" s="57"/>
      <c r="AB162" s="57"/>
      <c r="AC162" s="60"/>
      <c r="AD162" s="61"/>
      <c r="AE162" s="55"/>
    </row>
    <row r="163" spans="1:31" ht="21.25" customHeight="1" x14ac:dyDescent="0.15">
      <c r="A163" s="10" t="s">
        <v>443</v>
      </c>
      <c r="B163" s="18" t="str" cm="1">
        <f t="array" ref="B163">VLOOKUP(A163,'Player Data'!A1:B673,2,FALSE)</f>
        <v>BUF</v>
      </c>
      <c r="C163" s="52" cm="1">
        <f t="array" ref="C163">((E163)*Settings!$C$12)+(F163*Settings!$C$2)+(G163*Settings!$C$3)+(H163*Settings!$C$4)+(I163*Settings!$C$5)+(K163*Settings!$C$9)+(N163*Settings!$C$6)+(J163*Settings!$C$8)+(O163*Settings!$C$7)+(P163*Settings!$C$14)+(Q163*Settings!$C$15)+(R163*Settings!$C$16)+(S163*Settings!$C$17)+(T163*Settings!$C$18)+(U163*Settings!$C$19)+(L163*Settings!$C$10)+(Settings!$C$11*M163)</f>
        <v>-0.73525919693228281</v>
      </c>
      <c r="D163" s="57" cm="1">
        <f t="array" ref="D163">IF(Settings!$E$12="YES",VLOOKUP(A163,'Player Data'!A1:E673,5,FALSE),82)</f>
        <v>83.34</v>
      </c>
      <c r="E163" s="55" cm="1">
        <f t="array" ref="E163">(VLOOKUP($A163,'The List'!$B1:$AH671,17,FALSE)-AVERAGE('The List'!R2:R671))/STDEV('The List'!R2:R671)</f>
        <v>0.12710309194925193</v>
      </c>
      <c r="F163" s="55" cm="1">
        <f t="array" ref="F163">(VLOOKUP($A163,'The List'!$B1:$AH671,18,FALSE)-AVERAGE('The List'!S2:S671))/STDEV('The List'!S2:S671)</f>
        <v>0.3576537675925614</v>
      </c>
      <c r="G163" s="55" cm="1">
        <f t="array" ref="G163">(VLOOKUP($A163,'The List'!$B1:$AH671,19,FALSE)-AVERAGE('The List'!T2:T671))/STDEV('The List'!T2:T671)</f>
        <v>0.76325525280358375</v>
      </c>
      <c r="H163" s="55" cm="1">
        <f t="array" ref="H163">(VLOOKUP($A163,'The List'!$B1:$AH671,20,FALSE)-AVERAGE('The List'!U2:U671))/STDEV('The List'!U2:U671)</f>
        <v>0.63876672187053363</v>
      </c>
      <c r="I163" s="55" cm="1">
        <f t="array" ref="I163">(VLOOKUP($A163,'The List'!$B1:$AH671,21,FALSE)-AVERAGE('The List'!V2:V671))/STDEV('The List'!V2:V671)</f>
        <v>-0.36176448459420885</v>
      </c>
      <c r="J163" s="55" cm="1">
        <f t="array" ref="J163">(VLOOKUP($A163,'The List'!$B1:$AH671,22,FALSE)-AVERAGE('The List'!W2:W671))/STDEV('The List'!W2:W671)</f>
        <v>-0.5988681982728612</v>
      </c>
      <c r="K163" s="55" cm="1">
        <f t="array" ref="K163">(VLOOKUP($A163,'The List'!$B1:$AH671,23,FALSE)-AVERAGE('The List'!X2:X671))/STDEV('The List'!X2:X671)</f>
        <v>-0.28780760139505923</v>
      </c>
      <c r="L163" s="55" cm="1">
        <f t="array" ref="L163">(VLOOKUP($A163,'The List'!$B1:$AH671,24,FALSE)-AVERAGE('The List'!Y2:Y671))/STDEV('The List'!Y2:Y671)</f>
        <v>5.1746182760739847</v>
      </c>
      <c r="M163" s="55" cm="1">
        <f t="array" ref="M163">(VLOOKUP($A163,'The List'!$B1:$AH671,25,FALSE)-AVERAGE('The List'!Z2:Z671))/STDEV('The List'!Z2:Z671)</f>
        <v>5.0613097573368924</v>
      </c>
      <c r="N163" s="55" cm="1">
        <f t="array" ref="N163">(VLOOKUP($A163,'The List'!$B1:$AH671,26,FALSE)-AVERAGE('The List'!AA2:AA671))/STDEV('The List'!AA2:AA671)</f>
        <v>-0.68331773456956091</v>
      </c>
      <c r="O163" s="55" cm="1">
        <f t="array" ref="O163">(VLOOKUP($A163,'The List'!$B1:$AH671,27,FALSE)-AVERAGE('The List'!AB2:AB671))/STDEV('The List'!AB2:AB671)</f>
        <v>-1.1771411117530499</v>
      </c>
      <c r="P163" s="55" cm="1">
        <f t="array" ref="P163">(VLOOKUP($A163,'The List'!$B1:$AH671,28,FALSE)-AVERAGE('The List'!AC2:AC671))/STDEV('The List'!AC2:AC671)</f>
        <v>0.41300708977900752</v>
      </c>
      <c r="Q163" s="55" cm="1">
        <f t="array" ref="Q163">(VLOOKUP($A163,'The List'!$B1:$AH671,29,FALSE)-AVERAGE('The List'!AD2:AD671))/STDEV('The List'!AD2:AD671)</f>
        <v>-0.93628548654860655</v>
      </c>
      <c r="R163" s="55" cm="1">
        <f t="array" ref="R163">(VLOOKUP($A163,'The List'!$B1:$AH671,30,FALSE)-AVERAGE('The List'!AE2:AE671))/STDEV('The List'!AE2:AE671)</f>
        <v>0.29575764229513901</v>
      </c>
      <c r="S163" s="55" cm="1">
        <f t="array" ref="S163">(VLOOKUP($A163,'The List'!$B1:$AH671,31,FALSE)-AVERAGE('The List'!AF2:AF671))/STDEV('The List'!AF2:AF671)</f>
        <v>2.3800816755689485</v>
      </c>
      <c r="T163" s="55" cm="1">
        <f t="array" ref="T163">(VLOOKUP($A163,'The List'!$B1:$AH671,32,FALSE)-AVERAGE('The List'!AG2:AG671))/STDEV('The List'!AG2:AG671)</f>
        <v>2.529180689283959</v>
      </c>
      <c r="U163" s="55" cm="1">
        <f t="array" ref="U163">(VLOOKUP($A163,'The List'!$B1:$AH671,33,FALSE)-AVERAGE('The List'!AH2:AH671))/STDEV('The List'!AH2:AH671)</f>
        <v>1.0406638139587707</v>
      </c>
      <c r="V163" s="55"/>
      <c r="W163" s="78"/>
      <c r="X163" s="57"/>
      <c r="Y163" s="57"/>
      <c r="Z163" s="57"/>
      <c r="AA163" s="57"/>
      <c r="AB163" s="57"/>
      <c r="AC163" s="60"/>
      <c r="AD163" s="61"/>
      <c r="AE163" s="55"/>
    </row>
    <row r="164" spans="1:31" ht="21.25" customHeight="1" x14ac:dyDescent="0.15">
      <c r="A164" s="10" t="s">
        <v>386</v>
      </c>
      <c r="B164" s="18" t="str" cm="1">
        <f t="array" ref="B164">VLOOKUP(A164,'Player Data'!A1:B673,2,FALSE)</f>
        <v>FLA</v>
      </c>
      <c r="C164" s="52" cm="1">
        <f t="array" ref="C164">((E164)*Settings!$C$12)+(F164*Settings!$C$2)+(G164*Settings!$C$3)+(H164*Settings!$C$4)+(I164*Settings!$C$5)+(K164*Settings!$C$9)+(N164*Settings!$C$6)+(J164*Settings!$C$8)+(O164*Settings!$C$7)+(P164*Settings!$C$14)+(Q164*Settings!$C$15)+(R164*Settings!$C$16)+(S164*Settings!$C$17)+(T164*Settings!$C$18)+(U164*Settings!$C$19)+(L164*Settings!$C$10)+(Settings!$C$11*M164)</f>
        <v>2.3856652031574961</v>
      </c>
      <c r="D164" s="57" cm="1">
        <f t="array" ref="D164">IF(Settings!$E$12="YES",VLOOKUP(A164,'Player Data'!A1:E673,5,FALSE),82)</f>
        <v>82.405000000000001</v>
      </c>
      <c r="E164" s="55" cm="1">
        <f t="array" ref="E164">(VLOOKUP($A164,'The List'!$B1:$AH671,17,FALSE)-AVERAGE('The List'!R2:R671))/STDEV('The List'!R2:R671)</f>
        <v>-0.20164929528371961</v>
      </c>
      <c r="F164" s="55" cm="1">
        <f t="array" ref="F164">(VLOOKUP($A164,'The List'!$B1:$AH671,18,FALSE)-AVERAGE('The List'!S2:S671))/STDEV('The List'!S2:S671)</f>
        <v>0.80900182088381833</v>
      </c>
      <c r="G164" s="55" cm="1">
        <f t="array" ref="G164">(VLOOKUP($A164,'The List'!$B1:$AH671,19,FALSE)-AVERAGE('The List'!T2:T671))/STDEV('The List'!T2:T671)</f>
        <v>0.36215215441247012</v>
      </c>
      <c r="H164" s="55" cm="1">
        <f t="array" ref="H164">(VLOOKUP($A164,'The List'!$B1:$AH671,20,FALSE)-AVERAGE('The List'!U2:U671))/STDEV('The List'!U2:U671)</f>
        <v>0.58672830304049628</v>
      </c>
      <c r="I164" s="55" cm="1">
        <f t="array" ref="I164">(VLOOKUP($A164,'The List'!$B1:$AH671,21,FALSE)-AVERAGE('The List'!V2:V671))/STDEV('The List'!V2:V671)</f>
        <v>1.107981196526745</v>
      </c>
      <c r="J164" s="55" cm="1">
        <f t="array" ref="J164">(VLOOKUP($A164,'The List'!$B1:$AH671,22,FALSE)-AVERAGE('The List'!W2:W671))/STDEV('The List'!W2:W671)</f>
        <v>0.49181230474476006</v>
      </c>
      <c r="K164" s="55" cm="1">
        <f t="array" ref="K164">(VLOOKUP($A164,'The List'!$B1:$AH671,23,FALSE)-AVERAGE('The List'!X2:X671))/STDEV('The List'!X2:X671)</f>
        <v>0.23517974120271476</v>
      </c>
      <c r="L164" s="55" cm="1">
        <f t="array" ref="L164">(VLOOKUP($A164,'The List'!$B1:$AH671,24,FALSE)-AVERAGE('The List'!Y2:Y671))/STDEV('The List'!Y2:Y671)</f>
        <v>-0.5221266363310455</v>
      </c>
      <c r="M164" s="55" cm="1">
        <f t="array" ref="M164">(VLOOKUP($A164,'The List'!$B1:$AH671,25,FALSE)-AVERAGE('The List'!Z2:Z671))/STDEV('The List'!Z2:Z671)</f>
        <v>-0.66442265388270805</v>
      </c>
      <c r="N164" s="55" cm="1">
        <f t="array" ref="N164">(VLOOKUP($A164,'The List'!$B1:$AH671,26,FALSE)-AVERAGE('The List'!AA2:AA671))/STDEV('The List'!AA2:AA671)</f>
        <v>-0.98453863082332893</v>
      </c>
      <c r="O164" s="55" cm="1">
        <f t="array" ref="O164">(VLOOKUP($A164,'The List'!$B1:$AH671,27,FALSE)-AVERAGE('The List'!AB2:AB671))/STDEV('The List'!AB2:AB671)</f>
        <v>-0.23466127685786756</v>
      </c>
      <c r="P164" s="55" cm="1">
        <f t="array" ref="P164">(VLOOKUP($A164,'The List'!$B1:$AH671,28,FALSE)-AVERAGE('The List'!AC2:AC671))/STDEV('The List'!AC2:AC671)</f>
        <v>0.88642723786339761</v>
      </c>
      <c r="Q164" s="55" cm="1">
        <f t="array" ref="Q164">(VLOOKUP($A164,'The List'!$B1:$AH671,29,FALSE)-AVERAGE('The List'!AD2:AD671))/STDEV('The List'!AD2:AD671)</f>
        <v>-3.0538316908321084E-2</v>
      </c>
      <c r="R164" s="55" cm="1">
        <f t="array" ref="R164">(VLOOKUP($A164,'The List'!$B1:$AH671,30,FALSE)-AVERAGE('The List'!AE2:AE671))/STDEV('The List'!AE2:AE671)</f>
        <v>0.93525810773234075</v>
      </c>
      <c r="S164" s="55" cm="1">
        <f t="array" ref="S164">(VLOOKUP($A164,'The List'!$B1:$AH671,31,FALSE)-AVERAGE('The List'!AF2:AF671))/STDEV('The List'!AF2:AF671)</f>
        <v>-0.42337819046121511</v>
      </c>
      <c r="T164" s="55" cm="1">
        <f t="array" ref="T164">(VLOOKUP($A164,'The List'!$B1:$AH671,32,FALSE)-AVERAGE('The List'!AG2:AG671))/STDEV('The List'!AG2:AG671)</f>
        <v>-0.34104613676552409</v>
      </c>
      <c r="U164" s="55" cm="1">
        <f t="array" ref="U164">(VLOOKUP($A164,'The List'!$B1:$AH671,33,FALSE)-AVERAGE('The List'!AH2:AH671))/STDEV('The List'!AH2:AH671)</f>
        <v>0.46118281957207635</v>
      </c>
      <c r="V164" s="55"/>
      <c r="W164" s="78"/>
      <c r="X164" s="57"/>
      <c r="Y164" s="57"/>
      <c r="Z164" s="57"/>
      <c r="AA164" s="57"/>
      <c r="AB164" s="57"/>
      <c r="AC164" s="60"/>
      <c r="AD164" s="61"/>
      <c r="AE164" s="55"/>
    </row>
    <row r="165" spans="1:31" ht="21.25" customHeight="1" x14ac:dyDescent="0.15">
      <c r="A165" s="10" t="s">
        <v>356</v>
      </c>
      <c r="B165" s="18" t="str" cm="1">
        <f t="array" ref="B165">VLOOKUP(A165,'Player Data'!A1:B673,2,FALSE)</f>
        <v>CAR</v>
      </c>
      <c r="C165" s="52" cm="1">
        <f t="array" ref="C165">((E165)*Settings!$C$12)+(F165*Settings!$C$2)+(G165*Settings!$C$3)+(H165*Settings!$C$4)+(I165*Settings!$C$5)+(K165*Settings!$C$9)+(N165*Settings!$C$6)+(J165*Settings!$C$8)+(O165*Settings!$C$7)+(P165*Settings!$C$14)+(Q165*Settings!$C$15)+(R165*Settings!$C$16)+(S165*Settings!$C$17)+(T165*Settings!$C$18)+(U165*Settings!$C$19)+(L165*Settings!$C$10)+(Settings!$C$11*M165)</f>
        <v>3.1187005661195313</v>
      </c>
      <c r="D165" s="57" cm="1">
        <f t="array" ref="D165">IF(Settings!$E$12="YES",VLOOKUP(A165,'Player Data'!A1:E673,5,FALSE),82)</f>
        <v>82.102500000000006</v>
      </c>
      <c r="E165" s="55" cm="1">
        <f t="array" ref="E165">(VLOOKUP($A165,'The List'!$B1:$AH671,17,FALSE)-AVERAGE('The List'!R2:R671))/STDEV('The List'!R2:R671)</f>
        <v>-9.0469681375392783E-2</v>
      </c>
      <c r="F165" s="55" cm="1">
        <f t="array" ref="F165">(VLOOKUP($A165,'The List'!$B1:$AH671,18,FALSE)-AVERAGE('The List'!S2:S671))/STDEV('The List'!S2:S671)</f>
        <v>0.89789441552522808</v>
      </c>
      <c r="G165" s="55" cm="1">
        <f t="array" ref="G165">(VLOOKUP($A165,'The List'!$B1:$AH671,19,FALSE)-AVERAGE('The List'!T2:T671))/STDEV('The List'!T2:T671)</f>
        <v>0.4565550171683474</v>
      </c>
      <c r="H165" s="55" cm="1">
        <f t="array" ref="H165">(VLOOKUP($A165,'The List'!$B1:$AH671,20,FALSE)-AVERAGE('The List'!U2:U671))/STDEV('The List'!U2:U671)</f>
        <v>0.68554691596360628</v>
      </c>
      <c r="I165" s="55" cm="1">
        <f t="array" ref="I165">(VLOOKUP($A165,'The List'!$B1:$AH671,21,FALSE)-AVERAGE('The List'!V2:V671))/STDEV('The List'!V2:V671)</f>
        <v>1.14137871627085</v>
      </c>
      <c r="J165" s="55" cm="1">
        <f t="array" ref="J165">(VLOOKUP($A165,'The List'!$B1:$AH671,22,FALSE)-AVERAGE('The List'!W2:W671))/STDEV('The List'!W2:W671)</f>
        <v>0.65053247727469998</v>
      </c>
      <c r="K165" s="55" cm="1">
        <f t="array" ref="K165">(VLOOKUP($A165,'The List'!$B1:$AH671,23,FALSE)-AVERAGE('The List'!X2:X671))/STDEV('The List'!X2:X671)</f>
        <v>0.47655407932354066</v>
      </c>
      <c r="L165" s="55" cm="1">
        <f t="array" ref="L165">(VLOOKUP($A165,'The List'!$B1:$AH671,24,FALSE)-AVERAGE('The List'!Y2:Y671))/STDEV('The List'!Y2:Y671)</f>
        <v>-0.52733576236888691</v>
      </c>
      <c r="M165" s="55" cm="1">
        <f t="array" ref="M165">(VLOOKUP($A165,'The List'!$B1:$AH671,25,FALSE)-AVERAGE('The List'!Z2:Z671))/STDEV('The List'!Z2:Z671)</f>
        <v>-0.6699976765171719</v>
      </c>
      <c r="N165" s="55" cm="1">
        <f t="array" ref="N165">(VLOOKUP($A165,'The List'!$B1:$AH671,26,FALSE)-AVERAGE('The List'!AA2:AA671))/STDEV('The List'!AA2:AA671)</f>
        <v>-0.88605916643642002</v>
      </c>
      <c r="O165" s="55" cm="1">
        <f t="array" ref="O165">(VLOOKUP($A165,'The List'!$B1:$AH671,27,FALSE)-AVERAGE('The List'!AB2:AB671))/STDEV('The List'!AB2:AB671)</f>
        <v>-0.58111271919588048</v>
      </c>
      <c r="P165" s="55" cm="1">
        <f t="array" ref="P165">(VLOOKUP($A165,'The List'!$B1:$AH671,28,FALSE)-AVERAGE('The List'!AC2:AC671))/STDEV('The List'!AC2:AC671)</f>
        <v>1.7242786283653933</v>
      </c>
      <c r="Q165" s="55" cm="1">
        <f t="array" ref="Q165">(VLOOKUP($A165,'The List'!$B1:$AH671,29,FALSE)-AVERAGE('The List'!AD2:AD671))/STDEV('The List'!AD2:AD671)</f>
        <v>-0.69190112409740745</v>
      </c>
      <c r="R165" s="55" cm="1">
        <f t="array" ref="R165">(VLOOKUP($A165,'The List'!$B1:$AH671,30,FALSE)-AVERAGE('The List'!AE2:AE671))/STDEV('The List'!AE2:AE671)</f>
        <v>1.101906122159813</v>
      </c>
      <c r="S165" s="55" cm="1">
        <f t="array" ref="S165">(VLOOKUP($A165,'The List'!$B1:$AH671,31,FALSE)-AVERAGE('The List'!AF2:AF671))/STDEV('The List'!AF2:AF671)</f>
        <v>1.2529934177166209</v>
      </c>
      <c r="T165" s="55" cm="1">
        <f t="array" ref="T165">(VLOOKUP($A165,'The List'!$B1:$AH671,32,FALSE)-AVERAGE('The List'!AG2:AG671))/STDEV('The List'!AG2:AG671)</f>
        <v>1.6201552222473661</v>
      </c>
      <c r="U165" s="55" cm="1">
        <f t="array" ref="U165">(VLOOKUP($A165,'The List'!$B1:$AH671,33,FALSE)-AVERAGE('The List'!AH2:AH671))/STDEV('The List'!AH2:AH671)</f>
        <v>0.88107161647372889</v>
      </c>
      <c r="V165" s="55"/>
      <c r="W165" s="78"/>
      <c r="X165" s="57"/>
      <c r="Y165" s="57"/>
      <c r="Z165" s="57"/>
      <c r="AA165" s="57"/>
      <c r="AB165" s="57"/>
      <c r="AC165" s="60"/>
      <c r="AD165" s="61"/>
      <c r="AE165" s="55"/>
    </row>
    <row r="166" spans="1:31" ht="21.25" customHeight="1" x14ac:dyDescent="0.15">
      <c r="A166" s="10" t="s">
        <v>202</v>
      </c>
      <c r="B166" s="18" t="str" cm="1">
        <f t="array" ref="B166">VLOOKUP(A166,'Player Data'!A1:B673,2,FALSE)</f>
        <v>CHI</v>
      </c>
      <c r="C166" s="52" cm="1">
        <f t="array" ref="C166">((E166)*Settings!$C$12)+(F166*Settings!$C$2)+(G166*Settings!$C$3)+(H166*Settings!$C$4)+(I166*Settings!$C$5)+(K166*Settings!$C$9)+(N166*Settings!$C$6)+(J166*Settings!$C$8)+(O166*Settings!$C$7)+(P166*Settings!$C$14)+(Q166*Settings!$C$15)+(R166*Settings!$C$16)+(S166*Settings!$C$17)+(T166*Settings!$C$18)+(U166*Settings!$C$19)+(L166*Settings!$C$10)+(Settings!$C$11*M166)</f>
        <v>2.648473070238766</v>
      </c>
      <c r="D166" s="57" cm="1">
        <f t="array" ref="D166">IF(Settings!$E$12="YES",VLOOKUP(A166,'Player Data'!A1:E673,5,FALSE),82)</f>
        <v>83.13</v>
      </c>
      <c r="E166" s="55" cm="1">
        <f t="array" ref="E166">(VLOOKUP($A166,'The List'!$B1:$AH671,17,FALSE)-AVERAGE('The List'!R2:R671))/STDEV('The List'!R2:R671)</f>
        <v>2.283934500289051</v>
      </c>
      <c r="F166" s="55" cm="1">
        <f t="array" ref="F166">(VLOOKUP($A166,'The List'!$B1:$AH671,18,FALSE)-AVERAGE('The List'!S2:S671))/STDEV('The List'!S2:S671)</f>
        <v>-0.11932230508140862</v>
      </c>
      <c r="G166" s="55" cm="1">
        <f t="array" ref="G166">(VLOOKUP($A166,'The List'!$B1:$AH671,19,FALSE)-AVERAGE('The List'!T2:T671))/STDEV('The List'!T2:T671)</f>
        <v>1.2118976332469671</v>
      </c>
      <c r="H166" s="55" cm="1">
        <f t="array" ref="H166">(VLOOKUP($A166,'The List'!$B1:$AH671,20,FALSE)-AVERAGE('The List'!U2:U671))/STDEV('The List'!U2:U671)</f>
        <v>0.70933650348062682</v>
      </c>
      <c r="I166" s="55" cm="1">
        <f t="array" ref="I166">(VLOOKUP($A166,'The List'!$B1:$AH671,21,FALSE)-AVERAGE('The List'!V2:V671))/STDEV('The List'!V2:V671)</f>
        <v>0.18729560541893472</v>
      </c>
      <c r="J166" s="55" cm="1">
        <f t="array" ref="J166">(VLOOKUP($A166,'The List'!$B1:$AH671,22,FALSE)-AVERAGE('The List'!W2:W671))/STDEV('The List'!W2:W671)</f>
        <v>-0.2485595522692961</v>
      </c>
      <c r="K166" s="55" cm="1">
        <f t="array" ref="K166">(VLOOKUP($A166,'The List'!$B1:$AH671,23,FALSE)-AVERAGE('The List'!X2:X671))/STDEV('The List'!X2:X671)</f>
        <v>0.54965097628338611</v>
      </c>
      <c r="L166" s="55" cm="1">
        <f t="array" ref="L166">(VLOOKUP($A166,'The List'!$B1:$AH671,24,FALSE)-AVERAGE('The List'!Y2:Y671))/STDEV('The List'!Y2:Y671)</f>
        <v>-0.53297143975662775</v>
      </c>
      <c r="M166" s="55" cm="1">
        <f t="array" ref="M166">(VLOOKUP($A166,'The List'!$B1:$AH671,25,FALSE)-AVERAGE('The List'!Z2:Z671))/STDEV('The List'!Z2:Z671)</f>
        <v>0.25627304672319545</v>
      </c>
      <c r="N166" s="55" cm="1">
        <f t="array" ref="N166">(VLOOKUP($A166,'The List'!$B1:$AH671,26,FALSE)-AVERAGE('The List'!AA2:AA671))/STDEV('The List'!AA2:AA671)</f>
        <v>1.3214750331512908</v>
      </c>
      <c r="O166" s="55" cm="1">
        <f t="array" ref="O166">(VLOOKUP($A166,'The List'!$B1:$AH671,27,FALSE)-AVERAGE('The List'!AB2:AB671))/STDEV('The List'!AB2:AB671)</f>
        <v>-0.40842491634142059</v>
      </c>
      <c r="P166" s="55" cm="1">
        <f t="array" ref="P166">(VLOOKUP($A166,'The List'!$B1:$AH671,28,FALSE)-AVERAGE('The List'!AC2:AC671))/STDEV('The List'!AC2:AC671)</f>
        <v>-1.8080661884626594</v>
      </c>
      <c r="Q166" s="55" cm="1">
        <f t="array" ref="Q166">(VLOOKUP($A166,'The List'!$B1:$AH671,29,FALSE)-AVERAGE('The List'!AD2:AD671))/STDEV('The List'!AD2:AD671)</f>
        <v>1.3055423156822554</v>
      </c>
      <c r="R166" s="55" cm="1">
        <f t="array" ref="R166">(VLOOKUP($A166,'The List'!$B1:$AH671,30,FALSE)-AVERAGE('The List'!AE2:AE671))/STDEV('The List'!AE2:AE671)</f>
        <v>-0.36762802962836783</v>
      </c>
      <c r="S166" s="55" cm="1">
        <f t="array" ref="S166">(VLOOKUP($A166,'The List'!$B1:$AH671,31,FALSE)-AVERAGE('The List'!AF2:AF671))/STDEV('The List'!AF2:AF671)</f>
        <v>-0.5939690971349143</v>
      </c>
      <c r="T166" s="55" cm="1">
        <f t="array" ref="T166">(VLOOKUP($A166,'The List'!$B1:$AH671,32,FALSE)-AVERAGE('The List'!AG2:AG671))/STDEV('The List'!AG2:AG671)</f>
        <v>-0.64602208138248207</v>
      </c>
      <c r="U166" s="55" cm="1">
        <f t="array" ref="U166">(VLOOKUP($A166,'The List'!$B1:$AH671,33,FALSE)-AVERAGE('The List'!AH2:AH671))/STDEV('The List'!AH2:AH671)</f>
        <v>-1.2548938914719048</v>
      </c>
      <c r="V166" s="55"/>
      <c r="W166" s="57"/>
      <c r="X166" s="55"/>
      <c r="Y166" s="55"/>
      <c r="Z166" s="55"/>
      <c r="AA166" s="55"/>
      <c r="AB166" s="55"/>
      <c r="AC166" s="55"/>
      <c r="AD166" s="55"/>
      <c r="AE166" s="55"/>
    </row>
    <row r="167" spans="1:31" ht="21.25" customHeight="1" x14ac:dyDescent="0.15">
      <c r="A167" s="10" t="s">
        <v>389</v>
      </c>
      <c r="B167" s="18" t="str" cm="1">
        <f t="array" ref="B167">VLOOKUP(A167,'Player Data'!A1:B673,2,FALSE)</f>
        <v>UTA</v>
      </c>
      <c r="C167" s="52" cm="1">
        <f t="array" ref="C167">((E167)*Settings!$C$12)+(F167*Settings!$C$2)+(G167*Settings!$C$3)+(H167*Settings!$C$4)+(I167*Settings!$C$5)+(K167*Settings!$C$9)+(N167*Settings!$C$6)+(J167*Settings!$C$8)+(O167*Settings!$C$7)+(P167*Settings!$C$14)+(Q167*Settings!$C$15)+(R167*Settings!$C$16)+(S167*Settings!$C$17)+(T167*Settings!$C$18)+(U167*Settings!$C$19)+(L167*Settings!$C$10)+(Settings!$C$11*M167)</f>
        <v>2.0130868882498483</v>
      </c>
      <c r="D167" s="57" cm="1">
        <f t="array" ref="D167">IF(Settings!$E$12="YES",VLOOKUP(A167,'Player Data'!A1:E673,5,FALSE),82)</f>
        <v>81.367500000000007</v>
      </c>
      <c r="E167" s="55" cm="1">
        <f t="array" ref="E167">(VLOOKUP($A167,'The List'!$B1:$AH671,17,FALSE)-AVERAGE('The List'!R2:R671))/STDEV('The List'!R2:R671)</f>
        <v>0.24454213703346639</v>
      </c>
      <c r="F167" s="55" cm="1">
        <f t="array" ref="F167">(VLOOKUP($A167,'The List'!$B1:$AH671,18,FALSE)-AVERAGE('The List'!S2:S671))/STDEV('The List'!S2:S671)</f>
        <v>0.4884120856341792</v>
      </c>
      <c r="G167" s="55" cm="1">
        <f t="array" ref="G167">(VLOOKUP($A167,'The List'!$B1:$AH671,19,FALSE)-AVERAGE('The List'!T2:T671))/STDEV('The List'!T2:T671)</f>
        <v>0.49747367004538179</v>
      </c>
      <c r="H167" s="55" cm="1">
        <f t="array" ref="H167">(VLOOKUP($A167,'The List'!$B1:$AH671,20,FALSE)-AVERAGE('The List'!U2:U671))/STDEV('The List'!U2:U671)</f>
        <v>0.5296061304703823</v>
      </c>
      <c r="I167" s="55" cm="1">
        <f t="array" ref="I167">(VLOOKUP($A167,'The List'!$B1:$AH671,21,FALSE)-AVERAGE('The List'!V2:V671))/STDEV('The List'!V2:V671)</f>
        <v>0.11812049313336891</v>
      </c>
      <c r="J167" s="55" cm="1">
        <f t="array" ref="J167">(VLOOKUP($A167,'The List'!$B1:$AH671,22,FALSE)-AVERAGE('The List'!W2:W671))/STDEV('The List'!W2:W671)</f>
        <v>-9.025201679964092E-3</v>
      </c>
      <c r="K167" s="55" cm="1">
        <f t="array" ref="K167">(VLOOKUP($A167,'The List'!$B1:$AH671,23,FALSE)-AVERAGE('The List'!X2:X671))/STDEV('The List'!X2:X671)</f>
        <v>0.10960991303886482</v>
      </c>
      <c r="L167" s="55" cm="1">
        <f t="array" ref="L167">(VLOOKUP($A167,'The List'!$B1:$AH671,24,FALSE)-AVERAGE('The List'!Y2:Y671))/STDEV('The List'!Y2:Y671)</f>
        <v>4.5936662076539712</v>
      </c>
      <c r="M167" s="55" cm="1">
        <f t="array" ref="M167">(VLOOKUP($A167,'The List'!$B1:$AH671,25,FALSE)-AVERAGE('The List'!Z2:Z671))/STDEV('The List'!Z2:Z671)</f>
        <v>2.7993014011599824</v>
      </c>
      <c r="N167" s="55" cm="1">
        <f t="array" ref="N167">(VLOOKUP($A167,'The List'!$B1:$AH671,26,FALSE)-AVERAGE('The List'!AA2:AA671))/STDEV('The List'!AA2:AA671)</f>
        <v>-0.1107960646012611</v>
      </c>
      <c r="O167" s="55" cm="1">
        <f t="array" ref="O167">(VLOOKUP($A167,'The List'!$B1:$AH671,27,FALSE)-AVERAGE('The List'!AB2:AB671))/STDEV('The List'!AB2:AB671)</f>
        <v>2.0211243664247891</v>
      </c>
      <c r="P167" s="55" cm="1">
        <f t="array" ref="P167">(VLOOKUP($A167,'The List'!$B1:$AH671,28,FALSE)-AVERAGE('The List'!AC2:AC671))/STDEV('The List'!AC2:AC671)</f>
        <v>-2.3466174716798342E-2</v>
      </c>
      <c r="Q167" s="55" cm="1">
        <f t="array" ref="Q167">(VLOOKUP($A167,'The List'!$B1:$AH671,29,FALSE)-AVERAGE('The List'!AD2:AD671))/STDEV('The List'!AD2:AD671)</f>
        <v>0.93373296571611331</v>
      </c>
      <c r="R167" s="55" cm="1">
        <f t="array" ref="R167">(VLOOKUP($A167,'The List'!$B1:$AH671,30,FALSE)-AVERAGE('The List'!AE2:AE671))/STDEV('The List'!AE2:AE671)</f>
        <v>0.5453269365676191</v>
      </c>
      <c r="S167" s="55" cm="1">
        <f t="array" ref="S167">(VLOOKUP($A167,'The List'!$B1:$AH671,31,FALSE)-AVERAGE('The List'!AF2:AF671))/STDEV('The List'!AF2:AF671)</f>
        <v>2.7094052009916623</v>
      </c>
      <c r="T167" s="55" cm="1">
        <f t="array" ref="T167">(VLOOKUP($A167,'The List'!$B1:$AH671,32,FALSE)-AVERAGE('The List'!AG2:AG671))/STDEV('The List'!AG2:AG671)</f>
        <v>1.8682618392394841</v>
      </c>
      <c r="U167" s="55" cm="1">
        <f t="array" ref="U167">(VLOOKUP($A167,'The List'!$B1:$AH671,33,FALSE)-AVERAGE('The List'!AH2:AH671))/STDEV('The List'!AH2:AH671)</f>
        <v>1.4259771244504</v>
      </c>
      <c r="V167" s="55"/>
      <c r="W167" s="57"/>
      <c r="X167" s="55"/>
      <c r="Y167" s="55"/>
      <c r="Z167" s="55"/>
      <c r="AA167" s="55"/>
      <c r="AB167" s="55"/>
      <c r="AC167" s="55"/>
      <c r="AD167" s="55"/>
      <c r="AE167" s="55"/>
    </row>
    <row r="168" spans="1:31" ht="21.25" customHeight="1" x14ac:dyDescent="0.15">
      <c r="A168" s="10" t="s">
        <v>465</v>
      </c>
      <c r="B168" s="18" t="str" cm="1">
        <f t="array" ref="B168">VLOOKUP(A168,'Player Data'!A1:B673,2,FALSE)</f>
        <v>COL</v>
      </c>
      <c r="C168" s="52" cm="1">
        <f t="array" ref="C168">((E168)*Settings!$C$12)+(F168*Settings!$C$2)+(G168*Settings!$C$3)+(H168*Settings!$C$4)+(I168*Settings!$C$5)+(K168*Settings!$C$9)+(N168*Settings!$C$6)+(J168*Settings!$C$8)+(O168*Settings!$C$7)+(P168*Settings!$C$14)+(Q168*Settings!$C$15)+(R168*Settings!$C$16)+(S168*Settings!$C$17)+(T168*Settings!$C$18)+(U168*Settings!$C$19)+(L168*Settings!$C$10)+(Settings!$C$11*M168)</f>
        <v>1.8472576901589584</v>
      </c>
      <c r="D168" s="57" cm="1">
        <f t="array" ref="D168">IF(Settings!$E$12="YES",VLOOKUP(A168,'Player Data'!A1:E673,5,FALSE),82)</f>
        <v>76.412499999999994</v>
      </c>
      <c r="E168" s="55" cm="1">
        <f t="array" ref="E168">(VLOOKUP($A168,'The List'!$B1:$AH671,17,FALSE)-AVERAGE('The List'!R2:R671))/STDEV('The List'!R2:R671)</f>
        <v>0.18593310766454016</v>
      </c>
      <c r="F168" s="55" cm="1">
        <f t="array" ref="F168">(VLOOKUP($A168,'The List'!$B1:$AH671,18,FALSE)-AVERAGE('The List'!S2:S671))/STDEV('The List'!S2:S671)</f>
        <v>0.8363176510483783</v>
      </c>
      <c r="G168" s="55" cm="1">
        <f t="array" ref="G168">(VLOOKUP($A168,'The List'!$B1:$AH671,19,FALSE)-AVERAGE('The List'!T2:T671))/STDEV('The List'!T2:T671)</f>
        <v>2.251003655895142E-2</v>
      </c>
      <c r="H168" s="55" cm="1">
        <f t="array" ref="H168">(VLOOKUP($A168,'The List'!$B1:$AH671,20,FALSE)-AVERAGE('The List'!U2:U671))/STDEV('The List'!U2:U671)</f>
        <v>0.3852146432675741</v>
      </c>
      <c r="I168" s="55" cm="1">
        <f t="array" ref="I168">(VLOOKUP($A168,'The List'!$B1:$AH671,21,FALSE)-AVERAGE('The List'!V2:V671))/STDEV('The List'!V2:V671)</f>
        <v>0.47029318852452601</v>
      </c>
      <c r="J168" s="55" cm="1">
        <f t="array" ref="J168">(VLOOKUP($A168,'The List'!$B1:$AH671,22,FALSE)-AVERAGE('The List'!W2:W671))/STDEV('The List'!W2:W671)</f>
        <v>-0.30039937246946563</v>
      </c>
      <c r="K168" s="55" cm="1">
        <f t="array" ref="K168">(VLOOKUP($A168,'The List'!$B1:$AH671,23,FALSE)-AVERAGE('The List'!X2:X671))/STDEV('The List'!X2:X671)</f>
        <v>-0.42802783240354669</v>
      </c>
      <c r="L168" s="55" cm="1">
        <f t="array" ref="L168">(VLOOKUP($A168,'The List'!$B1:$AH671,24,FALSE)-AVERAGE('The List'!Y2:Y671))/STDEV('The List'!Y2:Y671)</f>
        <v>2.5083575933799358E-2</v>
      </c>
      <c r="M168" s="55" cm="1">
        <f t="array" ref="M168">(VLOOKUP($A168,'The List'!$B1:$AH671,25,FALSE)-AVERAGE('The List'!Z2:Z671))/STDEV('The List'!Z2:Z671)</f>
        <v>-0.28878642702898666</v>
      </c>
      <c r="N168" s="55" cm="1">
        <f t="array" ref="N168">(VLOOKUP($A168,'The List'!$B1:$AH671,26,FALSE)-AVERAGE('The List'!AA2:AA671))/STDEV('The List'!AA2:AA671)</f>
        <v>-0.68920972969489291</v>
      </c>
      <c r="O168" s="55" cm="1">
        <f t="array" ref="O168">(VLOOKUP($A168,'The List'!$B1:$AH671,27,FALSE)-AVERAGE('The List'!AB2:AB671))/STDEV('The List'!AB2:AB671)</f>
        <v>-0.77906575846240778</v>
      </c>
      <c r="P168" s="55" cm="1">
        <f t="array" ref="P168">(VLOOKUP($A168,'The List'!$B1:$AH671,28,FALSE)-AVERAGE('The List'!AC2:AC671))/STDEV('The List'!AC2:AC671)</f>
        <v>2.1360959257460506</v>
      </c>
      <c r="Q168" s="55" cm="1">
        <f t="array" ref="Q168">(VLOOKUP($A168,'The List'!$B1:$AH671,29,FALSE)-AVERAGE('The List'!AD2:AD671))/STDEV('The List'!AD2:AD671)</f>
        <v>-0.50072154962050863</v>
      </c>
      <c r="R168" s="55" cm="1">
        <f t="array" ref="R168">(VLOOKUP($A168,'The List'!$B1:$AH671,30,FALSE)-AVERAGE('The List'!AE2:AE671))/STDEV('The List'!AE2:AE671)</f>
        <v>1.1566894720112539</v>
      </c>
      <c r="S168" s="55" cm="1">
        <f t="array" ref="S168">(VLOOKUP($A168,'The List'!$B1:$AH671,31,FALSE)-AVERAGE('The List'!AF2:AF671))/STDEV('The List'!AF2:AF671)</f>
        <v>-0.56420285423850258</v>
      </c>
      <c r="T168" s="55" cm="1">
        <f t="array" ref="T168">(VLOOKUP($A168,'The List'!$B1:$AH671,32,FALSE)-AVERAGE('The List'!AG2:AG671))/STDEV('The List'!AG2:AG671)</f>
        <v>-0.56892835054179269</v>
      </c>
      <c r="U168" s="55" cm="1">
        <f t="array" ref="U168">(VLOOKUP($A168,'The List'!$B1:$AH671,33,FALSE)-AVERAGE('The List'!AH2:AH671))/STDEV('The List'!AH2:AH671)</f>
        <v>8.4525205266671788E-2</v>
      </c>
      <c r="V168" s="55"/>
      <c r="W168" s="57"/>
      <c r="X168" s="57"/>
      <c r="Y168" s="57"/>
      <c r="Z168" s="57"/>
      <c r="AA168" s="57"/>
      <c r="AB168" s="57"/>
      <c r="AC168" s="60"/>
      <c r="AD168" s="61"/>
      <c r="AE168" s="55"/>
    </row>
    <row r="169" spans="1:31" ht="21.25" customHeight="1" x14ac:dyDescent="0.15">
      <c r="A169" s="10" t="s">
        <v>413</v>
      </c>
      <c r="B169" s="18" t="str" cm="1">
        <f t="array" ref="B169">VLOOKUP(A169,'Player Data'!A1:B673,2,FALSE)</f>
        <v>SEA</v>
      </c>
      <c r="C169" s="52" cm="1">
        <f t="array" ref="C169">((E169)*Settings!$C$12)+(F169*Settings!$C$2)+(G169*Settings!$C$3)+(H169*Settings!$C$4)+(I169*Settings!$C$5)+(K169*Settings!$C$9)+(N169*Settings!$C$6)+(J169*Settings!$C$8)+(O169*Settings!$C$7)+(P169*Settings!$C$14)+(Q169*Settings!$C$15)+(R169*Settings!$C$16)+(S169*Settings!$C$17)+(T169*Settings!$C$18)+(U169*Settings!$C$19)+(L169*Settings!$C$10)+(Settings!$C$11*M169)</f>
        <v>-2.3845055844032248</v>
      </c>
      <c r="D169" s="57" cm="1">
        <f t="array" ref="D169">IF(Settings!$E$12="YES",VLOOKUP(A169,'Player Data'!A1:E673,5,FALSE),82)</f>
        <v>82.424999999999997</v>
      </c>
      <c r="E169" s="55" cm="1">
        <f t="array" ref="E169">(VLOOKUP($A169,'The List'!$B1:$AH671,17,FALSE)-AVERAGE('The List'!R2:R671))/STDEV('The List'!R2:R671)</f>
        <v>0.65801867582794837</v>
      </c>
      <c r="F169" s="55" cm="1">
        <f t="array" ref="F169">(VLOOKUP($A169,'The List'!$B1:$AH671,18,FALSE)-AVERAGE('The List'!S2:S671))/STDEV('The List'!S2:S671)</f>
        <v>0.13772963106688971</v>
      </c>
      <c r="G169" s="55" cm="1">
        <f t="array" ref="G169">(VLOOKUP($A169,'The List'!$B1:$AH671,19,FALSE)-AVERAGE('The List'!T2:T671))/STDEV('The List'!T2:T671)</f>
        <v>0.76482114566600057</v>
      </c>
      <c r="H169" s="55" cm="1">
        <f t="array" ref="H169">(VLOOKUP($A169,'The List'!$B1:$AH671,20,FALSE)-AVERAGE('The List'!U2:U671))/STDEV('The List'!U2:U671)</f>
        <v>0.54217610491910528</v>
      </c>
      <c r="I169" s="55" cm="1">
        <f t="array" ref="I169">(VLOOKUP($A169,'The List'!$B1:$AH671,21,FALSE)-AVERAGE('The List'!V2:V671))/STDEV('The List'!V2:V671)</f>
        <v>-0.46901597681724122</v>
      </c>
      <c r="J169" s="55" cm="1">
        <f t="array" ref="J169">(VLOOKUP($A169,'The List'!$B1:$AH671,22,FALSE)-AVERAGE('The List'!W2:W671))/STDEV('The List'!W2:W671)</f>
        <v>0.39845211634459232</v>
      </c>
      <c r="K169" s="55" cm="1">
        <f t="array" ref="K169">(VLOOKUP($A169,'The List'!$B1:$AH671,23,FALSE)-AVERAGE('The List'!X2:X671))/STDEV('The List'!X2:X671)</f>
        <v>0.83729014907659549</v>
      </c>
      <c r="L169" s="55" cm="1">
        <f t="array" ref="L169">(VLOOKUP($A169,'The List'!$B1:$AH671,24,FALSE)-AVERAGE('The List'!Y2:Y671))/STDEV('The List'!Y2:Y671)</f>
        <v>1.4949047423424062</v>
      </c>
      <c r="M169" s="55" cm="1">
        <f t="array" ref="M169">(VLOOKUP($A169,'The List'!$B1:$AH671,25,FALSE)-AVERAGE('The List'!Z2:Z671))/STDEV('The List'!Z2:Z671)</f>
        <v>1.5592011773386878</v>
      </c>
      <c r="N169" s="55" cm="1">
        <f t="array" ref="N169">(VLOOKUP($A169,'The List'!$B1:$AH671,26,FALSE)-AVERAGE('The List'!AA2:AA671))/STDEV('The List'!AA2:AA671)</f>
        <v>-0.18867315062830997</v>
      </c>
      <c r="O169" s="55" cm="1">
        <f t="array" ref="O169">(VLOOKUP($A169,'The List'!$B1:$AH671,27,FALSE)-AVERAGE('The List'!AB2:AB671))/STDEV('The List'!AB2:AB671)</f>
        <v>-1.0891138162787661</v>
      </c>
      <c r="P169" s="55" cm="1">
        <f t="array" ref="P169">(VLOOKUP($A169,'The List'!$B1:$AH671,28,FALSE)-AVERAGE('The List'!AC2:AC671))/STDEV('The List'!AC2:AC671)</f>
        <v>-2.7169990994399682</v>
      </c>
      <c r="Q169" s="55" cm="1">
        <f t="array" ref="Q169">(VLOOKUP($A169,'The List'!$B1:$AH671,29,FALSE)-AVERAGE('The List'!AD2:AD671))/STDEV('The List'!AD2:AD671)</f>
        <v>-0.74965828332719131</v>
      </c>
      <c r="R169" s="55" cm="1">
        <f t="array" ref="R169">(VLOOKUP($A169,'The List'!$B1:$AH671,30,FALSE)-AVERAGE('The List'!AE2:AE671))/STDEV('The List'!AE2:AE671)</f>
        <v>-3.3982181121168582E-2</v>
      </c>
      <c r="S169" s="55" cm="1">
        <f t="array" ref="S169">(VLOOKUP($A169,'The List'!$B1:$AH671,31,FALSE)-AVERAGE('The List'!AF2:AF671))/STDEV('The List'!AF2:AF671)</f>
        <v>3.038762024587788</v>
      </c>
      <c r="T169" s="55" cm="1">
        <f t="array" ref="T169">(VLOOKUP($A169,'The List'!$B1:$AH671,32,FALSE)-AVERAGE('The List'!AG2:AG671))/STDEV('The List'!AG2:AG671)</f>
        <v>2.9195833725758606</v>
      </c>
      <c r="U169" s="55" cm="1">
        <f t="array" ref="U169">(VLOOKUP($A169,'The List'!$B1:$AH671,33,FALSE)-AVERAGE('The List'!AH2:AH671))/STDEV('The List'!AH2:AH671)</f>
        <v>1.137258903500626</v>
      </c>
      <c r="V169" s="55"/>
      <c r="W169" s="78"/>
      <c r="X169" s="57"/>
      <c r="Y169" s="57"/>
      <c r="Z169" s="57"/>
      <c r="AA169" s="57"/>
      <c r="AB169" s="57"/>
      <c r="AC169" s="60"/>
      <c r="AD169" s="61"/>
      <c r="AE169" s="55"/>
    </row>
    <row r="170" spans="1:31" ht="21.25" customHeight="1" x14ac:dyDescent="0.15">
      <c r="A170" s="10" t="s">
        <v>408</v>
      </c>
      <c r="B170" s="18" t="str" cm="1">
        <f t="array" ref="B170">VLOOKUP(A170,'Player Data'!A1:B673,2,FALSE)</f>
        <v>STL</v>
      </c>
      <c r="C170" s="52" cm="1">
        <f t="array" ref="C170">((E170)*Settings!$C$12)+(F170*Settings!$C$2)+(G170*Settings!$C$3)+(H170*Settings!$C$4)+(I170*Settings!$C$5)+(K170*Settings!$C$9)+(N170*Settings!$C$6)+(J170*Settings!$C$8)+(O170*Settings!$C$7)+(P170*Settings!$C$14)+(Q170*Settings!$C$15)+(R170*Settings!$C$16)+(S170*Settings!$C$17)+(T170*Settings!$C$18)+(U170*Settings!$C$19)+(L170*Settings!$C$10)+(Settings!$C$11*M170)</f>
        <v>0.61588298517463802</v>
      </c>
      <c r="D170" s="57" cm="1">
        <f t="array" ref="D170">IF(Settings!$E$12="YES",VLOOKUP(A170,'Player Data'!A1:E673,5,FALSE),82)</f>
        <v>82.827500000000001</v>
      </c>
      <c r="E170" s="55" cm="1">
        <f t="array" ref="E170">(VLOOKUP($A170,'The List'!$B1:$AH671,17,FALSE)-AVERAGE('The List'!R2:R671))/STDEV('The List'!R2:R671)</f>
        <v>8.2198031652846809E-2</v>
      </c>
      <c r="F170" s="55" cm="1">
        <f t="array" ref="F170">(VLOOKUP($A170,'The List'!$B1:$AH671,18,FALSE)-AVERAGE('The List'!S2:S671))/STDEV('The List'!S2:S671)</f>
        <v>0.63651213599074397</v>
      </c>
      <c r="G170" s="55" cm="1">
        <f t="array" ref="G170">(VLOOKUP($A170,'The List'!$B1:$AH671,19,FALSE)-AVERAGE('The List'!T2:T671))/STDEV('The List'!T2:T671)</f>
        <v>0.42617508059028869</v>
      </c>
      <c r="H170" s="55" cm="1">
        <f t="array" ref="H170">(VLOOKUP($A170,'The List'!$B1:$AH671,20,FALSE)-AVERAGE('The List'!U2:U671))/STDEV('The List'!U2:U671)</f>
        <v>0.55046846471201261</v>
      </c>
      <c r="I170" s="55" cm="1">
        <f t="array" ref="I170">(VLOOKUP($A170,'The List'!$B1:$AH671,21,FALSE)-AVERAGE('The List'!V2:V671))/STDEV('The List'!V2:V671)</f>
        <v>0.37533032135939237</v>
      </c>
      <c r="J170" s="55" cm="1">
        <f t="array" ref="J170">(VLOOKUP($A170,'The List'!$B1:$AH671,22,FALSE)-AVERAGE('The List'!W2:W671))/STDEV('The List'!W2:W671)</f>
        <v>0.27072727714822631</v>
      </c>
      <c r="K170" s="55" cm="1">
        <f t="array" ref="K170">(VLOOKUP($A170,'The List'!$B1:$AH671,23,FALSE)-AVERAGE('The List'!X2:X671))/STDEV('The List'!X2:X671)</f>
        <v>0.37689396909704909</v>
      </c>
      <c r="L170" s="55" cm="1">
        <f t="array" ref="L170">(VLOOKUP($A170,'The List'!$B1:$AH671,24,FALSE)-AVERAGE('The List'!Y2:Y671))/STDEV('The List'!Y2:Y671)</f>
        <v>0.30618363003738497</v>
      </c>
      <c r="M170" s="55" cm="1">
        <f t="array" ref="M170">(VLOOKUP($A170,'The List'!$B1:$AH671,25,FALSE)-AVERAGE('The List'!Z2:Z671))/STDEV('The List'!Z2:Z671)</f>
        <v>0.78910442729228591</v>
      </c>
      <c r="N170" s="55" cm="1">
        <f t="array" ref="N170">(VLOOKUP($A170,'The List'!$B1:$AH671,26,FALSE)-AVERAGE('The List'!AA2:AA671))/STDEV('The List'!AA2:AA671)</f>
        <v>-0.66499786199678557</v>
      </c>
      <c r="O170" s="55" cm="1">
        <f t="array" ref="O170">(VLOOKUP($A170,'The List'!$B1:$AH671,27,FALSE)-AVERAGE('The List'!AB2:AB671))/STDEV('The List'!AB2:AB671)</f>
        <v>-0.94052989362756545</v>
      </c>
      <c r="P170" s="55" cm="1">
        <f t="array" ref="P170">(VLOOKUP($A170,'The List'!$B1:$AH671,28,FALSE)-AVERAGE('The List'!AC2:AC671))/STDEV('The List'!AC2:AC671)</f>
        <v>-0.29986403755964391</v>
      </c>
      <c r="Q170" s="55" cm="1">
        <f t="array" ref="Q170">(VLOOKUP($A170,'The List'!$B1:$AH671,29,FALSE)-AVERAGE('The List'!AD2:AD671))/STDEV('The List'!AD2:AD671)</f>
        <v>-0.23416662230640661</v>
      </c>
      <c r="R170" s="55" cm="1">
        <f t="array" ref="R170">(VLOOKUP($A170,'The List'!$B1:$AH671,30,FALSE)-AVERAGE('The List'!AE2:AE671))/STDEV('The List'!AE2:AE671)</f>
        <v>0.47594980056881719</v>
      </c>
      <c r="S170" s="55" cm="1">
        <f t="array" ref="S170">(VLOOKUP($A170,'The List'!$B1:$AH671,31,FALSE)-AVERAGE('The List'!AF2:AF671))/STDEV('The List'!AF2:AF671)</f>
        <v>-0.18764389878562651</v>
      </c>
      <c r="T170" s="55" cm="1">
        <f t="array" ref="T170">(VLOOKUP($A170,'The List'!$B1:$AH671,32,FALSE)-AVERAGE('The List'!AG2:AG671))/STDEV('The List'!AG2:AG671)</f>
        <v>-9.1973179325309153E-3</v>
      </c>
      <c r="U170" s="55" cm="1">
        <f t="array" ref="U170">(VLOOKUP($A170,'The List'!$B1:$AH671,33,FALSE)-AVERAGE('The List'!AH2:AH671))/STDEV('The List'!AH2:AH671)</f>
        <v>0.60492671614504201</v>
      </c>
      <c r="V170" s="55"/>
      <c r="W170" s="57"/>
      <c r="X170" s="55"/>
      <c r="Y170" s="55"/>
      <c r="Z170" s="55"/>
      <c r="AA170" s="55"/>
      <c r="AB170" s="55"/>
      <c r="AC170" s="55"/>
      <c r="AD170" s="55"/>
      <c r="AE170" s="55"/>
    </row>
    <row r="171" spans="1:31" ht="21.25" customHeight="1" x14ac:dyDescent="0.15">
      <c r="A171" s="10" t="s">
        <v>455</v>
      </c>
      <c r="B171" s="18" t="str" cm="1">
        <f t="array" ref="B171">VLOOKUP(A171,'Player Data'!A1:B673,2,FALSE)</f>
        <v>NYI</v>
      </c>
      <c r="C171" s="52" cm="1">
        <f t="array" ref="C171">((E171)*Settings!$C$12)+(F171*Settings!$C$2)+(G171*Settings!$C$3)+(H171*Settings!$C$4)+(I171*Settings!$C$5)+(K171*Settings!$C$9)+(N171*Settings!$C$6)+(J171*Settings!$C$8)+(O171*Settings!$C$7)+(P171*Settings!$C$14)+(Q171*Settings!$C$15)+(R171*Settings!$C$16)+(S171*Settings!$C$17)+(T171*Settings!$C$18)+(U171*Settings!$C$19)+(L171*Settings!$C$10)+(Settings!$C$11*M171)</f>
        <v>-0.13900229145386706</v>
      </c>
      <c r="D171" s="57" cm="1">
        <f t="array" ref="D171">IF(Settings!$E$12="YES",VLOOKUP(A171,'Player Data'!A1:E673,5,FALSE),82)</f>
        <v>76.974999999999994</v>
      </c>
      <c r="E171" s="55" cm="1">
        <f t="array" ref="E171">(VLOOKUP($A171,'The List'!$B1:$AH671,17,FALSE)-AVERAGE('The List'!R2:R671))/STDEV('The List'!R2:R671)</f>
        <v>-0.17034112263743256</v>
      </c>
      <c r="F171" s="55" cm="1">
        <f t="array" ref="F171">(VLOOKUP($A171,'The List'!$B1:$AH671,18,FALSE)-AVERAGE('The List'!S2:S671))/STDEV('The List'!S2:S671)</f>
        <v>0.61601231280915458</v>
      </c>
      <c r="G171" s="55" cm="1">
        <f t="array" ref="G171">(VLOOKUP($A171,'The List'!$B1:$AH671,19,FALSE)-AVERAGE('The List'!T2:T671))/STDEV('The List'!T2:T671)</f>
        <v>0.19242953964601078</v>
      </c>
      <c r="H171" s="55" cm="1">
        <f t="array" ref="H171">(VLOOKUP($A171,'The List'!$B1:$AH671,20,FALSE)-AVERAGE('The List'!U2:U671))/STDEV('The List'!U2:U671)</f>
        <v>0.39434842762369843</v>
      </c>
      <c r="I171" s="55" cm="1">
        <f t="array" ref="I171">(VLOOKUP($A171,'The List'!$B1:$AH671,21,FALSE)-AVERAGE('The List'!V2:V671))/STDEV('The List'!V2:V671)</f>
        <v>-3.8550826984096981E-2</v>
      </c>
      <c r="J171" s="55" cm="1">
        <f t="array" ref="J171">(VLOOKUP($A171,'The List'!$B1:$AH671,22,FALSE)-AVERAGE('The List'!W2:W671))/STDEV('The List'!W2:W671)</f>
        <v>1.4335603041925307</v>
      </c>
      <c r="K171" s="55" cm="1">
        <f t="array" ref="K171">(VLOOKUP($A171,'The List'!$B1:$AH671,23,FALSE)-AVERAGE('The List'!X2:X671))/STDEV('The List'!X2:X671)</f>
        <v>1.0559090325934235</v>
      </c>
      <c r="L171" s="55" cm="1">
        <f t="array" ref="L171">(VLOOKUP($A171,'The List'!$B1:$AH671,24,FALSE)-AVERAGE('The List'!Y2:Y671))/STDEV('The List'!Y2:Y671)</f>
        <v>-0.56569022661034529</v>
      </c>
      <c r="M171" s="55" cm="1">
        <f t="array" ref="M171">(VLOOKUP($A171,'The List'!$B1:$AH671,25,FALSE)-AVERAGE('The List'!Z2:Z671))/STDEV('The List'!Z2:Z671)</f>
        <v>-0.70756870995144849</v>
      </c>
      <c r="N171" s="55" cm="1">
        <f t="array" ref="N171">(VLOOKUP($A171,'The List'!$B1:$AH671,26,FALSE)-AVERAGE('The List'!AA2:AA671))/STDEV('The List'!AA2:AA671)</f>
        <v>-0.51037332302647109</v>
      </c>
      <c r="O171" s="55" cm="1">
        <f t="array" ref="O171">(VLOOKUP($A171,'The List'!$B1:$AH671,27,FALSE)-AVERAGE('The List'!AB2:AB671))/STDEV('The List'!AB2:AB671)</f>
        <v>-0.99536162621026669</v>
      </c>
      <c r="P171" s="55" cm="1">
        <f t="array" ref="P171">(VLOOKUP($A171,'The List'!$B1:$AH671,28,FALSE)-AVERAGE('The List'!AC2:AC671))/STDEV('The List'!AC2:AC671)</f>
        <v>-1.3465765658786828</v>
      </c>
      <c r="Q171" s="55" cm="1">
        <f t="array" ref="Q171">(VLOOKUP($A171,'The List'!$B1:$AH671,29,FALSE)-AVERAGE('The List'!AD2:AD671))/STDEV('The List'!AD2:AD671)</f>
        <v>-0.10785246061320514</v>
      </c>
      <c r="R171" s="55" cm="1">
        <f t="array" ref="R171">(VLOOKUP($A171,'The List'!$B1:$AH671,30,FALSE)-AVERAGE('The List'!AE2:AE671))/STDEV('The List'!AE2:AE671)</f>
        <v>0.48045716711534653</v>
      </c>
      <c r="S171" s="55" cm="1">
        <f t="array" ref="S171">(VLOOKUP($A171,'The List'!$B1:$AH671,31,FALSE)-AVERAGE('The List'!AF2:AF671))/STDEV('The List'!AF2:AF671)</f>
        <v>0.175730883461515</v>
      </c>
      <c r="T171" s="55" cm="1">
        <f t="array" ref="T171">(VLOOKUP($A171,'The List'!$B1:$AH671,32,FALSE)-AVERAGE('The List'!AG2:AG671))/STDEV('The List'!AG2:AG671)</f>
        <v>0.73482227044018522</v>
      </c>
      <c r="U171" s="55" cm="1">
        <f t="array" ref="U171">(VLOOKUP($A171,'The List'!$B1:$AH671,33,FALSE)-AVERAGE('The List'!AH2:AH671))/STDEV('The List'!AH2:AH671)</f>
        <v>0.45743647736250226</v>
      </c>
      <c r="V171" s="55"/>
      <c r="W171" s="78"/>
      <c r="X171" s="57"/>
      <c r="Y171" s="57"/>
      <c r="Z171" s="57"/>
      <c r="AA171" s="57"/>
      <c r="AB171" s="57"/>
      <c r="AC171" s="60"/>
      <c r="AD171" s="61"/>
      <c r="AE171" s="55"/>
    </row>
    <row r="172" spans="1:31" ht="21.25" customHeight="1" x14ac:dyDescent="0.15">
      <c r="A172" s="10" t="s">
        <v>502</v>
      </c>
      <c r="B172" s="18" t="str" cm="1">
        <f t="array" ref="B172">VLOOKUP(A172,'Player Data'!A1:B673,2,FALSE)</f>
        <v>S.J</v>
      </c>
      <c r="C172" s="52" cm="1">
        <f t="array" ref="C172">((E172)*Settings!$C$12)+(F172*Settings!$C$2)+(G172*Settings!$C$3)+(H172*Settings!$C$4)+(I172*Settings!$C$5)+(K172*Settings!$C$9)+(N172*Settings!$C$6)+(J172*Settings!$C$8)+(O172*Settings!$C$7)+(P172*Settings!$C$14)+(Q172*Settings!$C$15)+(R172*Settings!$C$16)+(S172*Settings!$C$17)+(T172*Settings!$C$18)+(U172*Settings!$C$19)+(L172*Settings!$C$10)+(Settings!$C$11*M172)</f>
        <v>-1.0169378886055078</v>
      </c>
      <c r="D172" s="57" cm="1">
        <f t="array" ref="D172">IF(Settings!$E$12="YES",VLOOKUP(A172,'Player Data'!A1:E673,5,FALSE),82)</f>
        <v>74</v>
      </c>
      <c r="E172" s="55" cm="1">
        <f t="array" ref="E172">(VLOOKUP($A172,'The List'!$B1:$AH671,17,FALSE)-AVERAGE('The List'!R2:R671))/STDEV('The List'!R2:R671)</f>
        <v>-0.49305455364793266</v>
      </c>
      <c r="F172" s="55" cm="1">
        <f t="array" ref="F172">(VLOOKUP($A172,'The List'!$B1:$AH671,18,FALSE)-AVERAGE('The List'!S2:S671))/STDEV('The List'!S2:S671)</f>
        <v>0.60289934894523156</v>
      </c>
      <c r="G172" s="55" cm="1">
        <f t="array" ref="G172">(VLOOKUP($A172,'The List'!$B1:$AH671,19,FALSE)-AVERAGE('The List'!T2:T671))/STDEV('The List'!T2:T671)</f>
        <v>7.4396335850462791E-2</v>
      </c>
      <c r="H172" s="55" cm="1">
        <f t="array" ref="H172">(VLOOKUP($A172,'The List'!$B1:$AH671,20,FALSE)-AVERAGE('The List'!U2:U671))/STDEV('The List'!U2:U671)</f>
        <v>0.31428822863149808</v>
      </c>
      <c r="I172" s="55" cm="1">
        <f t="array" ref="I172">(VLOOKUP($A172,'The List'!$B1:$AH671,21,FALSE)-AVERAGE('The List'!V2:V671))/STDEV('The List'!V2:V671)</f>
        <v>-2.9459703054153883E-2</v>
      </c>
      <c r="J172" s="55" cm="1">
        <f t="array" ref="J172">(VLOOKUP($A172,'The List'!$B1:$AH671,22,FALSE)-AVERAGE('The List'!W2:W671))/STDEV('The List'!W2:W671)</f>
        <v>0.68630350383875338</v>
      </c>
      <c r="K172" s="55" cm="1">
        <f t="array" ref="K172">(VLOOKUP($A172,'The List'!$B1:$AH671,23,FALSE)-AVERAGE('The List'!X2:X671))/STDEV('The List'!X2:X671)</f>
        <v>0.20685714268117797</v>
      </c>
      <c r="L172" s="55" cm="1">
        <f t="array" ref="L172">(VLOOKUP($A172,'The List'!$B1:$AH671,24,FALSE)-AVERAGE('The List'!Y2:Y671))/STDEV('The List'!Y2:Y671)</f>
        <v>-0.56022192192775488</v>
      </c>
      <c r="M172" s="55" cm="1">
        <f t="array" ref="M172">(VLOOKUP($A172,'The List'!$B1:$AH671,25,FALSE)-AVERAGE('The List'!Z2:Z671))/STDEV('The List'!Z2:Z671)</f>
        <v>-0.70216671403656405</v>
      </c>
      <c r="N172" s="55" cm="1">
        <f t="array" ref="N172">(VLOOKUP($A172,'The List'!$B1:$AH671,26,FALSE)-AVERAGE('The List'!AA2:AA671))/STDEV('The List'!AA2:AA671)</f>
        <v>-0.7626914798222465</v>
      </c>
      <c r="O172" s="55" cm="1">
        <f t="array" ref="O172">(VLOOKUP($A172,'The List'!$B1:$AH671,27,FALSE)-AVERAGE('The List'!AB2:AB671))/STDEV('The List'!AB2:AB671)</f>
        <v>-0.62156213279413275</v>
      </c>
      <c r="P172" s="55" cm="1">
        <f t="array" ref="P172">(VLOOKUP($A172,'The List'!$B1:$AH671,28,FALSE)-AVERAGE('The List'!AC2:AC671))/STDEV('The List'!AC2:AC671)</f>
        <v>-0.39599694676876029</v>
      </c>
      <c r="Q172" s="55" cm="1">
        <f t="array" ref="Q172">(VLOOKUP($A172,'The List'!$B1:$AH671,29,FALSE)-AVERAGE('The List'!AD2:AD671))/STDEV('The List'!AD2:AD671)</f>
        <v>-0.71294258643721931</v>
      </c>
      <c r="R172" s="55" cm="1">
        <f t="array" ref="R172">(VLOOKUP($A172,'The List'!$B1:$AH671,30,FALSE)-AVERAGE('The List'!AE2:AE671))/STDEV('The List'!AE2:AE671)</f>
        <v>0.39185790678177113</v>
      </c>
      <c r="S172" s="55" cm="1">
        <f t="array" ref="S172">(VLOOKUP($A172,'The List'!$B1:$AH671,31,FALSE)-AVERAGE('The List'!AF2:AF671))/STDEV('The List'!AF2:AF671)</f>
        <v>-0.5939690971349143</v>
      </c>
      <c r="T172" s="55" cm="1">
        <f t="array" ref="T172">(VLOOKUP($A172,'The List'!$B1:$AH671,32,FALSE)-AVERAGE('The List'!AG2:AG671))/STDEV('The List'!AG2:AG671)</f>
        <v>-0.64602208138248207</v>
      </c>
      <c r="U172" s="55" cm="1">
        <f t="array" ref="U172">(VLOOKUP($A172,'The List'!$B1:$AH671,33,FALSE)-AVERAGE('The List'!AH2:AH671))/STDEV('The List'!AH2:AH671)</f>
        <v>-1.2548938914719048</v>
      </c>
      <c r="V172" s="55"/>
      <c r="W172" s="57"/>
      <c r="X172" s="55"/>
      <c r="Y172" s="55"/>
      <c r="Z172" s="55"/>
      <c r="AA172" s="55"/>
      <c r="AB172" s="55"/>
      <c r="AC172" s="55"/>
      <c r="AD172" s="55"/>
      <c r="AE172" s="55"/>
    </row>
    <row r="173" spans="1:31" ht="21.25" customHeight="1" x14ac:dyDescent="0.15">
      <c r="A173" s="10" t="s">
        <v>522</v>
      </c>
      <c r="B173" s="18" t="str" cm="1">
        <f t="array" ref="B173">VLOOKUP(A173,'Player Data'!A1:B673,2,FALSE)</f>
        <v>N.J</v>
      </c>
      <c r="C173" s="52" cm="1">
        <f t="array" ref="C173">((E173)*Settings!$C$12)+(F173*Settings!$C$2)+(G173*Settings!$C$3)+(H173*Settings!$C$4)+(I173*Settings!$C$5)+(K173*Settings!$C$9)+(N173*Settings!$C$6)+(J173*Settings!$C$8)+(O173*Settings!$C$7)+(P173*Settings!$C$14)+(Q173*Settings!$C$15)+(R173*Settings!$C$16)+(S173*Settings!$C$17)+(T173*Settings!$C$18)+(U173*Settings!$C$19)+(L173*Settings!$C$10)+(Settings!$C$11*M173)</f>
        <v>0.27155510511567871</v>
      </c>
      <c r="D173" s="57" cm="1">
        <f t="array" ref="D173">IF(Settings!$E$12="YES",VLOOKUP(A173,'Player Data'!A1:E673,5,FALSE),82)</f>
        <v>73.564999999999998</v>
      </c>
      <c r="E173" s="55" cm="1">
        <f t="array" ref="E173">(VLOOKUP($A173,'The List'!$B1:$AH671,17,FALSE)-AVERAGE('The List'!R2:R671))/STDEV('The List'!R2:R671)</f>
        <v>-0.75591081918776082</v>
      </c>
      <c r="F173" s="55" cm="1">
        <f t="array" ref="F173">(VLOOKUP($A173,'The List'!$B1:$AH671,18,FALSE)-AVERAGE('The List'!S2:S671))/STDEV('The List'!S2:S671)</f>
        <v>0.79863485216268959</v>
      </c>
      <c r="G173" s="55" cm="1">
        <f t="array" ref="G173">(VLOOKUP($A173,'The List'!$B1:$AH671,19,FALSE)-AVERAGE('The List'!T2:T671))/STDEV('The List'!T2:T671)</f>
        <v>-0.11240616566066167</v>
      </c>
      <c r="H173" s="55" cm="1">
        <f t="array" ref="H173">(VLOOKUP($A173,'The List'!$B1:$AH671,20,FALSE)-AVERAGE('The List'!U2:U671))/STDEV('The List'!U2:U671)</f>
        <v>0.28363402605595045</v>
      </c>
      <c r="I173" s="55" cm="1">
        <f t="array" ref="I173">(VLOOKUP($A173,'The List'!$B1:$AH671,21,FALSE)-AVERAGE('The List'!V2:V671))/STDEV('The List'!V2:V671)</f>
        <v>-0.1478553315000519</v>
      </c>
      <c r="J173" s="55" cm="1">
        <f t="array" ref="J173">(VLOOKUP($A173,'The List'!$B1:$AH671,22,FALSE)-AVERAGE('The List'!W2:W671))/STDEV('The List'!W2:W671)</f>
        <v>0.23715331234558018</v>
      </c>
      <c r="K173" s="55" cm="1">
        <f t="array" ref="K173">(VLOOKUP($A173,'The List'!$B1:$AH671,23,FALSE)-AVERAGE('The List'!X2:X671))/STDEV('The List'!X2:X671)</f>
        <v>-9.401701693421266E-2</v>
      </c>
      <c r="L173" s="55" cm="1">
        <f t="array" ref="L173">(VLOOKUP($A173,'The List'!$B1:$AH671,24,FALSE)-AVERAGE('The List'!Y2:Y671))/STDEV('The List'!Y2:Y671)</f>
        <v>-0.56569022661034529</v>
      </c>
      <c r="M173" s="55" cm="1">
        <f t="array" ref="M173">(VLOOKUP($A173,'The List'!$B1:$AH671,25,FALSE)-AVERAGE('The List'!Z2:Z671))/STDEV('The List'!Z2:Z671)</f>
        <v>-0.70756870995144849</v>
      </c>
      <c r="N173" s="55" cm="1">
        <f t="array" ref="N173">(VLOOKUP($A173,'The List'!$B1:$AH671,26,FALSE)-AVERAGE('The List'!AA2:AA671))/STDEV('The List'!AA2:AA671)</f>
        <v>-0.74561620453279731</v>
      </c>
      <c r="O173" s="55" cm="1">
        <f t="array" ref="O173">(VLOOKUP($A173,'The List'!$B1:$AH671,27,FALSE)-AVERAGE('The List'!AB2:AB671))/STDEV('The List'!AB2:AB671)</f>
        <v>-0.69259433307776141</v>
      </c>
      <c r="P173" s="55" cm="1">
        <f t="array" ref="P173">(VLOOKUP($A173,'The List'!$B1:$AH671,28,FALSE)-AVERAGE('The List'!AC2:AC671))/STDEV('The List'!AC2:AC671)</f>
        <v>0.25913190971456357</v>
      </c>
      <c r="Q173" s="55" cm="1">
        <f t="array" ref="Q173">(VLOOKUP($A173,'The List'!$B1:$AH671,29,FALSE)-AVERAGE('The List'!AD2:AD671))/STDEV('The List'!AD2:AD671)</f>
        <v>0.31368306186614908</v>
      </c>
      <c r="R173" s="55" cm="1">
        <f t="array" ref="R173">(VLOOKUP($A173,'The List'!$B1:$AH671,30,FALSE)-AVERAGE('The List'!AE2:AE671))/STDEV('The List'!AE2:AE671)</f>
        <v>0.6935554739954477</v>
      </c>
      <c r="S173" s="55" cm="1">
        <f t="array" ref="S173">(VLOOKUP($A173,'The List'!$B1:$AH671,31,FALSE)-AVERAGE('The List'!AF2:AF671))/STDEV('The List'!AF2:AF671)</f>
        <v>-0.54502451375905736</v>
      </c>
      <c r="T173" s="55" cm="1">
        <f t="array" ref="T173">(VLOOKUP($A173,'The List'!$B1:$AH671,32,FALSE)-AVERAGE('The List'!AG2:AG671))/STDEV('The List'!AG2:AG671)</f>
        <v>-0.52248497903507229</v>
      </c>
      <c r="U173" s="55" cm="1">
        <f t="array" ref="U173">(VLOOKUP($A173,'The List'!$B1:$AH671,33,FALSE)-AVERAGE('The List'!AH2:AH671))/STDEV('The List'!AH2:AH671)</f>
        <v>0.10913876501769031</v>
      </c>
      <c r="V173" s="55"/>
      <c r="W173" s="57"/>
      <c r="X173" s="57"/>
      <c r="Y173" s="57"/>
      <c r="Z173" s="57"/>
      <c r="AA173" s="57"/>
      <c r="AB173" s="57"/>
      <c r="AC173" s="60"/>
      <c r="AD173" s="61"/>
      <c r="AE173" s="55"/>
    </row>
    <row r="174" spans="1:31" ht="21.25" customHeight="1" x14ac:dyDescent="0.15">
      <c r="A174" s="10" t="s">
        <v>220</v>
      </c>
      <c r="B174" s="18" t="str" cm="1">
        <f t="array" ref="B174">VLOOKUP(A174,'Player Data'!A1:B673,2,FALSE)</f>
        <v>VAN</v>
      </c>
      <c r="C174" s="52" cm="1">
        <f t="array" ref="C174">((E174)*Settings!$C$12)+(F174*Settings!$C$2)+(G174*Settings!$C$3)+(H174*Settings!$C$4)+(I174*Settings!$C$5)+(K174*Settings!$C$9)+(N174*Settings!$C$6)+(J174*Settings!$C$8)+(O174*Settings!$C$7)+(P174*Settings!$C$14)+(Q174*Settings!$C$15)+(R174*Settings!$C$16)+(S174*Settings!$C$17)+(T174*Settings!$C$18)+(U174*Settings!$C$19)+(L174*Settings!$C$10)+(Settings!$C$11*M174)</f>
        <v>1.1681937689409878</v>
      </c>
      <c r="D174" s="57" cm="1">
        <f t="array" ref="D174">IF(Settings!$E$12="YES",VLOOKUP(A174,'Player Data'!A1:E673,5,FALSE),82)</f>
        <v>81.042500000000004</v>
      </c>
      <c r="E174" s="55" cm="1">
        <f t="array" ref="E174">(VLOOKUP($A174,'The List'!$B1:$AH671,17,FALSE)-AVERAGE('The List'!R2:R671))/STDEV('The List'!R2:R671)</f>
        <v>2.2045420673652276</v>
      </c>
      <c r="F174" s="55" cm="1">
        <f t="array" ref="F174">(VLOOKUP($A174,'The List'!$B1:$AH671,18,FALSE)-AVERAGE('The List'!S2:S671))/STDEV('The List'!S2:S671)</f>
        <v>-0.62640060136507469</v>
      </c>
      <c r="G174" s="55" cm="1">
        <f t="array" ref="G174">(VLOOKUP($A174,'The List'!$B1:$AH671,19,FALSE)-AVERAGE('The List'!T2:T671))/STDEV('The List'!T2:T671)</f>
        <v>1.2111007706180272</v>
      </c>
      <c r="H174" s="55" cm="1">
        <f t="array" ref="H174">(VLOOKUP($A174,'The List'!$B1:$AH671,20,FALSE)-AVERAGE('The List'!U2:U671))/STDEV('The List'!U2:U671)</f>
        <v>0.48385567166763177</v>
      </c>
      <c r="I174" s="55" cm="1">
        <f t="array" ref="I174">(VLOOKUP($A174,'The List'!$B1:$AH671,21,FALSE)-AVERAGE('The List'!V2:V671))/STDEV('The List'!V2:V671)</f>
        <v>0.17120126655347423</v>
      </c>
      <c r="J174" s="55" cm="1">
        <f t="array" ref="J174">(VLOOKUP($A174,'The List'!$B1:$AH671,22,FALSE)-AVERAGE('The List'!W2:W671))/STDEV('The List'!W2:W671)</f>
        <v>-0.10310748042413238</v>
      </c>
      <c r="K174" s="55" cm="1">
        <f t="array" ref="K174">(VLOOKUP($A174,'The List'!$B1:$AH671,23,FALSE)-AVERAGE('The List'!X2:X671))/STDEV('The List'!X2:X671)</f>
        <v>0.68761013451422492</v>
      </c>
      <c r="L174" s="55" cm="1">
        <f t="array" ref="L174">(VLOOKUP($A174,'The List'!$B1:$AH671,24,FALSE)-AVERAGE('The List'!Y2:Y671))/STDEV('The List'!Y2:Y671)</f>
        <v>-0.52060115526838957</v>
      </c>
      <c r="M174" s="55" cm="1">
        <f t="array" ref="M174">(VLOOKUP($A174,'The List'!$B1:$AH671,25,FALSE)-AVERAGE('The List'!Z2:Z671))/STDEV('The List'!Z2:Z671)</f>
        <v>-0.56017905500092258</v>
      </c>
      <c r="N174" s="55" cm="1">
        <f t="array" ref="N174">(VLOOKUP($A174,'The List'!$B1:$AH671,26,FALSE)-AVERAGE('The List'!AA2:AA671))/STDEV('The List'!AA2:AA671)</f>
        <v>1.1490449972887131</v>
      </c>
      <c r="O174" s="55" cm="1">
        <f t="array" ref="O174">(VLOOKUP($A174,'The List'!$B1:$AH671,27,FALSE)-AVERAGE('The List'!AB2:AB671))/STDEV('The List'!AB2:AB671)</f>
        <v>0.63897380717953089</v>
      </c>
      <c r="P174" s="55" cm="1">
        <f t="array" ref="P174">(VLOOKUP($A174,'The List'!$B1:$AH671,28,FALSE)-AVERAGE('The List'!AC2:AC671))/STDEV('The List'!AC2:AC671)</f>
        <v>-1.9297585106136561</v>
      </c>
      <c r="Q174" s="55" cm="1">
        <f t="array" ref="Q174">(VLOOKUP($A174,'The List'!$B1:$AH671,29,FALSE)-AVERAGE('The List'!AD2:AD671))/STDEV('The List'!AD2:AD671)</f>
        <v>0.50539571194527888</v>
      </c>
      <c r="R174" s="55" cm="1">
        <f t="array" ref="R174">(VLOOKUP($A174,'The List'!$B1:$AH671,30,FALSE)-AVERAGE('The List'!AE2:AE671))/STDEV('The List'!AE2:AE671)</f>
        <v>-0.75637218678787188</v>
      </c>
      <c r="S174" s="55" cm="1">
        <f t="array" ref="S174">(VLOOKUP($A174,'The List'!$B1:$AH671,31,FALSE)-AVERAGE('The List'!AF2:AF671))/STDEV('The List'!AF2:AF671)</f>
        <v>-0.59376702530403958</v>
      </c>
      <c r="T174" s="55" cm="1">
        <f t="array" ref="T174">(VLOOKUP($A174,'The List'!$B1:$AH671,32,FALSE)-AVERAGE('The List'!AG2:AG671))/STDEV('The List'!AG2:AG671)</f>
        <v>-0.64545826909528659</v>
      </c>
      <c r="U174" s="55" cm="1">
        <f t="array" ref="U174">(VLOOKUP($A174,'The List'!$B1:$AH671,33,FALSE)-AVERAGE('The List'!AH2:AH671))/STDEV('The List'!AH2:AH671)</f>
        <v>1.4972557831367887E-2</v>
      </c>
      <c r="V174" s="55"/>
      <c r="W174" s="78"/>
      <c r="X174" s="57"/>
      <c r="Y174" s="57"/>
      <c r="Z174" s="57"/>
      <c r="AA174" s="57"/>
      <c r="AB174" s="57"/>
      <c r="AC174" s="60"/>
      <c r="AD174" s="61"/>
      <c r="AE174" s="55"/>
    </row>
    <row r="175" spans="1:31" ht="21.25" customHeight="1" x14ac:dyDescent="0.15">
      <c r="A175" s="10" t="s">
        <v>412</v>
      </c>
      <c r="B175" s="18" t="str" cm="1">
        <f t="array" ref="B175">VLOOKUP(A175,'Player Data'!A1:B673,2,FALSE)</f>
        <v>NYI</v>
      </c>
      <c r="C175" s="52" cm="1">
        <f t="array" ref="C175">((E175)*Settings!$C$12)+(F175*Settings!$C$2)+(G175*Settings!$C$3)+(H175*Settings!$C$4)+(I175*Settings!$C$5)+(K175*Settings!$C$9)+(N175*Settings!$C$6)+(J175*Settings!$C$8)+(O175*Settings!$C$7)+(P175*Settings!$C$14)+(Q175*Settings!$C$15)+(R175*Settings!$C$16)+(S175*Settings!$C$17)+(T175*Settings!$C$18)+(U175*Settings!$C$19)+(L175*Settings!$C$10)+(Settings!$C$11*M175)</f>
        <v>-8.6242588346528537E-2</v>
      </c>
      <c r="D175" s="57" cm="1">
        <f t="array" ref="D175">IF(Settings!$E$12="YES",VLOOKUP(A175,'Player Data'!A1:E673,5,FALSE),82)</f>
        <v>73.912499999999994</v>
      </c>
      <c r="E175" s="55" cm="1">
        <f t="array" ref="E175">(VLOOKUP($A175,'The List'!$B1:$AH671,17,FALSE)-AVERAGE('The List'!R2:R671))/STDEV('The List'!R2:R671)</f>
        <v>0.25566756533033552</v>
      </c>
      <c r="F175" s="55" cm="1">
        <f t="array" ref="F175">(VLOOKUP($A175,'The List'!$B1:$AH671,18,FALSE)-AVERAGE('The List'!S2:S671))/STDEV('The List'!S2:S671)</f>
        <v>0.5777961493704924</v>
      </c>
      <c r="G175" s="55" cm="1">
        <f t="array" ref="G175">(VLOOKUP($A175,'The List'!$B1:$AH671,19,FALSE)-AVERAGE('The List'!T2:T671))/STDEV('The List'!T2:T671)</f>
        <v>5.299169189387249E-2</v>
      </c>
      <c r="H175" s="55" cm="1">
        <f t="array" ref="H175">(VLOOKUP($A175,'The List'!$B1:$AH671,20,FALSE)-AVERAGE('The List'!U2:U671))/STDEV('The List'!U2:U671)</f>
        <v>0.28968707698887808</v>
      </c>
      <c r="I175" s="55" cm="1">
        <f t="array" ref="I175">(VLOOKUP($A175,'The List'!$B1:$AH671,21,FALSE)-AVERAGE('The List'!V2:V671))/STDEV('The List'!V2:V671)</f>
        <v>0.89756967704506152</v>
      </c>
      <c r="J175" s="55" cm="1">
        <f t="array" ref="J175">(VLOOKUP($A175,'The List'!$B1:$AH671,22,FALSE)-AVERAGE('The List'!W2:W671))/STDEV('The List'!W2:W671)</f>
        <v>0.84348836835945362</v>
      </c>
      <c r="K175" s="55" cm="1">
        <f t="array" ref="K175">(VLOOKUP($A175,'The List'!$B1:$AH671,23,FALSE)-AVERAGE('The List'!X2:X671))/STDEV('The List'!X2:X671)</f>
        <v>0.5678759468379303</v>
      </c>
      <c r="L175" s="55" cm="1">
        <f t="array" ref="L175">(VLOOKUP($A175,'The List'!$B1:$AH671,24,FALSE)-AVERAGE('The List'!Y2:Y671))/STDEV('The List'!Y2:Y671)</f>
        <v>0.67922448153370008</v>
      </c>
      <c r="M175" s="55" cm="1">
        <f t="array" ref="M175">(VLOOKUP($A175,'The List'!$B1:$AH671,25,FALSE)-AVERAGE('The List'!Z2:Z671))/STDEV('The List'!Z2:Z671)</f>
        <v>0.49147557377672862</v>
      </c>
      <c r="N175" s="55" cm="1">
        <f t="array" ref="N175">(VLOOKUP($A175,'The List'!$B1:$AH671,26,FALSE)-AVERAGE('The List'!AA2:AA671))/STDEV('The List'!AA2:AA671)</f>
        <v>-0.72389617958231534</v>
      </c>
      <c r="O175" s="55" cm="1">
        <f t="array" ref="O175">(VLOOKUP($A175,'The List'!$B1:$AH671,27,FALSE)-AVERAGE('The List'!AB2:AB671))/STDEV('The List'!AB2:AB671)</f>
        <v>-0.59391958048977833</v>
      </c>
      <c r="P175" s="55" cm="1">
        <f t="array" ref="P175">(VLOOKUP($A175,'The List'!$B1:$AH671,28,FALSE)-AVERAGE('The List'!AC2:AC671))/STDEV('The List'!AC2:AC671)</f>
        <v>-0.83617078640526843</v>
      </c>
      <c r="Q175" s="55" cm="1">
        <f t="array" ref="Q175">(VLOOKUP($A175,'The List'!$B1:$AH671,29,FALSE)-AVERAGE('The List'!AD2:AD671))/STDEV('The List'!AD2:AD671)</f>
        <v>-0.62240908750630164</v>
      </c>
      <c r="R175" s="55" cm="1">
        <f t="array" ref="R175">(VLOOKUP($A175,'The List'!$B1:$AH671,30,FALSE)-AVERAGE('The List'!AE2:AE671))/STDEV('The List'!AE2:AE671)</f>
        <v>0.44558008211653183</v>
      </c>
      <c r="S175" s="55" cm="1">
        <f t="array" ref="S175">(VLOOKUP($A175,'The List'!$B1:$AH671,31,FALSE)-AVERAGE('The List'!AF2:AF671))/STDEV('The List'!AF2:AF671)</f>
        <v>-0.55147089905368896</v>
      </c>
      <c r="T175" s="55" cm="1">
        <f t="array" ref="T175">(VLOOKUP($A175,'The List'!$B1:$AH671,32,FALSE)-AVERAGE('The List'!AG2:AG671))/STDEV('The List'!AG2:AG671)</f>
        <v>-0.5808209748252241</v>
      </c>
      <c r="U175" s="55" cm="1">
        <f t="array" ref="U175">(VLOOKUP($A175,'The List'!$B1:$AH671,33,FALSE)-AVERAGE('The List'!AH2:AH671))/STDEV('The List'!AH2:AH671)</f>
        <v>0.62858973659990924</v>
      </c>
      <c r="V175" s="55"/>
      <c r="W175" s="57"/>
      <c r="X175" s="55"/>
      <c r="Y175" s="55"/>
      <c r="Z175" s="55"/>
      <c r="AA175" s="55"/>
      <c r="AB175" s="55"/>
      <c r="AC175" s="55"/>
      <c r="AD175" s="55"/>
      <c r="AE175" s="55"/>
    </row>
    <row r="176" spans="1:31" ht="21.25" customHeight="1" x14ac:dyDescent="0.15">
      <c r="A176" s="10" t="s">
        <v>433</v>
      </c>
      <c r="B176" s="18" t="str" cm="1">
        <f t="array" ref="B176">VLOOKUP(A176,'Player Data'!A1:B673,2,FALSE)</f>
        <v>CGY</v>
      </c>
      <c r="C176" s="52" cm="1">
        <f t="array" ref="C176">((E176)*Settings!$C$12)+(F176*Settings!$C$2)+(G176*Settings!$C$3)+(H176*Settings!$C$4)+(I176*Settings!$C$5)+(K176*Settings!$C$9)+(N176*Settings!$C$6)+(J176*Settings!$C$8)+(O176*Settings!$C$7)+(P176*Settings!$C$14)+(Q176*Settings!$C$15)+(R176*Settings!$C$16)+(S176*Settings!$C$17)+(T176*Settings!$C$18)+(U176*Settings!$C$19)+(L176*Settings!$C$10)+(Settings!$C$11*M176)</f>
        <v>-0.14843779444304334</v>
      </c>
      <c r="D176" s="57" cm="1">
        <f t="array" ref="D176">IF(Settings!$E$12="YES",VLOOKUP(A176,'Player Data'!A1:E673,5,FALSE),82)</f>
        <v>78.112499999999997</v>
      </c>
      <c r="E176" s="55" cm="1">
        <f t="array" ref="E176">(VLOOKUP($A176,'The List'!$B1:$AH671,17,FALSE)-AVERAGE('The List'!R2:R671))/STDEV('The List'!R2:R671)</f>
        <v>0.36997905677975318</v>
      </c>
      <c r="F176" s="55" cm="1">
        <f t="array" ref="F176">(VLOOKUP($A176,'The List'!$B1:$AH671,18,FALSE)-AVERAGE('The List'!S2:S671))/STDEV('The List'!S2:S671)</f>
        <v>0.41605991406182152</v>
      </c>
      <c r="G176" s="55" cm="1">
        <f t="array" ref="G176">(VLOOKUP($A176,'The List'!$B1:$AH671,19,FALSE)-AVERAGE('The List'!T2:T671))/STDEV('The List'!T2:T671)</f>
        <v>0.31460764902790928</v>
      </c>
      <c r="H176" s="55" cm="1">
        <f t="array" ref="H176">(VLOOKUP($A176,'The List'!$B1:$AH671,20,FALSE)-AVERAGE('The List'!U2:U671))/STDEV('The List'!U2:U671)</f>
        <v>0.38248328383983221</v>
      </c>
      <c r="I176" s="55" cm="1">
        <f t="array" ref="I176">(VLOOKUP($A176,'The List'!$B1:$AH671,21,FALSE)-AVERAGE('The List'!V2:V671))/STDEV('The List'!V2:V671)</f>
        <v>0.17036562225443128</v>
      </c>
      <c r="J176" s="55" cm="1">
        <f t="array" ref="J176">(VLOOKUP($A176,'The List'!$B1:$AH671,22,FALSE)-AVERAGE('The List'!W2:W671))/STDEV('The List'!W2:W671)</f>
        <v>0.82207738346882664</v>
      </c>
      <c r="K176" s="55" cm="1">
        <f t="array" ref="K176">(VLOOKUP($A176,'The List'!$B1:$AH671,23,FALSE)-AVERAGE('The List'!X2:X671))/STDEV('The List'!X2:X671)</f>
        <v>0.67102548047867094</v>
      </c>
      <c r="L176" s="55" cm="1">
        <f t="array" ref="L176">(VLOOKUP($A176,'The List'!$B1:$AH671,24,FALSE)-AVERAGE('The List'!Y2:Y671))/STDEV('The List'!Y2:Y671)</f>
        <v>1.6449406781999441</v>
      </c>
      <c r="M176" s="55" cm="1">
        <f t="array" ref="M176">(VLOOKUP($A176,'The List'!$B1:$AH671,25,FALSE)-AVERAGE('The List'!Z2:Z671))/STDEV('The List'!Z2:Z671)</f>
        <v>1.1562258875585101</v>
      </c>
      <c r="N176" s="55" cm="1">
        <f t="array" ref="N176">(VLOOKUP($A176,'The List'!$B1:$AH671,26,FALSE)-AVERAGE('The List'!AA2:AA671))/STDEV('The List'!AA2:AA671)</f>
        <v>-0.34731994937194749</v>
      </c>
      <c r="O176" s="55" cm="1">
        <f t="array" ref="O176">(VLOOKUP($A176,'The List'!$B1:$AH671,27,FALSE)-AVERAGE('The List'!AB2:AB671))/STDEV('The List'!AB2:AB671)</f>
        <v>-0.67823144721616035</v>
      </c>
      <c r="P176" s="55" cm="1">
        <f t="array" ref="P176">(VLOOKUP($A176,'The List'!$B1:$AH671,28,FALSE)-AVERAGE('The List'!AC2:AC671))/STDEV('The List'!AC2:AC671)</f>
        <v>-1.7807689492708427</v>
      </c>
      <c r="Q176" s="55" cm="1">
        <f t="array" ref="Q176">(VLOOKUP($A176,'The List'!$B1:$AH671,29,FALSE)-AVERAGE('The List'!AD2:AD671))/STDEV('The List'!AD2:AD671)</f>
        <v>0.40759243837691378</v>
      </c>
      <c r="R176" s="55" cm="1">
        <f t="array" ref="R176">(VLOOKUP($A176,'The List'!$B1:$AH671,30,FALSE)-AVERAGE('The List'!AE2:AE671))/STDEV('The List'!AE2:AE671)</f>
        <v>0.27266143795931036</v>
      </c>
      <c r="S176" s="55" cm="1">
        <f t="array" ref="S176">(VLOOKUP($A176,'The List'!$B1:$AH671,31,FALSE)-AVERAGE('The List'!AF2:AF671))/STDEV('The List'!AF2:AF671)</f>
        <v>-0.53499340017065833</v>
      </c>
      <c r="T176" s="55" cm="1">
        <f t="array" ref="T176">(VLOOKUP($A176,'The List'!$B1:$AH671,32,FALSE)-AVERAGE('The List'!AG2:AG671))/STDEV('The List'!AG2:AG671)</f>
        <v>-0.55605869032841626</v>
      </c>
      <c r="U176" s="55" cm="1">
        <f t="array" ref="U176">(VLOOKUP($A176,'The List'!$B1:$AH671,33,FALSE)-AVERAGE('The List'!AH2:AH671))/STDEV('The List'!AH2:AH671)</f>
        <v>0.63497165953718071</v>
      </c>
      <c r="V176" s="55"/>
      <c r="W176" s="57"/>
      <c r="X176" s="55"/>
      <c r="Y176" s="55"/>
      <c r="Z176" s="55"/>
      <c r="AA176" s="55"/>
      <c r="AB176" s="55"/>
      <c r="AC176" s="55"/>
      <c r="AD176" s="55"/>
      <c r="AE176" s="55"/>
    </row>
    <row r="177" spans="1:31" ht="21.25" customHeight="1" x14ac:dyDescent="0.15">
      <c r="A177" s="10" t="s">
        <v>347</v>
      </c>
      <c r="B177" s="18" t="str" cm="1">
        <f t="array" ref="B177">VLOOKUP(A177,'Player Data'!A1:B673,2,FALSE)</f>
        <v>PHI</v>
      </c>
      <c r="C177" s="52" cm="1">
        <f t="array" ref="C177">((E177)*Settings!$C$12)+(F177*Settings!$C$2)+(G177*Settings!$C$3)+(H177*Settings!$C$4)+(I177*Settings!$C$5)+(K177*Settings!$C$9)+(N177*Settings!$C$6)+(J177*Settings!$C$8)+(O177*Settings!$C$7)+(P177*Settings!$C$14)+(Q177*Settings!$C$15)+(R177*Settings!$C$16)+(S177*Settings!$C$17)+(T177*Settings!$C$18)+(U177*Settings!$C$19)+(L177*Settings!$C$10)+(Settings!$C$11*M177)</f>
        <v>1.5949076218100728</v>
      </c>
      <c r="D177" s="57" cm="1">
        <f t="array" ref="D177">IF(Settings!$E$12="YES",VLOOKUP(A177,'Player Data'!A1:E673,5,FALSE),82)</f>
        <v>82.765000000000001</v>
      </c>
      <c r="E177" s="55" cm="1">
        <f t="array" ref="E177">(VLOOKUP($A177,'The List'!$B1:$AH671,17,FALSE)-AVERAGE('The List'!R2:R671))/STDEV('The List'!R2:R671)</f>
        <v>-0.1852995449973748</v>
      </c>
      <c r="F177" s="55" cm="1">
        <f t="array" ref="F177">(VLOOKUP($A177,'The List'!$B1:$AH671,18,FALSE)-AVERAGE('The List'!S2:S671))/STDEV('The List'!S2:S671)</f>
        <v>1.0890177414248603</v>
      </c>
      <c r="G177" s="55" cm="1">
        <f t="array" ref="G177">(VLOOKUP($A177,'The List'!$B1:$AH671,19,FALSE)-AVERAGE('The List'!T2:T671))/STDEV('The List'!T2:T671)</f>
        <v>2.7880571501910253E-2</v>
      </c>
      <c r="H177" s="55" cm="1">
        <f t="array" ref="H177">(VLOOKUP($A177,'The List'!$B1:$AH671,20,FALSE)-AVERAGE('The List'!U2:U671))/STDEV('The List'!U2:U671)</f>
        <v>0.50071021443408925</v>
      </c>
      <c r="I177" s="55" cm="1">
        <f t="array" ref="I177">(VLOOKUP($A177,'The List'!$B1:$AH671,21,FALSE)-AVERAGE('The List'!V2:V671))/STDEV('The List'!V2:V671)</f>
        <v>1.570939381089024</v>
      </c>
      <c r="J177" s="55" cm="1">
        <f t="array" ref="J177">(VLOOKUP($A177,'The List'!$B1:$AH671,22,FALSE)-AVERAGE('The List'!W2:W671))/STDEV('The List'!W2:W671)</f>
        <v>-0.16322428398983929</v>
      </c>
      <c r="K177" s="55" cm="1">
        <f t="array" ref="K177">(VLOOKUP($A177,'The List'!$B1:$AH671,23,FALSE)-AVERAGE('The List'!X2:X671))/STDEV('The List'!X2:X671)</f>
        <v>-0.20355536445492894</v>
      </c>
      <c r="L177" s="55" cm="1">
        <f t="array" ref="L177">(VLOOKUP($A177,'The List'!$B1:$AH671,24,FALSE)-AVERAGE('The List'!Y2:Y671))/STDEV('The List'!Y2:Y671)</f>
        <v>0.43577601000350941</v>
      </c>
      <c r="M177" s="55" cm="1">
        <f t="array" ref="M177">(VLOOKUP($A177,'The List'!$B1:$AH671,25,FALSE)-AVERAGE('The List'!Z2:Z671))/STDEV('The List'!Z2:Z671)</f>
        <v>-6.6184015809987923E-2</v>
      </c>
      <c r="N177" s="55" cm="1">
        <f t="array" ref="N177">(VLOOKUP($A177,'The List'!$B1:$AH671,26,FALSE)-AVERAGE('The List'!AA2:AA671))/STDEV('The List'!AA2:AA671)</f>
        <v>-0.25062435230133584</v>
      </c>
      <c r="O177" s="55" cm="1">
        <f t="array" ref="O177">(VLOOKUP($A177,'The List'!$B1:$AH671,27,FALSE)-AVERAGE('The List'!AB2:AB671))/STDEV('The List'!AB2:AB671)</f>
        <v>1.2496236629207551</v>
      </c>
      <c r="P177" s="55" cm="1">
        <f t="array" ref="P177">(VLOOKUP($A177,'The List'!$B1:$AH671,28,FALSE)-AVERAGE('The List'!AC2:AC671))/STDEV('The List'!AC2:AC671)</f>
        <v>0.19244170604306415</v>
      </c>
      <c r="Q177" s="55" cm="1">
        <f t="array" ref="Q177">(VLOOKUP($A177,'The List'!$B1:$AH671,29,FALSE)-AVERAGE('The List'!AD2:AD671))/STDEV('The List'!AD2:AD671)</f>
        <v>-0.83119206149252056</v>
      </c>
      <c r="R177" s="55" cm="1">
        <f t="array" ref="R177">(VLOOKUP($A177,'The List'!$B1:$AH671,30,FALSE)-AVERAGE('The List'!AE2:AE671))/STDEV('The List'!AE2:AE671)</f>
        <v>1.0965229793111939</v>
      </c>
      <c r="S177" s="55" cm="1">
        <f t="array" ref="S177">(VLOOKUP($A177,'The List'!$B1:$AH671,31,FALSE)-AVERAGE('The List'!AF2:AF671))/STDEV('The List'!AF2:AF671)</f>
        <v>-0.54204560419107883</v>
      </c>
      <c r="T177" s="55" cm="1">
        <f t="array" ref="T177">(VLOOKUP($A177,'The List'!$B1:$AH671,32,FALSE)-AVERAGE('The List'!AG2:AG671))/STDEV('The List'!AG2:AG671)</f>
        <v>-0.5470393528243036</v>
      </c>
      <c r="U177" s="55" cm="1">
        <f t="array" ref="U177">(VLOOKUP($A177,'The List'!$B1:$AH671,33,FALSE)-AVERAGE('The List'!AH2:AH671))/STDEV('The List'!AH2:AH671)</f>
        <v>0.39270952831291484</v>
      </c>
      <c r="V177" s="55"/>
      <c r="W177" s="78"/>
      <c r="X177" s="57"/>
      <c r="Y177" s="57"/>
      <c r="Z177" s="57"/>
      <c r="AA177" s="57"/>
      <c r="AB177" s="57"/>
      <c r="AC177" s="60"/>
      <c r="AD177" s="61"/>
      <c r="AE177" s="55"/>
    </row>
    <row r="178" spans="1:31" ht="21.25" customHeight="1" x14ac:dyDescent="0.15">
      <c r="A178" s="10" t="s">
        <v>218</v>
      </c>
      <c r="B178" s="18" t="str" cm="1">
        <f t="array" ref="B178">VLOOKUP(A178,'Player Data'!A1:B673,2,FALSE)</f>
        <v>SEA</v>
      </c>
      <c r="C178" s="52" cm="1">
        <f t="array" ref="C178">((E178)*Settings!$C$12)+(F178*Settings!$C$2)+(G178*Settings!$C$3)+(H178*Settings!$C$4)+(I178*Settings!$C$5)+(K178*Settings!$C$9)+(N178*Settings!$C$6)+(J178*Settings!$C$8)+(O178*Settings!$C$7)+(P178*Settings!$C$14)+(Q178*Settings!$C$15)+(R178*Settings!$C$16)+(S178*Settings!$C$17)+(T178*Settings!$C$18)+(U178*Settings!$C$19)+(L178*Settings!$C$10)+(Settings!$C$11*M178)</f>
        <v>2.4961427910689751</v>
      </c>
      <c r="D178" s="57" cm="1">
        <f t="array" ref="D178">IF(Settings!$E$12="YES",VLOOKUP(A178,'Player Data'!A1:E673,5,FALSE),82)</f>
        <v>78.802499999999995</v>
      </c>
      <c r="E178" s="55" cm="1">
        <f t="array" ref="E178">(VLOOKUP($A178,'The List'!$B1:$AH671,17,FALSE)-AVERAGE('The List'!R2:R671))/STDEV('The List'!R2:R671)</f>
        <v>1.2763280176438212</v>
      </c>
      <c r="F178" s="55" cm="1">
        <f t="array" ref="F178">(VLOOKUP($A178,'The List'!$B1:$AH671,18,FALSE)-AVERAGE('The List'!S2:S671))/STDEV('The List'!S2:S671)</f>
        <v>-0.31593105056929416</v>
      </c>
      <c r="G178" s="55" cm="1">
        <f t="array" ref="G178">(VLOOKUP($A178,'The List'!$B1:$AH671,19,FALSE)-AVERAGE('The List'!T2:T671))/STDEV('The List'!T2:T671)</f>
        <v>0.83565424718131787</v>
      </c>
      <c r="H178" s="55" cm="1">
        <f t="array" ref="H178">(VLOOKUP($A178,'The List'!$B1:$AH671,20,FALSE)-AVERAGE('The List'!U2:U671))/STDEV('The List'!U2:U671)</f>
        <v>0.38545037607925192</v>
      </c>
      <c r="I178" s="55" cm="1">
        <f t="array" ref="I178">(VLOOKUP($A178,'The List'!$B1:$AH671,21,FALSE)-AVERAGE('The List'!V2:V671))/STDEV('The List'!V2:V671)</f>
        <v>0.63970715736190065</v>
      </c>
      <c r="J178" s="55" cm="1">
        <f t="array" ref="J178">(VLOOKUP($A178,'The List'!$B1:$AH671,22,FALSE)-AVERAGE('The List'!W2:W671))/STDEV('The List'!W2:W671)</f>
        <v>-3.8126741918815849E-2</v>
      </c>
      <c r="K178" s="55" cm="1">
        <f t="array" ref="K178">(VLOOKUP($A178,'The List'!$B1:$AH671,23,FALSE)-AVERAGE('The List'!X2:X671))/STDEV('The List'!X2:X671)</f>
        <v>0.931710951266012</v>
      </c>
      <c r="L178" s="55" cm="1">
        <f t="array" ref="L178">(VLOOKUP($A178,'The List'!$B1:$AH671,24,FALSE)-AVERAGE('The List'!Y2:Y671))/STDEV('The List'!Y2:Y671)</f>
        <v>-0.55826538707408402</v>
      </c>
      <c r="M178" s="55" cm="1">
        <f t="array" ref="M178">(VLOOKUP($A178,'The List'!$B1:$AH671,25,FALSE)-AVERAGE('The List'!Z2:Z671))/STDEV('The List'!Z2:Z671)</f>
        <v>-0.66377475679412312</v>
      </c>
      <c r="N178" s="55" cm="1">
        <f t="array" ref="N178">(VLOOKUP($A178,'The List'!$B1:$AH671,26,FALSE)-AVERAGE('The List'!AA2:AA671))/STDEV('The List'!AA2:AA671)</f>
        <v>0.72686622276078838</v>
      </c>
      <c r="O178" s="55" cm="1">
        <f t="array" ref="O178">(VLOOKUP($A178,'The List'!$B1:$AH671,27,FALSE)-AVERAGE('The List'!AB2:AB671))/STDEV('The List'!AB2:AB671)</f>
        <v>-0.95046649826041862</v>
      </c>
      <c r="P178" s="55" cm="1">
        <f t="array" ref="P178">(VLOOKUP($A178,'The List'!$B1:$AH671,28,FALSE)-AVERAGE('The List'!AC2:AC671))/STDEV('The List'!AC2:AC671)</f>
        <v>-1.6097818831783515</v>
      </c>
      <c r="Q178" s="55" cm="1">
        <f t="array" ref="Q178">(VLOOKUP($A178,'The List'!$B1:$AH671,29,FALSE)-AVERAGE('The List'!AD2:AD671))/STDEV('The List'!AD2:AD671)</f>
        <v>1.2879171462466019</v>
      </c>
      <c r="R178" s="55" cm="1">
        <f t="array" ref="R178">(VLOOKUP($A178,'The List'!$B1:$AH671,30,FALSE)-AVERAGE('The List'!AE2:AE671))/STDEV('The List'!AE2:AE671)</f>
        <v>-0.42457030224445413</v>
      </c>
      <c r="S178" s="55" cm="1">
        <f t="array" ref="S178">(VLOOKUP($A178,'The List'!$B1:$AH671,31,FALSE)-AVERAGE('The List'!AF2:AF671))/STDEV('The List'!AF2:AF671)</f>
        <v>-0.5939690971349143</v>
      </c>
      <c r="T178" s="55" cm="1">
        <f t="array" ref="T178">(VLOOKUP($A178,'The List'!$B1:$AH671,32,FALSE)-AVERAGE('The List'!AG2:AG671))/STDEV('The List'!AG2:AG671)</f>
        <v>-0.64602208138248207</v>
      </c>
      <c r="U178" s="55" cm="1">
        <f t="array" ref="U178">(VLOOKUP($A178,'The List'!$B1:$AH671,33,FALSE)-AVERAGE('The List'!AH2:AH671))/STDEV('The List'!AH2:AH671)</f>
        <v>-1.2548938914719048</v>
      </c>
      <c r="V178" s="55"/>
      <c r="W178" s="78"/>
      <c r="X178" s="57"/>
      <c r="Y178" s="57"/>
      <c r="Z178" s="57"/>
      <c r="AA178" s="57"/>
      <c r="AB178" s="57"/>
      <c r="AC178" s="60"/>
      <c r="AD178" s="61"/>
      <c r="AE178" s="55"/>
    </row>
    <row r="179" spans="1:31" ht="21.25" customHeight="1" x14ac:dyDescent="0.15">
      <c r="A179" s="10" t="s">
        <v>463</v>
      </c>
      <c r="B179" s="18" t="str" cm="1">
        <f t="array" ref="B179">VLOOKUP(A179,'Player Data'!A1:B673,2,FALSE)</f>
        <v>NYI</v>
      </c>
      <c r="C179" s="52" cm="1">
        <f t="array" ref="C179">((E179)*Settings!$C$12)+(F179*Settings!$C$2)+(G179*Settings!$C$3)+(H179*Settings!$C$4)+(I179*Settings!$C$5)+(K179*Settings!$C$9)+(N179*Settings!$C$6)+(J179*Settings!$C$8)+(O179*Settings!$C$7)+(P179*Settings!$C$14)+(Q179*Settings!$C$15)+(R179*Settings!$C$16)+(S179*Settings!$C$17)+(T179*Settings!$C$18)+(U179*Settings!$C$19)+(L179*Settings!$C$10)+(Settings!$C$11*M179)</f>
        <v>-1.4827693340308725</v>
      </c>
      <c r="D179" s="57" cm="1">
        <f t="array" ref="D179">IF(Settings!$E$12="YES",VLOOKUP(A179,'Player Data'!A1:E673,5,FALSE),82)</f>
        <v>81.834999999999994</v>
      </c>
      <c r="E179" s="55" cm="1">
        <f t="array" ref="E179">(VLOOKUP($A179,'The List'!$B1:$AH671,17,FALSE)-AVERAGE('The List'!R2:R671))/STDEV('The List'!R2:R671)</f>
        <v>0.2154255581798091</v>
      </c>
      <c r="F179" s="55" cm="1">
        <f t="array" ref="F179">(VLOOKUP($A179,'The List'!$B1:$AH671,18,FALSE)-AVERAGE('The List'!S2:S671))/STDEV('The List'!S2:S671)</f>
        <v>0.8322524283809033</v>
      </c>
      <c r="G179" s="55" cm="1">
        <f t="array" ref="G179">(VLOOKUP($A179,'The List'!$B1:$AH671,19,FALSE)-AVERAGE('The List'!T2:T671))/STDEV('The List'!T2:T671)</f>
        <v>0.14851556495365575</v>
      </c>
      <c r="H179" s="55" cm="1">
        <f t="array" ref="H179">(VLOOKUP($A179,'The List'!$B1:$AH671,20,FALSE)-AVERAGE('The List'!U2:U671))/STDEV('The List'!U2:U671)</f>
        <v>0.46266780467113955</v>
      </c>
      <c r="I179" s="55" cm="1">
        <f t="array" ref="I179">(VLOOKUP($A179,'The List'!$B1:$AH671,21,FALSE)-AVERAGE('The List'!V2:V671))/STDEV('The List'!V2:V671)</f>
        <v>-0.21242769463823832</v>
      </c>
      <c r="J179" s="55" cm="1">
        <f t="array" ref="J179">(VLOOKUP($A179,'The List'!$B1:$AH671,22,FALSE)-AVERAGE('The List'!W2:W671))/STDEV('The List'!W2:W671)</f>
        <v>-0.29649139989692247</v>
      </c>
      <c r="K179" s="55" cm="1">
        <f t="array" ref="K179">(VLOOKUP($A179,'The List'!$B1:$AH671,23,FALSE)-AVERAGE('The List'!X2:X671))/STDEV('The List'!X2:X671)</f>
        <v>-0.29528417288289804</v>
      </c>
      <c r="L179" s="55" cm="1">
        <f t="array" ref="L179">(VLOOKUP($A179,'The List'!$B1:$AH671,24,FALSE)-AVERAGE('The List'!Y2:Y671))/STDEV('The List'!Y2:Y671)</f>
        <v>4.5726503900855269</v>
      </c>
      <c r="M179" s="55" cm="1">
        <f t="array" ref="M179">(VLOOKUP($A179,'The List'!$B1:$AH671,25,FALSE)-AVERAGE('The List'!Z2:Z671))/STDEV('The List'!Z2:Z671)</f>
        <v>5.539323173047503</v>
      </c>
      <c r="N179" s="55" cm="1">
        <f t="array" ref="N179">(VLOOKUP($A179,'The List'!$B1:$AH671,26,FALSE)-AVERAGE('The List'!AA2:AA671))/STDEV('The List'!AA2:AA671)</f>
        <v>-0.25439180842282533</v>
      </c>
      <c r="O179" s="55" cm="1">
        <f t="array" ref="O179">(VLOOKUP($A179,'The List'!$B1:$AH671,27,FALSE)-AVERAGE('The List'!AB2:AB671))/STDEV('The List'!AB2:AB671)</f>
        <v>-1.1564148703604078</v>
      </c>
      <c r="P179" s="55" cm="1">
        <f t="array" ref="P179">(VLOOKUP($A179,'The List'!$B1:$AH671,28,FALSE)-AVERAGE('The List'!AC2:AC671))/STDEV('The List'!AC2:AC671)</f>
        <v>-0.76832383598507237</v>
      </c>
      <c r="Q179" s="55" cm="1">
        <f t="array" ref="Q179">(VLOOKUP($A179,'The List'!$B1:$AH671,29,FALSE)-AVERAGE('The List'!AD2:AD671))/STDEV('The List'!AD2:AD671)</f>
        <v>-0.93310981543639737</v>
      </c>
      <c r="R179" s="55" cm="1">
        <f t="array" ref="R179">(VLOOKUP($A179,'The List'!$B1:$AH671,30,FALSE)-AVERAGE('The List'!AE2:AE671))/STDEV('The List'!AE2:AE671)</f>
        <v>0.67780363552928791</v>
      </c>
      <c r="S179" s="55" cm="1">
        <f t="array" ref="S179">(VLOOKUP($A179,'The List'!$B1:$AH671,31,FALSE)-AVERAGE('The List'!AF2:AF671))/STDEV('The List'!AF2:AF671)</f>
        <v>-0.57381754975569554</v>
      </c>
      <c r="T179" s="55" cm="1">
        <f t="array" ref="T179">(VLOOKUP($A179,'The List'!$B1:$AH671,32,FALSE)-AVERAGE('The List'!AG2:AG671))/STDEV('The List'!AG2:AG671)</f>
        <v>-0.57759546663846562</v>
      </c>
      <c r="U179" s="55" cm="1">
        <f t="array" ref="U179">(VLOOKUP($A179,'The List'!$B1:$AH671,33,FALSE)-AVERAGE('The List'!AH2:AH671))/STDEV('The List'!AH2:AH671)</f>
        <v>-0.15739007843185698</v>
      </c>
      <c r="V179" s="55"/>
      <c r="W179" s="78"/>
      <c r="X179" s="57"/>
      <c r="Y179" s="57"/>
      <c r="Z179" s="57"/>
      <c r="AA179" s="57"/>
      <c r="AB179" s="57"/>
      <c r="AC179" s="60"/>
      <c r="AD179" s="61"/>
      <c r="AE179" s="55"/>
    </row>
    <row r="180" spans="1:31" ht="21.25" customHeight="1" x14ac:dyDescent="0.15">
      <c r="A180" s="10" t="s">
        <v>500</v>
      </c>
      <c r="B180" s="18" t="str" cm="1">
        <f t="array" ref="B180">VLOOKUP(A180,'Player Data'!A1:B673,2,FALSE)</f>
        <v>PIT</v>
      </c>
      <c r="C180" s="52" cm="1">
        <f t="array" ref="C180">((E180)*Settings!$C$12)+(F180*Settings!$C$2)+(G180*Settings!$C$3)+(H180*Settings!$C$4)+(I180*Settings!$C$5)+(K180*Settings!$C$9)+(N180*Settings!$C$6)+(J180*Settings!$C$8)+(O180*Settings!$C$7)+(P180*Settings!$C$14)+(Q180*Settings!$C$15)+(R180*Settings!$C$16)+(S180*Settings!$C$17)+(T180*Settings!$C$18)+(U180*Settings!$C$19)+(L180*Settings!$C$10)+(Settings!$C$11*M180)</f>
        <v>-1.4675488701250905</v>
      </c>
      <c r="D180" s="57" cm="1">
        <f t="array" ref="D180">IF(Settings!$E$12="YES",VLOOKUP(A180,'Player Data'!A1:E673,5,FALSE),82)</f>
        <v>72.204999999999998</v>
      </c>
      <c r="E180" s="55" cm="1">
        <f t="array" ref="E180">(VLOOKUP($A180,'The List'!$B1:$AH671,17,FALSE)-AVERAGE('The List'!R2:R671))/STDEV('The List'!R2:R671)</f>
        <v>-0.47247985358714101</v>
      </c>
      <c r="F180" s="55" cm="1">
        <f t="array" ref="F180">(VLOOKUP($A180,'The List'!$B1:$AH671,18,FALSE)-AVERAGE('The List'!S2:S671))/STDEV('The List'!S2:S671)</f>
        <v>0.67595001712044156</v>
      </c>
      <c r="G180" s="55" cm="1">
        <f t="array" ref="G180">(VLOOKUP($A180,'The List'!$B1:$AH671,19,FALSE)-AVERAGE('The List'!T2:T671))/STDEV('The List'!T2:T671)</f>
        <v>-0.14241448551988645</v>
      </c>
      <c r="H180" s="55" cm="1">
        <f t="array" ref="H180">(VLOOKUP($A180,'The List'!$B1:$AH671,20,FALSE)-AVERAGE('The List'!U2:U671))/STDEV('The List'!U2:U671)</f>
        <v>0.21032635875054886</v>
      </c>
      <c r="I180" s="55" cm="1">
        <f t="array" ref="I180">(VLOOKUP($A180,'The List'!$B1:$AH671,21,FALSE)-AVERAGE('The List'!V2:V671))/STDEV('The List'!V2:V671)</f>
        <v>0.42202723964953709</v>
      </c>
      <c r="J180" s="55" cm="1">
        <f t="array" ref="J180">(VLOOKUP($A180,'The List'!$B1:$AH671,22,FALSE)-AVERAGE('The List'!W2:W671))/STDEV('The List'!W2:W671)</f>
        <v>-0.13591631824531822</v>
      </c>
      <c r="K180" s="55" cm="1">
        <f t="array" ref="K180">(VLOOKUP($A180,'The List'!$B1:$AH671,23,FALSE)-AVERAGE('The List'!X2:X671))/STDEV('The List'!X2:X671)</f>
        <v>-0.23610802649791432</v>
      </c>
      <c r="L180" s="55" cm="1">
        <f t="array" ref="L180">(VLOOKUP($A180,'The List'!$B1:$AH671,24,FALSE)-AVERAGE('The List'!Y2:Y671))/STDEV('The List'!Y2:Y671)</f>
        <v>-0.56417996830979111</v>
      </c>
      <c r="M180" s="55" cm="1">
        <f t="array" ref="M180">(VLOOKUP($A180,'The List'!$B1:$AH671,25,FALSE)-AVERAGE('The List'!Z2:Z671))/STDEV('The List'!Z2:Z671)</f>
        <v>-0.70608331171747851</v>
      </c>
      <c r="N180" s="55" cm="1">
        <f t="array" ref="N180">(VLOOKUP($A180,'The List'!$B1:$AH671,26,FALSE)-AVERAGE('The List'!AA2:AA671))/STDEV('The List'!AA2:AA671)</f>
        <v>-0.78160607285166528</v>
      </c>
      <c r="O180" s="55" cm="1">
        <f t="array" ref="O180">(VLOOKUP($A180,'The List'!$B1:$AH671,27,FALSE)-AVERAGE('The List'!AB2:AB671))/STDEV('The List'!AB2:AB671)</f>
        <v>-0.4229009750878972</v>
      </c>
      <c r="P180" s="55" cm="1">
        <f t="array" ref="P180">(VLOOKUP($A180,'The List'!$B1:$AH671,28,FALSE)-AVERAGE('The List'!AC2:AC671))/STDEV('The List'!AC2:AC671)</f>
        <v>-0.12981548149543884</v>
      </c>
      <c r="Q180" s="55" cm="1">
        <f t="array" ref="Q180">(VLOOKUP($A180,'The List'!$B1:$AH671,29,FALSE)-AVERAGE('The List'!AD2:AD671))/STDEV('The List'!AD2:AD671)</f>
        <v>-1.2755820605301644</v>
      </c>
      <c r="R180" s="55" cm="1">
        <f t="array" ref="R180">(VLOOKUP($A180,'The List'!$B1:$AH671,30,FALSE)-AVERAGE('The List'!AE2:AE671))/STDEV('The List'!AE2:AE671)</f>
        <v>0.52167201435193478</v>
      </c>
      <c r="S180" s="55" cm="1">
        <f t="array" ref="S180">(VLOOKUP($A180,'The List'!$B1:$AH671,31,FALSE)-AVERAGE('The List'!AF2:AF671))/STDEV('The List'!AF2:AF671)</f>
        <v>-0.58427294856011602</v>
      </c>
      <c r="T180" s="55" cm="1">
        <f t="array" ref="T180">(VLOOKUP($A180,'The List'!$B1:$AH671,32,FALSE)-AVERAGE('The List'!AG2:AG671))/STDEV('The List'!AG2:AG671)</f>
        <v>-0.60333326241216489</v>
      </c>
      <c r="U180" s="55" cm="1">
        <f t="array" ref="U180">(VLOOKUP($A180,'The List'!$B1:$AH671,33,FALSE)-AVERAGE('The List'!AH2:AH671))/STDEV('The List'!AH2:AH671)</f>
        <v>-0.35953487805407841</v>
      </c>
      <c r="V180" s="55"/>
      <c r="W180" s="78"/>
      <c r="X180" s="57"/>
      <c r="Y180" s="57"/>
      <c r="Z180" s="57"/>
      <c r="AA180" s="57"/>
      <c r="AB180" s="57"/>
      <c r="AC180" s="60"/>
      <c r="AD180" s="61"/>
      <c r="AE180" s="55"/>
    </row>
    <row r="181" spans="1:31" ht="21.25" customHeight="1" x14ac:dyDescent="0.15">
      <c r="A181" s="10" t="s">
        <v>519</v>
      </c>
      <c r="B181" s="18" t="str" cm="1">
        <f t="array" ref="B181">VLOOKUP(A181,'Player Data'!A1:B673,2,FALSE)</f>
        <v>BUF</v>
      </c>
      <c r="C181" s="52" cm="1">
        <f t="array" ref="C181">((E181)*Settings!$C$12)+(F181*Settings!$C$2)+(G181*Settings!$C$3)+(H181*Settings!$C$4)+(I181*Settings!$C$5)+(K181*Settings!$C$9)+(N181*Settings!$C$6)+(J181*Settings!$C$8)+(O181*Settings!$C$7)+(P181*Settings!$C$14)+(Q181*Settings!$C$15)+(R181*Settings!$C$16)+(S181*Settings!$C$17)+(T181*Settings!$C$18)+(U181*Settings!$C$19)+(L181*Settings!$C$10)+(Settings!$C$11*M181)</f>
        <v>-0.1578137835039671</v>
      </c>
      <c r="D181" s="57" cm="1">
        <f t="array" ref="D181">IF(Settings!$E$12="YES",VLOOKUP(A181,'Player Data'!A1:E673,5,FALSE),82)</f>
        <v>70.510000000000005</v>
      </c>
      <c r="E181" s="55" cm="1">
        <f t="array" ref="E181">(VLOOKUP($A181,'The List'!$B1:$AH671,17,FALSE)-AVERAGE('The List'!R2:R671))/STDEV('The List'!R2:R671)</f>
        <v>-0.48160245658425649</v>
      </c>
      <c r="F181" s="55" cm="1">
        <f t="array" ref="F181">(VLOOKUP($A181,'The List'!$B1:$AH671,18,FALSE)-AVERAGE('The List'!S2:S671))/STDEV('The List'!S2:S671)</f>
        <v>0.52296286893996824</v>
      </c>
      <c r="G181" s="55" cm="1">
        <f t="array" ref="G181">(VLOOKUP($A181,'The List'!$B1:$AH671,19,FALSE)-AVERAGE('The List'!T2:T671))/STDEV('The List'!T2:T671)</f>
        <v>-0.1170981076835152</v>
      </c>
      <c r="H181" s="55" cm="1">
        <f t="array" ref="H181">(VLOOKUP($A181,'The List'!$B1:$AH671,20,FALSE)-AVERAGE('The List'!U2:U671))/STDEV('The List'!U2:U671)</f>
        <v>0.15837315711340735</v>
      </c>
      <c r="I181" s="55" cm="1">
        <f t="array" ref="I181">(VLOOKUP($A181,'The List'!$B1:$AH671,21,FALSE)-AVERAGE('The List'!V2:V671))/STDEV('The List'!V2:V671)</f>
        <v>-0.2582204042314219</v>
      </c>
      <c r="J181" s="55" cm="1">
        <f t="array" ref="J181">(VLOOKUP($A181,'The List'!$B1:$AH671,22,FALSE)-AVERAGE('The List'!W2:W671))/STDEV('The List'!W2:W671)</f>
        <v>0.4198964633885291</v>
      </c>
      <c r="K181" s="55" cm="1">
        <f t="array" ref="K181">(VLOOKUP($A181,'The List'!$B1:$AH671,23,FALSE)-AVERAGE('The List'!X2:X671))/STDEV('The List'!X2:X671)</f>
        <v>0.31832280445717454</v>
      </c>
      <c r="L181" s="55" cm="1">
        <f t="array" ref="L181">(VLOOKUP($A181,'The List'!$B1:$AH671,24,FALSE)-AVERAGE('The List'!Y2:Y671))/STDEV('The List'!Y2:Y671)</f>
        <v>-0.51007789785292279</v>
      </c>
      <c r="M181" s="55" cm="1">
        <f t="array" ref="M181">(VLOOKUP($A181,'The List'!$B1:$AH671,25,FALSE)-AVERAGE('The List'!Z2:Z671))/STDEV('The List'!Z2:Z671)</f>
        <v>-0.64789920597407191</v>
      </c>
      <c r="N181" s="55" cm="1">
        <f t="array" ref="N181">(VLOOKUP($A181,'The List'!$B1:$AH671,26,FALSE)-AVERAGE('The List'!AA2:AA671))/STDEV('The List'!AA2:AA671)</f>
        <v>-0.56026934054864108</v>
      </c>
      <c r="O181" s="55" cm="1">
        <f t="array" ref="O181">(VLOOKUP($A181,'The List'!$B1:$AH671,27,FALSE)-AVERAGE('The List'!AB2:AB671))/STDEV('The List'!AB2:AB671)</f>
        <v>-0.14212262248942284</v>
      </c>
      <c r="P181" s="55" cm="1">
        <f t="array" ref="P181">(VLOOKUP($A181,'The List'!$B1:$AH671,28,FALSE)-AVERAGE('The List'!AC2:AC671))/STDEV('The List'!AC2:AC671)</f>
        <v>0.20594694703570829</v>
      </c>
      <c r="Q181" s="55" cm="1">
        <f t="array" ref="Q181">(VLOOKUP($A181,'The List'!$B1:$AH671,29,FALSE)-AVERAGE('The List'!AD2:AD671))/STDEV('The List'!AD2:AD671)</f>
        <v>-0.26945855147323999</v>
      </c>
      <c r="R181" s="55" cm="1">
        <f t="array" ref="R181">(VLOOKUP($A181,'The List'!$B1:$AH671,30,FALSE)-AVERAGE('The List'!AE2:AE671))/STDEV('The List'!AE2:AE671)</f>
        <v>0.45150781280373864</v>
      </c>
      <c r="S181" s="55" cm="1">
        <f t="array" ref="S181">(VLOOKUP($A181,'The List'!$B1:$AH671,31,FALSE)-AVERAGE('The List'!AF2:AF671))/STDEV('The List'!AF2:AF671)</f>
        <v>1.5178290951013884</v>
      </c>
      <c r="T181" s="55" cm="1">
        <f t="array" ref="T181">(VLOOKUP($A181,'The List'!$B1:$AH671,32,FALSE)-AVERAGE('The List'!AG2:AG671))/STDEV('The List'!AG2:AG671)</f>
        <v>1.4383320173746217</v>
      </c>
      <c r="U181" s="55" cm="1">
        <f t="array" ref="U181">(VLOOKUP($A181,'The List'!$B1:$AH671,33,FALSE)-AVERAGE('The List'!AH2:AH671))/STDEV('The List'!AH2:AH671)</f>
        <v>1.1308675437137734</v>
      </c>
      <c r="V181" s="55"/>
      <c r="W181" s="78"/>
      <c r="X181" s="57"/>
      <c r="Y181" s="57"/>
      <c r="Z181" s="57"/>
      <c r="AA181" s="57"/>
      <c r="AB181" s="57"/>
      <c r="AC181" s="60"/>
      <c r="AD181" s="61"/>
      <c r="AE181" s="55"/>
    </row>
    <row r="182" spans="1:31" ht="21.25" customHeight="1" x14ac:dyDescent="0.15">
      <c r="A182" s="10" t="s">
        <v>200</v>
      </c>
      <c r="B182" s="18" t="str" cm="1">
        <f t="array" ref="B182">VLOOKUP(A182,'Player Data'!A1:B673,2,FALSE)</f>
        <v>DAL</v>
      </c>
      <c r="C182" s="52" cm="1">
        <f t="array" ref="C182">((E182)*Settings!$C$12)+(F182*Settings!$C$2)+(G182*Settings!$C$3)+(H182*Settings!$C$4)+(I182*Settings!$C$5)+(K182*Settings!$C$9)+(N182*Settings!$C$6)+(J182*Settings!$C$8)+(O182*Settings!$C$7)+(P182*Settings!$C$14)+(Q182*Settings!$C$15)+(R182*Settings!$C$16)+(S182*Settings!$C$17)+(T182*Settings!$C$18)+(U182*Settings!$C$19)+(L182*Settings!$C$10)+(Settings!$C$11*M182)</f>
        <v>4.4602730606541972</v>
      </c>
      <c r="D182" s="57" cm="1">
        <f t="array" ref="D182">IF(Settings!$E$12="YES",VLOOKUP(A182,'Player Data'!A1:E673,5,FALSE),82)</f>
        <v>81.05</v>
      </c>
      <c r="E182" s="55" cm="1">
        <f t="array" ref="E182">(VLOOKUP($A182,'The List'!$B1:$AH671,17,FALSE)-AVERAGE('The List'!R2:R671))/STDEV('The List'!R2:R671)</f>
        <v>1.5393953172482848</v>
      </c>
      <c r="F182" s="55" cm="1">
        <f t="array" ref="F182">(VLOOKUP($A182,'The List'!$B1:$AH671,18,FALSE)-AVERAGE('The List'!S2:S671))/STDEV('The List'!S2:S671)</f>
        <v>-9.713960287663731E-2</v>
      </c>
      <c r="G182" s="55" cm="1">
        <f t="array" ref="G182">(VLOOKUP($A182,'The List'!$B1:$AH671,19,FALSE)-AVERAGE('The List'!T2:T671))/STDEV('The List'!T2:T671)</f>
        <v>0.91430028711010636</v>
      </c>
      <c r="H182" s="55" cm="1">
        <f t="array" ref="H182">(VLOOKUP($A182,'The List'!$B1:$AH671,20,FALSE)-AVERAGE('The List'!U2:U671))/STDEV('The List'!U2:U671)</f>
        <v>0.53199132598062449</v>
      </c>
      <c r="I182" s="55" cm="1">
        <f t="array" ref="I182">(VLOOKUP($A182,'The List'!$B1:$AH671,21,FALSE)-AVERAGE('The List'!V2:V671))/STDEV('The List'!V2:V671)</f>
        <v>0.43794432711255282</v>
      </c>
      <c r="J182" s="55" cm="1">
        <f t="array" ref="J182">(VLOOKUP($A182,'The List'!$B1:$AH671,22,FALSE)-AVERAGE('The List'!W2:W671))/STDEV('The List'!W2:W671)</f>
        <v>-0.4323689410541065</v>
      </c>
      <c r="K182" s="55" cm="1">
        <f t="array" ref="K182">(VLOOKUP($A182,'The List'!$B1:$AH671,23,FALSE)-AVERAGE('The List'!X2:X671))/STDEV('The List'!X2:X671)</f>
        <v>0.25541950572396066</v>
      </c>
      <c r="L182" s="55" cm="1">
        <f t="array" ref="L182">(VLOOKUP($A182,'The List'!$B1:$AH671,24,FALSE)-AVERAGE('The List'!Y2:Y671))/STDEV('The List'!Y2:Y671)</f>
        <v>-0.31397709181842987</v>
      </c>
      <c r="M182" s="55" cm="1">
        <f t="array" ref="M182">(VLOOKUP($A182,'The List'!$B1:$AH671,25,FALSE)-AVERAGE('The List'!Z2:Z671))/STDEV('The List'!Z2:Z671)</f>
        <v>-0.50511826322574638</v>
      </c>
      <c r="N182" s="55" cm="1">
        <f t="array" ref="N182">(VLOOKUP($A182,'The List'!$B1:$AH671,26,FALSE)-AVERAGE('The List'!AA2:AA671))/STDEV('The List'!AA2:AA671)</f>
        <v>2.0262844289875912</v>
      </c>
      <c r="O182" s="55" cm="1">
        <f t="array" ref="O182">(VLOOKUP($A182,'The List'!$B1:$AH671,27,FALSE)-AVERAGE('The List'!AB2:AB671))/STDEV('The List'!AB2:AB671)</f>
        <v>-0.80047869689930473</v>
      </c>
      <c r="P182" s="55" cm="1">
        <f t="array" ref="P182">(VLOOKUP($A182,'The List'!$B1:$AH671,28,FALSE)-AVERAGE('The List'!AC2:AC671))/STDEV('The List'!AC2:AC671)</f>
        <v>1.368355602256357</v>
      </c>
      <c r="Q182" s="55" cm="1">
        <f t="array" ref="Q182">(VLOOKUP($A182,'The List'!$B1:$AH671,29,FALSE)-AVERAGE('The List'!AD2:AD671))/STDEV('The List'!AD2:AD671)</f>
        <v>-0.4448914876597328</v>
      </c>
      <c r="R182" s="55" cm="1">
        <f t="array" ref="R182">(VLOOKUP($A182,'The List'!$B1:$AH671,30,FALSE)-AVERAGE('The List'!AE2:AE671))/STDEV('The List'!AE2:AE671)</f>
        <v>1.3381161708869006E-2</v>
      </c>
      <c r="S182" s="55" cm="1">
        <f t="array" ref="S182">(VLOOKUP($A182,'The List'!$B1:$AH671,31,FALSE)-AVERAGE('The List'!AF2:AF671))/STDEV('The List'!AF2:AF671)</f>
        <v>-0.5939690971349143</v>
      </c>
      <c r="T182" s="55" cm="1">
        <f t="array" ref="T182">(VLOOKUP($A182,'The List'!$B1:$AH671,32,FALSE)-AVERAGE('The List'!AG2:AG671))/STDEV('The List'!AG2:AG671)</f>
        <v>-0.64602208138248207</v>
      </c>
      <c r="U182" s="55" cm="1">
        <f t="array" ref="U182">(VLOOKUP($A182,'The List'!$B1:$AH671,33,FALSE)-AVERAGE('The List'!AH2:AH671))/STDEV('The List'!AH2:AH671)</f>
        <v>-1.2548938914719048</v>
      </c>
      <c r="V182" s="55"/>
      <c r="W182" s="78"/>
      <c r="X182" s="57"/>
      <c r="Y182" s="57"/>
      <c r="Z182" s="57"/>
      <c r="AA182" s="57"/>
      <c r="AB182" s="57"/>
      <c r="AC182" s="60"/>
      <c r="AD182" s="61"/>
      <c r="AE182" s="55"/>
    </row>
    <row r="183" spans="1:31" ht="21.25" customHeight="1" x14ac:dyDescent="0.15">
      <c r="A183" s="10" t="s">
        <v>322</v>
      </c>
      <c r="B183" s="18" t="str" cm="1">
        <f t="array" ref="B183">VLOOKUP(A183,'Player Data'!A1:B673,2,FALSE)</f>
        <v>VAN</v>
      </c>
      <c r="C183" s="52" cm="1">
        <f t="array" ref="C183">((E183)*Settings!$C$12)+(F183*Settings!$C$2)+(G183*Settings!$C$3)+(H183*Settings!$C$4)+(I183*Settings!$C$5)+(K183*Settings!$C$9)+(N183*Settings!$C$6)+(J183*Settings!$C$8)+(O183*Settings!$C$7)+(P183*Settings!$C$14)+(Q183*Settings!$C$15)+(R183*Settings!$C$16)+(S183*Settings!$C$17)+(T183*Settings!$C$18)+(U183*Settings!$C$19)+(L183*Settings!$C$10)+(Settings!$C$11*M183)</f>
        <v>0.41720326892765036</v>
      </c>
      <c r="D183" s="57" cm="1">
        <f t="array" ref="D183">IF(Settings!$E$12="YES",VLOOKUP(A183,'Player Data'!A1:E673,5,FALSE),82)</f>
        <v>83.652500000000003</v>
      </c>
      <c r="E183" s="55" cm="1">
        <f t="array" ref="E183">(VLOOKUP($A183,'The List'!$B1:$AH671,17,FALSE)-AVERAGE('The List'!R2:R671))/STDEV('The List'!R2:R671)</f>
        <v>0.28947615648112651</v>
      </c>
      <c r="F183" s="55" cm="1">
        <f t="array" ref="F183">(VLOOKUP($A183,'The List'!$B1:$AH671,18,FALSE)-AVERAGE('The List'!S2:S671))/STDEV('The List'!S2:S671)</f>
        <v>1.1929393476185326</v>
      </c>
      <c r="G183" s="55" cm="1">
        <f t="array" ref="G183">(VLOOKUP($A183,'The List'!$B1:$AH671,19,FALSE)-AVERAGE('The List'!T2:T671))/STDEV('The List'!T2:T671)</f>
        <v>-6.1589219348953735E-2</v>
      </c>
      <c r="H183" s="55" cm="1">
        <f t="array" ref="H183">(VLOOKUP($A183,'The List'!$B1:$AH671,20,FALSE)-AVERAGE('The List'!U2:U671))/STDEV('The List'!U2:U671)</f>
        <v>0.49054194426297604</v>
      </c>
      <c r="I183" s="55" cm="1">
        <f t="array" ref="I183">(VLOOKUP($A183,'The List'!$B1:$AH671,21,FALSE)-AVERAGE('The List'!V2:V671))/STDEV('The List'!V2:V671)</f>
        <v>1.5804406928411281</v>
      </c>
      <c r="J183" s="55" cm="1">
        <f t="array" ref="J183">(VLOOKUP($A183,'The List'!$B1:$AH671,22,FALSE)-AVERAGE('The List'!W2:W671))/STDEV('The List'!W2:W671)</f>
        <v>3.4351780254205972</v>
      </c>
      <c r="K183" s="55" cm="1">
        <f t="array" ref="K183">(VLOOKUP($A183,'The List'!$B1:$AH671,23,FALSE)-AVERAGE('The List'!X2:X671))/STDEV('The List'!X2:X671)</f>
        <v>1.491743216736515</v>
      </c>
      <c r="L183" s="55" cm="1">
        <f t="array" ref="L183">(VLOOKUP($A183,'The List'!$B1:$AH671,24,FALSE)-AVERAGE('The List'!Y2:Y671))/STDEV('The List'!Y2:Y671)</f>
        <v>0.29955742021109533</v>
      </c>
      <c r="M183" s="55" cm="1">
        <f t="array" ref="M183">(VLOOKUP($A183,'The List'!$B1:$AH671,25,FALSE)-AVERAGE('The List'!Z2:Z671))/STDEV('The List'!Z2:Z671)</f>
        <v>-6.1012397490389648E-2</v>
      </c>
      <c r="N183" s="55" cm="1">
        <f t="array" ref="N183">(VLOOKUP($A183,'The List'!$B1:$AH671,26,FALSE)-AVERAGE('The List'!AA2:AA671))/STDEV('The List'!AA2:AA671)</f>
        <v>-0.50675939432200834</v>
      </c>
      <c r="O183" s="55" cm="1">
        <f t="array" ref="O183">(VLOOKUP($A183,'The List'!$B1:$AH671,27,FALSE)-AVERAGE('The List'!AB2:AB671))/STDEV('The List'!AB2:AB671)</f>
        <v>-6.9831701703793353E-2</v>
      </c>
      <c r="P183" s="55" cm="1">
        <f t="array" ref="P183">(VLOOKUP($A183,'The List'!$B1:$AH671,28,FALSE)-AVERAGE('The List'!AC2:AC671))/STDEV('The List'!AC2:AC671)</f>
        <v>-2.4299358892511962</v>
      </c>
      <c r="Q183" s="55" cm="1">
        <f t="array" ref="Q183">(VLOOKUP($A183,'The List'!$B1:$AH671,29,FALSE)-AVERAGE('The List'!AD2:AD671))/STDEV('The List'!AD2:AD671)</f>
        <v>-0.84963548534636657</v>
      </c>
      <c r="R183" s="55" cm="1">
        <f t="array" ref="R183">(VLOOKUP($A183,'The List'!$B1:$AH671,30,FALSE)-AVERAGE('The List'!AE2:AE671))/STDEV('The List'!AE2:AE671)</f>
        <v>0.65247364225833204</v>
      </c>
      <c r="S183" s="55" cm="1">
        <f t="array" ref="S183">(VLOOKUP($A183,'The List'!$B1:$AH671,31,FALSE)-AVERAGE('The List'!AF2:AF671))/STDEV('The List'!AF2:AF671)</f>
        <v>-0.5323448424079873</v>
      </c>
      <c r="T183" s="55" cm="1">
        <f t="array" ref="T183">(VLOOKUP($A183,'The List'!$B1:$AH671,32,FALSE)-AVERAGE('The List'!AG2:AG671))/STDEV('The List'!AG2:AG671)</f>
        <v>-0.53891137405535749</v>
      </c>
      <c r="U183" s="55" cm="1">
        <f t="array" ref="U183">(VLOOKUP($A183,'The List'!$B1:$AH671,33,FALSE)-AVERAGE('The List'!AH2:AH671))/STDEV('The List'!AH2:AH671)</f>
        <v>0.49157072615321717</v>
      </c>
      <c r="V183" s="55"/>
      <c r="W183" s="57"/>
      <c r="X183" s="57"/>
      <c r="Y183" s="57"/>
      <c r="Z183" s="57"/>
      <c r="AA183" s="57"/>
      <c r="AB183" s="57"/>
      <c r="AC183" s="60"/>
      <c r="AD183" s="61"/>
      <c r="AE183" s="55"/>
    </row>
    <row r="184" spans="1:31" ht="21.25" customHeight="1" x14ac:dyDescent="0.15">
      <c r="A184" s="10" t="s">
        <v>180</v>
      </c>
      <c r="B184" s="18" t="str" cm="1">
        <f t="array" ref="B184">VLOOKUP(A184,'Player Data'!A1:B673,2,FALSE)</f>
        <v>MTL</v>
      </c>
      <c r="C184" s="52" cm="1">
        <f t="array" ref="C184">((E184)*Settings!$C$12)+(F184*Settings!$C$2)+(G184*Settings!$C$3)+(H184*Settings!$C$4)+(I184*Settings!$C$5)+(K184*Settings!$C$9)+(N184*Settings!$C$6)+(J184*Settings!$C$8)+(O184*Settings!$C$7)+(P184*Settings!$C$14)+(Q184*Settings!$C$15)+(R184*Settings!$C$16)+(S184*Settings!$C$17)+(T184*Settings!$C$18)+(U184*Settings!$C$19)+(L184*Settings!$C$10)+(Settings!$C$11*M184)</f>
        <v>5.0390654059082287</v>
      </c>
      <c r="D184" s="57" cm="1">
        <f t="array" ref="D184">IF(Settings!$E$12="YES",VLOOKUP(A184,'Player Data'!A1:E673,5,FALSE),82)</f>
        <v>81.862499999999997</v>
      </c>
      <c r="E184" s="55" cm="1">
        <f t="array" ref="E184">(VLOOKUP($A184,'The List'!$B1:$AH671,17,FALSE)-AVERAGE('The List'!R2:R671))/STDEV('The List'!R2:R671)</f>
        <v>1.6493913963768343</v>
      </c>
      <c r="F184" s="55" cm="1">
        <f t="array" ref="F184">(VLOOKUP($A184,'The List'!$B1:$AH671,18,FALSE)-AVERAGE('The List'!S2:S671))/STDEV('The List'!S2:S671)</f>
        <v>-0.31727272407967994</v>
      </c>
      <c r="G184" s="55" cm="1">
        <f t="array" ref="G184">(VLOOKUP($A184,'The List'!$B1:$AH671,19,FALSE)-AVERAGE('The List'!T2:T671))/STDEV('The List'!T2:T671)</f>
        <v>0.90354008442838851</v>
      </c>
      <c r="H184" s="55" cm="1">
        <f t="array" ref="H184">(VLOOKUP($A184,'The List'!$B1:$AH671,20,FALSE)-AVERAGE('The List'!U2:U671))/STDEV('The List'!U2:U671)</f>
        <v>0.42755493803715938</v>
      </c>
      <c r="I184" s="55" cm="1">
        <f t="array" ref="I184">(VLOOKUP($A184,'The List'!$B1:$AH671,21,FALSE)-AVERAGE('The List'!V2:V671))/STDEV('The List'!V2:V671)</f>
        <v>0.76262082782299467</v>
      </c>
      <c r="J184" s="55" cm="1">
        <f t="array" ref="J184">(VLOOKUP($A184,'The List'!$B1:$AH671,22,FALSE)-AVERAGE('The List'!W2:W671))/STDEV('The List'!W2:W671)</f>
        <v>-0.48150048422696151</v>
      </c>
      <c r="K184" s="55" cm="1">
        <f t="array" ref="K184">(VLOOKUP($A184,'The List'!$B1:$AH671,23,FALSE)-AVERAGE('The List'!X2:X671))/STDEV('The List'!X2:X671)</f>
        <v>-9.8061732265574304E-3</v>
      </c>
      <c r="L184" s="55" cm="1">
        <f t="array" ref="L184">(VLOOKUP($A184,'The List'!$B1:$AH671,24,FALSE)-AVERAGE('The List'!Y2:Y671))/STDEV('The List'!Y2:Y671)</f>
        <v>-0.52648164927347185</v>
      </c>
      <c r="M184" s="55" cm="1">
        <f t="array" ref="M184">(VLOOKUP($A184,'The List'!$B1:$AH671,25,FALSE)-AVERAGE('The List'!Z2:Z671))/STDEV('The List'!Z2:Z671)</f>
        <v>4.586958824055104E-2</v>
      </c>
      <c r="N184" s="55" cm="1">
        <f t="array" ref="N184">(VLOOKUP($A184,'The List'!$B1:$AH671,26,FALSE)-AVERAGE('The List'!AA2:AA671))/STDEV('The List'!AA2:AA671)</f>
        <v>2.8303626723355344</v>
      </c>
      <c r="O184" s="55" cm="1">
        <f t="array" ref="O184">(VLOOKUP($A184,'The List'!$B1:$AH671,27,FALSE)-AVERAGE('The List'!AB2:AB671))/STDEV('The List'!AB2:AB671)</f>
        <v>-0.40559412011842377</v>
      </c>
      <c r="P184" s="55" cm="1">
        <f t="array" ref="P184">(VLOOKUP($A184,'The List'!$B1:$AH671,28,FALSE)-AVERAGE('The List'!AC2:AC671))/STDEV('The List'!AC2:AC671)</f>
        <v>0.47839732608645347</v>
      </c>
      <c r="Q184" s="55" cm="1">
        <f t="array" ref="Q184">(VLOOKUP($A184,'The List'!$B1:$AH671,29,FALSE)-AVERAGE('The List'!AD2:AD671))/STDEV('The List'!AD2:AD671)</f>
        <v>0.3912233925410955</v>
      </c>
      <c r="R184" s="55" cm="1">
        <f t="array" ref="R184">(VLOOKUP($A184,'The List'!$B1:$AH671,30,FALSE)-AVERAGE('The List'!AE2:AE671))/STDEV('The List'!AE2:AE671)</f>
        <v>-0.23660817685412802</v>
      </c>
      <c r="S184" s="55" cm="1">
        <f t="array" ref="S184">(VLOOKUP($A184,'The List'!$B1:$AH671,31,FALSE)-AVERAGE('The List'!AF2:AF671))/STDEV('The List'!AF2:AF671)</f>
        <v>-0.5939690971349143</v>
      </c>
      <c r="T184" s="55" cm="1">
        <f t="array" ref="T184">(VLOOKUP($A184,'The List'!$B1:$AH671,32,FALSE)-AVERAGE('The List'!AG2:AG671))/STDEV('The List'!AG2:AG671)</f>
        <v>-0.64602208138248207</v>
      </c>
      <c r="U184" s="55" cm="1">
        <f t="array" ref="U184">(VLOOKUP($A184,'The List'!$B1:$AH671,33,FALSE)-AVERAGE('The List'!AH2:AH671))/STDEV('The List'!AH2:AH671)</f>
        <v>-1.2548938914719048</v>
      </c>
      <c r="V184" s="55"/>
      <c r="W184" s="57"/>
      <c r="X184" s="55"/>
      <c r="Y184" s="55"/>
      <c r="Z184" s="55"/>
      <c r="AA184" s="55"/>
      <c r="AB184" s="55"/>
      <c r="AC184" s="55"/>
      <c r="AD184" s="55"/>
      <c r="AE184" s="55"/>
    </row>
    <row r="185" spans="1:31" ht="21.25" customHeight="1" x14ac:dyDescent="0.15">
      <c r="A185" s="10" t="s">
        <v>530</v>
      </c>
      <c r="B185" s="18" t="str" cm="1">
        <f t="array" ref="B185">VLOOKUP(A185,'Player Data'!A1:B673,2,FALSE)</f>
        <v>SEA</v>
      </c>
      <c r="C185" s="52" cm="1">
        <f t="array" ref="C185">((E185)*Settings!$C$12)+(F185*Settings!$C$2)+(G185*Settings!$C$3)+(H185*Settings!$C$4)+(I185*Settings!$C$5)+(K185*Settings!$C$9)+(N185*Settings!$C$6)+(J185*Settings!$C$8)+(O185*Settings!$C$7)+(P185*Settings!$C$14)+(Q185*Settings!$C$15)+(R185*Settings!$C$16)+(S185*Settings!$C$17)+(T185*Settings!$C$18)+(U185*Settings!$C$19)+(L185*Settings!$C$10)+(Settings!$C$11*M185)</f>
        <v>-2.2779713908702193</v>
      </c>
      <c r="D185" s="57" cm="1">
        <f t="array" ref="D185">IF(Settings!$E$12="YES",VLOOKUP(A185,'Player Data'!A1:E673,5,FALSE),82)</f>
        <v>78.5</v>
      </c>
      <c r="E185" s="55" cm="1">
        <f t="array" ref="E185">(VLOOKUP($A185,'The List'!$B1:$AH671,17,FALSE)-AVERAGE('The List'!R2:R671))/STDEV('The List'!R2:R671)</f>
        <v>-0.4480044178393614</v>
      </c>
      <c r="F185" s="55" cm="1">
        <f t="array" ref="F185">(VLOOKUP($A185,'The List'!$B1:$AH671,18,FALSE)-AVERAGE('The List'!S2:S671))/STDEV('The List'!S2:S671)</f>
        <v>0.27202153009786639</v>
      </c>
      <c r="G185" s="55" cm="1">
        <f t="array" ref="G185">(VLOOKUP($A185,'The List'!$B1:$AH671,19,FALSE)-AVERAGE('The List'!T2:T671))/STDEV('The List'!T2:T671)</f>
        <v>0.35190823011342381</v>
      </c>
      <c r="H185" s="55" cm="1">
        <f t="array" ref="H185">(VLOOKUP($A185,'The List'!$B1:$AH671,20,FALSE)-AVERAGE('The List'!U2:U671))/STDEV('The List'!U2:U671)</f>
        <v>0.3420384548080907</v>
      </c>
      <c r="I185" s="55" cm="1">
        <f t="array" ref="I185">(VLOOKUP($A185,'The List'!$B1:$AH671,21,FALSE)-AVERAGE('The List'!V2:V671))/STDEV('The List'!V2:V671)</f>
        <v>-0.23615092229185508</v>
      </c>
      <c r="J185" s="55" cm="1">
        <f t="array" ref="J185">(VLOOKUP($A185,'The List'!$B1:$AH671,22,FALSE)-AVERAGE('The List'!W2:W671))/STDEV('The List'!W2:W671)</f>
        <v>0.2401802445069523</v>
      </c>
      <c r="K185" s="55" cm="1">
        <f t="array" ref="K185">(VLOOKUP($A185,'The List'!$B1:$AH671,23,FALSE)-AVERAGE('The List'!X2:X671))/STDEV('The List'!X2:X671)</f>
        <v>0.17828922088211654</v>
      </c>
      <c r="L185" s="55" cm="1">
        <f t="array" ref="L185">(VLOOKUP($A185,'The List'!$B1:$AH671,24,FALSE)-AVERAGE('The List'!Y2:Y671))/STDEV('The List'!Y2:Y671)</f>
        <v>-0.55769543144485745</v>
      </c>
      <c r="M185" s="55" cm="1">
        <f t="array" ref="M185">(VLOOKUP($A185,'The List'!$B1:$AH671,25,FALSE)-AVERAGE('The List'!Z2:Z671))/STDEV('The List'!Z2:Z671)</f>
        <v>-0.69972835567166991</v>
      </c>
      <c r="N185" s="55" cm="1">
        <f t="array" ref="N185">(VLOOKUP($A185,'The List'!$B1:$AH671,26,FALSE)-AVERAGE('The List'!AA2:AA671))/STDEV('The List'!AA2:AA671)</f>
        <v>-1.0693453848038896</v>
      </c>
      <c r="O185" s="55" cm="1">
        <f t="array" ref="O185">(VLOOKUP($A185,'The List'!$B1:$AH671,27,FALSE)-AVERAGE('The List'!AB2:AB671))/STDEV('The List'!AB2:AB671)</f>
        <v>-0.7157539779592621</v>
      </c>
      <c r="P185" s="55" cm="1">
        <f t="array" ref="P185">(VLOOKUP($A185,'The List'!$B1:$AH671,28,FALSE)-AVERAGE('The List'!AC2:AC671))/STDEV('The List'!AC2:AC671)</f>
        <v>-1.3011196018700706</v>
      </c>
      <c r="Q185" s="55" cm="1">
        <f t="array" ref="Q185">(VLOOKUP($A185,'The List'!$B1:$AH671,29,FALSE)-AVERAGE('The List'!AD2:AD671))/STDEV('The List'!AD2:AD671)</f>
        <v>-0.47357446299781081</v>
      </c>
      <c r="R185" s="55" cm="1">
        <f t="array" ref="R185">(VLOOKUP($A185,'The List'!$B1:$AH671,30,FALSE)-AVERAGE('The List'!AE2:AE671))/STDEV('The List'!AE2:AE671)</f>
        <v>8.1639080865677532E-2</v>
      </c>
      <c r="S185" s="55" cm="1">
        <f t="array" ref="S185">(VLOOKUP($A185,'The List'!$B1:$AH671,31,FALSE)-AVERAGE('The List'!AF2:AF671))/STDEV('The List'!AF2:AF671)</f>
        <v>-0.4639814184800502</v>
      </c>
      <c r="T185" s="55" cm="1">
        <f t="array" ref="T185">(VLOOKUP($A185,'The List'!$B1:$AH671,32,FALSE)-AVERAGE('The List'!AG2:AG671))/STDEV('The List'!AG2:AG671)</f>
        <v>-0.50610180280750672</v>
      </c>
      <c r="U185" s="55" cm="1">
        <f t="array" ref="U185">(VLOOKUP($A185,'The List'!$B1:$AH671,33,FALSE)-AVERAGE('The List'!AH2:AH671))/STDEV('The List'!AH2:AH671)</f>
        <v>1.0312556912893682</v>
      </c>
      <c r="V185" s="55"/>
      <c r="W185" s="57"/>
      <c r="X185" s="55"/>
      <c r="Y185" s="55"/>
      <c r="Z185" s="55"/>
      <c r="AA185" s="55"/>
      <c r="AB185" s="55"/>
      <c r="AC185" s="55"/>
      <c r="AD185" s="55"/>
      <c r="AE185" s="55"/>
    </row>
    <row r="186" spans="1:31" ht="21.25" customHeight="1" x14ac:dyDescent="0.15">
      <c r="A186" s="10" t="s">
        <v>441</v>
      </c>
      <c r="B186" s="18" t="str" cm="1">
        <f t="array" ref="B186">VLOOKUP(A186,'Player Data'!A1:B673,2,FALSE)</f>
        <v>ANA</v>
      </c>
      <c r="C186" s="52" cm="1">
        <f t="array" ref="C186">((E186)*Settings!$C$12)+(F186*Settings!$C$2)+(G186*Settings!$C$3)+(H186*Settings!$C$4)+(I186*Settings!$C$5)+(K186*Settings!$C$9)+(N186*Settings!$C$6)+(J186*Settings!$C$8)+(O186*Settings!$C$7)+(P186*Settings!$C$14)+(Q186*Settings!$C$15)+(R186*Settings!$C$16)+(S186*Settings!$C$17)+(T186*Settings!$C$18)+(U186*Settings!$C$19)+(L186*Settings!$C$10)+(Settings!$C$11*M186)</f>
        <v>0.65090912120033217</v>
      </c>
      <c r="D186" s="57" cm="1">
        <f t="array" ref="D186">IF(Settings!$E$12="YES",VLOOKUP(A186,'Player Data'!A1:E673,5,FALSE),82)</f>
        <v>80.862499999999997</v>
      </c>
      <c r="E186" s="55" cm="1">
        <f t="array" ref="E186">(VLOOKUP($A186,'The List'!$B1:$AH671,17,FALSE)-AVERAGE('The List'!R2:R671))/STDEV('The List'!R2:R671)</f>
        <v>7.8045751157172364E-3</v>
      </c>
      <c r="F186" s="55" cm="1">
        <f t="array" ref="F186">(VLOOKUP($A186,'The List'!$B1:$AH671,18,FALSE)-AVERAGE('The List'!S2:S671))/STDEV('The List'!S2:S671)</f>
        <v>0.93373892914521395</v>
      </c>
      <c r="G186" s="55" cm="1">
        <f t="array" ref="G186">(VLOOKUP($A186,'The List'!$B1:$AH671,19,FALSE)-AVERAGE('The List'!T2:T671))/STDEV('The List'!T2:T671)</f>
        <v>-2.0634463682152104E-2</v>
      </c>
      <c r="H186" s="55" cm="1">
        <f t="array" ref="H186">(VLOOKUP($A186,'The List'!$B1:$AH671,20,FALSE)-AVERAGE('The List'!U2:U671))/STDEV('The List'!U2:U671)</f>
        <v>0.40130068219973869</v>
      </c>
      <c r="I186" s="55" cm="1">
        <f t="array" ref="I186">(VLOOKUP($A186,'The List'!$B1:$AH671,21,FALSE)-AVERAGE('The List'!V2:V671))/STDEV('The List'!V2:V671)</f>
        <v>0.64442094100367664</v>
      </c>
      <c r="J186" s="55" cm="1">
        <f t="array" ref="J186">(VLOOKUP($A186,'The List'!$B1:$AH671,22,FALSE)-AVERAGE('The List'!W2:W671))/STDEV('The List'!W2:W671)</f>
        <v>1.508425530534842</v>
      </c>
      <c r="K186" s="55" cm="1">
        <f t="array" ref="K186">(VLOOKUP($A186,'The List'!$B1:$AH671,23,FALSE)-AVERAGE('The List'!X2:X671))/STDEV('The List'!X2:X671)</f>
        <v>0.68233127223870749</v>
      </c>
      <c r="L186" s="55" cm="1">
        <f t="array" ref="L186">(VLOOKUP($A186,'The List'!$B1:$AH671,24,FALSE)-AVERAGE('The List'!Y2:Y671))/STDEV('The List'!Y2:Y671)</f>
        <v>0.88682396228177707</v>
      </c>
      <c r="M186" s="55" cm="1">
        <f t="array" ref="M186">(VLOOKUP($A186,'The List'!$B1:$AH671,25,FALSE)-AVERAGE('The List'!Z2:Z671))/STDEV('The List'!Z2:Z671)</f>
        <v>0.4895347190881939</v>
      </c>
      <c r="N186" s="55" cm="1">
        <f t="array" ref="N186">(VLOOKUP($A186,'The List'!$B1:$AH671,26,FALSE)-AVERAGE('The List'!AA2:AA671))/STDEV('The List'!AA2:AA671)</f>
        <v>-0.96620288663579579</v>
      </c>
      <c r="O186" s="55" cm="1">
        <f t="array" ref="O186">(VLOOKUP($A186,'The List'!$B1:$AH671,27,FALSE)-AVERAGE('The List'!AB2:AB671))/STDEV('The List'!AB2:AB671)</f>
        <v>-8.1733772795967982E-2</v>
      </c>
      <c r="P186" s="55" cm="1">
        <f t="array" ref="P186">(VLOOKUP($A186,'The List'!$B1:$AH671,28,FALSE)-AVERAGE('The List'!AC2:AC671))/STDEV('The List'!AC2:AC671)</f>
        <v>-0.50721329888339273</v>
      </c>
      <c r="Q186" s="55" cm="1">
        <f t="array" ref="Q186">(VLOOKUP($A186,'The List'!$B1:$AH671,29,FALSE)-AVERAGE('The List'!AD2:AD671))/STDEV('The List'!AD2:AD671)</f>
        <v>-0.11553137198592529</v>
      </c>
      <c r="R186" s="55" cm="1">
        <f t="array" ref="R186">(VLOOKUP($A186,'The List'!$B1:$AH671,30,FALSE)-AVERAGE('The List'!AE2:AE671))/STDEV('The List'!AE2:AE671)</f>
        <v>0.77122461226300665</v>
      </c>
      <c r="S186" s="55" cm="1">
        <f t="array" ref="S186">(VLOOKUP($A186,'The List'!$B1:$AH671,31,FALSE)-AVERAGE('The List'!AF2:AF671))/STDEV('The List'!AF2:AF671)</f>
        <v>-0.49421391134832721</v>
      </c>
      <c r="T186" s="55" cm="1">
        <f t="array" ref="T186">(VLOOKUP($A186,'The List'!$B1:$AH671,32,FALSE)-AVERAGE('The List'!AG2:AG671))/STDEV('The List'!AG2:AG671)</f>
        <v>-0.46617869379134247</v>
      </c>
      <c r="U186" s="55" cm="1">
        <f t="array" ref="U186">(VLOOKUP($A186,'The List'!$B1:$AH671,33,FALSE)-AVERAGE('The List'!AH2:AH671))/STDEV('The List'!AH2:AH671)</f>
        <v>0.45215573447899826</v>
      </c>
      <c r="V186" s="55"/>
      <c r="W186" s="78"/>
      <c r="X186" s="57"/>
      <c r="Y186" s="57"/>
      <c r="Z186" s="57"/>
      <c r="AA186" s="57"/>
      <c r="AB186" s="57"/>
      <c r="AC186" s="60"/>
      <c r="AD186" s="61"/>
      <c r="AE186" s="55"/>
    </row>
    <row r="187" spans="1:31" ht="21.25" customHeight="1" x14ac:dyDescent="0.15">
      <c r="A187" s="10" t="s">
        <v>514</v>
      </c>
      <c r="B187" s="18" t="str" cm="1">
        <f t="array" ref="B187">VLOOKUP(A187,'Player Data'!A1:B673,2,FALSE)</f>
        <v>CAR</v>
      </c>
      <c r="C187" s="52" cm="1">
        <f t="array" ref="C187">((E187)*Settings!$C$12)+(F187*Settings!$C$2)+(G187*Settings!$C$3)+(H187*Settings!$C$4)+(I187*Settings!$C$5)+(K187*Settings!$C$9)+(N187*Settings!$C$6)+(J187*Settings!$C$8)+(O187*Settings!$C$7)+(P187*Settings!$C$14)+(Q187*Settings!$C$15)+(R187*Settings!$C$16)+(S187*Settings!$C$17)+(T187*Settings!$C$18)+(U187*Settings!$C$19)+(L187*Settings!$C$10)+(Settings!$C$11*M187)</f>
        <v>1.3669587734359581</v>
      </c>
      <c r="D187" s="57" cm="1">
        <f t="array" ref="D187">IF(Settings!$E$12="YES",VLOOKUP(A187,'Player Data'!A1:E673,5,FALSE),82)</f>
        <v>75.787499999999994</v>
      </c>
      <c r="E187" s="55" cm="1">
        <f t="array" ref="E187">(VLOOKUP($A187,'The List'!$B1:$AH671,17,FALSE)-AVERAGE('The List'!R2:R671))/STDEV('The List'!R2:R671)</f>
        <v>-0.33042887078805694</v>
      </c>
      <c r="F187" s="55" cm="1">
        <f t="array" ref="F187">(VLOOKUP($A187,'The List'!$B1:$AH671,18,FALSE)-AVERAGE('The List'!S2:S671))/STDEV('The List'!S2:S671)</f>
        <v>0.35807095796129268</v>
      </c>
      <c r="G187" s="55" cm="1">
        <f t="array" ref="G187">(VLOOKUP($A187,'The List'!$B1:$AH671,19,FALSE)-AVERAGE('The List'!T2:T671))/STDEV('The List'!T2:T671)</f>
        <v>0.17255942594637266</v>
      </c>
      <c r="H187" s="55" cm="1">
        <f t="array" ref="H187">(VLOOKUP($A187,'The List'!$B1:$AH671,20,FALSE)-AVERAGE('The List'!U2:U671))/STDEV('The List'!U2:U671)</f>
        <v>0.26740726292087019</v>
      </c>
      <c r="I187" s="55" cm="1">
        <f t="array" ref="I187">(VLOOKUP($A187,'The List'!$B1:$AH671,21,FALSE)-AVERAGE('The List'!V2:V671))/STDEV('The List'!V2:V671)</f>
        <v>0.22994817822250518</v>
      </c>
      <c r="J187" s="55" cm="1">
        <f t="array" ref="J187">(VLOOKUP($A187,'The List'!$B1:$AH671,22,FALSE)-AVERAGE('The List'!W2:W671))/STDEV('The List'!W2:W671)</f>
        <v>0.19688676110187223</v>
      </c>
      <c r="K187" s="55" cm="1">
        <f t="array" ref="K187">(VLOOKUP($A187,'The List'!$B1:$AH671,23,FALSE)-AVERAGE('The List'!X2:X671))/STDEV('The List'!X2:X671)</f>
        <v>-5.0271661591268252E-2</v>
      </c>
      <c r="L187" s="55" cm="1">
        <f t="array" ref="L187">(VLOOKUP($A187,'The List'!$B1:$AH671,24,FALSE)-AVERAGE('The List'!Y2:Y671))/STDEV('The List'!Y2:Y671)</f>
        <v>-0.55500619756420921</v>
      </c>
      <c r="M187" s="55" cm="1">
        <f t="array" ref="M187">(VLOOKUP($A187,'The List'!$B1:$AH671,25,FALSE)-AVERAGE('The List'!Z2:Z671))/STDEV('The List'!Z2:Z671)</f>
        <v>-0.69717758536664787</v>
      </c>
      <c r="N187" s="55" cm="1">
        <f t="array" ref="N187">(VLOOKUP($A187,'The List'!$B1:$AH671,26,FALSE)-AVERAGE('The List'!AA2:AA671))/STDEV('The List'!AA2:AA671)</f>
        <v>-0.75296130630859381</v>
      </c>
      <c r="O187" s="55" cm="1">
        <f t="array" ref="O187">(VLOOKUP($A187,'The List'!$B1:$AH671,27,FALSE)-AVERAGE('The List'!AB2:AB671))/STDEV('The List'!AB2:AB671)</f>
        <v>-0.63884527579142936</v>
      </c>
      <c r="P187" s="55" cm="1">
        <f t="array" ref="P187">(VLOOKUP($A187,'The List'!$B1:$AH671,28,FALSE)-AVERAGE('The List'!AC2:AC671))/STDEV('The List'!AC2:AC671)</f>
        <v>1.3107258123777896</v>
      </c>
      <c r="Q187" s="55" cm="1">
        <f t="array" ref="Q187">(VLOOKUP($A187,'The List'!$B1:$AH671,29,FALSE)-AVERAGE('The List'!AD2:AD671))/STDEV('The List'!AD2:AD671)</f>
        <v>9.8887366827859771E-2</v>
      </c>
      <c r="R187" s="55" cm="1">
        <f t="array" ref="R187">(VLOOKUP($A187,'The List'!$B1:$AH671,30,FALSE)-AVERAGE('The List'!AE2:AE671))/STDEV('The List'!AE2:AE671)</f>
        <v>0.52260532910984581</v>
      </c>
      <c r="S187" s="55" cm="1">
        <f t="array" ref="S187">(VLOOKUP($A187,'The List'!$B1:$AH671,31,FALSE)-AVERAGE('The List'!AF2:AF671))/STDEV('The List'!AF2:AF671)</f>
        <v>-0.47270883263046076</v>
      </c>
      <c r="T187" s="55" cm="1">
        <f t="array" ref="T187">(VLOOKUP($A187,'The List'!$B1:$AH671,32,FALSE)-AVERAGE('The List'!AG2:AG671))/STDEV('The List'!AG2:AG671)</f>
        <v>-0.4835853553038123</v>
      </c>
      <c r="U187" s="55" cm="1">
        <f t="array" ref="U187">(VLOOKUP($A187,'The List'!$B1:$AH671,33,FALSE)-AVERAGE('The List'!AH2:AH671))/STDEV('The List'!AH2:AH671)</f>
        <v>0.78105142702133246</v>
      </c>
      <c r="V187" s="55"/>
      <c r="W187" s="78"/>
      <c r="X187" s="57"/>
      <c r="Y187" s="57"/>
      <c r="Z187" s="57"/>
      <c r="AA187" s="57"/>
      <c r="AB187" s="57"/>
      <c r="AC187" s="60"/>
      <c r="AD187" s="61"/>
      <c r="AE187" s="55"/>
    </row>
    <row r="188" spans="1:31" ht="21.25" customHeight="1" x14ac:dyDescent="0.15">
      <c r="A188" s="10" t="s">
        <v>444</v>
      </c>
      <c r="B188" s="18" t="str" cm="1">
        <f t="array" ref="B188">VLOOKUP(A188,'Player Data'!A1:B673,2,FALSE)</f>
        <v>STL</v>
      </c>
      <c r="C188" s="52" cm="1">
        <f t="array" ref="C188">((E188)*Settings!$C$12)+(F188*Settings!$C$2)+(G188*Settings!$C$3)+(H188*Settings!$C$4)+(I188*Settings!$C$5)+(K188*Settings!$C$9)+(N188*Settings!$C$6)+(J188*Settings!$C$8)+(O188*Settings!$C$7)+(P188*Settings!$C$14)+(Q188*Settings!$C$15)+(R188*Settings!$C$16)+(S188*Settings!$C$17)+(T188*Settings!$C$18)+(U188*Settings!$C$19)+(L188*Settings!$C$10)+(Settings!$C$11*M188)</f>
        <v>0.30748761088008131</v>
      </c>
      <c r="D188" s="57" cm="1">
        <f t="array" ref="D188">IF(Settings!$E$12="YES",VLOOKUP(A188,'Player Data'!A1:E673,5,FALSE),82)</f>
        <v>83.12</v>
      </c>
      <c r="E188" s="55" cm="1">
        <f t="array" ref="E188">(VLOOKUP($A188,'The List'!$B1:$AH671,17,FALSE)-AVERAGE('The List'!R2:R671))/STDEV('The List'!R2:R671)</f>
        <v>-5.8944356692211188E-2</v>
      </c>
      <c r="F188" s="55" cm="1">
        <f t="array" ref="F188">(VLOOKUP($A188,'The List'!$B1:$AH671,18,FALSE)-AVERAGE('The List'!S2:S671))/STDEV('The List'!S2:S671)</f>
        <v>0.49819091420714068</v>
      </c>
      <c r="G188" s="55" cm="1">
        <f t="array" ref="G188">(VLOOKUP($A188,'The List'!$B1:$AH671,19,FALSE)-AVERAGE('The List'!T2:T671))/STDEV('The List'!T2:T671)</f>
        <v>0.3630643053771026</v>
      </c>
      <c r="H188" s="55" cm="1">
        <f t="array" ref="H188">(VLOOKUP($A188,'The List'!$B1:$AH671,20,FALSE)-AVERAGE('The List'!U2:U671))/STDEV('The List'!U2:U671)</f>
        <v>0.44940200305883327</v>
      </c>
      <c r="I188" s="55" cm="1">
        <f t="array" ref="I188">(VLOOKUP($A188,'The List'!$B1:$AH671,21,FALSE)-AVERAGE('The List'!V2:V671))/STDEV('The List'!V2:V671)</f>
        <v>0.44959267007773585</v>
      </c>
      <c r="J188" s="55" cm="1">
        <f t="array" ref="J188">(VLOOKUP($A188,'The List'!$B1:$AH671,22,FALSE)-AVERAGE('The List'!W2:W671))/STDEV('The List'!W2:W671)</f>
        <v>-1.7249161185251338E-2</v>
      </c>
      <c r="K188" s="55" cm="1">
        <f t="array" ref="K188">(VLOOKUP($A188,'The List'!$B1:$AH671,23,FALSE)-AVERAGE('The List'!X2:X671))/STDEV('The List'!X2:X671)</f>
        <v>-0.12327917529647597</v>
      </c>
      <c r="L188" s="55" cm="1">
        <f t="array" ref="L188">(VLOOKUP($A188,'The List'!$B1:$AH671,24,FALSE)-AVERAGE('The List'!Y2:Y671))/STDEV('The List'!Y2:Y671)</f>
        <v>4.2384419627097422E-2</v>
      </c>
      <c r="M188" s="55" cm="1">
        <f t="array" ref="M188">(VLOOKUP($A188,'The List'!$B1:$AH671,25,FALSE)-AVERAGE('The List'!Z2:Z671))/STDEV('The List'!Z2:Z671)</f>
        <v>1.0827749683526304</v>
      </c>
      <c r="N188" s="55" cm="1">
        <f t="array" ref="N188">(VLOOKUP($A188,'The List'!$B1:$AH671,26,FALSE)-AVERAGE('The List'!AA2:AA671))/STDEV('The List'!AA2:AA671)</f>
        <v>-0.49045105765646424</v>
      </c>
      <c r="O188" s="55" cm="1">
        <f t="array" ref="O188">(VLOOKUP($A188,'The List'!$B1:$AH671,27,FALSE)-AVERAGE('The List'!AB2:AB671))/STDEV('The List'!AB2:AB671)</f>
        <v>-0.74544884104182629</v>
      </c>
      <c r="P188" s="55" cm="1">
        <f t="array" ref="P188">(VLOOKUP($A188,'The List'!$B1:$AH671,28,FALSE)-AVERAGE('The List'!AC2:AC671))/STDEV('The List'!AC2:AC671)</f>
        <v>-0.59649010632828359</v>
      </c>
      <c r="Q188" s="55" cm="1">
        <f t="array" ref="Q188">(VLOOKUP($A188,'The List'!$B1:$AH671,29,FALSE)-AVERAGE('The List'!AD2:AD671))/STDEV('The List'!AD2:AD671)</f>
        <v>0.20686006049932598</v>
      </c>
      <c r="R188" s="55" cm="1">
        <f t="array" ref="R188">(VLOOKUP($A188,'The List'!$B1:$AH671,30,FALSE)-AVERAGE('The List'!AE2:AE671))/STDEV('The List'!AE2:AE671)</f>
        <v>0.35131366015000837</v>
      </c>
      <c r="S188" s="55" cm="1">
        <f t="array" ref="S188">(VLOOKUP($A188,'The List'!$B1:$AH671,31,FALSE)-AVERAGE('The List'!AF2:AF671))/STDEV('The List'!AF2:AF671)</f>
        <v>0.68167523712353062</v>
      </c>
      <c r="T188" s="55" cm="1">
        <f t="array" ref="T188">(VLOOKUP($A188,'The List'!$B1:$AH671,32,FALSE)-AVERAGE('The List'!AG2:AG671))/STDEV('The List'!AG2:AG671)</f>
        <v>1.071401355970667</v>
      </c>
      <c r="U188" s="55" cm="1">
        <f t="array" ref="U188">(VLOOKUP($A188,'The List'!$B1:$AH671,33,FALSE)-AVERAGE('The List'!AH2:AH671))/STDEV('The List'!AH2:AH671)</f>
        <v>0.77535422942409582</v>
      </c>
      <c r="V188" s="55"/>
      <c r="W188" s="78"/>
      <c r="X188" s="57"/>
      <c r="Y188" s="57"/>
      <c r="Z188" s="57"/>
      <c r="AA188" s="57"/>
      <c r="AB188" s="57"/>
      <c r="AC188" s="60"/>
      <c r="AD188" s="61"/>
      <c r="AE188" s="55"/>
    </row>
    <row r="189" spans="1:31" ht="21.25" customHeight="1" x14ac:dyDescent="0.15">
      <c r="A189" s="10" t="s">
        <v>214</v>
      </c>
      <c r="B189" s="18" t="str" cm="1">
        <f t="array" ref="B189">VLOOKUP(A189,'Player Data'!A1:B673,2,FALSE)</f>
        <v>N.J</v>
      </c>
      <c r="C189" s="52" cm="1">
        <f t="array" ref="C189">((E189)*Settings!$C$12)+(F189*Settings!$C$2)+(G189*Settings!$C$3)+(H189*Settings!$C$4)+(I189*Settings!$C$5)+(K189*Settings!$C$9)+(N189*Settings!$C$6)+(J189*Settings!$C$8)+(O189*Settings!$C$7)+(P189*Settings!$C$14)+(Q189*Settings!$C$15)+(R189*Settings!$C$16)+(S189*Settings!$C$17)+(T189*Settings!$C$18)+(U189*Settings!$C$19)+(L189*Settings!$C$10)+(Settings!$C$11*M189)</f>
        <v>2.7157928462210394</v>
      </c>
      <c r="D189" s="57" cm="1">
        <f t="array" ref="D189">IF(Settings!$E$12="YES",VLOOKUP(A189,'Player Data'!A1:E673,5,FALSE),82)</f>
        <v>80.032499999999999</v>
      </c>
      <c r="E189" s="55" cm="1">
        <f t="array" ref="E189">(VLOOKUP($A189,'The List'!$B1:$AH671,17,FALSE)-AVERAGE('The List'!R2:R671))/STDEV('The List'!R2:R671)</f>
        <v>1.6656447077146928</v>
      </c>
      <c r="F189" s="55" cm="1">
        <f t="array" ref="F189">(VLOOKUP($A189,'The List'!$B1:$AH671,18,FALSE)-AVERAGE('The List'!S2:S671))/STDEV('The List'!S2:S671)</f>
        <v>-0.45170070430240444</v>
      </c>
      <c r="G189" s="55" cm="1">
        <f t="array" ref="G189">(VLOOKUP($A189,'The List'!$B1:$AH671,19,FALSE)-AVERAGE('The List'!T2:T671))/STDEV('The List'!T2:T671)</f>
        <v>1.2014783294893039</v>
      </c>
      <c r="H189" s="55" cm="1">
        <f t="array" ref="H189">(VLOOKUP($A189,'The List'!$B1:$AH671,20,FALSE)-AVERAGE('The List'!U2:U671))/STDEV('The List'!U2:U671)</f>
        <v>0.55531375101173708</v>
      </c>
      <c r="I189" s="55" cm="1">
        <f t="array" ref="I189">(VLOOKUP($A189,'The List'!$B1:$AH671,21,FALSE)-AVERAGE('The List'!V2:V671))/STDEV('The List'!V2:V671)</f>
        <v>0.74482497047456364</v>
      </c>
      <c r="J189" s="55" cm="1">
        <f t="array" ref="J189">(VLOOKUP($A189,'The List'!$B1:$AH671,22,FALSE)-AVERAGE('The List'!W2:W671))/STDEV('The List'!W2:W671)</f>
        <v>-0.30558577744365628</v>
      </c>
      <c r="K189" s="55" cm="1">
        <f t="array" ref="K189">(VLOOKUP($A189,'The List'!$B1:$AH671,23,FALSE)-AVERAGE('The List'!X2:X671))/STDEV('The List'!X2:X671)</f>
        <v>0.92972879927329521</v>
      </c>
      <c r="L189" s="55" cm="1">
        <f t="array" ref="L189">(VLOOKUP($A189,'The List'!$B1:$AH671,24,FALSE)-AVERAGE('The List'!Y2:Y671))/STDEV('The List'!Y2:Y671)</f>
        <v>-0.48977351789801088</v>
      </c>
      <c r="M189" s="55" cm="1">
        <f t="array" ref="M189">(VLOOKUP($A189,'The List'!$B1:$AH671,25,FALSE)-AVERAGE('The List'!Z2:Z671))/STDEV('The List'!Z2:Z671)</f>
        <v>-0.55390398620992831</v>
      </c>
      <c r="N189" s="55" cm="1">
        <f t="array" ref="N189">(VLOOKUP($A189,'The List'!$B1:$AH671,26,FALSE)-AVERAGE('The List'!AA2:AA671))/STDEV('The List'!AA2:AA671)</f>
        <v>0.37874589616444959</v>
      </c>
      <c r="O189" s="55" cm="1">
        <f t="array" ref="O189">(VLOOKUP($A189,'The List'!$B1:$AH671,27,FALSE)-AVERAGE('The List'!AB2:AB671))/STDEV('The List'!AB2:AB671)</f>
        <v>-1.1240042471612468</v>
      </c>
      <c r="P189" s="55" cm="1">
        <f t="array" ref="P189">(VLOOKUP($A189,'The List'!$B1:$AH671,28,FALSE)-AVERAGE('The List'!AC2:AC671))/STDEV('The List'!AC2:AC671)</f>
        <v>-0.16231275384038035</v>
      </c>
      <c r="Q189" s="55" cm="1">
        <f t="array" ref="Q189">(VLOOKUP($A189,'The List'!$B1:$AH671,29,FALSE)-AVERAGE('The List'!AD2:AD671))/STDEV('The List'!AD2:AD671)</f>
        <v>7.5028308962211923E-2</v>
      </c>
      <c r="R189" s="55" cm="1">
        <f t="array" ref="R189">(VLOOKUP($A189,'The List'!$B1:$AH671,30,FALSE)-AVERAGE('The List'!AE2:AE671))/STDEV('The List'!AE2:AE671)</f>
        <v>-0.47428991441294294</v>
      </c>
      <c r="S189" s="55" cm="1">
        <f t="array" ref="S189">(VLOOKUP($A189,'The List'!$B1:$AH671,31,FALSE)-AVERAGE('The List'!AF2:AF671))/STDEV('The List'!AF2:AF671)</f>
        <v>-0.5939690971349143</v>
      </c>
      <c r="T189" s="55" cm="1">
        <f t="array" ref="T189">(VLOOKUP($A189,'The List'!$B1:$AH671,32,FALSE)-AVERAGE('The List'!AG2:AG671))/STDEV('The List'!AG2:AG671)</f>
        <v>-0.64515613869750321</v>
      </c>
      <c r="U189" s="55" cm="1">
        <f t="array" ref="U189">(VLOOKUP($A189,'The List'!$B1:$AH671,33,FALSE)-AVERAGE('The List'!AH2:AH671))/STDEV('The List'!AH2:AH671)</f>
        <v>-1.2548938914719048</v>
      </c>
      <c r="V189" s="55"/>
      <c r="W189" s="78"/>
      <c r="X189" s="57"/>
      <c r="Y189" s="57"/>
      <c r="Z189" s="57"/>
      <c r="AA189" s="57"/>
      <c r="AB189" s="57"/>
      <c r="AC189" s="60"/>
      <c r="AD189" s="61"/>
      <c r="AE189" s="55"/>
    </row>
    <row r="190" spans="1:31" ht="21.25" customHeight="1" x14ac:dyDescent="0.15">
      <c r="A190" s="10" t="s">
        <v>446</v>
      </c>
      <c r="B190" s="18" t="str" cm="1">
        <f t="array" ref="B190">VLOOKUP(A190,'Player Data'!A1:B673,2,FALSE)</f>
        <v>PHI</v>
      </c>
      <c r="C190" s="52" cm="1">
        <f t="array" ref="C190">((E190)*Settings!$C$12)+(F190*Settings!$C$2)+(G190*Settings!$C$3)+(H190*Settings!$C$4)+(I190*Settings!$C$5)+(K190*Settings!$C$9)+(N190*Settings!$C$6)+(J190*Settings!$C$8)+(O190*Settings!$C$7)+(P190*Settings!$C$14)+(Q190*Settings!$C$15)+(R190*Settings!$C$16)+(S190*Settings!$C$17)+(T190*Settings!$C$18)+(U190*Settings!$C$19)+(L190*Settings!$C$10)+(Settings!$C$11*M190)</f>
        <v>1.4528495260984955</v>
      </c>
      <c r="D190" s="57" cm="1">
        <f t="array" ref="D190">IF(Settings!$E$12="YES",VLOOKUP(A190,'Player Data'!A1:E673,5,FALSE),82)</f>
        <v>73.984999999999999</v>
      </c>
      <c r="E190" s="55" cm="1">
        <f t="array" ref="E190">(VLOOKUP($A190,'The List'!$B1:$AH671,17,FALSE)-AVERAGE('The List'!R2:R671))/STDEV('The List'!R2:R671)</f>
        <v>0.14430344279631849</v>
      </c>
      <c r="F190" s="55" cm="1">
        <f t="array" ref="F190">(VLOOKUP($A190,'The List'!$B1:$AH671,18,FALSE)-AVERAGE('The List'!S2:S671))/STDEV('The List'!S2:S671)</f>
        <v>1.1778954354378826</v>
      </c>
      <c r="G190" s="55" cm="1">
        <f t="array" ref="G190">(VLOOKUP($A190,'The List'!$B1:$AH671,19,FALSE)-AVERAGE('The List'!T2:T671))/STDEV('The List'!T2:T671)</f>
        <v>-0.36373988283736813</v>
      </c>
      <c r="H190" s="55" cm="1">
        <f t="array" ref="H190">(VLOOKUP($A190,'The List'!$B1:$AH671,20,FALSE)-AVERAGE('The List'!U2:U671))/STDEV('The List'!U2:U671)</f>
        <v>0.29381611518206868</v>
      </c>
      <c r="I190" s="55" cm="1">
        <f t="array" ref="I190">(VLOOKUP($A190,'The List'!$B1:$AH671,21,FALSE)-AVERAGE('The List'!V2:V671))/STDEV('The List'!V2:V671)</f>
        <v>0.44204599977139364</v>
      </c>
      <c r="J190" s="55" cm="1">
        <f t="array" ref="J190">(VLOOKUP($A190,'The List'!$B1:$AH671,22,FALSE)-AVERAGE('The List'!W2:W671))/STDEV('The List'!W2:W671)</f>
        <v>0.54242486528841605</v>
      </c>
      <c r="K190" s="55" cm="1">
        <f t="array" ref="K190">(VLOOKUP($A190,'The List'!$B1:$AH671,23,FALSE)-AVERAGE('The List'!X2:X671))/STDEV('The List'!X2:X671)</f>
        <v>7.306573037291568E-2</v>
      </c>
      <c r="L190" s="55" cm="1">
        <f t="array" ref="L190">(VLOOKUP($A190,'The List'!$B1:$AH671,24,FALSE)-AVERAGE('The List'!Y2:Y671))/STDEV('The List'!Y2:Y671)</f>
        <v>0.33104452229172038</v>
      </c>
      <c r="M190" s="55" cm="1">
        <f t="array" ref="M190">(VLOOKUP($A190,'The List'!$B1:$AH671,25,FALSE)-AVERAGE('The List'!Z2:Z671))/STDEV('The List'!Z2:Z671)</f>
        <v>-3.2812168655118899E-2</v>
      </c>
      <c r="N190" s="55" cm="1">
        <f t="array" ref="N190">(VLOOKUP($A190,'The List'!$B1:$AH671,26,FALSE)-AVERAGE('The List'!AA2:AA671))/STDEV('The List'!AA2:AA671)</f>
        <v>-0.27263515716278836</v>
      </c>
      <c r="O190" s="55" cm="1">
        <f t="array" ref="O190">(VLOOKUP($A190,'The List'!$B1:$AH671,27,FALSE)-AVERAGE('The List'!AB2:AB671))/STDEV('The List'!AB2:AB671)</f>
        <v>-0.26604127710506598</v>
      </c>
      <c r="P190" s="55" cm="1">
        <f t="array" ref="P190">(VLOOKUP($A190,'The List'!$B1:$AH671,28,FALSE)-AVERAGE('The List'!AC2:AC671))/STDEV('The List'!AC2:AC671)</f>
        <v>0.36355440243025289</v>
      </c>
      <c r="Q190" s="55" cm="1">
        <f t="array" ref="Q190">(VLOOKUP($A190,'The List'!$B1:$AH671,29,FALSE)-AVERAGE('The List'!AD2:AD671))/STDEV('The List'!AD2:AD671)</f>
        <v>3.2662998086207227E-2</v>
      </c>
      <c r="R190" s="55" cm="1">
        <f t="array" ref="R190">(VLOOKUP($A190,'The List'!$B1:$AH671,30,FALSE)-AVERAGE('The List'!AE2:AE671))/STDEV('The List'!AE2:AE671)</f>
        <v>1.1842963617730746</v>
      </c>
      <c r="S190" s="55" cm="1">
        <f t="array" ref="S190">(VLOOKUP($A190,'The List'!$B1:$AH671,31,FALSE)-AVERAGE('The List'!AF2:AF671))/STDEV('The List'!AF2:AF671)</f>
        <v>-0.59025377361077636</v>
      </c>
      <c r="T190" s="55" cm="1">
        <f t="array" ref="T190">(VLOOKUP($A190,'The List'!$B1:$AH671,32,FALSE)-AVERAGE('The List'!AG2:AG671))/STDEV('The List'!AG2:AG671)</f>
        <v>-0.63128550256042415</v>
      </c>
      <c r="U190" s="55" cm="1">
        <f t="array" ref="U190">(VLOOKUP($A190,'The List'!$B1:$AH671,33,FALSE)-AVERAGE('The List'!AH2:AH671))/STDEV('The List'!AH2:AH671)</f>
        <v>-0.28190647415523429</v>
      </c>
      <c r="V190" s="55"/>
      <c r="W190" s="57"/>
      <c r="X190" s="55"/>
      <c r="Y190" s="55"/>
      <c r="Z190" s="55"/>
      <c r="AA190" s="55"/>
      <c r="AB190" s="55"/>
      <c r="AC190" s="55"/>
      <c r="AD190" s="55"/>
      <c r="AE190" s="55"/>
    </row>
    <row r="191" spans="1:31" ht="21.25" customHeight="1" x14ac:dyDescent="0.15">
      <c r="A191" s="10" t="s">
        <v>167</v>
      </c>
      <c r="B191" s="18" t="str" cm="1">
        <f t="array" ref="B191">VLOOKUP(A191,'Player Data'!A1:B673,2,FALSE)</f>
        <v>L.A</v>
      </c>
      <c r="C191" s="52" cm="1">
        <f t="array" ref="C191">((E191)*Settings!$C$12)+(F191*Settings!$C$2)+(G191*Settings!$C$3)+(H191*Settings!$C$4)+(I191*Settings!$C$5)+(K191*Settings!$C$9)+(N191*Settings!$C$6)+(J191*Settings!$C$8)+(O191*Settings!$C$7)+(P191*Settings!$C$14)+(Q191*Settings!$C$15)+(R191*Settings!$C$16)+(S191*Settings!$C$17)+(T191*Settings!$C$18)+(U191*Settings!$C$19)+(L191*Settings!$C$10)+(Settings!$C$11*M191)</f>
        <v>7.4219263999623184</v>
      </c>
      <c r="D191" s="57" cm="1">
        <f t="array" ref="D191">IF(Settings!$E$12="YES",VLOOKUP(A191,'Player Data'!A1:E673,5,FALSE),82)</f>
        <v>82.28</v>
      </c>
      <c r="E191" s="55" cm="1">
        <f t="array" ref="E191">(VLOOKUP($A191,'The List'!$B1:$AH671,17,FALSE)-AVERAGE('The List'!R2:R671))/STDEV('The List'!R2:R671)</f>
        <v>1.1283071985653783</v>
      </c>
      <c r="F191" s="55" cm="1">
        <f t="array" ref="F191">(VLOOKUP($A191,'The List'!$B1:$AH671,18,FALSE)-AVERAGE('The List'!S2:S671))/STDEV('The List'!S2:S671)</f>
        <v>-0.38023386212631499</v>
      </c>
      <c r="G191" s="55" cm="1">
        <f t="array" ref="G191">(VLOOKUP($A191,'The List'!$B1:$AH671,19,FALSE)-AVERAGE('The List'!T2:T671))/STDEV('The List'!T2:T671)</f>
        <v>1.0715253408291714</v>
      </c>
      <c r="H191" s="55" cm="1">
        <f t="array" ref="H191">(VLOOKUP($A191,'The List'!$B1:$AH671,20,FALSE)-AVERAGE('The List'!U2:U671))/STDEV('The List'!U2:U671)</f>
        <v>0.50528229030406402</v>
      </c>
      <c r="I191" s="55" cm="1">
        <f t="array" ref="I191">(VLOOKUP($A191,'The List'!$B1:$AH671,21,FALSE)-AVERAGE('The List'!V2:V671))/STDEV('The List'!V2:V671)</f>
        <v>0.87661415700926737</v>
      </c>
      <c r="J191" s="55" cm="1">
        <f t="array" ref="J191">(VLOOKUP($A191,'The List'!$B1:$AH671,22,FALSE)-AVERAGE('The List'!W2:W671))/STDEV('The List'!W2:W671)</f>
        <v>-9.572687593782235E-2</v>
      </c>
      <c r="K191" s="55" cm="1">
        <f t="array" ref="K191">(VLOOKUP($A191,'The List'!$B1:$AH671,23,FALSE)-AVERAGE('The List'!X2:X671))/STDEV('The List'!X2:X671)</f>
        <v>0.79371296105884759</v>
      </c>
      <c r="L191" s="55" cm="1">
        <f t="array" ref="L191">(VLOOKUP($A191,'The List'!$B1:$AH671,24,FALSE)-AVERAGE('The List'!Y2:Y671))/STDEV('The List'!Y2:Y671)</f>
        <v>-0.56113525894139482</v>
      </c>
      <c r="M191" s="55" cm="1">
        <f t="array" ref="M191">(VLOOKUP($A191,'The List'!$B1:$AH671,25,FALSE)-AVERAGE('The List'!Z2:Z671))/STDEV('The List'!Z2:Z671)</f>
        <v>-0.6988114272022542</v>
      </c>
      <c r="N191" s="55" cm="1">
        <f t="array" ref="N191">(VLOOKUP($A191,'The List'!$B1:$AH671,26,FALSE)-AVERAGE('The List'!AA2:AA671))/STDEV('The List'!AA2:AA671)</f>
        <v>2.7813313147403766</v>
      </c>
      <c r="O191" s="55" cm="1">
        <f t="array" ref="O191">(VLOOKUP($A191,'The List'!$B1:$AH671,27,FALSE)-AVERAGE('The List'!AB2:AB671))/STDEV('The List'!AB2:AB671)</f>
        <v>-0.87314287391604661</v>
      </c>
      <c r="P191" s="55" cm="1">
        <f t="array" ref="P191">(VLOOKUP($A191,'The List'!$B1:$AH671,28,FALSE)-AVERAGE('The List'!AC2:AC671))/STDEV('The List'!AC2:AC671)</f>
        <v>0.49265860010886026</v>
      </c>
      <c r="Q191" s="55" cm="1">
        <f t="array" ref="Q191">(VLOOKUP($A191,'The List'!$B1:$AH671,29,FALSE)-AVERAGE('The List'!AD2:AD671))/STDEV('The List'!AD2:AD671)</f>
        <v>1.7863178883421105</v>
      </c>
      <c r="R191" s="55" cm="1">
        <f t="array" ref="R191">(VLOOKUP($A191,'The List'!$B1:$AH671,30,FALSE)-AVERAGE('The List'!AE2:AE671))/STDEV('The List'!AE2:AE671)</f>
        <v>-0.35491148565818986</v>
      </c>
      <c r="S191" s="55" cm="1">
        <f t="array" ref="S191">(VLOOKUP($A191,'The List'!$B1:$AH671,31,FALSE)-AVERAGE('The List'!AF2:AF671))/STDEV('The List'!AF2:AF671)</f>
        <v>-0.5939690971349143</v>
      </c>
      <c r="T191" s="55" cm="1">
        <f t="array" ref="T191">(VLOOKUP($A191,'The List'!$B1:$AH671,32,FALSE)-AVERAGE('The List'!AG2:AG671))/STDEV('The List'!AG2:AG671)</f>
        <v>-0.64602208138248207</v>
      </c>
      <c r="U191" s="55" cm="1">
        <f t="array" ref="U191">(VLOOKUP($A191,'The List'!$B1:$AH671,33,FALSE)-AVERAGE('The List'!AH2:AH671))/STDEV('The List'!AH2:AH671)</f>
        <v>-1.2548938914719048</v>
      </c>
      <c r="V191" s="55"/>
      <c r="W191" s="57"/>
      <c r="X191" s="55"/>
      <c r="Y191" s="55"/>
      <c r="Z191" s="55"/>
      <c r="AA191" s="55"/>
      <c r="AB191" s="55"/>
      <c r="AC191" s="55"/>
      <c r="AD191" s="55"/>
      <c r="AE191" s="55"/>
    </row>
    <row r="192" spans="1:31" ht="21.25" customHeight="1" x14ac:dyDescent="0.15">
      <c r="A192" s="10" t="s">
        <v>511</v>
      </c>
      <c r="B192" s="18" t="str" cm="1">
        <f t="array" ref="B192">VLOOKUP(A192,'Player Data'!A1:B673,2,FALSE)</f>
        <v>NYR</v>
      </c>
      <c r="C192" s="52" cm="1">
        <f t="array" ref="C192">((E192)*Settings!$C$12)+(F192*Settings!$C$2)+(G192*Settings!$C$3)+(H192*Settings!$C$4)+(I192*Settings!$C$5)+(K192*Settings!$C$9)+(N192*Settings!$C$6)+(J192*Settings!$C$8)+(O192*Settings!$C$7)+(P192*Settings!$C$14)+(Q192*Settings!$C$15)+(R192*Settings!$C$16)+(S192*Settings!$C$17)+(T192*Settings!$C$18)+(U192*Settings!$C$19)+(L192*Settings!$C$10)+(Settings!$C$11*M192)</f>
        <v>-0.90153046324503172</v>
      </c>
      <c r="D192" s="57" cm="1">
        <f t="array" ref="D192">IF(Settings!$E$12="YES",VLOOKUP(A192,'Player Data'!A1:E673,5,FALSE),82)</f>
        <v>79</v>
      </c>
      <c r="E192" s="55" cm="1">
        <f t="array" ref="E192">(VLOOKUP($A192,'The List'!$B1:$AH671,17,FALSE)-AVERAGE('The List'!R2:R671))/STDEV('The List'!R2:R671)</f>
        <v>-0.30344147640940966</v>
      </c>
      <c r="F192" s="55" cm="1">
        <f t="array" ref="F192">(VLOOKUP($A192,'The List'!$B1:$AH671,18,FALSE)-AVERAGE('The List'!S2:S671))/STDEV('The List'!S2:S671)</f>
        <v>0.55574760214086416</v>
      </c>
      <c r="G192" s="55" cm="1">
        <f t="array" ref="G192">(VLOOKUP($A192,'The List'!$B1:$AH671,19,FALSE)-AVERAGE('The List'!T2:T671))/STDEV('The List'!T2:T671)</f>
        <v>0.10047566013187534</v>
      </c>
      <c r="H192" s="55" cm="1">
        <f t="array" ref="H192">(VLOOKUP($A192,'The List'!$B1:$AH671,20,FALSE)-AVERAGE('The List'!U2:U671))/STDEV('The List'!U2:U671)</f>
        <v>0.30977178160064744</v>
      </c>
      <c r="I192" s="55" cm="1">
        <f t="array" ref="I192">(VLOOKUP($A192,'The List'!$B1:$AH671,21,FALSE)-AVERAGE('The List'!V2:V671))/STDEV('The List'!V2:V671)</f>
        <v>-8.1558456256351525E-2</v>
      </c>
      <c r="J192" s="55" cm="1">
        <f t="array" ref="J192">(VLOOKUP($A192,'The List'!$B1:$AH671,22,FALSE)-AVERAGE('The List'!W2:W671))/STDEV('The List'!W2:W671)</f>
        <v>0.44290831217778742</v>
      </c>
      <c r="K192" s="55" cm="1">
        <f t="array" ref="K192">(VLOOKUP($A192,'The List'!$B1:$AH671,23,FALSE)-AVERAGE('The List'!X2:X671))/STDEV('The List'!X2:X671)</f>
        <v>0.12800055280438818</v>
      </c>
      <c r="L192" s="55" cm="1">
        <f t="array" ref="L192">(VLOOKUP($A192,'The List'!$B1:$AH671,24,FALSE)-AVERAGE('The List'!Y2:Y671))/STDEV('The List'!Y2:Y671)</f>
        <v>-0.56569022661034529</v>
      </c>
      <c r="M192" s="55" cm="1">
        <f t="array" ref="M192">(VLOOKUP($A192,'The List'!$B1:$AH671,25,FALSE)-AVERAGE('The List'!Z2:Z671))/STDEV('The List'!Z2:Z671)</f>
        <v>-0.70756870995144849</v>
      </c>
      <c r="N192" s="55" cm="1">
        <f t="array" ref="N192">(VLOOKUP($A192,'The List'!$B1:$AH671,26,FALSE)-AVERAGE('The List'!AA2:AA671))/STDEV('The List'!AA2:AA671)</f>
        <v>-0.73555010288711431</v>
      </c>
      <c r="O192" s="55" cm="1">
        <f t="array" ref="O192">(VLOOKUP($A192,'The List'!$B1:$AH671,27,FALSE)-AVERAGE('The List'!AB2:AB671))/STDEV('The List'!AB2:AB671)</f>
        <v>-0.75483445192718934</v>
      </c>
      <c r="P192" s="55" cm="1">
        <f t="array" ref="P192">(VLOOKUP($A192,'The List'!$B1:$AH671,28,FALSE)-AVERAGE('The List'!AC2:AC671))/STDEV('The List'!AC2:AC671)</f>
        <v>-0.13312878539859305</v>
      </c>
      <c r="Q192" s="55" cm="1">
        <f t="array" ref="Q192">(VLOOKUP($A192,'The List'!$B1:$AH671,29,FALSE)-AVERAGE('The List'!AD2:AD671))/STDEV('The List'!AD2:AD671)</f>
        <v>-0.73551693378010052</v>
      </c>
      <c r="R192" s="55" cm="1">
        <f t="array" ref="R192">(VLOOKUP($A192,'The List'!$B1:$AH671,30,FALSE)-AVERAGE('The List'!AE2:AE671))/STDEV('The List'!AE2:AE671)</f>
        <v>0.55866601600950538</v>
      </c>
      <c r="S192" s="55" cm="1">
        <f t="array" ref="S192">(VLOOKUP($A192,'The List'!$B1:$AH671,31,FALSE)-AVERAGE('The List'!AF2:AF671))/STDEV('The List'!AF2:AF671)</f>
        <v>-0.55895971471005457</v>
      </c>
      <c r="T192" s="55" cm="1">
        <f t="array" ref="T192">(VLOOKUP($A192,'The List'!$B1:$AH671,32,FALSE)-AVERAGE('The List'!AG2:AG671))/STDEV('The List'!AG2:AG671)</f>
        <v>-0.60303987205445786</v>
      </c>
      <c r="U192" s="55" cm="1">
        <f t="array" ref="U192">(VLOOKUP($A192,'The List'!$B1:$AH671,33,FALSE)-AVERAGE('The List'!AH2:AH671))/STDEV('The List'!AH2:AH671)</f>
        <v>0.88036473073790333</v>
      </c>
      <c r="V192" s="55"/>
      <c r="W192" s="78"/>
      <c r="X192" s="57"/>
      <c r="Y192" s="57"/>
      <c r="Z192" s="57"/>
      <c r="AA192" s="57"/>
      <c r="AB192" s="57"/>
      <c r="AC192" s="60"/>
      <c r="AD192" s="61"/>
      <c r="AE192" s="55"/>
    </row>
    <row r="193" spans="1:31" ht="21.25" customHeight="1" x14ac:dyDescent="0.15">
      <c r="A193" s="10" t="s">
        <v>471</v>
      </c>
      <c r="B193" s="18" t="str" cm="1">
        <f t="array" ref="B193">VLOOKUP(A193,'Player Data'!A1:B673,2,FALSE)</f>
        <v>CBJ</v>
      </c>
      <c r="C193" s="52" cm="1">
        <f t="array" ref="C193">((E193)*Settings!$C$12)+(F193*Settings!$C$2)+(G193*Settings!$C$3)+(H193*Settings!$C$4)+(I193*Settings!$C$5)+(K193*Settings!$C$9)+(N193*Settings!$C$6)+(J193*Settings!$C$8)+(O193*Settings!$C$7)+(P193*Settings!$C$14)+(Q193*Settings!$C$15)+(R193*Settings!$C$16)+(S193*Settings!$C$17)+(T193*Settings!$C$18)+(U193*Settings!$C$19)+(L193*Settings!$C$10)+(Settings!$C$11*M193)</f>
        <v>2.8966889720818676</v>
      </c>
      <c r="D193" s="57" cm="1">
        <f t="array" ref="D193">IF(Settings!$E$12="YES",VLOOKUP(A193,'Player Data'!A1:E673,5,FALSE),82)</f>
        <v>78.72</v>
      </c>
      <c r="E193" s="55" cm="1">
        <f t="array" ref="E193">(VLOOKUP($A193,'The List'!$B1:$AH671,17,FALSE)-AVERAGE('The List'!R2:R671))/STDEV('The List'!R2:R671)</f>
        <v>-0.44462843344599456</v>
      </c>
      <c r="F193" s="55" cm="1">
        <f t="array" ref="F193">(VLOOKUP($A193,'The List'!$B1:$AH671,18,FALSE)-AVERAGE('The List'!S2:S671))/STDEV('The List'!S2:S671)</f>
        <v>0.79614579268699048</v>
      </c>
      <c r="G193" s="55" cm="1">
        <f t="array" ref="G193">(VLOOKUP($A193,'The List'!$B1:$AH671,19,FALSE)-AVERAGE('The List'!T2:T671))/STDEV('The List'!T2:T671)</f>
        <v>-9.7622250571518382E-2</v>
      </c>
      <c r="H193" s="55" cm="1">
        <f t="array" ref="H193">(VLOOKUP($A193,'The List'!$B1:$AH671,20,FALSE)-AVERAGE('The List'!U2:U671))/STDEV('The List'!U2:U671)</f>
        <v>0.29182868906945847</v>
      </c>
      <c r="I193" s="55" cm="1">
        <f t="array" ref="I193">(VLOOKUP($A193,'The List'!$B1:$AH671,21,FALSE)-AVERAGE('The List'!V2:V671))/STDEV('The List'!V2:V671)</f>
        <v>0.3965952518860017</v>
      </c>
      <c r="J193" s="55" cm="1">
        <f t="array" ref="J193">(VLOOKUP($A193,'The List'!$B1:$AH671,22,FALSE)-AVERAGE('The List'!W2:W671))/STDEV('The List'!W2:W671)</f>
        <v>1.5316653845212735</v>
      </c>
      <c r="K193" s="55" cm="1">
        <f t="array" ref="K193">(VLOOKUP($A193,'The List'!$B1:$AH671,23,FALSE)-AVERAGE('The List'!X2:X671))/STDEV('The List'!X2:X671)</f>
        <v>0.4102950588775568</v>
      </c>
      <c r="L193" s="55" cm="1">
        <f t="array" ref="L193">(VLOOKUP($A193,'The List'!$B1:$AH671,24,FALSE)-AVERAGE('The List'!Y2:Y671))/STDEV('The List'!Y2:Y671)</f>
        <v>-0.56005821223196928</v>
      </c>
      <c r="M193" s="55" cm="1">
        <f t="array" ref="M193">(VLOOKUP($A193,'The List'!$B1:$AH671,25,FALSE)-AVERAGE('The List'!Z2:Z671))/STDEV('The List'!Z2:Z671)</f>
        <v>-0.70202868572519106</v>
      </c>
      <c r="N193" s="55" cm="1">
        <f t="array" ref="N193">(VLOOKUP($A193,'The List'!$B1:$AH671,26,FALSE)-AVERAGE('The List'!AA2:AA671))/STDEV('The List'!AA2:AA671)</f>
        <v>-0.60522330112413592</v>
      </c>
      <c r="O193" s="55" cm="1">
        <f t="array" ref="O193">(VLOOKUP($A193,'The List'!$B1:$AH671,27,FALSE)-AVERAGE('The List'!AB2:AB671))/STDEV('The List'!AB2:AB671)</f>
        <v>0.46921459459784975</v>
      </c>
      <c r="P193" s="55" cm="1">
        <f t="array" ref="P193">(VLOOKUP($A193,'The List'!$B1:$AH671,28,FALSE)-AVERAGE('The List'!AC2:AC671))/STDEV('The List'!AC2:AC671)</f>
        <v>0.64153885636589991</v>
      </c>
      <c r="Q193" s="55" cm="1">
        <f t="array" ref="Q193">(VLOOKUP($A193,'The List'!$B1:$AH671,29,FALSE)-AVERAGE('The List'!AD2:AD671))/STDEV('The List'!AD2:AD671)</f>
        <v>1.3549595639610734</v>
      </c>
      <c r="R193" s="55" cm="1">
        <f t="array" ref="R193">(VLOOKUP($A193,'The List'!$B1:$AH671,30,FALSE)-AVERAGE('The List'!AE2:AE671))/STDEV('The List'!AE2:AE671)</f>
        <v>0.84936100617831345</v>
      </c>
      <c r="S193" s="55" cm="1">
        <f t="array" ref="S193">(VLOOKUP($A193,'The List'!$B1:$AH671,31,FALSE)-AVERAGE('The List'!AF2:AF671))/STDEV('The List'!AF2:AF671)</f>
        <v>-0.32388733847618867</v>
      </c>
      <c r="T193" s="55" cm="1">
        <f t="array" ref="T193">(VLOOKUP($A193,'The List'!$B1:$AH671,32,FALSE)-AVERAGE('The List'!AG2:AG671))/STDEV('The List'!AG2:AG671)</f>
        <v>-0.12814751178615624</v>
      </c>
      <c r="U193" s="55" cm="1">
        <f t="array" ref="U193">(VLOOKUP($A193,'The List'!$B1:$AH671,33,FALSE)-AVERAGE('The List'!AH2:AH671))/STDEV('The List'!AH2:AH671)</f>
        <v>0.38654731674274317</v>
      </c>
      <c r="V193" s="55"/>
      <c r="W193" s="78"/>
      <c r="X193" s="57"/>
      <c r="Y193" s="57"/>
      <c r="Z193" s="57"/>
      <c r="AA193" s="57"/>
      <c r="AB193" s="57"/>
      <c r="AC193" s="60"/>
      <c r="AD193" s="61"/>
      <c r="AE193" s="55"/>
    </row>
    <row r="194" spans="1:31" ht="21.25" customHeight="1" x14ac:dyDescent="0.15">
      <c r="A194" s="10" t="s">
        <v>422</v>
      </c>
      <c r="B194" s="18" t="str" cm="1">
        <f t="array" ref="B194">VLOOKUP(A194,'Player Data'!A1:B673,2,FALSE)</f>
        <v>S.J</v>
      </c>
      <c r="C194" s="52" cm="1">
        <f t="array" ref="C194">((E194)*Settings!$C$12)+(F194*Settings!$C$2)+(G194*Settings!$C$3)+(H194*Settings!$C$4)+(I194*Settings!$C$5)+(K194*Settings!$C$9)+(N194*Settings!$C$6)+(J194*Settings!$C$8)+(O194*Settings!$C$7)+(P194*Settings!$C$14)+(Q194*Settings!$C$15)+(R194*Settings!$C$16)+(S194*Settings!$C$17)+(T194*Settings!$C$18)+(U194*Settings!$C$19)+(L194*Settings!$C$10)+(Settings!$C$11*M194)</f>
        <v>-0.59775565002158004</v>
      </c>
      <c r="D194" s="57" cm="1">
        <f t="array" ref="D194">IF(Settings!$E$12="YES",VLOOKUP(A194,'Player Data'!A1:E673,5,FALSE),82)</f>
        <v>82.6875</v>
      </c>
      <c r="E194" s="55" cm="1">
        <f t="array" ref="E194">(VLOOKUP($A194,'The List'!$B1:$AH671,17,FALSE)-AVERAGE('The List'!R2:R671))/STDEV('The List'!R2:R671)</f>
        <v>0.69626198797657324</v>
      </c>
      <c r="F194" s="55" cm="1">
        <f t="array" ref="F194">(VLOOKUP($A194,'The List'!$B1:$AH671,18,FALSE)-AVERAGE('The List'!S2:S671))/STDEV('The List'!S2:S671)</f>
        <v>0.14259443499364854</v>
      </c>
      <c r="G194" s="55" cm="1">
        <f t="array" ref="G194">(VLOOKUP($A194,'The List'!$B1:$AH671,19,FALSE)-AVERAGE('The List'!T2:T671))/STDEV('The List'!T2:T671)</f>
        <v>0.47250848764838327</v>
      </c>
      <c r="H194" s="55" cm="1">
        <f t="array" ref="H194">(VLOOKUP($A194,'The List'!$B1:$AH671,20,FALSE)-AVERAGE('The List'!U2:U671))/STDEV('The List'!U2:U671)</f>
        <v>0.3604713936078956</v>
      </c>
      <c r="I194" s="55" cm="1">
        <f t="array" ref="I194">(VLOOKUP($A194,'The List'!$B1:$AH671,21,FALSE)-AVERAGE('The List'!V2:V671))/STDEV('The List'!V2:V671)</f>
        <v>-0.46942410000130746</v>
      </c>
      <c r="J194" s="55" cm="1">
        <f t="array" ref="J194">(VLOOKUP($A194,'The List'!$B1:$AH671,22,FALSE)-AVERAGE('The List'!W2:W671))/STDEV('The List'!W2:W671)</f>
        <v>0.77464417492478566</v>
      </c>
      <c r="K194" s="55" cm="1">
        <f t="array" ref="K194">(VLOOKUP($A194,'The List'!$B1:$AH671,23,FALSE)-AVERAGE('The List'!X2:X671))/STDEV('The List'!X2:X671)</f>
        <v>0.36103081472812742</v>
      </c>
      <c r="L194" s="55" cm="1">
        <f t="array" ref="L194">(VLOOKUP($A194,'The List'!$B1:$AH671,24,FALSE)-AVERAGE('The List'!Y2:Y671))/STDEV('The List'!Y2:Y671)</f>
        <v>0.14082300370873196</v>
      </c>
      <c r="M194" s="55" cm="1">
        <f t="array" ref="M194">(VLOOKUP($A194,'The List'!$B1:$AH671,25,FALSE)-AVERAGE('The List'!Z2:Z671))/STDEV('The List'!Z2:Z671)</f>
        <v>0.60736245143144885</v>
      </c>
      <c r="N194" s="55" cm="1">
        <f t="array" ref="N194">(VLOOKUP($A194,'The List'!$B1:$AH671,26,FALSE)-AVERAGE('The List'!AA2:AA671))/STDEV('The List'!AA2:AA671)</f>
        <v>0.62403365470590011</v>
      </c>
      <c r="O194" s="55" cm="1">
        <f t="array" ref="O194">(VLOOKUP($A194,'The List'!$B1:$AH671,27,FALSE)-AVERAGE('The List'!AB2:AB671))/STDEV('The List'!AB2:AB671)</f>
        <v>-1.006171169032021</v>
      </c>
      <c r="P194" s="55" cm="1">
        <f t="array" ref="P194">(VLOOKUP($A194,'The List'!$B1:$AH671,28,FALSE)-AVERAGE('The List'!AC2:AC671))/STDEV('The List'!AC2:AC671)</f>
        <v>-0.86982465400904718</v>
      </c>
      <c r="Q194" s="55" cm="1">
        <f t="array" ref="Q194">(VLOOKUP($A194,'The List'!$B1:$AH671,29,FALSE)-AVERAGE('The List'!AD2:AD671))/STDEV('The List'!AD2:AD671)</f>
        <v>-0.85867428808728463</v>
      </c>
      <c r="R194" s="55" cm="1">
        <f t="array" ref="R194">(VLOOKUP($A194,'The List'!$B1:$AH671,30,FALSE)-AVERAGE('The List'!AE2:AE671))/STDEV('The List'!AE2:AE671)</f>
        <v>-1.0360020445160394E-2</v>
      </c>
      <c r="S194" s="55" cm="1">
        <f t="array" ref="S194">(VLOOKUP($A194,'The List'!$B1:$AH671,31,FALSE)-AVERAGE('The List'!AF2:AF671))/STDEV('The List'!AF2:AF671)</f>
        <v>2.4220148883833148</v>
      </c>
      <c r="T194" s="55" cm="1">
        <f t="array" ref="T194">(VLOOKUP($A194,'The List'!$B1:$AH671,32,FALSE)-AVERAGE('The List'!AG2:AG671))/STDEV('The List'!AG2:AG671)</f>
        <v>2.9801162437167368</v>
      </c>
      <c r="U194" s="55" cm="1">
        <f t="array" ref="U194">(VLOOKUP($A194,'The List'!$B1:$AH671,33,FALSE)-AVERAGE('The List'!AH2:AH671))/STDEV('The List'!AH2:AH671)</f>
        <v>0.90431151192604087</v>
      </c>
      <c r="V194" s="55"/>
      <c r="W194" s="78"/>
      <c r="X194" s="57"/>
      <c r="Y194" s="57"/>
      <c r="Z194" s="57"/>
      <c r="AA194" s="57"/>
      <c r="AB194" s="57"/>
      <c r="AC194" s="60"/>
      <c r="AD194" s="61"/>
      <c r="AE194" s="55"/>
    </row>
    <row r="195" spans="1:31" ht="21.25" customHeight="1" x14ac:dyDescent="0.15">
      <c r="A195" s="10" t="s">
        <v>438</v>
      </c>
      <c r="B195" s="18" t="str" cm="1">
        <f t="array" ref="B195">VLOOKUP(A195,'Player Data'!A1:B673,2,FALSE)</f>
        <v>SEA</v>
      </c>
      <c r="C195" s="52" cm="1">
        <f t="array" ref="C195">((E195)*Settings!$C$12)+(F195*Settings!$C$2)+(G195*Settings!$C$3)+(H195*Settings!$C$4)+(I195*Settings!$C$5)+(K195*Settings!$C$9)+(N195*Settings!$C$6)+(J195*Settings!$C$8)+(O195*Settings!$C$7)+(P195*Settings!$C$14)+(Q195*Settings!$C$15)+(R195*Settings!$C$16)+(S195*Settings!$C$17)+(T195*Settings!$C$18)+(U195*Settings!$C$19)+(L195*Settings!$C$10)+(Settings!$C$11*M195)</f>
        <v>-0.35454343235129859</v>
      </c>
      <c r="D195" s="57" cm="1">
        <f t="array" ref="D195">IF(Settings!$E$12="YES",VLOOKUP(A195,'Player Data'!A1:E673,5,FALSE),82)</f>
        <v>79.62</v>
      </c>
      <c r="E195" s="55" cm="1">
        <f t="array" ref="E195">(VLOOKUP($A195,'The List'!$B1:$AH671,17,FALSE)-AVERAGE('The List'!R2:R671))/STDEV('The List'!R2:R671)</f>
        <v>-0.18609524372569569</v>
      </c>
      <c r="F195" s="55" cm="1">
        <f t="array" ref="F195">(VLOOKUP($A195,'The List'!$B1:$AH671,18,FALSE)-AVERAGE('The List'!S2:S671))/STDEV('The List'!S2:S671)</f>
        <v>1.1703883644691604</v>
      </c>
      <c r="G195" s="55" cm="1">
        <f t="array" ref="G195">(VLOOKUP($A195,'The List'!$B1:$AH671,19,FALSE)-AVERAGE('The List'!T2:T671))/STDEV('The List'!T2:T671)</f>
        <v>-0.38545423174351784</v>
      </c>
      <c r="H195" s="55" cm="1">
        <f t="array" ref="H195">(VLOOKUP($A195,'The List'!$B1:$AH671,20,FALSE)-AVERAGE('The List'!U2:U671))/STDEV('The List'!U2:U671)</f>
        <v>0.27682718024918462</v>
      </c>
      <c r="I195" s="55" cm="1">
        <f t="array" ref="I195">(VLOOKUP($A195,'The List'!$B1:$AH671,21,FALSE)-AVERAGE('The List'!V2:V671))/STDEV('The List'!V2:V671)</f>
        <v>1.0883588935916442</v>
      </c>
      <c r="J195" s="55" cm="1">
        <f t="array" ref="J195">(VLOOKUP($A195,'The List'!$B1:$AH671,22,FALSE)-AVERAGE('The List'!W2:W671))/STDEV('The List'!W2:W671)</f>
        <v>0.14153002836532833</v>
      </c>
      <c r="K195" s="55" cm="1">
        <f t="array" ref="K195">(VLOOKUP($A195,'The List'!$B1:$AH671,23,FALSE)-AVERAGE('The List'!X2:X671))/STDEV('The List'!X2:X671)</f>
        <v>-0.24218621913406405</v>
      </c>
      <c r="L195" s="55" cm="1">
        <f t="array" ref="L195">(VLOOKUP($A195,'The List'!$B1:$AH671,24,FALSE)-AVERAGE('The List'!Y2:Y671))/STDEV('The List'!Y2:Y671)</f>
        <v>-0.45986125008336115</v>
      </c>
      <c r="M195" s="55" cm="1">
        <f t="array" ref="M195">(VLOOKUP($A195,'The List'!$B1:$AH671,25,FALSE)-AVERAGE('The List'!Z2:Z671))/STDEV('The List'!Z2:Z671)</f>
        <v>-0.60418549472601102</v>
      </c>
      <c r="N195" s="55" cm="1">
        <f t="array" ref="N195">(VLOOKUP($A195,'The List'!$B1:$AH671,26,FALSE)-AVERAGE('The List'!AA2:AA671))/STDEV('The List'!AA2:AA671)</f>
        <v>-0.8646810252492132</v>
      </c>
      <c r="O195" s="55" cm="1">
        <f t="array" ref="O195">(VLOOKUP($A195,'The List'!$B1:$AH671,27,FALSE)-AVERAGE('The List'!AB2:AB671))/STDEV('The List'!AB2:AB671)</f>
        <v>1.4562453932017314</v>
      </c>
      <c r="P195" s="55" cm="1">
        <f t="array" ref="P195">(VLOOKUP($A195,'The List'!$B1:$AH671,28,FALSE)-AVERAGE('The List'!AC2:AC671))/STDEV('The List'!AC2:AC671)</f>
        <v>-1.4209366330713757</v>
      </c>
      <c r="Q195" s="55" cm="1">
        <f t="array" ref="Q195">(VLOOKUP($A195,'The List'!$B1:$AH671,29,FALSE)-AVERAGE('The List'!AD2:AD671))/STDEV('The List'!AD2:AD671)</f>
        <v>0.2999674187860677</v>
      </c>
      <c r="R195" s="55" cm="1">
        <f t="array" ref="R195">(VLOOKUP($A195,'The List'!$B1:$AH671,30,FALSE)-AVERAGE('The List'!AE2:AE671))/STDEV('The List'!AE2:AE671)</f>
        <v>0.85510574465286981</v>
      </c>
      <c r="S195" s="55" cm="1">
        <f t="array" ref="S195">(VLOOKUP($A195,'The List'!$B1:$AH671,31,FALSE)-AVERAGE('The List'!AF2:AF671))/STDEV('The List'!AF2:AF671)</f>
        <v>-0.56213125456349355</v>
      </c>
      <c r="T195" s="55" cm="1">
        <f t="array" ref="T195">(VLOOKUP($A195,'The List'!$B1:$AH671,32,FALSE)-AVERAGE('The List'!AG2:AG671))/STDEV('The List'!AG2:AG671)</f>
        <v>-0.59278568369243878</v>
      </c>
      <c r="U195" s="55" cm="1">
        <f t="array" ref="U195">(VLOOKUP($A195,'The List'!$B1:$AH671,33,FALSE)-AVERAGE('The List'!AH2:AH671))/STDEV('The List'!AH2:AH671)</f>
        <v>0.53369367982736593</v>
      </c>
      <c r="V195" s="55"/>
      <c r="W195" s="78"/>
      <c r="X195" s="57"/>
      <c r="Y195" s="57"/>
      <c r="Z195" s="57"/>
      <c r="AA195" s="57"/>
      <c r="AB195" s="57"/>
      <c r="AC195" s="60"/>
      <c r="AD195" s="61"/>
      <c r="AE195" s="55"/>
    </row>
    <row r="196" spans="1:31" ht="21.25" customHeight="1" x14ac:dyDescent="0.15">
      <c r="A196" s="10" t="s">
        <v>272</v>
      </c>
      <c r="B196" s="18" t="str" cm="1">
        <f t="array" ref="B196">VLOOKUP(A196,'Player Data'!A1:B673,2,FALSE)</f>
        <v>T.B</v>
      </c>
      <c r="C196" s="52" cm="1">
        <f t="array" ref="C196">((E196)*Settings!$C$12)+(F196*Settings!$C$2)+(G196*Settings!$C$3)+(H196*Settings!$C$4)+(I196*Settings!$C$5)+(K196*Settings!$C$9)+(N196*Settings!$C$6)+(J196*Settings!$C$8)+(O196*Settings!$C$7)+(P196*Settings!$C$14)+(Q196*Settings!$C$15)+(R196*Settings!$C$16)+(S196*Settings!$C$17)+(T196*Settings!$C$18)+(U196*Settings!$C$19)+(L196*Settings!$C$10)+(Settings!$C$11*M196)</f>
        <v>2.2107252793900702</v>
      </c>
      <c r="D196" s="57" cm="1">
        <f t="array" ref="D196">IF(Settings!$E$12="YES",VLOOKUP(A196,'Player Data'!A1:E673,5,FALSE),82)</f>
        <v>74.52</v>
      </c>
      <c r="E196" s="55" cm="1">
        <f t="array" ref="E196">(VLOOKUP($A196,'The List'!$B1:$AH671,17,FALSE)-AVERAGE('The List'!R2:R671))/STDEV('The List'!R2:R671)</f>
        <v>0.56868418086344696</v>
      </c>
      <c r="F196" s="55" cm="1">
        <f t="array" ref="F196">(VLOOKUP($A196,'The List'!$B1:$AH671,18,FALSE)-AVERAGE('The List'!S2:S671))/STDEV('The List'!S2:S671)</f>
        <v>-0.61575459607541672</v>
      </c>
      <c r="G196" s="55" cm="1">
        <f t="array" ref="G196">(VLOOKUP($A196,'The List'!$B1:$AH671,19,FALSE)-AVERAGE('The List'!T2:T671))/STDEV('The List'!T2:T671)</f>
        <v>0.65779451188006255</v>
      </c>
      <c r="H196" s="55" cm="1">
        <f t="array" ref="H196">(VLOOKUP($A196,'The List'!$B1:$AH671,20,FALSE)-AVERAGE('The List'!U2:U671))/STDEV('The List'!U2:U671)</f>
        <v>0.14055235638247818</v>
      </c>
      <c r="I196" s="55" cm="1">
        <f t="array" ref="I196">(VLOOKUP($A196,'The List'!$B1:$AH671,21,FALSE)-AVERAGE('The List'!V2:V671))/STDEV('The List'!V2:V671)</f>
        <v>-0.12496350232838602</v>
      </c>
      <c r="J196" s="55" cm="1">
        <f t="array" ref="J196">(VLOOKUP($A196,'The List'!$B1:$AH671,22,FALSE)-AVERAGE('The List'!W2:W671))/STDEV('The List'!W2:W671)</f>
        <v>-0.40865988108195028</v>
      </c>
      <c r="K196" s="55" cm="1">
        <f t="array" ref="K196">(VLOOKUP($A196,'The List'!$B1:$AH671,23,FALSE)-AVERAGE('The List'!X2:X671))/STDEV('The List'!X2:X671)</f>
        <v>0.19766482805412178</v>
      </c>
      <c r="L196" s="55" cm="1">
        <f t="array" ref="L196">(VLOOKUP($A196,'The List'!$B1:$AH671,24,FALSE)-AVERAGE('The List'!Y2:Y671))/STDEV('The List'!Y2:Y671)</f>
        <v>-0.54438720389935735</v>
      </c>
      <c r="M196" s="55" cm="1">
        <f t="array" ref="M196">(VLOOKUP($A196,'The List'!$B1:$AH671,25,FALSE)-AVERAGE('The List'!Z2:Z671))/STDEV('The List'!Z2:Z671)</f>
        <v>-0.66229144467602685</v>
      </c>
      <c r="N196" s="55" cm="1">
        <f t="array" ref="N196">(VLOOKUP($A196,'The List'!$B1:$AH671,26,FALSE)-AVERAGE('The List'!AA2:AA671))/STDEV('The List'!AA2:AA671)</f>
        <v>0.96879613920084673</v>
      </c>
      <c r="O196" s="55" cm="1">
        <f t="array" ref="O196">(VLOOKUP($A196,'The List'!$B1:$AH671,27,FALSE)-AVERAGE('The List'!AB2:AB671))/STDEV('The List'!AB2:AB671)</f>
        <v>-0.75877978406638458</v>
      </c>
      <c r="P196" s="55" cm="1">
        <f t="array" ref="P196">(VLOOKUP($A196,'The List'!$B1:$AH671,28,FALSE)-AVERAGE('The List'!AC2:AC671))/STDEV('The List'!AC2:AC671)</f>
        <v>1.3746624764836524</v>
      </c>
      <c r="Q196" s="55" cm="1">
        <f t="array" ref="Q196">(VLOOKUP($A196,'The List'!$B1:$AH671,29,FALSE)-AVERAGE('The List'!AD2:AD671))/STDEV('The List'!AD2:AD671)</f>
        <v>-0.24747457782481047</v>
      </c>
      <c r="R196" s="55" cm="1">
        <f t="array" ref="R196">(VLOOKUP($A196,'The List'!$B1:$AH671,30,FALSE)-AVERAGE('The List'!AE2:AE671))/STDEV('The List'!AE2:AE671)</f>
        <v>-0.49513278514116149</v>
      </c>
      <c r="S196" s="55" cm="1">
        <f t="array" ref="S196">(VLOOKUP($A196,'The List'!$B1:$AH671,31,FALSE)-AVERAGE('The List'!AF2:AF671))/STDEV('The List'!AF2:AF671)</f>
        <v>-0.5939690971349143</v>
      </c>
      <c r="T196" s="55" cm="1">
        <f t="array" ref="T196">(VLOOKUP($A196,'The List'!$B1:$AH671,32,FALSE)-AVERAGE('The List'!AG2:AG671))/STDEV('The List'!AG2:AG671)</f>
        <v>-0.64602208138248207</v>
      </c>
      <c r="U196" s="55" cm="1">
        <f t="array" ref="U196">(VLOOKUP($A196,'The List'!$B1:$AH671,33,FALSE)-AVERAGE('The List'!AH2:AH671))/STDEV('The List'!AH2:AH671)</f>
        <v>-1.2548938914719048</v>
      </c>
      <c r="V196" s="55"/>
      <c r="W196" s="57"/>
      <c r="X196" s="55"/>
      <c r="Y196" s="55"/>
      <c r="Z196" s="55"/>
      <c r="AA196" s="55"/>
      <c r="AB196" s="55"/>
      <c r="AC196" s="55"/>
      <c r="AD196" s="55"/>
      <c r="AE196" s="55"/>
    </row>
    <row r="197" spans="1:31" ht="21.25" customHeight="1" x14ac:dyDescent="0.15">
      <c r="A197" s="10" t="s">
        <v>485</v>
      </c>
      <c r="B197" s="18" t="str" cm="1">
        <f t="array" ref="B197">VLOOKUP(A197,'Player Data'!A1:B673,2,FALSE)</f>
        <v>NSH</v>
      </c>
      <c r="C197" s="52" cm="1">
        <f t="array" ref="C197">((E197)*Settings!$C$12)+(F197*Settings!$C$2)+(G197*Settings!$C$3)+(H197*Settings!$C$4)+(I197*Settings!$C$5)+(K197*Settings!$C$9)+(N197*Settings!$C$6)+(J197*Settings!$C$8)+(O197*Settings!$C$7)+(P197*Settings!$C$14)+(Q197*Settings!$C$15)+(R197*Settings!$C$16)+(S197*Settings!$C$17)+(T197*Settings!$C$18)+(U197*Settings!$C$19)+(L197*Settings!$C$10)+(Settings!$C$11*M197)</f>
        <v>-1.1643298052082887</v>
      </c>
      <c r="D197" s="57" cm="1">
        <f t="array" ref="D197">IF(Settings!$E$12="YES",VLOOKUP(A197,'Player Data'!A1:E673,5,FALSE),82)</f>
        <v>81.592500000000001</v>
      </c>
      <c r="E197" s="55" cm="1">
        <f t="array" ref="E197">(VLOOKUP($A197,'The List'!$B1:$AH671,17,FALSE)-AVERAGE('The List'!R2:R671))/STDEV('The List'!R2:R671)</f>
        <v>-0.1370885951648752</v>
      </c>
      <c r="F197" s="55" cm="1">
        <f t="array" ref="F197">(VLOOKUP($A197,'The List'!$B1:$AH671,18,FALSE)-AVERAGE('The List'!S2:S671))/STDEV('The List'!S2:S671)</f>
        <v>0.60924168645613785</v>
      </c>
      <c r="G197" s="55" cm="1">
        <f t="array" ref="G197">(VLOOKUP($A197,'The List'!$B1:$AH671,19,FALSE)-AVERAGE('The List'!T2:T671))/STDEV('The List'!T2:T671)</f>
        <v>3.5405397298592961E-2</v>
      </c>
      <c r="H197" s="55" cm="1">
        <f t="array" ref="H197">(VLOOKUP($A197,'The List'!$B1:$AH671,20,FALSE)-AVERAGE('The List'!U2:U671))/STDEV('The List'!U2:U671)</f>
        <v>0.29257709127378362</v>
      </c>
      <c r="I197" s="55" cm="1">
        <f t="array" ref="I197">(VLOOKUP($A197,'The List'!$B1:$AH671,21,FALSE)-AVERAGE('The List'!V2:V671))/STDEV('The List'!V2:V671)</f>
        <v>0.38751169482286191</v>
      </c>
      <c r="J197" s="55" cm="1">
        <f t="array" ref="J197">(VLOOKUP($A197,'The List'!$B1:$AH671,22,FALSE)-AVERAGE('The List'!W2:W671))/STDEV('The List'!W2:W671)</f>
        <v>-0.1071769696265063</v>
      </c>
      <c r="K197" s="55" cm="1">
        <f t="array" ref="K197">(VLOOKUP($A197,'The List'!$B1:$AH671,23,FALSE)-AVERAGE('The List'!X2:X671))/STDEV('The List'!X2:X671)</f>
        <v>1.8269700165771694E-3</v>
      </c>
      <c r="L197" s="55" cm="1">
        <f t="array" ref="L197">(VLOOKUP($A197,'The List'!$B1:$AH671,24,FALSE)-AVERAGE('The List'!Y2:Y671))/STDEV('The List'!Y2:Y671)</f>
        <v>-0.33716353362771351</v>
      </c>
      <c r="M197" s="55" cm="1">
        <f t="array" ref="M197">(VLOOKUP($A197,'The List'!$B1:$AH671,25,FALSE)-AVERAGE('The List'!Z2:Z671))/STDEV('The List'!Z2:Z671)</f>
        <v>-0.48293792043986455</v>
      </c>
      <c r="N197" s="55" cm="1">
        <f t="array" ref="N197">(VLOOKUP($A197,'The List'!$B1:$AH671,26,FALSE)-AVERAGE('The List'!AA2:AA671))/STDEV('The List'!AA2:AA671)</f>
        <v>-0.84864810282563896</v>
      </c>
      <c r="O197" s="55" cm="1">
        <f t="array" ref="O197">(VLOOKUP($A197,'The List'!$B1:$AH671,27,FALSE)-AVERAGE('The List'!AB2:AB671))/STDEV('The List'!AB2:AB671)</f>
        <v>-0.15795646474382938</v>
      </c>
      <c r="P197" s="55" cm="1">
        <f t="array" ref="P197">(VLOOKUP($A197,'The List'!$B1:$AH671,28,FALSE)-AVERAGE('The List'!AC2:AC671))/STDEV('The List'!AC2:AC671)</f>
        <v>-0.64090244424407961</v>
      </c>
      <c r="Q197" s="55" cm="1">
        <f t="array" ref="Q197">(VLOOKUP($A197,'The List'!$B1:$AH671,29,FALSE)-AVERAGE('The List'!AD2:AD671))/STDEV('The List'!AD2:AD671)</f>
        <v>-0.70876500673274001</v>
      </c>
      <c r="R197" s="55" cm="1">
        <f t="array" ref="R197">(VLOOKUP($A197,'The List'!$B1:$AH671,30,FALSE)-AVERAGE('The List'!AE2:AE671))/STDEV('The List'!AE2:AE671)</f>
        <v>0.38125526961419892</v>
      </c>
      <c r="S197" s="55" cm="1">
        <f t="array" ref="S197">(VLOOKUP($A197,'The List'!$B1:$AH671,31,FALSE)-AVERAGE('The List'!AF2:AF671))/STDEV('The List'!AF2:AF671)</f>
        <v>1.6652184833030961E-2</v>
      </c>
      <c r="T197" s="55" cm="1">
        <f t="array" ref="T197">(VLOOKUP($A197,'The List'!$B1:$AH671,32,FALSE)-AVERAGE('The List'!AG2:AG671))/STDEV('The List'!AG2:AG671)</f>
        <v>0.12822418076291878</v>
      </c>
      <c r="U197" s="55" cm="1">
        <f t="array" ref="U197">(VLOOKUP($A197,'The List'!$B1:$AH671,33,FALSE)-AVERAGE('The List'!AH2:AH671))/STDEV('The List'!AH2:AH671)</f>
        <v>0.84354251016549708</v>
      </c>
      <c r="V197" s="55"/>
      <c r="W197" s="57"/>
      <c r="X197" s="55"/>
      <c r="Y197" s="55"/>
      <c r="Z197" s="55"/>
      <c r="AA197" s="55"/>
      <c r="AB197" s="55"/>
      <c r="AC197" s="55"/>
      <c r="AD197" s="55"/>
      <c r="AE197" s="55"/>
    </row>
    <row r="198" spans="1:31" ht="21.25" customHeight="1" x14ac:dyDescent="0.15">
      <c r="A198" s="10" t="s">
        <v>599</v>
      </c>
      <c r="B198" s="18" t="str" cm="1">
        <f t="array" ref="B198">VLOOKUP(A198,'Player Data'!A1:B673,2,FALSE)</f>
        <v>COL</v>
      </c>
      <c r="C198" s="52" cm="1">
        <f t="array" ref="C198">((E198)*Settings!$C$12)+(F198*Settings!$C$2)+(G198*Settings!$C$3)+(H198*Settings!$C$4)+(I198*Settings!$C$5)+(K198*Settings!$C$9)+(N198*Settings!$C$6)+(J198*Settings!$C$8)+(O198*Settings!$C$7)+(P198*Settings!$C$14)+(Q198*Settings!$C$15)+(R198*Settings!$C$16)+(S198*Settings!$C$17)+(T198*Settings!$C$18)+(U198*Settings!$C$19)+(L198*Settings!$C$10)+(Settings!$C$11*M198)</f>
        <v>0.39514985740232705</v>
      </c>
      <c r="D198" s="57" cm="1">
        <f t="array" ref="D198">IF(Settings!$E$12="YES",VLOOKUP(A198,'Player Data'!A1:E673,5,FALSE),82)</f>
        <v>62</v>
      </c>
      <c r="E198" s="55" cm="1">
        <f t="array" ref="E198">(VLOOKUP($A198,'The List'!$B1:$AH671,17,FALSE)-AVERAGE('The List'!R2:R671))/STDEV('The List'!R2:R671)</f>
        <v>-0.20529941597575616</v>
      </c>
      <c r="F198" s="55" cm="1">
        <f t="array" ref="F198">(VLOOKUP($A198,'The List'!$B1:$AH671,18,FALSE)-AVERAGE('The List'!S2:S671))/STDEV('The List'!S2:S671)</f>
        <v>-5.6490298617357625E-2</v>
      </c>
      <c r="G198" s="55" cm="1">
        <f t="array" ref="G198">(VLOOKUP($A198,'The List'!$B1:$AH671,19,FALSE)-AVERAGE('The List'!T2:T671))/STDEV('The List'!T2:T671)</f>
        <v>-0.24108886205885488</v>
      </c>
      <c r="H198" s="55" cm="1">
        <f t="array" ref="H198">(VLOOKUP($A198,'The List'!$B1:$AH671,20,FALSE)-AVERAGE('The List'!U2:U671))/STDEV('The List'!U2:U671)</f>
        <v>-0.17670713834792981</v>
      </c>
      <c r="I198" s="55" cm="1">
        <f t="array" ref="I198">(VLOOKUP($A198,'The List'!$B1:$AH671,21,FALSE)-AVERAGE('The List'!V2:V671))/STDEV('The List'!V2:V671)</f>
        <v>3.7064133089635458E-2</v>
      </c>
      <c r="J198" s="55" cm="1">
        <f t="array" ref="J198">(VLOOKUP($A198,'The List'!$B1:$AH671,22,FALSE)-AVERAGE('The List'!W2:W671))/STDEV('The List'!W2:W671)</f>
        <v>-4.176163370692966E-2</v>
      </c>
      <c r="K198" s="55" cm="1">
        <f t="array" ref="K198">(VLOOKUP($A198,'The List'!$B1:$AH671,23,FALSE)-AVERAGE('The List'!X2:X671))/STDEV('The List'!X2:X671)</f>
        <v>-0.20619696446267921</v>
      </c>
      <c r="L198" s="55" cm="1">
        <f t="array" ref="L198">(VLOOKUP($A198,'The List'!$B1:$AH671,24,FALSE)-AVERAGE('The List'!Y2:Y671))/STDEV('The List'!Y2:Y671)</f>
        <v>-0.54336195282406607</v>
      </c>
      <c r="M198" s="55" cm="1">
        <f t="array" ref="M198">(VLOOKUP($A198,'The List'!$B1:$AH671,25,FALSE)-AVERAGE('The List'!Z2:Z671))/STDEV('The List'!Z2:Z671)</f>
        <v>-0.68516267873872994</v>
      </c>
      <c r="N198" s="55" cm="1">
        <f t="array" ref="N198">(VLOOKUP($A198,'The List'!$B1:$AH671,26,FALSE)-AVERAGE('The List'!AA2:AA671))/STDEV('The List'!AA2:AA671)</f>
        <v>-0.8201652272269897</v>
      </c>
      <c r="O198" s="55" cm="1">
        <f t="array" ref="O198">(VLOOKUP($A198,'The List'!$B1:$AH671,27,FALSE)-AVERAGE('The List'!AB2:AB671))/STDEV('The List'!AB2:AB671)</f>
        <v>-9.3457296588307801E-2</v>
      </c>
      <c r="P198" s="55" cm="1">
        <f t="array" ref="P198">(VLOOKUP($A198,'The List'!$B1:$AH671,28,FALSE)-AVERAGE('The List'!AC2:AC671))/STDEV('The List'!AC2:AC671)</f>
        <v>1.3385954024466034</v>
      </c>
      <c r="Q198" s="55" cm="1">
        <f t="array" ref="Q198">(VLOOKUP($A198,'The List'!$B1:$AH671,29,FALSE)-AVERAGE('The List'!AD2:AD671))/STDEV('The List'!AD2:AD671)</f>
        <v>0.34343167423196957</v>
      </c>
      <c r="R198" s="55" cm="1">
        <f t="array" ref="R198">(VLOOKUP($A198,'The List'!$B1:$AH671,30,FALSE)-AVERAGE('The List'!AE2:AE671))/STDEV('The List'!AE2:AE671)</f>
        <v>0.14970825081072758</v>
      </c>
      <c r="S198" s="55" cm="1">
        <f t="array" ref="S198">(VLOOKUP($A198,'The List'!$B1:$AH671,31,FALSE)-AVERAGE('The List'!AF2:AF671))/STDEV('The List'!AF2:AF671)</f>
        <v>0.18523253759319536</v>
      </c>
      <c r="T198" s="55" cm="1">
        <f t="array" ref="T198">(VLOOKUP($A198,'The List'!$B1:$AH671,32,FALSE)-AVERAGE('The List'!AG2:AG671))/STDEV('The List'!AG2:AG671)</f>
        <v>-0.14403848306547218</v>
      </c>
      <c r="U198" s="55" cm="1">
        <f t="array" ref="U198">(VLOOKUP($A198,'The List'!$B1:$AH671,33,FALSE)-AVERAGE('The List'!AH2:AH671))/STDEV('The List'!AH2:AH671)</f>
        <v>1.6093332715883639</v>
      </c>
      <c r="V198" s="55"/>
      <c r="W198" s="78"/>
      <c r="X198" s="57"/>
      <c r="Y198" s="57"/>
      <c r="Z198" s="57"/>
      <c r="AA198" s="57"/>
      <c r="AB198" s="57"/>
      <c r="AC198" s="60"/>
      <c r="AD198" s="61"/>
      <c r="AE198" s="55"/>
    </row>
    <row r="199" spans="1:31" ht="21.25" customHeight="1" x14ac:dyDescent="0.15">
      <c r="A199" s="10" t="s">
        <v>445</v>
      </c>
      <c r="B199" s="18" t="str" cm="1">
        <f t="array" ref="B199">VLOOKUP(A199,'Player Data'!A1:B673,2,FALSE)</f>
        <v>CBJ</v>
      </c>
      <c r="C199" s="52" cm="1">
        <f t="array" ref="C199">((E199)*Settings!$C$12)+(F199*Settings!$C$2)+(G199*Settings!$C$3)+(H199*Settings!$C$4)+(I199*Settings!$C$5)+(K199*Settings!$C$9)+(N199*Settings!$C$6)+(J199*Settings!$C$8)+(O199*Settings!$C$7)+(P199*Settings!$C$14)+(Q199*Settings!$C$15)+(R199*Settings!$C$16)+(S199*Settings!$C$17)+(T199*Settings!$C$18)+(U199*Settings!$C$19)+(L199*Settings!$C$10)+(Settings!$C$11*M199)</f>
        <v>0.2847113788808574</v>
      </c>
      <c r="D199" s="57" cm="1">
        <f t="array" ref="D199">IF(Settings!$E$12="YES",VLOOKUP(A199,'Player Data'!A1:E673,5,FALSE),82)</f>
        <v>84.167500000000004</v>
      </c>
      <c r="E199" s="55" cm="1">
        <f t="array" ref="E199">(VLOOKUP($A199,'The List'!$B1:$AH671,17,FALSE)-AVERAGE('The List'!R2:R671))/STDEV('The List'!R2:R671)</f>
        <v>-9.004696028475671E-3</v>
      </c>
      <c r="F199" s="55" cm="1">
        <f t="array" ref="F199">(VLOOKUP($A199,'The List'!$B1:$AH671,18,FALSE)-AVERAGE('The List'!S2:S671))/STDEV('The List'!S2:S671)</f>
        <v>0.38677882295915211</v>
      </c>
      <c r="G199" s="55" cm="1">
        <f t="array" ref="G199">(VLOOKUP($A199,'The List'!$B1:$AH671,19,FALSE)-AVERAGE('The List'!T2:T671))/STDEV('The List'!T2:T671)</f>
        <v>0.28630498811034288</v>
      </c>
      <c r="H199" s="55" cm="1">
        <f t="array" ref="H199">(VLOOKUP($A199,'The List'!$B1:$AH671,20,FALSE)-AVERAGE('The List'!U2:U671))/STDEV('The List'!U2:U671)</f>
        <v>0.35168967635041742</v>
      </c>
      <c r="I199" s="55" cm="1">
        <f t="array" ref="I199">(VLOOKUP($A199,'The List'!$B1:$AH671,21,FALSE)-AVERAGE('The List'!V2:V671))/STDEV('The List'!V2:V671)</f>
        <v>6.3904193390673089E-2</v>
      </c>
      <c r="J199" s="55" cm="1">
        <f t="array" ref="J199">(VLOOKUP($A199,'The List'!$B1:$AH671,22,FALSE)-AVERAGE('The List'!W2:W671))/STDEV('The List'!W2:W671)</f>
        <v>0.2741338421220082</v>
      </c>
      <c r="K199" s="55" cm="1">
        <f t="array" ref="K199">(VLOOKUP($A199,'The List'!$B1:$AH671,23,FALSE)-AVERAGE('The List'!X2:X671))/STDEV('The List'!X2:X671)</f>
        <v>-9.2656559571974093E-2</v>
      </c>
      <c r="L199" s="55" cm="1">
        <f t="array" ref="L199">(VLOOKUP($A199,'The List'!$B1:$AH671,24,FALSE)-AVERAGE('The List'!Y2:Y671))/STDEV('The List'!Y2:Y671)</f>
        <v>-0.14135826677786248</v>
      </c>
      <c r="M199" s="55" cm="1">
        <f t="array" ref="M199">(VLOOKUP($A199,'The List'!$B1:$AH671,25,FALSE)-AVERAGE('The List'!Z2:Z671))/STDEV('The List'!Z2:Z671)</f>
        <v>0.27749197420912103</v>
      </c>
      <c r="N199" s="55" cm="1">
        <f t="array" ref="N199">(VLOOKUP($A199,'The List'!$B1:$AH671,26,FALSE)-AVERAGE('The List'!AA2:AA671))/STDEV('The List'!AA2:AA671)</f>
        <v>-0.23291724898036886</v>
      </c>
      <c r="O199" s="55" cm="1">
        <f t="array" ref="O199">(VLOOKUP($A199,'The List'!$B1:$AH671,27,FALSE)-AVERAGE('The List'!AB2:AB671))/STDEV('The List'!AB2:AB671)</f>
        <v>0.45137766495208931</v>
      </c>
      <c r="P199" s="55" cm="1">
        <f t="array" ref="P199">(VLOOKUP($A199,'The List'!$B1:$AH671,28,FALSE)-AVERAGE('The List'!AC2:AC671))/STDEV('The List'!AC2:AC671)</f>
        <v>0.43851360207754853</v>
      </c>
      <c r="Q199" s="55" cm="1">
        <f t="array" ref="Q199">(VLOOKUP($A199,'The List'!$B1:$AH671,29,FALSE)-AVERAGE('The List'!AD2:AD671))/STDEV('The List'!AD2:AD671)</f>
        <v>-0.56521641910451625</v>
      </c>
      <c r="R199" s="55" cm="1">
        <f t="array" ref="R199">(VLOOKUP($A199,'The List'!$B1:$AH671,30,FALSE)-AVERAGE('The List'!AE2:AE671))/STDEV('The List'!AE2:AE671)</f>
        <v>0.43713405859273285</v>
      </c>
      <c r="S199" s="55" cm="1">
        <f t="array" ref="S199">(VLOOKUP($A199,'The List'!$B1:$AH671,31,FALSE)-AVERAGE('The List'!AF2:AF671))/STDEV('The List'!AF2:AF671)</f>
        <v>2.1640301142963301</v>
      </c>
      <c r="T199" s="55" cm="1">
        <f t="array" ref="T199">(VLOOKUP($A199,'The List'!$B1:$AH671,32,FALSE)-AVERAGE('The List'!AG2:AG671))/STDEV('The List'!AG2:AG671)</f>
        <v>2.2646484653484258</v>
      </c>
      <c r="U199" s="55" cm="1">
        <f t="array" ref="U199">(VLOOKUP($A199,'The List'!$B1:$AH671,33,FALSE)-AVERAGE('The List'!AH2:AH671))/STDEV('The List'!AH2:AH671)</f>
        <v>1.0539586715455942</v>
      </c>
      <c r="V199" s="55"/>
      <c r="W199" s="57"/>
      <c r="X199" s="55"/>
      <c r="Y199" s="55"/>
      <c r="Z199" s="55"/>
      <c r="AA199" s="55"/>
      <c r="AB199" s="55"/>
      <c r="AC199" s="55"/>
      <c r="AD199" s="55"/>
      <c r="AE199" s="55"/>
    </row>
    <row r="200" spans="1:31" ht="21.25" customHeight="1" x14ac:dyDescent="0.15">
      <c r="A200" s="10" t="s">
        <v>206</v>
      </c>
      <c r="B200" s="18" t="str" cm="1">
        <f t="array" ref="B200">VLOOKUP(A200,'Player Data'!A1:B673,2,FALSE)</f>
        <v>MIN</v>
      </c>
      <c r="C200" s="52" cm="1">
        <f t="array" ref="C200">((E200)*Settings!$C$12)+(F200*Settings!$C$2)+(G200*Settings!$C$3)+(H200*Settings!$C$4)+(I200*Settings!$C$5)+(K200*Settings!$C$9)+(N200*Settings!$C$6)+(J200*Settings!$C$8)+(O200*Settings!$C$7)+(P200*Settings!$C$14)+(Q200*Settings!$C$15)+(R200*Settings!$C$16)+(S200*Settings!$C$17)+(T200*Settings!$C$18)+(U200*Settings!$C$19)+(L200*Settings!$C$10)+(Settings!$C$11*M200)</f>
        <v>3.7653600529155455</v>
      </c>
      <c r="D200" s="57" cm="1">
        <f t="array" ref="D200">IF(Settings!$E$12="YES",VLOOKUP(A200,'Player Data'!A1:E673,5,FALSE),82)</f>
        <v>83.125</v>
      </c>
      <c r="E200" s="55" cm="1">
        <f t="array" ref="E200">(VLOOKUP($A200,'The List'!$B1:$AH671,17,FALSE)-AVERAGE('The List'!R2:R671))/STDEV('The List'!R2:R671)</f>
        <v>2.1330044292283343</v>
      </c>
      <c r="F200" s="55" cm="1">
        <f t="array" ref="F200">(VLOOKUP($A200,'The List'!$B1:$AH671,18,FALSE)-AVERAGE('The List'!S2:S671))/STDEV('The List'!S2:S671)</f>
        <v>-8.4724645903045695E-2</v>
      </c>
      <c r="G200" s="55" cm="1">
        <f t="array" ref="G200">(VLOOKUP($A200,'The List'!$B1:$AH671,19,FALSE)-AVERAGE('The List'!T2:T671))/STDEV('The List'!T2:T671)</f>
        <v>0.57635988770062374</v>
      </c>
      <c r="H200" s="55" cm="1">
        <f t="array" ref="H200">(VLOOKUP($A200,'The List'!$B1:$AH671,20,FALSE)-AVERAGE('The List'!U2:U671))/STDEV('The List'!U2:U671)</f>
        <v>0.32493684483547691</v>
      </c>
      <c r="I200" s="55" cm="1">
        <f t="array" ref="I200">(VLOOKUP($A200,'The List'!$B1:$AH671,21,FALSE)-AVERAGE('The List'!V2:V671))/STDEV('The List'!V2:V671)</f>
        <v>0.59701098863652924</v>
      </c>
      <c r="J200" s="55" cm="1">
        <f t="array" ref="J200">(VLOOKUP($A200,'The List'!$B1:$AH671,22,FALSE)-AVERAGE('The List'!W2:W671))/STDEV('The List'!W2:W671)</f>
        <v>-0.4313427236132229</v>
      </c>
      <c r="K200" s="55" cm="1">
        <f t="array" ref="K200">(VLOOKUP($A200,'The List'!$B1:$AH671,23,FALSE)-AVERAGE('The List'!X2:X671))/STDEV('The List'!X2:X671)</f>
        <v>2.9525902648392832E-2</v>
      </c>
      <c r="L200" s="55" cm="1">
        <f t="array" ref="L200">(VLOOKUP($A200,'The List'!$B1:$AH671,24,FALSE)-AVERAGE('The List'!Y2:Y671))/STDEV('The List'!Y2:Y671)</f>
        <v>0.47323737063643811</v>
      </c>
      <c r="M200" s="55" cm="1">
        <f t="array" ref="M200">(VLOOKUP($A200,'The List'!$B1:$AH671,25,FALSE)-AVERAGE('The List'!Z2:Z671))/STDEV('The List'!Z2:Z671)</f>
        <v>0.93942223063627817</v>
      </c>
      <c r="N200" s="55" cm="1">
        <f t="array" ref="N200">(VLOOKUP($A200,'The List'!$B1:$AH671,26,FALSE)-AVERAGE('The List'!AA2:AA671))/STDEV('The List'!AA2:AA671)</f>
        <v>2.1276908431591073</v>
      </c>
      <c r="O200" s="55" cm="1">
        <f t="array" ref="O200">(VLOOKUP($A200,'The List'!$B1:$AH671,27,FALSE)-AVERAGE('The List'!AB2:AB671))/STDEV('The List'!AB2:AB671)</f>
        <v>-0.89223472449007779</v>
      </c>
      <c r="P200" s="55" cm="1">
        <f t="array" ref="P200">(VLOOKUP($A200,'The List'!$B1:$AH671,28,FALSE)-AVERAGE('The List'!AC2:AC671))/STDEV('The List'!AC2:AC671)</f>
        <v>0.56014180927612744</v>
      </c>
      <c r="Q200" s="55" cm="1">
        <f t="array" ref="Q200">(VLOOKUP($A200,'The List'!$B1:$AH671,29,FALSE)-AVERAGE('The List'!AD2:AD671))/STDEV('The List'!AD2:AD671)</f>
        <v>-4.0644732602189482E-2</v>
      </c>
      <c r="R200" s="55" cm="1">
        <f t="array" ref="R200">(VLOOKUP($A200,'The List'!$B1:$AH671,30,FALSE)-AVERAGE('The List'!AE2:AE671))/STDEV('The List'!AE2:AE671)</f>
        <v>-2.3649039045611178E-2</v>
      </c>
      <c r="S200" s="55" cm="1">
        <f t="array" ref="S200">(VLOOKUP($A200,'The List'!$B1:$AH671,31,FALSE)-AVERAGE('The List'!AF2:AF671))/STDEV('The List'!AF2:AF671)</f>
        <v>-0.5939690971349143</v>
      </c>
      <c r="T200" s="55" cm="1">
        <f t="array" ref="T200">(VLOOKUP($A200,'The List'!$B1:$AH671,32,FALSE)-AVERAGE('The List'!AG2:AG671))/STDEV('The List'!AG2:AG671)</f>
        <v>-0.64602208138248207</v>
      </c>
      <c r="U200" s="55" cm="1">
        <f t="array" ref="U200">(VLOOKUP($A200,'The List'!$B1:$AH671,33,FALSE)-AVERAGE('The List'!AH2:AH671))/STDEV('The List'!AH2:AH671)</f>
        <v>-1.2548938914719048</v>
      </c>
      <c r="V200" s="55"/>
      <c r="W200" s="78"/>
      <c r="X200" s="57"/>
      <c r="Y200" s="57"/>
      <c r="Z200" s="57"/>
      <c r="AA200" s="57"/>
      <c r="AB200" s="57"/>
      <c r="AC200" s="60"/>
      <c r="AD200" s="61"/>
      <c r="AE200" s="55"/>
    </row>
    <row r="201" spans="1:31" ht="21.25" customHeight="1" x14ac:dyDescent="0.15">
      <c r="A201" s="10" t="s">
        <v>233</v>
      </c>
      <c r="B201" s="18" t="str" cm="1">
        <f t="array" ref="B201">VLOOKUP(A201,'Player Data'!A1:B673,2,FALSE)</f>
        <v>FLA</v>
      </c>
      <c r="C201" s="52" cm="1">
        <f t="array" ref="C201">((E201)*Settings!$C$12)+(F201*Settings!$C$2)+(G201*Settings!$C$3)+(H201*Settings!$C$4)+(I201*Settings!$C$5)+(K201*Settings!$C$9)+(N201*Settings!$C$6)+(J201*Settings!$C$8)+(O201*Settings!$C$7)+(P201*Settings!$C$14)+(Q201*Settings!$C$15)+(R201*Settings!$C$16)+(S201*Settings!$C$17)+(T201*Settings!$C$18)+(U201*Settings!$C$19)+(L201*Settings!$C$10)+(Settings!$C$11*M201)</f>
        <v>3.0153634323848117</v>
      </c>
      <c r="D201" s="57" cm="1">
        <f t="array" ref="D201">IF(Settings!$E$12="YES",VLOOKUP(A201,'Player Data'!A1:E673,5,FALSE),82)</f>
        <v>74.592500000000001</v>
      </c>
      <c r="E201" s="55" cm="1">
        <f t="array" ref="E201">(VLOOKUP($A201,'The List'!$B1:$AH671,17,FALSE)-AVERAGE('The List'!R2:R671))/STDEV('The List'!R2:R671)</f>
        <v>2.0342975278891391</v>
      </c>
      <c r="F201" s="55" cm="1">
        <f t="array" ref="F201">(VLOOKUP($A201,'The List'!$B1:$AH671,18,FALSE)-AVERAGE('The List'!S2:S671))/STDEV('The List'!S2:S671)</f>
        <v>-0.52302823729105885</v>
      </c>
      <c r="G201" s="55" cm="1">
        <f t="array" ref="G201">(VLOOKUP($A201,'The List'!$B1:$AH671,19,FALSE)-AVERAGE('The List'!T2:T671))/STDEV('The List'!T2:T671)</f>
        <v>0.55750434783107528</v>
      </c>
      <c r="H201" s="55" cm="1">
        <f t="array" ref="H201">(VLOOKUP($A201,'The List'!$B1:$AH671,20,FALSE)-AVERAGE('The List'!U2:U671))/STDEV('The List'!U2:U671)</f>
        <v>0.11861104084086743</v>
      </c>
      <c r="I201" s="55" cm="1">
        <f t="array" ref="I201">(VLOOKUP($A201,'The List'!$B1:$AH671,21,FALSE)-AVERAGE('The List'!V2:V671))/STDEV('The List'!V2:V671)</f>
        <v>0.24688745148589186</v>
      </c>
      <c r="J201" s="55" cm="1">
        <f t="array" ref="J201">(VLOOKUP($A201,'The List'!$B1:$AH671,22,FALSE)-AVERAGE('The List'!W2:W671))/STDEV('The List'!W2:W671)</f>
        <v>0.53171033474269946</v>
      </c>
      <c r="K201" s="55" cm="1">
        <f t="array" ref="K201">(VLOOKUP($A201,'The List'!$B1:$AH671,23,FALSE)-AVERAGE('The List'!X2:X671))/STDEV('The List'!X2:X671)</f>
        <v>1.0659086089153094</v>
      </c>
      <c r="L201" s="55" cm="1">
        <f t="array" ref="L201">(VLOOKUP($A201,'The List'!$B1:$AH671,24,FALSE)-AVERAGE('The List'!Y2:Y671))/STDEV('The List'!Y2:Y671)</f>
        <v>-0.53961970496868372</v>
      </c>
      <c r="M201" s="55" cm="1">
        <f t="array" ref="M201">(VLOOKUP($A201,'The List'!$B1:$AH671,25,FALSE)-AVERAGE('The List'!Z2:Z671))/STDEV('The List'!Z2:Z671)</f>
        <v>-0.58289381352577518</v>
      </c>
      <c r="N201" s="55" cm="1">
        <f t="array" ref="N201">(VLOOKUP($A201,'The List'!$B1:$AH671,26,FALSE)-AVERAGE('The List'!AA2:AA671))/STDEV('The List'!AA2:AA671)</f>
        <v>1.1993569306068612</v>
      </c>
      <c r="O201" s="55" cm="1">
        <f t="array" ref="O201">(VLOOKUP($A201,'The List'!$B1:$AH671,27,FALSE)-AVERAGE('The List'!AB2:AB671))/STDEV('The List'!AB2:AB671)</f>
        <v>-7.0564507729784218E-2</v>
      </c>
      <c r="P201" s="55" cm="1">
        <f t="array" ref="P201">(VLOOKUP($A201,'The List'!$B1:$AH671,28,FALSE)-AVERAGE('The List'!AC2:AC671))/STDEV('The List'!AC2:AC671)</f>
        <v>0.47870288384231724</v>
      </c>
      <c r="Q201" s="55" cm="1">
        <f t="array" ref="Q201">(VLOOKUP($A201,'The List'!$B1:$AH671,29,FALSE)-AVERAGE('The List'!AD2:AD671))/STDEV('The List'!AD2:AD671)</f>
        <v>-9.968553005584347E-3</v>
      </c>
      <c r="R201" s="55" cm="1">
        <f t="array" ref="R201">(VLOOKUP($A201,'The List'!$B1:$AH671,30,FALSE)-AVERAGE('The List'!AE2:AE671))/STDEV('The List'!AE2:AE671)</f>
        <v>-0.45064896870264071</v>
      </c>
      <c r="S201" s="55" cm="1">
        <f t="array" ref="S201">(VLOOKUP($A201,'The List'!$B1:$AH671,31,FALSE)-AVERAGE('The List'!AF2:AF671))/STDEV('The List'!AF2:AF671)</f>
        <v>-0.5939690971349143</v>
      </c>
      <c r="T201" s="55" cm="1">
        <f t="array" ref="T201">(VLOOKUP($A201,'The List'!$B1:$AH671,32,FALSE)-AVERAGE('The List'!AG2:AG671))/STDEV('The List'!AG2:AG671)</f>
        <v>-0.64602208138248207</v>
      </c>
      <c r="U201" s="55" cm="1">
        <f t="array" ref="U201">(VLOOKUP($A201,'The List'!$B1:$AH671,33,FALSE)-AVERAGE('The List'!AH2:AH671))/STDEV('The List'!AH2:AH671)</f>
        <v>-1.2548938914719048</v>
      </c>
      <c r="V201" s="55"/>
      <c r="W201" s="57"/>
      <c r="X201" s="55"/>
      <c r="Y201" s="55"/>
      <c r="Z201" s="55"/>
      <c r="AA201" s="55"/>
      <c r="AB201" s="55"/>
      <c r="AC201" s="55"/>
      <c r="AD201" s="55"/>
      <c r="AE201" s="55"/>
    </row>
    <row r="202" spans="1:31" ht="21.25" customHeight="1" x14ac:dyDescent="0.15">
      <c r="A202" s="10" t="s">
        <v>221</v>
      </c>
      <c r="B202" s="18" t="str" cm="1">
        <f t="array" ref="B202">VLOOKUP(A202,'Player Data'!A1:B673,2,FALSE)</f>
        <v>N.J</v>
      </c>
      <c r="C202" s="52" cm="1">
        <f t="array" ref="C202">((E202)*Settings!$C$12)+(F202*Settings!$C$2)+(G202*Settings!$C$3)+(H202*Settings!$C$4)+(I202*Settings!$C$5)+(K202*Settings!$C$9)+(N202*Settings!$C$6)+(J202*Settings!$C$8)+(O202*Settings!$C$7)+(P202*Settings!$C$14)+(Q202*Settings!$C$15)+(R202*Settings!$C$16)+(S202*Settings!$C$17)+(T202*Settings!$C$18)+(U202*Settings!$C$19)+(L202*Settings!$C$10)+(Settings!$C$11*M202)</f>
        <v>3.9613660254406886</v>
      </c>
      <c r="D202" s="57" cm="1">
        <f t="array" ref="D202">IF(Settings!$E$12="YES",VLOOKUP(A202,'Player Data'!A1:E673,5,FALSE),82)</f>
        <v>74.467500000000001</v>
      </c>
      <c r="E202" s="55" cm="1">
        <f t="array" ref="E202">(VLOOKUP($A202,'The List'!$B1:$AH671,17,FALSE)-AVERAGE('The List'!R2:R671))/STDEV('The List'!R2:R671)</f>
        <v>1.5107945599685089</v>
      </c>
      <c r="F202" s="55" cm="1">
        <f t="array" ref="F202">(VLOOKUP($A202,'The List'!$B1:$AH671,18,FALSE)-AVERAGE('The List'!S2:S671))/STDEV('The List'!S2:S671)</f>
        <v>-0.42663091428019484</v>
      </c>
      <c r="G202" s="55" cm="1">
        <f t="array" ref="G202">(VLOOKUP($A202,'The List'!$B1:$AH671,19,FALSE)-AVERAGE('The List'!T2:T671))/STDEV('The List'!T2:T671)</f>
        <v>0.4749462258200351</v>
      </c>
      <c r="H202" s="55" cm="1">
        <f t="array" ref="H202">(VLOOKUP($A202,'The List'!$B1:$AH671,20,FALSE)-AVERAGE('The List'!U2:U671))/STDEV('The List'!U2:U671)</f>
        <v>0.1094518131182632</v>
      </c>
      <c r="I202" s="55" cm="1">
        <f t="array" ref="I202">(VLOOKUP($A202,'The List'!$B1:$AH671,21,FALSE)-AVERAGE('The List'!V2:V671))/STDEV('The List'!V2:V671)</f>
        <v>1.2290015645060188</v>
      </c>
      <c r="J202" s="55" cm="1">
        <f t="array" ref="J202">(VLOOKUP($A202,'The List'!$B1:$AH671,22,FALSE)-AVERAGE('The List'!W2:W671))/STDEV('The List'!W2:W671)</f>
        <v>0.42794708714134583</v>
      </c>
      <c r="K202" s="55" cm="1">
        <f t="array" ref="K202">(VLOOKUP($A202,'The List'!$B1:$AH671,23,FALSE)-AVERAGE('The List'!X2:X671))/STDEV('The List'!X2:X671)</f>
        <v>0.68263245255547378</v>
      </c>
      <c r="L202" s="55" cm="1">
        <f t="array" ref="L202">(VLOOKUP($A202,'The List'!$B1:$AH671,24,FALSE)-AVERAGE('The List'!Y2:Y671))/STDEV('The List'!Y2:Y671)</f>
        <v>-0.51749662808617281</v>
      </c>
      <c r="M202" s="55" cm="1">
        <f t="array" ref="M202">(VLOOKUP($A202,'The List'!$B1:$AH671,25,FALSE)-AVERAGE('The List'!Z2:Z671))/STDEV('The List'!Z2:Z671)</f>
        <v>-0.59735185168172078</v>
      </c>
      <c r="N202" s="55" cm="1">
        <f t="array" ref="N202">(VLOOKUP($A202,'The List'!$B1:$AH671,26,FALSE)-AVERAGE('The List'!AA2:AA671))/STDEV('The List'!AA2:AA671)</f>
        <v>0.77711065819680025</v>
      </c>
      <c r="O202" s="55" cm="1">
        <f t="array" ref="O202">(VLOOKUP($A202,'The List'!$B1:$AH671,27,FALSE)-AVERAGE('The List'!AB2:AB671))/STDEV('The List'!AB2:AB671)</f>
        <v>1.8718301875995113E-2</v>
      </c>
      <c r="P202" s="55" cm="1">
        <f t="array" ref="P202">(VLOOKUP($A202,'The List'!$B1:$AH671,28,FALSE)-AVERAGE('The List'!AC2:AC671))/STDEV('The List'!AC2:AC671)</f>
        <v>9.2990992050607596E-2</v>
      </c>
      <c r="Q202" s="55" cm="1">
        <f t="array" ref="Q202">(VLOOKUP($A202,'The List'!$B1:$AH671,29,FALSE)-AVERAGE('The List'!AD2:AD671))/STDEV('The List'!AD2:AD671)</f>
        <v>1.1313150465919477</v>
      </c>
      <c r="R202" s="55" cm="1">
        <f t="array" ref="R202">(VLOOKUP($A202,'The List'!$B1:$AH671,30,FALSE)-AVERAGE('The List'!AE2:AE671))/STDEV('The List'!AE2:AE671)</f>
        <v>-0.45087408934549117</v>
      </c>
      <c r="S202" s="55" cm="1">
        <f t="array" ref="S202">(VLOOKUP($A202,'The List'!$B1:$AH671,31,FALSE)-AVERAGE('The List'!AF2:AF671))/STDEV('The List'!AF2:AF671)</f>
        <v>-0.5939690971349143</v>
      </c>
      <c r="T202" s="55" cm="1">
        <f t="array" ref="T202">(VLOOKUP($A202,'The List'!$B1:$AH671,32,FALSE)-AVERAGE('The List'!AG2:AG671))/STDEV('The List'!AG2:AG671)</f>
        <v>-0.64602208138248207</v>
      </c>
      <c r="U202" s="55" cm="1">
        <f t="array" ref="U202">(VLOOKUP($A202,'The List'!$B1:$AH671,33,FALSE)-AVERAGE('The List'!AH2:AH671))/STDEV('The List'!AH2:AH671)</f>
        <v>-1.2548938914719048</v>
      </c>
      <c r="V202" s="55"/>
      <c r="W202" s="78"/>
      <c r="X202" s="57"/>
      <c r="Y202" s="57"/>
      <c r="Z202" s="57"/>
      <c r="AA202" s="57"/>
      <c r="AB202" s="57"/>
      <c r="AC202" s="60"/>
      <c r="AD202" s="61"/>
      <c r="AE202" s="55"/>
    </row>
    <row r="203" spans="1:31" ht="21.25" customHeight="1" x14ac:dyDescent="0.15">
      <c r="A203" s="10" t="s">
        <v>268</v>
      </c>
      <c r="B203" s="18" t="str" cm="1">
        <f t="array" ref="B203">VLOOKUP(A203,'Player Data'!A1:B673,2,FALSE)</f>
        <v>VAN</v>
      </c>
      <c r="C203" s="52" cm="1">
        <f t="array" ref="C203">((E203)*Settings!$C$12)+(F203*Settings!$C$2)+(G203*Settings!$C$3)+(H203*Settings!$C$4)+(I203*Settings!$C$5)+(K203*Settings!$C$9)+(N203*Settings!$C$6)+(J203*Settings!$C$8)+(O203*Settings!$C$7)+(P203*Settings!$C$14)+(Q203*Settings!$C$15)+(R203*Settings!$C$16)+(S203*Settings!$C$17)+(T203*Settings!$C$18)+(U203*Settings!$C$19)+(L203*Settings!$C$10)+(Settings!$C$11*M203)</f>
        <v>-0.27789309216825175</v>
      </c>
      <c r="D203" s="57" cm="1">
        <f t="array" ref="D203">IF(Settings!$E$12="YES",VLOOKUP(A203,'Player Data'!A1:E673,5,FALSE),82)</f>
        <v>81.540000000000006</v>
      </c>
      <c r="E203" s="55" cm="1">
        <f t="array" ref="E203">(VLOOKUP($A203,'The List'!$B1:$AH671,17,FALSE)-AVERAGE('The List'!R2:R671))/STDEV('The List'!R2:R671)</f>
        <v>1.5670671340824613</v>
      </c>
      <c r="F203" s="55" cm="1">
        <f t="array" ref="F203">(VLOOKUP($A203,'The List'!$B1:$AH671,18,FALSE)-AVERAGE('The List'!S2:S671))/STDEV('The List'!S2:S671)</f>
        <v>-0.26147171355401311</v>
      </c>
      <c r="G203" s="55" cm="1">
        <f t="array" ref="G203">(VLOOKUP($A203,'The List'!$B1:$AH671,19,FALSE)-AVERAGE('The List'!T2:T671))/STDEV('The List'!T2:T671)</f>
        <v>0.61011390240707486</v>
      </c>
      <c r="H203" s="55" cm="1">
        <f t="array" ref="H203">(VLOOKUP($A203,'The List'!$B1:$AH671,20,FALSE)-AVERAGE('The List'!U2:U671))/STDEV('The List'!U2:U671)</f>
        <v>0.26774911284152225</v>
      </c>
      <c r="I203" s="55" cm="1">
        <f t="array" ref="I203">(VLOOKUP($A203,'The List'!$B1:$AH671,21,FALSE)-AVERAGE('The List'!V2:V671))/STDEV('The List'!V2:V671)</f>
        <v>-0.30354369786427776</v>
      </c>
      <c r="J203" s="55" cm="1">
        <f t="array" ref="J203">(VLOOKUP($A203,'The List'!$B1:$AH671,22,FALSE)-AVERAGE('The List'!W2:W671))/STDEV('The List'!W2:W671)</f>
        <v>0.76660567814335168</v>
      </c>
      <c r="K203" s="55" cm="1">
        <f t="array" ref="K203">(VLOOKUP($A203,'The List'!$B1:$AH671,23,FALSE)-AVERAGE('The List'!X2:X671))/STDEV('The List'!X2:X671)</f>
        <v>1.3599078708850729</v>
      </c>
      <c r="L203" s="55" cm="1">
        <f t="array" ref="L203">(VLOOKUP($A203,'The List'!$B1:$AH671,24,FALSE)-AVERAGE('The List'!Y2:Y671))/STDEV('The List'!Y2:Y671)</f>
        <v>-0.49081893954769756</v>
      </c>
      <c r="M203" s="55" cm="1">
        <f t="array" ref="M203">(VLOOKUP($A203,'The List'!$B1:$AH671,25,FALSE)-AVERAGE('The List'!Z2:Z671))/STDEV('The List'!Z2:Z671)</f>
        <v>-0.56750080170688122</v>
      </c>
      <c r="N203" s="55" cm="1">
        <f t="array" ref="N203">(VLOOKUP($A203,'The List'!$B1:$AH671,26,FALSE)-AVERAGE('The List'!AA2:AA671))/STDEV('The List'!AA2:AA671)</f>
        <v>0.50978292481738874</v>
      </c>
      <c r="O203" s="55" cm="1">
        <f t="array" ref="O203">(VLOOKUP($A203,'The List'!$B1:$AH671,27,FALSE)-AVERAGE('The List'!AB2:AB671))/STDEV('The List'!AB2:AB671)</f>
        <v>-0.77336822228359914</v>
      </c>
      <c r="P203" s="55" cm="1">
        <f t="array" ref="P203">(VLOOKUP($A203,'The List'!$B1:$AH671,28,FALSE)-AVERAGE('The List'!AC2:AC671))/STDEV('The List'!AC2:AC671)</f>
        <v>-2.8557877020301548</v>
      </c>
      <c r="Q203" s="55" cm="1">
        <f t="array" ref="Q203">(VLOOKUP($A203,'The List'!$B1:$AH671,29,FALSE)-AVERAGE('The List'!AD2:AD671))/STDEV('The List'!AD2:AD671)</f>
        <v>0.66310532317065729</v>
      </c>
      <c r="R203" s="55" cm="1">
        <f t="array" ref="R203">(VLOOKUP($A203,'The List'!$B1:$AH671,30,FALSE)-AVERAGE('The List'!AE2:AE671))/STDEV('The List'!AE2:AE671)</f>
        <v>-0.47378149131157565</v>
      </c>
      <c r="S203" s="55" cm="1">
        <f t="array" ref="S203">(VLOOKUP($A203,'The List'!$B1:$AH671,31,FALSE)-AVERAGE('The List'!AF2:AF671))/STDEV('The List'!AF2:AF671)</f>
        <v>-0.5939690971349143</v>
      </c>
      <c r="T203" s="55" cm="1">
        <f t="array" ref="T203">(VLOOKUP($A203,'The List'!$B1:$AH671,32,FALSE)-AVERAGE('The List'!AG2:AG671))/STDEV('The List'!AG2:AG671)</f>
        <v>-0.64602208138248207</v>
      </c>
      <c r="U203" s="55" cm="1">
        <f t="array" ref="U203">(VLOOKUP($A203,'The List'!$B1:$AH671,33,FALSE)-AVERAGE('The List'!AH2:AH671))/STDEV('The List'!AH2:AH671)</f>
        <v>-1.2548938914719048</v>
      </c>
      <c r="V203" s="55"/>
      <c r="W203" s="78"/>
      <c r="X203" s="57"/>
      <c r="Y203" s="57"/>
      <c r="Z203" s="57"/>
      <c r="AA203" s="57"/>
      <c r="AB203" s="57"/>
      <c r="AC203" s="60"/>
      <c r="AD203" s="61"/>
      <c r="AE203" s="55"/>
    </row>
    <row r="204" spans="1:31" ht="21.25" customHeight="1" x14ac:dyDescent="0.15">
      <c r="A204" s="10" t="s">
        <v>406</v>
      </c>
      <c r="B204" s="18" t="str" cm="1">
        <f t="array" ref="B204">VLOOKUP(A204,'Player Data'!A1:B673,2,FALSE)</f>
        <v>NYR</v>
      </c>
      <c r="C204" s="52" cm="1">
        <f t="array" ref="C204">((E204)*Settings!$C$12)+(F204*Settings!$C$2)+(G204*Settings!$C$3)+(H204*Settings!$C$4)+(I204*Settings!$C$5)+(K204*Settings!$C$9)+(N204*Settings!$C$6)+(J204*Settings!$C$8)+(O204*Settings!$C$7)+(P204*Settings!$C$14)+(Q204*Settings!$C$15)+(R204*Settings!$C$16)+(S204*Settings!$C$17)+(T204*Settings!$C$18)+(U204*Settings!$C$19)+(L204*Settings!$C$10)+(Settings!$C$11*M204)</f>
        <v>2.9591452942435836</v>
      </c>
      <c r="D204" s="57" cm="1">
        <f t="array" ref="D204">IF(Settings!$E$12="YES",VLOOKUP(A204,'Player Data'!A1:E673,5,FALSE),82)</f>
        <v>83.93</v>
      </c>
      <c r="E204" s="55" cm="1">
        <f t="array" ref="E204">(VLOOKUP($A204,'The List'!$B1:$AH671,17,FALSE)-AVERAGE('The List'!R2:R671))/STDEV('The List'!R2:R671)</f>
        <v>-2.0576988954692989E-2</v>
      </c>
      <c r="F204" s="55" cm="1">
        <f t="array" ref="F204">(VLOOKUP($A204,'The List'!$B1:$AH671,18,FALSE)-AVERAGE('The List'!S2:S671))/STDEV('The List'!S2:S671)</f>
        <v>0.76803337234595992</v>
      </c>
      <c r="G204" s="55" cm="1">
        <f t="array" ref="G204">(VLOOKUP($A204,'The List'!$B1:$AH671,19,FALSE)-AVERAGE('The List'!T2:T671))/STDEV('The List'!T2:T671)</f>
        <v>-3.5506208255538192E-2</v>
      </c>
      <c r="H204" s="55" cm="1">
        <f t="array" ref="H204">(VLOOKUP($A204,'The List'!$B1:$AH671,20,FALSE)-AVERAGE('The List'!U2:U671))/STDEV('The List'!U2:U671)</f>
        <v>0.31842648245406802</v>
      </c>
      <c r="I204" s="55" cm="1">
        <f t="array" ref="I204">(VLOOKUP($A204,'The List'!$B1:$AH671,21,FALSE)-AVERAGE('The List'!V2:V671))/STDEV('The List'!V2:V671)</f>
        <v>0.6567243754115033</v>
      </c>
      <c r="J204" s="55" cm="1">
        <f t="array" ref="J204">(VLOOKUP($A204,'The List'!$B1:$AH671,22,FALSE)-AVERAGE('The List'!W2:W671))/STDEV('The List'!W2:W671)</f>
        <v>0.25154538600171111</v>
      </c>
      <c r="K204" s="55" cm="1">
        <f t="array" ref="K204">(VLOOKUP($A204,'The List'!$B1:$AH671,23,FALSE)-AVERAGE('The List'!X2:X671))/STDEV('The List'!X2:X671)</f>
        <v>-7.2072110783474391E-2</v>
      </c>
      <c r="L204" s="55" cm="1">
        <f t="array" ref="L204">(VLOOKUP($A204,'The List'!$B1:$AH671,24,FALSE)-AVERAGE('The List'!Y2:Y671))/STDEV('The List'!Y2:Y671)</f>
        <v>1.0045732213834275</v>
      </c>
      <c r="M204" s="55" cm="1">
        <f t="array" ref="M204">(VLOOKUP($A204,'The List'!$B1:$AH671,25,FALSE)-AVERAGE('The List'!Z2:Z671))/STDEV('The List'!Z2:Z671)</f>
        <v>0.73586891979574032</v>
      </c>
      <c r="N204" s="55" cm="1">
        <f t="array" ref="N204">(VLOOKUP($A204,'The List'!$B1:$AH671,26,FALSE)-AVERAGE('The List'!AA2:AA671))/STDEV('The List'!AA2:AA671)</f>
        <v>-2.6647616658548125E-2</v>
      </c>
      <c r="O204" s="55" cm="1">
        <f t="array" ref="O204">(VLOOKUP($A204,'The List'!$B1:$AH671,27,FALSE)-AVERAGE('The List'!AB2:AB671))/STDEV('The List'!AB2:AB671)</f>
        <v>4.1242127552023788</v>
      </c>
      <c r="P204" s="55" cm="1">
        <f t="array" ref="P204">(VLOOKUP($A204,'The List'!$B1:$AH671,28,FALSE)-AVERAGE('The List'!AC2:AC671))/STDEV('The List'!AC2:AC671)</f>
        <v>-7.6586501961420875E-2</v>
      </c>
      <c r="Q204" s="55" cm="1">
        <f t="array" ref="Q204">(VLOOKUP($A204,'The List'!$B1:$AH671,29,FALSE)-AVERAGE('The List'!AD2:AD671))/STDEV('The List'!AD2:AD671)</f>
        <v>1.7451999841451016</v>
      </c>
      <c r="R204" s="55" cm="1">
        <f t="array" ref="R204">(VLOOKUP($A204,'The List'!$B1:$AH671,30,FALSE)-AVERAGE('The List'!AE2:AE671))/STDEV('The List'!AE2:AE671)</f>
        <v>0.76707884070951415</v>
      </c>
      <c r="S204" s="55" cm="1">
        <f t="array" ref="S204">(VLOOKUP($A204,'The List'!$B1:$AH671,31,FALSE)-AVERAGE('The List'!AF2:AF671))/STDEV('The List'!AF2:AF671)</f>
        <v>-0.46412287517171014</v>
      </c>
      <c r="T204" s="55" cm="1">
        <f t="array" ref="T204">(VLOOKUP($A204,'The List'!$B1:$AH671,32,FALSE)-AVERAGE('The List'!AG2:AG671))/STDEV('The List'!AG2:AG671)</f>
        <v>-0.40962799984821147</v>
      </c>
      <c r="U204" s="55" cm="1">
        <f t="array" ref="U204">(VLOOKUP($A204,'The List'!$B1:$AH671,33,FALSE)-AVERAGE('The List'!AH2:AH671))/STDEV('The List'!AH2:AH671)</f>
        <v>0.44167149527251537</v>
      </c>
      <c r="V204" s="55"/>
      <c r="W204" s="78"/>
      <c r="X204" s="57"/>
      <c r="Y204" s="57"/>
      <c r="Z204" s="57"/>
      <c r="AA204" s="57"/>
      <c r="AB204" s="57"/>
      <c r="AC204" s="60"/>
      <c r="AD204" s="61"/>
      <c r="AE204" s="55"/>
    </row>
    <row r="205" spans="1:31" ht="21.25" customHeight="1" x14ac:dyDescent="0.15">
      <c r="A205" s="10" t="s">
        <v>428</v>
      </c>
      <c r="B205" s="18" t="str" cm="1">
        <f t="array" ref="B205">VLOOKUP(A205,'Player Data'!A1:B673,2,FALSE)</f>
        <v>BOS</v>
      </c>
      <c r="C205" s="52" cm="1">
        <f t="array" ref="C205">((E205)*Settings!$C$12)+(F205*Settings!$C$2)+(G205*Settings!$C$3)+(H205*Settings!$C$4)+(I205*Settings!$C$5)+(K205*Settings!$C$9)+(N205*Settings!$C$6)+(J205*Settings!$C$8)+(O205*Settings!$C$7)+(P205*Settings!$C$14)+(Q205*Settings!$C$15)+(R205*Settings!$C$16)+(S205*Settings!$C$17)+(T205*Settings!$C$18)+(U205*Settings!$C$19)+(L205*Settings!$C$10)+(Settings!$C$11*M205)</f>
        <v>-0.34598065854628046</v>
      </c>
      <c r="D205" s="57" cm="1">
        <f t="array" ref="D205">IF(Settings!$E$12="YES",VLOOKUP(A205,'Player Data'!A1:E673,5,FALSE),82)</f>
        <v>81.022499999999994</v>
      </c>
      <c r="E205" s="55" cm="1">
        <f t="array" ref="E205">(VLOOKUP($A205,'The List'!$B1:$AH671,17,FALSE)-AVERAGE('The List'!R2:R671))/STDEV('The List'!R2:R671)</f>
        <v>5.2421654669254714E-3</v>
      </c>
      <c r="F205" s="55" cm="1">
        <f t="array" ref="F205">(VLOOKUP($A205,'The List'!$B1:$AH671,18,FALSE)-AVERAGE('The List'!S2:S671))/STDEV('The List'!S2:S671)</f>
        <v>0.18758629970480056</v>
      </c>
      <c r="G205" s="55" cm="1">
        <f t="array" ref="G205">(VLOOKUP($A205,'The List'!$B1:$AH671,19,FALSE)-AVERAGE('The List'!T2:T671))/STDEV('The List'!T2:T671)</f>
        <v>0.26462391755138537</v>
      </c>
      <c r="H205" s="55" cm="1">
        <f t="array" ref="H205">(VLOOKUP($A205,'The List'!$B1:$AH671,20,FALSE)-AVERAGE('The List'!U2:U671))/STDEV('The List'!U2:U671)</f>
        <v>0.24967500793780045</v>
      </c>
      <c r="I205" s="55" cm="1">
        <f t="array" ref="I205">(VLOOKUP($A205,'The List'!$B1:$AH671,21,FALSE)-AVERAGE('The List'!V2:V671))/STDEV('The List'!V2:V671)</f>
        <v>0.10878457260769601</v>
      </c>
      <c r="J205" s="55" cm="1">
        <f t="array" ref="J205">(VLOOKUP($A205,'The List'!$B1:$AH671,22,FALSE)-AVERAGE('The List'!W2:W671))/STDEV('The List'!W2:W671)</f>
        <v>0.18494647087071678</v>
      </c>
      <c r="K205" s="55" cm="1">
        <f t="array" ref="K205">(VLOOKUP($A205,'The List'!$B1:$AH671,23,FALSE)-AVERAGE('The List'!X2:X671))/STDEV('The List'!X2:X671)</f>
        <v>0.29251485756129136</v>
      </c>
      <c r="L205" s="55" cm="1">
        <f t="array" ref="L205">(VLOOKUP($A205,'The List'!$B1:$AH671,24,FALSE)-AVERAGE('The List'!Y2:Y671))/STDEV('The List'!Y2:Y671)</f>
        <v>-4.9629662554808163E-2</v>
      </c>
      <c r="M205" s="55" cm="1">
        <f t="array" ref="M205">(VLOOKUP($A205,'The List'!$B1:$AH671,25,FALSE)-AVERAGE('The List'!Z2:Z671))/STDEV('The List'!Z2:Z671)</f>
        <v>7.2642589253482321E-3</v>
      </c>
      <c r="N205" s="55" cm="1">
        <f t="array" ref="N205">(VLOOKUP($A205,'The List'!$B1:$AH671,26,FALSE)-AVERAGE('The List'!AA2:AA671))/STDEV('The List'!AA2:AA671)</f>
        <v>7.7058425338134839E-2</v>
      </c>
      <c r="O205" s="55" cm="1">
        <f t="array" ref="O205">(VLOOKUP($A205,'The List'!$B1:$AH671,27,FALSE)-AVERAGE('The List'!AB2:AB671))/STDEV('The List'!AB2:AB671)</f>
        <v>-0.28433131921587995</v>
      </c>
      <c r="P205" s="55" cm="1">
        <f t="array" ref="P205">(VLOOKUP($A205,'The List'!$B1:$AH671,28,FALSE)-AVERAGE('The List'!AC2:AC671))/STDEV('The List'!AC2:AC671)</f>
        <v>-0.717956960994796</v>
      </c>
      <c r="Q205" s="55" cm="1">
        <f t="array" ref="Q205">(VLOOKUP($A205,'The List'!$B1:$AH671,29,FALSE)-AVERAGE('The List'!AD2:AD671))/STDEV('The List'!AD2:AD671)</f>
        <v>-0.55859177031479257</v>
      </c>
      <c r="R205" s="55" cm="1">
        <f t="array" ref="R205">(VLOOKUP($A205,'The List'!$B1:$AH671,30,FALSE)-AVERAGE('The List'!AE2:AE671))/STDEV('The List'!AE2:AE671)</f>
        <v>-2.1775151819910233E-2</v>
      </c>
      <c r="S205" s="55" cm="1">
        <f t="array" ref="S205">(VLOOKUP($A205,'The List'!$B1:$AH671,31,FALSE)-AVERAGE('The List'!AF2:AF671))/STDEV('The List'!AF2:AF671)</f>
        <v>2.822848256380678</v>
      </c>
      <c r="T205" s="55" cm="1">
        <f t="array" ref="T205">(VLOOKUP($A205,'The List'!$B1:$AH671,32,FALSE)-AVERAGE('The List'!AG2:AG671))/STDEV('The List'!AG2:AG671)</f>
        <v>2.2313800091930447</v>
      </c>
      <c r="U205" s="55" cm="1">
        <f t="array" ref="U205">(VLOOKUP($A205,'The List'!$B1:$AH671,33,FALSE)-AVERAGE('The List'!AH2:AH671))/STDEV('The List'!AH2:AH671)</f>
        <v>1.3121067940403037</v>
      </c>
      <c r="V205" s="55"/>
      <c r="W205" s="57"/>
      <c r="X205" s="55"/>
      <c r="Y205" s="55"/>
      <c r="Z205" s="55"/>
      <c r="AA205" s="55"/>
      <c r="AB205" s="55"/>
      <c r="AC205" s="55"/>
      <c r="AD205" s="55"/>
      <c r="AE205" s="55"/>
    </row>
    <row r="206" spans="1:31" ht="21.25" customHeight="1" x14ac:dyDescent="0.15">
      <c r="A206" s="10" t="s">
        <v>476</v>
      </c>
      <c r="B206" s="18" t="str" cm="1">
        <f t="array" ref="B206">VLOOKUP(A206,'Player Data'!A1:B673,2,FALSE)</f>
        <v>PHI</v>
      </c>
      <c r="C206" s="52" cm="1">
        <f t="array" ref="C206">((E206)*Settings!$C$12)+(F206*Settings!$C$2)+(G206*Settings!$C$3)+(H206*Settings!$C$4)+(I206*Settings!$C$5)+(K206*Settings!$C$9)+(N206*Settings!$C$6)+(J206*Settings!$C$8)+(O206*Settings!$C$7)+(P206*Settings!$C$14)+(Q206*Settings!$C$15)+(R206*Settings!$C$16)+(S206*Settings!$C$17)+(T206*Settings!$C$18)+(U206*Settings!$C$19)+(L206*Settings!$C$10)+(Settings!$C$11*M206)</f>
        <v>-0.76594322418183824</v>
      </c>
      <c r="D206" s="57" cm="1">
        <f t="array" ref="D206">IF(Settings!$E$12="YES",VLOOKUP(A206,'Player Data'!A1:E673,5,FALSE),82)</f>
        <v>78.474999999999994</v>
      </c>
      <c r="E206" s="55" cm="1">
        <f t="array" ref="E206">(VLOOKUP($A206,'The List'!$B1:$AH671,17,FALSE)-AVERAGE('The List'!R2:R671))/STDEV('The List'!R2:R671)</f>
        <v>0.16470207859740862</v>
      </c>
      <c r="F206" s="55" cm="1">
        <f t="array" ref="F206">(VLOOKUP($A206,'The List'!$B1:$AH671,18,FALSE)-AVERAGE('The List'!S2:S671))/STDEV('The List'!S2:S671)</f>
        <v>0.15191875284080472</v>
      </c>
      <c r="G206" s="55" cm="1">
        <f t="array" ref="G206">(VLOOKUP($A206,'The List'!$B1:$AH671,19,FALSE)-AVERAGE('The List'!T2:T671))/STDEV('The List'!T2:T671)</f>
        <v>0.19370956639948148</v>
      </c>
      <c r="H206" s="55" cm="1">
        <f t="array" ref="H206">(VLOOKUP($A206,'The List'!$B1:$AH671,20,FALSE)-AVERAGE('The List'!U2:U671))/STDEV('The List'!U2:U671)</f>
        <v>0.18924534071230797</v>
      </c>
      <c r="I206" s="55" cm="1">
        <f t="array" ref="I206">(VLOOKUP($A206,'The List'!$B1:$AH671,21,FALSE)-AVERAGE('The List'!V2:V671))/STDEV('The List'!V2:V671)</f>
        <v>0.10392525936795922</v>
      </c>
      <c r="J206" s="55" cm="1">
        <f t="array" ref="J206">(VLOOKUP($A206,'The List'!$B1:$AH671,22,FALSE)-AVERAGE('The List'!W2:W671))/STDEV('The List'!W2:W671)</f>
        <v>-6.1617213446723648E-2</v>
      </c>
      <c r="K206" s="55" cm="1">
        <f t="array" ref="K206">(VLOOKUP($A206,'The List'!$B1:$AH671,23,FALSE)-AVERAGE('The List'!X2:X671))/STDEV('The List'!X2:X671)</f>
        <v>-0.32967617583813635</v>
      </c>
      <c r="L206" s="55" cm="1">
        <f t="array" ref="L206">(VLOOKUP($A206,'The List'!$B1:$AH671,24,FALSE)-AVERAGE('The List'!Y2:Y671))/STDEV('The List'!Y2:Y671)</f>
        <v>-0.42435095124295358</v>
      </c>
      <c r="M206" s="55" cm="1">
        <f t="array" ref="M206">(VLOOKUP($A206,'The List'!$B1:$AH671,25,FALSE)-AVERAGE('The List'!Z2:Z671))/STDEV('The List'!Z2:Z671)</f>
        <v>-8.5864595958111772E-2</v>
      </c>
      <c r="N206" s="55" cm="1">
        <f t="array" ref="N206">(VLOOKUP($A206,'The List'!$B1:$AH671,26,FALSE)-AVERAGE('The List'!AA2:AA671))/STDEV('The List'!AA2:AA671)</f>
        <v>-0.22452114324457628</v>
      </c>
      <c r="O206" s="55" cm="1">
        <f t="array" ref="O206">(VLOOKUP($A206,'The List'!$B1:$AH671,27,FALSE)-AVERAGE('The List'!AB2:AB671))/STDEV('The List'!AB2:AB671)</f>
        <v>-0.8431814027847282</v>
      </c>
      <c r="P206" s="55" cm="1">
        <f t="array" ref="P206">(VLOOKUP($A206,'The List'!$B1:$AH671,28,FALSE)-AVERAGE('The List'!AC2:AC671))/STDEV('The List'!AC2:AC671)</f>
        <v>-4.9011869067303149E-2</v>
      </c>
      <c r="Q206" s="55" cm="1">
        <f t="array" ref="Q206">(VLOOKUP($A206,'The List'!$B1:$AH671,29,FALSE)-AVERAGE('The List'!AD2:AD671))/STDEV('The List'!AD2:AD671)</f>
        <v>-0.61228761464006787</v>
      </c>
      <c r="R206" s="55" cm="1">
        <f t="array" ref="R206">(VLOOKUP($A206,'The List'!$B1:$AH671,30,FALSE)-AVERAGE('The List'!AE2:AE671))/STDEV('The List'!AE2:AE671)</f>
        <v>0.17106751106317081</v>
      </c>
      <c r="S206" s="55" cm="1">
        <f t="array" ref="S206">(VLOOKUP($A206,'The List'!$B1:$AH671,31,FALSE)-AVERAGE('The List'!AF2:AF671))/STDEV('The List'!AF2:AF671)</f>
        <v>2.2487028095511796</v>
      </c>
      <c r="T206" s="55" cm="1">
        <f t="array" ref="T206">(VLOOKUP($A206,'The List'!$B1:$AH671,32,FALSE)-AVERAGE('The List'!AG2:AG671))/STDEV('The List'!AG2:AG671)</f>
        <v>1.801840952905384</v>
      </c>
      <c r="U206" s="55" cm="1">
        <f t="array" ref="U206">(VLOOKUP($A206,'The List'!$B1:$AH671,33,FALSE)-AVERAGE('The List'!AH2:AH671))/STDEV('The List'!AH2:AH671)</f>
        <v>1.2868052809989157</v>
      </c>
      <c r="V206" s="55"/>
      <c r="W206" s="78"/>
      <c r="X206" s="57"/>
      <c r="Y206" s="57"/>
      <c r="Z206" s="57"/>
      <c r="AA206" s="57"/>
      <c r="AB206" s="57"/>
      <c r="AC206" s="60"/>
      <c r="AD206" s="61"/>
      <c r="AE206" s="55"/>
    </row>
    <row r="207" spans="1:31" ht="21.25" customHeight="1" x14ac:dyDescent="0.15">
      <c r="A207" s="10" t="s">
        <v>241</v>
      </c>
      <c r="B207" s="18" t="str" cm="1">
        <f t="array" ref="B207">VLOOKUP(A207,'Player Data'!A1:B673,2,FALSE)</f>
        <v>STL</v>
      </c>
      <c r="C207" s="52" cm="1">
        <f t="array" ref="C207">((E207)*Settings!$C$12)+(F207*Settings!$C$2)+(G207*Settings!$C$3)+(H207*Settings!$C$4)+(I207*Settings!$C$5)+(K207*Settings!$C$9)+(N207*Settings!$C$6)+(J207*Settings!$C$8)+(O207*Settings!$C$7)+(P207*Settings!$C$14)+(Q207*Settings!$C$15)+(R207*Settings!$C$16)+(S207*Settings!$C$17)+(T207*Settings!$C$18)+(U207*Settings!$C$19)+(L207*Settings!$C$10)+(Settings!$C$11*M207)</f>
        <v>1.4438346196372556</v>
      </c>
      <c r="D207" s="57" cm="1">
        <f t="array" ref="D207">IF(Settings!$E$12="YES",VLOOKUP(A207,'Player Data'!A1:E673,5,FALSE),82)</f>
        <v>80.527500000000003</v>
      </c>
      <c r="E207" s="55" cm="1">
        <f t="array" ref="E207">(VLOOKUP($A207,'The List'!$B1:$AH671,17,FALSE)-AVERAGE('The List'!R2:R671))/STDEV('The List'!R2:R671)</f>
        <v>2.0730214517690371</v>
      </c>
      <c r="F207" s="55" cm="1">
        <f t="array" ref="F207">(VLOOKUP($A207,'The List'!$B1:$AH671,18,FALSE)-AVERAGE('The List'!S2:S671))/STDEV('The List'!S2:S671)</f>
        <v>-0.40958886487660789</v>
      </c>
      <c r="G207" s="55" cm="1">
        <f t="array" ref="G207">(VLOOKUP($A207,'The List'!$B1:$AH671,19,FALSE)-AVERAGE('The List'!T2:T671))/STDEV('The List'!T2:T671)</f>
        <v>0.65812569329320614</v>
      </c>
      <c r="H207" s="55" cm="1">
        <f t="array" ref="H207">(VLOOKUP($A207,'The List'!$B1:$AH671,20,FALSE)-AVERAGE('The List'!U2:U671))/STDEV('The List'!U2:U671)</f>
        <v>0.23223191788740549</v>
      </c>
      <c r="I207" s="55" cm="1">
        <f t="array" ref="I207">(VLOOKUP($A207,'The List'!$B1:$AH671,21,FALSE)-AVERAGE('The List'!V2:V671))/STDEV('The List'!V2:V671)</f>
        <v>-3.1687374578856779E-2</v>
      </c>
      <c r="J207" s="55" cm="1">
        <f t="array" ref="J207">(VLOOKUP($A207,'The List'!$B1:$AH671,22,FALSE)-AVERAGE('The List'!W2:W671))/STDEV('The List'!W2:W671)</f>
        <v>0.23027080292395652</v>
      </c>
      <c r="K207" s="55" cm="1">
        <f t="array" ref="K207">(VLOOKUP($A207,'The List'!$B1:$AH671,23,FALSE)-AVERAGE('The List'!X2:X671))/STDEV('The List'!X2:X671)</f>
        <v>0.47159020505272542</v>
      </c>
      <c r="L207" s="55" cm="1">
        <f t="array" ref="L207">(VLOOKUP($A207,'The List'!$B1:$AH671,24,FALSE)-AVERAGE('The List'!Y2:Y671))/STDEV('The List'!Y2:Y671)</f>
        <v>-0.50567421268008872</v>
      </c>
      <c r="M207" s="55" cm="1">
        <f t="array" ref="M207">(VLOOKUP($A207,'The List'!$B1:$AH671,25,FALSE)-AVERAGE('The List'!Z2:Z671))/STDEV('The List'!Z2:Z671)</f>
        <v>-0.51814226832363097</v>
      </c>
      <c r="N207" s="55" cm="1">
        <f t="array" ref="N207">(VLOOKUP($A207,'The List'!$B1:$AH671,26,FALSE)-AVERAGE('The List'!AA2:AA671))/STDEV('The List'!AA2:AA671)</f>
        <v>1.3133752435052759</v>
      </c>
      <c r="O207" s="55" cm="1">
        <f t="array" ref="O207">(VLOOKUP($A207,'The List'!$B1:$AH671,27,FALSE)-AVERAGE('The List'!AB2:AB671))/STDEV('The List'!AB2:AB671)</f>
        <v>-0.76349665890429042</v>
      </c>
      <c r="P207" s="55" cm="1">
        <f t="array" ref="P207">(VLOOKUP($A207,'The List'!$B1:$AH671,28,FALSE)-AVERAGE('The List'!AC2:AC671))/STDEV('The List'!AC2:AC671)</f>
        <v>1.686874784710506E-2</v>
      </c>
      <c r="Q207" s="55" cm="1">
        <f t="array" ref="Q207">(VLOOKUP($A207,'The List'!$B1:$AH671,29,FALSE)-AVERAGE('The List'!AD2:AD671))/STDEV('The List'!AD2:AD671)</f>
        <v>-0.57484903060559223</v>
      </c>
      <c r="R207" s="55" cm="1">
        <f t="array" ref="R207">(VLOOKUP($A207,'The List'!$B1:$AH671,30,FALSE)-AVERAGE('The List'!AE2:AE671))/STDEV('The List'!AE2:AE671)</f>
        <v>-0.4666531460732895</v>
      </c>
      <c r="S207" s="55" cm="1">
        <f t="array" ref="S207">(VLOOKUP($A207,'The List'!$B1:$AH671,31,FALSE)-AVERAGE('The List'!AF2:AF671))/STDEV('The List'!AF2:AF671)</f>
        <v>-0.5939690971349143</v>
      </c>
      <c r="T207" s="55" cm="1">
        <f t="array" ref="T207">(VLOOKUP($A207,'The List'!$B1:$AH671,32,FALSE)-AVERAGE('The List'!AG2:AG671))/STDEV('The List'!AG2:AG671)</f>
        <v>-0.64602208138248207</v>
      </c>
      <c r="U207" s="55" cm="1">
        <f t="array" ref="U207">(VLOOKUP($A207,'The List'!$B1:$AH671,33,FALSE)-AVERAGE('The List'!AH2:AH671))/STDEV('The List'!AH2:AH671)</f>
        <v>-1.2548938914719048</v>
      </c>
      <c r="V207" s="55"/>
      <c r="W207" s="57"/>
      <c r="X207" s="55"/>
      <c r="Y207" s="55"/>
      <c r="Z207" s="55"/>
      <c r="AA207" s="55"/>
      <c r="AB207" s="55"/>
      <c r="AC207" s="55"/>
      <c r="AD207" s="55"/>
      <c r="AE207" s="55"/>
    </row>
    <row r="208" spans="1:31" ht="21.25" customHeight="1" x14ac:dyDescent="0.15">
      <c r="A208" s="10" t="s">
        <v>543</v>
      </c>
      <c r="B208" s="18" t="str" cm="1">
        <f t="array" ref="B208">VLOOKUP(A208,'Player Data'!A1:B673,2,FALSE)</f>
        <v>TOR</v>
      </c>
      <c r="C208" s="52" cm="1">
        <f t="array" ref="C208">((E208)*Settings!$C$12)+(F208*Settings!$C$2)+(G208*Settings!$C$3)+(H208*Settings!$C$4)+(I208*Settings!$C$5)+(K208*Settings!$C$9)+(N208*Settings!$C$6)+(J208*Settings!$C$8)+(O208*Settings!$C$7)+(P208*Settings!$C$14)+(Q208*Settings!$C$15)+(R208*Settings!$C$16)+(S208*Settings!$C$17)+(T208*Settings!$C$18)+(U208*Settings!$C$19)+(L208*Settings!$C$10)+(Settings!$C$11*M208)</f>
        <v>6.2527104092609143E-2</v>
      </c>
      <c r="D208" s="57" cm="1">
        <f t="array" ref="D208">IF(Settings!$E$12="YES",VLOOKUP(A208,'Player Data'!A1:E673,5,FALSE),82)</f>
        <v>77.39</v>
      </c>
      <c r="E208" s="55" cm="1">
        <f t="array" ref="E208">(VLOOKUP($A208,'The List'!$B1:$AH671,17,FALSE)-AVERAGE('The List'!R2:R671))/STDEV('The List'!R2:R671)</f>
        <v>-0.26580975318096822</v>
      </c>
      <c r="F208" s="55" cm="1">
        <f t="array" ref="F208">(VLOOKUP($A208,'The List'!$B1:$AH671,18,FALSE)-AVERAGE('The List'!S2:S671))/STDEV('The List'!S2:S671)</f>
        <v>0.2528417507709475</v>
      </c>
      <c r="G208" s="55" cm="1">
        <f t="array" ref="G208">(VLOOKUP($A208,'The List'!$B1:$AH671,19,FALSE)-AVERAGE('The List'!T2:T671))/STDEV('The List'!T2:T671)</f>
        <v>6.5603341842659188E-2</v>
      </c>
      <c r="H208" s="55" cm="1">
        <f t="array" ref="H208">(VLOOKUP($A208,'The List'!$B1:$AH671,20,FALSE)-AVERAGE('The List'!U2:U671))/STDEV('The List'!U2:U671)</f>
        <v>0.153444540416837</v>
      </c>
      <c r="I208" s="55" cm="1">
        <f t="array" ref="I208">(VLOOKUP($A208,'The List'!$B1:$AH671,21,FALSE)-AVERAGE('The List'!V2:V671))/STDEV('The List'!V2:V671)</f>
        <v>-7.1782275408467378E-2</v>
      </c>
      <c r="J208" s="55" cm="1">
        <f t="array" ref="J208">(VLOOKUP($A208,'The List'!$B1:$AH671,22,FALSE)-AVERAGE('The List'!W2:W671))/STDEV('The List'!W2:W671)</f>
        <v>-1.1722431559177083E-2</v>
      </c>
      <c r="K208" s="55" cm="1">
        <f t="array" ref="K208">(VLOOKUP($A208,'The List'!$B1:$AH671,23,FALSE)-AVERAGE('The List'!X2:X671))/STDEV('The List'!X2:X671)</f>
        <v>-6.0540754733511455E-2</v>
      </c>
      <c r="L208" s="55" cm="1">
        <f t="array" ref="L208">(VLOOKUP($A208,'The List'!$B1:$AH671,24,FALSE)-AVERAGE('The List'!Y2:Y671))/STDEV('The List'!Y2:Y671)</f>
        <v>-0.29417378044510739</v>
      </c>
      <c r="M208" s="55" cm="1">
        <f t="array" ref="M208">(VLOOKUP($A208,'The List'!$B1:$AH671,25,FALSE)-AVERAGE('The List'!Z2:Z671))/STDEV('The List'!Z2:Z671)</f>
        <v>-0.44357472730741521</v>
      </c>
      <c r="N208" s="55" cm="1">
        <f t="array" ref="N208">(VLOOKUP($A208,'The List'!$B1:$AH671,26,FALSE)-AVERAGE('The List'!AA2:AA671))/STDEV('The List'!AA2:AA671)</f>
        <v>-0.59015086934593319</v>
      </c>
      <c r="O208" s="55" cm="1">
        <f t="array" ref="O208">(VLOOKUP($A208,'The List'!$B1:$AH671,27,FALSE)-AVERAGE('The List'!AB2:AB671))/STDEV('The List'!AB2:AB671)</f>
        <v>4.0420219828537787E-2</v>
      </c>
      <c r="P208" s="55" cm="1">
        <f t="array" ref="P208">(VLOOKUP($A208,'The List'!$B1:$AH671,28,FALSE)-AVERAGE('The List'!AC2:AC671))/STDEV('The List'!AC2:AC671)</f>
        <v>8.7090221182153607E-2</v>
      </c>
      <c r="Q208" s="55" cm="1">
        <f t="array" ref="Q208">(VLOOKUP($A208,'The List'!$B1:$AH671,29,FALSE)-AVERAGE('The List'!AD2:AD671))/STDEV('The List'!AD2:AD671)</f>
        <v>0.37946568978476086</v>
      </c>
      <c r="R208" s="55" cm="1">
        <f t="array" ref="R208">(VLOOKUP($A208,'The List'!$B1:$AH671,30,FALSE)-AVERAGE('The List'!AE2:AE671))/STDEV('The List'!AE2:AE671)</f>
        <v>5.2800611415096552E-2</v>
      </c>
      <c r="S208" s="55" cm="1">
        <f t="array" ref="S208">(VLOOKUP($A208,'The List'!$B1:$AH671,31,FALSE)-AVERAGE('The List'!AF2:AF671))/STDEV('The List'!AF2:AF671)</f>
        <v>-0.58196129497708993</v>
      </c>
      <c r="T208" s="55" cm="1">
        <f t="array" ref="T208">(VLOOKUP($A208,'The List'!$B1:$AH671,32,FALSE)-AVERAGE('The List'!AG2:AG671))/STDEV('The List'!AG2:AG671)</f>
        <v>-0.62044669929385987</v>
      </c>
      <c r="U208" s="55" cm="1">
        <f t="array" ref="U208">(VLOOKUP($A208,'The List'!$B1:$AH671,33,FALSE)-AVERAGE('The List'!AH2:AH671))/STDEV('The List'!AH2:AH671)</f>
        <v>0.27740870605004825</v>
      </c>
      <c r="V208" s="55"/>
      <c r="W208" s="78"/>
      <c r="X208" s="57"/>
      <c r="Y208" s="57"/>
      <c r="Z208" s="57"/>
      <c r="AA208" s="57"/>
      <c r="AB208" s="57"/>
      <c r="AC208" s="60"/>
      <c r="AD208" s="61"/>
      <c r="AE208" s="55"/>
    </row>
    <row r="209" spans="1:31" ht="21.25" customHeight="1" x14ac:dyDescent="0.15">
      <c r="A209" s="10" t="s">
        <v>419</v>
      </c>
      <c r="B209" s="18" t="str" cm="1">
        <f t="array" ref="B209">VLOOKUP(A209,'Player Data'!A1:B673,2,FALSE)</f>
        <v>CGY</v>
      </c>
      <c r="C209" s="52" cm="1">
        <f t="array" ref="C209">((E209)*Settings!$C$12)+(F209*Settings!$C$2)+(G209*Settings!$C$3)+(H209*Settings!$C$4)+(I209*Settings!$C$5)+(K209*Settings!$C$9)+(N209*Settings!$C$6)+(J209*Settings!$C$8)+(O209*Settings!$C$7)+(P209*Settings!$C$14)+(Q209*Settings!$C$15)+(R209*Settings!$C$16)+(S209*Settings!$C$17)+(T209*Settings!$C$18)+(U209*Settings!$C$19)+(L209*Settings!$C$10)+(Settings!$C$11*M209)</f>
        <v>-0.89300768323189683</v>
      </c>
      <c r="D209" s="57" cm="1">
        <f t="array" ref="D209">IF(Settings!$E$12="YES",VLOOKUP(A209,'Player Data'!A1:E673,5,FALSE),82)</f>
        <v>82.792500000000004</v>
      </c>
      <c r="E209" s="55" cm="1">
        <f t="array" ref="E209">(VLOOKUP($A209,'The List'!$B1:$AH671,17,FALSE)-AVERAGE('The List'!R2:R671))/STDEV('The List'!R2:R671)</f>
        <v>-0.24518248996887076</v>
      </c>
      <c r="F209" s="55" cm="1">
        <f t="array" ref="F209">(VLOOKUP($A209,'The List'!$B1:$AH671,18,FALSE)-AVERAGE('The List'!S2:S671))/STDEV('The List'!S2:S671)</f>
        <v>0.50579439797047054</v>
      </c>
      <c r="G209" s="55" cm="1">
        <f t="array" ref="G209">(VLOOKUP($A209,'The List'!$B1:$AH671,19,FALSE)-AVERAGE('The List'!T2:T671))/STDEV('The List'!T2:T671)</f>
        <v>8.4261884062575163E-2</v>
      </c>
      <c r="H209" s="55" cm="1">
        <f t="array" ref="H209">(VLOOKUP($A209,'The List'!$B1:$AH671,20,FALSE)-AVERAGE('The List'!U2:U671))/STDEV('The List'!U2:U671)</f>
        <v>0.27741025199129909</v>
      </c>
      <c r="I209" s="55" cm="1">
        <f t="array" ref="I209">(VLOOKUP($A209,'The List'!$B1:$AH671,21,FALSE)-AVERAGE('The List'!V2:V671))/STDEV('The List'!V2:V671)</f>
        <v>0.37877132082843834</v>
      </c>
      <c r="J209" s="55" cm="1">
        <f t="array" ref="J209">(VLOOKUP($A209,'The List'!$B1:$AH671,22,FALSE)-AVERAGE('The List'!W2:W671))/STDEV('The List'!W2:W671)</f>
        <v>0.7548710989387496</v>
      </c>
      <c r="K209" s="55" cm="1">
        <f t="array" ref="K209">(VLOOKUP($A209,'The List'!$B1:$AH671,23,FALSE)-AVERAGE('The List'!X2:X671))/STDEV('The List'!X2:X671)</f>
        <v>0.69300230486375491</v>
      </c>
      <c r="L209" s="55" cm="1">
        <f t="array" ref="L209">(VLOOKUP($A209,'The List'!$B1:$AH671,24,FALSE)-AVERAGE('The List'!Y2:Y671))/STDEV('The List'!Y2:Y671)</f>
        <v>-0.5466633704145647</v>
      </c>
      <c r="M209" s="55" cm="1">
        <f t="array" ref="M209">(VLOOKUP($A209,'The List'!$B1:$AH671,25,FALSE)-AVERAGE('The List'!Z2:Z671))/STDEV('The List'!Z2:Z671)</f>
        <v>-0.68879872319867486</v>
      </c>
      <c r="N209" s="55" cm="1">
        <f t="array" ref="N209">(VLOOKUP($A209,'The List'!$B1:$AH671,26,FALSE)-AVERAGE('The List'!AA2:AA671))/STDEV('The List'!AA2:AA671)</f>
        <v>-0.42954851025933288</v>
      </c>
      <c r="O209" s="55" cm="1">
        <f t="array" ref="O209">(VLOOKUP($A209,'The List'!$B1:$AH671,27,FALSE)-AVERAGE('The List'!AB2:AB671))/STDEV('The List'!AB2:AB671)</f>
        <v>-0.39230358866702608</v>
      </c>
      <c r="P209" s="55" cm="1">
        <f t="array" ref="P209">(VLOOKUP($A209,'The List'!$B1:$AH671,28,FALSE)-AVERAGE('The List'!AC2:AC671))/STDEV('The List'!AC2:AC671)</f>
        <v>-1.7804925645972078</v>
      </c>
      <c r="Q209" s="55" cm="1">
        <f t="array" ref="Q209">(VLOOKUP($A209,'The List'!$B1:$AH671,29,FALSE)-AVERAGE('The List'!AD2:AD671))/STDEV('The List'!AD2:AD671)</f>
        <v>-0.34479651610059514</v>
      </c>
      <c r="R209" s="55" cm="1">
        <f t="array" ref="R209">(VLOOKUP($A209,'The List'!$B1:$AH671,30,FALSE)-AVERAGE('The List'!AE2:AE671))/STDEV('The List'!AE2:AE671)</f>
        <v>0.35328454663801429</v>
      </c>
      <c r="S209" s="55" cm="1">
        <f t="array" ref="S209">(VLOOKUP($A209,'The List'!$B1:$AH671,31,FALSE)-AVERAGE('The List'!AF2:AF671))/STDEV('The List'!AF2:AF671)</f>
        <v>2.1221780314376417</v>
      </c>
      <c r="T209" s="55" cm="1">
        <f t="array" ref="T209">(VLOOKUP($A209,'The List'!$B1:$AH671,32,FALSE)-AVERAGE('The List'!AG2:AG671))/STDEV('The List'!AG2:AG671)</f>
        <v>1.9068289915760892</v>
      </c>
      <c r="U209" s="55" cm="1">
        <f t="array" ref="U209">(VLOOKUP($A209,'The List'!$B1:$AH671,33,FALSE)-AVERAGE('The List'!AH2:AH671))/STDEV('The List'!AH2:AH671)</f>
        <v>1.1869465177407963</v>
      </c>
      <c r="V209" s="55"/>
      <c r="W209" s="57"/>
      <c r="X209" s="57"/>
      <c r="Y209" s="57"/>
      <c r="Z209" s="57"/>
      <c r="AA209" s="57"/>
      <c r="AB209" s="57"/>
      <c r="AC209" s="60"/>
      <c r="AD209" s="61"/>
      <c r="AE209" s="55"/>
    </row>
    <row r="210" spans="1:31" ht="21.25" customHeight="1" x14ac:dyDescent="0.15">
      <c r="A210" s="10" t="s">
        <v>501</v>
      </c>
      <c r="B210" s="18" t="str" cm="1">
        <f t="array" ref="B210">VLOOKUP(A210,'Player Data'!A1:B673,2,FALSE)</f>
        <v>DET</v>
      </c>
      <c r="C210" s="52" cm="1">
        <f t="array" ref="C210">((E210)*Settings!$C$12)+(F210*Settings!$C$2)+(G210*Settings!$C$3)+(H210*Settings!$C$4)+(I210*Settings!$C$5)+(K210*Settings!$C$9)+(N210*Settings!$C$6)+(J210*Settings!$C$8)+(O210*Settings!$C$7)+(P210*Settings!$C$14)+(Q210*Settings!$C$15)+(R210*Settings!$C$16)+(S210*Settings!$C$17)+(T210*Settings!$C$18)+(U210*Settings!$C$19)+(L210*Settings!$C$10)+(Settings!$C$11*M210)</f>
        <v>-0.51537758583287419</v>
      </c>
      <c r="D210" s="57" cm="1">
        <f t="array" ref="D210">IF(Settings!$E$12="YES",VLOOKUP(A210,'Player Data'!A1:E673,5,FALSE),82)</f>
        <v>79.622500000000002</v>
      </c>
      <c r="E210" s="55" cm="1">
        <f t="array" ref="E210">(VLOOKUP($A210,'The List'!$B1:$AH671,17,FALSE)-AVERAGE('The List'!R2:R671))/STDEV('The List'!R2:R671)</f>
        <v>0.11451496514422772</v>
      </c>
      <c r="F210" s="55" cm="1">
        <f t="array" ref="F210">(VLOOKUP($A210,'The List'!$B1:$AH671,18,FALSE)-AVERAGE('The List'!S2:S671))/STDEV('The List'!S2:S671)</f>
        <v>-0.18558426298967245</v>
      </c>
      <c r="G210" s="55" cm="1">
        <f t="array" ref="G210">(VLOOKUP($A210,'The List'!$B1:$AH671,19,FALSE)-AVERAGE('The List'!T2:T671))/STDEV('The List'!T2:T671)</f>
        <v>0.44705331821099459</v>
      </c>
      <c r="H210" s="55" cm="1">
        <f t="array" ref="H210">(VLOOKUP($A210,'The List'!$B1:$AH671,20,FALSE)-AVERAGE('The List'!U2:U671))/STDEV('The List'!U2:U671)</f>
        <v>0.19885447707153917</v>
      </c>
      <c r="I210" s="55" cm="1">
        <f t="array" ref="I210">(VLOOKUP($A210,'The List'!$B1:$AH671,21,FALSE)-AVERAGE('The List'!V2:V671))/STDEV('The List'!V2:V671)</f>
        <v>-7.0675188322148599E-2</v>
      </c>
      <c r="J210" s="55" cm="1">
        <f t="array" ref="J210">(VLOOKUP($A210,'The List'!$B1:$AH671,22,FALSE)-AVERAGE('The List'!W2:W671))/STDEV('The List'!W2:W671)</f>
        <v>-0.22170854959796621</v>
      </c>
      <c r="K210" s="55" cm="1">
        <f t="array" ref="K210">(VLOOKUP($A210,'The List'!$B1:$AH671,23,FALSE)-AVERAGE('The List'!X2:X671))/STDEV('The List'!X2:X671)</f>
        <v>0.15377468961739155</v>
      </c>
      <c r="L210" s="55" cm="1">
        <f t="array" ref="L210">(VLOOKUP($A210,'The List'!$B1:$AH671,24,FALSE)-AVERAGE('The List'!Y2:Y671))/STDEV('The List'!Y2:Y671)</f>
        <v>0.38569417952495361</v>
      </c>
      <c r="M210" s="55" cm="1">
        <f t="array" ref="M210">(VLOOKUP($A210,'The List'!$B1:$AH671,25,FALSE)-AVERAGE('The List'!Z2:Z671))/STDEV('The List'!Z2:Z671)</f>
        <v>0.36678210356153818</v>
      </c>
      <c r="N210" s="55" cm="1">
        <f t="array" ref="N210">(VLOOKUP($A210,'The List'!$B1:$AH671,26,FALSE)-AVERAGE('The List'!AA2:AA671))/STDEV('The List'!AA2:AA671)</f>
        <v>-8.3437113565057633E-2</v>
      </c>
      <c r="O210" s="55" cm="1">
        <f t="array" ref="O210">(VLOOKUP($A210,'The List'!$B1:$AH671,27,FALSE)-AVERAGE('The List'!AB2:AB671))/STDEV('The List'!AB2:AB671)</f>
        <v>-0.84146937134374644</v>
      </c>
      <c r="P210" s="55" cm="1">
        <f t="array" ref="P210">(VLOOKUP($A210,'The List'!$B1:$AH671,28,FALSE)-AVERAGE('The List'!AC2:AC671))/STDEV('The List'!AC2:AC671)</f>
        <v>-0.29069686307155496</v>
      </c>
      <c r="Q210" s="55" cm="1">
        <f t="array" ref="Q210">(VLOOKUP($A210,'The List'!$B1:$AH671,29,FALSE)-AVERAGE('The List'!AD2:AD671))/STDEV('The List'!AD2:AD671)</f>
        <v>-0.48581216571282676</v>
      </c>
      <c r="R210" s="55" cm="1">
        <f t="array" ref="R210">(VLOOKUP($A210,'The List'!$B1:$AH671,30,FALSE)-AVERAGE('The List'!AE2:AE671))/STDEV('The List'!AE2:AE671)</f>
        <v>-0.1720741056775163</v>
      </c>
      <c r="S210" s="55" cm="1">
        <f t="array" ref="S210">(VLOOKUP($A210,'The List'!$B1:$AH671,31,FALSE)-AVERAGE('The List'!AF2:AF671))/STDEV('The List'!AF2:AF671)</f>
        <v>2.0407056657168696</v>
      </c>
      <c r="T210" s="55" cm="1">
        <f t="array" ref="T210">(VLOOKUP($A210,'The List'!$B1:$AH671,32,FALSE)-AVERAGE('The List'!AG2:AG671))/STDEV('The List'!AG2:AG671)</f>
        <v>1.8504214926905127</v>
      </c>
      <c r="U210" s="55" cm="1">
        <f t="array" ref="U210">(VLOOKUP($A210,'The List'!$B1:$AH671,33,FALSE)-AVERAGE('The List'!AH2:AH671))/STDEV('The List'!AH2:AH671)</f>
        <v>1.1776591376339061</v>
      </c>
      <c r="V210" s="55"/>
      <c r="W210" s="78"/>
      <c r="X210" s="57"/>
      <c r="Y210" s="57"/>
      <c r="Z210" s="57"/>
      <c r="AA210" s="57"/>
      <c r="AB210" s="57"/>
      <c r="AC210" s="60"/>
      <c r="AD210" s="61"/>
      <c r="AE210" s="55"/>
    </row>
    <row r="211" spans="1:31" ht="21.25" customHeight="1" x14ac:dyDescent="0.15">
      <c r="A211" s="10" t="s">
        <v>573</v>
      </c>
      <c r="B211" s="18" t="str" cm="1">
        <f t="array" ref="B211">VLOOKUP(A211,'Player Data'!A1:B673,2,FALSE)</f>
        <v>BOS</v>
      </c>
      <c r="C211" s="52" cm="1">
        <f t="array" ref="C211">((E211)*Settings!$C$12)+(F211*Settings!$C$2)+(G211*Settings!$C$3)+(H211*Settings!$C$4)+(I211*Settings!$C$5)+(K211*Settings!$C$9)+(N211*Settings!$C$6)+(J211*Settings!$C$8)+(O211*Settings!$C$7)+(P211*Settings!$C$14)+(Q211*Settings!$C$15)+(R211*Settings!$C$16)+(S211*Settings!$C$17)+(T211*Settings!$C$18)+(U211*Settings!$C$19)+(L211*Settings!$C$10)+(Settings!$C$11*M211)</f>
        <v>-2.162565311112139</v>
      </c>
      <c r="D211" s="57" cm="1">
        <f t="array" ref="D211">IF(Settings!$E$12="YES",VLOOKUP(A211,'Player Data'!A1:E673,5,FALSE),82)</f>
        <v>81.739999999999995</v>
      </c>
      <c r="E211" s="55" cm="1">
        <f t="array" ref="E211">(VLOOKUP($A211,'The List'!$B1:$AH671,17,FALSE)-AVERAGE('The List'!R2:R671))/STDEV('The List'!R2:R671)</f>
        <v>-0.4572152761647002</v>
      </c>
      <c r="F211" s="55" cm="1">
        <f t="array" ref="F211">(VLOOKUP($A211,'The List'!$B1:$AH671,18,FALSE)-AVERAGE('The List'!S2:S671))/STDEV('The List'!S2:S671)</f>
        <v>0.16289275788451876</v>
      </c>
      <c r="G211" s="55" cm="1">
        <f t="array" ref="G211">(VLOOKUP($A211,'The List'!$B1:$AH671,19,FALSE)-AVERAGE('The List'!T2:T671))/STDEV('The List'!T2:T671)</f>
        <v>0.26225792409968141</v>
      </c>
      <c r="H211" s="55" cm="1">
        <f t="array" ref="H211">(VLOOKUP($A211,'The List'!$B1:$AH671,20,FALSE)-AVERAGE('The List'!U2:U671))/STDEV('The List'!U2:U671)</f>
        <v>0.23723082320584932</v>
      </c>
      <c r="I211" s="55" cm="1">
        <f t="array" ref="I211">(VLOOKUP($A211,'The List'!$B1:$AH671,21,FALSE)-AVERAGE('The List'!V2:V671))/STDEV('The List'!V2:V671)</f>
        <v>-0.48292807148826783</v>
      </c>
      <c r="J211" s="55" cm="1">
        <f t="array" ref="J211">(VLOOKUP($A211,'The List'!$B1:$AH671,22,FALSE)-AVERAGE('The List'!W2:W671))/STDEV('The List'!W2:W671)</f>
        <v>-0.12640450012499874</v>
      </c>
      <c r="K211" s="55" cm="1">
        <f t="array" ref="K211">(VLOOKUP($A211,'The List'!$B1:$AH671,23,FALSE)-AVERAGE('The List'!X2:X671))/STDEV('The List'!X2:X671)</f>
        <v>-2.0528844954305285E-2</v>
      </c>
      <c r="L211" s="55" cm="1">
        <f t="array" ref="L211">(VLOOKUP($A211,'The List'!$B1:$AH671,24,FALSE)-AVERAGE('The List'!Y2:Y671))/STDEV('The List'!Y2:Y671)</f>
        <v>-0.55294214265079866</v>
      </c>
      <c r="M211" s="55" cm="1">
        <f t="array" ref="M211">(VLOOKUP($A211,'The List'!$B1:$AH671,25,FALSE)-AVERAGE('The List'!Z2:Z671))/STDEV('The List'!Z2:Z671)</f>
        <v>-0.69493357783133269</v>
      </c>
      <c r="N211" s="55" cm="1">
        <f t="array" ref="N211">(VLOOKUP($A211,'The List'!$B1:$AH671,26,FALSE)-AVERAGE('The List'!AA2:AA671))/STDEV('The List'!AA2:AA671)</f>
        <v>-0.9000160027981351</v>
      </c>
      <c r="O211" s="55" cm="1">
        <f t="array" ref="O211">(VLOOKUP($A211,'The List'!$B1:$AH671,27,FALSE)-AVERAGE('The List'!AB2:AB671))/STDEV('The List'!AB2:AB671)</f>
        <v>-1.0732510220912375</v>
      </c>
      <c r="P211" s="55" cm="1">
        <f t="array" ref="P211">(VLOOKUP($A211,'The List'!$B1:$AH671,28,FALSE)-AVERAGE('The List'!AC2:AC671))/STDEV('The List'!AC2:AC671)</f>
        <v>-0.46440583624640713</v>
      </c>
      <c r="Q211" s="55" cm="1">
        <f t="array" ref="Q211">(VLOOKUP($A211,'The List'!$B1:$AH671,29,FALSE)-AVERAGE('The List'!AD2:AD671))/STDEV('The List'!AD2:AD671)</f>
        <v>-0.71983723760922358</v>
      </c>
      <c r="R211" s="55" cm="1">
        <f t="array" ref="R211">(VLOOKUP($A211,'The List'!$B1:$AH671,30,FALSE)-AVERAGE('The List'!AE2:AE671))/STDEV('The List'!AE2:AE671)</f>
        <v>-4.2548920030311285E-2</v>
      </c>
      <c r="S211" s="55" cm="1">
        <f t="array" ref="S211">(VLOOKUP($A211,'The List'!$B1:$AH671,31,FALSE)-AVERAGE('The List'!AF2:AF671))/STDEV('The List'!AF2:AF671)</f>
        <v>0.44351153854991582</v>
      </c>
      <c r="T211" s="55" cm="1">
        <f t="array" ref="T211">(VLOOKUP($A211,'The List'!$B1:$AH671,32,FALSE)-AVERAGE('The List'!AG2:AG671))/STDEV('The List'!AG2:AG671)</f>
        <v>0.6096364757972802</v>
      </c>
      <c r="U211" s="55" cm="1">
        <f t="array" ref="U211">(VLOOKUP($A211,'The List'!$B1:$AH671,33,FALSE)-AVERAGE('The List'!AH2:AH671))/STDEV('The List'!AH2:AH671)</f>
        <v>0.89672994889546076</v>
      </c>
      <c r="V211" s="55"/>
      <c r="W211" s="57"/>
      <c r="X211" s="55"/>
      <c r="Y211" s="55"/>
      <c r="Z211" s="55"/>
      <c r="AA211" s="55"/>
      <c r="AB211" s="55"/>
      <c r="AC211" s="55"/>
      <c r="AD211" s="55"/>
      <c r="AE211" s="55"/>
    </row>
    <row r="212" spans="1:31" ht="21.25" customHeight="1" x14ac:dyDescent="0.15">
      <c r="A212" s="10" t="s">
        <v>250</v>
      </c>
      <c r="B212" s="18" t="str" cm="1">
        <f t="array" ref="B212">VLOOKUP(A212,'Player Data'!A1:B673,2,FALSE)</f>
        <v>S.J</v>
      </c>
      <c r="C212" s="52" cm="1">
        <f t="array" ref="C212">((E212)*Settings!$C$12)+(F212*Settings!$C$2)+(G212*Settings!$C$3)+(H212*Settings!$C$4)+(I212*Settings!$C$5)+(K212*Settings!$C$9)+(N212*Settings!$C$6)+(J212*Settings!$C$8)+(O212*Settings!$C$7)+(P212*Settings!$C$14)+(Q212*Settings!$C$15)+(R212*Settings!$C$16)+(S212*Settings!$C$17)+(T212*Settings!$C$18)+(U212*Settings!$C$19)+(L212*Settings!$C$10)+(Settings!$C$11*M212)</f>
        <v>1.764273018664209</v>
      </c>
      <c r="D212" s="57" cm="1">
        <f t="array" ref="D212">IF(Settings!$E$12="YES",VLOOKUP(A212,'Player Data'!A1:E673,5,FALSE),82)</f>
        <v>83.204999999999998</v>
      </c>
      <c r="E212" s="55" cm="1">
        <f t="array" ref="E212">(VLOOKUP($A212,'The List'!$B1:$AH671,17,FALSE)-AVERAGE('The List'!R2:R671))/STDEV('The List'!R2:R671)</f>
        <v>1.5295512164495144</v>
      </c>
      <c r="F212" s="55" cm="1">
        <f t="array" ref="F212">(VLOOKUP($A212,'The List'!$B1:$AH671,18,FALSE)-AVERAGE('The List'!S2:S671))/STDEV('The List'!S2:S671)</f>
        <v>-0.80010868623710374</v>
      </c>
      <c r="G212" s="55" cm="1">
        <f t="array" ref="G212">(VLOOKUP($A212,'The List'!$B1:$AH671,19,FALSE)-AVERAGE('The List'!T2:T671))/STDEV('The List'!T2:T671)</f>
        <v>0.99545398995824641</v>
      </c>
      <c r="H212" s="55" cm="1">
        <f t="array" ref="H212">(VLOOKUP($A212,'The List'!$B1:$AH671,20,FALSE)-AVERAGE('The List'!U2:U671))/STDEV('The List'!U2:U671)</f>
        <v>0.27114448634416316</v>
      </c>
      <c r="I212" s="55" cm="1">
        <f t="array" ref="I212">(VLOOKUP($A212,'The List'!$B1:$AH671,21,FALSE)-AVERAGE('The List'!V2:V671))/STDEV('The List'!V2:V671)</f>
        <v>-0.14878674173765374</v>
      </c>
      <c r="J212" s="55" cm="1">
        <f t="array" ref="J212">(VLOOKUP($A212,'The List'!$B1:$AH671,22,FALSE)-AVERAGE('The List'!W2:W671))/STDEV('The List'!W2:W671)</f>
        <v>-0.43011490454819629</v>
      </c>
      <c r="K212" s="55" cm="1">
        <f t="array" ref="K212">(VLOOKUP($A212,'The List'!$B1:$AH671,23,FALSE)-AVERAGE('The List'!X2:X671))/STDEV('The List'!X2:X671)</f>
        <v>1.1065093000828206</v>
      </c>
      <c r="L212" s="55" cm="1">
        <f t="array" ref="L212">(VLOOKUP($A212,'The List'!$B1:$AH671,24,FALSE)-AVERAGE('The List'!Y2:Y671))/STDEV('The List'!Y2:Y671)</f>
        <v>-0.52512068544665713</v>
      </c>
      <c r="M212" s="55" cm="1">
        <f t="array" ref="M212">(VLOOKUP($A212,'The List'!$B1:$AH671,25,FALSE)-AVERAGE('The List'!Z2:Z671))/STDEV('The List'!Z2:Z671)</f>
        <v>-0.61686116317035056</v>
      </c>
      <c r="N212" s="55" cm="1">
        <f t="array" ref="N212">(VLOOKUP($A212,'The List'!$B1:$AH671,26,FALSE)-AVERAGE('The List'!AA2:AA671))/STDEV('The List'!AA2:AA671)</f>
        <v>0.67004355338750732</v>
      </c>
      <c r="O212" s="55" cm="1">
        <f t="array" ref="O212">(VLOOKUP($A212,'The List'!$B1:$AH671,27,FALSE)-AVERAGE('The List'!AB2:AB671))/STDEV('The List'!AB2:AB671)</f>
        <v>0.69138070465009094</v>
      </c>
      <c r="P212" s="55" cm="1">
        <f t="array" ref="P212">(VLOOKUP($A212,'The List'!$B1:$AH671,28,FALSE)-AVERAGE('The List'!AC2:AC671))/STDEV('The List'!AC2:AC671)</f>
        <v>-0.84279526186502163</v>
      </c>
      <c r="Q212" s="55" cm="1">
        <f t="array" ref="Q212">(VLOOKUP($A212,'The List'!$B1:$AH671,29,FALSE)-AVERAGE('The List'!AD2:AD671))/STDEV('The List'!AD2:AD671)</f>
        <v>0.78395686507541373</v>
      </c>
      <c r="R212" s="55" cm="1">
        <f t="array" ref="R212">(VLOOKUP($A212,'The List'!$B1:$AH671,30,FALSE)-AVERAGE('The List'!AE2:AE671))/STDEV('The List'!AE2:AE671)</f>
        <v>-0.8341011622824448</v>
      </c>
      <c r="S212" s="55" cm="1">
        <f t="array" ref="S212">(VLOOKUP($A212,'The List'!$B1:$AH671,31,FALSE)-AVERAGE('The List'!AF2:AF671))/STDEV('The List'!AF2:AF671)</f>
        <v>-0.5939690971349143</v>
      </c>
      <c r="T212" s="55" cm="1">
        <f t="array" ref="T212">(VLOOKUP($A212,'The List'!$B1:$AH671,32,FALSE)-AVERAGE('The List'!AG2:AG671))/STDEV('The List'!AG2:AG671)</f>
        <v>-0.64602208138248207</v>
      </c>
      <c r="U212" s="55" cm="1">
        <f t="array" ref="U212">(VLOOKUP($A212,'The List'!$B1:$AH671,33,FALSE)-AVERAGE('The List'!AH2:AH671))/STDEV('The List'!AH2:AH671)</f>
        <v>-1.2548938914719048</v>
      </c>
      <c r="V212" s="55"/>
      <c r="W212" s="78"/>
      <c r="X212" s="57"/>
      <c r="Y212" s="57"/>
      <c r="Z212" s="57"/>
      <c r="AA212" s="57"/>
      <c r="AB212" s="57"/>
      <c r="AC212" s="60"/>
      <c r="AD212" s="61"/>
      <c r="AE212" s="55"/>
    </row>
    <row r="213" spans="1:31" ht="21.25" customHeight="1" x14ac:dyDescent="0.15">
      <c r="A213" s="10" t="s">
        <v>548</v>
      </c>
      <c r="B213" s="18" t="str" cm="1">
        <f t="array" ref="B213">VLOOKUP(A213,'Player Data'!A1:B673,2,FALSE)</f>
        <v>BUF</v>
      </c>
      <c r="C213" s="52" cm="1">
        <f t="array" ref="C213">((E213)*Settings!$C$12)+(F213*Settings!$C$2)+(G213*Settings!$C$3)+(H213*Settings!$C$4)+(I213*Settings!$C$5)+(K213*Settings!$C$9)+(N213*Settings!$C$6)+(J213*Settings!$C$8)+(O213*Settings!$C$7)+(P213*Settings!$C$14)+(Q213*Settings!$C$15)+(R213*Settings!$C$16)+(S213*Settings!$C$17)+(T213*Settings!$C$18)+(U213*Settings!$C$19)+(L213*Settings!$C$10)+(Settings!$C$11*M213)</f>
        <v>-1.4802564960407332</v>
      </c>
      <c r="D213" s="57" cm="1">
        <f t="array" ref="D213">IF(Settings!$E$12="YES",VLOOKUP(A213,'Player Data'!A1:E673,5,FALSE),82)</f>
        <v>66.655000000000001</v>
      </c>
      <c r="E213" s="55" cm="1">
        <f t="array" ref="E213">(VLOOKUP($A213,'The List'!$B1:$AH671,17,FALSE)-AVERAGE('The List'!R2:R671))/STDEV('The List'!R2:R671)</f>
        <v>-0.17089183715740025</v>
      </c>
      <c r="F213" s="55" cm="1">
        <f t="array" ref="F213">(VLOOKUP($A213,'The List'!$B1:$AH671,18,FALSE)-AVERAGE('The List'!S2:S671))/STDEV('The List'!S2:S671)</f>
        <v>0.46677742658451471</v>
      </c>
      <c r="G213" s="55" cm="1">
        <f t="array" ref="G213">(VLOOKUP($A213,'The List'!$B1:$AH671,19,FALSE)-AVERAGE('The List'!T2:T671))/STDEV('The List'!T2:T671)</f>
        <v>-0.52231255154061718</v>
      </c>
      <c r="H213" s="55" cm="1">
        <f t="array" ref="H213">(VLOOKUP($A213,'The List'!$B1:$AH671,20,FALSE)-AVERAGE('The List'!U2:U671))/STDEV('The List'!U2:U671)</f>
        <v>-0.12143284779467858</v>
      </c>
      <c r="I213" s="55" cm="1">
        <f t="array" ref="I213">(VLOOKUP($A213,'The List'!$B1:$AH671,21,FALSE)-AVERAGE('The List'!V2:V671))/STDEV('The List'!V2:V671)</f>
        <v>0.18030078335927491</v>
      </c>
      <c r="J213" s="55" cm="1">
        <f t="array" ref="J213">(VLOOKUP($A213,'The List'!$B1:$AH671,22,FALSE)-AVERAGE('The List'!W2:W671))/STDEV('The List'!W2:W671)</f>
        <v>-0.46224915073121536</v>
      </c>
      <c r="K213" s="55" cm="1">
        <f t="array" ref="K213">(VLOOKUP($A213,'The List'!$B1:$AH671,23,FALSE)-AVERAGE('The List'!X2:X671))/STDEV('The List'!X2:X671)</f>
        <v>-0.54618976297703969</v>
      </c>
      <c r="L213" s="55" cm="1">
        <f t="array" ref="L213">(VLOOKUP($A213,'The List'!$B1:$AH671,24,FALSE)-AVERAGE('The List'!Y2:Y671))/STDEV('The List'!Y2:Y671)</f>
        <v>-0.55411607509100536</v>
      </c>
      <c r="M213" s="55" cm="1">
        <f t="array" ref="M213">(VLOOKUP($A213,'The List'!$B1:$AH671,25,FALSE)-AVERAGE('The List'!Z2:Z671))/STDEV('The List'!Z2:Z671)</f>
        <v>-0.69610758314156129</v>
      </c>
      <c r="N213" s="55" cm="1">
        <f t="array" ref="N213">(VLOOKUP($A213,'The List'!$B1:$AH671,26,FALSE)-AVERAGE('The List'!AA2:AA671))/STDEV('The List'!AA2:AA671)</f>
        <v>-0.48314541833254465</v>
      </c>
      <c r="O213" s="55" cm="1">
        <f t="array" ref="O213">(VLOOKUP($A213,'The List'!$B1:$AH671,27,FALSE)-AVERAGE('The List'!AB2:AB671))/STDEV('The List'!AB2:AB671)</f>
        <v>-0.69612312677259658</v>
      </c>
      <c r="P213" s="55" cm="1">
        <f t="array" ref="P213">(VLOOKUP($A213,'The List'!$B1:$AH671,28,FALSE)-AVERAGE('The List'!AC2:AC671))/STDEV('The List'!AC2:AC671)</f>
        <v>5.0442892806108738E-2</v>
      </c>
      <c r="Q213" s="55" cm="1">
        <f t="array" ref="Q213">(VLOOKUP($A213,'The List'!$B1:$AH671,29,FALSE)-AVERAGE('The List'!AD2:AD671))/STDEV('The List'!AD2:AD671)</f>
        <v>-0.62612986594042996</v>
      </c>
      <c r="R213" s="55" cm="1">
        <f t="array" ref="R213">(VLOOKUP($A213,'The List'!$B1:$AH671,30,FALSE)-AVERAGE('The List'!AE2:AE671))/STDEV('The List'!AE2:AE671)</f>
        <v>0.39857127055872299</v>
      </c>
      <c r="S213" s="55" cm="1">
        <f t="array" ref="S213">(VLOOKUP($A213,'The List'!$B1:$AH671,31,FALSE)-AVERAGE('The List'!AF2:AF671))/STDEV('The List'!AF2:AF671)</f>
        <v>1.0361551716352138</v>
      </c>
      <c r="T213" s="55" cm="1">
        <f t="array" ref="T213">(VLOOKUP($A213,'The List'!$B1:$AH671,32,FALSE)-AVERAGE('The List'!AG2:AG671))/STDEV('The List'!AG2:AG671)</f>
        <v>1.5336775268461871</v>
      </c>
      <c r="U213" s="55" cm="1">
        <f t="array" ref="U213">(VLOOKUP($A213,'The List'!$B1:$AH671,33,FALSE)-AVERAGE('The List'!AH2:AH671))/STDEV('The List'!AH2:AH671)</f>
        <v>0.78311429871418936</v>
      </c>
      <c r="V213" s="55"/>
      <c r="W213" s="57"/>
      <c r="X213" s="55"/>
      <c r="Y213" s="55"/>
      <c r="Z213" s="55"/>
      <c r="AA213" s="55"/>
      <c r="AB213" s="55"/>
      <c r="AC213" s="55"/>
      <c r="AD213" s="55"/>
      <c r="AE213" s="55"/>
    </row>
    <row r="214" spans="1:31" ht="21.25" customHeight="1" x14ac:dyDescent="0.15">
      <c r="A214" s="10" t="s">
        <v>531</v>
      </c>
      <c r="B214" s="18" t="str" cm="1">
        <f t="array" ref="B214">VLOOKUP(A214,'Player Data'!A1:B673,2,FALSE)</f>
        <v>STL</v>
      </c>
      <c r="C214" s="52" cm="1">
        <f t="array" ref="C214">((E214)*Settings!$C$12)+(F214*Settings!$C$2)+(G214*Settings!$C$3)+(H214*Settings!$C$4)+(I214*Settings!$C$5)+(K214*Settings!$C$9)+(N214*Settings!$C$6)+(J214*Settings!$C$8)+(O214*Settings!$C$7)+(P214*Settings!$C$14)+(Q214*Settings!$C$15)+(R214*Settings!$C$16)+(S214*Settings!$C$17)+(T214*Settings!$C$18)+(U214*Settings!$C$19)+(L214*Settings!$C$10)+(Settings!$C$11*M214)</f>
        <v>-1.1786185719809605E-2</v>
      </c>
      <c r="D214" s="57" cm="1">
        <f t="array" ref="D214">IF(Settings!$E$12="YES",VLOOKUP(A214,'Player Data'!A1:E673,5,FALSE),82)</f>
        <v>81.222499999999997</v>
      </c>
      <c r="E214" s="55" cm="1">
        <f t="array" ref="E214">(VLOOKUP($A214,'The List'!$B1:$AH671,17,FALSE)-AVERAGE('The List'!R2:R671))/STDEV('The List'!R2:R671)</f>
        <v>-0.60958965935086051</v>
      </c>
      <c r="F214" s="55" cm="1">
        <f t="array" ref="F214">(VLOOKUP($A214,'The List'!$B1:$AH671,18,FALSE)-AVERAGE('The List'!S2:S671))/STDEV('The List'!S2:S671)</f>
        <v>0.54254079204953176</v>
      </c>
      <c r="G214" s="55" cm="1">
        <f t="array" ref="G214">(VLOOKUP($A214,'The List'!$B1:$AH671,19,FALSE)-AVERAGE('The List'!T2:T671))/STDEV('The List'!T2:T671)</f>
        <v>-5.6059904087065751E-2</v>
      </c>
      <c r="H214" s="55" cm="1">
        <f t="array" ref="H214">(VLOOKUP($A214,'The List'!$B1:$AH671,20,FALSE)-AVERAGE('The List'!U2:U671))/STDEV('The List'!U2:U671)</f>
        <v>0.20545216359836085</v>
      </c>
      <c r="I214" s="55" cm="1">
        <f t="array" ref="I214">(VLOOKUP($A214,'The List'!$B1:$AH671,21,FALSE)-AVERAGE('The List'!V2:V671))/STDEV('The List'!V2:V671)</f>
        <v>-0.29131159675468926</v>
      </c>
      <c r="J214" s="55" cm="1">
        <f t="array" ref="J214">(VLOOKUP($A214,'The List'!$B1:$AH671,22,FALSE)-AVERAGE('The List'!W2:W671))/STDEV('The List'!W2:W671)</f>
        <v>0.15242990053013705</v>
      </c>
      <c r="K214" s="55" cm="1">
        <f t="array" ref="K214">(VLOOKUP($A214,'The List'!$B1:$AH671,23,FALSE)-AVERAGE('The List'!X2:X671))/STDEV('The List'!X2:X671)</f>
        <v>0.14796939075573967</v>
      </c>
      <c r="L214" s="55" cm="1">
        <f t="array" ref="L214">(VLOOKUP($A214,'The List'!$B1:$AH671,24,FALSE)-AVERAGE('The List'!Y2:Y671))/STDEV('The List'!Y2:Y671)</f>
        <v>-0.53705343335515054</v>
      </c>
      <c r="M214" s="55" cm="1">
        <f t="array" ref="M214">(VLOOKUP($A214,'The List'!$B1:$AH671,25,FALSE)-AVERAGE('The List'!Z2:Z671))/STDEV('The List'!Z2:Z671)</f>
        <v>-0.67943405878404672</v>
      </c>
      <c r="N214" s="55" cm="1">
        <f t="array" ref="N214">(VLOOKUP($A214,'The List'!$B1:$AH671,26,FALSE)-AVERAGE('The List'!AA2:AA671))/STDEV('The List'!AA2:AA671)</f>
        <v>-0.51914266367649253</v>
      </c>
      <c r="O214" s="55" cm="1">
        <f t="array" ref="O214">(VLOOKUP($A214,'The List'!$B1:$AH671,27,FALSE)-AVERAGE('The List'!AB2:AB671))/STDEV('The List'!AB2:AB671)</f>
        <v>1.3734864873054735</v>
      </c>
      <c r="P214" s="55" cm="1">
        <f t="array" ref="P214">(VLOOKUP($A214,'The List'!$B1:$AH671,28,FALSE)-AVERAGE('The List'!AC2:AC671))/STDEV('The List'!AC2:AC671)</f>
        <v>-0.31085339407843099</v>
      </c>
      <c r="Q214" s="55" cm="1">
        <f t="array" ref="Q214">(VLOOKUP($A214,'The List'!$B1:$AH671,29,FALSE)-AVERAGE('The List'!AD2:AD671))/STDEV('The List'!AD2:AD671)</f>
        <v>0.47507119007159748</v>
      </c>
      <c r="R214" s="55" cm="1">
        <f t="array" ref="R214">(VLOOKUP($A214,'The List'!$B1:$AH671,30,FALSE)-AVERAGE('The List'!AE2:AE671))/STDEV('The List'!AE2:AE671)</f>
        <v>0.39127569584521543</v>
      </c>
      <c r="S214" s="55" cm="1">
        <f t="array" ref="S214">(VLOOKUP($A214,'The List'!$B1:$AH671,31,FALSE)-AVERAGE('The List'!AF2:AF671))/STDEV('The List'!AF2:AF671)</f>
        <v>-0.5599113982020042</v>
      </c>
      <c r="T214" s="55" cm="1">
        <f t="array" ref="T214">(VLOOKUP($A214,'The List'!$B1:$AH671,32,FALSE)-AVERAGE('The List'!AG2:AG671))/STDEV('The List'!AG2:AG671)</f>
        <v>-0.56929787386745478</v>
      </c>
      <c r="U214" s="55" cm="1">
        <f t="array" ref="U214">(VLOOKUP($A214,'The List'!$B1:$AH671,33,FALSE)-AVERAGE('The List'!AH2:AH671))/STDEV('The List'!AH2:AH671)</f>
        <v>0.22065870386977571</v>
      </c>
      <c r="V214" s="55"/>
      <c r="W214" s="78"/>
      <c r="X214" s="57"/>
      <c r="Y214" s="57"/>
      <c r="Z214" s="57"/>
      <c r="AA214" s="57"/>
      <c r="AB214" s="57"/>
      <c r="AC214" s="60"/>
      <c r="AD214" s="61"/>
      <c r="AE214" s="55"/>
    </row>
    <row r="215" spans="1:31" ht="21.25" customHeight="1" x14ac:dyDescent="0.15">
      <c r="A215" s="10" t="s">
        <v>492</v>
      </c>
      <c r="B215" s="18" t="str" cm="1">
        <f t="array" ref="B215">VLOOKUP(A215,'Player Data'!A1:B673,2,FALSE)</f>
        <v>SEA</v>
      </c>
      <c r="C215" s="52" cm="1">
        <f t="array" ref="C215">((E215)*Settings!$C$12)+(F215*Settings!$C$2)+(G215*Settings!$C$3)+(H215*Settings!$C$4)+(I215*Settings!$C$5)+(K215*Settings!$C$9)+(N215*Settings!$C$6)+(J215*Settings!$C$8)+(O215*Settings!$C$7)+(P215*Settings!$C$14)+(Q215*Settings!$C$15)+(R215*Settings!$C$16)+(S215*Settings!$C$17)+(T215*Settings!$C$18)+(U215*Settings!$C$19)+(L215*Settings!$C$10)+(Settings!$C$11*M215)</f>
        <v>-1.7267018047371314</v>
      </c>
      <c r="D215" s="57" cm="1">
        <f t="array" ref="D215">IF(Settings!$E$12="YES",VLOOKUP(A215,'Player Data'!A1:E673,5,FALSE),82)</f>
        <v>80.997500000000002</v>
      </c>
      <c r="E215" s="55" cm="1">
        <f t="array" ref="E215">(VLOOKUP($A215,'The List'!$B1:$AH671,17,FALSE)-AVERAGE('The List'!R2:R671))/STDEV('The List'!R2:R671)</f>
        <v>-0.4722573911990699</v>
      </c>
      <c r="F215" s="55" cm="1">
        <f t="array" ref="F215">(VLOOKUP($A215,'The List'!$B1:$AH671,18,FALSE)-AVERAGE('The List'!S2:S671))/STDEV('The List'!S2:S671)</f>
        <v>0.44160095101438707</v>
      </c>
      <c r="G215" s="55" cm="1">
        <f t="array" ref="G215">(VLOOKUP($A215,'The List'!$B1:$AH671,19,FALSE)-AVERAGE('The List'!T2:T671))/STDEV('The List'!T2:T671)</f>
        <v>-1.9684929050297726E-3</v>
      </c>
      <c r="H215" s="55" cm="1">
        <f t="array" ref="H215">(VLOOKUP($A215,'The List'!$B1:$AH671,20,FALSE)-AVERAGE('The List'!U2:U671))/STDEV('The List'!U2:U671)</f>
        <v>0.19469056403198071</v>
      </c>
      <c r="I215" s="55" cm="1">
        <f t="array" ref="I215">(VLOOKUP($A215,'The List'!$B1:$AH671,21,FALSE)-AVERAGE('The List'!V2:V671))/STDEV('The List'!V2:V671)</f>
        <v>-0.1530676489031243</v>
      </c>
      <c r="J215" s="55" cm="1">
        <f t="array" ref="J215">(VLOOKUP($A215,'The List'!$B1:$AH671,22,FALSE)-AVERAGE('The List'!W2:W671))/STDEV('The List'!W2:W671)</f>
        <v>0.4418899105556236</v>
      </c>
      <c r="K215" s="55" cm="1">
        <f t="array" ref="K215">(VLOOKUP($A215,'The List'!$B1:$AH671,23,FALSE)-AVERAGE('The List'!X2:X671))/STDEV('The List'!X2:X671)</f>
        <v>0.17752116660853398</v>
      </c>
      <c r="L215" s="55" cm="1">
        <f t="array" ref="L215">(VLOOKUP($A215,'The List'!$B1:$AH671,24,FALSE)-AVERAGE('The List'!Y2:Y671))/STDEV('The List'!Y2:Y671)</f>
        <v>-0.53990674803346139</v>
      </c>
      <c r="M215" s="55" cm="1">
        <f t="array" ref="M215">(VLOOKUP($A215,'The List'!$B1:$AH671,25,FALSE)-AVERAGE('The List'!Z2:Z671))/STDEV('The List'!Z2:Z671)</f>
        <v>-0.68231384266480977</v>
      </c>
      <c r="N215" s="55" cm="1">
        <f t="array" ref="N215">(VLOOKUP($A215,'The List'!$B1:$AH671,26,FALSE)-AVERAGE('The List'!AA2:AA671))/STDEV('The List'!AA2:AA671)</f>
        <v>1.6684362889234677E-2</v>
      </c>
      <c r="O215" s="55" cm="1">
        <f t="array" ref="O215">(VLOOKUP($A215,'The List'!$B1:$AH671,27,FALSE)-AVERAGE('The List'!AB2:AB671))/STDEV('The List'!AB2:AB671)</f>
        <v>-0.44117990330595863</v>
      </c>
      <c r="P215" s="55" cm="1">
        <f t="array" ref="P215">(VLOOKUP($A215,'The List'!$B1:$AH671,28,FALSE)-AVERAGE('The List'!AC2:AC671))/STDEV('The List'!AC2:AC671)</f>
        <v>-1.2295481760393472</v>
      </c>
      <c r="Q215" s="55" cm="1">
        <f t="array" ref="Q215">(VLOOKUP($A215,'The List'!$B1:$AH671,29,FALSE)-AVERAGE('The List'!AD2:AD671))/STDEV('The List'!AD2:AD671)</f>
        <v>-0.977923967401786</v>
      </c>
      <c r="R215" s="55" cm="1">
        <f t="array" ref="R215">(VLOOKUP($A215,'The List'!$B1:$AH671,30,FALSE)-AVERAGE('The List'!AE2:AE671))/STDEV('The List'!AE2:AE671)</f>
        <v>0.22764183155165746</v>
      </c>
      <c r="S215" s="55" cm="1">
        <f t="array" ref="S215">(VLOOKUP($A215,'The List'!$B1:$AH671,31,FALSE)-AVERAGE('The List'!AF2:AF671))/STDEV('The List'!AF2:AF671)</f>
        <v>0.81559263027757978</v>
      </c>
      <c r="T215" s="55" cm="1">
        <f t="array" ref="T215">(VLOOKUP($A215,'The List'!$B1:$AH671,32,FALSE)-AVERAGE('The List'!AG2:AG671))/STDEV('The List'!AG2:AG671)</f>
        <v>1.4121599203114996</v>
      </c>
      <c r="U215" s="55" cm="1">
        <f t="array" ref="U215">(VLOOKUP($A215,'The List'!$B1:$AH671,33,FALSE)-AVERAGE('The List'!AH2:AH671))/STDEV('The List'!AH2:AH671)</f>
        <v>0.68382482561054792</v>
      </c>
      <c r="V215" s="55"/>
      <c r="W215" s="57"/>
      <c r="X215" s="55"/>
      <c r="Y215" s="55"/>
      <c r="Z215" s="55"/>
      <c r="AA215" s="55"/>
      <c r="AB215" s="55"/>
      <c r="AC215" s="55"/>
      <c r="AD215" s="55"/>
      <c r="AE215" s="55"/>
    </row>
    <row r="216" spans="1:31" ht="21.25" customHeight="1" x14ac:dyDescent="0.15">
      <c r="A216" s="10" t="s">
        <v>234</v>
      </c>
      <c r="B216" s="18" t="str" cm="1">
        <f t="array" ref="B216">VLOOKUP(A216,'Player Data'!A1:B673,2,FALSE)</f>
        <v>OTT</v>
      </c>
      <c r="C216" s="52" cm="1">
        <f t="array" ref="C216">((E216)*Settings!$C$12)+(F216*Settings!$C$2)+(G216*Settings!$C$3)+(H216*Settings!$C$4)+(I216*Settings!$C$5)+(K216*Settings!$C$9)+(N216*Settings!$C$6)+(J216*Settings!$C$8)+(O216*Settings!$C$7)+(P216*Settings!$C$14)+(Q216*Settings!$C$15)+(R216*Settings!$C$16)+(S216*Settings!$C$17)+(T216*Settings!$C$18)+(U216*Settings!$C$19)+(L216*Settings!$C$10)+(Settings!$C$11*M216)</f>
        <v>2.3249792020958839</v>
      </c>
      <c r="D216" s="57" cm="1">
        <f t="array" ref="D216">IF(Settings!$E$12="YES",VLOOKUP(A216,'Player Data'!A1:E673,5,FALSE),82)</f>
        <v>76.217500000000001</v>
      </c>
      <c r="E216" s="55" cm="1">
        <f t="array" ref="E216">(VLOOKUP($A216,'The List'!$B1:$AH671,17,FALSE)-AVERAGE('The List'!R2:R671))/STDEV('The List'!R2:R671)</f>
        <v>1.3596593404718258</v>
      </c>
      <c r="F216" s="55" cm="1">
        <f t="array" ref="F216">(VLOOKUP($A216,'The List'!$B1:$AH671,18,FALSE)-AVERAGE('The List'!S2:S671))/STDEV('The List'!S2:S671)</f>
        <v>-0.47107613173094232</v>
      </c>
      <c r="G216" s="55" cm="1">
        <f t="array" ref="G216">(VLOOKUP($A216,'The List'!$B1:$AH671,19,FALSE)-AVERAGE('The List'!T2:T671))/STDEV('The List'!T2:T671)</f>
        <v>0.46730842225916053</v>
      </c>
      <c r="H216" s="55" cm="1">
        <f t="array" ref="H216">(VLOOKUP($A216,'The List'!$B1:$AH671,20,FALSE)-AVERAGE('The List'!U2:U671))/STDEV('The List'!U2:U671)</f>
        <v>8.4928298840932517E-2</v>
      </c>
      <c r="I216" s="55" cm="1">
        <f t="array" ref="I216">(VLOOKUP($A216,'The List'!$B1:$AH671,21,FALSE)-AVERAGE('The List'!V2:V671))/STDEV('The List'!V2:V671)</f>
        <v>0.24606872924777007</v>
      </c>
      <c r="J216" s="55" cm="1">
        <f t="array" ref="J216">(VLOOKUP($A216,'The List'!$B1:$AH671,22,FALSE)-AVERAGE('The List'!W2:W671))/STDEV('The List'!W2:W671)</f>
        <v>-0.32826047079243142</v>
      </c>
      <c r="K216" s="55" cm="1">
        <f t="array" ref="K216">(VLOOKUP($A216,'The List'!$B1:$AH671,23,FALSE)-AVERAGE('The List'!X2:X671))/STDEV('The List'!X2:X671)</f>
        <v>-1.4573260402838765E-2</v>
      </c>
      <c r="L216" s="55" cm="1">
        <f t="array" ref="L216">(VLOOKUP($A216,'The List'!$B1:$AH671,24,FALSE)-AVERAGE('The List'!Y2:Y671))/STDEV('The List'!Y2:Y671)</f>
        <v>0.27225578667784822</v>
      </c>
      <c r="M216" s="55" cm="1">
        <f t="array" ref="M216">(VLOOKUP($A216,'The List'!$B1:$AH671,25,FALSE)-AVERAGE('The List'!Z2:Z671))/STDEV('The List'!Z2:Z671)</f>
        <v>0.35223124318013621</v>
      </c>
      <c r="N216" s="55" cm="1">
        <f t="array" ref="N216">(VLOOKUP($A216,'The List'!$B1:$AH671,26,FALSE)-AVERAGE('The List'!AA2:AA671))/STDEV('The List'!AA2:AA671)</f>
        <v>1.8125018432102764</v>
      </c>
      <c r="O216" s="55" cm="1">
        <f t="array" ref="O216">(VLOOKUP($A216,'The List'!$B1:$AH671,27,FALSE)-AVERAGE('The List'!AB2:AB671))/STDEV('The List'!AB2:AB671)</f>
        <v>-0.59525766241353817</v>
      </c>
      <c r="P216" s="55" cm="1">
        <f t="array" ref="P216">(VLOOKUP($A216,'The List'!$B1:$AH671,28,FALSE)-AVERAGE('The List'!AC2:AC671))/STDEV('The List'!AC2:AC671)</f>
        <v>0.44766898472592415</v>
      </c>
      <c r="Q216" s="55" cm="1">
        <f t="array" ref="Q216">(VLOOKUP($A216,'The List'!$B1:$AH671,29,FALSE)-AVERAGE('The List'!AD2:AD671))/STDEV('The List'!AD2:AD671)</f>
        <v>-0.16291938521346619</v>
      </c>
      <c r="R216" s="55" cm="1">
        <f t="array" ref="R216">(VLOOKUP($A216,'The List'!$B1:$AH671,30,FALSE)-AVERAGE('The List'!AE2:AE671))/STDEV('The List'!AE2:AE671)</f>
        <v>-0.33534385553303703</v>
      </c>
      <c r="S216" s="55" cm="1">
        <f t="array" ref="S216">(VLOOKUP($A216,'The List'!$B1:$AH671,31,FALSE)-AVERAGE('The List'!AF2:AF671))/STDEV('The List'!AF2:AF671)</f>
        <v>-0.5939690971349143</v>
      </c>
      <c r="T216" s="55" cm="1">
        <f t="array" ref="T216">(VLOOKUP($A216,'The List'!$B1:$AH671,32,FALSE)-AVERAGE('The List'!AG2:AG671))/STDEV('The List'!AG2:AG671)</f>
        <v>-0.64602208138248207</v>
      </c>
      <c r="U216" s="55" cm="1">
        <f t="array" ref="U216">(VLOOKUP($A216,'The List'!$B1:$AH671,33,FALSE)-AVERAGE('The List'!AH2:AH671))/STDEV('The List'!AH2:AH671)</f>
        <v>-1.2548938914719048</v>
      </c>
      <c r="V216" s="55"/>
      <c r="W216" s="78"/>
      <c r="X216" s="57"/>
      <c r="Y216" s="57"/>
      <c r="Z216" s="57"/>
      <c r="AA216" s="57"/>
      <c r="AB216" s="57"/>
      <c r="AC216" s="60"/>
      <c r="AD216" s="61"/>
      <c r="AE216" s="55"/>
    </row>
    <row r="217" spans="1:31" ht="21.25" customHeight="1" x14ac:dyDescent="0.15">
      <c r="A217" s="10" t="s">
        <v>415</v>
      </c>
      <c r="B217" s="18" t="str" cm="1">
        <f t="array" ref="B217">VLOOKUP(A217,'Player Data'!A1:B673,2,FALSE)</f>
        <v>L.A</v>
      </c>
      <c r="C217" s="52" cm="1">
        <f t="array" ref="C217">((E217)*Settings!$C$12)+(F217*Settings!$C$2)+(G217*Settings!$C$3)+(H217*Settings!$C$4)+(I217*Settings!$C$5)+(K217*Settings!$C$9)+(N217*Settings!$C$6)+(J217*Settings!$C$8)+(O217*Settings!$C$7)+(P217*Settings!$C$14)+(Q217*Settings!$C$15)+(R217*Settings!$C$16)+(S217*Settings!$C$17)+(T217*Settings!$C$18)+(U217*Settings!$C$19)+(L217*Settings!$C$10)+(Settings!$C$11*M217)</f>
        <v>0.71110843045026217</v>
      </c>
      <c r="D217" s="57" cm="1">
        <f t="array" ref="D217">IF(Settings!$E$12="YES",VLOOKUP(A217,'Player Data'!A1:E673,5,FALSE),82)</f>
        <v>83.242500000000007</v>
      </c>
      <c r="E217" s="55" cm="1">
        <f t="array" ref="E217">(VLOOKUP($A217,'The List'!$B1:$AH671,17,FALSE)-AVERAGE('The List'!R2:R671))/STDEV('The List'!R2:R671)</f>
        <v>-5.376257826396464E-2</v>
      </c>
      <c r="F217" s="55" cm="1">
        <f t="array" ref="F217">(VLOOKUP($A217,'The List'!$B1:$AH671,18,FALSE)-AVERAGE('The List'!S2:S671))/STDEV('The List'!S2:S671)</f>
        <v>0.60631888272735546</v>
      </c>
      <c r="G217" s="55" cm="1">
        <f t="array" ref="G217">(VLOOKUP($A217,'The List'!$B1:$AH671,19,FALSE)-AVERAGE('The List'!T2:T671))/STDEV('The List'!T2:T671)</f>
        <v>-5.8587009478880264E-2</v>
      </c>
      <c r="H217" s="55" cm="1">
        <f t="array" ref="H217">(VLOOKUP($A217,'The List'!$B1:$AH671,20,FALSE)-AVERAGE('The List'!U2:U671))/STDEV('The List'!U2:U671)</f>
        <v>0.23215957909429372</v>
      </c>
      <c r="I217" s="55" cm="1">
        <f t="array" ref="I217">(VLOOKUP($A217,'The List'!$B1:$AH671,21,FALSE)-AVERAGE('The List'!V2:V671))/STDEV('The List'!V2:V671)</f>
        <v>1.1139749150720133</v>
      </c>
      <c r="J217" s="55" cm="1">
        <f t="array" ref="J217">(VLOOKUP($A217,'The List'!$B1:$AH671,22,FALSE)-AVERAGE('The List'!W2:W671))/STDEV('The List'!W2:W671)</f>
        <v>-0.15545134869290109</v>
      </c>
      <c r="K217" s="55" cm="1">
        <f t="array" ref="K217">(VLOOKUP($A217,'The List'!$B1:$AH671,23,FALSE)-AVERAGE('The List'!X2:X671))/STDEV('The List'!X2:X671)</f>
        <v>-0.28960661079937566</v>
      </c>
      <c r="L217" s="55" cm="1">
        <f t="array" ref="L217">(VLOOKUP($A217,'The List'!$B1:$AH671,24,FALSE)-AVERAGE('The List'!Y2:Y671))/STDEV('The List'!Y2:Y671)</f>
        <v>2.3703823026936379</v>
      </c>
      <c r="M217" s="55" cm="1">
        <f t="array" ref="M217">(VLOOKUP($A217,'The List'!$B1:$AH671,25,FALSE)-AVERAGE('The List'!Z2:Z671))/STDEV('The List'!Z2:Z671)</f>
        <v>1.1748655460232789</v>
      </c>
      <c r="N217" s="55" cm="1">
        <f t="array" ref="N217">(VLOOKUP($A217,'The List'!$B1:$AH671,26,FALSE)-AVERAGE('The List'!AA2:AA671))/STDEV('The List'!AA2:AA671)</f>
        <v>-0.46584701834916975</v>
      </c>
      <c r="O217" s="55" cm="1">
        <f t="array" ref="O217">(VLOOKUP($A217,'The List'!$B1:$AH671,27,FALSE)-AVERAGE('The List'!AB2:AB671))/STDEV('The List'!AB2:AB671)</f>
        <v>2.1235488909299529</v>
      </c>
      <c r="P217" s="55" cm="1">
        <f t="array" ref="P217">(VLOOKUP($A217,'The List'!$B1:$AH671,28,FALSE)-AVERAGE('The List'!AC2:AC671))/STDEV('The List'!AC2:AC671)</f>
        <v>0.10537126139315471</v>
      </c>
      <c r="Q217" s="55" cm="1">
        <f t="array" ref="Q217">(VLOOKUP($A217,'The List'!$B1:$AH671,29,FALSE)-AVERAGE('The List'!AD2:AD671))/STDEV('The List'!AD2:AD671)</f>
        <v>-0.30051599011483571</v>
      </c>
      <c r="R217" s="55" cm="1">
        <f t="array" ref="R217">(VLOOKUP($A217,'The List'!$B1:$AH671,30,FALSE)-AVERAGE('The List'!AE2:AE671))/STDEV('The List'!AE2:AE671)</f>
        <v>0.61894680486070586</v>
      </c>
      <c r="S217" s="55" cm="1">
        <f t="array" ref="S217">(VLOOKUP($A217,'The List'!$B1:$AH671,31,FALSE)-AVERAGE('The List'!AF2:AF671))/STDEV('The List'!AF2:AF671)</f>
        <v>0.10467047740248658</v>
      </c>
      <c r="T217" s="55" cm="1">
        <f t="array" ref="T217">(VLOOKUP($A217,'The List'!$B1:$AH671,32,FALSE)-AVERAGE('The List'!AG2:AG671))/STDEV('The List'!AG2:AG671)</f>
        <v>0.34558348325852756</v>
      </c>
      <c r="U217" s="55" cm="1">
        <f t="array" ref="U217">(VLOOKUP($A217,'The List'!$B1:$AH671,33,FALSE)-AVERAGE('The List'!AH2:AH671))/STDEV('The List'!AH2:AH671)</f>
        <v>0.71568013953231335</v>
      </c>
      <c r="V217" s="55"/>
      <c r="W217" s="57"/>
      <c r="X217" s="55"/>
      <c r="Y217" s="55"/>
      <c r="Z217" s="55"/>
      <c r="AA217" s="55"/>
      <c r="AB217" s="55"/>
      <c r="AC217" s="55"/>
      <c r="AD217" s="55"/>
      <c r="AE217" s="55"/>
    </row>
    <row r="218" spans="1:31" ht="21.25" customHeight="1" x14ac:dyDescent="0.15">
      <c r="A218" s="10" t="s">
        <v>544</v>
      </c>
      <c r="B218" s="18" t="str" cm="1">
        <f t="array" ref="B218">VLOOKUP(A218,'Player Data'!A1:B673,2,FALSE)</f>
        <v>PIT</v>
      </c>
      <c r="C218" s="52" cm="1">
        <f t="array" ref="C218">((E218)*Settings!$C$12)+(F218*Settings!$C$2)+(G218*Settings!$C$3)+(H218*Settings!$C$4)+(I218*Settings!$C$5)+(K218*Settings!$C$9)+(N218*Settings!$C$6)+(J218*Settings!$C$8)+(O218*Settings!$C$7)+(P218*Settings!$C$14)+(Q218*Settings!$C$15)+(R218*Settings!$C$16)+(S218*Settings!$C$17)+(T218*Settings!$C$18)+(U218*Settings!$C$19)+(L218*Settings!$C$10)+(Settings!$C$11*M218)</f>
        <v>-1.1763862821186213</v>
      </c>
      <c r="D218" s="57" cm="1">
        <f t="array" ref="D218">IF(Settings!$E$12="YES",VLOOKUP(A218,'Player Data'!A1:E673,5,FALSE),82)</f>
        <v>79.08</v>
      </c>
      <c r="E218" s="55" cm="1">
        <f t="array" ref="E218">(VLOOKUP($A218,'The List'!$B1:$AH671,17,FALSE)-AVERAGE('The List'!R2:R671))/STDEV('The List'!R2:R671)</f>
        <v>-0.60694312656172078</v>
      </c>
      <c r="F218" s="55" cm="1">
        <f t="array" ref="F218">(VLOOKUP($A218,'The List'!$B1:$AH671,18,FALSE)-AVERAGE('The List'!S2:S671))/STDEV('The List'!S2:S671)</f>
        <v>0.33930378232629221</v>
      </c>
      <c r="G218" s="55" cm="1">
        <f t="array" ref="G218">(VLOOKUP($A218,'The List'!$B1:$AH671,19,FALSE)-AVERAGE('The List'!T2:T671))/STDEV('The List'!T2:T671)</f>
        <v>-2.5453689804337092E-2</v>
      </c>
      <c r="H218" s="55" cm="1">
        <f t="array" ref="H218">(VLOOKUP($A218,'The List'!$B1:$AH671,20,FALSE)-AVERAGE('The List'!U2:U671))/STDEV('The List'!U2:U671)</f>
        <v>0.13453147069950214</v>
      </c>
      <c r="I218" s="55" cm="1">
        <f t="array" ref="I218">(VLOOKUP($A218,'The List'!$B1:$AH671,21,FALSE)-AVERAGE('The List'!V2:V671))/STDEV('The List'!V2:V671)</f>
        <v>6.6588860656009274E-2</v>
      </c>
      <c r="J218" s="55" cm="1">
        <f t="array" ref="J218">(VLOOKUP($A218,'The List'!$B1:$AH671,22,FALSE)-AVERAGE('The List'!W2:W671))/STDEV('The List'!W2:W671)</f>
        <v>0.35000008820453971</v>
      </c>
      <c r="K218" s="55" cm="1">
        <f t="array" ref="K218">(VLOOKUP($A218,'The List'!$B1:$AH671,23,FALSE)-AVERAGE('The List'!X2:X671))/STDEV('The List'!X2:X671)</f>
        <v>-3.715130512648078E-2</v>
      </c>
      <c r="L218" s="55" cm="1">
        <f t="array" ref="L218">(VLOOKUP($A218,'The List'!$B1:$AH671,24,FALSE)-AVERAGE('The List'!Y2:Y671))/STDEV('The List'!Y2:Y671)</f>
        <v>-0.55836912360870206</v>
      </c>
      <c r="M218" s="55" cm="1">
        <f t="array" ref="M218">(VLOOKUP($A218,'The List'!$B1:$AH671,25,FALSE)-AVERAGE('The List'!Z2:Z671))/STDEV('The List'!Z2:Z671)</f>
        <v>-0.70041118423009796</v>
      </c>
      <c r="N218" s="55" cm="1">
        <f t="array" ref="N218">(VLOOKUP($A218,'The List'!$B1:$AH671,26,FALSE)-AVERAGE('The List'!AA2:AA671))/STDEV('The List'!AA2:AA671)</f>
        <v>-0.73243092485780026</v>
      </c>
      <c r="O218" s="55" cm="1">
        <f t="array" ref="O218">(VLOOKUP($A218,'The List'!$B1:$AH671,27,FALSE)-AVERAGE('The List'!AB2:AB671))/STDEV('The List'!AB2:AB671)</f>
        <v>-1.3470739404468812</v>
      </c>
      <c r="P218" s="55" cm="1">
        <f t="array" ref="P218">(VLOOKUP($A218,'The List'!$B1:$AH671,28,FALSE)-AVERAGE('The List'!AC2:AC671))/STDEV('The List'!AC2:AC671)</f>
        <v>0.20080258491612271</v>
      </c>
      <c r="Q218" s="55" cm="1">
        <f t="array" ref="Q218">(VLOOKUP($A218,'The List'!$B1:$AH671,29,FALSE)-AVERAGE('The List'!AD2:AD671))/STDEV('The List'!AD2:AD671)</f>
        <v>-0.98804559022842742</v>
      </c>
      <c r="R218" s="55" cm="1">
        <f t="array" ref="R218">(VLOOKUP($A218,'The List'!$B1:$AH671,30,FALSE)-AVERAGE('The List'!AE2:AE671))/STDEV('The List'!AE2:AE671)</f>
        <v>0.21665744340256729</v>
      </c>
      <c r="S218" s="55" cm="1">
        <f t="array" ref="S218">(VLOOKUP($A218,'The List'!$B1:$AH671,31,FALSE)-AVERAGE('The List'!AF2:AF671))/STDEV('The List'!AF2:AF671)</f>
        <v>0.40257240017623386</v>
      </c>
      <c r="T218" s="55" cm="1">
        <f t="array" ref="T218">(VLOOKUP($A218,'The List'!$B1:$AH671,32,FALSE)-AVERAGE('The List'!AG2:AG671))/STDEV('The List'!AG2:AG671)</f>
        <v>0.7804933870073133</v>
      </c>
      <c r="U218" s="55" cm="1">
        <f t="array" ref="U218">(VLOOKUP($A218,'The List'!$B1:$AH671,33,FALSE)-AVERAGE('The List'!AH2:AH671))/STDEV('The List'!AH2:AH671)</f>
        <v>0.70610645618023971</v>
      </c>
      <c r="V218" s="55"/>
      <c r="W218" s="57"/>
      <c r="X218" s="55"/>
      <c r="Y218" s="55"/>
      <c r="Z218" s="55"/>
      <c r="AA218" s="55"/>
      <c r="AB218" s="55"/>
      <c r="AC218" s="55"/>
      <c r="AD218" s="55"/>
      <c r="AE218" s="55"/>
    </row>
    <row r="219" spans="1:31" ht="21.25" customHeight="1" x14ac:dyDescent="0.15">
      <c r="A219" s="10" t="s">
        <v>585</v>
      </c>
      <c r="B219" s="18" t="str" cm="1">
        <f t="array" ref="B219">VLOOKUP(A219,'Player Data'!A1:B673,2,FALSE)</f>
        <v>DAL</v>
      </c>
      <c r="C219" s="52" cm="1">
        <f t="array" ref="C219">((E219)*Settings!$C$12)+(F219*Settings!$C$2)+(G219*Settings!$C$3)+(H219*Settings!$C$4)+(I219*Settings!$C$5)+(K219*Settings!$C$9)+(N219*Settings!$C$6)+(J219*Settings!$C$8)+(O219*Settings!$C$7)+(P219*Settings!$C$14)+(Q219*Settings!$C$15)+(R219*Settings!$C$16)+(S219*Settings!$C$17)+(T219*Settings!$C$18)+(U219*Settings!$C$19)+(L219*Settings!$C$10)+(Settings!$C$11*M219)</f>
        <v>1.6877931309121759</v>
      </c>
      <c r="D219" s="57" cm="1">
        <f t="array" ref="D219">IF(Settings!$E$12="YES",VLOOKUP(A219,'Player Data'!A1:E673,5,FALSE),82)</f>
        <v>79.849999999999994</v>
      </c>
      <c r="E219" s="55" cm="1">
        <f t="array" ref="E219">(VLOOKUP($A219,'The List'!$B1:$AH671,17,FALSE)-AVERAGE('The List'!R2:R671))/STDEV('The List'!R2:R671)</f>
        <v>-1.1320704871364085</v>
      </c>
      <c r="F219" s="55" cm="1">
        <f t="array" ref="F219">(VLOOKUP($A219,'The List'!$B1:$AH671,18,FALSE)-AVERAGE('The List'!S2:S671))/STDEV('The List'!S2:S671)</f>
        <v>0.1270433074880363</v>
      </c>
      <c r="G219" s="55" cm="1">
        <f t="array" ref="G219">(VLOOKUP($A219,'The List'!$B1:$AH671,19,FALSE)-AVERAGE('The List'!T2:T671))/STDEV('The List'!T2:T671)</f>
        <v>-1.0155966159091966E-3</v>
      </c>
      <c r="H219" s="55" cm="1">
        <f t="array" ref="H219">(VLOOKUP($A219,'The List'!$B1:$AH671,20,FALSE)-AVERAGE('The List'!U2:U671))/STDEV('The List'!U2:U671)</f>
        <v>5.5727547008114858E-2</v>
      </c>
      <c r="I219" s="55" cm="1">
        <f t="array" ref="I219">(VLOOKUP($A219,'The List'!$B1:$AH671,21,FALSE)-AVERAGE('The List'!V2:V671))/STDEV('The List'!V2:V671)</f>
        <v>-0.40839657921796158</v>
      </c>
      <c r="J219" s="55" cm="1">
        <f t="array" ref="J219">(VLOOKUP($A219,'The List'!$B1:$AH671,22,FALSE)-AVERAGE('The List'!W2:W671))/STDEV('The List'!W2:W671)</f>
        <v>-0.26326299566264938</v>
      </c>
      <c r="K219" s="55" cm="1">
        <f t="array" ref="K219">(VLOOKUP($A219,'The List'!$B1:$AH671,23,FALSE)-AVERAGE('The List'!X2:X671))/STDEV('The List'!X2:X671)</f>
        <v>-0.17510521260773301</v>
      </c>
      <c r="L219" s="55" cm="1">
        <f t="array" ref="L219">(VLOOKUP($A219,'The List'!$B1:$AH671,24,FALSE)-AVERAGE('The List'!Y2:Y671))/STDEV('The List'!Y2:Y671)</f>
        <v>-0.56569022661034529</v>
      </c>
      <c r="M219" s="55" cm="1">
        <f t="array" ref="M219">(VLOOKUP($A219,'The List'!$B1:$AH671,25,FALSE)-AVERAGE('The List'!Z2:Z671))/STDEV('The List'!Z2:Z671)</f>
        <v>-0.70756870995144849</v>
      </c>
      <c r="N219" s="55" cm="1">
        <f t="array" ref="N219">(VLOOKUP($A219,'The List'!$B1:$AH671,26,FALSE)-AVERAGE('The List'!AA2:AA671))/STDEV('The List'!AA2:AA671)</f>
        <v>-0.75212752437399877</v>
      </c>
      <c r="O219" s="55" cm="1">
        <f t="array" ref="O219">(VLOOKUP($A219,'The List'!$B1:$AH671,27,FALSE)-AVERAGE('The List'!AB2:AB671))/STDEV('The List'!AB2:AB671)</f>
        <v>0.39416251333301028</v>
      </c>
      <c r="P219" s="55" cm="1">
        <f t="array" ref="P219">(VLOOKUP($A219,'The List'!$B1:$AH671,28,FALSE)-AVERAGE('The List'!AC2:AC671))/STDEV('The List'!AC2:AC671)</f>
        <v>1.1064399747340388</v>
      </c>
      <c r="Q219" s="55" cm="1">
        <f t="array" ref="Q219">(VLOOKUP($A219,'The List'!$B1:$AH671,29,FALSE)-AVERAGE('The List'!AD2:AD671))/STDEV('The List'!AD2:AD671)</f>
        <v>1.7909547615057033</v>
      </c>
      <c r="R219" s="55" cm="1">
        <f t="array" ref="R219">(VLOOKUP($A219,'The List'!$B1:$AH671,30,FALSE)-AVERAGE('The List'!AE2:AE671))/STDEV('The List'!AE2:AE671)</f>
        <v>0.25031196861407484</v>
      </c>
      <c r="S219" s="55" cm="1">
        <f t="array" ref="S219">(VLOOKUP($A219,'The List'!$B1:$AH671,31,FALSE)-AVERAGE('The List'!AF2:AF671))/STDEV('The List'!AF2:AF671)</f>
        <v>0.12221795247037433</v>
      </c>
      <c r="T219" s="55" cm="1">
        <f t="array" ref="T219">(VLOOKUP($A219,'The List'!$B1:$AH671,32,FALSE)-AVERAGE('The List'!AG2:AG671))/STDEV('The List'!AG2:AG671)</f>
        <v>-2.4535142153597995E-2</v>
      </c>
      <c r="U219" s="55" cm="1">
        <f t="array" ref="U219">(VLOOKUP($A219,'The List'!$B1:$AH671,33,FALSE)-AVERAGE('The List'!AH2:AH671))/STDEV('The List'!AH2:AH671)</f>
        <v>1.2780489425555694</v>
      </c>
      <c r="V219" s="55"/>
      <c r="W219" s="78"/>
      <c r="X219" s="57"/>
      <c r="Y219" s="57"/>
      <c r="Z219" s="57"/>
      <c r="AA219" s="57"/>
      <c r="AB219" s="57"/>
      <c r="AC219" s="60"/>
      <c r="AD219" s="61"/>
      <c r="AE219" s="55"/>
    </row>
    <row r="220" spans="1:31" ht="21.25" customHeight="1" x14ac:dyDescent="0.15">
      <c r="A220" s="10" t="s">
        <v>506</v>
      </c>
      <c r="B220" s="18" t="str" cm="1">
        <f t="array" ref="B220">VLOOKUP(A220,'Player Data'!A1:B673,2,FALSE)</f>
        <v>CBJ</v>
      </c>
      <c r="C220" s="52" cm="1">
        <f t="array" ref="C220">((E220)*Settings!$C$12)+(F220*Settings!$C$2)+(G220*Settings!$C$3)+(H220*Settings!$C$4)+(I220*Settings!$C$5)+(K220*Settings!$C$9)+(N220*Settings!$C$6)+(J220*Settings!$C$8)+(O220*Settings!$C$7)+(P220*Settings!$C$14)+(Q220*Settings!$C$15)+(R220*Settings!$C$16)+(S220*Settings!$C$17)+(T220*Settings!$C$18)+(U220*Settings!$C$19)+(L220*Settings!$C$10)+(Settings!$C$11*M220)</f>
        <v>-0.98259400013420284</v>
      </c>
      <c r="D220" s="57" cm="1">
        <f t="array" ref="D220">IF(Settings!$E$12="YES",VLOOKUP(A220,'Player Data'!A1:E673,5,FALSE),82)</f>
        <v>79.569999999999993</v>
      </c>
      <c r="E220" s="55" cm="1">
        <f t="array" ref="E220">(VLOOKUP($A220,'The List'!$B1:$AH671,17,FALSE)-AVERAGE('The List'!R2:R671))/STDEV('The List'!R2:R671)</f>
        <v>-0.29482063437734785</v>
      </c>
      <c r="F220" s="55" cm="1">
        <f t="array" ref="F220">(VLOOKUP($A220,'The List'!$B1:$AH671,18,FALSE)-AVERAGE('The List'!S2:S671))/STDEV('The List'!S2:S671)</f>
        <v>0.10579931988038703</v>
      </c>
      <c r="G220" s="55" cm="1">
        <f t="array" ref="G220">(VLOOKUP($A220,'The List'!$B1:$AH671,19,FALSE)-AVERAGE('The List'!T2:T671))/STDEV('The List'!T2:T671)</f>
        <v>0.12716276081185268</v>
      </c>
      <c r="H220" s="55" cm="1">
        <f t="array" ref="H220">(VLOOKUP($A220,'The List'!$B1:$AH671,20,FALSE)-AVERAGE('The List'!U2:U671))/STDEV('The List'!U2:U671)</f>
        <v>0.12692556209588235</v>
      </c>
      <c r="I220" s="55" cm="1">
        <f t="array" ref="I220">(VLOOKUP($A220,'The List'!$B1:$AH671,21,FALSE)-AVERAGE('The List'!V2:V671))/STDEV('The List'!V2:V671)</f>
        <v>1.8107005954984413E-2</v>
      </c>
      <c r="J220" s="55" cm="1">
        <f t="array" ref="J220">(VLOOKUP($A220,'The List'!$B1:$AH671,22,FALSE)-AVERAGE('The List'!W2:W671))/STDEV('The List'!W2:W671)</f>
        <v>-7.234422987647772E-2</v>
      </c>
      <c r="K220" s="55" cm="1">
        <f t="array" ref="K220">(VLOOKUP($A220,'The List'!$B1:$AH671,23,FALSE)-AVERAGE('The List'!X2:X671))/STDEV('The List'!X2:X671)</f>
        <v>-5.9746635580816883E-3</v>
      </c>
      <c r="L220" s="55" cm="1">
        <f t="array" ref="L220">(VLOOKUP($A220,'The List'!$B1:$AH671,24,FALSE)-AVERAGE('The List'!Y2:Y671))/STDEV('The List'!Y2:Y671)</f>
        <v>2.0477386004750331</v>
      </c>
      <c r="M220" s="55" cm="1">
        <f t="array" ref="M220">(VLOOKUP($A220,'The List'!$B1:$AH671,25,FALSE)-AVERAGE('The List'!Z2:Z671))/STDEV('The List'!Z2:Z671)</f>
        <v>1.9592462597317775</v>
      </c>
      <c r="N220" s="55" cm="1">
        <f t="array" ref="N220">(VLOOKUP($A220,'The List'!$B1:$AH671,26,FALSE)-AVERAGE('The List'!AA2:AA671))/STDEV('The List'!AA2:AA671)</f>
        <v>-0.68123887088112101</v>
      </c>
      <c r="O220" s="55" cm="1">
        <f t="array" ref="O220">(VLOOKUP($A220,'The List'!$B1:$AH671,27,FALSE)-AVERAGE('The List'!AB2:AB671))/STDEV('The List'!AB2:AB671)</f>
        <v>-0.81406675137563467</v>
      </c>
      <c r="P220" s="55" cm="1">
        <f t="array" ref="P220">(VLOOKUP($A220,'The List'!$B1:$AH671,28,FALSE)-AVERAGE('The List'!AC2:AC671))/STDEV('The List'!AC2:AC671)</f>
        <v>0.54572131150017622</v>
      </c>
      <c r="Q220" s="55" cm="1">
        <f t="array" ref="Q220">(VLOOKUP($A220,'The List'!$B1:$AH671,29,FALSE)-AVERAGE('The List'!AD2:AD671))/STDEV('The List'!AD2:AD671)</f>
        <v>-1.0921708638424006</v>
      </c>
      <c r="R220" s="55" cm="1">
        <f t="array" ref="R220">(VLOOKUP($A220,'The List'!$B1:$AH671,30,FALSE)-AVERAGE('The List'!AE2:AE671))/STDEV('The List'!AE2:AE671)</f>
        <v>0.15419153647064368</v>
      </c>
      <c r="S220" s="55" cm="1">
        <f t="array" ref="S220">(VLOOKUP($A220,'The List'!$B1:$AH671,31,FALSE)-AVERAGE('The List'!AF2:AF671))/STDEV('The List'!AF2:AF671)</f>
        <v>2.33768911024679</v>
      </c>
      <c r="T220" s="55" cm="1">
        <f t="array" ref="T220">(VLOOKUP($A220,'The List'!$B1:$AH671,32,FALSE)-AVERAGE('The List'!AG2:AG671))/STDEV('The List'!AG2:AG671)</f>
        <v>2.1142929045621082</v>
      </c>
      <c r="U220" s="55" cm="1">
        <f t="array" ref="U220">(VLOOKUP($A220,'The List'!$B1:$AH671,33,FALSE)-AVERAGE('The List'!AH2:AH671))/STDEV('The List'!AH2:AH671)</f>
        <v>1.1849085460152888</v>
      </c>
      <c r="V220" s="55"/>
      <c r="W220" s="57"/>
      <c r="X220" s="55"/>
      <c r="Y220" s="55"/>
      <c r="Z220" s="55"/>
      <c r="AA220" s="55"/>
      <c r="AB220" s="55"/>
      <c r="AC220" s="55"/>
      <c r="AD220" s="55"/>
      <c r="AE220" s="55"/>
    </row>
    <row r="221" spans="1:31" ht="21.25" customHeight="1" x14ac:dyDescent="0.15">
      <c r="A221" s="10" t="s">
        <v>497</v>
      </c>
      <c r="B221" s="18" t="str" cm="1">
        <f t="array" ref="B221">VLOOKUP(A221,'Player Data'!A1:B673,2,FALSE)</f>
        <v>NSH</v>
      </c>
      <c r="C221" s="52" cm="1">
        <f t="array" ref="C221">((E221)*Settings!$C$12)+(F221*Settings!$C$2)+(G221*Settings!$C$3)+(H221*Settings!$C$4)+(I221*Settings!$C$5)+(K221*Settings!$C$9)+(N221*Settings!$C$6)+(J221*Settings!$C$8)+(O221*Settings!$C$7)+(P221*Settings!$C$14)+(Q221*Settings!$C$15)+(R221*Settings!$C$16)+(S221*Settings!$C$17)+(T221*Settings!$C$18)+(U221*Settings!$C$19)+(L221*Settings!$C$10)+(Settings!$C$11*M221)</f>
        <v>-1.0889641903433511</v>
      </c>
      <c r="D221" s="57" cm="1">
        <f t="array" ref="D221">IF(Settings!$E$12="YES",VLOOKUP(A221,'Player Data'!A1:E673,5,FALSE),82)</f>
        <v>79.930000000000007</v>
      </c>
      <c r="E221" s="55" cm="1">
        <f t="array" ref="E221">(VLOOKUP($A221,'The List'!$B1:$AH671,17,FALSE)-AVERAGE('The List'!R2:R671))/STDEV('The List'!R2:R671)</f>
        <v>-0.36724822792612788</v>
      </c>
      <c r="F221" s="55" cm="1">
        <f t="array" ref="F221">(VLOOKUP($A221,'The List'!$B1:$AH671,18,FALSE)-AVERAGE('The List'!S2:S671))/STDEV('The List'!S2:S671)</f>
        <v>0.29928581280727495</v>
      </c>
      <c r="G221" s="55" cm="1">
        <f t="array" ref="G221">(VLOOKUP($A221,'The List'!$B1:$AH671,19,FALSE)-AVERAGE('The List'!T2:T671))/STDEV('The List'!T2:T671)</f>
        <v>-2.3370212419316205E-2</v>
      </c>
      <c r="H221" s="55" cm="1">
        <f t="array" ref="H221">(VLOOKUP($A221,'The List'!$B1:$AH671,20,FALSE)-AVERAGE('The List'!U2:U671))/STDEV('The List'!U2:U671)</f>
        <v>0.11808686442556694</v>
      </c>
      <c r="I221" s="55" cm="1">
        <f t="array" ref="I221">(VLOOKUP($A221,'The List'!$B1:$AH671,21,FALSE)-AVERAGE('The List'!V2:V671))/STDEV('The List'!V2:V671)</f>
        <v>0.72715081289952666</v>
      </c>
      <c r="J221" s="55" cm="1">
        <f t="array" ref="J221">(VLOOKUP($A221,'The List'!$B1:$AH671,22,FALSE)-AVERAGE('The List'!W2:W671))/STDEV('The List'!W2:W671)</f>
        <v>0.30861165257653222</v>
      </c>
      <c r="K221" s="55" cm="1">
        <f t="array" ref="K221">(VLOOKUP($A221,'The List'!$B1:$AH671,23,FALSE)-AVERAGE('The List'!X2:X671))/STDEV('The List'!X2:X671)</f>
        <v>0.32191836319268041</v>
      </c>
      <c r="L221" s="55" cm="1">
        <f t="array" ref="L221">(VLOOKUP($A221,'The List'!$B1:$AH671,24,FALSE)-AVERAGE('The List'!Y2:Y671))/STDEV('The List'!Y2:Y671)</f>
        <v>-0.56383315443538173</v>
      </c>
      <c r="M221" s="55" cm="1">
        <f t="array" ref="M221">(VLOOKUP($A221,'The List'!$B1:$AH671,25,FALSE)-AVERAGE('The List'!Z2:Z671))/STDEV('The List'!Z2:Z671)</f>
        <v>-0.70571356095792259</v>
      </c>
      <c r="N221" s="55" cm="1">
        <f t="array" ref="N221">(VLOOKUP($A221,'The List'!$B1:$AH671,26,FALSE)-AVERAGE('The List'!AA2:AA671))/STDEV('The List'!AA2:AA671)</f>
        <v>-1.1618601114059068</v>
      </c>
      <c r="O221" s="55" cm="1">
        <f t="array" ref="O221">(VLOOKUP($A221,'The List'!$B1:$AH671,27,FALSE)-AVERAGE('The List'!AB2:AB671))/STDEV('The List'!AB2:AB671)</f>
        <v>-6.891518671582543E-2</v>
      </c>
      <c r="P221" s="55" cm="1">
        <f t="array" ref="P221">(VLOOKUP($A221,'The List'!$B1:$AH671,28,FALSE)-AVERAGE('The List'!AC2:AC671))/STDEV('The List'!AC2:AC671)</f>
        <v>-1.0838190530250082</v>
      </c>
      <c r="Q221" s="55" cm="1">
        <f t="array" ref="Q221">(VLOOKUP($A221,'The List'!$B1:$AH671,29,FALSE)-AVERAGE('The List'!AD2:AD671))/STDEV('The List'!AD2:AD671)</f>
        <v>-0.16826980239260173</v>
      </c>
      <c r="R221" s="55" cm="1">
        <f t="array" ref="R221">(VLOOKUP($A221,'The List'!$B1:$AH671,30,FALSE)-AVERAGE('The List'!AE2:AE671))/STDEV('The List'!AE2:AE671)</f>
        <v>0.1129402589638495</v>
      </c>
      <c r="S221" s="55" cm="1">
        <f t="array" ref="S221">(VLOOKUP($A221,'The List'!$B1:$AH671,31,FALSE)-AVERAGE('The List'!AF2:AF671))/STDEV('The List'!AF2:AF671)</f>
        <v>-0.52737412797973793</v>
      </c>
      <c r="T221" s="55" cm="1">
        <f t="array" ref="T221">(VLOOKUP($A221,'The List'!$B1:$AH671,32,FALSE)-AVERAGE('The List'!AG2:AG671))/STDEV('The List'!AG2:AG671)</f>
        <v>-0.48347634227571123</v>
      </c>
      <c r="U221" s="55" cm="1">
        <f t="array" ref="U221">(VLOOKUP($A221,'The List'!$B1:$AH671,33,FALSE)-AVERAGE('The List'!AH2:AH671))/STDEV('The List'!AH2:AH671)</f>
        <v>0.14151392690837972</v>
      </c>
      <c r="V221" s="55"/>
      <c r="W221" s="57"/>
      <c r="X221" s="55"/>
      <c r="Y221" s="55"/>
      <c r="Z221" s="55"/>
      <c r="AA221" s="55"/>
      <c r="AB221" s="55"/>
      <c r="AC221" s="55"/>
      <c r="AD221" s="55"/>
      <c r="AE221" s="55"/>
    </row>
    <row r="222" spans="1:31" ht="21.25" customHeight="1" x14ac:dyDescent="0.15">
      <c r="A222" s="10" t="s">
        <v>256</v>
      </c>
      <c r="B222" s="18" t="str" cm="1">
        <f t="array" ref="B222">VLOOKUP(A222,'Player Data'!A1:B673,2,FALSE)</f>
        <v>CGY</v>
      </c>
      <c r="C222" s="52" cm="1">
        <f t="array" ref="C222">((E222)*Settings!$C$12)+(F222*Settings!$C$2)+(G222*Settings!$C$3)+(H222*Settings!$C$4)+(I222*Settings!$C$5)+(K222*Settings!$C$9)+(N222*Settings!$C$6)+(J222*Settings!$C$8)+(O222*Settings!$C$7)+(P222*Settings!$C$14)+(Q222*Settings!$C$15)+(R222*Settings!$C$16)+(S222*Settings!$C$17)+(T222*Settings!$C$18)+(U222*Settings!$C$19)+(L222*Settings!$C$10)+(Settings!$C$11*M222)</f>
        <v>0.3477188369227372</v>
      </c>
      <c r="D222" s="57" cm="1">
        <f t="array" ref="D222">IF(Settings!$E$12="YES",VLOOKUP(A222,'Player Data'!A1:E673,5,FALSE),82)</f>
        <v>71.782499999999999</v>
      </c>
      <c r="E222" s="55" cm="1">
        <f t="array" ref="E222">(VLOOKUP($A222,'The List'!$B1:$AH671,17,FALSE)-AVERAGE('The List'!R2:R671))/STDEV('The List'!R2:R671)</f>
        <v>1.7800698728796445</v>
      </c>
      <c r="F222" s="55" cm="1">
        <f t="array" ref="F222">(VLOOKUP($A222,'The List'!$B1:$AH671,18,FALSE)-AVERAGE('The List'!S2:S671))/STDEV('The List'!S2:S671)</f>
        <v>-0.20837453614479529</v>
      </c>
      <c r="G222" s="55" cm="1">
        <f t="array" ref="G222">(VLOOKUP($A222,'The List'!$B1:$AH671,19,FALSE)-AVERAGE('The List'!T2:T671))/STDEV('The List'!T2:T671)</f>
        <v>0.17074828319163671</v>
      </c>
      <c r="H222" s="55" cm="1">
        <f t="array" ref="H222">(VLOOKUP($A222,'The List'!$B1:$AH671,20,FALSE)-AVERAGE('The List'!U2:U671))/STDEV('The List'!U2:U671)</f>
        <v>1.4948520022140047E-2</v>
      </c>
      <c r="I222" s="55" cm="1">
        <f t="array" ref="I222">(VLOOKUP($A222,'The List'!$B1:$AH671,21,FALSE)-AVERAGE('The List'!V2:V671))/STDEV('The List'!V2:V671)</f>
        <v>0.23066733740285619</v>
      </c>
      <c r="J222" s="55" cm="1">
        <f t="array" ref="J222">(VLOOKUP($A222,'The List'!$B1:$AH671,22,FALSE)-AVERAGE('The List'!W2:W671))/STDEV('The List'!W2:W671)</f>
        <v>-0.19365670743788929</v>
      </c>
      <c r="K222" s="55" cm="1">
        <f t="array" ref="K222">(VLOOKUP($A222,'The List'!$B1:$AH671,23,FALSE)-AVERAGE('The List'!X2:X671))/STDEV('The List'!X2:X671)</f>
        <v>0.17376326524795002</v>
      </c>
      <c r="L222" s="55" cm="1">
        <f t="array" ref="L222">(VLOOKUP($A222,'The List'!$B1:$AH671,24,FALSE)-AVERAGE('The List'!Y2:Y671))/STDEV('The List'!Y2:Y671)</f>
        <v>-0.53109492837215166</v>
      </c>
      <c r="M222" s="55" cm="1">
        <f t="array" ref="M222">(VLOOKUP($A222,'The List'!$B1:$AH671,25,FALSE)-AVERAGE('The List'!Z2:Z671))/STDEV('The List'!Z2:Z671)</f>
        <v>-0.63640602171311111</v>
      </c>
      <c r="N222" s="55" cm="1">
        <f t="array" ref="N222">(VLOOKUP($A222,'The List'!$B1:$AH671,26,FALSE)-AVERAGE('The List'!AA2:AA671))/STDEV('The List'!AA2:AA671)</f>
        <v>1.4127612134847864</v>
      </c>
      <c r="O222" s="55" cm="1">
        <f t="array" ref="O222">(VLOOKUP($A222,'The List'!$B1:$AH671,27,FALSE)-AVERAGE('The List'!AB2:AB671))/STDEV('The List'!AB2:AB671)</f>
        <v>-1.0869900983312231</v>
      </c>
      <c r="P222" s="55" cm="1">
        <f t="array" ref="P222">(VLOOKUP($A222,'The List'!$B1:$AH671,28,FALSE)-AVERAGE('The List'!AC2:AC671))/STDEV('The List'!AC2:AC671)</f>
        <v>-2.0287254955378859</v>
      </c>
      <c r="Q222" s="55" cm="1">
        <f t="array" ref="Q222">(VLOOKUP($A222,'The List'!$B1:$AH671,29,FALSE)-AVERAGE('The List'!AD2:AD671))/STDEV('The List'!AD2:AD671)</f>
        <v>0.59687876927818906</v>
      </c>
      <c r="R222" s="55" cm="1">
        <f t="array" ref="R222">(VLOOKUP($A222,'The List'!$B1:$AH671,30,FALSE)-AVERAGE('The List'!AE2:AE671))/STDEV('The List'!AE2:AE671)</f>
        <v>-0.28836977711944772</v>
      </c>
      <c r="S222" s="55" cm="1">
        <f t="array" ref="S222">(VLOOKUP($A222,'The List'!$B1:$AH671,31,FALSE)-AVERAGE('The List'!AF2:AF671))/STDEV('The List'!AF2:AF671)</f>
        <v>-0.5939690971349143</v>
      </c>
      <c r="T222" s="55" cm="1">
        <f t="array" ref="T222">(VLOOKUP($A222,'The List'!$B1:$AH671,32,FALSE)-AVERAGE('The List'!AG2:AG671))/STDEV('The List'!AG2:AG671)</f>
        <v>-0.64602208138248207</v>
      </c>
      <c r="U222" s="55" cm="1">
        <f t="array" ref="U222">(VLOOKUP($A222,'The List'!$B1:$AH671,33,FALSE)-AVERAGE('The List'!AH2:AH671))/STDEV('The List'!AH2:AH671)</f>
        <v>-1.2548938914719048</v>
      </c>
      <c r="V222" s="55"/>
      <c r="W222" s="57"/>
      <c r="X222" s="57"/>
      <c r="Y222" s="57"/>
      <c r="Z222" s="57"/>
      <c r="AA222" s="57"/>
      <c r="AB222" s="57"/>
      <c r="AC222" s="60"/>
      <c r="AD222" s="61"/>
      <c r="AE222" s="55"/>
    </row>
    <row r="223" spans="1:31" ht="21.25" customHeight="1" x14ac:dyDescent="0.15">
      <c r="A223" s="10" t="s">
        <v>592</v>
      </c>
      <c r="B223" s="18" t="str" cm="1">
        <f t="array" ref="B223">VLOOKUP(A223,'Player Data'!A1:B673,2,FALSE)</f>
        <v>NYI</v>
      </c>
      <c r="C223" s="52" cm="1">
        <f t="array" ref="C223">((E223)*Settings!$C$12)+(F223*Settings!$C$2)+(G223*Settings!$C$3)+(H223*Settings!$C$4)+(I223*Settings!$C$5)+(K223*Settings!$C$9)+(N223*Settings!$C$6)+(J223*Settings!$C$8)+(O223*Settings!$C$7)+(P223*Settings!$C$14)+(Q223*Settings!$C$15)+(R223*Settings!$C$16)+(S223*Settings!$C$17)+(T223*Settings!$C$18)+(U223*Settings!$C$19)+(L223*Settings!$C$10)+(Settings!$C$11*M223)</f>
        <v>-3.3360091075310168</v>
      </c>
      <c r="D223" s="57" cm="1">
        <f t="array" ref="D223">IF(Settings!$E$12="YES",VLOOKUP(A223,'Player Data'!A1:E673,5,FALSE),82)</f>
        <v>78.364999999999995</v>
      </c>
      <c r="E223" s="55" cm="1">
        <f t="array" ref="E223">(VLOOKUP($A223,'The List'!$B1:$AH671,17,FALSE)-AVERAGE('The List'!R2:R671))/STDEV('The List'!R2:R671)</f>
        <v>-0.66891398499650612</v>
      </c>
      <c r="F223" s="55" cm="1">
        <f t="array" ref="F223">(VLOOKUP($A223,'The List'!$B1:$AH671,18,FALSE)-AVERAGE('The List'!S2:S671))/STDEV('The List'!S2:S671)</f>
        <v>6.9883622877347548E-2</v>
      </c>
      <c r="G223" s="55" cm="1">
        <f t="array" ref="G223">(VLOOKUP($A223,'The List'!$B1:$AH671,19,FALSE)-AVERAGE('The List'!T2:T671))/STDEV('The List'!T2:T671)</f>
        <v>6.9380956475498023E-2</v>
      </c>
      <c r="H223" s="55" cm="1">
        <f t="array" ref="H223">(VLOOKUP($A223,'The List'!$B1:$AH671,20,FALSE)-AVERAGE('The List'!U2:U671))/STDEV('The List'!U2:U671)</f>
        <v>7.4646098681634881E-2</v>
      </c>
      <c r="I223" s="55" cm="1">
        <f t="array" ref="I223">(VLOOKUP($A223,'The List'!$B1:$AH671,21,FALSE)-AVERAGE('The List'!V2:V671))/STDEV('The List'!V2:V671)</f>
        <v>-0.30969948255315333</v>
      </c>
      <c r="J223" s="55" cm="1">
        <f t="array" ref="J223">(VLOOKUP($A223,'The List'!$B1:$AH671,22,FALSE)-AVERAGE('The List'!W2:W671))/STDEV('The List'!W2:W671)</f>
        <v>-0.30597272937553976</v>
      </c>
      <c r="K223" s="55" cm="1">
        <f t="array" ref="K223">(VLOOKUP($A223,'The List'!$B1:$AH671,23,FALSE)-AVERAGE('The List'!X2:X671))/STDEV('The List'!X2:X671)</f>
        <v>-0.15386178817569982</v>
      </c>
      <c r="L223" s="55" cm="1">
        <f t="array" ref="L223">(VLOOKUP($A223,'The List'!$B1:$AH671,24,FALSE)-AVERAGE('The List'!Y2:Y671))/STDEV('The List'!Y2:Y671)</f>
        <v>-0.56569022661034529</v>
      </c>
      <c r="M223" s="55" cm="1">
        <f t="array" ref="M223">(VLOOKUP($A223,'The List'!$B1:$AH671,25,FALSE)-AVERAGE('The List'!Z2:Z671))/STDEV('The List'!Z2:Z671)</f>
        <v>-0.70756870995144849</v>
      </c>
      <c r="N223" s="55" cm="1">
        <f t="array" ref="N223">(VLOOKUP($A223,'The List'!$B1:$AH671,26,FALSE)-AVERAGE('The List'!AA2:AA671))/STDEV('The List'!AA2:AA671)</f>
        <v>-1.1045262034345504</v>
      </c>
      <c r="O223" s="55" cm="1">
        <f t="array" ref="O223">(VLOOKUP($A223,'The List'!$B1:$AH671,27,FALSE)-AVERAGE('The List'!AB2:AB671))/STDEV('The List'!AB2:AB671)</f>
        <v>-1.119356440927652</v>
      </c>
      <c r="P223" s="55" cm="1">
        <f t="array" ref="P223">(VLOOKUP($A223,'The List'!$B1:$AH671,28,FALSE)-AVERAGE('The List'!AC2:AC671))/STDEV('The List'!AC2:AC671)</f>
        <v>-0.71529645822681243</v>
      </c>
      <c r="Q223" s="55" cm="1">
        <f t="array" ref="Q223">(VLOOKUP($A223,'The List'!$B1:$AH671,29,FALSE)-AVERAGE('The List'!AD2:AD671))/STDEV('The List'!AD2:AD671)</f>
        <v>-1.1918897544936464</v>
      </c>
      <c r="R223" s="55" cm="1">
        <f t="array" ref="R223">(VLOOKUP($A223,'The List'!$B1:$AH671,30,FALSE)-AVERAGE('The List'!AE2:AE671))/STDEV('The List'!AE2:AE671)</f>
        <v>-1.7954369396308817E-2</v>
      </c>
      <c r="S223" s="55" cm="1">
        <f t="array" ref="S223">(VLOOKUP($A223,'The List'!$B1:$AH671,31,FALSE)-AVERAGE('The List'!AF2:AF671))/STDEV('The List'!AF2:AF671)</f>
        <v>-0.57400531864711934</v>
      </c>
      <c r="T223" s="55" cm="1">
        <f t="array" ref="T223">(VLOOKUP($A223,'The List'!$B1:$AH671,32,FALSE)-AVERAGE('The List'!AG2:AG671))/STDEV('The List'!AG2:AG671)</f>
        <v>-0.61780649883168326</v>
      </c>
      <c r="U223" s="55" cm="1">
        <f t="array" ref="U223">(VLOOKUP($A223,'The List'!$B1:$AH671,33,FALSE)-AVERAGE('The List'!AH2:AH671))/STDEV('The List'!AH2:AH671)</f>
        <v>0.7204501731657762</v>
      </c>
      <c r="V223" s="55"/>
      <c r="W223" s="78"/>
      <c r="X223" s="57"/>
      <c r="Y223" s="57"/>
      <c r="Z223" s="57"/>
      <c r="AA223" s="57"/>
      <c r="AB223" s="57"/>
      <c r="AC223" s="60"/>
      <c r="AD223" s="61"/>
      <c r="AE223" s="55"/>
    </row>
    <row r="224" spans="1:31" ht="21.25" customHeight="1" x14ac:dyDescent="0.15">
      <c r="A224" s="10" t="s">
        <v>232</v>
      </c>
      <c r="B224" s="18" t="str" cm="1">
        <f t="array" ref="B224">VLOOKUP(A224,'Player Data'!A1:B673,2,FALSE)</f>
        <v>BUF</v>
      </c>
      <c r="C224" s="52" cm="1">
        <f t="array" ref="C224">((E224)*Settings!$C$12)+(F224*Settings!$C$2)+(G224*Settings!$C$3)+(H224*Settings!$C$4)+(I224*Settings!$C$5)+(K224*Settings!$C$9)+(N224*Settings!$C$6)+(J224*Settings!$C$8)+(O224*Settings!$C$7)+(P224*Settings!$C$14)+(Q224*Settings!$C$15)+(R224*Settings!$C$16)+(S224*Settings!$C$17)+(T224*Settings!$C$18)+(U224*Settings!$C$19)+(L224*Settings!$C$10)+(Settings!$C$11*M224)</f>
        <v>1.2623496422222169</v>
      </c>
      <c r="D224" s="57" cm="1">
        <f t="array" ref="D224">IF(Settings!$E$12="YES",VLOOKUP(A224,'Player Data'!A1:E673,5,FALSE),82)</f>
        <v>82.84</v>
      </c>
      <c r="E224" s="55" cm="1">
        <f t="array" ref="E224">(VLOOKUP($A224,'The List'!$B1:$AH671,17,FALSE)-AVERAGE('The List'!R2:R671))/STDEV('The List'!R2:R671)</f>
        <v>1.8580001668153565</v>
      </c>
      <c r="F224" s="55" cm="1">
        <f t="array" ref="F224">(VLOOKUP($A224,'The List'!$B1:$AH671,18,FALSE)-AVERAGE('The List'!S2:S671))/STDEV('The List'!S2:S671)</f>
        <v>-0.38091711283163282</v>
      </c>
      <c r="G224" s="55" cm="1">
        <f t="array" ref="G224">(VLOOKUP($A224,'The List'!$B1:$AH671,19,FALSE)-AVERAGE('The List'!T2:T671))/STDEV('The List'!T2:T671)</f>
        <v>0.67949520927713136</v>
      </c>
      <c r="H224" s="55" cm="1">
        <f t="array" ref="H224">(VLOOKUP($A224,'The List'!$B1:$AH671,20,FALSE)-AVERAGE('The List'!U2:U671))/STDEV('The List'!U2:U671)</f>
        <v>0.25839426332381948</v>
      </c>
      <c r="I224" s="55" cm="1">
        <f t="array" ref="I224">(VLOOKUP($A224,'The List'!$B1:$AH671,21,FALSE)-AVERAGE('The List'!V2:V671))/STDEV('The List'!V2:V671)</f>
        <v>0.4009833318565183</v>
      </c>
      <c r="J224" s="55" cm="1">
        <f t="array" ref="J224">(VLOOKUP($A224,'The List'!$B1:$AH671,22,FALSE)-AVERAGE('The List'!W2:W671))/STDEV('The List'!W2:W671)</f>
        <v>-0.59212612190729719</v>
      </c>
      <c r="K224" s="55" cm="1">
        <f t="array" ref="K224">(VLOOKUP($A224,'The List'!$B1:$AH671,23,FALSE)-AVERAGE('The List'!X2:X671))/STDEV('The List'!X2:X671)</f>
        <v>-0.33006329604723367</v>
      </c>
      <c r="L224" s="55" cm="1">
        <f t="array" ref="L224">(VLOOKUP($A224,'The List'!$B1:$AH671,24,FALSE)-AVERAGE('The List'!Y2:Y671))/STDEV('The List'!Y2:Y671)</f>
        <v>-0.51241932056134665</v>
      </c>
      <c r="M224" s="55" cm="1">
        <f t="array" ref="M224">(VLOOKUP($A224,'The List'!$B1:$AH671,25,FALSE)-AVERAGE('The List'!Z2:Z671))/STDEV('The List'!Z2:Z671)</f>
        <v>0.98585990507771348</v>
      </c>
      <c r="N224" s="55" cm="1">
        <f t="array" ref="N224">(VLOOKUP($A224,'The List'!$B1:$AH671,26,FALSE)-AVERAGE('The List'!AA2:AA671))/STDEV('The List'!AA2:AA671)</f>
        <v>1.3924620954463767</v>
      </c>
      <c r="O224" s="55" cm="1">
        <f t="array" ref="O224">(VLOOKUP($A224,'The List'!$B1:$AH671,27,FALSE)-AVERAGE('The List'!AB2:AB671))/STDEV('The List'!AB2:AB671)</f>
        <v>-0.94138382813387989</v>
      </c>
      <c r="P224" s="55" cm="1">
        <f t="array" ref="P224">(VLOOKUP($A224,'The List'!$B1:$AH671,28,FALSE)-AVERAGE('The List'!AC2:AC671))/STDEV('The List'!AC2:AC671)</f>
        <v>7.9852888064650795E-2</v>
      </c>
      <c r="Q224" s="55" cm="1">
        <f t="array" ref="Q224">(VLOOKUP($A224,'The List'!$B1:$AH671,29,FALSE)-AVERAGE('The List'!AD2:AD671))/STDEV('The List'!AD2:AD671)</f>
        <v>-0.57946347354359373</v>
      </c>
      <c r="R224" s="55" cm="1">
        <f t="array" ref="R224">(VLOOKUP($A224,'The List'!$B1:$AH671,30,FALSE)-AVERAGE('The List'!AE2:AE671))/STDEV('The List'!AE2:AE671)</f>
        <v>-0.40010568054155821</v>
      </c>
      <c r="S224" s="55" cm="1">
        <f t="array" ref="S224">(VLOOKUP($A224,'The List'!$B1:$AH671,31,FALSE)-AVERAGE('The List'!AF2:AF671))/STDEV('The List'!AF2:AF671)</f>
        <v>-0.5939690971349143</v>
      </c>
      <c r="T224" s="55" cm="1">
        <f t="array" ref="T224">(VLOOKUP($A224,'The List'!$B1:$AH671,32,FALSE)-AVERAGE('The List'!AG2:AG671))/STDEV('The List'!AG2:AG671)</f>
        <v>-0.64602208138248207</v>
      </c>
      <c r="U224" s="55" cm="1">
        <f t="array" ref="U224">(VLOOKUP($A224,'The List'!$B1:$AH671,33,FALSE)-AVERAGE('The List'!AH2:AH671))/STDEV('The List'!AH2:AH671)</f>
        <v>-1.2548938914719048</v>
      </c>
      <c r="V224" s="55"/>
      <c r="W224" s="78"/>
      <c r="X224" s="57"/>
      <c r="Y224" s="57"/>
      <c r="Z224" s="57"/>
      <c r="AA224" s="57"/>
      <c r="AB224" s="57"/>
      <c r="AC224" s="60"/>
      <c r="AD224" s="61"/>
      <c r="AE224" s="55"/>
    </row>
    <row r="225" spans="1:31" ht="21.25" customHeight="1" x14ac:dyDescent="0.15">
      <c r="A225" s="10" t="s">
        <v>499</v>
      </c>
      <c r="B225" s="18" t="str" cm="1">
        <f t="array" ref="B225">VLOOKUP(A225,'Player Data'!A1:B673,2,FALSE)</f>
        <v>S.J</v>
      </c>
      <c r="C225" s="52" cm="1">
        <f t="array" ref="C225">((E225)*Settings!$C$12)+(F225*Settings!$C$2)+(G225*Settings!$C$3)+(H225*Settings!$C$4)+(I225*Settings!$C$5)+(K225*Settings!$C$9)+(N225*Settings!$C$6)+(J225*Settings!$C$8)+(O225*Settings!$C$7)+(P225*Settings!$C$14)+(Q225*Settings!$C$15)+(R225*Settings!$C$16)+(S225*Settings!$C$17)+(T225*Settings!$C$18)+(U225*Settings!$C$19)+(L225*Settings!$C$10)+(Settings!$C$11*M225)</f>
        <v>-1.8541813487518164</v>
      </c>
      <c r="D225" s="57" cm="1">
        <f t="array" ref="D225">IF(Settings!$E$12="YES",VLOOKUP(A225,'Player Data'!A1:E673,5,FALSE),82)</f>
        <v>82.647499999999994</v>
      </c>
      <c r="E225" s="55" cm="1">
        <f t="array" ref="E225">(VLOOKUP($A225,'The List'!$B1:$AH671,17,FALSE)-AVERAGE('The List'!R2:R671))/STDEV('The List'!R2:R671)</f>
        <v>-0.85923427408509656</v>
      </c>
      <c r="F225" s="55" cm="1">
        <f t="array" ref="F225">(VLOOKUP($A225,'The List'!$B1:$AH671,18,FALSE)-AVERAGE('The List'!S2:S671))/STDEV('The List'!S2:S671)</f>
        <v>0.60503460855654978</v>
      </c>
      <c r="G225" s="55" cm="1">
        <f t="array" ref="G225">(VLOOKUP($A225,'The List'!$B1:$AH671,19,FALSE)-AVERAGE('The List'!T2:T671))/STDEV('The List'!T2:T671)</f>
        <v>-0.1805914908887789</v>
      </c>
      <c r="H225" s="55" cm="1">
        <f t="array" ref="H225">(VLOOKUP($A225,'The List'!$B1:$AH671,20,FALSE)-AVERAGE('The List'!U2:U671))/STDEV('The List'!U2:U671)</f>
        <v>0.15484959974772664</v>
      </c>
      <c r="I225" s="55" cm="1">
        <f t="array" ref="I225">(VLOOKUP($A225,'The List'!$B1:$AH671,21,FALSE)-AVERAGE('The List'!V2:V671))/STDEV('The List'!V2:V671)</f>
        <v>0.56686553657208183</v>
      </c>
      <c r="J225" s="55" cm="1">
        <f t="array" ref="J225">(VLOOKUP($A225,'The List'!$B1:$AH671,22,FALSE)-AVERAGE('The List'!W2:W671))/STDEV('The List'!W2:W671)</f>
        <v>0.12400139538898781</v>
      </c>
      <c r="K225" s="55" cm="1">
        <f t="array" ref="K225">(VLOOKUP($A225,'The List'!$B1:$AH671,23,FALSE)-AVERAGE('The List'!X2:X671))/STDEV('The List'!X2:X671)</f>
        <v>-7.9391613995069776E-2</v>
      </c>
      <c r="L225" s="55" cm="1">
        <f t="array" ref="L225">(VLOOKUP($A225,'The List'!$B1:$AH671,24,FALSE)-AVERAGE('The List'!Y2:Y671))/STDEV('The List'!Y2:Y671)</f>
        <v>-0.56256610826244902</v>
      </c>
      <c r="M225" s="55" cm="1">
        <f t="array" ref="M225">(VLOOKUP($A225,'The List'!$B1:$AH671,25,FALSE)-AVERAGE('The List'!Z2:Z671))/STDEV('The List'!Z2:Z671)</f>
        <v>-0.70454612192177857</v>
      </c>
      <c r="N225" s="55" cm="1">
        <f t="array" ref="N225">(VLOOKUP($A225,'The List'!$B1:$AH671,26,FALSE)-AVERAGE('The List'!AA2:AA671))/STDEV('The List'!AA2:AA671)</f>
        <v>-0.85289635781711126</v>
      </c>
      <c r="O225" s="55" cm="1">
        <f t="array" ref="O225">(VLOOKUP($A225,'The List'!$B1:$AH671,27,FALSE)-AVERAGE('The List'!AB2:AB671))/STDEV('The List'!AB2:AB671)</f>
        <v>-0.64151495558817351</v>
      </c>
      <c r="P225" s="55" cm="1">
        <f t="array" ref="P225">(VLOOKUP($A225,'The List'!$B1:$AH671,28,FALSE)-AVERAGE('The List'!AC2:AC671))/STDEV('The List'!AC2:AC671)</f>
        <v>-0.58382681467941722</v>
      </c>
      <c r="Q225" s="55" cm="1">
        <f t="array" ref="Q225">(VLOOKUP($A225,'The List'!$B1:$AH671,29,FALSE)-AVERAGE('The List'!AD2:AD671))/STDEV('The List'!AD2:AD671)</f>
        <v>-1.329375216500071</v>
      </c>
      <c r="R225" s="55" cm="1">
        <f t="array" ref="R225">(VLOOKUP($A225,'The List'!$B1:$AH671,30,FALSE)-AVERAGE('The List'!AE2:AE671))/STDEV('The List'!AE2:AE671)</f>
        <v>0.39372371283537366</v>
      </c>
      <c r="S225" s="55" cm="1">
        <f t="array" ref="S225">(VLOOKUP($A225,'The List'!$B1:$AH671,31,FALSE)-AVERAGE('The List'!AF2:AF671))/STDEV('The List'!AF2:AF671)</f>
        <v>-0.54319483785895029</v>
      </c>
      <c r="T225" s="55" cm="1">
        <f t="array" ref="T225">(VLOOKUP($A225,'The List'!$B1:$AH671,32,FALSE)-AVERAGE('The List'!AG2:AG671))/STDEV('The List'!AG2:AG671)</f>
        <v>-0.56370322249185401</v>
      </c>
      <c r="U225" s="55" cm="1">
        <f t="array" ref="U225">(VLOOKUP($A225,'The List'!$B1:$AH671,33,FALSE)-AVERAGE('The List'!AH2:AH671))/STDEV('The List'!AH2:AH671)</f>
        <v>0.56754437282786796</v>
      </c>
      <c r="V225" s="55"/>
      <c r="W225" s="57"/>
      <c r="X225" s="55"/>
      <c r="Y225" s="55"/>
      <c r="Z225" s="55"/>
      <c r="AA225" s="55"/>
      <c r="AB225" s="55"/>
      <c r="AC225" s="55"/>
      <c r="AD225" s="55"/>
      <c r="AE225" s="55"/>
    </row>
    <row r="226" spans="1:31" ht="21.25" customHeight="1" x14ac:dyDescent="0.15">
      <c r="A226" s="10" t="s">
        <v>558</v>
      </c>
      <c r="B226" s="18" t="str" cm="1">
        <f t="array" ref="B226">VLOOKUP(A226,'Player Data'!A1:B673,2,FALSE)</f>
        <v>BUF</v>
      </c>
      <c r="C226" s="52" cm="1">
        <f t="array" ref="C226">((E226)*Settings!$C$12)+(F226*Settings!$C$2)+(G226*Settings!$C$3)+(H226*Settings!$C$4)+(I226*Settings!$C$5)+(K226*Settings!$C$9)+(N226*Settings!$C$6)+(J226*Settings!$C$8)+(O226*Settings!$C$7)+(P226*Settings!$C$14)+(Q226*Settings!$C$15)+(R226*Settings!$C$16)+(S226*Settings!$C$17)+(T226*Settings!$C$18)+(U226*Settings!$C$19)+(L226*Settings!$C$10)+(Settings!$C$11*M226)</f>
        <v>-1.1078329165048899</v>
      </c>
      <c r="D226" s="57" cm="1">
        <f t="array" ref="D226">IF(Settings!$E$12="YES",VLOOKUP(A226,'Player Data'!A1:E673,5,FALSE),82)</f>
        <v>74.900000000000006</v>
      </c>
      <c r="E226" s="55" cm="1">
        <f t="array" ref="E226">(VLOOKUP($A226,'The List'!$B1:$AH671,17,FALSE)-AVERAGE('The List'!R2:R671))/STDEV('The List'!R2:R671)</f>
        <v>-0.18804415334255625</v>
      </c>
      <c r="F226" s="55" cm="1">
        <f t="array" ref="F226">(VLOOKUP($A226,'The List'!$B1:$AH671,18,FALSE)-AVERAGE('The List'!S2:S671))/STDEV('The List'!S2:S671)</f>
        <v>0.14852807473521434</v>
      </c>
      <c r="G226" s="55" cm="1">
        <f t="array" ref="G226">(VLOOKUP($A226,'The List'!$B1:$AH671,19,FALSE)-AVERAGE('The List'!T2:T671))/STDEV('The List'!T2:T671)</f>
        <v>-0.14695030896125727</v>
      </c>
      <c r="H226" s="55" cm="1">
        <f t="array" ref="H226">(VLOOKUP($A226,'The List'!$B1:$AH671,20,FALSE)-AVERAGE('The List'!U2:U671))/STDEV('The List'!U2:U671)</f>
        <v>-2.653229291167206E-2</v>
      </c>
      <c r="I226" s="55" cm="1">
        <f t="array" ref="I226">(VLOOKUP($A226,'The List'!$B1:$AH671,21,FALSE)-AVERAGE('The List'!V2:V671))/STDEV('The List'!V2:V671)</f>
        <v>-0.54370540758338304</v>
      </c>
      <c r="J226" s="55" cm="1">
        <f t="array" ref="J226">(VLOOKUP($A226,'The List'!$B1:$AH671,22,FALSE)-AVERAGE('The List'!W2:W671))/STDEV('The List'!W2:W671)</f>
        <v>-4.3664274477852968E-2</v>
      </c>
      <c r="K226" s="55" cm="1">
        <f t="array" ref="K226">(VLOOKUP($A226,'The List'!$B1:$AH671,23,FALSE)-AVERAGE('The List'!X2:X671))/STDEV('The List'!X2:X671)</f>
        <v>-8.054249522244547E-2</v>
      </c>
      <c r="L226" s="55" cm="1">
        <f t="array" ref="L226">(VLOOKUP($A226,'The List'!$B1:$AH671,24,FALSE)-AVERAGE('The List'!Y2:Y671))/STDEV('The List'!Y2:Y671)</f>
        <v>0.55577924057664108</v>
      </c>
      <c r="M226" s="55" cm="1">
        <f t="array" ref="M226">(VLOOKUP($A226,'The List'!$B1:$AH671,25,FALSE)-AVERAGE('The List'!Z2:Z671))/STDEV('The List'!Z2:Z671)</f>
        <v>0.40224798556661279</v>
      </c>
      <c r="N226" s="55" cm="1">
        <f t="array" ref="N226">(VLOOKUP($A226,'The List'!$B1:$AH671,26,FALSE)-AVERAGE('The List'!AA2:AA671))/STDEV('The List'!AA2:AA671)</f>
        <v>-0.29026866392968897</v>
      </c>
      <c r="O226" s="55" cm="1">
        <f t="array" ref="O226">(VLOOKUP($A226,'The List'!$B1:$AH671,27,FALSE)-AVERAGE('The List'!AB2:AB671))/STDEV('The List'!AB2:AB671)</f>
        <v>-1.2609079455169188</v>
      </c>
      <c r="P226" s="55" cm="1">
        <f t="array" ref="P226">(VLOOKUP($A226,'The List'!$B1:$AH671,28,FALSE)-AVERAGE('The List'!AC2:AC671))/STDEV('The List'!AC2:AC671)</f>
        <v>0.38188842500151599</v>
      </c>
      <c r="Q226" s="55" cm="1">
        <f t="array" ref="Q226">(VLOOKUP($A226,'The List'!$B1:$AH671,29,FALSE)-AVERAGE('The List'!AD2:AD671))/STDEV('The List'!AD2:AD671)</f>
        <v>-0.57678254054484535</v>
      </c>
      <c r="R226" s="55" cm="1">
        <f t="array" ref="R226">(VLOOKUP($A226,'The List'!$B1:$AH671,30,FALSE)-AVERAGE('The List'!AE2:AE671))/STDEV('The List'!AE2:AE671)</f>
        <v>9.8724556670832103E-2</v>
      </c>
      <c r="S226" s="55" cm="1">
        <f t="array" ref="S226">(VLOOKUP($A226,'The List'!$B1:$AH671,31,FALSE)-AVERAGE('The List'!AF2:AF671))/STDEV('The List'!AF2:AF671)</f>
        <v>1.9051425291187766E-4</v>
      </c>
      <c r="T226" s="55" cm="1">
        <f t="array" ref="T226">(VLOOKUP($A226,'The List'!$B1:$AH671,32,FALSE)-AVERAGE('The List'!AG2:AG671))/STDEV('The List'!AG2:AG671)</f>
        <v>0.70624226716710614</v>
      </c>
      <c r="U226" s="55" cm="1">
        <f t="array" ref="U226">(VLOOKUP($A226,'The List'!$B1:$AH671,33,FALSE)-AVERAGE('The List'!AH2:AH671))/STDEV('The List'!AH2:AH671)</f>
        <v>0.21043128910555342</v>
      </c>
      <c r="V226" s="55"/>
      <c r="W226" s="57"/>
      <c r="X226" s="55"/>
      <c r="Y226" s="55"/>
      <c r="Z226" s="55"/>
      <c r="AA226" s="55"/>
      <c r="AB226" s="55"/>
      <c r="AC226" s="55"/>
      <c r="AD226" s="55"/>
      <c r="AE226" s="55"/>
    </row>
    <row r="227" spans="1:31" ht="21.25" customHeight="1" x14ac:dyDescent="0.15">
      <c r="A227" s="10" t="s">
        <v>472</v>
      </c>
      <c r="B227" s="18" t="str" cm="1">
        <f t="array" ref="B227">VLOOKUP(A227,'Player Data'!A1:B673,2,FALSE)</f>
        <v>N.J</v>
      </c>
      <c r="C227" s="52" cm="1">
        <f t="array" ref="C227">((E227)*Settings!$C$12)+(F227*Settings!$C$2)+(G227*Settings!$C$3)+(H227*Settings!$C$4)+(I227*Settings!$C$5)+(K227*Settings!$C$9)+(N227*Settings!$C$6)+(J227*Settings!$C$8)+(O227*Settings!$C$7)+(P227*Settings!$C$14)+(Q227*Settings!$C$15)+(R227*Settings!$C$16)+(S227*Settings!$C$17)+(T227*Settings!$C$18)+(U227*Settings!$C$19)+(L227*Settings!$C$10)+(Settings!$C$11*M227)</f>
        <v>-0.30645082286994868</v>
      </c>
      <c r="D227" s="57" cm="1">
        <f t="array" ref="D227">IF(Settings!$E$12="YES",VLOOKUP(A227,'Player Data'!A1:E673,5,FALSE),82)</f>
        <v>84.03</v>
      </c>
      <c r="E227" s="55" cm="1">
        <f t="array" ref="E227">(VLOOKUP($A227,'The List'!$B1:$AH671,17,FALSE)-AVERAGE('The List'!R2:R671))/STDEV('The List'!R2:R671)</f>
        <v>0.26514561192627639</v>
      </c>
      <c r="F227" s="55" cm="1">
        <f t="array" ref="F227">(VLOOKUP($A227,'The List'!$B1:$AH671,18,FALSE)-AVERAGE('The List'!S2:S671))/STDEV('The List'!S2:S671)</f>
        <v>0.64569510175875588</v>
      </c>
      <c r="G227" s="55" cm="1">
        <f t="array" ref="G227">(VLOOKUP($A227,'The List'!$B1:$AH671,19,FALSE)-AVERAGE('The List'!T2:T671))/STDEV('The List'!T2:T671)</f>
        <v>-0.19530018602300023</v>
      </c>
      <c r="H227" s="55" cm="1">
        <f t="array" ref="H227">(VLOOKUP($A227,'The List'!$B1:$AH671,20,FALSE)-AVERAGE('The List'!U2:U671))/STDEV('The List'!U2:U671)</f>
        <v>0.16363808447793429</v>
      </c>
      <c r="I227" s="55" cm="1">
        <f t="array" ref="I227">(VLOOKUP($A227,'The List'!$B1:$AH671,21,FALSE)-AVERAGE('The List'!V2:V671))/STDEV('The List'!V2:V671)</f>
        <v>0.47758372782325209</v>
      </c>
      <c r="J227" s="55" cm="1">
        <f t="array" ref="J227">(VLOOKUP($A227,'The List'!$B1:$AH671,22,FALSE)-AVERAGE('The List'!W2:W671))/STDEV('The List'!W2:W671)</f>
        <v>0.28411563560762132</v>
      </c>
      <c r="K227" s="55" cm="1">
        <f t="array" ref="K227">(VLOOKUP($A227,'The List'!$B1:$AH671,23,FALSE)-AVERAGE('The List'!X2:X671))/STDEV('The List'!X2:X671)</f>
        <v>-0.13908227288014088</v>
      </c>
      <c r="L227" s="55" cm="1">
        <f t="array" ref="L227">(VLOOKUP($A227,'The List'!$B1:$AH671,24,FALSE)-AVERAGE('The List'!Y2:Y671))/STDEV('The List'!Y2:Y671)</f>
        <v>2.0728128735586009</v>
      </c>
      <c r="M227" s="55" cm="1">
        <f t="array" ref="M227">(VLOOKUP($A227,'The List'!$B1:$AH671,25,FALSE)-AVERAGE('The List'!Z2:Z671))/STDEV('The List'!Z2:Z671)</f>
        <v>0.98621583588481976</v>
      </c>
      <c r="N227" s="55" cm="1">
        <f t="array" ref="N227">(VLOOKUP($A227,'The List'!$B1:$AH671,26,FALSE)-AVERAGE('The List'!AA2:AA671))/STDEV('The List'!AA2:AA671)</f>
        <v>-0.31687648368750143</v>
      </c>
      <c r="O227" s="55" cm="1">
        <f t="array" ref="O227">(VLOOKUP($A227,'The List'!$B1:$AH671,27,FALSE)-AVERAGE('The List'!AB2:AB671))/STDEV('The List'!AB2:AB671)</f>
        <v>-0.91609427172859081</v>
      </c>
      <c r="P227" s="55" cm="1">
        <f t="array" ref="P227">(VLOOKUP($A227,'The List'!$B1:$AH671,28,FALSE)-AVERAGE('The List'!AC2:AC671))/STDEV('The List'!AC2:AC671)</f>
        <v>-0.11902040805188235</v>
      </c>
      <c r="Q227" s="55" cm="1">
        <f t="array" ref="Q227">(VLOOKUP($A227,'The List'!$B1:$AH671,29,FALSE)-AVERAGE('The List'!AD2:AD671))/STDEV('The List'!AD2:AD671)</f>
        <v>-0.65945030180943176</v>
      </c>
      <c r="R227" s="55" cm="1">
        <f t="array" ref="R227">(VLOOKUP($A227,'The List'!$B1:$AH671,30,FALSE)-AVERAGE('The List'!AE2:AE671))/STDEV('The List'!AE2:AE671)</f>
        <v>0.55070583552038044</v>
      </c>
      <c r="S227" s="55" cm="1">
        <f t="array" ref="S227">(VLOOKUP($A227,'The List'!$B1:$AH671,31,FALSE)-AVERAGE('The List'!AF2:AF671))/STDEV('The List'!AF2:AF671)</f>
        <v>-4.2690002548365691E-2</v>
      </c>
      <c r="T227" s="55" cm="1">
        <f t="array" ref="T227">(VLOOKUP($A227,'The List'!$B1:$AH671,32,FALSE)-AVERAGE('The List'!AG2:AG671))/STDEV('The List'!AG2:AG671)</f>
        <v>0.20670444004834387</v>
      </c>
      <c r="U227" s="55" cm="1">
        <f t="array" ref="U227">(VLOOKUP($A227,'The List'!$B1:$AH671,33,FALSE)-AVERAGE('The List'!AH2:AH671))/STDEV('The List'!AH2:AH671)</f>
        <v>0.61949900291045423</v>
      </c>
      <c r="V227" s="55"/>
      <c r="W227" s="78"/>
      <c r="X227" s="57"/>
      <c r="Y227" s="57"/>
      <c r="Z227" s="57"/>
      <c r="AA227" s="57"/>
      <c r="AB227" s="57"/>
      <c r="AC227" s="60"/>
      <c r="AD227" s="61"/>
      <c r="AE227" s="55"/>
    </row>
    <row r="228" spans="1:31" ht="21.25" customHeight="1" x14ac:dyDescent="0.15">
      <c r="A228" s="10" t="s">
        <v>493</v>
      </c>
      <c r="B228" s="18" t="str" cm="1">
        <f t="array" ref="B228">VLOOKUP(A228,'Player Data'!A1:B673,2,FALSE)</f>
        <v>EDM</v>
      </c>
      <c r="C228" s="52" cm="1">
        <f t="array" ref="C228">((E228)*Settings!$C$12)+(F228*Settings!$C$2)+(G228*Settings!$C$3)+(H228*Settings!$C$4)+(I228*Settings!$C$5)+(K228*Settings!$C$9)+(N228*Settings!$C$6)+(J228*Settings!$C$8)+(O228*Settings!$C$7)+(P228*Settings!$C$14)+(Q228*Settings!$C$15)+(R228*Settings!$C$16)+(S228*Settings!$C$17)+(T228*Settings!$C$18)+(U228*Settings!$C$19)+(L228*Settings!$C$10)+(Settings!$C$11*M228)</f>
        <v>7.3202651235412364E-2</v>
      </c>
      <c r="D228" s="57" cm="1">
        <f t="array" ref="D228">IF(Settings!$E$12="YES",VLOOKUP(A228,'Player Data'!A1:E673,5,FALSE),82)</f>
        <v>80.655000000000001</v>
      </c>
      <c r="E228" s="55" cm="1">
        <f t="array" ref="E228">(VLOOKUP($A228,'The List'!$B1:$AH671,17,FALSE)-AVERAGE('The List'!R2:R671))/STDEV('The List'!R2:R671)</f>
        <v>-0.27511307920351769</v>
      </c>
      <c r="F228" s="55" cm="1">
        <f t="array" ref="F228">(VLOOKUP($A228,'The List'!$B1:$AH671,18,FALSE)-AVERAGE('The List'!S2:S671))/STDEV('The List'!S2:S671)</f>
        <v>0.45486120373089384</v>
      </c>
      <c r="G228" s="55" cm="1">
        <f t="array" ref="G228">(VLOOKUP($A228,'The List'!$B1:$AH671,19,FALSE)-AVERAGE('The List'!T2:T671))/STDEV('The List'!T2:T671)</f>
        <v>-3.8494636264138529E-2</v>
      </c>
      <c r="H228" s="55" cm="1">
        <f t="array" ref="H228">(VLOOKUP($A228,'The List'!$B1:$AH671,20,FALSE)-AVERAGE('The List'!U2:U671))/STDEV('The List'!U2:U671)</f>
        <v>0.17759909832977114</v>
      </c>
      <c r="I228" s="55" cm="1">
        <f t="array" ref="I228">(VLOOKUP($A228,'The List'!$B1:$AH671,21,FALSE)-AVERAGE('The List'!V2:V671))/STDEV('The List'!V2:V671)</f>
        <v>0.39473108027076442</v>
      </c>
      <c r="J228" s="55" cm="1">
        <f t="array" ref="J228">(VLOOKUP($A228,'The List'!$B1:$AH671,22,FALSE)-AVERAGE('The List'!W2:W671))/STDEV('The List'!W2:W671)</f>
        <v>0.25405181269764704</v>
      </c>
      <c r="K228" s="55" cm="1">
        <f t="array" ref="K228">(VLOOKUP($A228,'The List'!$B1:$AH671,23,FALSE)-AVERAGE('The List'!X2:X671))/STDEV('The List'!X2:X671)</f>
        <v>-0.22518679998337474</v>
      </c>
      <c r="L228" s="55" cm="1">
        <f t="array" ref="L228">(VLOOKUP($A228,'The List'!$B1:$AH671,24,FALSE)-AVERAGE('The List'!Y2:Y671))/STDEV('The List'!Y2:Y671)</f>
        <v>1.8526881047070329</v>
      </c>
      <c r="M228" s="55" cm="1">
        <f t="array" ref="M228">(VLOOKUP($A228,'The List'!$B1:$AH671,25,FALSE)-AVERAGE('The List'!Z2:Z671))/STDEV('The List'!Z2:Z671)</f>
        <v>0.85174617192729751</v>
      </c>
      <c r="N228" s="55" cm="1">
        <f t="array" ref="N228">(VLOOKUP($A228,'The List'!$B1:$AH671,26,FALSE)-AVERAGE('The List'!AA2:AA671))/STDEV('The List'!AA2:AA671)</f>
        <v>-0.60879412894704388</v>
      </c>
      <c r="O228" s="55" cm="1">
        <f t="array" ref="O228">(VLOOKUP($A228,'The List'!$B1:$AH671,27,FALSE)-AVERAGE('The List'!AB2:AB671))/STDEV('The List'!AB2:AB671)</f>
        <v>-1.1710333515177451</v>
      </c>
      <c r="P228" s="55" cm="1">
        <f t="array" ref="P228">(VLOOKUP($A228,'The List'!$B1:$AH671,28,FALSE)-AVERAGE('The List'!AC2:AC671))/STDEV('The List'!AC2:AC671)</f>
        <v>0.94978983857266708</v>
      </c>
      <c r="Q228" s="55" cm="1">
        <f t="array" ref="Q228">(VLOOKUP($A228,'The List'!$B1:$AH671,29,FALSE)-AVERAGE('The List'!AD2:AD671))/STDEV('The List'!AD2:AD671)</f>
        <v>-0.85370390614435587</v>
      </c>
      <c r="R228" s="55" cm="1">
        <f t="array" ref="R228">(VLOOKUP($A228,'The List'!$B1:$AH671,30,FALSE)-AVERAGE('The List'!AE2:AE671))/STDEV('The List'!AE2:AE671)</f>
        <v>0.67001630506740817</v>
      </c>
      <c r="S228" s="55" cm="1">
        <f t="array" ref="S228">(VLOOKUP($A228,'The List'!$B1:$AH671,31,FALSE)-AVERAGE('The List'!AF2:AF671))/STDEV('The List'!AF2:AF671)</f>
        <v>-0.42974262707461131</v>
      </c>
      <c r="T228" s="55" cm="1">
        <f t="array" ref="T228">(VLOOKUP($A228,'The List'!$B1:$AH671,32,FALSE)-AVERAGE('The List'!AG2:AG671))/STDEV('The List'!AG2:AG671)</f>
        <v>-0.39234397369878132</v>
      </c>
      <c r="U228" s="55" cm="1">
        <f t="array" ref="U228">(VLOOKUP($A228,'The List'!$B1:$AH671,33,FALSE)-AVERAGE('The List'!AH2:AH671))/STDEV('The List'!AH2:AH671)</f>
        <v>0.62102881779154229</v>
      </c>
      <c r="V228" s="55"/>
      <c r="W228" s="78"/>
      <c r="X228" s="57"/>
      <c r="Y228" s="57"/>
      <c r="Z228" s="57"/>
      <c r="AA228" s="57"/>
      <c r="AB228" s="57"/>
      <c r="AC228" s="60"/>
      <c r="AD228" s="61"/>
      <c r="AE228" s="55"/>
    </row>
    <row r="229" spans="1:31" ht="21.25" customHeight="1" x14ac:dyDescent="0.15">
      <c r="A229" s="10" t="s">
        <v>423</v>
      </c>
      <c r="B229" s="18" t="str" cm="1">
        <f t="array" ref="B229">VLOOKUP(A229,'Player Data'!A1:B673,2,FALSE)</f>
        <v>PIT</v>
      </c>
      <c r="C229" s="52" cm="1">
        <f t="array" ref="C229">((E229)*Settings!$C$12)+(F229*Settings!$C$2)+(G229*Settings!$C$3)+(H229*Settings!$C$4)+(I229*Settings!$C$5)+(K229*Settings!$C$9)+(N229*Settings!$C$6)+(J229*Settings!$C$8)+(O229*Settings!$C$7)+(P229*Settings!$C$14)+(Q229*Settings!$C$15)+(R229*Settings!$C$16)+(S229*Settings!$C$17)+(T229*Settings!$C$18)+(U229*Settings!$C$19)+(L229*Settings!$C$10)+(Settings!$C$11*M229)</f>
        <v>0.25086034548364522</v>
      </c>
      <c r="D229" s="57" cm="1">
        <f t="array" ref="D229">IF(Settings!$E$12="YES",VLOOKUP(A229,'Player Data'!A1:E673,5,FALSE),82)</f>
        <v>81.954999999999998</v>
      </c>
      <c r="E229" s="55" cm="1">
        <f t="array" ref="E229">(VLOOKUP($A229,'The List'!$B1:$AH671,17,FALSE)-AVERAGE('The List'!R2:R671))/STDEV('The List'!R2:R671)</f>
        <v>-0.23981374759703447</v>
      </c>
      <c r="F229" s="55" cm="1">
        <f t="array" ref="F229">(VLOOKUP($A229,'The List'!$B1:$AH671,18,FALSE)-AVERAGE('The List'!S2:S671))/STDEV('The List'!S2:S671)</f>
        <v>0.46113523939448631</v>
      </c>
      <c r="G229" s="55" cm="1">
        <f t="array" ref="G229">(VLOOKUP($A229,'The List'!$B1:$AH671,19,FALSE)-AVERAGE('The List'!T2:T671))/STDEV('The List'!T2:T671)</f>
        <v>-0.14155258796759373</v>
      </c>
      <c r="H229" s="55" cm="1">
        <f t="array" ref="H229">(VLOOKUP($A229,'The List'!$B1:$AH671,20,FALSE)-AVERAGE('The List'!U2:U671))/STDEV('The List'!U2:U671)</f>
        <v>0.11555984381885566</v>
      </c>
      <c r="I229" s="55" cm="1">
        <f t="array" ref="I229">(VLOOKUP($A229,'The List'!$B1:$AH671,21,FALSE)-AVERAGE('The List'!V2:V671))/STDEV('The List'!V2:V671)</f>
        <v>0.57362290690310369</v>
      </c>
      <c r="J229" s="55" cm="1">
        <f t="array" ref="J229">(VLOOKUP($A229,'The List'!$B1:$AH671,22,FALSE)-AVERAGE('The List'!W2:W671))/STDEV('The List'!W2:W671)</f>
        <v>0.26397310996442697</v>
      </c>
      <c r="K229" s="55" cm="1">
        <f t="array" ref="K229">(VLOOKUP($A229,'The List'!$B1:$AH671,23,FALSE)-AVERAGE('The List'!X2:X671))/STDEV('The List'!X2:X671)</f>
        <v>0.13032391827682177</v>
      </c>
      <c r="L229" s="55" cm="1">
        <f t="array" ref="L229">(VLOOKUP($A229,'The List'!$B1:$AH671,24,FALSE)-AVERAGE('The List'!Y2:Y671))/STDEV('The List'!Y2:Y671)</f>
        <v>-5.6966415654454046E-2</v>
      </c>
      <c r="M229" s="55" cm="1">
        <f t="array" ref="M229">(VLOOKUP($A229,'The List'!$B1:$AH671,25,FALSE)-AVERAGE('The List'!Z2:Z671))/STDEV('The List'!Z2:Z671)</f>
        <v>1.2448148833284374</v>
      </c>
      <c r="N229" s="55" cm="1">
        <f t="array" ref="N229">(VLOOKUP($A229,'The List'!$B1:$AH671,26,FALSE)-AVERAGE('The List'!AA2:AA671))/STDEV('The List'!AA2:AA671)</f>
        <v>-4.0696187498213167E-2</v>
      </c>
      <c r="O229" s="55" cm="1">
        <f t="array" ref="O229">(VLOOKUP($A229,'The List'!$B1:$AH671,27,FALSE)-AVERAGE('The List'!AB2:AB671))/STDEV('The List'!AB2:AB671)</f>
        <v>-0.88151677635255199</v>
      </c>
      <c r="P229" s="55" cm="1">
        <f t="array" ref="P229">(VLOOKUP($A229,'The List'!$B1:$AH671,28,FALSE)-AVERAGE('The List'!AC2:AC671))/STDEV('The List'!AC2:AC671)</f>
        <v>-0.16612833254083495</v>
      </c>
      <c r="Q229" s="55" cm="1">
        <f t="array" ref="Q229">(VLOOKUP($A229,'The List'!$B1:$AH671,29,FALSE)-AVERAGE('The List'!AD2:AD671))/STDEV('The List'!AD2:AD671)</f>
        <v>-0.56584461108412465</v>
      </c>
      <c r="R229" s="55" cm="1">
        <f t="array" ref="R229">(VLOOKUP($A229,'The List'!$B1:$AH671,30,FALSE)-AVERAGE('The List'!AE2:AE671))/STDEV('The List'!AE2:AE671)</f>
        <v>0.32704147793220834</v>
      </c>
      <c r="S229" s="55" cm="1">
        <f t="array" ref="S229">(VLOOKUP($A229,'The List'!$B1:$AH671,31,FALSE)-AVERAGE('The List'!AF2:AF671))/STDEV('The List'!AF2:AF671)</f>
        <v>0.91579081482284841</v>
      </c>
      <c r="T229" s="55" cm="1">
        <f t="array" ref="T229">(VLOOKUP($A229,'The List'!$B1:$AH671,32,FALSE)-AVERAGE('The List'!AG2:AG671))/STDEV('The List'!AG2:AG671)</f>
        <v>1.4464200533766931</v>
      </c>
      <c r="U229" s="55" cm="1">
        <f t="array" ref="U229">(VLOOKUP($A229,'The List'!$B1:$AH671,33,FALSE)-AVERAGE('The List'!AH2:AH671))/STDEV('The List'!AH2:AH671)</f>
        <v>0.74252983349507884</v>
      </c>
      <c r="V229" s="55"/>
      <c r="W229" s="78"/>
      <c r="X229" s="57"/>
      <c r="Y229" s="57"/>
      <c r="Z229" s="57"/>
      <c r="AA229" s="57"/>
      <c r="AB229" s="57"/>
      <c r="AC229" s="60"/>
      <c r="AD229" s="61"/>
      <c r="AE229" s="55"/>
    </row>
    <row r="230" spans="1:31" ht="21.25" customHeight="1" x14ac:dyDescent="0.15">
      <c r="A230" s="10" t="s">
        <v>475</v>
      </c>
      <c r="B230" s="18" t="str" cm="1">
        <f t="array" ref="B230">VLOOKUP(A230,'Player Data'!A1:B673,2,FALSE)</f>
        <v>S.J</v>
      </c>
      <c r="C230" s="52" cm="1">
        <f t="array" ref="C230">((E230)*Settings!$C$12)+(F230*Settings!$C$2)+(G230*Settings!$C$3)+(H230*Settings!$C$4)+(I230*Settings!$C$5)+(K230*Settings!$C$9)+(N230*Settings!$C$6)+(J230*Settings!$C$8)+(O230*Settings!$C$7)+(P230*Settings!$C$14)+(Q230*Settings!$C$15)+(R230*Settings!$C$16)+(S230*Settings!$C$17)+(T230*Settings!$C$18)+(U230*Settings!$C$19)+(L230*Settings!$C$10)+(Settings!$C$11*M230)</f>
        <v>0.93339761750421846</v>
      </c>
      <c r="D230" s="57" cm="1">
        <f t="array" ref="D230">IF(Settings!$E$12="YES",VLOOKUP(A230,'Player Data'!A1:E673,5,FALSE),82)</f>
        <v>80.305000000000007</v>
      </c>
      <c r="E230" s="55" cm="1">
        <f t="array" ref="E230">(VLOOKUP($A230,'The List'!$B1:$AH671,17,FALSE)-AVERAGE('The List'!R2:R671))/STDEV('The List'!R2:R671)</f>
        <v>5.9062915190557577E-2</v>
      </c>
      <c r="F230" s="55" cm="1">
        <f t="array" ref="F230">(VLOOKUP($A230,'The List'!$B1:$AH671,18,FALSE)-AVERAGE('The List'!S2:S671))/STDEV('The List'!S2:S671)</f>
        <v>0.67313705955649095</v>
      </c>
      <c r="G230" s="55" cm="1">
        <f t="array" ref="G230">(VLOOKUP($A230,'The List'!$B1:$AH671,19,FALSE)-AVERAGE('The List'!T2:T671))/STDEV('The List'!T2:T671)</f>
        <v>-0.35675165989276181</v>
      </c>
      <c r="H230" s="55" cm="1">
        <f t="array" ref="H230">(VLOOKUP($A230,'The List'!$B1:$AH671,20,FALSE)-AVERAGE('The List'!U2:U671))/STDEV('The List'!U2:U671)</f>
        <v>7.4261359319570924E-2</v>
      </c>
      <c r="I230" s="55" cm="1">
        <f t="array" ref="I230">(VLOOKUP($A230,'The List'!$B1:$AH671,21,FALSE)-AVERAGE('The List'!V2:V671))/STDEV('The List'!V2:V671)</f>
        <v>0.84051974362726045</v>
      </c>
      <c r="J230" s="55" cm="1">
        <f t="array" ref="J230">(VLOOKUP($A230,'The List'!$B1:$AH671,22,FALSE)-AVERAGE('The List'!W2:W671))/STDEV('The List'!W2:W671)</f>
        <v>0.34438879765290054</v>
      </c>
      <c r="K230" s="55" cm="1">
        <f t="array" ref="K230">(VLOOKUP($A230,'The List'!$B1:$AH671,23,FALSE)-AVERAGE('The List'!X2:X671))/STDEV('The List'!X2:X671)</f>
        <v>-1.8522577694898484E-2</v>
      </c>
      <c r="L230" s="55" cm="1">
        <f t="array" ref="L230">(VLOOKUP($A230,'The List'!$B1:$AH671,24,FALSE)-AVERAGE('The List'!Y2:Y671))/STDEV('The List'!Y2:Y671)</f>
        <v>2.3661316178032616</v>
      </c>
      <c r="M230" s="55" cm="1">
        <f t="array" ref="M230">(VLOOKUP($A230,'The List'!$B1:$AH671,25,FALSE)-AVERAGE('The List'!Z2:Z671))/STDEV('The List'!Z2:Z671)</f>
        <v>1.7883894207594697</v>
      </c>
      <c r="N230" s="55" cm="1">
        <f t="array" ref="N230">(VLOOKUP($A230,'The List'!$B1:$AH671,26,FALSE)-AVERAGE('The List'!AA2:AA671))/STDEV('The List'!AA2:AA671)</f>
        <v>-0.69118708469288481</v>
      </c>
      <c r="O230" s="55" cm="1">
        <f t="array" ref="O230">(VLOOKUP($A230,'The List'!$B1:$AH671,27,FALSE)-AVERAGE('The List'!AB2:AB671))/STDEV('The List'!AB2:AB671)</f>
        <v>5.4904499215274667</v>
      </c>
      <c r="P230" s="55" cm="1">
        <f t="array" ref="P230">(VLOOKUP($A230,'The List'!$B1:$AH671,28,FALSE)-AVERAGE('The List'!AC2:AC671))/STDEV('The List'!AC2:AC671)</f>
        <v>-0.38780071630290397</v>
      </c>
      <c r="Q230" s="55" cm="1">
        <f t="array" ref="Q230">(VLOOKUP($A230,'The List'!$B1:$AH671,29,FALSE)-AVERAGE('The List'!AD2:AD671))/STDEV('The List'!AD2:AD671)</f>
        <v>0.87400285290391611</v>
      </c>
      <c r="R230" s="55" cm="1">
        <f t="array" ref="R230">(VLOOKUP($A230,'The List'!$B1:$AH671,30,FALSE)-AVERAGE('The List'!AE2:AE671))/STDEV('The List'!AE2:AE671)</f>
        <v>0.45323215137259909</v>
      </c>
      <c r="S230" s="55" cm="1">
        <f t="array" ref="S230">(VLOOKUP($A230,'The List'!$B1:$AH671,31,FALSE)-AVERAGE('The List'!AF2:AF671))/STDEV('The List'!AF2:AF671)</f>
        <v>-0.49482876449724772</v>
      </c>
      <c r="T230" s="55" cm="1">
        <f t="array" ref="T230">(VLOOKUP($A230,'The List'!$B1:$AH671,32,FALSE)-AVERAGE('The List'!AG2:AG671))/STDEV('The List'!AG2:AG671)</f>
        <v>-0.49565025720364131</v>
      </c>
      <c r="U230" s="55" cm="1">
        <f t="array" ref="U230">(VLOOKUP($A230,'The List'!$B1:$AH671,33,FALSE)-AVERAGE('The List'!AH2:AH671))/STDEV('The List'!AH2:AH671)</f>
        <v>0.64132142241530721</v>
      </c>
      <c r="V230" s="55"/>
      <c r="W230" s="78"/>
      <c r="X230" s="57"/>
      <c r="Y230" s="57"/>
      <c r="Z230" s="57"/>
      <c r="AA230" s="57"/>
      <c r="AB230" s="57"/>
      <c r="AC230" s="60"/>
      <c r="AD230" s="61"/>
      <c r="AE230" s="55"/>
    </row>
    <row r="231" spans="1:31" ht="21.25" customHeight="1" x14ac:dyDescent="0.15">
      <c r="A231" s="10" t="s">
        <v>484</v>
      </c>
      <c r="B231" s="18" t="str" cm="1">
        <f t="array" ref="B231">VLOOKUP(A231,'Player Data'!A1:B673,2,FALSE)</f>
        <v>ANA</v>
      </c>
      <c r="C231" s="52" cm="1">
        <f t="array" ref="C231">((E231)*Settings!$C$12)+(F231*Settings!$C$2)+(G231*Settings!$C$3)+(H231*Settings!$C$4)+(I231*Settings!$C$5)+(K231*Settings!$C$9)+(N231*Settings!$C$6)+(J231*Settings!$C$8)+(O231*Settings!$C$7)+(P231*Settings!$C$14)+(Q231*Settings!$C$15)+(R231*Settings!$C$16)+(S231*Settings!$C$17)+(T231*Settings!$C$18)+(U231*Settings!$C$19)+(L231*Settings!$C$10)+(Settings!$C$11*M231)</f>
        <v>-3.6919974411562135</v>
      </c>
      <c r="D231" s="57" cm="1">
        <f t="array" ref="D231">IF(Settings!$E$12="YES",VLOOKUP(A231,'Player Data'!A1:E673,5,FALSE),82)</f>
        <v>68</v>
      </c>
      <c r="E231" s="55" cm="1">
        <f t="array" ref="E231">(VLOOKUP($A231,'The List'!$B1:$AH671,17,FALSE)-AVERAGE('The List'!R2:R671))/STDEV('The List'!R2:R671)</f>
        <v>1.6319380997576474E-2</v>
      </c>
      <c r="F231" s="55" cm="1">
        <f t="array" ref="F231">(VLOOKUP($A231,'The List'!$B1:$AH671,18,FALSE)-AVERAGE('The List'!S2:S671))/STDEV('The List'!S2:S671)</f>
        <v>-0.77803221959438706</v>
      </c>
      <c r="G231" s="55" cm="1">
        <f t="array" ref="G231">(VLOOKUP($A231,'The List'!$B1:$AH671,19,FALSE)-AVERAGE('The List'!T2:T671))/STDEV('The List'!T2:T671)</f>
        <v>-0.71686998971208371</v>
      </c>
      <c r="H231" s="55" cm="1">
        <f t="array" ref="H231">(VLOOKUP($A231,'The List'!$B1:$AH671,20,FALSE)-AVERAGE('The List'!U2:U671))/STDEV('The List'!U2:U671)</f>
        <v>-0.79610341074684199</v>
      </c>
      <c r="I231" s="55" cm="1">
        <f t="array" ref="I231">(VLOOKUP($A231,'The List'!$B1:$AH671,21,FALSE)-AVERAGE('The List'!V2:V671))/STDEV('The List'!V2:V671)</f>
        <v>-0.71642065043590009</v>
      </c>
      <c r="J231" s="55" cm="1">
        <f t="array" ref="J231">(VLOOKUP($A231,'The List'!$B1:$AH671,22,FALSE)-AVERAGE('The List'!W2:W671))/STDEV('The List'!W2:W671)</f>
        <v>-0.73197726141795527</v>
      </c>
      <c r="K231" s="55" cm="1">
        <f t="array" ref="K231">(VLOOKUP($A231,'The List'!$B1:$AH671,23,FALSE)-AVERAGE('The List'!X2:X671))/STDEV('The List'!X2:X671)</f>
        <v>-0.76429272707463169</v>
      </c>
      <c r="L231" s="55" cm="1">
        <f t="array" ref="L231">(VLOOKUP($A231,'The List'!$B1:$AH671,24,FALSE)-AVERAGE('The List'!Y2:Y671))/STDEV('The List'!Y2:Y671)</f>
        <v>-0.56569022661034529</v>
      </c>
      <c r="M231" s="55" cm="1">
        <f t="array" ref="M231">(VLOOKUP($A231,'The List'!$B1:$AH671,25,FALSE)-AVERAGE('The List'!Z2:Z671))/STDEV('The List'!Z2:Z671)</f>
        <v>-0.70756870995144849</v>
      </c>
      <c r="N231" s="55" cm="1">
        <f t="array" ref="N231">(VLOOKUP($A231,'The List'!$B1:$AH671,26,FALSE)-AVERAGE('The List'!AA2:AA671))/STDEV('The List'!AA2:AA671)</f>
        <v>0.46617854191935876</v>
      </c>
      <c r="O231" s="55" cm="1">
        <f t="array" ref="O231">(VLOOKUP($A231,'The List'!$B1:$AH671,27,FALSE)-AVERAGE('The List'!AB2:AB671))/STDEV('The List'!AB2:AB671)</f>
        <v>-0.55173661067867785</v>
      </c>
      <c r="P231" s="55" cm="1">
        <f t="array" ref="P231">(VLOOKUP($A231,'The List'!$B1:$AH671,28,FALSE)-AVERAGE('The List'!AC2:AC671))/STDEV('The List'!AC2:AC671)</f>
        <v>-0.67026357964780148</v>
      </c>
      <c r="Q231" s="55" cm="1">
        <f t="array" ref="Q231">(VLOOKUP($A231,'The List'!$B1:$AH671,29,FALSE)-AVERAGE('The List'!AD2:AD671))/STDEV('The List'!AD2:AD671)</f>
        <v>-0.5122968166107682</v>
      </c>
      <c r="R231" s="55" cm="1">
        <f t="array" ref="R231">(VLOOKUP($A231,'The List'!$B1:$AH671,30,FALSE)-AVERAGE('The List'!AE2:AE671))/STDEV('The List'!AE2:AE671)</f>
        <v>-0.79157855827453516</v>
      </c>
      <c r="S231" s="55" cm="1">
        <f t="array" ref="S231">(VLOOKUP($A231,'The List'!$B1:$AH671,31,FALSE)-AVERAGE('The List'!AF2:AF671))/STDEV('The List'!AF2:AF671)</f>
        <v>-0.5939690971349143</v>
      </c>
      <c r="T231" s="55" cm="1">
        <f t="array" ref="T231">(VLOOKUP($A231,'The List'!$B1:$AH671,32,FALSE)-AVERAGE('The List'!AG2:AG671))/STDEV('The List'!AG2:AG671)</f>
        <v>-0.64602208138248207</v>
      </c>
      <c r="U231" s="55" cm="1">
        <f t="array" ref="U231">(VLOOKUP($A231,'The List'!$B1:$AH671,33,FALSE)-AVERAGE('The List'!AH2:AH671))/STDEV('The List'!AH2:AH671)</f>
        <v>-1.2548938914719048</v>
      </c>
      <c r="V231" s="55"/>
      <c r="W231" s="78"/>
      <c r="X231" s="57"/>
      <c r="Y231" s="57"/>
      <c r="Z231" s="57"/>
      <c r="AA231" s="57"/>
      <c r="AB231" s="57"/>
      <c r="AC231" s="60"/>
      <c r="AD231" s="61"/>
      <c r="AE231" s="55"/>
    </row>
    <row r="232" spans="1:31" ht="21.25" customHeight="1" x14ac:dyDescent="0.15">
      <c r="A232" s="10" t="s">
        <v>473</v>
      </c>
      <c r="B232" s="18" t="str" cm="1">
        <f t="array" ref="B232">VLOOKUP(A232,'Player Data'!A1:B673,2,FALSE)</f>
        <v>CGY</v>
      </c>
      <c r="C232" s="52" cm="1">
        <f t="array" ref="C232">((E232)*Settings!$C$12)+(F232*Settings!$C$2)+(G232*Settings!$C$3)+(H232*Settings!$C$4)+(I232*Settings!$C$5)+(K232*Settings!$C$9)+(N232*Settings!$C$6)+(J232*Settings!$C$8)+(O232*Settings!$C$7)+(P232*Settings!$C$14)+(Q232*Settings!$C$15)+(R232*Settings!$C$16)+(S232*Settings!$C$17)+(T232*Settings!$C$18)+(U232*Settings!$C$19)+(L232*Settings!$C$10)+(Settings!$C$11*M232)</f>
        <v>-1.4841110149228107</v>
      </c>
      <c r="D232" s="57" cm="1">
        <f t="array" ref="D232">IF(Settings!$E$12="YES",VLOOKUP(A232,'Player Data'!A1:E673,5,FALSE),82)</f>
        <v>83.892499999999998</v>
      </c>
      <c r="E232" s="55" cm="1">
        <f t="array" ref="E232">(VLOOKUP($A232,'The List'!$B1:$AH671,17,FALSE)-AVERAGE('The List'!R2:R671))/STDEV('The List'!R2:R671)</f>
        <v>8.0379977476185652E-2</v>
      </c>
      <c r="F232" s="55" cm="1">
        <f t="array" ref="F232">(VLOOKUP($A232,'The List'!$B1:$AH671,18,FALSE)-AVERAGE('The List'!S2:S671))/STDEV('The List'!S2:S671)</f>
        <v>0.57269353774291165</v>
      </c>
      <c r="G232" s="55" cm="1">
        <f t="array" ref="G232">(VLOOKUP($A232,'The List'!$B1:$AH671,19,FALSE)-AVERAGE('The List'!T2:T671))/STDEV('The List'!T2:T671)</f>
        <v>-0.22331968545566536</v>
      </c>
      <c r="H232" s="55" cm="1">
        <f t="array" ref="H232">(VLOOKUP($A232,'The List'!$B1:$AH671,20,FALSE)-AVERAGE('The List'!U2:U671))/STDEV('The List'!U2:U671)</f>
        <v>0.11362476130171018</v>
      </c>
      <c r="I232" s="55" cm="1">
        <f t="array" ref="I232">(VLOOKUP($A232,'The List'!$B1:$AH671,21,FALSE)-AVERAGE('The List'!V2:V671))/STDEV('The List'!V2:V671)</f>
        <v>0.53861396110151716</v>
      </c>
      <c r="J232" s="55" cm="1">
        <f t="array" ref="J232">(VLOOKUP($A232,'The List'!$B1:$AH671,22,FALSE)-AVERAGE('The List'!W2:W671))/STDEV('The List'!W2:W671)</f>
        <v>-0.47326223658693178</v>
      </c>
      <c r="K232" s="55" cm="1">
        <f t="array" ref="K232">(VLOOKUP($A232,'The List'!$B1:$AH671,23,FALSE)-AVERAGE('The List'!X2:X671))/STDEV('The List'!X2:X671)</f>
        <v>-0.43577047912446654</v>
      </c>
      <c r="L232" s="55" cm="1">
        <f t="array" ref="L232">(VLOOKUP($A232,'The List'!$B1:$AH671,24,FALSE)-AVERAGE('The List'!Y2:Y671))/STDEV('The List'!Y2:Y671)</f>
        <v>4.4950951166034763</v>
      </c>
      <c r="M232" s="55" cm="1">
        <f t="array" ref="M232">(VLOOKUP($A232,'The List'!$B1:$AH671,25,FALSE)-AVERAGE('The List'!Z2:Z671))/STDEV('The List'!Z2:Z671)</f>
        <v>3.4687197516612214</v>
      </c>
      <c r="N232" s="55" cm="1">
        <f t="array" ref="N232">(VLOOKUP($A232,'The List'!$B1:$AH671,26,FALSE)-AVERAGE('The List'!AA2:AA671))/STDEV('The List'!AA2:AA671)</f>
        <v>-0.2004697154314469</v>
      </c>
      <c r="O232" s="55" cm="1">
        <f t="array" ref="O232">(VLOOKUP($A232,'The List'!$B1:$AH671,27,FALSE)-AVERAGE('The List'!AB2:AB671))/STDEV('The List'!AB2:AB671)</f>
        <v>-0.37144647501928935</v>
      </c>
      <c r="P232" s="55" cm="1">
        <f t="array" ref="P232">(VLOOKUP($A232,'The List'!$B1:$AH671,28,FALSE)-AVERAGE('The List'!AC2:AC671))/STDEV('The List'!AC2:AC671)</f>
        <v>-1.7727284511355155</v>
      </c>
      <c r="Q232" s="55" cm="1">
        <f t="array" ref="Q232">(VLOOKUP($A232,'The List'!$B1:$AH671,29,FALSE)-AVERAGE('The List'!AD2:AD671))/STDEV('The List'!AD2:AD671)</f>
        <v>3.6869817379854668E-2</v>
      </c>
      <c r="R232" s="55" cm="1">
        <f t="array" ref="R232">(VLOOKUP($A232,'The List'!$B1:$AH671,30,FALSE)-AVERAGE('The List'!AE2:AE671))/STDEV('The List'!AE2:AE671)</f>
        <v>0.41339094477449911</v>
      </c>
      <c r="S232" s="55" cm="1">
        <f t="array" ref="S232">(VLOOKUP($A232,'The List'!$B1:$AH671,31,FALSE)-AVERAGE('The List'!AF2:AF671))/STDEV('The List'!AF2:AF671)</f>
        <v>-0.46859206051755015</v>
      </c>
      <c r="T232" s="55" cm="1">
        <f t="array" ref="T232">(VLOOKUP($A232,'The List'!$B1:$AH671,32,FALSE)-AVERAGE('The List'!AG2:AG671))/STDEV('The List'!AG2:AG671)</f>
        <v>-0.45288262859604306</v>
      </c>
      <c r="U232" s="55" cm="1">
        <f t="array" ref="U232">(VLOOKUP($A232,'The List'!$B1:$AH671,33,FALSE)-AVERAGE('The List'!AH2:AH671))/STDEV('The List'!AH2:AH671)</f>
        <v>0.62406403889978224</v>
      </c>
      <c r="V232" s="55"/>
      <c r="W232" s="78"/>
      <c r="X232" s="57"/>
      <c r="Y232" s="57"/>
      <c r="Z232" s="57"/>
      <c r="AA232" s="57"/>
      <c r="AB232" s="57"/>
      <c r="AC232" s="60"/>
      <c r="AD232" s="61"/>
      <c r="AE232" s="55"/>
    </row>
    <row r="233" spans="1:31" ht="21.25" customHeight="1" x14ac:dyDescent="0.15">
      <c r="A233" s="10" t="s">
        <v>579</v>
      </c>
      <c r="B233" s="18" t="str" cm="1">
        <f t="array" ref="B233">VLOOKUP(A233,'Player Data'!A1:B673,2,FALSE)</f>
        <v>BUF</v>
      </c>
      <c r="C233" s="52" cm="1">
        <f t="array" ref="C233">((E233)*Settings!$C$12)+(F233*Settings!$C$2)+(G233*Settings!$C$3)+(H233*Settings!$C$4)+(I233*Settings!$C$5)+(K233*Settings!$C$9)+(N233*Settings!$C$6)+(J233*Settings!$C$8)+(O233*Settings!$C$7)+(P233*Settings!$C$14)+(Q233*Settings!$C$15)+(R233*Settings!$C$16)+(S233*Settings!$C$17)+(T233*Settings!$C$18)+(U233*Settings!$C$19)+(L233*Settings!$C$10)+(Settings!$C$11*M233)</f>
        <v>-0.57504589690850993</v>
      </c>
      <c r="D233" s="57" cm="1">
        <f t="array" ref="D233">IF(Settings!$E$12="YES",VLOOKUP(A233,'Player Data'!A1:E673,5,FALSE),82)</f>
        <v>77.942499999999995</v>
      </c>
      <c r="E233" s="55" cm="1">
        <f t="array" ref="E233">(VLOOKUP($A233,'The List'!$B1:$AH671,17,FALSE)-AVERAGE('The List'!R2:R671))/STDEV('The List'!R2:R671)</f>
        <v>-0.93454023817541465</v>
      </c>
      <c r="F233" s="55" cm="1">
        <f t="array" ref="F233">(VLOOKUP($A233,'The List'!$B1:$AH671,18,FALSE)-AVERAGE('The List'!S2:S671))/STDEV('The List'!S2:S671)</f>
        <v>0.25052511211443523</v>
      </c>
      <c r="G233" s="55" cm="1">
        <f t="array" ref="G233">(VLOOKUP($A233,'The List'!$B1:$AH671,19,FALSE)-AVERAGE('The List'!T2:T671))/STDEV('The List'!T2:T671)</f>
        <v>-0.20063278145588842</v>
      </c>
      <c r="H233" s="55" cm="1">
        <f t="array" ref="H233">(VLOOKUP($A233,'The List'!$B1:$AH671,20,FALSE)-AVERAGE('The List'!U2:U671))/STDEV('The List'!U2:U671)</f>
        <v>-1.504441804906515E-2</v>
      </c>
      <c r="I233" s="55" cm="1">
        <f t="array" ref="I233">(VLOOKUP($A233,'The List'!$B1:$AH671,21,FALSE)-AVERAGE('The List'!V2:V671))/STDEV('The List'!V2:V671)</f>
        <v>8.4894330664331621E-2</v>
      </c>
      <c r="J233" s="55" cm="1">
        <f t="array" ref="J233">(VLOOKUP($A233,'The List'!$B1:$AH671,22,FALSE)-AVERAGE('The List'!W2:W671))/STDEV('The List'!W2:W671)</f>
        <v>0.50147880420675983</v>
      </c>
      <c r="K233" s="55" cm="1">
        <f t="array" ref="K233">(VLOOKUP($A233,'The List'!$B1:$AH671,23,FALSE)-AVERAGE('The List'!X2:X671))/STDEV('The List'!X2:X671)</f>
        <v>8.9860775899063064E-3</v>
      </c>
      <c r="L233" s="55" cm="1">
        <f t="array" ref="L233">(VLOOKUP($A233,'The List'!$B1:$AH671,24,FALSE)-AVERAGE('The List'!Y2:Y671))/STDEV('The List'!Y2:Y671)</f>
        <v>-0.56215379365727591</v>
      </c>
      <c r="M233" s="55" cm="1">
        <f t="array" ref="M233">(VLOOKUP($A233,'The List'!$B1:$AH671,25,FALSE)-AVERAGE('The List'!Z2:Z671))/STDEV('The List'!Z2:Z671)</f>
        <v>-0.70405930917376613</v>
      </c>
      <c r="N233" s="55" cm="1">
        <f t="array" ref="N233">(VLOOKUP($A233,'The List'!$B1:$AH671,26,FALSE)-AVERAGE('The List'!AA2:AA671))/STDEV('The List'!AA2:AA671)</f>
        <v>-0.98695980523428173</v>
      </c>
      <c r="O233" s="55" cm="1">
        <f t="array" ref="O233">(VLOOKUP($A233,'The List'!$B1:$AH671,27,FALSE)-AVERAGE('The List'!AB2:AB671))/STDEV('The List'!AB2:AB671)</f>
        <v>-0.32593526528012023</v>
      </c>
      <c r="P233" s="55" cm="1">
        <f t="array" ref="P233">(VLOOKUP($A233,'The List'!$B1:$AH671,28,FALSE)-AVERAGE('The List'!AC2:AC671))/STDEV('The List'!AC2:AC671)</f>
        <v>0.27256314827430816</v>
      </c>
      <c r="Q233" s="55" cm="1">
        <f t="array" ref="Q233">(VLOOKUP($A233,'The List'!$B1:$AH671,29,FALSE)-AVERAGE('The List'!AD2:AD671))/STDEV('The List'!AD2:AD671)</f>
        <v>-4.4219788613211533E-3</v>
      </c>
      <c r="R233" s="55" cm="1">
        <f t="array" ref="R233">(VLOOKUP($A233,'The List'!$B1:$AH671,30,FALSE)-AVERAGE('The List'!AE2:AE671))/STDEV('The List'!AE2:AE671)</f>
        <v>0.19482365728719767</v>
      </c>
      <c r="S233" s="55" cm="1">
        <f t="array" ref="S233">(VLOOKUP($A233,'The List'!$B1:$AH671,31,FALSE)-AVERAGE('The List'!AF2:AF671))/STDEV('The List'!AF2:AF671)</f>
        <v>-0.38434005224079854</v>
      </c>
      <c r="T233" s="55" cm="1">
        <f t="array" ref="T233">(VLOOKUP($A233,'The List'!$B1:$AH671,32,FALSE)-AVERAGE('The List'!AG2:AG671))/STDEV('The List'!AG2:AG671)</f>
        <v>-0.30001696599804217</v>
      </c>
      <c r="U233" s="55" cm="1">
        <f t="array" ref="U233">(VLOOKUP($A233,'The List'!$B1:$AH671,33,FALSE)-AVERAGE('The List'!AH2:AH671))/STDEV('The List'!AH2:AH671)</f>
        <v>0.54788883632090324</v>
      </c>
      <c r="V233" s="55"/>
      <c r="W233" s="57"/>
      <c r="X233" s="55"/>
      <c r="Y233" s="55"/>
      <c r="Z233" s="55"/>
      <c r="AA233" s="55"/>
      <c r="AB233" s="55"/>
      <c r="AC233" s="55"/>
      <c r="AD233" s="55"/>
      <c r="AE233" s="55"/>
    </row>
    <row r="234" spans="1:31" ht="21.25" customHeight="1" x14ac:dyDescent="0.15">
      <c r="A234" s="10" t="s">
        <v>578</v>
      </c>
      <c r="B234" s="18" t="str" cm="1">
        <f t="array" ref="B234">VLOOKUP(A234,'Player Data'!A1:B673,2,FALSE)</f>
        <v>MIN</v>
      </c>
      <c r="C234" s="52" cm="1">
        <f t="array" ref="C234">((E234)*Settings!$C$12)+(F234*Settings!$C$2)+(G234*Settings!$C$3)+(H234*Settings!$C$4)+(I234*Settings!$C$5)+(K234*Settings!$C$9)+(N234*Settings!$C$6)+(J234*Settings!$C$8)+(O234*Settings!$C$7)+(P234*Settings!$C$14)+(Q234*Settings!$C$15)+(R234*Settings!$C$16)+(S234*Settings!$C$17)+(T234*Settings!$C$18)+(U234*Settings!$C$19)+(L234*Settings!$C$10)+(Settings!$C$11*M234)</f>
        <v>-1.3722206553414873</v>
      </c>
      <c r="D234" s="57" cm="1">
        <f t="array" ref="D234">IF(Settings!$E$12="YES",VLOOKUP(A234,'Player Data'!A1:E673,5,FALSE),82)</f>
        <v>78.632499999999993</v>
      </c>
      <c r="E234" s="55" cm="1">
        <f t="array" ref="E234">(VLOOKUP($A234,'The List'!$B1:$AH671,17,FALSE)-AVERAGE('The List'!R2:R671))/STDEV('The List'!R2:R671)</f>
        <v>-0.56693646182229218</v>
      </c>
      <c r="F234" s="55" cm="1">
        <f t="array" ref="F234">(VLOOKUP($A234,'The List'!$B1:$AH671,18,FALSE)-AVERAGE('The List'!S2:S671))/STDEV('The List'!S2:S671)</f>
        <v>0.12827147962459637</v>
      </c>
      <c r="G234" s="55" cm="1">
        <f t="array" ref="G234">(VLOOKUP($A234,'The List'!$B1:$AH671,19,FALSE)-AVERAGE('The List'!T2:T671))/STDEV('The List'!T2:T671)</f>
        <v>-9.5714923583487779E-2</v>
      </c>
      <c r="H234" s="55" cm="1">
        <f t="array" ref="H234">(VLOOKUP($A234,'The List'!$B1:$AH671,20,FALSE)-AVERAGE('The List'!U2:U671))/STDEV('The List'!U2:U671)</f>
        <v>-3.2929165456825251E-3</v>
      </c>
      <c r="I234" s="55" cm="1">
        <f t="array" ref="I234">(VLOOKUP($A234,'The List'!$B1:$AH671,21,FALSE)-AVERAGE('The List'!V2:V671))/STDEV('The List'!V2:V671)</f>
        <v>-0.20968711453522249</v>
      </c>
      <c r="J234" s="55" cm="1">
        <f t="array" ref="J234">(VLOOKUP($A234,'The List'!$B1:$AH671,22,FALSE)-AVERAGE('The List'!W2:W671))/STDEV('The List'!W2:W671)</f>
        <v>-0.13810767039233948</v>
      </c>
      <c r="K234" s="55" cm="1">
        <f t="array" ref="K234">(VLOOKUP($A234,'The List'!$B1:$AH671,23,FALSE)-AVERAGE('The List'!X2:X671))/STDEV('The List'!X2:X671)</f>
        <v>-0.31503513386091864</v>
      </c>
      <c r="L234" s="55" cm="1">
        <f t="array" ref="L234">(VLOOKUP($A234,'The List'!$B1:$AH671,24,FALSE)-AVERAGE('The List'!Y2:Y671))/STDEV('The List'!Y2:Y671)</f>
        <v>-0.54217524032011022</v>
      </c>
      <c r="M234" s="55" cm="1">
        <f t="array" ref="M234">(VLOOKUP($A234,'The List'!$B1:$AH671,25,FALSE)-AVERAGE('The List'!Z2:Z671))/STDEV('The List'!Z2:Z671)</f>
        <v>-0.68448458960094039</v>
      </c>
      <c r="N234" s="55" cm="1">
        <f t="array" ref="N234">(VLOOKUP($A234,'The List'!$B1:$AH671,26,FALSE)-AVERAGE('The List'!AA2:AA671))/STDEV('The List'!AA2:AA671)</f>
        <v>-0.60551618132354734</v>
      </c>
      <c r="O234" s="55" cm="1">
        <f t="array" ref="O234">(VLOOKUP($A234,'The List'!$B1:$AH671,27,FALSE)-AVERAGE('The List'!AB2:AB671))/STDEV('The List'!AB2:AB671)</f>
        <v>9.0018163144063468E-2</v>
      </c>
      <c r="P234" s="55" cm="1">
        <f t="array" ref="P234">(VLOOKUP($A234,'The List'!$B1:$AH671,28,FALSE)-AVERAGE('The List'!AC2:AC671))/STDEV('The List'!AC2:AC671)</f>
        <v>0.32898514209562324</v>
      </c>
      <c r="Q234" s="55" cm="1">
        <f t="array" ref="Q234">(VLOOKUP($A234,'The List'!$B1:$AH671,29,FALSE)-AVERAGE('The List'!AD2:AD671))/STDEV('The List'!AD2:AD671)</f>
        <v>-0.60352392375853059</v>
      </c>
      <c r="R234" s="55" cm="1">
        <f t="array" ref="R234">(VLOOKUP($A234,'The List'!$B1:$AH671,30,FALSE)-AVERAGE('The List'!AE2:AE671))/STDEV('The List'!AE2:AE671)</f>
        <v>0.19315548343074293</v>
      </c>
      <c r="S234" s="55" cm="1">
        <f t="array" ref="S234">(VLOOKUP($A234,'The List'!$B1:$AH671,31,FALSE)-AVERAGE('The List'!AF2:AF671))/STDEV('The List'!AF2:AF671)</f>
        <v>-0.50317023608665212</v>
      </c>
      <c r="T234" s="55" cm="1">
        <f t="array" ref="T234">(VLOOKUP($A234,'The List'!$B1:$AH671,32,FALSE)-AVERAGE('The List'!AG2:AG671))/STDEV('The List'!AG2:AG671)</f>
        <v>-0.48506673931866984</v>
      </c>
      <c r="U234" s="55" cm="1">
        <f t="array" ref="U234">(VLOOKUP($A234,'The List'!$B1:$AH671,33,FALSE)-AVERAGE('The List'!AH2:AH671))/STDEV('The List'!AH2:AH671)</f>
        <v>0.47031706207339985</v>
      </c>
      <c r="V234" s="55"/>
      <c r="W234" s="78"/>
      <c r="X234" s="57"/>
      <c r="Y234" s="57"/>
      <c r="Z234" s="57"/>
      <c r="AA234" s="57"/>
      <c r="AB234" s="57"/>
      <c r="AC234" s="60"/>
      <c r="AD234" s="61"/>
      <c r="AE234" s="55"/>
    </row>
    <row r="235" spans="1:31" ht="21.25" customHeight="1" x14ac:dyDescent="0.15">
      <c r="A235" s="10" t="s">
        <v>449</v>
      </c>
      <c r="B235" s="18" t="str" cm="1">
        <f t="array" ref="B235">VLOOKUP(A235,'Player Data'!A1:B673,2,FALSE)</f>
        <v>MIN</v>
      </c>
      <c r="C235" s="52" cm="1">
        <f t="array" ref="C235">((E235)*Settings!$C$12)+(F235*Settings!$C$2)+(G235*Settings!$C$3)+(H235*Settings!$C$4)+(I235*Settings!$C$5)+(K235*Settings!$C$9)+(N235*Settings!$C$6)+(J235*Settings!$C$8)+(O235*Settings!$C$7)+(P235*Settings!$C$14)+(Q235*Settings!$C$15)+(R235*Settings!$C$16)+(S235*Settings!$C$17)+(T235*Settings!$C$18)+(U235*Settings!$C$19)+(L235*Settings!$C$10)+(Settings!$C$11*M235)</f>
        <v>2.6355760302936462</v>
      </c>
      <c r="D235" s="57" cm="1">
        <f t="array" ref="D235">IF(Settings!$E$12="YES",VLOOKUP(A235,'Player Data'!A1:E673,5,FALSE),82)</f>
        <v>81.322500000000005</v>
      </c>
      <c r="E235" s="55" cm="1">
        <f t="array" ref="E235">(VLOOKUP($A235,'The List'!$B1:$AH671,17,FALSE)-AVERAGE('The List'!R2:R671))/STDEV('The List'!R2:R671)</f>
        <v>9.4294871858581999E-2</v>
      </c>
      <c r="F235" s="55" cm="1">
        <f t="array" ref="F235">(VLOOKUP($A235,'The List'!$B1:$AH671,18,FALSE)-AVERAGE('The List'!S2:S671))/STDEV('The List'!S2:S671)</f>
        <v>0.48298337800754948</v>
      </c>
      <c r="G235" s="55" cm="1">
        <f t="array" ref="G235">(VLOOKUP($A235,'The List'!$B1:$AH671,19,FALSE)-AVERAGE('The List'!T2:T671))/STDEV('The List'!T2:T671)</f>
        <v>-0.27055134745240367</v>
      </c>
      <c r="H235" s="55" cm="1">
        <f t="array" ref="H235">(VLOOKUP($A235,'The List'!$B1:$AH671,20,FALSE)-AVERAGE('The List'!U2:U671))/STDEV('The List'!U2:U671)</f>
        <v>4.4113848826321862E-2</v>
      </c>
      <c r="I235" s="55" cm="1">
        <f t="array" ref="I235">(VLOOKUP($A235,'The List'!$B1:$AH671,21,FALSE)-AVERAGE('The List'!V2:V671))/STDEV('The List'!V2:V671)</f>
        <v>1.1715049620422384</v>
      </c>
      <c r="J235" s="55" cm="1">
        <f t="array" ref="J235">(VLOOKUP($A235,'The List'!$B1:$AH671,22,FALSE)-AVERAGE('The List'!W2:W671))/STDEV('The List'!W2:W671)</f>
        <v>-0.18796196934262474</v>
      </c>
      <c r="K235" s="55" cm="1">
        <f t="array" ref="K235">(VLOOKUP($A235,'The List'!$B1:$AH671,23,FALSE)-AVERAGE('The List'!X2:X671))/STDEV('The List'!X2:X671)</f>
        <v>-0.44651172691106206</v>
      </c>
      <c r="L235" s="55" cm="1">
        <f t="array" ref="L235">(VLOOKUP($A235,'The List'!$B1:$AH671,24,FALSE)-AVERAGE('The List'!Y2:Y671))/STDEV('The List'!Y2:Y671)</f>
        <v>4.1272885694848842</v>
      </c>
      <c r="M235" s="55" cm="1">
        <f t="array" ref="M235">(VLOOKUP($A235,'The List'!$B1:$AH671,25,FALSE)-AVERAGE('The List'!Z2:Z671))/STDEV('The List'!Z2:Z671)</f>
        <v>2.8304298840025335</v>
      </c>
      <c r="N235" s="55" cm="1">
        <f t="array" ref="N235">(VLOOKUP($A235,'The List'!$B1:$AH671,26,FALSE)-AVERAGE('The List'!AA2:AA671))/STDEV('The List'!AA2:AA671)</f>
        <v>-0.1814653653670327</v>
      </c>
      <c r="O235" s="55" cm="1">
        <f t="array" ref="O235">(VLOOKUP($A235,'The List'!$B1:$AH671,27,FALSE)-AVERAGE('The List'!AB2:AB671))/STDEV('The List'!AB2:AB671)</f>
        <v>1.5387845763035823</v>
      </c>
      <c r="P235" s="55" cm="1">
        <f t="array" ref="P235">(VLOOKUP($A235,'The List'!$B1:$AH671,28,FALSE)-AVERAGE('The List'!AC2:AC671))/STDEV('The List'!AC2:AC671)</f>
        <v>0.67946477410554651</v>
      </c>
      <c r="Q235" s="55" cm="1">
        <f t="array" ref="Q235">(VLOOKUP($A235,'The List'!$B1:$AH671,29,FALSE)-AVERAGE('The List'!AD2:AD671))/STDEV('The List'!AD2:AD671)</f>
        <v>1.2001513558688106</v>
      </c>
      <c r="R235" s="55" cm="1">
        <f t="array" ref="R235">(VLOOKUP($A235,'The List'!$B1:$AH671,30,FALSE)-AVERAGE('The List'!AE2:AE671))/STDEV('The List'!AE2:AE671)</f>
        <v>0.55420967422923406</v>
      </c>
      <c r="S235" s="55" cm="1">
        <f t="array" ref="S235">(VLOOKUP($A235,'The List'!$B1:$AH671,31,FALSE)-AVERAGE('The List'!AF2:AF671))/STDEV('The List'!AF2:AF671)</f>
        <v>-0.48756946250215627</v>
      </c>
      <c r="T235" s="55" cm="1">
        <f t="array" ref="T235">(VLOOKUP($A235,'The List'!$B1:$AH671,32,FALSE)-AVERAGE('The List'!AG2:AG671))/STDEV('The List'!AG2:AG671)</f>
        <v>-0.49706149200330912</v>
      </c>
      <c r="U235" s="55" cm="1">
        <f t="array" ref="U235">(VLOOKUP($A235,'The List'!$B1:$AH671,33,FALSE)-AVERAGE('The List'!AH2:AH671))/STDEV('The List'!AH2:AH671)</f>
        <v>0.73113118838711588</v>
      </c>
      <c r="V235" s="55"/>
      <c r="W235" s="78"/>
      <c r="X235" s="57"/>
      <c r="Y235" s="57"/>
      <c r="Z235" s="57"/>
      <c r="AA235" s="57"/>
      <c r="AB235" s="57"/>
      <c r="AC235" s="60"/>
      <c r="AD235" s="61"/>
      <c r="AE235" s="55"/>
    </row>
    <row r="236" spans="1:31" ht="21.25" customHeight="1" x14ac:dyDescent="0.15">
      <c r="A236" s="10" t="s">
        <v>498</v>
      </c>
      <c r="B236" s="18" t="str" cm="1">
        <f t="array" ref="B236">VLOOKUP(A236,'Player Data'!A1:B673,2,FALSE)</f>
        <v>CBJ</v>
      </c>
      <c r="C236" s="52" cm="1">
        <f t="array" ref="C236">((E236)*Settings!$C$12)+(F236*Settings!$C$2)+(G236*Settings!$C$3)+(H236*Settings!$C$4)+(I236*Settings!$C$5)+(K236*Settings!$C$9)+(N236*Settings!$C$6)+(J236*Settings!$C$8)+(O236*Settings!$C$7)+(P236*Settings!$C$14)+(Q236*Settings!$C$15)+(R236*Settings!$C$16)+(S236*Settings!$C$17)+(T236*Settings!$C$18)+(U236*Settings!$C$19)+(L236*Settings!$C$10)+(Settings!$C$11*M236)</f>
        <v>0.64162730434364601</v>
      </c>
      <c r="D236" s="57" cm="1">
        <f t="array" ref="D236">IF(Settings!$E$12="YES",VLOOKUP(A236,'Player Data'!A1:E673,5,FALSE),82)</f>
        <v>81.94</v>
      </c>
      <c r="E236" s="55" cm="1">
        <f t="array" ref="E236">(VLOOKUP($A236,'The List'!$B1:$AH671,17,FALSE)-AVERAGE('The List'!R2:R671))/STDEV('The List'!R2:R671)</f>
        <v>-6.2888675219242129E-2</v>
      </c>
      <c r="F236" s="55" cm="1">
        <f t="array" ref="F236">(VLOOKUP($A236,'The List'!$B1:$AH671,18,FALSE)-AVERAGE('The List'!S2:S671))/STDEV('The List'!S2:S671)</f>
        <v>0.10788195986805926</v>
      </c>
      <c r="G236" s="55" cm="1">
        <f t="array" ref="G236">(VLOOKUP($A236,'The List'!$B1:$AH671,19,FALSE)-AVERAGE('The List'!T2:T671))/STDEV('The List'!T2:T671)</f>
        <v>2.2503046722332143E-3</v>
      </c>
      <c r="H236" s="55" cm="1">
        <f t="array" ref="H236">(VLOOKUP($A236,'The List'!$B1:$AH671,20,FALSE)-AVERAGE('The List'!U2:U671))/STDEV('The List'!U2:U671)</f>
        <v>4.9280308563958333E-2</v>
      </c>
      <c r="I236" s="55" cm="1">
        <f t="array" ref="I236">(VLOOKUP($A236,'The List'!$B1:$AH671,21,FALSE)-AVERAGE('The List'!V2:V671))/STDEV('The List'!V2:V671)</f>
        <v>0.54616588601361105</v>
      </c>
      <c r="J236" s="55" cm="1">
        <f t="array" ref="J236">(VLOOKUP($A236,'The List'!$B1:$AH671,22,FALSE)-AVERAGE('The List'!W2:W671))/STDEV('The List'!W2:W671)</f>
        <v>-5.8223401178470581E-3</v>
      </c>
      <c r="K236" s="55" cm="1">
        <f t="array" ref="K236">(VLOOKUP($A236,'The List'!$B1:$AH671,23,FALSE)-AVERAGE('The List'!X2:X671))/STDEV('The List'!X2:X671)</f>
        <v>6.6410687465926238E-2</v>
      </c>
      <c r="L236" s="55" cm="1">
        <f t="array" ref="L236">(VLOOKUP($A236,'The List'!$B1:$AH671,24,FALSE)-AVERAGE('The List'!Y2:Y671))/STDEV('The List'!Y2:Y671)</f>
        <v>-0.29254777337495264</v>
      </c>
      <c r="M236" s="55" cm="1">
        <f t="array" ref="M236">(VLOOKUP($A236,'The List'!$B1:$AH671,25,FALSE)-AVERAGE('The List'!Z2:Z671))/STDEV('The List'!Z2:Z671)</f>
        <v>-0.43367086510101743</v>
      </c>
      <c r="N236" s="55" cm="1">
        <f t="array" ref="N236">(VLOOKUP($A236,'The List'!$B1:$AH671,26,FALSE)-AVERAGE('The List'!AA2:AA671))/STDEV('The List'!AA2:AA671)</f>
        <v>-0.53766478319963706</v>
      </c>
      <c r="O236" s="55" cm="1">
        <f t="array" ref="O236">(VLOOKUP($A236,'The List'!$B1:$AH671,27,FALSE)-AVERAGE('The List'!AB2:AB671))/STDEV('The List'!AB2:AB671)</f>
        <v>-0.65870859204515264</v>
      </c>
      <c r="P236" s="55" cm="1">
        <f t="array" ref="P236">(VLOOKUP($A236,'The List'!$B1:$AH671,28,FALSE)-AVERAGE('The List'!AC2:AC671))/STDEV('The List'!AC2:AC671)</f>
        <v>0.20180481100394654</v>
      </c>
      <c r="Q236" s="55" cm="1">
        <f t="array" ref="Q236">(VLOOKUP($A236,'The List'!$B1:$AH671,29,FALSE)-AVERAGE('The List'!AD2:AD671))/STDEV('The List'!AD2:AD671)</f>
        <v>0.25477843851950677</v>
      </c>
      <c r="R236" s="55" cm="1">
        <f t="array" ref="R236">(VLOOKUP($A236,'The List'!$B1:$AH671,30,FALSE)-AVERAGE('The List'!AE2:AE671))/STDEV('The List'!AE2:AE671)</f>
        <v>0.15628872649456654</v>
      </c>
      <c r="S236" s="55" cm="1">
        <f t="array" ref="S236">(VLOOKUP($A236,'The List'!$B1:$AH671,31,FALSE)-AVERAGE('The List'!AF2:AF671))/STDEV('The List'!AF2:AF671)</f>
        <v>-0.54923081110612104</v>
      </c>
      <c r="T236" s="55" cm="1">
        <f t="array" ref="T236">(VLOOKUP($A236,'The List'!$B1:$AH671,32,FALSE)-AVERAGE('The List'!AG2:AG671))/STDEV('The List'!AG2:AG671)</f>
        <v>-0.54332502452689668</v>
      </c>
      <c r="U236" s="55" cm="1">
        <f t="array" ref="U236">(VLOOKUP($A236,'The List'!$B1:$AH671,33,FALSE)-AVERAGE('The List'!AH2:AH671))/STDEV('The List'!AH2:AH671)</f>
        <v>0.20189368777515423</v>
      </c>
      <c r="V236" s="55"/>
      <c r="W236" s="78"/>
      <c r="X236" s="57"/>
      <c r="Y236" s="57"/>
      <c r="Z236" s="57"/>
      <c r="AA236" s="57"/>
      <c r="AB236" s="57"/>
      <c r="AC236" s="60"/>
      <c r="AD236" s="61"/>
      <c r="AE236" s="55"/>
    </row>
    <row r="237" spans="1:31" ht="21.25" customHeight="1" x14ac:dyDescent="0.15">
      <c r="A237" s="10" t="s">
        <v>554</v>
      </c>
      <c r="B237" s="18" t="str" cm="1">
        <f t="array" ref="B237">VLOOKUP(A237,'Player Data'!A1:B673,2,FALSE)</f>
        <v>TOR</v>
      </c>
      <c r="C237" s="52" cm="1">
        <f t="array" ref="C237">((E237)*Settings!$C$12)+(F237*Settings!$C$2)+(G237*Settings!$C$3)+(H237*Settings!$C$4)+(I237*Settings!$C$5)+(K237*Settings!$C$9)+(N237*Settings!$C$6)+(J237*Settings!$C$8)+(O237*Settings!$C$7)+(P237*Settings!$C$14)+(Q237*Settings!$C$15)+(R237*Settings!$C$16)+(S237*Settings!$C$17)+(T237*Settings!$C$18)+(U237*Settings!$C$19)+(L237*Settings!$C$10)+(Settings!$C$11*M237)</f>
        <v>-1.921934741517288</v>
      </c>
      <c r="D237" s="57" cm="1">
        <f t="array" ref="D237">IF(Settings!$E$12="YES",VLOOKUP(A237,'Player Data'!A1:E673,5,FALSE),82)</f>
        <v>79.284999999999997</v>
      </c>
      <c r="E237" s="55" cm="1">
        <f t="array" ref="E237">(VLOOKUP($A237,'The List'!$B1:$AH671,17,FALSE)-AVERAGE('The List'!R2:R671))/STDEV('The List'!R2:R671)</f>
        <v>-0.61609798505048219</v>
      </c>
      <c r="F237" s="55" cm="1">
        <f t="array" ref="F237">(VLOOKUP($A237,'The List'!$B1:$AH671,18,FALSE)-AVERAGE('The List'!S2:S671))/STDEV('The List'!S2:S671)</f>
        <v>0.50752199562821165</v>
      </c>
      <c r="G237" s="55" cm="1">
        <f t="array" ref="G237">(VLOOKUP($A237,'The List'!$B1:$AH671,19,FALSE)-AVERAGE('The List'!T2:T671))/STDEV('The List'!T2:T671)</f>
        <v>-0.37245243798250416</v>
      </c>
      <c r="H237" s="55" cm="1">
        <f t="array" ref="H237">(VLOOKUP($A237,'The List'!$B1:$AH671,20,FALSE)-AVERAGE('The List'!U2:U671))/STDEV('The List'!U2:U671)</f>
        <v>-9.0941484136936365E-3</v>
      </c>
      <c r="I237" s="55" cm="1">
        <f t="array" ref="I237">(VLOOKUP($A237,'The List'!$B1:$AH671,21,FALSE)-AVERAGE('The List'!V2:V671))/STDEV('The List'!V2:V671)</f>
        <v>0.32710865585824239</v>
      </c>
      <c r="J237" s="55" cm="1">
        <f t="array" ref="J237">(VLOOKUP($A237,'The List'!$B1:$AH671,22,FALSE)-AVERAGE('The List'!W2:W671))/STDEV('The List'!W2:W671)</f>
        <v>-0.15733215754254243</v>
      </c>
      <c r="K237" s="55" cm="1">
        <f t="array" ref="K237">(VLOOKUP($A237,'The List'!$B1:$AH671,23,FALSE)-AVERAGE('The List'!X2:X671))/STDEV('The List'!X2:X671)</f>
        <v>-0.37955208387015443</v>
      </c>
      <c r="L237" s="55" cm="1">
        <f t="array" ref="L237">(VLOOKUP($A237,'The List'!$B1:$AH671,24,FALSE)-AVERAGE('The List'!Y2:Y671))/STDEV('The List'!Y2:Y671)</f>
        <v>-0.56075323503352792</v>
      </c>
      <c r="M237" s="55" cm="1">
        <f t="array" ref="M237">(VLOOKUP($A237,'The List'!$B1:$AH671,25,FALSE)-AVERAGE('The List'!Z2:Z671))/STDEV('The List'!Z2:Z671)</f>
        <v>-0.70387165970600707</v>
      </c>
      <c r="N237" s="55" cm="1">
        <f t="array" ref="N237">(VLOOKUP($A237,'The List'!$B1:$AH671,26,FALSE)-AVERAGE('The List'!AA2:AA671))/STDEV('The List'!AA2:AA671)</f>
        <v>-0.8952420972077535</v>
      </c>
      <c r="O237" s="55" cm="1">
        <f t="array" ref="O237">(VLOOKUP($A237,'The List'!$B1:$AH671,27,FALSE)-AVERAGE('The List'!AB2:AB671))/STDEV('The List'!AB2:AB671)</f>
        <v>-0.85847747171792821</v>
      </c>
      <c r="P237" s="55" cm="1">
        <f t="array" ref="P237">(VLOOKUP($A237,'The List'!$B1:$AH671,28,FALSE)-AVERAGE('The List'!AC2:AC671))/STDEV('The List'!AC2:AC671)</f>
        <v>-8.025718697488568E-2</v>
      </c>
      <c r="Q237" s="55" cm="1">
        <f t="array" ref="Q237">(VLOOKUP($A237,'The List'!$B1:$AH671,29,FALSE)-AVERAGE('The List'!AD2:AD671))/STDEV('The List'!AD2:AD671)</f>
        <v>-1.0290615869684443</v>
      </c>
      <c r="R237" s="55" cm="1">
        <f t="array" ref="R237">(VLOOKUP($A237,'The List'!$B1:$AH671,30,FALSE)-AVERAGE('The List'!AE2:AE671))/STDEV('The List'!AE2:AE671)</f>
        <v>0.2701397509679821</v>
      </c>
      <c r="S237" s="55" cm="1">
        <f t="array" ref="S237">(VLOOKUP($A237,'The List'!$B1:$AH671,31,FALSE)-AVERAGE('The List'!AF2:AF671))/STDEV('The List'!AF2:AF671)</f>
        <v>8.7984130481067041E-2</v>
      </c>
      <c r="T237" s="55" cm="1">
        <f t="array" ref="T237">(VLOOKUP($A237,'The List'!$B1:$AH671,32,FALSE)-AVERAGE('The List'!AG2:AG671))/STDEV('The List'!AG2:AG671)</f>
        <v>4.491185804055299E-2</v>
      </c>
      <c r="U237" s="55" cm="1">
        <f t="array" ref="U237">(VLOOKUP($A237,'The List'!$B1:$AH671,33,FALSE)-AVERAGE('The List'!AH2:AH671))/STDEV('The List'!AH2:AH671)</f>
        <v>1.1008294230232156</v>
      </c>
      <c r="V237" s="55"/>
      <c r="W237" s="78"/>
      <c r="X237" s="57"/>
      <c r="Y237" s="57"/>
      <c r="Z237" s="57"/>
      <c r="AA237" s="57"/>
      <c r="AB237" s="57"/>
      <c r="AC237" s="60"/>
      <c r="AD237" s="61"/>
      <c r="AE237" s="55"/>
    </row>
    <row r="238" spans="1:31" ht="21.25" customHeight="1" x14ac:dyDescent="0.15">
      <c r="A238" s="10" t="s">
        <v>574</v>
      </c>
      <c r="B238" s="18" t="str" cm="1">
        <f t="array" ref="B238">VLOOKUP(A238,'Player Data'!A1:B673,2,FALSE)</f>
        <v>MTL</v>
      </c>
      <c r="C238" s="52" cm="1">
        <f t="array" ref="C238">((E238)*Settings!$C$12)+(F238*Settings!$C$2)+(G238*Settings!$C$3)+(H238*Settings!$C$4)+(I238*Settings!$C$5)+(K238*Settings!$C$9)+(N238*Settings!$C$6)+(J238*Settings!$C$8)+(O238*Settings!$C$7)+(P238*Settings!$C$14)+(Q238*Settings!$C$15)+(R238*Settings!$C$16)+(S238*Settings!$C$17)+(T238*Settings!$C$18)+(U238*Settings!$C$19)+(L238*Settings!$C$10)+(Settings!$C$11*M238)</f>
        <v>-0.28805080446804021</v>
      </c>
      <c r="D238" s="57" cm="1">
        <f t="array" ref="D238">IF(Settings!$E$12="YES",VLOOKUP(A238,'Player Data'!A1:E673,5,FALSE),82)</f>
        <v>76.245000000000005</v>
      </c>
      <c r="E238" s="55" cm="1">
        <f t="array" ref="E238">(VLOOKUP($A238,'The List'!$B1:$AH671,17,FALSE)-AVERAGE('The List'!R2:R671))/STDEV('The List'!R2:R671)</f>
        <v>-0.61990908271269507</v>
      </c>
      <c r="F238" s="55" cm="1">
        <f t="array" ref="F238">(VLOOKUP($A238,'The List'!$B1:$AH671,18,FALSE)-AVERAGE('The List'!S2:S671))/STDEV('The List'!S2:S671)</f>
        <v>0.29557502739544805</v>
      </c>
      <c r="G238" s="55" cm="1">
        <f t="array" ref="G238">(VLOOKUP($A238,'The List'!$B1:$AH671,19,FALSE)-AVERAGE('The List'!T2:T671))/STDEV('The List'!T2:T671)</f>
        <v>-0.32793059582321804</v>
      </c>
      <c r="H238" s="55" cm="1">
        <f t="array" ref="H238">(VLOOKUP($A238,'The List'!$B1:$AH671,20,FALSE)-AVERAGE('The List'!U2:U671))/STDEV('The List'!U2:U671)</f>
        <v>-7.5126403948817172E-2</v>
      </c>
      <c r="I238" s="55" cm="1">
        <f t="array" ref="I238">(VLOOKUP($A238,'The List'!$B1:$AH671,21,FALSE)-AVERAGE('The List'!V2:V671))/STDEV('The List'!V2:V671)</f>
        <v>-0.16963315355344719</v>
      </c>
      <c r="J238" s="55" cm="1">
        <f t="array" ref="J238">(VLOOKUP($A238,'The List'!$B1:$AH671,22,FALSE)-AVERAGE('The List'!W2:W671))/STDEV('The List'!W2:W671)</f>
        <v>0.33181204697777605</v>
      </c>
      <c r="K238" s="55" cm="1">
        <f t="array" ref="K238">(VLOOKUP($A238,'The List'!$B1:$AH671,23,FALSE)-AVERAGE('The List'!X2:X671))/STDEV('The List'!X2:X671)</f>
        <v>-6.3694938831697037E-2</v>
      </c>
      <c r="L238" s="55" cm="1">
        <f t="array" ref="L238">(VLOOKUP($A238,'The List'!$B1:$AH671,24,FALSE)-AVERAGE('The List'!Y2:Y671))/STDEV('The List'!Y2:Y671)</f>
        <v>-0.55716531958649662</v>
      </c>
      <c r="M238" s="55" cm="1">
        <f t="array" ref="M238">(VLOOKUP($A238,'The List'!$B1:$AH671,25,FALSE)-AVERAGE('The List'!Z2:Z671))/STDEV('The List'!Z2:Z671)</f>
        <v>-0.69913974338874363</v>
      </c>
      <c r="N238" s="55" cm="1">
        <f t="array" ref="N238">(VLOOKUP($A238,'The List'!$B1:$AH671,26,FALSE)-AVERAGE('The List'!AA2:AA671))/STDEV('The List'!AA2:AA671)</f>
        <v>-0.52303462831090886</v>
      </c>
      <c r="O238" s="55" cm="1">
        <f t="array" ref="O238">(VLOOKUP($A238,'The List'!$B1:$AH671,27,FALSE)-AVERAGE('The List'!AB2:AB671))/STDEV('The List'!AB2:AB671)</f>
        <v>1.2969836801958006</v>
      </c>
      <c r="P238" s="55" cm="1">
        <f t="array" ref="P238">(VLOOKUP($A238,'The List'!$B1:$AH671,28,FALSE)-AVERAGE('The List'!AC2:AC671))/STDEV('The List'!AC2:AC671)</f>
        <v>0.74081391679837005</v>
      </c>
      <c r="Q238" s="55" cm="1">
        <f t="array" ref="Q238">(VLOOKUP($A238,'The List'!$B1:$AH671,29,FALSE)-AVERAGE('The List'!AD2:AD671))/STDEV('The List'!AD2:AD671)</f>
        <v>-0.24014643214258716</v>
      </c>
      <c r="R238" s="55" cm="1">
        <f t="array" ref="R238">(VLOOKUP($A238,'The List'!$B1:$AH671,30,FALSE)-AVERAGE('The List'!AE2:AE671))/STDEV('The List'!AE2:AE671)</f>
        <v>0.40100610948190946</v>
      </c>
      <c r="S238" s="55" cm="1">
        <f t="array" ref="S238">(VLOOKUP($A238,'The List'!$B1:$AH671,31,FALSE)-AVERAGE('The List'!AF2:AF671))/STDEV('The List'!AF2:AF671)</f>
        <v>-0.52641850343332175</v>
      </c>
      <c r="T238" s="55" cm="1">
        <f t="array" ref="T238">(VLOOKUP($A238,'The List'!$B1:$AH671,32,FALSE)-AVERAGE('The List'!AG2:AG671))/STDEV('The List'!AG2:AG671)</f>
        <v>-0.54167386734885781</v>
      </c>
      <c r="U238" s="55" cm="1">
        <f t="array" ref="U238">(VLOOKUP($A238,'The List'!$B1:$AH671,33,FALSE)-AVERAGE('The List'!AH2:AH671))/STDEV('The List'!AH2:AH671)</f>
        <v>0.62098786201075129</v>
      </c>
      <c r="V238" s="55"/>
      <c r="W238" s="78"/>
      <c r="X238" s="57"/>
      <c r="Y238" s="57"/>
      <c r="Z238" s="57"/>
      <c r="AA238" s="57"/>
      <c r="AB238" s="57"/>
      <c r="AC238" s="60"/>
      <c r="AD238" s="61"/>
      <c r="AE238" s="55"/>
    </row>
    <row r="239" spans="1:31" ht="21.25" customHeight="1" x14ac:dyDescent="0.15">
      <c r="A239" s="10" t="s">
        <v>541</v>
      </c>
      <c r="B239" s="18" t="str" cm="1">
        <f t="array" ref="B239">VLOOKUP(A239,'Player Data'!A1:B673,2,FALSE)</f>
        <v>PHI</v>
      </c>
      <c r="C239" s="52" cm="1">
        <f t="array" ref="C239">((E239)*Settings!$C$12)+(F239*Settings!$C$2)+(G239*Settings!$C$3)+(H239*Settings!$C$4)+(I239*Settings!$C$5)+(K239*Settings!$C$9)+(N239*Settings!$C$6)+(J239*Settings!$C$8)+(O239*Settings!$C$7)+(P239*Settings!$C$14)+(Q239*Settings!$C$15)+(R239*Settings!$C$16)+(S239*Settings!$C$17)+(T239*Settings!$C$18)+(U239*Settings!$C$19)+(L239*Settings!$C$10)+(Settings!$C$11*M239)</f>
        <v>-1.427143264760856</v>
      </c>
      <c r="D239" s="57" cm="1">
        <f t="array" ref="D239">IF(Settings!$E$12="YES",VLOOKUP(A239,'Player Data'!A1:E673,5,FALSE),82)</f>
        <v>81.180000000000007</v>
      </c>
      <c r="E239" s="55" cm="1">
        <f t="array" ref="E239">(VLOOKUP($A239,'The List'!$B1:$AH671,17,FALSE)-AVERAGE('The List'!R2:R671))/STDEV('The List'!R2:R671)</f>
        <v>-0.50010463354001944</v>
      </c>
      <c r="F239" s="55" cm="1">
        <f t="array" ref="F239">(VLOOKUP($A239,'The List'!$B1:$AH671,18,FALSE)-AVERAGE('The List'!S2:S671))/STDEV('The List'!S2:S671)</f>
        <v>0.12759794233508412</v>
      </c>
      <c r="G239" s="55" cm="1">
        <f t="array" ref="G239">(VLOOKUP($A239,'The List'!$B1:$AH671,19,FALSE)-AVERAGE('The List'!T2:T671))/STDEV('The List'!T2:T671)</f>
        <v>-8.1480773447635491E-2</v>
      </c>
      <c r="H239" s="55" cm="1">
        <f t="array" ref="H239">(VLOOKUP($A239,'The List'!$B1:$AH671,20,FALSE)-AVERAGE('The List'!U2:U671))/STDEV('The List'!U2:U671)</f>
        <v>5.3614549143922363E-3</v>
      </c>
      <c r="I239" s="55" cm="1">
        <f t="array" ref="I239">(VLOOKUP($A239,'The List'!$B1:$AH671,21,FALSE)-AVERAGE('The List'!V2:V671))/STDEV('The List'!V2:V671)</f>
        <v>-0.20200169511899774</v>
      </c>
      <c r="J239" s="55" cm="1">
        <f t="array" ref="J239">(VLOOKUP($A239,'The List'!$B1:$AH671,22,FALSE)-AVERAGE('The List'!W2:W671))/STDEV('The List'!W2:W671)</f>
        <v>-0.40278302126702542</v>
      </c>
      <c r="K239" s="55" cm="1">
        <f t="array" ref="K239">(VLOOKUP($A239,'The List'!$B1:$AH671,23,FALSE)-AVERAGE('The List'!X2:X671))/STDEV('The List'!X2:X671)</f>
        <v>-0.44713455459723572</v>
      </c>
      <c r="L239" s="55" cm="1">
        <f t="array" ref="L239">(VLOOKUP($A239,'The List'!$B1:$AH671,24,FALSE)-AVERAGE('The List'!Y2:Y671))/STDEV('The List'!Y2:Y671)</f>
        <v>0.44970899082112042</v>
      </c>
      <c r="M239" s="55" cm="1">
        <f t="array" ref="M239">(VLOOKUP($A239,'The List'!$B1:$AH671,25,FALSE)-AVERAGE('The List'!Z2:Z671))/STDEV('The List'!Z2:Z671)</f>
        <v>0.32194978511215799</v>
      </c>
      <c r="N239" s="55" cm="1">
        <f t="array" ref="N239">(VLOOKUP($A239,'The List'!$B1:$AH671,26,FALSE)-AVERAGE('The List'!AA2:AA671))/STDEV('The List'!AA2:AA671)</f>
        <v>-0.36338801701045625</v>
      </c>
      <c r="O239" s="55" cm="1">
        <f t="array" ref="O239">(VLOOKUP($A239,'The List'!$B1:$AH671,27,FALSE)-AVERAGE('The List'!AB2:AB671))/STDEV('The List'!AB2:AB671)</f>
        <v>0.13249632925210775</v>
      </c>
      <c r="P239" s="55" cm="1">
        <f t="array" ref="P239">(VLOOKUP($A239,'The List'!$B1:$AH671,28,FALSE)-AVERAGE('The List'!AC2:AC671))/STDEV('The List'!AC2:AC671)</f>
        <v>0.29425220933590557</v>
      </c>
      <c r="Q239" s="55" cm="1">
        <f t="array" ref="Q239">(VLOOKUP($A239,'The List'!$B1:$AH671,29,FALSE)-AVERAGE('The List'!AD2:AD671))/STDEV('The List'!AD2:AD671)</f>
        <v>-0.75498837625752035</v>
      </c>
      <c r="R239" s="55" cm="1">
        <f t="array" ref="R239">(VLOOKUP($A239,'The List'!$B1:$AH671,30,FALSE)-AVERAGE('The List'!AE2:AE671))/STDEV('The List'!AE2:AE671)</f>
        <v>0.14704888832540156</v>
      </c>
      <c r="S239" s="55" cm="1">
        <f t="array" ref="S239">(VLOOKUP($A239,'The List'!$B1:$AH671,31,FALSE)-AVERAGE('The List'!AF2:AF671))/STDEV('The List'!AF2:AF671)</f>
        <v>1.3613550697570442</v>
      </c>
      <c r="T239" s="55" cm="1">
        <f t="array" ref="T239">(VLOOKUP($A239,'The List'!$B1:$AH671,32,FALSE)-AVERAGE('The List'!AG2:AG671))/STDEV('The List'!AG2:AG671)</f>
        <v>1.9116067360461628</v>
      </c>
      <c r="U239" s="55" cm="1">
        <f t="array" ref="U239">(VLOOKUP($A239,'The List'!$B1:$AH671,33,FALSE)-AVERAGE('The List'!AH2:AH671))/STDEV('The List'!AH2:AH671)</f>
        <v>0.80810988358308833</v>
      </c>
      <c r="V239" s="55"/>
      <c r="W239" s="78"/>
      <c r="X239" s="57"/>
      <c r="Y239" s="57"/>
      <c r="Z239" s="57"/>
      <c r="AA239" s="57"/>
      <c r="AB239" s="57"/>
      <c r="AC239" s="60"/>
      <c r="AD239" s="61"/>
      <c r="AE239" s="55"/>
    </row>
    <row r="240" spans="1:31" ht="21.25" customHeight="1" x14ac:dyDescent="0.15">
      <c r="A240" s="10" t="s">
        <v>628</v>
      </c>
      <c r="B240" s="18" t="str" cm="1">
        <f t="array" ref="B240">VLOOKUP(A240,'Player Data'!A1:B673,2,FALSE)</f>
        <v>VAN</v>
      </c>
      <c r="C240" s="52" cm="1">
        <f t="array" ref="C240">((E240)*Settings!$C$12)+(F240*Settings!$C$2)+(G240*Settings!$C$3)+(H240*Settings!$C$4)+(I240*Settings!$C$5)+(K240*Settings!$C$9)+(N240*Settings!$C$6)+(J240*Settings!$C$8)+(O240*Settings!$C$7)+(P240*Settings!$C$14)+(Q240*Settings!$C$15)+(R240*Settings!$C$16)+(S240*Settings!$C$17)+(T240*Settings!$C$18)+(U240*Settings!$C$19)+(L240*Settings!$C$10)+(Settings!$C$11*M240)</f>
        <v>-4.3295605758499596</v>
      </c>
      <c r="D240" s="57" cm="1">
        <f t="array" ref="D240">IF(Settings!$E$12="YES",VLOOKUP(A240,'Player Data'!A1:E673,5,FALSE),82)</f>
        <v>60.83</v>
      </c>
      <c r="E240" s="55" cm="1">
        <f t="array" ref="E240">(VLOOKUP($A240,'The List'!$B1:$AH671,17,FALSE)-AVERAGE('The List'!R2:R671))/STDEV('The List'!R2:R671)</f>
        <v>-0.379451952398762</v>
      </c>
      <c r="F240" s="55" cm="1">
        <f t="array" ref="F240">(VLOOKUP($A240,'The List'!$B1:$AH671,18,FALSE)-AVERAGE('The List'!S2:S671))/STDEV('The List'!S2:S671)</f>
        <v>-2.3126107012306975E-2</v>
      </c>
      <c r="G240" s="55" cm="1">
        <f t="array" ref="G240">(VLOOKUP($A240,'The List'!$B1:$AH671,19,FALSE)-AVERAGE('The List'!T2:T671))/STDEV('The List'!T2:T671)</f>
        <v>-0.64382654116721949</v>
      </c>
      <c r="H240" s="55" cm="1">
        <f t="array" ref="H240">(VLOOKUP($A240,'The List'!$B1:$AH671,20,FALSE)-AVERAGE('The List'!U2:U671))/STDEV('The List'!U2:U671)</f>
        <v>-0.41522404671551461</v>
      </c>
      <c r="I240" s="55" cm="1">
        <f t="array" ref="I240">(VLOOKUP($A240,'The List'!$B1:$AH671,21,FALSE)-AVERAGE('The List'!V2:V671))/STDEV('The List'!V2:V671)</f>
        <v>3.5167193830176739E-2</v>
      </c>
      <c r="J240" s="55" cm="1">
        <f t="array" ref="J240">(VLOOKUP($A240,'The List'!$B1:$AH671,22,FALSE)-AVERAGE('The List'!W2:W671))/STDEV('The List'!W2:W671)</f>
        <v>-0.41710837302811499</v>
      </c>
      <c r="K240" s="55" cm="1">
        <f t="array" ref="K240">(VLOOKUP($A240,'The List'!$B1:$AH671,23,FALSE)-AVERAGE('The List'!X2:X671))/STDEV('The List'!X2:X671)</f>
        <v>-0.38941477889947557</v>
      </c>
      <c r="L240" s="55" cm="1">
        <f t="array" ref="L240">(VLOOKUP($A240,'The List'!$B1:$AH671,24,FALSE)-AVERAGE('The List'!Y2:Y671))/STDEV('The List'!Y2:Y671)</f>
        <v>-0.38263384647945592</v>
      </c>
      <c r="M240" s="55" cm="1">
        <f t="array" ref="M240">(VLOOKUP($A240,'The List'!$B1:$AH671,25,FALSE)-AVERAGE('The List'!Z2:Z671))/STDEV('The List'!Z2:Z671)</f>
        <v>-0.52711646122507139</v>
      </c>
      <c r="N240" s="55" cm="1">
        <f t="array" ref="N240">(VLOOKUP($A240,'The List'!$B1:$AH671,26,FALSE)-AVERAGE('The List'!AA2:AA671))/STDEV('The List'!AA2:AA671)</f>
        <v>-1.083297925733711</v>
      </c>
      <c r="O240" s="55" cm="1">
        <f t="array" ref="O240">(VLOOKUP($A240,'The List'!$B1:$AH671,27,FALSE)-AVERAGE('The List'!AB2:AB671))/STDEV('The List'!AB2:AB671)</f>
        <v>-1.0471425869309043</v>
      </c>
      <c r="P240" s="55" cm="1">
        <f t="array" ref="P240">(VLOOKUP($A240,'The List'!$B1:$AH671,28,FALSE)-AVERAGE('The List'!AC2:AC671))/STDEV('The List'!AC2:AC671)</f>
        <v>-1.5060374419503126</v>
      </c>
      <c r="Q240" s="55" cm="1">
        <f t="array" ref="Q240">(VLOOKUP($A240,'The List'!$B1:$AH671,29,FALSE)-AVERAGE('The List'!AD2:AD671))/STDEV('The List'!AD2:AD671)</f>
        <v>-0.71902497491711048</v>
      </c>
      <c r="R240" s="55" cm="1">
        <f t="array" ref="R240">(VLOOKUP($A240,'The List'!$B1:$AH671,30,FALSE)-AVERAGE('The List'!AE2:AE671))/STDEV('The List'!AE2:AE671)</f>
        <v>-0.28921333853981701</v>
      </c>
      <c r="S240" s="55" cm="1">
        <f t="array" ref="S240">(VLOOKUP($A240,'The List'!$B1:$AH671,31,FALSE)-AVERAGE('The List'!AF2:AF671))/STDEV('The List'!AF2:AF671)</f>
        <v>0.76809206257432083</v>
      </c>
      <c r="T240" s="55" cm="1">
        <f t="array" ref="T240">(VLOOKUP($A240,'The List'!$B1:$AH671,32,FALSE)-AVERAGE('The List'!AG2:AG671))/STDEV('The List'!AG2:AG671)</f>
        <v>1.0041121608841723</v>
      </c>
      <c r="U240" s="55" cm="1">
        <f t="array" ref="U240">(VLOOKUP($A240,'The List'!$B1:$AH671,33,FALSE)-AVERAGE('The List'!AH2:AH671))/STDEV('The List'!AH2:AH671)</f>
        <v>0.89559384963256183</v>
      </c>
      <c r="V240" s="55"/>
      <c r="W240" s="57"/>
      <c r="X240" s="55"/>
      <c r="Y240" s="55"/>
      <c r="Z240" s="55"/>
      <c r="AA240" s="55"/>
      <c r="AB240" s="55"/>
      <c r="AC240" s="55"/>
      <c r="AD240" s="55"/>
      <c r="AE240" s="55"/>
    </row>
    <row r="241" spans="1:31" ht="21.25" customHeight="1" x14ac:dyDescent="0.15">
      <c r="A241" s="10" t="s">
        <v>577</v>
      </c>
      <c r="B241" s="18" t="str" cm="1">
        <f t="array" ref="B241">VLOOKUP(A241,'Player Data'!A1:B673,2,FALSE)</f>
        <v>VGK</v>
      </c>
      <c r="C241" s="52" cm="1">
        <f t="array" ref="C241">((E241)*Settings!$C$12)+(F241*Settings!$C$2)+(G241*Settings!$C$3)+(H241*Settings!$C$4)+(I241*Settings!$C$5)+(K241*Settings!$C$9)+(N241*Settings!$C$6)+(J241*Settings!$C$8)+(O241*Settings!$C$7)+(P241*Settings!$C$14)+(Q241*Settings!$C$15)+(R241*Settings!$C$16)+(S241*Settings!$C$17)+(T241*Settings!$C$18)+(U241*Settings!$C$19)+(L241*Settings!$C$10)+(Settings!$C$11*M241)</f>
        <v>-2.034338843324881</v>
      </c>
      <c r="D241" s="57" cm="1">
        <f t="array" ref="D241">IF(Settings!$E$12="YES",VLOOKUP(A241,'Player Data'!A1:E673,5,FALSE),82)</f>
        <v>66.772499999999994</v>
      </c>
      <c r="E241" s="55" cm="1">
        <f t="array" ref="E241">(VLOOKUP($A241,'The List'!$B1:$AH671,17,FALSE)-AVERAGE('The List'!R2:R671))/STDEV('The List'!R2:R671)</f>
        <v>-0.38562756527892944</v>
      </c>
      <c r="F241" s="55" cm="1">
        <f t="array" ref="F241">(VLOOKUP($A241,'The List'!$B1:$AH671,18,FALSE)-AVERAGE('The List'!S2:S671))/STDEV('The List'!S2:S671)</f>
        <v>-7.2755481837889338E-2</v>
      </c>
      <c r="G241" s="55" cm="1">
        <f t="array" ref="G241">(VLOOKUP($A241,'The List'!$B1:$AH671,19,FALSE)-AVERAGE('The List'!T2:T671))/STDEV('The List'!T2:T671)</f>
        <v>-0.42090971604343386</v>
      </c>
      <c r="H241" s="55" cm="1">
        <f t="array" ref="H241">(VLOOKUP($A241,'The List'!$B1:$AH671,20,FALSE)-AVERAGE('The List'!U2:U671))/STDEV('The List'!U2:U671)</f>
        <v>-0.2970300143344129</v>
      </c>
      <c r="I241" s="55" cm="1">
        <f t="array" ref="I241">(VLOOKUP($A241,'The List'!$B1:$AH671,21,FALSE)-AVERAGE('The List'!V2:V671))/STDEV('The List'!V2:V671)</f>
        <v>9.4107703491528055E-2</v>
      </c>
      <c r="J241" s="55" cm="1">
        <f t="array" ref="J241">(VLOOKUP($A241,'The List'!$B1:$AH671,22,FALSE)-AVERAGE('The List'!W2:W671))/STDEV('The List'!W2:W671)</f>
        <v>-0.46547177334499706</v>
      </c>
      <c r="K241" s="55" cm="1">
        <f t="array" ref="K241">(VLOOKUP($A241,'The List'!$B1:$AH671,23,FALSE)-AVERAGE('The List'!X2:X671))/STDEV('The List'!X2:X671)</f>
        <v>-0.52399344511260648</v>
      </c>
      <c r="L241" s="55" cm="1">
        <f t="array" ref="L241">(VLOOKUP($A241,'The List'!$B1:$AH671,24,FALSE)-AVERAGE('The List'!Y2:Y671))/STDEV('The List'!Y2:Y671)</f>
        <v>2.4477484338995836</v>
      </c>
      <c r="M241" s="55" cm="1">
        <f t="array" ref="M241">(VLOOKUP($A241,'The List'!$B1:$AH671,25,FALSE)-AVERAGE('The List'!Z2:Z671))/STDEV('The List'!Z2:Z671)</f>
        <v>1.4693007530722175</v>
      </c>
      <c r="N241" s="55" cm="1">
        <f t="array" ref="N241">(VLOOKUP($A241,'The List'!$B1:$AH671,26,FALSE)-AVERAGE('The List'!AA2:AA671))/STDEV('The List'!AA2:AA671)</f>
        <v>-0.45277157266932933</v>
      </c>
      <c r="O241" s="55" cm="1">
        <f t="array" ref="O241">(VLOOKUP($A241,'The List'!$B1:$AH671,27,FALSE)-AVERAGE('The List'!AB2:AB671))/STDEV('The List'!AB2:AB671)</f>
        <v>-1.0307324289335931</v>
      </c>
      <c r="P241" s="55" cm="1">
        <f t="array" ref="P241">(VLOOKUP($A241,'The List'!$B1:$AH671,28,FALSE)-AVERAGE('The List'!AC2:AC671))/STDEV('The List'!AC2:AC671)</f>
        <v>0.67072358219362216</v>
      </c>
      <c r="Q241" s="55" cm="1">
        <f t="array" ref="Q241">(VLOOKUP($A241,'The List'!$B1:$AH671,29,FALSE)-AVERAGE('The List'!AD2:AD671))/STDEV('The List'!AD2:AD671)</f>
        <v>-1.3287399133467725</v>
      </c>
      <c r="R241" s="55" cm="1">
        <f t="array" ref="R241">(VLOOKUP($A241,'The List'!$B1:$AH671,30,FALSE)-AVERAGE('The List'!AE2:AE671))/STDEV('The List'!AE2:AE671)</f>
        <v>0.21485819274165019</v>
      </c>
      <c r="S241" s="55" cm="1">
        <f t="array" ref="S241">(VLOOKUP($A241,'The List'!$B1:$AH671,31,FALSE)-AVERAGE('The List'!AF2:AF671))/STDEV('The List'!AF2:AF671)</f>
        <v>1.5681618333976541</v>
      </c>
      <c r="T241" s="55" cm="1">
        <f t="array" ref="T241">(VLOOKUP($A241,'The List'!$B1:$AH671,32,FALSE)-AVERAGE('The List'!AG2:AG671))/STDEV('The List'!AG2:AG671)</f>
        <v>1.0722104301287338</v>
      </c>
      <c r="U241" s="55" cm="1">
        <f t="array" ref="U241">(VLOOKUP($A241,'The List'!$B1:$AH671,33,FALSE)-AVERAGE('The List'!AH2:AH671))/STDEV('The List'!AH2:AH671)</f>
        <v>1.3775852228707866</v>
      </c>
      <c r="V241" s="55"/>
      <c r="W241" s="78"/>
      <c r="X241" s="57"/>
      <c r="Y241" s="57"/>
      <c r="Z241" s="57"/>
      <c r="AA241" s="57"/>
      <c r="AB241" s="57"/>
      <c r="AC241" s="60"/>
      <c r="AD241" s="61"/>
      <c r="AE241" s="55"/>
    </row>
    <row r="242" spans="1:31" ht="21.25" customHeight="1" x14ac:dyDescent="0.15">
      <c r="A242" s="10" t="s">
        <v>621</v>
      </c>
      <c r="B242" s="18" t="str" cm="1">
        <f t="array" ref="B242">VLOOKUP(A242,'Player Data'!A1:B673,2,FALSE)</f>
        <v>VAN</v>
      </c>
      <c r="C242" s="52" cm="1">
        <f t="array" ref="C242">((E242)*Settings!$C$12)+(F242*Settings!$C$2)+(G242*Settings!$C$3)+(H242*Settings!$C$4)+(I242*Settings!$C$5)+(K242*Settings!$C$9)+(N242*Settings!$C$6)+(J242*Settings!$C$8)+(O242*Settings!$C$7)+(P242*Settings!$C$14)+(Q242*Settings!$C$15)+(R242*Settings!$C$16)+(S242*Settings!$C$17)+(T242*Settings!$C$18)+(U242*Settings!$C$19)+(L242*Settings!$C$10)+(Settings!$C$11*M242)</f>
        <v>-4.3156341639280553</v>
      </c>
      <c r="D242" s="57" cm="1">
        <f t="array" ref="D242">IF(Settings!$E$12="YES",VLOOKUP(A242,'Player Data'!A1:E673,5,FALSE),82)</f>
        <v>74.272499999999994</v>
      </c>
      <c r="E242" s="55" cm="1">
        <f t="array" ref="E242">(VLOOKUP($A242,'The List'!$B1:$AH671,17,FALSE)-AVERAGE('The List'!R2:R671))/STDEV('The List'!R2:R671)</f>
        <v>-0.73572718457718</v>
      </c>
      <c r="F242" s="55" cm="1">
        <f t="array" ref="F242">(VLOOKUP($A242,'The List'!$B1:$AH671,18,FALSE)-AVERAGE('The List'!S2:S671))/STDEV('The List'!S2:S671)</f>
        <v>8.4328935802222532E-2</v>
      </c>
      <c r="G242" s="55" cm="1">
        <f t="array" ref="G242">(VLOOKUP($A242,'The List'!$B1:$AH671,19,FALSE)-AVERAGE('The List'!T2:T671))/STDEV('The List'!T2:T671)</f>
        <v>-0.28993485058003954</v>
      </c>
      <c r="H242" s="55" cm="1">
        <f t="array" ref="H242">(VLOOKUP($A242,'The List'!$B1:$AH671,20,FALSE)-AVERAGE('The List'!U2:U671))/STDEV('The List'!U2:U671)</f>
        <v>-0.14495257627909891</v>
      </c>
      <c r="I242" s="55" cm="1">
        <f t="array" ref="I242">(VLOOKUP($A242,'The List'!$B1:$AH671,21,FALSE)-AVERAGE('The List'!V2:V671))/STDEV('The List'!V2:V671)</f>
        <v>-0.13978329995400104</v>
      </c>
      <c r="J242" s="55" cm="1">
        <f t="array" ref="J242">(VLOOKUP($A242,'The List'!$B1:$AH671,22,FALSE)-AVERAGE('The List'!W2:W671))/STDEV('The List'!W2:W671)</f>
        <v>-0.14366353531781675</v>
      </c>
      <c r="K242" s="55" cm="1">
        <f t="array" ref="K242">(VLOOKUP($A242,'The List'!$B1:$AH671,23,FALSE)-AVERAGE('The List'!X2:X671))/STDEV('The List'!X2:X671)</f>
        <v>-0.32876593364550888</v>
      </c>
      <c r="L242" s="55" cm="1">
        <f t="array" ref="L242">(VLOOKUP($A242,'The List'!$B1:$AH671,24,FALSE)-AVERAGE('The List'!Y2:Y671))/STDEV('The List'!Y2:Y671)</f>
        <v>-0.53940589728052779</v>
      </c>
      <c r="M242" s="55" cm="1">
        <f t="array" ref="M242">(VLOOKUP($A242,'The List'!$B1:$AH671,25,FALSE)-AVERAGE('The List'!Z2:Z671))/STDEV('The List'!Z2:Z671)</f>
        <v>-0.68165801884668387</v>
      </c>
      <c r="N242" s="55" cm="1">
        <f t="array" ref="N242">(VLOOKUP($A242,'The List'!$B1:$AH671,26,FALSE)-AVERAGE('The List'!AA2:AA671))/STDEV('The List'!AA2:AA671)</f>
        <v>-0.96255177574437711</v>
      </c>
      <c r="O242" s="55" cm="1">
        <f t="array" ref="O242">(VLOOKUP($A242,'The List'!$B1:$AH671,27,FALSE)-AVERAGE('The List'!AB2:AB671))/STDEV('The List'!AB2:AB671)</f>
        <v>3.7504007914734683E-2</v>
      </c>
      <c r="P242" s="55" cm="1">
        <f t="array" ref="P242">(VLOOKUP($A242,'The List'!$B1:$AH671,28,FALSE)-AVERAGE('The List'!AC2:AC671))/STDEV('The List'!AC2:AC671)</f>
        <v>-2.0472601324577981</v>
      </c>
      <c r="Q242" s="55" cm="1">
        <f t="array" ref="Q242">(VLOOKUP($A242,'The List'!$B1:$AH671,29,FALSE)-AVERAGE('The List'!AD2:AD671))/STDEV('The List'!AD2:AD671)</f>
        <v>-0.63166710734855314</v>
      </c>
      <c r="R242" s="55" cm="1">
        <f t="array" ref="R242">(VLOOKUP($A242,'The List'!$B1:$AH671,30,FALSE)-AVERAGE('The List'!AE2:AE671))/STDEV('The List'!AE2:AE671)</f>
        <v>-0.20600316720058853</v>
      </c>
      <c r="S242" s="55" cm="1">
        <f t="array" ref="S242">(VLOOKUP($A242,'The List'!$B1:$AH671,31,FALSE)-AVERAGE('The List'!AF2:AF671))/STDEV('The List'!AF2:AF671)</f>
        <v>-0.52349222886105407</v>
      </c>
      <c r="T242" s="55" cm="1">
        <f t="array" ref="T242">(VLOOKUP($A242,'The List'!$B1:$AH671,32,FALSE)-AVERAGE('The List'!AG2:AG671))/STDEV('The List'!AG2:AG671)</f>
        <v>-0.44976517891154394</v>
      </c>
      <c r="U242" s="55" cm="1">
        <f t="array" ref="U242">(VLOOKUP($A242,'The List'!$B1:$AH671,33,FALSE)-AVERAGE('The List'!AH2:AH671))/STDEV('The List'!AH2:AH671)</f>
        <v>1.6773038055985696E-2</v>
      </c>
      <c r="V242" s="55"/>
      <c r="W242" s="78"/>
      <c r="X242" s="57"/>
      <c r="Y242" s="57"/>
      <c r="Z242" s="57"/>
      <c r="AA242" s="57"/>
      <c r="AB242" s="57"/>
      <c r="AC242" s="60"/>
      <c r="AD242" s="61"/>
      <c r="AE242" s="55"/>
    </row>
    <row r="243" spans="1:31" ht="21.25" customHeight="1" x14ac:dyDescent="0.15">
      <c r="A243" s="10" t="s">
        <v>569</v>
      </c>
      <c r="B243" s="18" t="str" cm="1">
        <f t="array" ref="B243">VLOOKUP(A243,'Player Data'!A1:B673,2,FALSE)</f>
        <v>NYI</v>
      </c>
      <c r="C243" s="52" cm="1">
        <f t="array" ref="C243">((E243)*Settings!$C$12)+(F243*Settings!$C$2)+(G243*Settings!$C$3)+(H243*Settings!$C$4)+(I243*Settings!$C$5)+(K243*Settings!$C$9)+(N243*Settings!$C$6)+(J243*Settings!$C$8)+(O243*Settings!$C$7)+(P243*Settings!$C$14)+(Q243*Settings!$C$15)+(R243*Settings!$C$16)+(S243*Settings!$C$17)+(T243*Settings!$C$18)+(U243*Settings!$C$19)+(L243*Settings!$C$10)+(Settings!$C$11*M243)</f>
        <v>-0.67984485297800235</v>
      </c>
      <c r="D243" s="57" cm="1">
        <f t="array" ref="D243">IF(Settings!$E$12="YES",VLOOKUP(A243,'Player Data'!A1:E673,5,FALSE),82)</f>
        <v>83.674999999999997</v>
      </c>
      <c r="E243" s="55" cm="1">
        <f t="array" ref="E243">(VLOOKUP($A243,'The List'!$B1:$AH671,17,FALSE)-AVERAGE('The List'!R2:R671))/STDEV('The List'!R2:R671)</f>
        <v>-0.32177458532816733</v>
      </c>
      <c r="F243" s="55" cm="1">
        <f t="array" ref="F243">(VLOOKUP($A243,'The List'!$B1:$AH671,18,FALSE)-AVERAGE('The List'!S2:S671))/STDEV('The List'!S2:S671)</f>
        <v>0.21410871199196629</v>
      </c>
      <c r="G243" s="55" cm="1">
        <f t="array" ref="G243">(VLOOKUP($A243,'The List'!$B1:$AH671,19,FALSE)-AVERAGE('The List'!T2:T671))/STDEV('The List'!T2:T671)</f>
        <v>-7.9215043171728741E-2</v>
      </c>
      <c r="H243" s="55" cm="1">
        <f t="array" ref="H243">(VLOOKUP($A243,'The List'!$B1:$AH671,20,FALSE)-AVERAGE('The List'!U2:U671))/STDEV('The List'!U2:U671)</f>
        <v>4.5169533899245461E-2</v>
      </c>
      <c r="I243" s="55" cm="1">
        <f t="array" ref="I243">(VLOOKUP($A243,'The List'!$B1:$AH671,21,FALSE)-AVERAGE('The List'!V2:V671))/STDEV('The List'!V2:V671)</f>
        <v>-0.12596753909653952</v>
      </c>
      <c r="J243" s="55" cm="1">
        <f t="array" ref="J243">(VLOOKUP($A243,'The List'!$B1:$AH671,22,FALSE)-AVERAGE('The List'!W2:W671))/STDEV('The List'!W2:W671)</f>
        <v>-0.17475360943536075</v>
      </c>
      <c r="K243" s="55" cm="1">
        <f t="array" ref="K243">(VLOOKUP($A243,'The List'!$B1:$AH671,23,FALSE)-AVERAGE('The List'!X2:X671))/STDEV('The List'!X2:X671)</f>
        <v>-0.20602007350186913</v>
      </c>
      <c r="L243" s="55" cm="1">
        <f t="array" ref="L243">(VLOOKUP($A243,'The List'!$B1:$AH671,24,FALSE)-AVERAGE('The List'!Y2:Y671))/STDEV('The List'!Y2:Y671)</f>
        <v>-0.51242552020609788</v>
      </c>
      <c r="M243" s="55" cm="1">
        <f t="array" ref="M243">(VLOOKUP($A243,'The List'!$B1:$AH671,25,FALSE)-AVERAGE('The List'!Z2:Z671))/STDEV('The List'!Z2:Z671)</f>
        <v>-0.66691592135118827</v>
      </c>
      <c r="N243" s="55" cm="1">
        <f t="array" ref="N243">(VLOOKUP($A243,'The List'!$B1:$AH671,26,FALSE)-AVERAGE('The List'!AA2:AA671))/STDEV('The List'!AA2:AA671)</f>
        <v>-0.55921363930065759</v>
      </c>
      <c r="O243" s="55" cm="1">
        <f t="array" ref="O243">(VLOOKUP($A243,'The List'!$B1:$AH671,27,FALSE)-AVERAGE('The List'!AB2:AB671))/STDEV('The List'!AB2:AB671)</f>
        <v>1.7495201271338221</v>
      </c>
      <c r="P243" s="55" cm="1">
        <f t="array" ref="P243">(VLOOKUP($A243,'The List'!$B1:$AH671,28,FALSE)-AVERAGE('The List'!AC2:AC671))/STDEV('The List'!AC2:AC671)</f>
        <v>-1.2217347909785736</v>
      </c>
      <c r="Q243" s="55" cm="1">
        <f t="array" ref="Q243">(VLOOKUP($A243,'The List'!$B1:$AH671,29,FALSE)-AVERAGE('The List'!AD2:AD671))/STDEV('The List'!AD2:AD671)</f>
        <v>1.2981975210793999</v>
      </c>
      <c r="R243" s="55" cm="1">
        <f t="array" ref="R243">(VLOOKUP($A243,'The List'!$B1:$AH671,30,FALSE)-AVERAGE('The List'!AE2:AE671))/STDEV('The List'!AE2:AE671)</f>
        <v>0.11366927461719645</v>
      </c>
      <c r="S243" s="55" cm="1">
        <f t="array" ref="S243">(VLOOKUP($A243,'The List'!$B1:$AH671,31,FALSE)-AVERAGE('The List'!AF2:AF671))/STDEV('The List'!AF2:AF671)</f>
        <v>1.5268909403600648</v>
      </c>
      <c r="T243" s="55" cm="1">
        <f t="array" ref="T243">(VLOOKUP($A243,'The List'!$B1:$AH671,32,FALSE)-AVERAGE('The List'!AG2:AG671))/STDEV('The List'!AG2:AG671)</f>
        <v>1.3995642222571467</v>
      </c>
      <c r="U243" s="55" cm="1">
        <f t="array" ref="U243">(VLOOKUP($A243,'The List'!$B1:$AH671,33,FALSE)-AVERAGE('The List'!AH2:AH671))/STDEV('The List'!AH2:AH671)</f>
        <v>1.1573136517504778</v>
      </c>
      <c r="V243" s="55"/>
      <c r="W243" s="57"/>
      <c r="X243" s="55"/>
      <c r="Y243" s="55"/>
      <c r="Z243" s="55"/>
      <c r="AA243" s="55"/>
      <c r="AB243" s="55"/>
      <c r="AC243" s="55"/>
      <c r="AD243" s="55"/>
      <c r="AE243" s="55"/>
    </row>
    <row r="244" spans="1:31" ht="21.25" customHeight="1" x14ac:dyDescent="0.15">
      <c r="A244" s="10" t="s">
        <v>488</v>
      </c>
      <c r="B244" s="18" t="str" cm="1">
        <f t="array" ref="B244">VLOOKUP(A244,'Player Data'!A1:B673,2,FALSE)</f>
        <v>UTA</v>
      </c>
      <c r="C244" s="52" cm="1">
        <f t="array" ref="C244">((E244)*Settings!$C$12)+(F244*Settings!$C$2)+(G244*Settings!$C$3)+(H244*Settings!$C$4)+(I244*Settings!$C$5)+(K244*Settings!$C$9)+(N244*Settings!$C$6)+(J244*Settings!$C$8)+(O244*Settings!$C$7)+(P244*Settings!$C$14)+(Q244*Settings!$C$15)+(R244*Settings!$C$16)+(S244*Settings!$C$17)+(T244*Settings!$C$18)+(U244*Settings!$C$19)+(L244*Settings!$C$10)+(Settings!$C$11*M244)</f>
        <v>1.6432502148801309</v>
      </c>
      <c r="D244" s="57" cm="1">
        <f t="array" ref="D244">IF(Settings!$E$12="YES",VLOOKUP(A244,'Player Data'!A1:E673,5,FALSE),82)</f>
        <v>83.93</v>
      </c>
      <c r="E244" s="55" cm="1">
        <f t="array" ref="E244">(VLOOKUP($A244,'The List'!$B1:$AH671,17,FALSE)-AVERAGE('The List'!R2:R671))/STDEV('The List'!R2:R671)</f>
        <v>-0.50141464886133402</v>
      </c>
      <c r="F244" s="55" cm="1">
        <f t="array" ref="F244">(VLOOKUP($A244,'The List'!$B1:$AH671,18,FALSE)-AVERAGE('The List'!S2:S671))/STDEV('The List'!S2:S671)</f>
        <v>0.46884863603376831</v>
      </c>
      <c r="G244" s="55" cm="1">
        <f t="array" ref="G244">(VLOOKUP($A244,'The List'!$B1:$AH671,19,FALSE)-AVERAGE('The List'!T2:T671))/STDEV('The List'!T2:T671)</f>
        <v>-0.25992876876661364</v>
      </c>
      <c r="H244" s="55" cm="1">
        <f t="array" ref="H244">(VLOOKUP($A244,'The List'!$B1:$AH671,20,FALSE)-AVERAGE('The List'!U2:U671))/STDEV('The List'!U2:U671)</f>
        <v>4.4524117214618679E-2</v>
      </c>
      <c r="I244" s="55" cm="1">
        <f t="array" ref="I244">(VLOOKUP($A244,'The List'!$B1:$AH671,21,FALSE)-AVERAGE('The List'!V2:V671))/STDEV('The List'!V2:V671)</f>
        <v>1.0410343310095598</v>
      </c>
      <c r="J244" s="55" cm="1">
        <f t="array" ref="J244">(VLOOKUP($A244,'The List'!$B1:$AH671,22,FALSE)-AVERAGE('The List'!W2:W671))/STDEV('The List'!W2:W671)</f>
        <v>9.2837543023168489E-2</v>
      </c>
      <c r="K244" s="55" cm="1">
        <f t="array" ref="K244">(VLOOKUP($A244,'The List'!$B1:$AH671,23,FALSE)-AVERAGE('The List'!X2:X671))/STDEV('The List'!X2:X671)</f>
        <v>-0.28487633169063048</v>
      </c>
      <c r="L244" s="55" cm="1">
        <f t="array" ref="L244">(VLOOKUP($A244,'The List'!$B1:$AH671,24,FALSE)-AVERAGE('The List'!Y2:Y671))/STDEV('The List'!Y2:Y671)</f>
        <v>-0.55132403505026983</v>
      </c>
      <c r="M244" s="55" cm="1">
        <f t="array" ref="M244">(VLOOKUP($A244,'The List'!$B1:$AH671,25,FALSE)-AVERAGE('The List'!Z2:Z671))/STDEV('The List'!Z2:Z671)</f>
        <v>-0.69342771562951844</v>
      </c>
      <c r="N244" s="55" cm="1">
        <f t="array" ref="N244">(VLOOKUP($A244,'The List'!$B1:$AH671,26,FALSE)-AVERAGE('The List'!AA2:AA671))/STDEV('The List'!AA2:AA671)</f>
        <v>-0.65353039691334036</v>
      </c>
      <c r="O244" s="55" cm="1">
        <f t="array" ref="O244">(VLOOKUP($A244,'The List'!$B1:$AH671,27,FALSE)-AVERAGE('The List'!AB2:AB671))/STDEV('The List'!AB2:AB671)</f>
        <v>0.2705238808695255</v>
      </c>
      <c r="P244" s="55" cm="1">
        <f t="array" ref="P244">(VLOOKUP($A244,'The List'!$B1:$AH671,28,FALSE)-AVERAGE('The List'!AC2:AC671))/STDEV('The List'!AC2:AC671)</f>
        <v>0.72733256359466458</v>
      </c>
      <c r="Q244" s="55" cm="1">
        <f t="array" ref="Q244">(VLOOKUP($A244,'The List'!$B1:$AH671,29,FALSE)-AVERAGE('The List'!AD2:AD671))/STDEV('The List'!AD2:AD671)</f>
        <v>0.60437018161272271</v>
      </c>
      <c r="R244" s="55" cm="1">
        <f t="array" ref="R244">(VLOOKUP($A244,'The List'!$B1:$AH671,30,FALSE)-AVERAGE('The List'!AE2:AE671))/STDEV('The List'!AE2:AE671)</f>
        <v>0.52556527110882401</v>
      </c>
      <c r="S244" s="55" cm="1">
        <f t="array" ref="S244">(VLOOKUP($A244,'The List'!$B1:$AH671,31,FALSE)-AVERAGE('The List'!AF2:AF671))/STDEV('The List'!AF2:AF671)</f>
        <v>-0.38244404177065738</v>
      </c>
      <c r="T244" s="55" cm="1">
        <f t="array" ref="T244">(VLOOKUP($A244,'The List'!$B1:$AH671,32,FALSE)-AVERAGE('The List'!AG2:AG671))/STDEV('The List'!AG2:AG671)</f>
        <v>-0.40086075500706475</v>
      </c>
      <c r="U244" s="55" cm="1">
        <f t="array" ref="U244">(VLOOKUP($A244,'The List'!$B1:$AH671,33,FALSE)-AVERAGE('The List'!AH2:AH671))/STDEV('The List'!AH2:AH671)</f>
        <v>0.94633993939860062</v>
      </c>
      <c r="V244" s="55"/>
      <c r="W244" s="57"/>
      <c r="X244" s="55"/>
      <c r="Y244" s="55"/>
      <c r="Z244" s="55"/>
      <c r="AA244" s="55"/>
      <c r="AB244" s="55"/>
      <c r="AC244" s="55"/>
      <c r="AD244" s="55"/>
      <c r="AE244" s="55"/>
    </row>
    <row r="245" spans="1:31" ht="21.25" customHeight="1" x14ac:dyDescent="0.15">
      <c r="A245" s="10" t="s">
        <v>524</v>
      </c>
      <c r="B245" s="18" t="str" cm="1">
        <f t="array" ref="B245">VLOOKUP(A245,'Player Data'!A1:B673,2,FALSE)</f>
        <v>CGY</v>
      </c>
      <c r="C245" s="52" cm="1">
        <f t="array" ref="C245">((E245)*Settings!$C$12)+(F245*Settings!$C$2)+(G245*Settings!$C$3)+(H245*Settings!$C$4)+(I245*Settings!$C$5)+(K245*Settings!$C$9)+(N245*Settings!$C$6)+(J245*Settings!$C$8)+(O245*Settings!$C$7)+(P245*Settings!$C$14)+(Q245*Settings!$C$15)+(R245*Settings!$C$16)+(S245*Settings!$C$17)+(T245*Settings!$C$18)+(U245*Settings!$C$19)+(L245*Settings!$C$10)+(Settings!$C$11*M245)</f>
        <v>-3.6681152532979335</v>
      </c>
      <c r="D245" s="57" cm="1">
        <f t="array" ref="D245">IF(Settings!$E$12="YES",VLOOKUP(A245,'Player Data'!A1:E673,5,FALSE),82)</f>
        <v>82.082499999999996</v>
      </c>
      <c r="E245" s="55" cm="1">
        <f t="array" ref="E245">(VLOOKUP($A245,'The List'!$B1:$AH671,17,FALSE)-AVERAGE('The List'!R2:R671))/STDEV('The List'!R2:R671)</f>
        <v>-0.12946501129258531</v>
      </c>
      <c r="F245" s="55" cm="1">
        <f t="array" ref="F245">(VLOOKUP($A245,'The List'!$B1:$AH671,18,FALSE)-AVERAGE('The List'!S2:S671))/STDEV('The List'!S2:S671)</f>
        <v>0.48431783140488355</v>
      </c>
      <c r="G245" s="55" cm="1">
        <f t="array" ref="G245">(VLOOKUP($A245,'The List'!$B1:$AH671,19,FALSE)-AVERAGE('The List'!T2:T671))/STDEV('The List'!T2:T671)</f>
        <v>-0.37307864794145507</v>
      </c>
      <c r="H245" s="55" cm="1">
        <f t="array" ref="H245">(VLOOKUP($A245,'The List'!$B1:$AH671,20,FALSE)-AVERAGE('The List'!U2:U671))/STDEV('The List'!U2:U671)</f>
        <v>-1.9783214070887189E-2</v>
      </c>
      <c r="I245" s="55" cm="1">
        <f t="array" ref="I245">(VLOOKUP($A245,'The List'!$B1:$AH671,21,FALSE)-AVERAGE('The List'!V2:V671))/STDEV('The List'!V2:V671)</f>
        <v>0.41855876160655708</v>
      </c>
      <c r="J245" s="55" cm="1">
        <f t="array" ref="J245">(VLOOKUP($A245,'The List'!$B1:$AH671,22,FALSE)-AVERAGE('The List'!W2:W671))/STDEV('The List'!W2:W671)</f>
        <v>0.34233175527990345</v>
      </c>
      <c r="K245" s="55" cm="1">
        <f t="array" ref="K245">(VLOOKUP($A245,'The List'!$B1:$AH671,23,FALSE)-AVERAGE('The List'!X2:X671))/STDEV('The List'!X2:X671)</f>
        <v>5.2409893398947501E-3</v>
      </c>
      <c r="L245" s="55" cm="1">
        <f t="array" ref="L245">(VLOOKUP($A245,'The List'!$B1:$AH671,24,FALSE)-AVERAGE('The List'!Y2:Y671))/STDEV('The List'!Y2:Y671)</f>
        <v>2.3217801721105746</v>
      </c>
      <c r="M245" s="55" cm="1">
        <f t="array" ref="M245">(VLOOKUP($A245,'The List'!$B1:$AH671,25,FALSE)-AVERAGE('The List'!Z2:Z671))/STDEV('The List'!Z2:Z671)</f>
        <v>1.9812984517614438</v>
      </c>
      <c r="N245" s="55" cm="1">
        <f t="array" ref="N245">(VLOOKUP($A245,'The List'!$B1:$AH671,26,FALSE)-AVERAGE('The List'!AA2:AA671))/STDEV('The List'!AA2:AA671)</f>
        <v>-0.71370894503522653</v>
      </c>
      <c r="O245" s="55" cm="1">
        <f t="array" ref="O245">(VLOOKUP($A245,'The List'!$B1:$AH671,27,FALSE)-AVERAGE('The List'!AB2:AB671))/STDEV('The List'!AB2:AB671)</f>
        <v>-1.1710972322702835</v>
      </c>
      <c r="P245" s="55" cm="1">
        <f t="array" ref="P245">(VLOOKUP($A245,'The List'!$B1:$AH671,28,FALSE)-AVERAGE('The List'!AC2:AC671))/STDEV('The List'!AC2:AC671)</f>
        <v>-2.1986884496071379</v>
      </c>
      <c r="Q245" s="55" cm="1">
        <f t="array" ref="Q245">(VLOOKUP($A245,'The List'!$B1:$AH671,29,FALSE)-AVERAGE('The List'!AD2:AD671))/STDEV('The List'!AD2:AD671)</f>
        <v>-1.2907567930654493</v>
      </c>
      <c r="R245" s="55" cm="1">
        <f t="array" ref="R245">(VLOOKUP($A245,'The List'!$B1:$AH671,30,FALSE)-AVERAGE('The List'!AE2:AE671))/STDEV('The List'!AE2:AE671)</f>
        <v>0.33398864739346523</v>
      </c>
      <c r="S245" s="55" cm="1">
        <f t="array" ref="S245">(VLOOKUP($A245,'The List'!$B1:$AH671,31,FALSE)-AVERAGE('The List'!AF2:AF671))/STDEV('The List'!AF2:AF671)</f>
        <v>-0.25806943340758726</v>
      </c>
      <c r="T245" s="55" cm="1">
        <f t="array" ref="T245">(VLOOKUP($A245,'The List'!$B1:$AH671,32,FALSE)-AVERAGE('The List'!AG2:AG671))/STDEV('The List'!AG2:AG671)</f>
        <v>-0.11139502575759146</v>
      </c>
      <c r="U245" s="55" cm="1">
        <f t="array" ref="U245">(VLOOKUP($A245,'The List'!$B1:$AH671,33,FALSE)-AVERAGE('The List'!AH2:AH671))/STDEV('The List'!AH2:AH671)</f>
        <v>0.58788062968134736</v>
      </c>
      <c r="V245" s="55"/>
      <c r="W245" s="78"/>
      <c r="X245" s="57"/>
      <c r="Y245" s="57"/>
      <c r="Z245" s="57"/>
      <c r="AA245" s="57"/>
      <c r="AB245" s="57"/>
      <c r="AC245" s="60"/>
      <c r="AD245" s="61"/>
      <c r="AE245" s="55"/>
    </row>
    <row r="246" spans="1:31" ht="21.25" customHeight="1" x14ac:dyDescent="0.15">
      <c r="A246" s="10" t="s">
        <v>521</v>
      </c>
      <c r="B246" s="18" t="str" cm="1">
        <f t="array" ref="B246">VLOOKUP(A246,'Player Data'!A1:B673,2,FALSE)</f>
        <v>OTT</v>
      </c>
      <c r="C246" s="52" cm="1">
        <f t="array" ref="C246">((E246)*Settings!$C$12)+(F246*Settings!$C$2)+(G246*Settings!$C$3)+(H246*Settings!$C$4)+(I246*Settings!$C$5)+(K246*Settings!$C$9)+(N246*Settings!$C$6)+(J246*Settings!$C$8)+(O246*Settings!$C$7)+(P246*Settings!$C$14)+(Q246*Settings!$C$15)+(R246*Settings!$C$16)+(S246*Settings!$C$17)+(T246*Settings!$C$18)+(U246*Settings!$C$19)+(L246*Settings!$C$10)+(Settings!$C$11*M246)</f>
        <v>-0.17575097875840084</v>
      </c>
      <c r="D246" s="57" cm="1">
        <f t="array" ref="D246">IF(Settings!$E$12="YES",VLOOKUP(A246,'Player Data'!A1:E673,5,FALSE),82)</f>
        <v>83.892499999999998</v>
      </c>
      <c r="E246" s="55" cm="1">
        <f t="array" ref="E246">(VLOOKUP($A246,'The List'!$B1:$AH671,17,FALSE)-AVERAGE('The List'!R2:R671))/STDEV('The List'!R2:R671)</f>
        <v>-0.40549911777772379</v>
      </c>
      <c r="F246" s="55" cm="1">
        <f t="array" ref="F246">(VLOOKUP($A246,'The List'!$B1:$AH671,18,FALSE)-AVERAGE('The List'!S2:S671))/STDEV('The List'!S2:S671)</f>
        <v>-0.15758098757428668</v>
      </c>
      <c r="G246" s="55" cm="1">
        <f t="array" ref="G246">(VLOOKUP($A246,'The List'!$B1:$AH671,19,FALSE)-AVERAGE('The List'!T2:T671))/STDEV('The List'!T2:T671)</f>
        <v>0.3838479156095389</v>
      </c>
      <c r="H246" s="55" cm="1">
        <f t="array" ref="H246">(VLOOKUP($A246,'The List'!$B1:$AH671,20,FALSE)-AVERAGE('The List'!U2:U671))/STDEV('The List'!U2:U671)</f>
        <v>0.17152305658805894</v>
      </c>
      <c r="I246" s="55" cm="1">
        <f t="array" ref="I246">(VLOOKUP($A246,'The List'!$B1:$AH671,21,FALSE)-AVERAGE('The List'!V2:V671))/STDEV('The List'!V2:V671)</f>
        <v>8.0683904180845423E-2</v>
      </c>
      <c r="J246" s="55" cm="1">
        <f t="array" ref="J246">(VLOOKUP($A246,'The List'!$B1:$AH671,22,FALSE)-AVERAGE('The List'!W2:W671))/STDEV('The List'!W2:W671)</f>
        <v>-0.27590844157546163</v>
      </c>
      <c r="K246" s="55" cm="1">
        <f t="array" ref="K246">(VLOOKUP($A246,'The List'!$B1:$AH671,23,FALSE)-AVERAGE('The List'!X2:X671))/STDEV('The List'!X2:X671)</f>
        <v>0.33193840226600124</v>
      </c>
      <c r="L246" s="55" cm="1">
        <f t="array" ref="L246">(VLOOKUP($A246,'The List'!$B1:$AH671,24,FALSE)-AVERAGE('The List'!Y2:Y671))/STDEV('The List'!Y2:Y671)</f>
        <v>-0.1522042708528791</v>
      </c>
      <c r="M246" s="55" cm="1">
        <f t="array" ref="M246">(VLOOKUP($A246,'The List'!$B1:$AH671,25,FALSE)-AVERAGE('The List'!Z2:Z671))/STDEV('The List'!Z2:Z671)</f>
        <v>-0.13388373855080743</v>
      </c>
      <c r="N246" s="55" cm="1">
        <f t="array" ref="N246">(VLOOKUP($A246,'The List'!$B1:$AH671,26,FALSE)-AVERAGE('The List'!AA2:AA671))/STDEV('The List'!AA2:AA671)</f>
        <v>-0.86883668229995559</v>
      </c>
      <c r="O246" s="55" cm="1">
        <f t="array" ref="O246">(VLOOKUP($A246,'The List'!$B1:$AH671,27,FALSE)-AVERAGE('The List'!AB2:AB671))/STDEV('The List'!AB2:AB671)</f>
        <v>-0.4665669592202179</v>
      </c>
      <c r="P246" s="55" cm="1">
        <f t="array" ref="P246">(VLOOKUP($A246,'The List'!$B1:$AH671,28,FALSE)-AVERAGE('The List'!AC2:AC671))/STDEV('The List'!AC2:AC671)</f>
        <v>0.57002816126555955</v>
      </c>
      <c r="Q246" s="55" cm="1">
        <f t="array" ref="Q246">(VLOOKUP($A246,'The List'!$B1:$AH671,29,FALSE)-AVERAGE('The List'!AD2:AD671))/STDEV('The List'!AD2:AD671)</f>
        <v>-0.5158316922061037</v>
      </c>
      <c r="R246" s="55" cm="1">
        <f t="array" ref="R246">(VLOOKUP($A246,'The List'!$B1:$AH671,30,FALSE)-AVERAGE('The List'!AE2:AE671))/STDEV('The List'!AE2:AE671)</f>
        <v>1.2164328178158296E-2</v>
      </c>
      <c r="S246" s="55" cm="1">
        <f t="array" ref="S246">(VLOOKUP($A246,'The List'!$B1:$AH671,31,FALSE)-AVERAGE('The List'!AF2:AF671))/STDEV('The List'!AF2:AF671)</f>
        <v>1.7377872683021509</v>
      </c>
      <c r="T246" s="55" cm="1">
        <f t="array" ref="T246">(VLOOKUP($A246,'The List'!$B1:$AH671,32,FALSE)-AVERAGE('The List'!AG2:AG671))/STDEV('The List'!AG2:AG671)</f>
        <v>0.93330300560177881</v>
      </c>
      <c r="U246" s="55" cm="1">
        <f t="array" ref="U246">(VLOOKUP($A246,'The List'!$B1:$AH671,33,FALSE)-AVERAGE('The List'!AH2:AH671))/STDEV('The List'!AH2:AH671)</f>
        <v>1.5549453170131526</v>
      </c>
      <c r="V246" s="55"/>
      <c r="W246" s="78"/>
      <c r="X246" s="57"/>
      <c r="Y246" s="57"/>
      <c r="Z246" s="57"/>
      <c r="AA246" s="57"/>
      <c r="AB246" s="57"/>
      <c r="AC246" s="60"/>
      <c r="AD246" s="61"/>
      <c r="AE246" s="55"/>
    </row>
    <row r="247" spans="1:31" ht="21.25" customHeight="1" x14ac:dyDescent="0.15">
      <c r="A247" s="10" t="s">
        <v>603</v>
      </c>
      <c r="B247" s="18" t="str" cm="1">
        <f t="array" ref="B247">VLOOKUP(A247,'Player Data'!A1:B673,2,FALSE)</f>
        <v>S.J</v>
      </c>
      <c r="C247" s="52" cm="1">
        <f t="array" ref="C247">((E247)*Settings!$C$12)+(F247*Settings!$C$2)+(G247*Settings!$C$3)+(H247*Settings!$C$4)+(I247*Settings!$C$5)+(K247*Settings!$C$9)+(N247*Settings!$C$6)+(J247*Settings!$C$8)+(O247*Settings!$C$7)+(P247*Settings!$C$14)+(Q247*Settings!$C$15)+(R247*Settings!$C$16)+(S247*Settings!$C$17)+(T247*Settings!$C$18)+(U247*Settings!$C$19)+(L247*Settings!$C$10)+(Settings!$C$11*M247)</f>
        <v>-3.4060699979489106</v>
      </c>
      <c r="D247" s="57" cm="1">
        <f t="array" ref="D247">IF(Settings!$E$12="YES",VLOOKUP(A247,'Player Data'!A1:E673,5,FALSE),82)</f>
        <v>80.052499999999995</v>
      </c>
      <c r="E247" s="55" cm="1">
        <f t="array" ref="E247">(VLOOKUP($A247,'The List'!$B1:$AH671,17,FALSE)-AVERAGE('The List'!R2:R671))/STDEV('The List'!R2:R671)</f>
        <v>-0.53572453749560889</v>
      </c>
      <c r="F247" s="55" cm="1">
        <f t="array" ref="F247">(VLOOKUP($A247,'The List'!$B1:$AH671,18,FALSE)-AVERAGE('The List'!S2:S671))/STDEV('The List'!S2:S671)</f>
        <v>0.28402096178591874</v>
      </c>
      <c r="G247" s="55" cm="1">
        <f t="array" ref="G247">(VLOOKUP($A247,'The List'!$B1:$AH671,19,FALSE)-AVERAGE('The List'!T2:T671))/STDEV('The List'!T2:T671)</f>
        <v>-0.31037446482947301</v>
      </c>
      <c r="H247" s="55" cm="1">
        <f t="array" ref="H247">(VLOOKUP($A247,'The List'!$B1:$AH671,20,FALSE)-AVERAGE('The List'!U2:U671))/STDEV('The List'!U2:U671)</f>
        <v>-6.9209977791435145E-2</v>
      </c>
      <c r="I247" s="55" cm="1">
        <f t="array" ref="I247">(VLOOKUP($A247,'The List'!$B1:$AH671,21,FALSE)-AVERAGE('The List'!V2:V671))/STDEV('The List'!V2:V671)</f>
        <v>-0.3786615720916825</v>
      </c>
      <c r="J247" s="55" cm="1">
        <f t="array" ref="J247">(VLOOKUP($A247,'The List'!$B1:$AH671,22,FALSE)-AVERAGE('The List'!W2:W671))/STDEV('The List'!W2:W671)</f>
        <v>-0.69004107029375739</v>
      </c>
      <c r="K247" s="55" cm="1">
        <f t="array" ref="K247">(VLOOKUP($A247,'The List'!$B1:$AH671,23,FALSE)-AVERAGE('The List'!X2:X671))/STDEV('The List'!X2:X671)</f>
        <v>-0.7245745588145569</v>
      </c>
      <c r="L247" s="55" cm="1">
        <f t="array" ref="L247">(VLOOKUP($A247,'The List'!$B1:$AH671,24,FALSE)-AVERAGE('The List'!Y2:Y671))/STDEV('The List'!Y2:Y671)</f>
        <v>3.4579887741185114</v>
      </c>
      <c r="M247" s="55" cm="1">
        <f t="array" ref="M247">(VLOOKUP($A247,'The List'!$B1:$AH671,25,FALSE)-AVERAGE('The List'!Z2:Z671))/STDEV('The List'!Z2:Z671)</f>
        <v>2.7405210649650109</v>
      </c>
      <c r="N247" s="55" cm="1">
        <f t="array" ref="N247">(VLOOKUP($A247,'The List'!$B1:$AH671,26,FALSE)-AVERAGE('The List'!AA2:AA671))/STDEV('The List'!AA2:AA671)</f>
        <v>-0.50875535137151739</v>
      </c>
      <c r="O247" s="55" cm="1">
        <f t="array" ref="O247">(VLOOKUP($A247,'The List'!$B1:$AH671,27,FALSE)-AVERAGE('The List'!AB2:AB671))/STDEV('The List'!AB2:AB671)</f>
        <v>-0.21782299393364615</v>
      </c>
      <c r="P247" s="55" cm="1">
        <f t="array" ref="P247">(VLOOKUP($A247,'The List'!$B1:$AH671,28,FALSE)-AVERAGE('The List'!AC2:AC671))/STDEV('The List'!AC2:AC671)</f>
        <v>-0.6311358558400989</v>
      </c>
      <c r="Q247" s="55" cm="1">
        <f t="array" ref="Q247">(VLOOKUP($A247,'The List'!$B1:$AH671,29,FALSE)-AVERAGE('The List'!AD2:AD671))/STDEV('The List'!AD2:AD671)</f>
        <v>-1.1365891567875006</v>
      </c>
      <c r="R247" s="55" cm="1">
        <f t="array" ref="R247">(VLOOKUP($A247,'The List'!$B1:$AH671,30,FALSE)-AVERAGE('The List'!AE2:AE671))/STDEV('The List'!AE2:AE671)</f>
        <v>0.11321955200162501</v>
      </c>
      <c r="S247" s="55" cm="1">
        <f t="array" ref="S247">(VLOOKUP($A247,'The List'!$B1:$AH671,31,FALSE)-AVERAGE('The List'!AF2:AF671))/STDEV('The List'!AF2:AF671)</f>
        <v>-0.56435682495027384</v>
      </c>
      <c r="T247" s="55" cm="1">
        <f t="array" ref="T247">(VLOOKUP($A247,'The List'!$B1:$AH671,32,FALSE)-AVERAGE('The List'!AG2:AG671))/STDEV('The List'!AG2:AG671)</f>
        <v>-0.56906205501693208</v>
      </c>
      <c r="U247" s="55" cm="1">
        <f t="array" ref="U247">(VLOOKUP($A247,'The List'!$B1:$AH671,33,FALSE)-AVERAGE('The List'!AH2:AH671))/STDEV('The List'!AH2:AH671)</f>
        <v>8.1252749469524058E-2</v>
      </c>
      <c r="V247" s="55"/>
      <c r="W247" s="78"/>
      <c r="X247" s="57"/>
      <c r="Y247" s="57"/>
      <c r="Z247" s="57"/>
      <c r="AA247" s="57"/>
      <c r="AB247" s="57"/>
      <c r="AC247" s="60"/>
      <c r="AD247" s="61"/>
      <c r="AE247" s="55"/>
    </row>
    <row r="248" spans="1:31" ht="21.25" customHeight="1" x14ac:dyDescent="0.15">
      <c r="A248" s="10" t="s">
        <v>550</v>
      </c>
      <c r="B248" s="18" t="str" cm="1">
        <f t="array" ref="B248">VLOOKUP(A248,'Player Data'!A1:B673,2,FALSE)</f>
        <v>N.J</v>
      </c>
      <c r="C248" s="52" cm="1">
        <f t="array" ref="C248">((E248)*Settings!$C$12)+(F248*Settings!$C$2)+(G248*Settings!$C$3)+(H248*Settings!$C$4)+(I248*Settings!$C$5)+(K248*Settings!$C$9)+(N248*Settings!$C$6)+(J248*Settings!$C$8)+(O248*Settings!$C$7)+(P248*Settings!$C$14)+(Q248*Settings!$C$15)+(R248*Settings!$C$16)+(S248*Settings!$C$17)+(T248*Settings!$C$18)+(U248*Settings!$C$19)+(L248*Settings!$C$10)+(Settings!$C$11*M248)</f>
        <v>-1.1417052408657475</v>
      </c>
      <c r="D248" s="57" cm="1">
        <f t="array" ref="D248">IF(Settings!$E$12="YES",VLOOKUP(A248,'Player Data'!A1:E673,5,FALSE),82)</f>
        <v>77.39</v>
      </c>
      <c r="E248" s="55" cm="1">
        <f t="array" ref="E248">(VLOOKUP($A248,'The List'!$B1:$AH671,17,FALSE)-AVERAGE('The List'!R2:R671))/STDEV('The List'!R2:R671)</f>
        <v>-0.64535255663644686</v>
      </c>
      <c r="F248" s="55" cm="1">
        <f t="array" ref="F248">(VLOOKUP($A248,'The List'!$B1:$AH671,18,FALSE)-AVERAGE('The List'!S2:S671))/STDEV('The List'!S2:S671)</f>
        <v>0.13304863068307266</v>
      </c>
      <c r="G248" s="55" cm="1">
        <f t="array" ref="G248">(VLOOKUP($A248,'The List'!$B1:$AH671,19,FALSE)-AVERAGE('The List'!T2:T671))/STDEV('The List'!T2:T671)</f>
        <v>-0.16711949287486288</v>
      </c>
      <c r="H248" s="55" cm="1">
        <f t="array" ref="H248">(VLOOKUP($A248,'The List'!$B1:$AH671,20,FALSE)-AVERAGE('The List'!U2:U671))/STDEV('The List'!U2:U671)</f>
        <v>-4.6086495731587906E-2</v>
      </c>
      <c r="I248" s="55" cm="1">
        <f t="array" ref="I248">(VLOOKUP($A248,'The List'!$B1:$AH671,21,FALSE)-AVERAGE('The List'!V2:V671))/STDEV('The List'!V2:V671)</f>
        <v>0.59538832677537612</v>
      </c>
      <c r="J248" s="55" cm="1">
        <f t="array" ref="J248">(VLOOKUP($A248,'The List'!$B1:$AH671,22,FALSE)-AVERAGE('The List'!W2:W671))/STDEV('The List'!W2:W671)</f>
        <v>-0.39855142622577583</v>
      </c>
      <c r="K248" s="55" cm="1">
        <f t="array" ref="K248">(VLOOKUP($A248,'The List'!$B1:$AH671,23,FALSE)-AVERAGE('The List'!X2:X671))/STDEV('The List'!X2:X671)</f>
        <v>-0.53767781966474926</v>
      </c>
      <c r="L248" s="55" cm="1">
        <f t="array" ref="L248">(VLOOKUP($A248,'The List'!$B1:$AH671,24,FALSE)-AVERAGE('The List'!Y2:Y671))/STDEV('The List'!Y2:Y671)</f>
        <v>-0.55904341744633534</v>
      </c>
      <c r="M248" s="55" cm="1">
        <f t="array" ref="M248">(VLOOKUP($A248,'The List'!$B1:$AH671,25,FALSE)-AVERAGE('The List'!Z2:Z671))/STDEV('The List'!Z2:Z671)</f>
        <v>-0.70102078327599504</v>
      </c>
      <c r="N248" s="55" cm="1">
        <f t="array" ref="N248">(VLOOKUP($A248,'The List'!$B1:$AH671,26,FALSE)-AVERAGE('The List'!AA2:AA671))/STDEV('The List'!AA2:AA671)</f>
        <v>-1.0333573858185614</v>
      </c>
      <c r="O248" s="55" cm="1">
        <f t="array" ref="O248">(VLOOKUP($A248,'The List'!$B1:$AH671,27,FALSE)-AVERAGE('The List'!AB2:AB671))/STDEV('The List'!AB2:AB671)</f>
        <v>-0.35608424791949089</v>
      </c>
      <c r="P248" s="55" cm="1">
        <f t="array" ref="P248">(VLOOKUP($A248,'The List'!$B1:$AH671,28,FALSE)-AVERAGE('The List'!AC2:AC671))/STDEV('The List'!AC2:AC671)</f>
        <v>0.15201632392957887</v>
      </c>
      <c r="Q248" s="55" cm="1">
        <f t="array" ref="Q248">(VLOOKUP($A248,'The List'!$B1:$AH671,29,FALSE)-AVERAGE('The List'!AD2:AD671))/STDEV('The List'!AD2:AD671)</f>
        <v>-0.28400382389560158</v>
      </c>
      <c r="R248" s="55" cm="1">
        <f t="array" ref="R248">(VLOOKUP($A248,'The List'!$B1:$AH671,30,FALSE)-AVERAGE('The List'!AE2:AE671))/STDEV('The List'!AE2:AE671)</f>
        <v>7.1880920053548E-2</v>
      </c>
      <c r="S248" s="55" cm="1">
        <f t="array" ref="S248">(VLOOKUP($A248,'The List'!$B1:$AH671,31,FALSE)-AVERAGE('The List'!AF2:AF671))/STDEV('The List'!AF2:AF671)</f>
        <v>-0.57282220931405814</v>
      </c>
      <c r="T248" s="55" cm="1">
        <f t="array" ref="T248">(VLOOKUP($A248,'The List'!$B1:$AH671,32,FALSE)-AVERAGE('The List'!AG2:AG671))/STDEV('The List'!AG2:AG671)</f>
        <v>-0.59535130125078128</v>
      </c>
      <c r="U248" s="55" cm="1">
        <f t="array" ref="U248">(VLOOKUP($A248,'The List'!$B1:$AH671,33,FALSE)-AVERAGE('The List'!AH2:AH671))/STDEV('The List'!AH2:AH671)</f>
        <v>0.15953927547143934</v>
      </c>
      <c r="V248" s="55"/>
      <c r="W248" s="57"/>
      <c r="X248" s="55"/>
      <c r="Y248" s="55"/>
      <c r="Z248" s="55"/>
      <c r="AA248" s="55"/>
      <c r="AB248" s="55"/>
      <c r="AC248" s="55"/>
      <c r="AD248" s="55"/>
      <c r="AE248" s="55"/>
    </row>
    <row r="249" spans="1:31" ht="21.25" customHeight="1" x14ac:dyDescent="0.15">
      <c r="A249" s="10" t="s">
        <v>643</v>
      </c>
      <c r="B249" s="18" t="str" cm="1">
        <f t="array" ref="B249">VLOOKUP(A249,'Player Data'!A1:B673,2,FALSE)</f>
        <v>MTL</v>
      </c>
      <c r="C249" s="52" cm="1">
        <f t="array" ref="C249">((E249)*Settings!$C$12)+(F249*Settings!$C$2)+(G249*Settings!$C$3)+(H249*Settings!$C$4)+(I249*Settings!$C$5)+(K249*Settings!$C$9)+(N249*Settings!$C$6)+(J249*Settings!$C$8)+(O249*Settings!$C$7)+(P249*Settings!$C$14)+(Q249*Settings!$C$15)+(R249*Settings!$C$16)+(S249*Settings!$C$17)+(T249*Settings!$C$18)+(U249*Settings!$C$19)+(L249*Settings!$C$10)+(Settings!$C$11*M249)</f>
        <v>-2.3851330778857305</v>
      </c>
      <c r="D249" s="57" cm="1">
        <f t="array" ref="D249">IF(Settings!$E$12="YES",VLOOKUP(A249,'Player Data'!A1:E673,5,FALSE),82)</f>
        <v>74.23</v>
      </c>
      <c r="E249" s="55" cm="1">
        <f t="array" ref="E249">(VLOOKUP($A249,'The List'!$B1:$AH671,17,FALSE)-AVERAGE('The List'!R2:R671))/STDEV('The List'!R2:R671)</f>
        <v>-0.56281221811907811</v>
      </c>
      <c r="F249" s="55" cm="1">
        <f t="array" ref="F249">(VLOOKUP($A249,'The List'!$B1:$AH671,18,FALSE)-AVERAGE('The List'!S2:S671))/STDEV('The List'!S2:S671)</f>
        <v>0.29577294128762449</v>
      </c>
      <c r="G249" s="55" cm="1">
        <f t="array" ref="G249">(VLOOKUP($A249,'The List'!$B1:$AH671,19,FALSE)-AVERAGE('The List'!T2:T671))/STDEV('The List'!T2:T671)</f>
        <v>-0.50717610004590052</v>
      </c>
      <c r="H249" s="55" cm="1">
        <f t="array" ref="H249">(VLOOKUP($A249,'The List'!$B1:$AH671,20,FALSE)-AVERAGE('The List'!U2:U671))/STDEV('The List'!U2:U671)</f>
        <v>-0.18778306991000257</v>
      </c>
      <c r="I249" s="55" cm="1">
        <f t="array" ref="I249">(VLOOKUP($A249,'The List'!$B1:$AH671,21,FALSE)-AVERAGE('The List'!V2:V671))/STDEV('The List'!V2:V671)</f>
        <v>-0.39416634374052451</v>
      </c>
      <c r="J249" s="55" cm="1">
        <f t="array" ref="J249">(VLOOKUP($A249,'The List'!$B1:$AH671,22,FALSE)-AVERAGE('The List'!W2:W671))/STDEV('The List'!W2:W671)</f>
        <v>-0.38084162608812194</v>
      </c>
      <c r="K249" s="55" cm="1">
        <f t="array" ref="K249">(VLOOKUP($A249,'The List'!$B1:$AH671,23,FALSE)-AVERAGE('The List'!X2:X671))/STDEV('The List'!X2:X671)</f>
        <v>-0.47774145631891107</v>
      </c>
      <c r="L249" s="55" cm="1">
        <f t="array" ref="L249">(VLOOKUP($A249,'The List'!$B1:$AH671,24,FALSE)-AVERAGE('The List'!Y2:Y671))/STDEV('The List'!Y2:Y671)</f>
        <v>-0.25521546621798041</v>
      </c>
      <c r="M249" s="55" cm="1">
        <f t="array" ref="M249">(VLOOKUP($A249,'The List'!$B1:$AH671,25,FALSE)-AVERAGE('The List'!Z2:Z671))/STDEV('The List'!Z2:Z671)</f>
        <v>-0.40152255033349532</v>
      </c>
      <c r="N249" s="55" cm="1">
        <f t="array" ref="N249">(VLOOKUP($A249,'The List'!$B1:$AH671,26,FALSE)-AVERAGE('The List'!AA2:AA671))/STDEV('The List'!AA2:AA671)</f>
        <v>-0.81505465405900657</v>
      </c>
      <c r="O249" s="55" cm="1">
        <f t="array" ref="O249">(VLOOKUP($A249,'The List'!$B1:$AH671,27,FALSE)-AVERAGE('The List'!AB2:AB671))/STDEV('The List'!AB2:AB671)</f>
        <v>-0.11074331630049375</v>
      </c>
      <c r="P249" s="55" cm="1">
        <f t="array" ref="P249">(VLOOKUP($A249,'The List'!$B1:$AH671,28,FALSE)-AVERAGE('The List'!AC2:AC671))/STDEV('The List'!AC2:AC671)</f>
        <v>0.25431195713051397</v>
      </c>
      <c r="Q249" s="55" cm="1">
        <f t="array" ref="Q249">(VLOOKUP($A249,'The List'!$B1:$AH671,29,FALSE)-AVERAGE('The List'!AD2:AD671))/STDEV('The List'!AD2:AD671)</f>
        <v>-0.74107942213952605</v>
      </c>
      <c r="R249" s="55" cm="1">
        <f t="array" ref="R249">(VLOOKUP($A249,'The List'!$B1:$AH671,30,FALSE)-AVERAGE('The List'!AE2:AE671))/STDEV('The List'!AE2:AE671)</f>
        <v>0.40121202151277258</v>
      </c>
      <c r="S249" s="55" cm="1">
        <f t="array" ref="S249">(VLOOKUP($A249,'The List'!$B1:$AH671,31,FALSE)-AVERAGE('The List'!AF2:AF671))/STDEV('The List'!AF2:AF671)</f>
        <v>0.47224076858145447</v>
      </c>
      <c r="T249" s="55" cm="1">
        <f t="array" ref="T249">(VLOOKUP($A249,'The List'!$B1:$AH671,32,FALSE)-AVERAGE('The List'!AG2:AG671))/STDEV('The List'!AG2:AG671)</f>
        <v>0.73756213366725343</v>
      </c>
      <c r="U249" s="55" cm="1">
        <f t="array" ref="U249">(VLOOKUP($A249,'The List'!$B1:$AH671,33,FALSE)-AVERAGE('The List'!AH2:AH671))/STDEV('The List'!AH2:AH671)</f>
        <v>0.81716239965598625</v>
      </c>
      <c r="V249" s="55"/>
      <c r="W249" s="78"/>
      <c r="X249" s="57"/>
      <c r="Y249" s="57"/>
      <c r="Z249" s="57"/>
      <c r="AA249" s="57"/>
      <c r="AB249" s="57"/>
      <c r="AC249" s="60"/>
      <c r="AD249" s="61"/>
      <c r="AE249" s="55"/>
    </row>
    <row r="250" spans="1:31" ht="21.25" customHeight="1" x14ac:dyDescent="0.15">
      <c r="A250" s="10" t="s">
        <v>287</v>
      </c>
      <c r="B250" s="18" t="str" cm="1">
        <f t="array" ref="B250">VLOOKUP(A250,'Player Data'!A1:B673,2,FALSE)</f>
        <v>PHI</v>
      </c>
      <c r="C250" s="52" cm="1">
        <f t="array" ref="C250">((E250)*Settings!$C$12)+(F250*Settings!$C$2)+(G250*Settings!$C$3)+(H250*Settings!$C$4)+(I250*Settings!$C$5)+(K250*Settings!$C$9)+(N250*Settings!$C$6)+(J250*Settings!$C$8)+(O250*Settings!$C$7)+(P250*Settings!$C$14)+(Q250*Settings!$C$15)+(R250*Settings!$C$16)+(S250*Settings!$C$17)+(T250*Settings!$C$18)+(U250*Settings!$C$19)+(L250*Settings!$C$10)+(Settings!$C$11*M250)</f>
        <v>0.65153257203609172</v>
      </c>
      <c r="D250" s="57" cm="1">
        <f t="array" ref="D250">IF(Settings!$E$12="YES",VLOOKUP(A250,'Player Data'!A1:E673,5,FALSE),82)</f>
        <v>76.87</v>
      </c>
      <c r="E250" s="55" cm="1">
        <f t="array" ref="E250">(VLOOKUP($A250,'The List'!$B1:$AH671,17,FALSE)-AVERAGE('The List'!R2:R671))/STDEV('The List'!R2:R671)</f>
        <v>1.3686506191107941</v>
      </c>
      <c r="F250" s="55" cm="1">
        <f t="array" ref="F250">(VLOOKUP($A250,'The List'!$B1:$AH671,18,FALSE)-AVERAGE('The List'!S2:S671))/STDEV('The List'!S2:S671)</f>
        <v>-0.35852694295738169</v>
      </c>
      <c r="G250" s="55" cm="1">
        <f t="array" ref="G250">(VLOOKUP($A250,'The List'!$B1:$AH671,19,FALSE)-AVERAGE('The List'!T2:T671))/STDEV('The List'!T2:T671)</f>
        <v>0.2529151978682263</v>
      </c>
      <c r="H250" s="55" cm="1">
        <f t="array" ref="H250">(VLOOKUP($A250,'The List'!$B1:$AH671,20,FALSE)-AVERAGE('The List'!U2:U671))/STDEV('The List'!U2:U671)</f>
        <v>1.1719064900092017E-5</v>
      </c>
      <c r="I250" s="55" cm="1">
        <f t="array" ref="I250">(VLOOKUP($A250,'The List'!$B1:$AH671,21,FALSE)-AVERAGE('The List'!V2:V671))/STDEV('The List'!V2:V671)</f>
        <v>-0.24592248516960652</v>
      </c>
      <c r="J250" s="55" cm="1">
        <f t="array" ref="J250">(VLOOKUP($A250,'The List'!$B1:$AH671,22,FALSE)-AVERAGE('The List'!W2:W671))/STDEV('The List'!W2:W671)</f>
        <v>-5.8583810259330633E-2</v>
      </c>
      <c r="K250" s="55" cm="1">
        <f t="array" ref="K250">(VLOOKUP($A250,'The List'!$B1:$AH671,23,FALSE)-AVERAGE('The List'!X2:X671))/STDEV('The List'!X2:X671)</f>
        <v>0.47228546311596509</v>
      </c>
      <c r="L250" s="55" cm="1">
        <f t="array" ref="L250">(VLOOKUP($A250,'The List'!$B1:$AH671,24,FALSE)-AVERAGE('The List'!Y2:Y671))/STDEV('The List'!Y2:Y671)</f>
        <v>-0.56017266128933962</v>
      </c>
      <c r="M250" s="55" cm="1">
        <f t="array" ref="M250">(VLOOKUP($A250,'The List'!$B1:$AH671,25,FALSE)-AVERAGE('The List'!Z2:Z671))/STDEV('The List'!Z2:Z671)</f>
        <v>-0.67784564190538765</v>
      </c>
      <c r="N250" s="55" cm="1">
        <f t="array" ref="N250">(VLOOKUP($A250,'The List'!$B1:$AH671,26,FALSE)-AVERAGE('The List'!AA2:AA671))/STDEV('The List'!AA2:AA671)</f>
        <v>0.95510794528124177</v>
      </c>
      <c r="O250" s="55" cm="1">
        <f t="array" ref="O250">(VLOOKUP($A250,'The List'!$B1:$AH671,27,FALSE)-AVERAGE('The List'!AB2:AB671))/STDEV('The List'!AB2:AB671)</f>
        <v>-1.1486872436496627</v>
      </c>
      <c r="P250" s="55" cm="1">
        <f t="array" ref="P250">(VLOOKUP($A250,'The List'!$B1:$AH671,28,FALSE)-AVERAGE('The List'!AC2:AC671))/STDEV('The List'!AC2:AC671)</f>
        <v>-6.0232146063640787E-2</v>
      </c>
      <c r="Q250" s="55" cm="1">
        <f t="array" ref="Q250">(VLOOKUP($A250,'The List'!$B1:$AH671,29,FALSE)-AVERAGE('The List'!AD2:AD671))/STDEV('The List'!AD2:AD671)</f>
        <v>-0.36409446003871249</v>
      </c>
      <c r="R250" s="55" cm="1">
        <f t="array" ref="R250">(VLOOKUP($A250,'The List'!$B1:$AH671,30,FALSE)-AVERAGE('The List'!AE2:AE671))/STDEV('The List'!AE2:AE671)</f>
        <v>-0.33303586133923146</v>
      </c>
      <c r="S250" s="55" cm="1">
        <f t="array" ref="S250">(VLOOKUP($A250,'The List'!$B1:$AH671,31,FALSE)-AVERAGE('The List'!AF2:AF671))/STDEV('The List'!AF2:AF671)</f>
        <v>-0.5939690971349143</v>
      </c>
      <c r="T250" s="55" cm="1">
        <f t="array" ref="T250">(VLOOKUP($A250,'The List'!$B1:$AH671,32,FALSE)-AVERAGE('The List'!AG2:AG671))/STDEV('The List'!AG2:AG671)</f>
        <v>-0.64602208138248207</v>
      </c>
      <c r="U250" s="55" cm="1">
        <f t="array" ref="U250">(VLOOKUP($A250,'The List'!$B1:$AH671,33,FALSE)-AVERAGE('The List'!AH2:AH671))/STDEV('The List'!AH2:AH671)</f>
        <v>-1.2548938914719048</v>
      </c>
      <c r="V250" s="55"/>
      <c r="W250" s="57"/>
      <c r="X250" s="55"/>
      <c r="Y250" s="55"/>
      <c r="Z250" s="55"/>
      <c r="AA250" s="55"/>
      <c r="AB250" s="55"/>
      <c r="AC250" s="55"/>
      <c r="AD250" s="55"/>
      <c r="AE250" s="55"/>
    </row>
    <row r="251" spans="1:31" ht="21.25" customHeight="1" x14ac:dyDescent="0.15">
      <c r="A251" s="10" t="s">
        <v>612</v>
      </c>
      <c r="B251" s="18" t="str" cm="1">
        <f t="array" ref="B251">VLOOKUP(A251,'Player Data'!A1:B673,2,FALSE)</f>
        <v>CBJ</v>
      </c>
      <c r="C251" s="52" cm="1">
        <f t="array" ref="C251">((E251)*Settings!$C$12)+(F251*Settings!$C$2)+(G251*Settings!$C$3)+(H251*Settings!$C$4)+(I251*Settings!$C$5)+(K251*Settings!$C$9)+(N251*Settings!$C$6)+(J251*Settings!$C$8)+(O251*Settings!$C$7)+(P251*Settings!$C$14)+(Q251*Settings!$C$15)+(R251*Settings!$C$16)+(S251*Settings!$C$17)+(T251*Settings!$C$18)+(U251*Settings!$C$19)+(L251*Settings!$C$10)+(Settings!$C$11*M251)</f>
        <v>-2.2245718208770393</v>
      </c>
      <c r="D251" s="57" cm="1">
        <f t="array" ref="D251">IF(Settings!$E$12="YES",VLOOKUP(A251,'Player Data'!A1:E673,5,FALSE),82)</f>
        <v>77.040000000000006</v>
      </c>
      <c r="E251" s="55" cm="1">
        <f t="array" ref="E251">(VLOOKUP($A251,'The List'!$B1:$AH671,17,FALSE)-AVERAGE('The List'!R2:R671))/STDEV('The List'!R2:R671)</f>
        <v>-0.83541738528765785</v>
      </c>
      <c r="F251" s="55" cm="1">
        <f t="array" ref="F251">(VLOOKUP($A251,'The List'!$B1:$AH671,18,FALSE)-AVERAGE('The List'!S2:S671))/STDEV('The List'!S2:S671)</f>
        <v>-3.1893118448523931E-2</v>
      </c>
      <c r="G251" s="55" cm="1">
        <f t="array" ref="G251">(VLOOKUP($A251,'The List'!$B1:$AH671,19,FALSE)-AVERAGE('The List'!T2:T671))/STDEV('The List'!T2:T671)</f>
        <v>-0.21119255399700337</v>
      </c>
      <c r="H251" s="55" cm="1">
        <f t="array" ref="H251">(VLOOKUP($A251,'The List'!$B1:$AH671,20,FALSE)-AVERAGE('The List'!U2:U671))/STDEV('The List'!U2:U671)</f>
        <v>-0.14698928460719735</v>
      </c>
      <c r="I251" s="55" cm="1">
        <f t="array" ref="I251">(VLOOKUP($A251,'The List'!$B1:$AH671,21,FALSE)-AVERAGE('The List'!V2:V671))/STDEV('The List'!V2:V671)</f>
        <v>-0.2017106046411474</v>
      </c>
      <c r="J251" s="55" cm="1">
        <f t="array" ref="J251">(VLOOKUP($A251,'The List'!$B1:$AH671,22,FALSE)-AVERAGE('The List'!W2:W671))/STDEV('The List'!W2:W671)</f>
        <v>-0.2543909596828578</v>
      </c>
      <c r="K251" s="55" cm="1">
        <f t="array" ref="K251">(VLOOKUP($A251,'The List'!$B1:$AH671,23,FALSE)-AVERAGE('The List'!X2:X671))/STDEV('The List'!X2:X671)</f>
        <v>-0.26172078551111327</v>
      </c>
      <c r="L251" s="55" cm="1">
        <f t="array" ref="L251">(VLOOKUP($A251,'The List'!$B1:$AH671,24,FALSE)-AVERAGE('The List'!Y2:Y671))/STDEV('The List'!Y2:Y671)</f>
        <v>-0.50036289422252345</v>
      </c>
      <c r="M251" s="55" cm="1">
        <f t="array" ref="M251">(VLOOKUP($A251,'The List'!$B1:$AH671,25,FALSE)-AVERAGE('The List'!Z2:Z671))/STDEV('The List'!Z2:Z671)</f>
        <v>-0.60364304247933143</v>
      </c>
      <c r="N251" s="55" cm="1">
        <f t="array" ref="N251">(VLOOKUP($A251,'The List'!$B1:$AH671,26,FALSE)-AVERAGE('The List'!AA2:AA671))/STDEV('The List'!AA2:AA671)</f>
        <v>-0.72105853287188826</v>
      </c>
      <c r="O251" s="55" cm="1">
        <f t="array" ref="O251">(VLOOKUP($A251,'The List'!$B1:$AH671,27,FALSE)-AVERAGE('The List'!AB2:AB671))/STDEV('The List'!AB2:AB671)</f>
        <v>-1.3216307535210701</v>
      </c>
      <c r="P251" s="55" cm="1">
        <f t="array" ref="P251">(VLOOKUP($A251,'The List'!$B1:$AH671,28,FALSE)-AVERAGE('The List'!AC2:AC671))/STDEV('The List'!AC2:AC671)</f>
        <v>0.11772476813300083</v>
      </c>
      <c r="Q251" s="55" cm="1">
        <f t="array" ref="Q251">(VLOOKUP($A251,'The List'!$B1:$AH671,29,FALSE)-AVERAGE('The List'!AD2:AD671))/STDEV('The List'!AD2:AD671)</f>
        <v>-0.91472099354036374</v>
      </c>
      <c r="R251" s="55" cm="1">
        <f t="array" ref="R251">(VLOOKUP($A251,'The List'!$B1:$AH671,30,FALSE)-AVERAGE('The List'!AE2:AE671))/STDEV('The List'!AE2:AE671)</f>
        <v>1.5537131608231006E-2</v>
      </c>
      <c r="S251" s="55" cm="1">
        <f t="array" ref="S251">(VLOOKUP($A251,'The List'!$B1:$AH671,31,FALSE)-AVERAGE('The List'!AF2:AF671))/STDEV('The List'!AF2:AF671)</f>
        <v>-0.59253363278935456</v>
      </c>
      <c r="T251" s="55" cm="1">
        <f t="array" ref="T251">(VLOOKUP($A251,'The List'!$B1:$AH671,32,FALSE)-AVERAGE('The List'!AG2:AG671))/STDEV('The List'!AG2:AG671)</f>
        <v>-0.62110621566635082</v>
      </c>
      <c r="U251" s="55" cm="1">
        <f t="array" ref="U251">(VLOOKUP($A251,'The List'!$B1:$AH671,33,FALSE)-AVERAGE('The List'!AH2:AH671))/STDEV('The List'!AH2:AH671)</f>
        <v>-0.9891578591851512</v>
      </c>
      <c r="V251" s="55"/>
      <c r="W251" s="78"/>
      <c r="X251" s="57"/>
      <c r="Y251" s="57"/>
      <c r="Z251" s="57"/>
      <c r="AA251" s="57"/>
      <c r="AB251" s="57"/>
      <c r="AC251" s="60"/>
      <c r="AD251" s="61"/>
      <c r="AE251" s="55"/>
    </row>
    <row r="252" spans="1:31" ht="21.25" customHeight="1" x14ac:dyDescent="0.15">
      <c r="A252" s="10" t="s">
        <v>609</v>
      </c>
      <c r="B252" s="18" t="str" cm="1">
        <f t="array" ref="B252">VLOOKUP(A252,'Player Data'!A1:B673,2,FALSE)</f>
        <v>CGY</v>
      </c>
      <c r="C252" s="52" cm="1">
        <f t="array" ref="C252">((E252)*Settings!$C$12)+(F252*Settings!$C$2)+(G252*Settings!$C$3)+(H252*Settings!$C$4)+(I252*Settings!$C$5)+(K252*Settings!$C$9)+(N252*Settings!$C$6)+(J252*Settings!$C$8)+(O252*Settings!$C$7)+(P252*Settings!$C$14)+(Q252*Settings!$C$15)+(R252*Settings!$C$16)+(S252*Settings!$C$17)+(T252*Settings!$C$18)+(U252*Settings!$C$19)+(L252*Settings!$C$10)+(Settings!$C$11*M252)</f>
        <v>-3.3377648479938009</v>
      </c>
      <c r="D252" s="57" cm="1">
        <f t="array" ref="D252">IF(Settings!$E$12="YES",VLOOKUP(A252,'Player Data'!A1:E673,5,FALSE),82)</f>
        <v>76.86</v>
      </c>
      <c r="E252" s="55" cm="1">
        <f t="array" ref="E252">(VLOOKUP($A252,'The List'!$B1:$AH671,17,FALSE)-AVERAGE('The List'!R2:R671))/STDEV('The List'!R2:R671)</f>
        <v>-0.4080990609598803</v>
      </c>
      <c r="F252" s="55" cm="1">
        <f t="array" ref="F252">(VLOOKUP($A252,'The List'!$B1:$AH671,18,FALSE)-AVERAGE('The List'!S2:S671))/STDEV('The List'!S2:S671)</f>
        <v>0.21370364231386868</v>
      </c>
      <c r="G252" s="55" cm="1">
        <f t="array" ref="G252">(VLOOKUP($A252,'The List'!$B1:$AH671,19,FALSE)-AVERAGE('The List'!T2:T671))/STDEV('The List'!T2:T671)</f>
        <v>-0.39289277663306849</v>
      </c>
      <c r="H252" s="55" cm="1">
        <f t="array" ref="H252">(VLOOKUP($A252,'The List'!$B1:$AH671,20,FALSE)-AVERAGE('The List'!U2:U671))/STDEV('The List'!U2:U671)</f>
        <v>-0.15231182537666091</v>
      </c>
      <c r="I252" s="55" cm="1">
        <f t="array" ref="I252">(VLOOKUP($A252,'The List'!$B1:$AH671,21,FALSE)-AVERAGE('The List'!V2:V671))/STDEV('The List'!V2:V671)</f>
        <v>-3.1944734388107077E-2</v>
      </c>
      <c r="J252" s="55" cm="1">
        <f t="array" ref="J252">(VLOOKUP($A252,'The List'!$B1:$AH671,22,FALSE)-AVERAGE('The List'!W2:W671))/STDEV('The List'!W2:W671)</f>
        <v>-0.23410039117679526</v>
      </c>
      <c r="K252" s="55" cm="1">
        <f t="array" ref="K252">(VLOOKUP($A252,'The List'!$B1:$AH671,23,FALSE)-AVERAGE('The List'!X2:X671))/STDEV('The List'!X2:X671)</f>
        <v>-8.6314967072006504E-2</v>
      </c>
      <c r="L252" s="55" cm="1">
        <f t="array" ref="L252">(VLOOKUP($A252,'The List'!$B1:$AH671,24,FALSE)-AVERAGE('The List'!Y2:Y671))/STDEV('The List'!Y2:Y671)</f>
        <v>-0.55329660126613112</v>
      </c>
      <c r="M252" s="55" cm="1">
        <f t="array" ref="M252">(VLOOKUP($A252,'The List'!$B1:$AH671,25,FALSE)-AVERAGE('The List'!Z2:Z671))/STDEV('The List'!Z2:Z671)</f>
        <v>-0.69535885495850325</v>
      </c>
      <c r="N252" s="55" cm="1">
        <f t="array" ref="N252">(VLOOKUP($A252,'The List'!$B1:$AH671,26,FALSE)-AVERAGE('The List'!AA2:AA671))/STDEV('The List'!AA2:AA671)</f>
        <v>-0.96577399344110304</v>
      </c>
      <c r="O252" s="55" cm="1">
        <f t="array" ref="O252">(VLOOKUP($A252,'The List'!$B1:$AH671,27,FALSE)-AVERAGE('The List'!AB2:AB671))/STDEV('The List'!AB2:AB671)</f>
        <v>-0.72437150858112864</v>
      </c>
      <c r="P252" s="55" cm="1">
        <f t="array" ref="P252">(VLOOKUP($A252,'The List'!$B1:$AH671,28,FALSE)-AVERAGE('The List'!AC2:AC671))/STDEV('The List'!AC2:AC671)</f>
        <v>-1.5675756271021346</v>
      </c>
      <c r="Q252" s="55" cm="1">
        <f t="array" ref="Q252">(VLOOKUP($A252,'The List'!$B1:$AH671,29,FALSE)-AVERAGE('The List'!AD2:AD671))/STDEV('The List'!AD2:AD671)</f>
        <v>-0.50696639167124991</v>
      </c>
      <c r="R252" s="55" cm="1">
        <f t="array" ref="R252">(VLOOKUP($A252,'The List'!$B1:$AH671,30,FALSE)-AVERAGE('The List'!AE2:AE671))/STDEV('The List'!AE2:AE671)</f>
        <v>9.0851826109748485E-2</v>
      </c>
      <c r="S252" s="55" cm="1">
        <f t="array" ref="S252">(VLOOKUP($A252,'The List'!$B1:$AH671,31,FALSE)-AVERAGE('The List'!AF2:AF671))/STDEV('The List'!AF2:AF671)</f>
        <v>-0.19672476390156696</v>
      </c>
      <c r="T252" s="55" cm="1">
        <f t="array" ref="T252">(VLOOKUP($A252,'The List'!$B1:$AH671,32,FALSE)-AVERAGE('The List'!AG2:AG671))/STDEV('The List'!AG2:AG671)</f>
        <v>-8.5179516017794693E-2</v>
      </c>
      <c r="U252" s="55" cm="1">
        <f t="array" ref="U252">(VLOOKUP($A252,'The List'!$B1:$AH671,33,FALSE)-AVERAGE('The List'!AH2:AH671))/STDEV('The List'!AH2:AH671)</f>
        <v>0.72165129636496705</v>
      </c>
      <c r="V252" s="55"/>
      <c r="W252" s="78"/>
      <c r="X252" s="57"/>
      <c r="Y252" s="57"/>
      <c r="Z252" s="57"/>
      <c r="AA252" s="57"/>
      <c r="AB252" s="57"/>
      <c r="AC252" s="60"/>
      <c r="AD252" s="61"/>
      <c r="AE252" s="55"/>
    </row>
    <row r="253" spans="1:31" ht="21.25" customHeight="1" x14ac:dyDescent="0.15">
      <c r="A253" s="10" t="s">
        <v>273</v>
      </c>
      <c r="B253" s="18" t="str" cm="1">
        <f t="array" ref="B253">VLOOKUP(A253,'Player Data'!A1:B673,2,FALSE)</f>
        <v>ANA</v>
      </c>
      <c r="C253" s="52" cm="1">
        <f t="array" ref="C253">((E253)*Settings!$C$12)+(F253*Settings!$C$2)+(G253*Settings!$C$3)+(H253*Settings!$C$4)+(I253*Settings!$C$5)+(K253*Settings!$C$9)+(N253*Settings!$C$6)+(J253*Settings!$C$8)+(O253*Settings!$C$7)+(P253*Settings!$C$14)+(Q253*Settings!$C$15)+(R253*Settings!$C$16)+(S253*Settings!$C$17)+(T253*Settings!$C$18)+(U253*Settings!$C$19)+(L253*Settings!$C$10)+(Settings!$C$11*M253)</f>
        <v>-1.1943634509897383E-2</v>
      </c>
      <c r="D253" s="57" cm="1">
        <f t="array" ref="D253">IF(Settings!$E$12="YES",VLOOKUP(A253,'Player Data'!A1:E673,5,FALSE),82)</f>
        <v>78.607500000000002</v>
      </c>
      <c r="E253" s="55" cm="1">
        <f t="array" ref="E253">(VLOOKUP($A253,'The List'!$B1:$AH671,17,FALSE)-AVERAGE('The List'!R2:R671))/STDEV('The List'!R2:R671)</f>
        <v>1.4025101109208855</v>
      </c>
      <c r="F253" s="55" cm="1">
        <f t="array" ref="F253">(VLOOKUP($A253,'The List'!$B1:$AH671,18,FALSE)-AVERAGE('The List'!S2:S671))/STDEV('The List'!S2:S671)</f>
        <v>-0.38814322621719272</v>
      </c>
      <c r="G253" s="55" cm="1">
        <f t="array" ref="G253">(VLOOKUP($A253,'The List'!$B1:$AH671,19,FALSE)-AVERAGE('The List'!T2:T671))/STDEV('The List'!T2:T671)</f>
        <v>0.19437095024530712</v>
      </c>
      <c r="H253" s="55" cm="1">
        <f t="array" ref="H253">(VLOOKUP($A253,'The List'!$B1:$AH671,20,FALSE)-AVERAGE('The List'!U2:U671))/STDEV('The List'!U2:U671)</f>
        <v>-4.9952404307497034E-2</v>
      </c>
      <c r="I253" s="55" cm="1">
        <f t="array" ref="I253">(VLOOKUP($A253,'The List'!$B1:$AH671,21,FALSE)-AVERAGE('The List'!V2:V671))/STDEV('The List'!V2:V671)</f>
        <v>-0.18627144734175258</v>
      </c>
      <c r="J253" s="55" cm="1">
        <f t="array" ref="J253">(VLOOKUP($A253,'The List'!$B1:$AH671,22,FALSE)-AVERAGE('The List'!W2:W671))/STDEV('The List'!W2:W671)</f>
        <v>-0.67292259933638088</v>
      </c>
      <c r="K253" s="55" cm="1">
        <f t="array" ref="K253">(VLOOKUP($A253,'The List'!$B1:$AH671,23,FALSE)-AVERAGE('The List'!X2:X671))/STDEV('The List'!X2:X671)</f>
        <v>-0.1378660885957039</v>
      </c>
      <c r="L253" s="55" cm="1">
        <f t="array" ref="L253">(VLOOKUP($A253,'The List'!$B1:$AH671,24,FALSE)-AVERAGE('The List'!Y2:Y671))/STDEV('The List'!Y2:Y671)</f>
        <v>-0.50251969172671318</v>
      </c>
      <c r="M253" s="55" cm="1">
        <f t="array" ref="M253">(VLOOKUP($A253,'The List'!$B1:$AH671,25,FALSE)-AVERAGE('The List'!Z2:Z671))/STDEV('The List'!Z2:Z671)</f>
        <v>0.52567550464712209</v>
      </c>
      <c r="N253" s="55" cm="1">
        <f t="array" ref="N253">(VLOOKUP($A253,'The List'!$B1:$AH671,26,FALSE)-AVERAGE('The List'!AA2:AA671))/STDEV('The List'!AA2:AA671)</f>
        <v>1.8204192990706667</v>
      </c>
      <c r="O253" s="55" cm="1">
        <f t="array" ref="O253">(VLOOKUP($A253,'The List'!$B1:$AH671,27,FALSE)-AVERAGE('The List'!AB2:AB671))/STDEV('The List'!AB2:AB671)</f>
        <v>-0.23113378561569572</v>
      </c>
      <c r="P253" s="55" cm="1">
        <f t="array" ref="P253">(VLOOKUP($A253,'The List'!$B1:$AH671,28,FALSE)-AVERAGE('The List'!AC2:AC671))/STDEV('The List'!AC2:AC671)</f>
        <v>-1.1724178776815717</v>
      </c>
      <c r="Q253" s="55" cm="1">
        <f t="array" ref="Q253">(VLOOKUP($A253,'The List'!$B1:$AH671,29,FALSE)-AVERAGE('The List'!AD2:AD671))/STDEV('The List'!AD2:AD671)</f>
        <v>-0.14203524398965045</v>
      </c>
      <c r="R253" s="55" cm="1">
        <f t="array" ref="R253">(VLOOKUP($A253,'The List'!$B1:$AH671,30,FALSE)-AVERAGE('The List'!AE2:AE671))/STDEV('The List'!AE2:AE671)</f>
        <v>-0.43561990372178122</v>
      </c>
      <c r="S253" s="55" cm="1">
        <f t="array" ref="S253">(VLOOKUP($A253,'The List'!$B1:$AH671,31,FALSE)-AVERAGE('The List'!AF2:AF671))/STDEV('The List'!AF2:AF671)</f>
        <v>-0.5939690971349143</v>
      </c>
      <c r="T253" s="55" cm="1">
        <f t="array" ref="T253">(VLOOKUP($A253,'The List'!$B1:$AH671,32,FALSE)-AVERAGE('The List'!AG2:AG671))/STDEV('The List'!AG2:AG671)</f>
        <v>-0.64602208138248207</v>
      </c>
      <c r="U253" s="55" cm="1">
        <f t="array" ref="U253">(VLOOKUP($A253,'The List'!$B1:$AH671,33,FALSE)-AVERAGE('The List'!AH2:AH671))/STDEV('The List'!AH2:AH671)</f>
        <v>-1.2548938914719048</v>
      </c>
      <c r="V253" s="55"/>
      <c r="W253" s="78"/>
      <c r="X253" s="57"/>
      <c r="Y253" s="57"/>
      <c r="Z253" s="57"/>
      <c r="AA253" s="57"/>
      <c r="AB253" s="57"/>
      <c r="AC253" s="60"/>
      <c r="AD253" s="61"/>
      <c r="AE253" s="55"/>
    </row>
    <row r="254" spans="1:31" ht="21.25" customHeight="1" x14ac:dyDescent="0.15">
      <c r="A254" s="10" t="s">
        <v>591</v>
      </c>
      <c r="B254" s="18" t="str" cm="1">
        <f t="array" ref="B254">VLOOKUP(A254,'Player Data'!A1:B673,2,FALSE)</f>
        <v>BUF</v>
      </c>
      <c r="C254" s="52" cm="1">
        <f t="array" ref="C254">((E254)*Settings!$C$12)+(F254*Settings!$C$2)+(G254*Settings!$C$3)+(H254*Settings!$C$4)+(I254*Settings!$C$5)+(K254*Settings!$C$9)+(N254*Settings!$C$6)+(J254*Settings!$C$8)+(O254*Settings!$C$7)+(P254*Settings!$C$14)+(Q254*Settings!$C$15)+(R254*Settings!$C$16)+(S254*Settings!$C$17)+(T254*Settings!$C$18)+(U254*Settings!$C$19)+(L254*Settings!$C$10)+(Settings!$C$11*M254)</f>
        <v>-2.5172020324649651</v>
      </c>
      <c r="D254" s="57" cm="1">
        <f t="array" ref="D254">IF(Settings!$E$12="YES",VLOOKUP(A254,'Player Data'!A1:E673,5,FALSE),82)</f>
        <v>76</v>
      </c>
      <c r="E254" s="55" cm="1">
        <f t="array" ref="E254">(VLOOKUP($A254,'The List'!$B1:$AH671,17,FALSE)-AVERAGE('The List'!R2:R671))/STDEV('The List'!R2:R671)</f>
        <v>-1.0266690115626764</v>
      </c>
      <c r="F254" s="55" cm="1">
        <f t="array" ref="F254">(VLOOKUP($A254,'The List'!$B1:$AH671,18,FALSE)-AVERAGE('The List'!S2:S671))/STDEV('The List'!S2:S671)</f>
        <v>-2.2744447004496626E-2</v>
      </c>
      <c r="G254" s="55" cm="1">
        <f t="array" ref="G254">(VLOOKUP($A254,'The List'!$B1:$AH671,19,FALSE)-AVERAGE('The List'!T2:T671))/STDEV('The List'!T2:T671)</f>
        <v>-0.14761742767344416</v>
      </c>
      <c r="H254" s="55" cm="1">
        <f t="array" ref="H254">(VLOOKUP($A254,'The List'!$B1:$AH671,20,FALSE)-AVERAGE('The List'!U2:U671))/STDEV('The List'!U2:U671)</f>
        <v>-0.10294179921062213</v>
      </c>
      <c r="I254" s="55" cm="1">
        <f t="array" ref="I254">(VLOOKUP($A254,'The List'!$B1:$AH671,21,FALSE)-AVERAGE('The List'!V2:V671))/STDEV('The List'!V2:V671)</f>
        <v>-0.1414425099023465</v>
      </c>
      <c r="J254" s="55" cm="1">
        <f t="array" ref="J254">(VLOOKUP($A254,'The List'!$B1:$AH671,22,FALSE)-AVERAGE('The List'!W2:W671))/STDEV('The List'!W2:W671)</f>
        <v>-0.75045101335583209</v>
      </c>
      <c r="K254" s="55" cm="1">
        <f t="array" ref="K254">(VLOOKUP($A254,'The List'!$B1:$AH671,23,FALSE)-AVERAGE('The List'!X2:X671))/STDEV('The List'!X2:X671)</f>
        <v>-0.81212462699776278</v>
      </c>
      <c r="L254" s="55" cm="1">
        <f t="array" ref="L254">(VLOOKUP($A254,'The List'!$B1:$AH671,24,FALSE)-AVERAGE('The List'!Y2:Y671))/STDEV('The List'!Y2:Y671)</f>
        <v>-0.56569022661034529</v>
      </c>
      <c r="M254" s="55" cm="1">
        <f t="array" ref="M254">(VLOOKUP($A254,'The List'!$B1:$AH671,25,FALSE)-AVERAGE('The List'!Z2:Z671))/STDEV('The List'!Z2:Z671)</f>
        <v>-0.70756870995144849</v>
      </c>
      <c r="N254" s="55" cm="1">
        <f t="array" ref="N254">(VLOOKUP($A254,'The List'!$B1:$AH671,26,FALSE)-AVERAGE('The List'!AA2:AA671))/STDEV('The List'!AA2:AA671)</f>
        <v>-0.81195408244455203</v>
      </c>
      <c r="O254" s="55" cm="1">
        <f t="array" ref="O254">(VLOOKUP($A254,'The List'!$B1:$AH671,27,FALSE)-AVERAGE('The List'!AB2:AB671))/STDEV('The List'!AB2:AB671)</f>
        <v>-3.8270504797038467E-2</v>
      </c>
      <c r="P254" s="55" cm="1">
        <f t="array" ref="P254">(VLOOKUP($A254,'The List'!$B1:$AH671,28,FALSE)-AVERAGE('The List'!AC2:AC671))/STDEV('The List'!AC2:AC671)</f>
        <v>0.28610073490868576</v>
      </c>
      <c r="Q254" s="55" cm="1">
        <f t="array" ref="Q254">(VLOOKUP($A254,'The List'!$B1:$AH671,29,FALSE)-AVERAGE('The List'!AD2:AD671))/STDEV('The List'!AD2:AD671)</f>
        <v>-0.86741967335104875</v>
      </c>
      <c r="R254" s="55" cm="1">
        <f t="array" ref="R254">(VLOOKUP($A254,'The List'!$B1:$AH671,30,FALSE)-AVERAGE('The List'!AE2:AE671))/STDEV('The List'!AE2:AE671)</f>
        <v>-6.2644201897015778E-2</v>
      </c>
      <c r="S254" s="55" cm="1">
        <f t="array" ref="S254">(VLOOKUP($A254,'The List'!$B1:$AH671,31,FALSE)-AVERAGE('The List'!AF2:AF671))/STDEV('The List'!AF2:AF671)</f>
        <v>-0.15803114175667413</v>
      </c>
      <c r="T254" s="55" cm="1">
        <f t="array" ref="T254">(VLOOKUP($A254,'The List'!$B1:$AH671,32,FALSE)-AVERAGE('The List'!AG2:AG671))/STDEV('The List'!AG2:AG671)</f>
        <v>3.9299864841985223E-3</v>
      </c>
      <c r="U254" s="55" cm="1">
        <f t="array" ref="U254">(VLOOKUP($A254,'The List'!$B1:$AH671,33,FALSE)-AVERAGE('The List'!AH2:AH671))/STDEV('The List'!AH2:AH671)</f>
        <v>0.66048435543054018</v>
      </c>
      <c r="V254" s="55"/>
      <c r="W254" s="78"/>
      <c r="X254" s="57"/>
      <c r="Y254" s="57"/>
      <c r="Z254" s="57"/>
      <c r="AA254" s="57"/>
      <c r="AB254" s="57"/>
      <c r="AC254" s="60"/>
      <c r="AD254" s="61"/>
      <c r="AE254" s="55"/>
    </row>
    <row r="255" spans="1:31" ht="21.25" customHeight="1" x14ac:dyDescent="0.15">
      <c r="A255" s="10" t="s">
        <v>297</v>
      </c>
      <c r="B255" s="18" t="str" cm="1">
        <f t="array" ref="B255">VLOOKUP(A255,'Player Data'!A1:B673,2,FALSE)</f>
        <v>CAR</v>
      </c>
      <c r="C255" s="52" cm="1">
        <f t="array" ref="C255">((E255)*Settings!$C$12)+(F255*Settings!$C$2)+(G255*Settings!$C$3)+(H255*Settings!$C$4)+(I255*Settings!$C$5)+(K255*Settings!$C$9)+(N255*Settings!$C$6)+(J255*Settings!$C$8)+(O255*Settings!$C$7)+(P255*Settings!$C$14)+(Q255*Settings!$C$15)+(R255*Settings!$C$16)+(S255*Settings!$C$17)+(T255*Settings!$C$18)+(U255*Settings!$C$19)+(L255*Settings!$C$10)+(Settings!$C$11*M255)</f>
        <v>2.3562467453415912</v>
      </c>
      <c r="D255" s="57" cm="1">
        <f t="array" ref="D255">IF(Settings!$E$12="YES",VLOOKUP(A255,'Player Data'!A1:E673,5,FALSE),82)</f>
        <v>80.954999999999998</v>
      </c>
      <c r="E255" s="55" cm="1">
        <f t="array" ref="E255">(VLOOKUP($A255,'The List'!$B1:$AH671,17,FALSE)-AVERAGE('The List'!R2:R671))/STDEV('The List'!R2:R671)</f>
        <v>1.5111031307281861</v>
      </c>
      <c r="F255" s="55" cm="1">
        <f t="array" ref="F255">(VLOOKUP($A255,'The List'!$B1:$AH671,18,FALSE)-AVERAGE('The List'!S2:S671))/STDEV('The List'!S2:S671)</f>
        <v>-0.52611571220737663</v>
      </c>
      <c r="G255" s="55" cm="1">
        <f t="array" ref="G255">(VLOOKUP($A255,'The List'!$B1:$AH671,19,FALSE)-AVERAGE('The List'!T2:T671))/STDEV('The List'!T2:T671)</f>
        <v>0.24238871928371586</v>
      </c>
      <c r="H255" s="55" cm="1">
        <f t="array" ref="H255">(VLOOKUP($A255,'The List'!$B1:$AH671,20,FALSE)-AVERAGE('The List'!U2:U671))/STDEV('The List'!U2:U671)</f>
        <v>-8.0964871707529515E-2</v>
      </c>
      <c r="I255" s="55" cm="1">
        <f t="array" ref="I255">(VLOOKUP($A255,'The List'!$B1:$AH671,21,FALSE)-AVERAGE('The List'!V2:V671))/STDEV('The List'!V2:V671)</f>
        <v>2.4779238714311307E-2</v>
      </c>
      <c r="J255" s="55" cm="1">
        <f t="array" ref="J255">(VLOOKUP($A255,'The List'!$B1:$AH671,22,FALSE)-AVERAGE('The List'!W2:W671))/STDEV('The List'!W2:W671)</f>
        <v>-0.59190398041082948</v>
      </c>
      <c r="K255" s="55" cm="1">
        <f t="array" ref="K255">(VLOOKUP($A255,'The List'!$B1:$AH671,23,FALSE)-AVERAGE('The List'!X2:X671))/STDEV('The List'!X2:X671)</f>
        <v>-0.50657087380152444</v>
      </c>
      <c r="L255" s="55" cm="1">
        <f t="array" ref="L255">(VLOOKUP($A255,'The List'!$B1:$AH671,24,FALSE)-AVERAGE('The List'!Y2:Y671))/STDEV('The List'!Y2:Y671)</f>
        <v>0.39490381782109046</v>
      </c>
      <c r="M255" s="55" cm="1">
        <f t="array" ref="M255">(VLOOKUP($A255,'The List'!$B1:$AH671,25,FALSE)-AVERAGE('The List'!Z2:Z671))/STDEV('The List'!Z2:Z671)</f>
        <v>0.75471613269030924</v>
      </c>
      <c r="N255" s="55" cm="1">
        <f t="array" ref="N255">(VLOOKUP($A255,'The List'!$B1:$AH671,26,FALSE)-AVERAGE('The List'!AA2:AA671))/STDEV('The List'!AA2:AA671)</f>
        <v>1.12542439474031</v>
      </c>
      <c r="O255" s="55" cm="1">
        <f t="array" ref="O255">(VLOOKUP($A255,'The List'!$B1:$AH671,27,FALSE)-AVERAGE('The List'!AB2:AB671))/STDEV('The List'!AB2:AB671)</f>
        <v>0.50122131354233435</v>
      </c>
      <c r="P255" s="55" cm="1">
        <f t="array" ref="P255">(VLOOKUP($A255,'The List'!$B1:$AH671,28,FALSE)-AVERAGE('The List'!AC2:AC671))/STDEV('The List'!AC2:AC671)</f>
        <v>1.0350264554675501</v>
      </c>
      <c r="Q255" s="55" cm="1">
        <f t="array" ref="Q255">(VLOOKUP($A255,'The List'!$B1:$AH671,29,FALSE)-AVERAGE('The List'!AD2:AD671))/STDEV('The List'!AD2:AD671)</f>
        <v>0.96131452314460497</v>
      </c>
      <c r="R255" s="55" cm="1">
        <f t="array" ref="R255">(VLOOKUP($A255,'The List'!$B1:$AH671,30,FALSE)-AVERAGE('The List'!AE2:AE671))/STDEV('The List'!AE2:AE671)</f>
        <v>-0.42624198764881255</v>
      </c>
      <c r="S255" s="55" cm="1">
        <f t="array" ref="S255">(VLOOKUP($A255,'The List'!$B1:$AH671,31,FALSE)-AVERAGE('The List'!AF2:AF671))/STDEV('The List'!AF2:AF671)</f>
        <v>-0.5939690971349143</v>
      </c>
      <c r="T255" s="55" cm="1">
        <f t="array" ref="T255">(VLOOKUP($A255,'The List'!$B1:$AH671,32,FALSE)-AVERAGE('The List'!AG2:AG671))/STDEV('The List'!AG2:AG671)</f>
        <v>-0.64199316063699918</v>
      </c>
      <c r="U255" s="55" cm="1">
        <f t="array" ref="U255">(VLOOKUP($A255,'The List'!$B1:$AH671,33,FALSE)-AVERAGE('The List'!AH2:AH671))/STDEV('The List'!AH2:AH671)</f>
        <v>-1.2548938914719048</v>
      </c>
      <c r="V255" s="55"/>
      <c r="W255" s="78"/>
      <c r="X255" s="57"/>
      <c r="Y255" s="57"/>
      <c r="Z255" s="57"/>
      <c r="AA255" s="57"/>
      <c r="AB255" s="57"/>
      <c r="AC255" s="60"/>
      <c r="AD255" s="61"/>
      <c r="AE255" s="55"/>
    </row>
    <row r="256" spans="1:31" ht="21.25" customHeight="1" x14ac:dyDescent="0.15">
      <c r="A256" s="10" t="s">
        <v>255</v>
      </c>
      <c r="B256" s="18" t="str" cm="1">
        <f t="array" ref="B256">VLOOKUP(A256,'Player Data'!A1:B673,2,FALSE)</f>
        <v>VGK</v>
      </c>
      <c r="C256" s="52" cm="1">
        <f t="array" ref="C256">((E256)*Settings!$C$12)+(F256*Settings!$C$2)+(G256*Settings!$C$3)+(H256*Settings!$C$4)+(I256*Settings!$C$5)+(K256*Settings!$C$9)+(N256*Settings!$C$6)+(J256*Settings!$C$8)+(O256*Settings!$C$7)+(P256*Settings!$C$14)+(Q256*Settings!$C$15)+(R256*Settings!$C$16)+(S256*Settings!$C$17)+(T256*Settings!$C$18)+(U256*Settings!$C$19)+(L256*Settings!$C$10)+(Settings!$C$11*M256)</f>
        <v>2.0478262975492441</v>
      </c>
      <c r="D256" s="57" cm="1">
        <f t="array" ref="D256">IF(Settings!$E$12="YES",VLOOKUP(A256,'Player Data'!A1:E673,5,FALSE),82)</f>
        <v>81.602500000000006</v>
      </c>
      <c r="E256" s="55" cm="1">
        <f t="array" ref="E256">(VLOOKUP($A256,'The List'!$B1:$AH671,17,FALSE)-AVERAGE('The List'!R2:R671))/STDEV('The List'!R2:R671)</f>
        <v>1.5075931741237327</v>
      </c>
      <c r="F256" s="55" cm="1">
        <f t="array" ref="F256">(VLOOKUP($A256,'The List'!$B1:$AH671,18,FALSE)-AVERAGE('The List'!S2:S671))/STDEV('The List'!S2:S671)</f>
        <v>-0.5970936928064956</v>
      </c>
      <c r="G256" s="55" cm="1">
        <f t="array" ref="G256">(VLOOKUP($A256,'The List'!$B1:$AH671,19,FALSE)-AVERAGE('The List'!T2:T671))/STDEV('The List'!T2:T671)</f>
        <v>0.30537672301908431</v>
      </c>
      <c r="H256" s="55" cm="1">
        <f t="array" ref="H256">(VLOOKUP($A256,'The List'!$B1:$AH671,20,FALSE)-AVERAGE('The List'!U2:U671))/STDEV('The List'!U2:U671)</f>
        <v>-7.2837135810907117E-2</v>
      </c>
      <c r="I256" s="55" cm="1">
        <f t="array" ref="I256">(VLOOKUP($A256,'The List'!$B1:$AH671,21,FALSE)-AVERAGE('The List'!V2:V671))/STDEV('The List'!V2:V671)</f>
        <v>0.42506059447381384</v>
      </c>
      <c r="J256" s="55" cm="1">
        <f t="array" ref="J256">(VLOOKUP($A256,'The List'!$B1:$AH671,22,FALSE)-AVERAGE('The List'!W2:W671))/STDEV('The List'!W2:W671)</f>
        <v>-0.44521537451564452</v>
      </c>
      <c r="K256" s="55" cm="1">
        <f t="array" ref="K256">(VLOOKUP($A256,'The List'!$B1:$AH671,23,FALSE)-AVERAGE('The List'!X2:X671))/STDEV('The List'!X2:X671)</f>
        <v>-0.22564445596971539</v>
      </c>
      <c r="L256" s="55" cm="1">
        <f t="array" ref="L256">(VLOOKUP($A256,'The List'!$B1:$AH671,24,FALSE)-AVERAGE('The List'!Y2:Y671))/STDEV('The List'!Y2:Y671)</f>
        <v>-0.53554285313235417</v>
      </c>
      <c r="M256" s="55" cm="1">
        <f t="array" ref="M256">(VLOOKUP($A256,'The List'!$B1:$AH671,25,FALSE)-AVERAGE('The List'!Z2:Z671))/STDEV('The List'!Z2:Z671)</f>
        <v>-0.23835891054723446</v>
      </c>
      <c r="N256" s="55" cm="1">
        <f t="array" ref="N256">(VLOOKUP($A256,'The List'!$B1:$AH671,26,FALSE)-AVERAGE('The List'!AA2:AA671))/STDEV('The List'!AA2:AA671)</f>
        <v>1.6225415560959582</v>
      </c>
      <c r="O256" s="55" cm="1">
        <f t="array" ref="O256">(VLOOKUP($A256,'The List'!$B1:$AH671,27,FALSE)-AVERAGE('The List'!AB2:AB671))/STDEV('The List'!AB2:AB671)</f>
        <v>-0.78875128201054745</v>
      </c>
      <c r="P256" s="55" cm="1">
        <f t="array" ref="P256">(VLOOKUP($A256,'The List'!$B1:$AH671,28,FALSE)-AVERAGE('The List'!AC2:AC671))/STDEV('The List'!AC2:AC671)</f>
        <v>1.1753863625458385</v>
      </c>
      <c r="Q256" s="55" cm="1">
        <f t="array" ref="Q256">(VLOOKUP($A256,'The List'!$B1:$AH671,29,FALSE)-AVERAGE('The List'!AD2:AD671))/STDEV('The List'!AD2:AD671)</f>
        <v>-0.65780078980923984</v>
      </c>
      <c r="R256" s="55" cm="1">
        <f t="array" ref="R256">(VLOOKUP($A256,'The List'!$B1:$AH671,30,FALSE)-AVERAGE('The List'!AE2:AE671))/STDEV('The List'!AE2:AE671)</f>
        <v>-0.41025029457173151</v>
      </c>
      <c r="S256" s="55" cm="1">
        <f t="array" ref="S256">(VLOOKUP($A256,'The List'!$B1:$AH671,31,FALSE)-AVERAGE('The List'!AF2:AF671))/STDEV('The List'!AF2:AF671)</f>
        <v>-0.5939690971349143</v>
      </c>
      <c r="T256" s="55" cm="1">
        <f t="array" ref="T256">(VLOOKUP($A256,'The List'!$B1:$AH671,32,FALSE)-AVERAGE('The List'!AG2:AG671))/STDEV('The List'!AG2:AG671)</f>
        <v>-0.64602208138248207</v>
      </c>
      <c r="U256" s="55" cm="1">
        <f t="array" ref="U256">(VLOOKUP($A256,'The List'!$B1:$AH671,33,FALSE)-AVERAGE('The List'!AH2:AH671))/STDEV('The List'!AH2:AH671)</f>
        <v>-1.2548938914719048</v>
      </c>
      <c r="V256" s="55"/>
      <c r="W256" s="78"/>
      <c r="X256" s="57"/>
      <c r="Y256" s="57"/>
      <c r="Z256" s="57"/>
      <c r="AA256" s="57"/>
      <c r="AB256" s="57"/>
      <c r="AC256" s="60"/>
      <c r="AD256" s="61"/>
      <c r="AE256" s="55"/>
    </row>
    <row r="257" spans="1:31" ht="21.25" customHeight="1" x14ac:dyDescent="0.15">
      <c r="A257" s="10" t="s">
        <v>532</v>
      </c>
      <c r="B257" s="18" t="str" cm="1">
        <f t="array" ref="B257">VLOOKUP(A257,'Player Data'!A1:B673,2,FALSE)</f>
        <v>SEA</v>
      </c>
      <c r="C257" s="52" cm="1">
        <f t="array" ref="C257">((E257)*Settings!$C$12)+(F257*Settings!$C$2)+(G257*Settings!$C$3)+(H257*Settings!$C$4)+(I257*Settings!$C$5)+(K257*Settings!$C$9)+(N257*Settings!$C$6)+(J257*Settings!$C$8)+(O257*Settings!$C$7)+(P257*Settings!$C$14)+(Q257*Settings!$C$15)+(R257*Settings!$C$16)+(S257*Settings!$C$17)+(T257*Settings!$C$18)+(U257*Settings!$C$19)+(L257*Settings!$C$10)+(Settings!$C$11*M257)</f>
        <v>-2.0515688226820203</v>
      </c>
      <c r="D257" s="57" cm="1">
        <f t="array" ref="D257">IF(Settings!$E$12="YES",VLOOKUP(A257,'Player Data'!A1:E673,5,FALSE),82)</f>
        <v>80.567499999999995</v>
      </c>
      <c r="E257" s="55" cm="1">
        <f t="array" ref="E257">(VLOOKUP($A257,'The List'!$B1:$AH671,17,FALSE)-AVERAGE('The List'!R2:R671))/STDEV('The List'!R2:R671)</f>
        <v>-0.49015215114884825</v>
      </c>
      <c r="F257" s="55" cm="1">
        <f t="array" ref="F257">(VLOOKUP($A257,'The List'!$B1:$AH671,18,FALSE)-AVERAGE('The List'!S2:S671))/STDEV('The List'!S2:S671)</f>
        <v>0.12581994717925499</v>
      </c>
      <c r="G257" s="55" cm="1">
        <f t="array" ref="G257">(VLOOKUP($A257,'The List'!$B1:$AH671,19,FALSE)-AVERAGE('The List'!T2:T671))/STDEV('The List'!T2:T671)</f>
        <v>-0.23853765012781436</v>
      </c>
      <c r="H257" s="55" cm="1">
        <f t="array" ref="H257">(VLOOKUP($A257,'The List'!$B1:$AH671,20,FALSE)-AVERAGE('The List'!U2:U671))/STDEV('The List'!U2:U671)</f>
        <v>-9.4215349302152113E-2</v>
      </c>
      <c r="I257" s="55" cm="1">
        <f t="array" ref="I257">(VLOOKUP($A257,'The List'!$B1:$AH671,21,FALSE)-AVERAGE('The List'!V2:V671))/STDEV('The List'!V2:V671)</f>
        <v>0.57542685353807366</v>
      </c>
      <c r="J257" s="55" cm="1">
        <f t="array" ref="J257">(VLOOKUP($A257,'The List'!$B1:$AH671,22,FALSE)-AVERAGE('The List'!W2:W671))/STDEV('The List'!W2:W671)</f>
        <v>-6.2494771642453227E-2</v>
      </c>
      <c r="K257" s="55" cm="1">
        <f t="array" ref="K257">(VLOOKUP($A257,'The List'!$B1:$AH671,23,FALSE)-AVERAGE('The List'!X2:X671))/STDEV('The List'!X2:X671)</f>
        <v>-0.16444431993108446</v>
      </c>
      <c r="L257" s="55" cm="1">
        <f t="array" ref="L257">(VLOOKUP($A257,'The List'!$B1:$AH671,24,FALSE)-AVERAGE('The List'!Y2:Y671))/STDEV('The List'!Y2:Y671)</f>
        <v>-0.539209449283239</v>
      </c>
      <c r="M257" s="55" cm="1">
        <f t="array" ref="M257">(VLOOKUP($A257,'The List'!$B1:$AH671,25,FALSE)-AVERAGE('The List'!Z2:Z671))/STDEV('The List'!Z2:Z671)</f>
        <v>-0.68159738051523955</v>
      </c>
      <c r="N257" s="55" cm="1">
        <f t="array" ref="N257">(VLOOKUP($A257,'The List'!$B1:$AH671,26,FALSE)-AVERAGE('The List'!AA2:AA671))/STDEV('The List'!AA2:AA671)</f>
        <v>-0.61751401968390773</v>
      </c>
      <c r="O257" s="55" cm="1">
        <f t="array" ref="O257">(VLOOKUP($A257,'The List'!$B1:$AH671,27,FALSE)-AVERAGE('The List'!AB2:AB671))/STDEV('The List'!AB2:AB671)</f>
        <v>1.3054698596755039</v>
      </c>
      <c r="P257" s="55" cm="1">
        <f t="array" ref="P257">(VLOOKUP($A257,'The List'!$B1:$AH671,28,FALSE)-AVERAGE('The List'!AC2:AC671))/STDEV('The List'!AC2:AC671)</f>
        <v>-1.2838480876635838</v>
      </c>
      <c r="Q257" s="55" cm="1">
        <f t="array" ref="Q257">(VLOOKUP($A257,'The List'!$B1:$AH671,29,FALSE)-AVERAGE('The List'!AD2:AD671))/STDEV('The List'!AD2:AD671)</f>
        <v>-0.44847154599295841</v>
      </c>
      <c r="R257" s="55" cm="1">
        <f t="array" ref="R257">(VLOOKUP($A257,'The List'!$B1:$AH671,30,FALSE)-AVERAGE('The List'!AE2:AE671))/STDEV('The List'!AE2:AE671)</f>
        <v>-4.42360586140697E-2</v>
      </c>
      <c r="S257" s="55" cm="1">
        <f t="array" ref="S257">(VLOOKUP($A257,'The List'!$B1:$AH671,31,FALSE)-AVERAGE('The List'!AF2:AF671))/STDEV('The List'!AF2:AF671)</f>
        <v>-0.58127199853580569</v>
      </c>
      <c r="T257" s="55" cm="1">
        <f t="array" ref="T257">(VLOOKUP($A257,'The List'!$B1:$AH671,32,FALSE)-AVERAGE('The List'!AG2:AG671))/STDEV('The List'!AG2:AG671)</f>
        <v>-0.60247563978406393</v>
      </c>
      <c r="U257" s="55" cm="1">
        <f t="array" ref="U257">(VLOOKUP($A257,'The List'!$B1:$AH671,33,FALSE)-AVERAGE('The List'!AH2:AH671))/STDEV('The List'!AH2:AH671)</f>
        <v>-0.16570115247834991</v>
      </c>
      <c r="V257" s="55"/>
      <c r="W257" s="78"/>
      <c r="X257" s="57"/>
      <c r="Y257" s="57"/>
      <c r="Z257" s="57"/>
      <c r="AA257" s="57"/>
      <c r="AB257" s="57"/>
      <c r="AC257" s="60"/>
      <c r="AD257" s="61"/>
      <c r="AE257" s="55"/>
    </row>
    <row r="258" spans="1:31" ht="21.25" customHeight="1" x14ac:dyDescent="0.15">
      <c r="A258" s="10" t="s">
        <v>588</v>
      </c>
      <c r="B258" s="18" t="str" cm="1">
        <f t="array" ref="B258">VLOOKUP(A258,'Player Data'!A1:B673,2,FALSE)</f>
        <v>CHI</v>
      </c>
      <c r="C258" s="52" cm="1">
        <f t="array" ref="C258">((E258)*Settings!$C$12)+(F258*Settings!$C$2)+(G258*Settings!$C$3)+(H258*Settings!$C$4)+(I258*Settings!$C$5)+(K258*Settings!$C$9)+(N258*Settings!$C$6)+(J258*Settings!$C$8)+(O258*Settings!$C$7)+(P258*Settings!$C$14)+(Q258*Settings!$C$15)+(R258*Settings!$C$16)+(S258*Settings!$C$17)+(T258*Settings!$C$18)+(U258*Settings!$C$19)+(L258*Settings!$C$10)+(Settings!$C$11*M258)</f>
        <v>-4.3670087924198429</v>
      </c>
      <c r="D258" s="57" cm="1">
        <f t="array" ref="D258">IF(Settings!$E$12="YES",VLOOKUP(A258,'Player Data'!A1:E673,5,FALSE),82)</f>
        <v>82.1875</v>
      </c>
      <c r="E258" s="55" cm="1">
        <f t="array" ref="E258">(VLOOKUP($A258,'The List'!$B1:$AH671,17,FALSE)-AVERAGE('The List'!R2:R671))/STDEV('The List'!R2:R671)</f>
        <v>-0.10822695713740799</v>
      </c>
      <c r="F258" s="55" cm="1">
        <f t="array" ref="F258">(VLOOKUP($A258,'The List'!$B1:$AH671,18,FALSE)-AVERAGE('The List'!S2:S671))/STDEV('The List'!S2:S671)</f>
        <v>-0.14091174853302851</v>
      </c>
      <c r="G258" s="55" cm="1">
        <f t="array" ref="G258">(VLOOKUP($A258,'The List'!$B1:$AH671,19,FALSE)-AVERAGE('The List'!T2:T671))/STDEV('The List'!T2:T671)</f>
        <v>-1.5865582516371199E-2</v>
      </c>
      <c r="H258" s="55" cm="1">
        <f t="array" ref="H258">(VLOOKUP($A258,'The List'!$B1:$AH671,20,FALSE)-AVERAGE('The List'!U2:U671))/STDEV('The List'!U2:U671)</f>
        <v>-7.2498845185942989E-2</v>
      </c>
      <c r="I258" s="55" cm="1">
        <f t="array" ref="I258">(VLOOKUP($A258,'The List'!$B1:$AH671,21,FALSE)-AVERAGE('The List'!V2:V671))/STDEV('The List'!V2:V671)</f>
        <v>-0.4793718975297408</v>
      </c>
      <c r="J258" s="55" cm="1">
        <f t="array" ref="J258">(VLOOKUP($A258,'The List'!$B1:$AH671,22,FALSE)-AVERAGE('The List'!W2:W671))/STDEV('The List'!W2:W671)</f>
        <v>0.24771651446006263</v>
      </c>
      <c r="K258" s="55" cm="1">
        <f t="array" ref="K258">(VLOOKUP($A258,'The List'!$B1:$AH671,23,FALSE)-AVERAGE('The List'!X2:X671))/STDEV('The List'!X2:X671)</f>
        <v>0.21344018007853985</v>
      </c>
      <c r="L258" s="55" cm="1">
        <f t="array" ref="L258">(VLOOKUP($A258,'The List'!$B1:$AH671,24,FALSE)-AVERAGE('The List'!Y2:Y671))/STDEV('The List'!Y2:Y671)</f>
        <v>1.0201219595803384</v>
      </c>
      <c r="M258" s="55" cm="1">
        <f t="array" ref="M258">(VLOOKUP($A258,'The List'!$B1:$AH671,25,FALSE)-AVERAGE('The List'!Z2:Z671))/STDEV('The List'!Z2:Z671)</f>
        <v>1.7877541749169046</v>
      </c>
      <c r="N258" s="55" cm="1">
        <f t="array" ref="N258">(VLOOKUP($A258,'The List'!$B1:$AH671,26,FALSE)-AVERAGE('The List'!AA2:AA671))/STDEV('The List'!AA2:AA671)</f>
        <v>-0.52727119637751108</v>
      </c>
      <c r="O258" s="55" cm="1">
        <f t="array" ref="O258">(VLOOKUP($A258,'The List'!$B1:$AH671,27,FALSE)-AVERAGE('The List'!AB2:AB671))/STDEV('The List'!AB2:AB671)</f>
        <v>-1.109187086016181</v>
      </c>
      <c r="P258" s="55" cm="1">
        <f t="array" ref="P258">(VLOOKUP($A258,'The List'!$B1:$AH671,28,FALSE)-AVERAGE('The List'!AC2:AC671))/STDEV('The List'!AC2:AC671)</f>
        <v>-2.0524616031858356</v>
      </c>
      <c r="Q258" s="55" cm="1">
        <f t="array" ref="Q258">(VLOOKUP($A258,'The List'!$B1:$AH671,29,FALSE)-AVERAGE('The List'!AD2:AD671))/STDEV('The List'!AD2:AD671)</f>
        <v>-1.3645669443558959</v>
      </c>
      <c r="R258" s="55" cm="1">
        <f t="array" ref="R258">(VLOOKUP($A258,'The List'!$B1:$AH671,30,FALSE)-AVERAGE('The List'!AE2:AE671))/STDEV('The List'!AE2:AE671)</f>
        <v>-0.38427863289502073</v>
      </c>
      <c r="S258" s="55" cm="1">
        <f t="array" ref="S258">(VLOOKUP($A258,'The List'!$B1:$AH671,31,FALSE)-AVERAGE('The List'!AF2:AF671))/STDEV('The List'!AF2:AF671)</f>
        <v>-0.34082620330826313</v>
      </c>
      <c r="T258" s="55" cm="1">
        <f t="array" ref="T258">(VLOOKUP($A258,'The List'!$B1:$AH671,32,FALSE)-AVERAGE('The List'!AG2:AG671))/STDEV('The List'!AG2:AG671)</f>
        <v>-0.25804904378721766</v>
      </c>
      <c r="U258" s="55" cm="1">
        <f t="array" ref="U258">(VLOOKUP($A258,'The List'!$B1:$AH671,33,FALSE)-AVERAGE('The List'!AH2:AH671))/STDEV('The List'!AH2:AH671)</f>
        <v>0.62973834789666139</v>
      </c>
      <c r="V258" s="55"/>
      <c r="W258" s="57"/>
      <c r="X258" s="55"/>
      <c r="Y258" s="55"/>
      <c r="Z258" s="55"/>
      <c r="AA258" s="55"/>
      <c r="AB258" s="55"/>
      <c r="AC258" s="55"/>
      <c r="AD258" s="55"/>
      <c r="AE258" s="55"/>
    </row>
    <row r="259" spans="1:31" ht="21.25" customHeight="1" x14ac:dyDescent="0.15">
      <c r="A259" s="10" t="s">
        <v>285</v>
      </c>
      <c r="B259" s="18" t="str" cm="1">
        <f t="array" ref="B259">VLOOKUP(A259,'Player Data'!A1:B673,2,FALSE)</f>
        <v>EDM</v>
      </c>
      <c r="C259" s="52" cm="1">
        <f t="array" ref="C259">((E259)*Settings!$C$12)+(F259*Settings!$C$2)+(G259*Settings!$C$3)+(H259*Settings!$C$4)+(I259*Settings!$C$5)+(K259*Settings!$C$9)+(N259*Settings!$C$6)+(J259*Settings!$C$8)+(O259*Settings!$C$7)+(P259*Settings!$C$14)+(Q259*Settings!$C$15)+(R259*Settings!$C$16)+(S259*Settings!$C$17)+(T259*Settings!$C$18)+(U259*Settings!$C$19)+(L259*Settings!$C$10)+(Settings!$C$11*M259)</f>
        <v>2.8132815705098659</v>
      </c>
      <c r="D259" s="57" cm="1">
        <f t="array" ref="D259">IF(Settings!$E$12="YES",VLOOKUP(A259,'Player Data'!A1:E673,5,FALSE),82)</f>
        <v>81.392499999999998</v>
      </c>
      <c r="E259" s="55" cm="1">
        <f t="array" ref="E259">(VLOOKUP($A259,'The List'!$B1:$AH671,17,FALSE)-AVERAGE('The List'!R2:R671))/STDEV('The List'!R2:R671)</f>
        <v>1.0220530057000878</v>
      </c>
      <c r="F259" s="55" cm="1">
        <f t="array" ref="F259">(VLOOKUP($A259,'The List'!$B1:$AH671,18,FALSE)-AVERAGE('The List'!S2:S671))/STDEV('The List'!S2:S671)</f>
        <v>-0.71537173260888642</v>
      </c>
      <c r="G259" s="55" cm="1">
        <f t="array" ref="G259">(VLOOKUP($A259,'The List'!$B1:$AH671,19,FALSE)-AVERAGE('The List'!T2:T671))/STDEV('The List'!T2:T671)</f>
        <v>0.23919897456487649</v>
      </c>
      <c r="H259" s="55" cm="1">
        <f t="array" ref="H259">(VLOOKUP($A259,'The List'!$B1:$AH671,20,FALSE)-AVERAGE('The List'!U2:U671))/STDEV('The List'!U2:U671)</f>
        <v>-0.16693998360503082</v>
      </c>
      <c r="I259" s="55" cm="1">
        <f t="array" ref="I259">(VLOOKUP($A259,'The List'!$B1:$AH671,21,FALSE)-AVERAGE('The List'!V2:V671))/STDEV('The List'!V2:V671)</f>
        <v>0.16298941637515338</v>
      </c>
      <c r="J259" s="55" cm="1">
        <f t="array" ref="J259">(VLOOKUP($A259,'The List'!$B1:$AH671,22,FALSE)-AVERAGE('The List'!W2:W671))/STDEV('The List'!W2:W671)</f>
        <v>-0.54194214634728877</v>
      </c>
      <c r="K259" s="55" cm="1">
        <f t="array" ref="K259">(VLOOKUP($A259,'The List'!$B1:$AH671,23,FALSE)-AVERAGE('The List'!X2:X671))/STDEV('The List'!X2:X671)</f>
        <v>-0.54865410562918127</v>
      </c>
      <c r="L259" s="55" cm="1">
        <f t="array" ref="L259">(VLOOKUP($A259,'The List'!$B1:$AH671,24,FALSE)-AVERAGE('The List'!Y2:Y671))/STDEV('The List'!Y2:Y671)</f>
        <v>-0.2855497037674371</v>
      </c>
      <c r="M259" s="55" cm="1">
        <f t="array" ref="M259">(VLOOKUP($A259,'The List'!$B1:$AH671,25,FALSE)-AVERAGE('The List'!Z2:Z671))/STDEV('The List'!Z2:Z671)</f>
        <v>-0.42532716453613933</v>
      </c>
      <c r="N259" s="55" cm="1">
        <f t="array" ref="N259">(VLOOKUP($A259,'The List'!$B1:$AH671,26,FALSE)-AVERAGE('The List'!AA2:AA671))/STDEV('The List'!AA2:AA671)</f>
        <v>1.4761234129245639</v>
      </c>
      <c r="O259" s="55" cm="1">
        <f t="array" ref="O259">(VLOOKUP($A259,'The List'!$B1:$AH671,27,FALSE)-AVERAGE('The List'!AB2:AB671))/STDEV('The List'!AB2:AB671)</f>
        <v>-0.33529670133303646</v>
      </c>
      <c r="P259" s="55" cm="1">
        <f t="array" ref="P259">(VLOOKUP($A259,'The List'!$B1:$AH671,28,FALSE)-AVERAGE('The List'!AC2:AC671))/STDEV('The List'!AC2:AC671)</f>
        <v>1.8638192244327267</v>
      </c>
      <c r="Q259" s="55" cm="1">
        <f t="array" ref="Q259">(VLOOKUP($A259,'The List'!$B1:$AH671,29,FALSE)-AVERAGE('The List'!AD2:AD671))/STDEV('The List'!AD2:AD671)</f>
        <v>0.33517638045061271</v>
      </c>
      <c r="R259" s="55" cm="1">
        <f t="array" ref="R259">(VLOOKUP($A259,'The List'!$B1:$AH671,30,FALSE)-AVERAGE('The List'!AE2:AE671))/STDEV('The List'!AE2:AE671)</f>
        <v>-0.6137002584905652</v>
      </c>
      <c r="S259" s="55" cm="1">
        <f t="array" ref="S259">(VLOOKUP($A259,'The List'!$B1:$AH671,31,FALSE)-AVERAGE('The List'!AF2:AF671))/STDEV('The List'!AF2:AF671)</f>
        <v>-0.5939690971349143</v>
      </c>
      <c r="T259" s="55" cm="1">
        <f t="array" ref="T259">(VLOOKUP($A259,'The List'!$B1:$AH671,32,FALSE)-AVERAGE('The List'!AG2:AG671))/STDEV('The List'!AG2:AG671)</f>
        <v>-0.64602208138248207</v>
      </c>
      <c r="U259" s="55" cm="1">
        <f t="array" ref="U259">(VLOOKUP($A259,'The List'!$B1:$AH671,33,FALSE)-AVERAGE('The List'!AH2:AH671))/STDEV('The List'!AH2:AH671)</f>
        <v>-1.2548938914719048</v>
      </c>
      <c r="V259" s="55"/>
      <c r="W259" s="78"/>
      <c r="X259" s="57"/>
      <c r="Y259" s="57"/>
      <c r="Z259" s="57"/>
      <c r="AA259" s="57"/>
      <c r="AB259" s="57"/>
      <c r="AC259" s="60"/>
      <c r="AD259" s="61"/>
      <c r="AE259" s="55"/>
    </row>
    <row r="260" spans="1:31" ht="21.25" customHeight="1" x14ac:dyDescent="0.15">
      <c r="A260" s="10" t="s">
        <v>556</v>
      </c>
      <c r="B260" s="18" t="str" cm="1">
        <f t="array" ref="B260">VLOOKUP(A260,'Player Data'!A1:B673,2,FALSE)</f>
        <v>OTT</v>
      </c>
      <c r="C260" s="52" cm="1">
        <f t="array" ref="C260">((E260)*Settings!$C$12)+(F260*Settings!$C$2)+(G260*Settings!$C$3)+(H260*Settings!$C$4)+(I260*Settings!$C$5)+(K260*Settings!$C$9)+(N260*Settings!$C$6)+(J260*Settings!$C$8)+(O260*Settings!$C$7)+(P260*Settings!$C$14)+(Q260*Settings!$C$15)+(R260*Settings!$C$16)+(S260*Settings!$C$17)+(T260*Settings!$C$18)+(U260*Settings!$C$19)+(L260*Settings!$C$10)+(Settings!$C$11*M260)</f>
        <v>1.5298632041730804</v>
      </c>
      <c r="D260" s="57" cm="1">
        <f t="array" ref="D260">IF(Settings!$E$12="YES",VLOOKUP(A260,'Player Data'!A1:E673,5,FALSE),82)</f>
        <v>81.592500000000001</v>
      </c>
      <c r="E260" s="55" cm="1">
        <f t="array" ref="E260">(VLOOKUP($A260,'The List'!$B1:$AH671,17,FALSE)-AVERAGE('The List'!R2:R671))/STDEV('The List'!R2:R671)</f>
        <v>-0.13722177309631087</v>
      </c>
      <c r="F260" s="55" cm="1">
        <f t="array" ref="F260">(VLOOKUP($A260,'The List'!$B1:$AH671,18,FALSE)-AVERAGE('The List'!S2:S671))/STDEV('The List'!S2:S671)</f>
        <v>3.6914161174347086E-2</v>
      </c>
      <c r="G260" s="55" cm="1">
        <f t="array" ref="G260">(VLOOKUP($A260,'The List'!$B1:$AH671,19,FALSE)-AVERAGE('The List'!T2:T671))/STDEV('The List'!T2:T671)</f>
        <v>-0.16423852688546151</v>
      </c>
      <c r="H260" s="55" cm="1">
        <f t="array" ref="H260">(VLOOKUP($A260,'The List'!$B1:$AH671,20,FALSE)-AVERAGE('The List'!U2:U671))/STDEV('The List'!U2:U671)</f>
        <v>-8.6927156208071982E-2</v>
      </c>
      <c r="I260" s="55" cm="1">
        <f t="array" ref="I260">(VLOOKUP($A260,'The List'!$B1:$AH671,21,FALSE)-AVERAGE('The List'!V2:V671))/STDEV('The List'!V2:V671)</f>
        <v>3.7041476007931846E-2</v>
      </c>
      <c r="J260" s="55" cm="1">
        <f t="array" ref="J260">(VLOOKUP($A260,'The List'!$B1:$AH671,22,FALSE)-AVERAGE('The List'!W2:W671))/STDEV('The List'!W2:W671)</f>
        <v>-0.41345214132653829</v>
      </c>
      <c r="K260" s="55" cm="1">
        <f t="array" ref="K260">(VLOOKUP($A260,'The List'!$B1:$AH671,23,FALSE)-AVERAGE('The List'!X2:X671))/STDEV('The List'!X2:X671)</f>
        <v>-0.43974580543754715</v>
      </c>
      <c r="L260" s="55" cm="1">
        <f t="array" ref="L260">(VLOOKUP($A260,'The List'!$B1:$AH671,24,FALSE)-AVERAGE('The List'!Y2:Y671))/STDEV('The List'!Y2:Y671)</f>
        <v>2.3563306892977476</v>
      </c>
      <c r="M260" s="55" cm="1">
        <f t="array" ref="M260">(VLOOKUP($A260,'The List'!$B1:$AH671,25,FALSE)-AVERAGE('The List'!Z2:Z671))/STDEV('The List'!Z2:Z671)</f>
        <v>1.9255419939769105</v>
      </c>
      <c r="N260" s="55" cm="1">
        <f t="array" ref="N260">(VLOOKUP($A260,'The List'!$B1:$AH671,26,FALSE)-AVERAGE('The List'!AA2:AA671))/STDEV('The List'!AA2:AA671)</f>
        <v>-0.29581069774765778</v>
      </c>
      <c r="O260" s="55" cm="1">
        <f t="array" ref="O260">(VLOOKUP($A260,'The List'!$B1:$AH671,27,FALSE)-AVERAGE('The List'!AB2:AB671))/STDEV('The List'!AB2:AB671)</f>
        <v>0.50905202900594426</v>
      </c>
      <c r="P260" s="55" cm="1">
        <f t="array" ref="P260">(VLOOKUP($A260,'The List'!$B1:$AH671,28,FALSE)-AVERAGE('The List'!AC2:AC671))/STDEV('The List'!AC2:AC671)</f>
        <v>0.25107077258159838</v>
      </c>
      <c r="Q260" s="55" cm="1">
        <f t="array" ref="Q260">(VLOOKUP($A260,'The List'!$B1:$AH671,29,FALSE)-AVERAGE('The List'!AD2:AD671))/STDEV('The List'!AD2:AD671)</f>
        <v>2.1046318244798696</v>
      </c>
      <c r="R260" s="55" cm="1">
        <f t="array" ref="R260">(VLOOKUP($A260,'The List'!$B1:$AH671,30,FALSE)-AVERAGE('The List'!AE2:AE671))/STDEV('The List'!AE2:AE671)</f>
        <v>0.227761466258558</v>
      </c>
      <c r="S260" s="55" cm="1">
        <f t="array" ref="S260">(VLOOKUP($A260,'The List'!$B1:$AH671,31,FALSE)-AVERAGE('The List'!AF2:AF671))/STDEV('The List'!AF2:AF671)</f>
        <v>0.64545985028375708</v>
      </c>
      <c r="T260" s="55" cm="1">
        <f t="array" ref="T260">(VLOOKUP($A260,'The List'!$B1:$AH671,32,FALSE)-AVERAGE('The List'!AG2:AG671))/STDEV('The List'!AG2:AG671)</f>
        <v>0.62380486393015855</v>
      </c>
      <c r="U260" s="55" cm="1">
        <f t="array" ref="U260">(VLOOKUP($A260,'The List'!$B1:$AH671,33,FALSE)-AVERAGE('The List'!AH2:AH671))/STDEV('The List'!AH2:AH671)</f>
        <v>1.0880256000677222</v>
      </c>
      <c r="V260" s="55"/>
      <c r="W260" s="57"/>
      <c r="X260" s="55"/>
      <c r="Y260" s="55"/>
      <c r="Z260" s="55"/>
      <c r="AA260" s="55"/>
      <c r="AB260" s="55"/>
      <c r="AC260" s="55"/>
      <c r="AD260" s="55"/>
      <c r="AE260" s="55"/>
    </row>
    <row r="261" spans="1:31" ht="21.25" customHeight="1" x14ac:dyDescent="0.15">
      <c r="A261" s="10" t="s">
        <v>590</v>
      </c>
      <c r="B261" s="18" t="str" cm="1">
        <f t="array" ref="B261">VLOOKUP(A261,'Player Data'!A1:B673,2,FALSE)</f>
        <v>NSH</v>
      </c>
      <c r="C261" s="52" cm="1">
        <f t="array" ref="C261">((E261)*Settings!$C$12)+(F261*Settings!$C$2)+(G261*Settings!$C$3)+(H261*Settings!$C$4)+(I261*Settings!$C$5)+(K261*Settings!$C$9)+(N261*Settings!$C$6)+(J261*Settings!$C$8)+(O261*Settings!$C$7)+(P261*Settings!$C$14)+(Q261*Settings!$C$15)+(R261*Settings!$C$16)+(S261*Settings!$C$17)+(T261*Settings!$C$18)+(U261*Settings!$C$19)+(L261*Settings!$C$10)+(Settings!$C$11*M261)</f>
        <v>-2.4896626233428329</v>
      </c>
      <c r="D261" s="57" cm="1">
        <f t="array" ref="D261">IF(Settings!$E$12="YES",VLOOKUP(A261,'Player Data'!A1:E673,5,FALSE),82)</f>
        <v>79.465000000000003</v>
      </c>
      <c r="E261" s="55" cm="1">
        <f t="array" ref="E261">(VLOOKUP($A261,'The List'!$B1:$AH671,17,FALSE)-AVERAGE('The List'!R2:R671))/STDEV('The List'!R2:R671)</f>
        <v>-0.8951076535758431</v>
      </c>
      <c r="F261" s="55" cm="1">
        <f t="array" ref="F261">(VLOOKUP($A261,'The List'!$B1:$AH671,18,FALSE)-AVERAGE('The List'!S2:S671))/STDEV('The List'!S2:S671)</f>
        <v>0.33760568836118532</v>
      </c>
      <c r="G261" s="55" cm="1">
        <f t="array" ref="G261">(VLOOKUP($A261,'The List'!$B1:$AH671,19,FALSE)-AVERAGE('The List'!T2:T671))/STDEV('The List'!T2:T671)</f>
        <v>-0.44146261221293115</v>
      </c>
      <c r="H261" s="55" cm="1">
        <f t="array" ref="H261">(VLOOKUP($A261,'The List'!$B1:$AH671,20,FALSE)-AVERAGE('The List'!U2:U671))/STDEV('The List'!U2:U671)</f>
        <v>-0.12788935304113702</v>
      </c>
      <c r="I261" s="55" cm="1">
        <f t="array" ref="I261">(VLOOKUP($A261,'The List'!$B1:$AH671,21,FALSE)-AVERAGE('The List'!V2:V671))/STDEV('The List'!V2:V671)</f>
        <v>-5.9583728466286262E-2</v>
      </c>
      <c r="J261" s="55" cm="1">
        <f t="array" ref="J261">(VLOOKUP($A261,'The List'!$B1:$AH671,22,FALSE)-AVERAGE('The List'!W2:W671))/STDEV('The List'!W2:W671)</f>
        <v>0.17958327880439776</v>
      </c>
      <c r="K261" s="55" cm="1">
        <f t="array" ref="K261">(VLOOKUP($A261,'The List'!$B1:$AH671,23,FALSE)-AVERAGE('The List'!X2:X671))/STDEV('The List'!X2:X671)</f>
        <v>1.2593197355119891E-2</v>
      </c>
      <c r="L261" s="55" cm="1">
        <f t="array" ref="L261">(VLOOKUP($A261,'The List'!$B1:$AH671,24,FALSE)-AVERAGE('The List'!Y2:Y671))/STDEV('The List'!Y2:Y671)</f>
        <v>-0.5385073576745848</v>
      </c>
      <c r="M261" s="55" cm="1">
        <f t="array" ref="M261">(VLOOKUP($A261,'The List'!$B1:$AH671,25,FALSE)-AVERAGE('The List'!Z2:Z671))/STDEV('The List'!Z2:Z671)</f>
        <v>-0.68918016095425794</v>
      </c>
      <c r="N261" s="55" cm="1">
        <f t="array" ref="N261">(VLOOKUP($A261,'The List'!$B1:$AH671,26,FALSE)-AVERAGE('The List'!AA2:AA671))/STDEV('The List'!AA2:AA671)</f>
        <v>-0.83203265338542354</v>
      </c>
      <c r="O261" s="55" cm="1">
        <f t="array" ref="O261">(VLOOKUP($A261,'The List'!$B1:$AH671,27,FALSE)-AVERAGE('The List'!AB2:AB671))/STDEV('The List'!AB2:AB671)</f>
        <v>-0.39462298228618914</v>
      </c>
      <c r="P261" s="55" cm="1">
        <f t="array" ref="P261">(VLOOKUP($A261,'The List'!$B1:$AH671,28,FALSE)-AVERAGE('The List'!AC2:AC671))/STDEV('The List'!AC2:AC671)</f>
        <v>-0.72635070590894735</v>
      </c>
      <c r="Q261" s="55" cm="1">
        <f t="array" ref="Q261">(VLOOKUP($A261,'The List'!$B1:$AH671,29,FALSE)-AVERAGE('The List'!AD2:AD671))/STDEV('The List'!AD2:AD671)</f>
        <v>-0.78043180908554988</v>
      </c>
      <c r="R261" s="55" cm="1">
        <f t="array" ref="R261">(VLOOKUP($A261,'The List'!$B1:$AH671,30,FALSE)-AVERAGE('The List'!AE2:AE671))/STDEV('The List'!AE2:AE671)</f>
        <v>0.14611207047472241</v>
      </c>
      <c r="S261" s="55" cm="1">
        <f t="array" ref="S261">(VLOOKUP($A261,'The List'!$B1:$AH671,31,FALSE)-AVERAGE('The List'!AF2:AF671))/STDEV('The List'!AF2:AF671)</f>
        <v>-0.12920214499359189</v>
      </c>
      <c r="T261" s="55" cm="1">
        <f t="array" ref="T261">(VLOOKUP($A261,'The List'!$B1:$AH671,32,FALSE)-AVERAGE('The List'!AG2:AG671))/STDEV('The List'!AG2:AG671)</f>
        <v>0.1150660929923205</v>
      </c>
      <c r="U261" s="55" cm="1">
        <f t="array" ref="U261">(VLOOKUP($A261,'The List'!$B1:$AH671,33,FALSE)-AVERAGE('The List'!AH2:AH671))/STDEV('The List'!AH2:AH671)</f>
        <v>0.55655385310485495</v>
      </c>
      <c r="V261" s="55"/>
      <c r="W261" s="57"/>
      <c r="X261" s="55"/>
      <c r="Y261" s="55"/>
      <c r="Z261" s="55"/>
      <c r="AA261" s="55"/>
      <c r="AB261" s="55"/>
      <c r="AC261" s="55"/>
      <c r="AD261" s="55"/>
      <c r="AE261" s="55"/>
    </row>
    <row r="262" spans="1:31" ht="21.25" customHeight="1" x14ac:dyDescent="0.15">
      <c r="A262" s="10" t="s">
        <v>615</v>
      </c>
      <c r="B262" s="18" t="str" cm="1">
        <f t="array" ref="B262">VLOOKUP(A262,'Player Data'!A1:B673,2,FALSE)</f>
        <v>WSH</v>
      </c>
      <c r="C262" s="52" cm="1">
        <f t="array" ref="C262">((E262)*Settings!$C$12)+(F262*Settings!$C$2)+(G262*Settings!$C$3)+(H262*Settings!$C$4)+(I262*Settings!$C$5)+(K262*Settings!$C$9)+(N262*Settings!$C$6)+(J262*Settings!$C$8)+(O262*Settings!$C$7)+(P262*Settings!$C$14)+(Q262*Settings!$C$15)+(R262*Settings!$C$16)+(S262*Settings!$C$17)+(T262*Settings!$C$18)+(U262*Settings!$C$19)+(L262*Settings!$C$10)+(Settings!$C$11*M262)</f>
        <v>-0.82552399737256865</v>
      </c>
      <c r="D262" s="57" cm="1">
        <f t="array" ref="D262">IF(Settings!$E$12="YES",VLOOKUP(A262,'Player Data'!A1:E673,5,FALSE),82)</f>
        <v>71.267499999999998</v>
      </c>
      <c r="E262" s="55" cm="1">
        <f t="array" ref="E262">(VLOOKUP($A262,'The List'!$B1:$AH671,17,FALSE)-AVERAGE('The List'!R2:R671))/STDEV('The List'!R2:R671)</f>
        <v>-0.62329187441295908</v>
      </c>
      <c r="F262" s="55" cm="1">
        <f t="array" ref="F262">(VLOOKUP($A262,'The List'!$B1:$AH671,18,FALSE)-AVERAGE('The List'!S2:S671))/STDEV('The List'!S2:S671)</f>
        <v>-0.22446287180354593</v>
      </c>
      <c r="G262" s="55" cm="1">
        <f t="array" ref="G262">(VLOOKUP($A262,'The List'!$B1:$AH671,19,FALSE)-AVERAGE('The List'!T2:T671))/STDEV('The List'!T2:T671)</f>
        <v>-0.29730083332430812</v>
      </c>
      <c r="H262" s="55" cm="1">
        <f t="array" ref="H262">(VLOOKUP($A262,'The List'!$B1:$AH671,20,FALSE)-AVERAGE('The List'!U2:U671))/STDEV('The List'!U2:U671)</f>
        <v>-0.28658994833377688</v>
      </c>
      <c r="I262" s="55" cm="1">
        <f t="array" ref="I262">(VLOOKUP($A262,'The List'!$B1:$AH671,21,FALSE)-AVERAGE('The List'!V2:V671))/STDEV('The List'!V2:V671)</f>
        <v>-6.6281242042068825E-2</v>
      </c>
      <c r="J262" s="55" cm="1">
        <f t="array" ref="J262">(VLOOKUP($A262,'The List'!$B1:$AH671,22,FALSE)-AVERAGE('The List'!W2:W671))/STDEV('The List'!W2:W671)</f>
        <v>-0.54265741887530095</v>
      </c>
      <c r="K262" s="55" cm="1">
        <f t="array" ref="K262">(VLOOKUP($A262,'The List'!$B1:$AH671,23,FALSE)-AVERAGE('The List'!X2:X671))/STDEV('The List'!X2:X671)</f>
        <v>-0.65461073243106527</v>
      </c>
      <c r="L262" s="55" cm="1">
        <f t="array" ref="L262">(VLOOKUP($A262,'The List'!$B1:$AH671,24,FALSE)-AVERAGE('The List'!Y2:Y671))/STDEV('The List'!Y2:Y671)</f>
        <v>0.19426005092295495</v>
      </c>
      <c r="M262" s="55" cm="1">
        <f t="array" ref="M262">(VLOOKUP($A262,'The List'!$B1:$AH671,25,FALSE)-AVERAGE('The List'!Z2:Z671))/STDEV('The List'!Z2:Z671)</f>
        <v>0.44688255756275419</v>
      </c>
      <c r="N262" s="55" cm="1">
        <f t="array" ref="N262">(VLOOKUP($A262,'The List'!$B1:$AH671,26,FALSE)-AVERAGE('The List'!AA2:AA671))/STDEV('The List'!AA2:AA671)</f>
        <v>-0.1322165838878531</v>
      </c>
      <c r="O262" s="55" cm="1">
        <f t="array" ref="O262">(VLOOKUP($A262,'The List'!$B1:$AH671,27,FALSE)-AVERAGE('The List'!AB2:AB671))/STDEV('The List'!AB2:AB671)</f>
        <v>0.77958541010360849</v>
      </c>
      <c r="P262" s="55" cm="1">
        <f t="array" ref="P262">(VLOOKUP($A262,'The List'!$B1:$AH671,28,FALSE)-AVERAGE('The List'!AC2:AC671))/STDEV('The List'!AC2:AC671)</f>
        <v>0.76709849369749239</v>
      </c>
      <c r="Q262" s="55" cm="1">
        <f t="array" ref="Q262">(VLOOKUP($A262,'The List'!$B1:$AH671,29,FALSE)-AVERAGE('The List'!AD2:AD671))/STDEV('The List'!AD2:AD671)</f>
        <v>-0.21775022758121973</v>
      </c>
      <c r="R262" s="55" cm="1">
        <f t="array" ref="R262">(VLOOKUP($A262,'The List'!$B1:$AH671,30,FALSE)-AVERAGE('The List'!AE2:AE671))/STDEV('The List'!AE2:AE671)</f>
        <v>-0.25986910402494956</v>
      </c>
      <c r="S262" s="55" cm="1">
        <f t="array" ref="S262">(VLOOKUP($A262,'The List'!$B1:$AH671,31,FALSE)-AVERAGE('The List'!AF2:AF671))/STDEV('The List'!AF2:AF671)</f>
        <v>0.60133361546362174</v>
      </c>
      <c r="T262" s="55" cm="1">
        <f t="array" ref="T262">(VLOOKUP($A262,'The List'!$B1:$AH671,32,FALSE)-AVERAGE('The List'!AG2:AG671))/STDEV('The List'!AG2:AG671)</f>
        <v>0.48741615338087918</v>
      </c>
      <c r="U262" s="55" cm="1">
        <f t="array" ref="U262">(VLOOKUP($A262,'The List'!$B1:$AH671,33,FALSE)-AVERAGE('The List'!AH2:AH671))/STDEV('The List'!AH2:AH671)</f>
        <v>1.1768014778174101</v>
      </c>
      <c r="V262" s="55"/>
      <c r="W262" s="78"/>
      <c r="X262" s="57"/>
      <c r="Y262" s="57"/>
      <c r="Z262" s="57"/>
      <c r="AA262" s="57"/>
      <c r="AB262" s="57"/>
      <c r="AC262" s="60"/>
      <c r="AD262" s="61"/>
      <c r="AE262" s="55"/>
    </row>
    <row r="263" spans="1:31" ht="21.25" customHeight="1" x14ac:dyDescent="0.15">
      <c r="A263" s="10" t="s">
        <v>545</v>
      </c>
      <c r="B263" s="18" t="str" cm="1">
        <f t="array" ref="B263">VLOOKUP(A263,'Player Data'!A1:B673,2,FALSE)</f>
        <v>L.A</v>
      </c>
      <c r="C263" s="52" cm="1">
        <f t="array" ref="C263">((E263)*Settings!$C$12)+(F263*Settings!$C$2)+(G263*Settings!$C$3)+(H263*Settings!$C$4)+(I263*Settings!$C$5)+(K263*Settings!$C$9)+(N263*Settings!$C$6)+(J263*Settings!$C$8)+(O263*Settings!$C$7)+(P263*Settings!$C$14)+(Q263*Settings!$C$15)+(R263*Settings!$C$16)+(S263*Settings!$C$17)+(T263*Settings!$C$18)+(U263*Settings!$C$19)+(L263*Settings!$C$10)+(Settings!$C$11*M263)</f>
        <v>-1.7934192429124691</v>
      </c>
      <c r="D263" s="57" cm="1">
        <f t="array" ref="D263">IF(Settings!$E$12="YES",VLOOKUP(A263,'Player Data'!A1:E673,5,FALSE),82)</f>
        <v>80.209999999999994</v>
      </c>
      <c r="E263" s="55" cm="1">
        <f t="array" ref="E263">(VLOOKUP($A263,'The List'!$B1:$AH671,17,FALSE)-AVERAGE('The List'!R2:R671))/STDEV('The List'!R2:R671)</f>
        <v>-0.5309562187726482</v>
      </c>
      <c r="F263" s="55" cm="1">
        <f t="array" ref="F263">(VLOOKUP($A263,'The List'!$B1:$AH671,18,FALSE)-AVERAGE('The List'!S2:S671))/STDEV('The List'!S2:S671)</f>
        <v>0.19842226320121098</v>
      </c>
      <c r="G263" s="55" cm="1">
        <f t="array" ref="G263">(VLOOKUP($A263,'The List'!$B1:$AH671,19,FALSE)-AVERAGE('The List'!T2:T671))/STDEV('The List'!T2:T671)</f>
        <v>-0.32427870451029067</v>
      </c>
      <c r="H263" s="55" cm="1">
        <f t="array" ref="H263">(VLOOKUP($A263,'The List'!$B1:$AH671,20,FALSE)-AVERAGE('The List'!U2:U671))/STDEV('The List'!U2:U671)</f>
        <v>-0.11593395166662822</v>
      </c>
      <c r="I263" s="55" cm="1">
        <f t="array" ref="I263">(VLOOKUP($A263,'The List'!$B1:$AH671,21,FALSE)-AVERAGE('The List'!V2:V671))/STDEV('The List'!V2:V671)</f>
        <v>0.58223709918639166</v>
      </c>
      <c r="J263" s="55" cm="1">
        <f t="array" ref="J263">(VLOOKUP($A263,'The List'!$B1:$AH671,22,FALSE)-AVERAGE('The List'!W2:W671))/STDEV('The List'!W2:W671)</f>
        <v>-0.59832210023101817</v>
      </c>
      <c r="K263" s="55" cm="1">
        <f t="array" ref="K263">(VLOOKUP($A263,'The List'!$B1:$AH671,23,FALSE)-AVERAGE('The List'!X2:X671))/STDEV('The List'!X2:X671)</f>
        <v>-0.62529650196878883</v>
      </c>
      <c r="L263" s="55" cm="1">
        <f t="array" ref="L263">(VLOOKUP($A263,'The List'!$B1:$AH671,24,FALSE)-AVERAGE('The List'!Y2:Y671))/STDEV('The List'!Y2:Y671)</f>
        <v>1.1419566628592996</v>
      </c>
      <c r="M263" s="55" cm="1">
        <f t="array" ref="M263">(VLOOKUP($A263,'The List'!$B1:$AH671,25,FALSE)-AVERAGE('The List'!Z2:Z671))/STDEV('The List'!Z2:Z671)</f>
        <v>0.90349515386937429</v>
      </c>
      <c r="N263" s="55" cm="1">
        <f t="array" ref="N263">(VLOOKUP($A263,'The List'!$B1:$AH671,26,FALSE)-AVERAGE('The List'!AA2:AA671))/STDEV('The List'!AA2:AA671)</f>
        <v>-0.67646219455510137</v>
      </c>
      <c r="O263" s="55" cm="1">
        <f t="array" ref="O263">(VLOOKUP($A263,'The List'!$B1:$AH671,27,FALSE)-AVERAGE('The List'!AB2:AB671))/STDEV('The List'!AB2:AB671)</f>
        <v>-0.41207084987985032</v>
      </c>
      <c r="P263" s="55" cm="1">
        <f t="array" ref="P263">(VLOOKUP($A263,'The List'!$B1:$AH671,28,FALSE)-AVERAGE('The List'!AC2:AC671))/STDEV('The List'!AC2:AC671)</f>
        <v>0.11734832711368753</v>
      </c>
      <c r="Q263" s="55" cm="1">
        <f t="array" ref="Q263">(VLOOKUP($A263,'The List'!$B1:$AH671,29,FALSE)-AVERAGE('The List'!AD2:AD671))/STDEV('The List'!AD2:AD671)</f>
        <v>-1.0653895313795785</v>
      </c>
      <c r="R263" s="55" cm="1">
        <f t="array" ref="R263">(VLOOKUP($A263,'The List'!$B1:$AH671,30,FALSE)-AVERAGE('The List'!AE2:AE671))/STDEV('The List'!AE2:AE671)</f>
        <v>0.21629878966604935</v>
      </c>
      <c r="S263" s="55" cm="1">
        <f t="array" ref="S263">(VLOOKUP($A263,'The List'!$B1:$AH671,31,FALSE)-AVERAGE('The List'!AF2:AF671))/STDEV('The List'!AF2:AF671)</f>
        <v>-0.57401156159915667</v>
      </c>
      <c r="T263" s="55" cm="1">
        <f t="array" ref="T263">(VLOOKUP($A263,'The List'!$B1:$AH671,32,FALSE)-AVERAGE('The List'!AG2:AG671))/STDEV('The List'!AG2:AG671)</f>
        <v>-0.55653565176554431</v>
      </c>
      <c r="U263" s="55" cm="1">
        <f t="array" ref="U263">(VLOOKUP($A263,'The List'!$B1:$AH671,33,FALSE)-AVERAGE('The List'!AH2:AH671))/STDEV('The List'!AH2:AH671)</f>
        <v>-0.37263488591221766</v>
      </c>
      <c r="V263" s="55"/>
      <c r="W263" s="57"/>
      <c r="X263" s="55"/>
      <c r="Y263" s="55"/>
      <c r="Z263" s="55"/>
      <c r="AA263" s="55"/>
      <c r="AB263" s="55"/>
      <c r="AC263" s="55"/>
      <c r="AD263" s="55"/>
      <c r="AE263" s="55"/>
    </row>
    <row r="264" spans="1:31" ht="21.25" customHeight="1" x14ac:dyDescent="0.15">
      <c r="A264" s="10" t="s">
        <v>325</v>
      </c>
      <c r="B264" s="18" t="str" cm="1">
        <f t="array" ref="B264">VLOOKUP(A264,'Player Data'!A1:B673,2,FALSE)</f>
        <v>CBJ</v>
      </c>
      <c r="C264" s="52" cm="1">
        <f t="array" ref="C264">((E264)*Settings!$C$12)+(F264*Settings!$C$2)+(G264*Settings!$C$3)+(H264*Settings!$C$4)+(I264*Settings!$C$5)+(K264*Settings!$C$9)+(N264*Settings!$C$6)+(J264*Settings!$C$8)+(O264*Settings!$C$7)+(P264*Settings!$C$14)+(Q264*Settings!$C$15)+(R264*Settings!$C$16)+(S264*Settings!$C$17)+(T264*Settings!$C$18)+(U264*Settings!$C$19)+(L264*Settings!$C$10)+(Settings!$C$11*M264)</f>
        <v>-0.41143254407102597</v>
      </c>
      <c r="D264" s="57" cm="1">
        <f t="array" ref="D264">IF(Settings!$E$12="YES",VLOOKUP(A264,'Player Data'!A1:E673,5,FALSE),82)</f>
        <v>75.5</v>
      </c>
      <c r="E264" s="55" cm="1">
        <f t="array" ref="E264">(VLOOKUP($A264,'The List'!$B1:$AH671,17,FALSE)-AVERAGE('The List'!R2:R671))/STDEV('The List'!R2:R671)</f>
        <v>1.0081877910742227</v>
      </c>
      <c r="F264" s="55" cm="1">
        <f t="array" ref="F264">(VLOOKUP($A264,'The List'!$B1:$AH671,18,FALSE)-AVERAGE('The List'!S2:S671))/STDEV('The List'!S2:S671)</f>
        <v>-0.12491597643092592</v>
      </c>
      <c r="G264" s="55" cm="1">
        <f t="array" ref="G264">(VLOOKUP($A264,'The List'!$B1:$AH671,19,FALSE)-AVERAGE('The List'!T2:T671))/STDEV('The List'!T2:T671)</f>
        <v>-0.12630275127671056</v>
      </c>
      <c r="H264" s="55" cm="1">
        <f t="array" ref="H264">(VLOOKUP($A264,'The List'!$B1:$AH671,20,FALSE)-AVERAGE('The List'!U2:U671))/STDEV('The List'!U2:U671)</f>
        <v>-0.13486626529839751</v>
      </c>
      <c r="I264" s="55" cm="1">
        <f t="array" ref="I264">(VLOOKUP($A264,'The List'!$B1:$AH671,21,FALSE)-AVERAGE('The List'!V2:V671))/STDEV('The List'!V2:V671)</f>
        <v>-0.46060670958438876</v>
      </c>
      <c r="J264" s="55" cm="1">
        <f t="array" ref="J264">(VLOOKUP($A264,'The List'!$B1:$AH671,22,FALSE)-AVERAGE('The List'!W2:W671))/STDEV('The List'!W2:W671)</f>
        <v>-0.56073539630862612</v>
      </c>
      <c r="K264" s="55" cm="1">
        <f t="array" ref="K264">(VLOOKUP($A264,'The List'!$B1:$AH671,23,FALSE)-AVERAGE('The List'!X2:X671))/STDEV('The List'!X2:X671)</f>
        <v>-0.56254108152320514</v>
      </c>
      <c r="L264" s="55" cm="1">
        <f t="array" ref="L264">(VLOOKUP($A264,'The List'!$B1:$AH671,24,FALSE)-AVERAGE('The List'!Y2:Y671))/STDEV('The List'!Y2:Y671)</f>
        <v>-0.51106100726235604</v>
      </c>
      <c r="M264" s="55" cm="1">
        <f t="array" ref="M264">(VLOOKUP($A264,'The List'!$B1:$AH671,25,FALSE)-AVERAGE('The List'!Z2:Z671))/STDEV('The List'!Z2:Z671)</f>
        <v>-0.48256297803441606</v>
      </c>
      <c r="N264" s="55" cm="1">
        <f t="array" ref="N264">(VLOOKUP($A264,'The List'!$B1:$AH671,26,FALSE)-AVERAGE('The List'!AA2:AA671))/STDEV('The List'!AA2:AA671)</f>
        <v>1.1388402533614039</v>
      </c>
      <c r="O264" s="55" cm="1">
        <f t="array" ref="O264">(VLOOKUP($A264,'The List'!$B1:$AH671,27,FALSE)-AVERAGE('The List'!AB2:AB671))/STDEV('The List'!AB2:AB671)</f>
        <v>-0.86113210696032094</v>
      </c>
      <c r="P264" s="55" cm="1">
        <f t="array" ref="P264">(VLOOKUP($A264,'The List'!$B1:$AH671,28,FALSE)-AVERAGE('The List'!AC2:AC671))/STDEV('The List'!AC2:AC671)</f>
        <v>0.40498120338826354</v>
      </c>
      <c r="Q264" s="55" cm="1">
        <f t="array" ref="Q264">(VLOOKUP($A264,'The List'!$B1:$AH671,29,FALSE)-AVERAGE('The List'!AD2:AD671))/STDEV('The List'!AD2:AD671)</f>
        <v>-0.68088748200546301</v>
      </c>
      <c r="R264" s="55" cm="1">
        <f t="array" ref="R264">(VLOOKUP($A264,'The List'!$B1:$AH671,30,FALSE)-AVERAGE('The List'!AE2:AE671))/STDEV('The List'!AE2:AE671)</f>
        <v>-7.8135615920146576E-2</v>
      </c>
      <c r="S264" s="55" cm="1">
        <f t="array" ref="S264">(VLOOKUP($A264,'The List'!$B1:$AH671,31,FALSE)-AVERAGE('The List'!AF2:AF671))/STDEV('The List'!AF2:AF671)</f>
        <v>-0.5939690971349143</v>
      </c>
      <c r="T264" s="55" cm="1">
        <f t="array" ref="T264">(VLOOKUP($A264,'The List'!$B1:$AH671,32,FALSE)-AVERAGE('The List'!AG2:AG671))/STDEV('The List'!AG2:AG671)</f>
        <v>-0.64602208138248207</v>
      </c>
      <c r="U264" s="55" cm="1">
        <f t="array" ref="U264">(VLOOKUP($A264,'The List'!$B1:$AH671,33,FALSE)-AVERAGE('The List'!AH2:AH671))/STDEV('The List'!AH2:AH671)</f>
        <v>-1.2548938914719048</v>
      </c>
      <c r="V264" s="55"/>
      <c r="W264" s="78"/>
      <c r="X264" s="57"/>
      <c r="Y264" s="57"/>
      <c r="Z264" s="57"/>
      <c r="AA264" s="57"/>
      <c r="AB264" s="57"/>
      <c r="AC264" s="60"/>
      <c r="AD264" s="61"/>
      <c r="AE264" s="55"/>
    </row>
    <row r="265" spans="1:31" ht="21.25" customHeight="1" x14ac:dyDescent="0.15">
      <c r="A265" s="10" t="s">
        <v>597</v>
      </c>
      <c r="B265" s="18" t="str" cm="1">
        <f t="array" ref="B265">VLOOKUP(A265,'Player Data'!A1:B673,2,FALSE)</f>
        <v>BOS</v>
      </c>
      <c r="C265" s="52" cm="1">
        <f t="array" ref="C265">((E265)*Settings!$C$12)+(F265*Settings!$C$2)+(G265*Settings!$C$3)+(H265*Settings!$C$4)+(I265*Settings!$C$5)+(K265*Settings!$C$9)+(N265*Settings!$C$6)+(J265*Settings!$C$8)+(O265*Settings!$C$7)+(P265*Settings!$C$14)+(Q265*Settings!$C$15)+(R265*Settings!$C$16)+(S265*Settings!$C$17)+(T265*Settings!$C$18)+(U265*Settings!$C$19)+(L265*Settings!$C$10)+(Settings!$C$11*M265)</f>
        <v>-2.5084864844344583</v>
      </c>
      <c r="D265" s="57" cm="1">
        <f t="array" ref="D265">IF(Settings!$E$12="YES",VLOOKUP(A265,'Player Data'!A1:E673,5,FALSE),82)</f>
        <v>74.805000000000007</v>
      </c>
      <c r="E265" s="55" cm="1">
        <f t="array" ref="E265">(VLOOKUP($A265,'The List'!$B1:$AH671,17,FALSE)-AVERAGE('The List'!R2:R671))/STDEV('The List'!R2:R671)</f>
        <v>-0.35656956519738814</v>
      </c>
      <c r="F265" s="55" cm="1">
        <f t="array" ref="F265">(VLOOKUP($A265,'The List'!$B1:$AH671,18,FALSE)-AVERAGE('The List'!S2:S671))/STDEV('The List'!S2:S671)</f>
        <v>0.15759867655208123</v>
      </c>
      <c r="G265" s="55" cm="1">
        <f t="array" ref="G265">(VLOOKUP($A265,'The List'!$B1:$AH671,19,FALSE)-AVERAGE('The List'!T2:T671))/STDEV('The List'!T2:T671)</f>
        <v>-0.46138271686413684</v>
      </c>
      <c r="H265" s="55" cm="1">
        <f t="array" ref="H265">(VLOOKUP($A265,'The List'!$B1:$AH671,20,FALSE)-AVERAGE('The List'!U2:U671))/STDEV('The List'!U2:U671)</f>
        <v>-0.22028418911291409</v>
      </c>
      <c r="I265" s="55" cm="1">
        <f t="array" ref="I265">(VLOOKUP($A265,'The List'!$B1:$AH671,21,FALSE)-AVERAGE('The List'!V2:V671))/STDEV('The List'!V2:V671)</f>
        <v>-0.3155081110254066</v>
      </c>
      <c r="J265" s="55" cm="1">
        <f t="array" ref="J265">(VLOOKUP($A265,'The List'!$B1:$AH671,22,FALSE)-AVERAGE('The List'!W2:W671))/STDEV('The List'!W2:W671)</f>
        <v>-0.39331726495316183</v>
      </c>
      <c r="K265" s="55" cm="1">
        <f t="array" ref="K265">(VLOOKUP($A265,'The List'!$B1:$AH671,23,FALSE)-AVERAGE('The List'!X2:X671))/STDEV('The List'!X2:X671)</f>
        <v>-0.41959832127948976</v>
      </c>
      <c r="L265" s="55" cm="1">
        <f t="array" ref="L265">(VLOOKUP($A265,'The List'!$B1:$AH671,24,FALSE)-AVERAGE('The List'!Y2:Y671))/STDEV('The List'!Y2:Y671)</f>
        <v>-0.32360284769901543</v>
      </c>
      <c r="M265" s="55" cm="1">
        <f t="array" ref="M265">(VLOOKUP($A265,'The List'!$B1:$AH671,25,FALSE)-AVERAGE('The List'!Z2:Z671))/STDEV('The List'!Z2:Z671)</f>
        <v>0.22199705114385349</v>
      </c>
      <c r="N265" s="55" cm="1">
        <f t="array" ref="N265">(VLOOKUP($A265,'The List'!$B1:$AH671,26,FALSE)-AVERAGE('The List'!AA2:AA671))/STDEV('The List'!AA2:AA671)</f>
        <v>-0.48935191903186837</v>
      </c>
      <c r="O265" s="55" cm="1">
        <f t="array" ref="O265">(VLOOKUP($A265,'The List'!$B1:$AH671,27,FALSE)-AVERAGE('The List'!AB2:AB671))/STDEV('The List'!AB2:AB671)</f>
        <v>0.79856635180300672</v>
      </c>
      <c r="P265" s="55" cm="1">
        <f t="array" ref="P265">(VLOOKUP($A265,'The List'!$B1:$AH671,28,FALSE)-AVERAGE('The List'!AC2:AC671))/STDEV('The List'!AC2:AC671)</f>
        <v>-0.16411962433407998</v>
      </c>
      <c r="Q265" s="55" cm="1">
        <f t="array" ref="Q265">(VLOOKUP($A265,'The List'!$B1:$AH671,29,FALSE)-AVERAGE('The List'!AD2:AD671))/STDEV('The List'!AD2:AD671)</f>
        <v>-0.81612446845155806</v>
      </c>
      <c r="R265" s="55" cm="1">
        <f t="array" ref="R265">(VLOOKUP($A265,'The List'!$B1:$AH671,30,FALSE)-AVERAGE('The List'!AE2:AE671))/STDEV('The List'!AE2:AE671)</f>
        <v>-4.700263587583222E-2</v>
      </c>
      <c r="S265" s="55" cm="1">
        <f t="array" ref="S265">(VLOOKUP($A265,'The List'!$B1:$AH671,31,FALSE)-AVERAGE('The List'!AF2:AF671))/STDEV('The List'!AF2:AF671)</f>
        <v>1.1711621549710929</v>
      </c>
      <c r="T265" s="55" cm="1">
        <f t="array" ref="T265">(VLOOKUP($A265,'The List'!$B1:$AH671,32,FALSE)-AVERAGE('The List'!AG2:AG671))/STDEV('The List'!AG2:AG671)</f>
        <v>1.3291089983798474</v>
      </c>
      <c r="U265" s="55" cm="1">
        <f t="array" ref="U265">(VLOOKUP($A265,'The List'!$B1:$AH671,33,FALSE)-AVERAGE('The List'!AH2:AH671))/STDEV('The List'!AH2:AH671)</f>
        <v>0.98670410818831544</v>
      </c>
      <c r="V265" s="55"/>
      <c r="W265" s="78"/>
      <c r="X265" s="57"/>
      <c r="Y265" s="57"/>
      <c r="Z265" s="57"/>
      <c r="AA265" s="57"/>
      <c r="AB265" s="57"/>
      <c r="AC265" s="60"/>
      <c r="AD265" s="61"/>
      <c r="AE265" s="55"/>
    </row>
    <row r="266" spans="1:31" ht="21.25" customHeight="1" x14ac:dyDescent="0.15">
      <c r="A266" s="10" t="s">
        <v>270</v>
      </c>
      <c r="B266" s="18" t="str" cm="1">
        <f t="array" ref="B266">VLOOKUP(A266,'Player Data'!A1:B673,2,FALSE)</f>
        <v>DET</v>
      </c>
      <c r="C266" s="52" cm="1">
        <f t="array" ref="C266">((E266)*Settings!$C$12)+(F266*Settings!$C$2)+(G266*Settings!$C$3)+(H266*Settings!$C$4)+(I266*Settings!$C$5)+(K266*Settings!$C$9)+(N266*Settings!$C$6)+(J266*Settings!$C$8)+(O266*Settings!$C$7)+(P266*Settings!$C$14)+(Q266*Settings!$C$15)+(R266*Settings!$C$16)+(S266*Settings!$C$17)+(T266*Settings!$C$18)+(U266*Settings!$C$19)+(L266*Settings!$C$10)+(Settings!$C$11*M266)</f>
        <v>1.0801835390119368</v>
      </c>
      <c r="D266" s="57" cm="1">
        <f t="array" ref="D266">IF(Settings!$E$12="YES",VLOOKUP(A266,'Player Data'!A1:E673,5,FALSE),82)</f>
        <v>80.569999999999993</v>
      </c>
      <c r="E266" s="55" cm="1">
        <f t="array" ref="E266">(VLOOKUP($A266,'The List'!$B1:$AH671,17,FALSE)-AVERAGE('The List'!R2:R671))/STDEV('The List'!R2:R671)</f>
        <v>1.3085481585242282</v>
      </c>
      <c r="F266" s="55" cm="1">
        <f t="array" ref="F266">(VLOOKUP($A266,'The List'!$B1:$AH671,18,FALSE)-AVERAGE('The List'!S2:S671))/STDEV('The List'!S2:S671)</f>
        <v>-0.57120933567736631</v>
      </c>
      <c r="G266" s="55" cm="1">
        <f t="array" ref="G266">(VLOOKUP($A266,'The List'!$B1:$AH671,19,FALSE)-AVERAGE('The List'!T2:T671))/STDEV('The List'!T2:T671)</f>
        <v>0.22034725675180131</v>
      </c>
      <c r="H266" s="55" cm="1">
        <f t="array" ref="H266">(VLOOKUP($A266,'The List'!$B1:$AH671,20,FALSE)-AVERAGE('The List'!U2:U671))/STDEV('The List'!U2:U671)</f>
        <v>-0.11483589509699543</v>
      </c>
      <c r="I266" s="55" cm="1">
        <f t="array" ref="I266">(VLOOKUP($A266,'The List'!$B1:$AH671,21,FALSE)-AVERAGE('The List'!V2:V671))/STDEV('The List'!V2:V671)</f>
        <v>0.18846241484267273</v>
      </c>
      <c r="J266" s="55" cm="1">
        <f t="array" ref="J266">(VLOOKUP($A266,'The List'!$B1:$AH671,22,FALSE)-AVERAGE('The List'!W2:W671))/STDEV('The List'!W2:W671)</f>
        <v>-0.42641611997244128</v>
      </c>
      <c r="K266" s="55" cm="1">
        <f t="array" ref="K266">(VLOOKUP($A266,'The List'!$B1:$AH671,23,FALSE)-AVERAGE('The List'!X2:X671))/STDEV('The List'!X2:X671)</f>
        <v>-0.1360251898035188</v>
      </c>
      <c r="L266" s="55" cm="1">
        <f t="array" ref="L266">(VLOOKUP($A266,'The List'!$B1:$AH671,24,FALSE)-AVERAGE('The List'!Y2:Y671))/STDEV('The List'!Y2:Y671)</f>
        <v>-0.52910865346034153</v>
      </c>
      <c r="M266" s="55" cm="1">
        <f t="array" ref="M266">(VLOOKUP($A266,'The List'!$B1:$AH671,25,FALSE)-AVERAGE('The List'!Z2:Z671))/STDEV('The List'!Z2:Z671)</f>
        <v>0.2649412638764832</v>
      </c>
      <c r="N266" s="55" cm="1">
        <f t="array" ref="N266">(VLOOKUP($A266,'The List'!$B1:$AH671,26,FALSE)-AVERAGE('The List'!AA2:AA671))/STDEV('The List'!AA2:AA671)</f>
        <v>1.7088531588532812</v>
      </c>
      <c r="O266" s="55" cm="1">
        <f t="array" ref="O266">(VLOOKUP($A266,'The List'!$B1:$AH671,27,FALSE)-AVERAGE('The List'!AB2:AB671))/STDEV('The List'!AB2:AB671)</f>
        <v>-0.18744364955002021</v>
      </c>
      <c r="P266" s="55" cm="1">
        <f t="array" ref="P266">(VLOOKUP($A266,'The List'!$B1:$AH671,28,FALSE)-AVERAGE('The List'!AC2:AC671))/STDEV('The List'!AC2:AC671)</f>
        <v>-0.7895961638811646</v>
      </c>
      <c r="Q266" s="55" cm="1">
        <f t="array" ref="Q266">(VLOOKUP($A266,'The List'!$B1:$AH671,29,FALSE)-AVERAGE('The List'!AD2:AD671))/STDEV('The List'!AD2:AD671)</f>
        <v>0.45935139792623125</v>
      </c>
      <c r="R266" s="55" cm="1">
        <f t="array" ref="R266">(VLOOKUP($A266,'The List'!$B1:$AH671,30,FALSE)-AVERAGE('The List'!AE2:AE671))/STDEV('The List'!AE2:AE671)</f>
        <v>-0.54970980932051483</v>
      </c>
      <c r="S266" s="55" cm="1">
        <f t="array" ref="S266">(VLOOKUP($A266,'The List'!$B1:$AH671,31,FALSE)-AVERAGE('The List'!AF2:AF671))/STDEV('The List'!AF2:AF671)</f>
        <v>-0.5939690971349143</v>
      </c>
      <c r="T266" s="55" cm="1">
        <f t="array" ref="T266">(VLOOKUP($A266,'The List'!$B1:$AH671,32,FALSE)-AVERAGE('The List'!AG2:AG671))/STDEV('The List'!AG2:AG671)</f>
        <v>-0.64602208138248207</v>
      </c>
      <c r="U266" s="55" cm="1">
        <f t="array" ref="U266">(VLOOKUP($A266,'The List'!$B1:$AH671,33,FALSE)-AVERAGE('The List'!AH2:AH671))/STDEV('The List'!AH2:AH671)</f>
        <v>-1.2548938914719048</v>
      </c>
      <c r="V266" s="55"/>
      <c r="W266" s="78"/>
      <c r="X266" s="57"/>
      <c r="Y266" s="57"/>
      <c r="Z266" s="57"/>
      <c r="AA266" s="57"/>
      <c r="AB266" s="57"/>
      <c r="AC266" s="60"/>
      <c r="AD266" s="61"/>
      <c r="AE266" s="55"/>
    </row>
    <row r="267" spans="1:31" ht="21.25" customHeight="1" x14ac:dyDescent="0.15">
      <c r="A267" s="10" t="s">
        <v>527</v>
      </c>
      <c r="B267" s="18" t="str" cm="1">
        <f t="array" ref="B267">VLOOKUP(A267,'Player Data'!A1:B673,2,FALSE)</f>
        <v>UTA</v>
      </c>
      <c r="C267" s="52" cm="1">
        <f t="array" ref="C267">((E267)*Settings!$C$12)+(F267*Settings!$C$2)+(G267*Settings!$C$3)+(H267*Settings!$C$4)+(I267*Settings!$C$5)+(K267*Settings!$C$9)+(N267*Settings!$C$6)+(J267*Settings!$C$8)+(O267*Settings!$C$7)+(P267*Settings!$C$14)+(Q267*Settings!$C$15)+(R267*Settings!$C$16)+(S267*Settings!$C$17)+(T267*Settings!$C$18)+(U267*Settings!$C$19)+(L267*Settings!$C$10)+(Settings!$C$11*M267)</f>
        <v>0.34886868507131419</v>
      </c>
      <c r="D267" s="57" cm="1">
        <f t="array" ref="D267">IF(Settings!$E$12="YES",VLOOKUP(A267,'Player Data'!A1:E673,5,FALSE),82)</f>
        <v>83.614999999999995</v>
      </c>
      <c r="E267" s="55" cm="1">
        <f t="array" ref="E267">(VLOOKUP($A267,'The List'!$B1:$AH671,17,FALSE)-AVERAGE('The List'!R2:R671))/STDEV('The List'!R2:R671)</f>
        <v>-8.9902587811629617E-2</v>
      </c>
      <c r="F267" s="55" cm="1">
        <f t="array" ref="F267">(VLOOKUP($A267,'The List'!$B1:$AH671,18,FALSE)-AVERAGE('The List'!S2:S671))/STDEV('The List'!S2:S671)</f>
        <v>0.54716038505281028</v>
      </c>
      <c r="G267" s="55" cm="1">
        <f t="array" ref="G267">(VLOOKUP($A267,'The List'!$B1:$AH671,19,FALSE)-AVERAGE('The List'!T2:T671))/STDEV('The List'!T2:T671)</f>
        <v>-0.48580298970902741</v>
      </c>
      <c r="H267" s="55" cm="1">
        <f t="array" ref="H267">(VLOOKUP($A267,'The List'!$B1:$AH671,20,FALSE)-AVERAGE('The List'!U2:U671))/STDEV('The List'!U2:U671)</f>
        <v>-6.2804356033645481E-2</v>
      </c>
      <c r="I267" s="55" cm="1">
        <f t="array" ref="I267">(VLOOKUP($A267,'The List'!$B1:$AH671,21,FALSE)-AVERAGE('The List'!V2:V671))/STDEV('The List'!V2:V671)</f>
        <v>0.33448667341514987</v>
      </c>
      <c r="J267" s="55" cm="1">
        <f t="array" ref="J267">(VLOOKUP($A267,'The List'!$B1:$AH671,22,FALSE)-AVERAGE('The List'!W2:W671))/STDEV('The List'!W2:W671)</f>
        <v>-0.33446057968116927</v>
      </c>
      <c r="K267" s="55" cm="1">
        <f t="array" ref="K267">(VLOOKUP($A267,'The List'!$B1:$AH671,23,FALSE)-AVERAGE('The List'!X2:X671))/STDEV('The List'!X2:X671)</f>
        <v>-0.57569626385562134</v>
      </c>
      <c r="L267" s="55" cm="1">
        <f t="array" ref="L267">(VLOOKUP($A267,'The List'!$B1:$AH671,24,FALSE)-AVERAGE('The List'!Y2:Y671))/STDEV('The List'!Y2:Y671)</f>
        <v>0.87249237689475945</v>
      </c>
      <c r="M267" s="55" cm="1">
        <f t="array" ref="M267">(VLOOKUP($A267,'The List'!$B1:$AH671,25,FALSE)-AVERAGE('The List'!Z2:Z671))/STDEV('The List'!Z2:Z671)</f>
        <v>1.2456001959797152</v>
      </c>
      <c r="N267" s="55" cm="1">
        <f t="array" ref="N267">(VLOOKUP($A267,'The List'!$B1:$AH671,26,FALSE)-AVERAGE('The List'!AA2:AA671))/STDEV('The List'!AA2:AA671)</f>
        <v>-0.19703094039616414</v>
      </c>
      <c r="O267" s="55" cm="1">
        <f t="array" ref="O267">(VLOOKUP($A267,'The List'!$B1:$AH671,27,FALSE)-AVERAGE('The List'!AB2:AB671))/STDEV('The List'!AB2:AB671)</f>
        <v>2.340898142256258</v>
      </c>
      <c r="P267" s="55" cm="1">
        <f t="array" ref="P267">(VLOOKUP($A267,'The List'!$B1:$AH671,28,FALSE)-AVERAGE('The List'!AC2:AC671))/STDEV('The List'!AC2:AC671)</f>
        <v>0.2714982054147555</v>
      </c>
      <c r="Q267" s="55" cm="1">
        <f t="array" ref="Q267">(VLOOKUP($A267,'The List'!$B1:$AH671,29,FALSE)-AVERAGE('The List'!AD2:AD671))/STDEV('The List'!AD2:AD671)</f>
        <v>0.45425361514941143</v>
      </c>
      <c r="R267" s="55" cm="1">
        <f t="array" ref="R267">(VLOOKUP($A267,'The List'!$B1:$AH671,30,FALSE)-AVERAGE('The List'!AE2:AE671))/STDEV('The List'!AE2:AE671)</f>
        <v>0.60467047071406288</v>
      </c>
      <c r="S267" s="55" cm="1">
        <f t="array" ref="S267">(VLOOKUP($A267,'The List'!$B1:$AH671,31,FALSE)-AVERAGE('The List'!AF2:AF671))/STDEV('The List'!AF2:AF671)</f>
        <v>-0.4517463857179489</v>
      </c>
      <c r="T267" s="55" cm="1">
        <f t="array" ref="T267">(VLOOKUP($A267,'The List'!$B1:$AH671,32,FALSE)-AVERAGE('The List'!AG2:AG671))/STDEV('The List'!AG2:AG671)</f>
        <v>-0.39038488168583535</v>
      </c>
      <c r="U267" s="55" cm="1">
        <f t="array" ref="U267">(VLOOKUP($A267,'The List'!$B1:$AH671,33,FALSE)-AVERAGE('The List'!AH2:AH671))/STDEV('The List'!AH2:AH671)</f>
        <v>0.45537890067725983</v>
      </c>
      <c r="V267" s="55"/>
      <c r="W267" s="78"/>
      <c r="X267" s="57"/>
      <c r="Y267" s="57"/>
      <c r="Z267" s="57"/>
      <c r="AA267" s="57"/>
      <c r="AB267" s="57"/>
      <c r="AC267" s="60"/>
      <c r="AD267" s="61"/>
      <c r="AE267" s="55"/>
    </row>
    <row r="268" spans="1:31" ht="21.25" customHeight="1" x14ac:dyDescent="0.15">
      <c r="A268" s="10" t="s">
        <v>540</v>
      </c>
      <c r="B268" s="18" t="str" cm="1">
        <f t="array" ref="B268">VLOOKUP(A268,'Player Data'!A1:B673,2,FALSE)</f>
        <v>NSH</v>
      </c>
      <c r="C268" s="52" cm="1">
        <f t="array" ref="C268">((E268)*Settings!$C$12)+(F268*Settings!$C$2)+(G268*Settings!$C$3)+(H268*Settings!$C$4)+(I268*Settings!$C$5)+(K268*Settings!$C$9)+(N268*Settings!$C$6)+(J268*Settings!$C$8)+(O268*Settings!$C$7)+(P268*Settings!$C$14)+(Q268*Settings!$C$15)+(R268*Settings!$C$16)+(S268*Settings!$C$17)+(T268*Settings!$C$18)+(U268*Settings!$C$19)+(L268*Settings!$C$10)+(Settings!$C$11*M268)</f>
        <v>-1.255920916266668</v>
      </c>
      <c r="D268" s="57" cm="1">
        <f t="array" ref="D268">IF(Settings!$E$12="YES",VLOOKUP(A268,'Player Data'!A1:E673,5,FALSE),82)</f>
        <v>79.344999999999999</v>
      </c>
      <c r="E268" s="55" cm="1">
        <f t="array" ref="E268">(VLOOKUP($A268,'The List'!$B1:$AH671,17,FALSE)-AVERAGE('The List'!R2:R671))/STDEV('The List'!R2:R671)</f>
        <v>-0.54028594655511031</v>
      </c>
      <c r="F268" s="55" cm="1">
        <f t="array" ref="F268">(VLOOKUP($A268,'The List'!$B1:$AH671,18,FALSE)-AVERAGE('The List'!S2:S671))/STDEV('The List'!S2:S671)</f>
        <v>8.891921681816832E-2</v>
      </c>
      <c r="G268" s="55" cm="1">
        <f t="array" ref="G268">(VLOOKUP($A268,'The List'!$B1:$AH671,19,FALSE)-AVERAGE('The List'!T2:T671))/STDEV('The List'!T2:T671)</f>
        <v>-0.29288290205614853</v>
      </c>
      <c r="H268" s="55" cm="1">
        <f t="array" ref="H268">(VLOOKUP($A268,'The List'!$B1:$AH671,20,FALSE)-AVERAGE('The List'!U2:U671))/STDEV('The List'!U2:U671)</f>
        <v>-0.14477027726402827</v>
      </c>
      <c r="I268" s="55" cm="1">
        <f t="array" ref="I268">(VLOOKUP($A268,'The List'!$B1:$AH671,21,FALSE)-AVERAGE('The List'!V2:V671))/STDEV('The List'!V2:V671)</f>
        <v>0.82221214085963723</v>
      </c>
      <c r="J268" s="55" cm="1">
        <f t="array" ref="J268">(VLOOKUP($A268,'The List'!$B1:$AH671,22,FALSE)-AVERAGE('The List'!W2:W671))/STDEV('The List'!W2:W671)</f>
        <v>-0.34593700858034698</v>
      </c>
      <c r="K268" s="55" cm="1">
        <f t="array" ref="K268">(VLOOKUP($A268,'The List'!$B1:$AH671,23,FALSE)-AVERAGE('The List'!X2:X671))/STDEV('The List'!X2:X671)</f>
        <v>-0.5348722929999169</v>
      </c>
      <c r="L268" s="55" cm="1">
        <f t="array" ref="L268">(VLOOKUP($A268,'The List'!$B1:$AH671,24,FALSE)-AVERAGE('The List'!Y2:Y671))/STDEV('The List'!Y2:Y671)</f>
        <v>-0.37412500404410443</v>
      </c>
      <c r="M268" s="55" cm="1">
        <f t="array" ref="M268">(VLOOKUP($A268,'The List'!$B1:$AH671,25,FALSE)-AVERAGE('The List'!Z2:Z671))/STDEV('The List'!Z2:Z671)</f>
        <v>-0.5172434798766391</v>
      </c>
      <c r="N268" s="55" cm="1">
        <f t="array" ref="N268">(VLOOKUP($A268,'The List'!$B1:$AH671,26,FALSE)-AVERAGE('The List'!AA2:AA671))/STDEV('The List'!AA2:AA671)</f>
        <v>-0.59780347369078779</v>
      </c>
      <c r="O268" s="55" cm="1">
        <f t="array" ref="O268">(VLOOKUP($A268,'The List'!$B1:$AH671,27,FALSE)-AVERAGE('The List'!AB2:AB671))/STDEV('The List'!AB2:AB671)</f>
        <v>1.903144657194263</v>
      </c>
      <c r="P268" s="55" cm="1">
        <f t="array" ref="P268">(VLOOKUP($A268,'The List'!$B1:$AH671,28,FALSE)-AVERAGE('The List'!AC2:AC671))/STDEV('The List'!AC2:AC671)</f>
        <v>-0.52592776416236864</v>
      </c>
      <c r="Q268" s="55" cm="1">
        <f t="array" ref="Q268">(VLOOKUP($A268,'The List'!$B1:$AH671,29,FALSE)-AVERAGE('The List'!AD2:AD671))/STDEV('The List'!AD2:AD671)</f>
        <v>-0.21556584103525164</v>
      </c>
      <c r="R268" s="55" cm="1">
        <f t="array" ref="R268">(VLOOKUP($A268,'The List'!$B1:$AH671,30,FALSE)-AVERAGE('The List'!AE2:AE671))/STDEV('The List'!AE2:AE671)</f>
        <v>-6.9164744496213404E-2</v>
      </c>
      <c r="S268" s="55" cm="1">
        <f t="array" ref="S268">(VLOOKUP($A268,'The List'!$B1:$AH671,31,FALSE)-AVERAGE('The List'!AF2:AF671))/STDEV('The List'!AF2:AF671)</f>
        <v>-1.3343504468971238E-2</v>
      </c>
      <c r="T268" s="55" cm="1">
        <f t="array" ref="T268">(VLOOKUP($A268,'The List'!$B1:$AH671,32,FALSE)-AVERAGE('The List'!AG2:AG671))/STDEV('The List'!AG2:AG671)</f>
        <v>6.9699249673737307E-2</v>
      </c>
      <c r="U268" s="55" cm="1">
        <f t="array" ref="U268">(VLOOKUP($A268,'The List'!$B1:$AH671,33,FALSE)-AVERAGE('The List'!AH2:AH671))/STDEV('The List'!AH2:AH671)</f>
        <v>0.87577500954540666</v>
      </c>
      <c r="V268" s="55"/>
      <c r="W268" s="57"/>
      <c r="X268" s="55"/>
      <c r="Y268" s="55"/>
      <c r="Z268" s="55"/>
      <c r="AA268" s="55"/>
      <c r="AB268" s="55"/>
      <c r="AC268" s="55"/>
      <c r="AD268" s="55"/>
      <c r="AE268" s="55"/>
    </row>
    <row r="269" spans="1:31" ht="21.25" customHeight="1" x14ac:dyDescent="0.15">
      <c r="A269" s="10" t="s">
        <v>581</v>
      </c>
      <c r="B269" s="18" t="str" cm="1">
        <f t="array" ref="B269">VLOOKUP(A269,'Player Data'!A1:B673,2,FALSE)</f>
        <v>EDM</v>
      </c>
      <c r="C269" s="52" cm="1">
        <f t="array" ref="C269">((E269)*Settings!$C$12)+(F269*Settings!$C$2)+(G269*Settings!$C$3)+(H269*Settings!$C$4)+(I269*Settings!$C$5)+(K269*Settings!$C$9)+(N269*Settings!$C$6)+(J269*Settings!$C$8)+(O269*Settings!$C$7)+(P269*Settings!$C$14)+(Q269*Settings!$C$15)+(R269*Settings!$C$16)+(S269*Settings!$C$17)+(T269*Settings!$C$18)+(U269*Settings!$C$19)+(L269*Settings!$C$10)+(Settings!$C$11*M269)</f>
        <v>0.60500482839390601</v>
      </c>
      <c r="D269" s="57" cm="1">
        <f t="array" ref="D269">IF(Settings!$E$12="YES",VLOOKUP(A269,'Player Data'!A1:E673,5,FALSE),82)</f>
        <v>77.73</v>
      </c>
      <c r="E269" s="55" cm="1">
        <f t="array" ref="E269">(VLOOKUP($A269,'The List'!$B1:$AH671,17,FALSE)-AVERAGE('The List'!R2:R671))/STDEV('The List'!R2:R671)</f>
        <v>-0.35430909147832923</v>
      </c>
      <c r="F269" s="55" cm="1">
        <f t="array" ref="F269">(VLOOKUP($A269,'The List'!$B1:$AH671,18,FALSE)-AVERAGE('The List'!S2:S671))/STDEV('The List'!S2:S671)</f>
        <v>9.9941796448362152E-2</v>
      </c>
      <c r="G269" s="55" cm="1">
        <f t="array" ref="G269">(VLOOKUP($A269,'The List'!$B1:$AH671,19,FALSE)-AVERAGE('The List'!T2:T671))/STDEV('The List'!T2:T671)</f>
        <v>-0.35986939996676404</v>
      </c>
      <c r="H269" s="55" cm="1">
        <f t="array" ref="H269">(VLOOKUP($A269,'The List'!$B1:$AH671,20,FALSE)-AVERAGE('The List'!U2:U671))/STDEV('The List'!U2:U671)</f>
        <v>-0.18201395207273519</v>
      </c>
      <c r="I269" s="55" cm="1">
        <f t="array" ref="I269">(VLOOKUP($A269,'The List'!$B1:$AH671,21,FALSE)-AVERAGE('The List'!V2:V671))/STDEV('The List'!V2:V671)</f>
        <v>6.0391545157754599E-2</v>
      </c>
      <c r="J269" s="55" cm="1">
        <f t="array" ref="J269">(VLOOKUP($A269,'The List'!$B1:$AH671,22,FALSE)-AVERAGE('The List'!W2:W671))/STDEV('The List'!W2:W671)</f>
        <v>-0.55007076013037337</v>
      </c>
      <c r="K269" s="55" cm="1">
        <f t="array" ref="K269">(VLOOKUP($A269,'The List'!$B1:$AH671,23,FALSE)-AVERAGE('The List'!X2:X671))/STDEV('The List'!X2:X671)</f>
        <v>-0.61455082337902622</v>
      </c>
      <c r="L269" s="55" cm="1">
        <f t="array" ref="L269">(VLOOKUP($A269,'The List'!$B1:$AH671,24,FALSE)-AVERAGE('The List'!Y2:Y671))/STDEV('The List'!Y2:Y671)</f>
        <v>-0.37623200455425371</v>
      </c>
      <c r="M269" s="55" cm="1">
        <f t="array" ref="M269">(VLOOKUP($A269,'The List'!$B1:$AH671,25,FALSE)-AVERAGE('The List'!Z2:Z671))/STDEV('The List'!Z2:Z671)</f>
        <v>-0.52051020209766452</v>
      </c>
      <c r="N269" s="55" cm="1">
        <f t="array" ref="N269">(VLOOKUP($A269,'The List'!$B1:$AH671,26,FALSE)-AVERAGE('The List'!AA2:AA671))/STDEV('The List'!AA2:AA671)</f>
        <v>-0.36405446525168805</v>
      </c>
      <c r="O269" s="55" cm="1">
        <f t="array" ref="O269">(VLOOKUP($A269,'The List'!$B1:$AH671,27,FALSE)-AVERAGE('The List'!AB2:AB671))/STDEV('The List'!AB2:AB671)</f>
        <v>2.5780188102620776</v>
      </c>
      <c r="P269" s="55" cm="1">
        <f t="array" ref="P269">(VLOOKUP($A269,'The List'!$B1:$AH671,28,FALSE)-AVERAGE('The List'!AC2:AC671))/STDEV('The List'!AC2:AC671)</f>
        <v>1.2975399409783424</v>
      </c>
      <c r="Q269" s="55" cm="1">
        <f t="array" ref="Q269">(VLOOKUP($A269,'The List'!$B1:$AH671,29,FALSE)-AVERAGE('The List'!AD2:AD671))/STDEV('The List'!AD2:AD671)</f>
        <v>0.48560623440692519</v>
      </c>
      <c r="R269" s="55" cm="1">
        <f t="array" ref="R269">(VLOOKUP($A269,'The List'!$B1:$AH671,30,FALSE)-AVERAGE('The List'!AE2:AE671))/STDEV('The List'!AE2:AE671)</f>
        <v>0.28067850085056284</v>
      </c>
      <c r="S269" s="55" cm="1">
        <f t="array" ref="S269">(VLOOKUP($A269,'The List'!$B1:$AH671,31,FALSE)-AVERAGE('The List'!AF2:AF671))/STDEV('The List'!AF2:AF671)</f>
        <v>-0.50710492113566652</v>
      </c>
      <c r="T269" s="55" cm="1">
        <f t="array" ref="T269">(VLOOKUP($A269,'The List'!$B1:$AH671,32,FALSE)-AVERAGE('The List'!AG2:AG671))/STDEV('The List'!AG2:AG671)</f>
        <v>-0.42525983522310251</v>
      </c>
      <c r="U269" s="55" cm="1">
        <f t="array" ref="U269">(VLOOKUP($A269,'The List'!$B1:$AH671,33,FALSE)-AVERAGE('The List'!AH2:AH671))/STDEV('The List'!AH2:AH671)</f>
        <v>0.1025406795536893</v>
      </c>
      <c r="V269" s="55"/>
      <c r="W269" s="78"/>
      <c r="X269" s="57"/>
      <c r="Y269" s="57"/>
      <c r="Z269" s="57"/>
      <c r="AA269" s="57"/>
      <c r="AB269" s="57"/>
      <c r="AC269" s="60"/>
      <c r="AD269" s="61"/>
      <c r="AE269" s="55"/>
    </row>
    <row r="270" spans="1:31" ht="21.25" customHeight="1" x14ac:dyDescent="0.15">
      <c r="A270" s="10" t="s">
        <v>629</v>
      </c>
      <c r="B270" s="18" t="str" cm="1">
        <f t="array" ref="B270">VLOOKUP(A270,'Player Data'!A1:B673,2,FALSE)</f>
        <v>VGK</v>
      </c>
      <c r="C270" s="52" cm="1">
        <f t="array" ref="C270">((E270)*Settings!$C$12)+(F270*Settings!$C$2)+(G270*Settings!$C$3)+(H270*Settings!$C$4)+(I270*Settings!$C$5)+(K270*Settings!$C$9)+(N270*Settings!$C$6)+(J270*Settings!$C$8)+(O270*Settings!$C$7)+(P270*Settings!$C$14)+(Q270*Settings!$C$15)+(R270*Settings!$C$16)+(S270*Settings!$C$17)+(T270*Settings!$C$18)+(U270*Settings!$C$19)+(L270*Settings!$C$10)+(Settings!$C$11*M270)</f>
        <v>-0.29557652909343679</v>
      </c>
      <c r="D270" s="57" cm="1">
        <f t="array" ref="D270">IF(Settings!$E$12="YES",VLOOKUP(A270,'Player Data'!A1:E673,5,FALSE),82)</f>
        <v>78.495000000000005</v>
      </c>
      <c r="E270" s="55" cm="1">
        <f t="array" ref="E270">(VLOOKUP($A270,'The List'!$B1:$AH671,17,FALSE)-AVERAGE('The List'!R2:R671))/STDEV('The List'!R2:R671)</f>
        <v>-0.36050899535283309</v>
      </c>
      <c r="F270" s="55" cm="1">
        <f t="array" ref="F270">(VLOOKUP($A270,'The List'!$B1:$AH671,18,FALSE)-AVERAGE('The List'!S2:S671))/STDEV('The List'!S2:S671)</f>
        <v>0.34769848160149847</v>
      </c>
      <c r="G270" s="55" cm="1">
        <f t="array" ref="G270">(VLOOKUP($A270,'The List'!$B1:$AH671,19,FALSE)-AVERAGE('The List'!T2:T671))/STDEV('The List'!T2:T671)</f>
        <v>-0.51228700969923946</v>
      </c>
      <c r="H270" s="55" cm="1">
        <f t="array" ref="H270">(VLOOKUP($A270,'The List'!$B1:$AH671,20,FALSE)-AVERAGE('The List'!U2:U671))/STDEV('The List'!U2:U671)</f>
        <v>-0.16795957242073453</v>
      </c>
      <c r="I270" s="55" cm="1">
        <f t="array" ref="I270">(VLOOKUP($A270,'The List'!$B1:$AH671,21,FALSE)-AVERAGE('The List'!V2:V671))/STDEV('The List'!V2:V671)</f>
        <v>-0.39160735408006497</v>
      </c>
      <c r="J270" s="55" cm="1">
        <f t="array" ref="J270">(VLOOKUP($A270,'The List'!$B1:$AH671,22,FALSE)-AVERAGE('The List'!W2:W671))/STDEV('The List'!W2:W671)</f>
        <v>-0.61230813903647641</v>
      </c>
      <c r="K270" s="55" cm="1">
        <f t="array" ref="K270">(VLOOKUP($A270,'The List'!$B1:$AH671,23,FALSE)-AVERAGE('The List'!X2:X671))/STDEV('The List'!X2:X671)</f>
        <v>-0.53913459589469259</v>
      </c>
      <c r="L270" s="55" cm="1">
        <f t="array" ref="L270">(VLOOKUP($A270,'The List'!$B1:$AH671,24,FALSE)-AVERAGE('The List'!Y2:Y671))/STDEV('The List'!Y2:Y671)</f>
        <v>0.51492240587824223</v>
      </c>
      <c r="M270" s="55" cm="1">
        <f t="array" ref="M270">(VLOOKUP($A270,'The List'!$B1:$AH671,25,FALSE)-AVERAGE('The List'!Z2:Z671))/STDEV('The List'!Z2:Z671)</f>
        <v>2.3679790597325674E-2</v>
      </c>
      <c r="N270" s="55" cm="1">
        <f t="array" ref="N270">(VLOOKUP($A270,'The List'!$B1:$AH671,26,FALSE)-AVERAGE('The List'!AA2:AA671))/STDEV('The List'!AA2:AA671)</f>
        <v>-0.6205282331518539</v>
      </c>
      <c r="O270" s="55" cm="1">
        <f t="array" ref="O270">(VLOOKUP($A270,'The List'!$B1:$AH671,27,FALSE)-AVERAGE('The List'!AB2:AB671))/STDEV('The List'!AB2:AB671)</f>
        <v>0.76437182708935647</v>
      </c>
      <c r="P270" s="55" cm="1">
        <f t="array" ref="P270">(VLOOKUP($A270,'The List'!$B1:$AH671,28,FALSE)-AVERAGE('The List'!AC2:AC671))/STDEV('The List'!AC2:AC671)</f>
        <v>0.54385006248930201</v>
      </c>
      <c r="Q270" s="55" cm="1">
        <f t="array" ref="Q270">(VLOOKUP($A270,'The List'!$B1:$AH671,29,FALSE)-AVERAGE('The List'!AD2:AD671))/STDEV('The List'!AD2:AD671)</f>
        <v>0.87643211964161372</v>
      </c>
      <c r="R270" s="55" cm="1">
        <f t="array" ref="R270">(VLOOKUP($A270,'The List'!$B1:$AH671,30,FALSE)-AVERAGE('The List'!AE2:AE671))/STDEV('The List'!AE2:AE671)</f>
        <v>0.71611737159301037</v>
      </c>
      <c r="S270" s="55" cm="1">
        <f t="array" ref="S270">(VLOOKUP($A270,'The List'!$B1:$AH671,31,FALSE)-AVERAGE('The List'!AF2:AF671))/STDEV('The List'!AF2:AF671)</f>
        <v>0.95288442105874571</v>
      </c>
      <c r="T270" s="55" cm="1">
        <f t="array" ref="T270">(VLOOKUP($A270,'The List'!$B1:$AH671,32,FALSE)-AVERAGE('The List'!AG2:AG671))/STDEV('The List'!AG2:AG671)</f>
        <v>0.99909244036154288</v>
      </c>
      <c r="U270" s="55" cm="1">
        <f t="array" ref="U270">(VLOOKUP($A270,'The List'!$B1:$AH671,33,FALSE)-AVERAGE('The List'!AH2:AH671))/STDEV('The List'!AH2:AH671)</f>
        <v>1.0450992013938949</v>
      </c>
      <c r="V270" s="55"/>
      <c r="W270" s="78"/>
      <c r="X270" s="57"/>
      <c r="Y270" s="57"/>
      <c r="Z270" s="57"/>
      <c r="AA270" s="57"/>
      <c r="AB270" s="57"/>
      <c r="AC270" s="60"/>
      <c r="AD270" s="61"/>
      <c r="AE270" s="55"/>
    </row>
    <row r="271" spans="1:31" ht="21.25" customHeight="1" x14ac:dyDescent="0.15">
      <c r="A271" s="10" t="s">
        <v>566</v>
      </c>
      <c r="B271" s="18" t="str" cm="1">
        <f t="array" ref="B271">VLOOKUP(A271,'Player Data'!A1:B673,2,FALSE)</f>
        <v>CAR</v>
      </c>
      <c r="C271" s="52" cm="1">
        <f t="array" ref="C271">((E271)*Settings!$C$12)+(F271*Settings!$C$2)+(G271*Settings!$C$3)+(H271*Settings!$C$4)+(I271*Settings!$C$5)+(K271*Settings!$C$9)+(N271*Settings!$C$6)+(J271*Settings!$C$8)+(O271*Settings!$C$7)+(P271*Settings!$C$14)+(Q271*Settings!$C$15)+(R271*Settings!$C$16)+(S271*Settings!$C$17)+(T271*Settings!$C$18)+(U271*Settings!$C$19)+(L271*Settings!$C$10)+(Settings!$C$11*M271)</f>
        <v>-0.59709182591293886</v>
      </c>
      <c r="D271" s="57" cm="1">
        <f t="array" ref="D271">IF(Settings!$E$12="YES",VLOOKUP(A271,'Player Data'!A1:E673,5,FALSE),82)</f>
        <v>81.625</v>
      </c>
      <c r="E271" s="55" cm="1">
        <f t="array" ref="E271">(VLOOKUP($A271,'The List'!$B1:$AH671,17,FALSE)-AVERAGE('The List'!R2:R671))/STDEV('The List'!R2:R671)</f>
        <v>-0.26972542103359959</v>
      </c>
      <c r="F271" s="55" cm="1">
        <f t="array" ref="F271">(VLOOKUP($A271,'The List'!$B1:$AH671,18,FALSE)-AVERAGE('The List'!S2:S671))/STDEV('The List'!S2:S671)</f>
        <v>0.18879067551920053</v>
      </c>
      <c r="G271" s="55" cm="1">
        <f t="array" ref="G271">(VLOOKUP($A271,'The List'!$B1:$AH671,19,FALSE)-AVERAGE('The List'!T2:T671))/STDEV('The List'!T2:T671)</f>
        <v>-0.30643882091923014</v>
      </c>
      <c r="H271" s="55" cm="1">
        <f t="array" ref="H271">(VLOOKUP($A271,'The List'!$B1:$AH671,20,FALSE)-AVERAGE('The List'!U2:U671))/STDEV('The List'!U2:U671)</f>
        <v>-0.10898608498709232</v>
      </c>
      <c r="I271" s="55" cm="1">
        <f t="array" ref="I271">(VLOOKUP($A271,'The List'!$B1:$AH671,21,FALSE)-AVERAGE('The List'!V2:V671))/STDEV('The List'!V2:V671)</f>
        <v>-0.21062309036875554</v>
      </c>
      <c r="J271" s="55" cm="1">
        <f t="array" ref="J271">(VLOOKUP($A271,'The List'!$B1:$AH671,22,FALSE)-AVERAGE('The List'!W2:W671))/STDEV('The List'!W2:W671)</f>
        <v>-0.43477219391933952</v>
      </c>
      <c r="K271" s="55" cm="1">
        <f t="array" ref="K271">(VLOOKUP($A271,'The List'!$B1:$AH671,23,FALSE)-AVERAGE('The List'!X2:X671))/STDEV('The List'!X2:X671)</f>
        <v>-0.67229108350635136</v>
      </c>
      <c r="L271" s="55" cm="1">
        <f t="array" ref="L271">(VLOOKUP($A271,'The List'!$B1:$AH671,24,FALSE)-AVERAGE('The List'!Y2:Y671))/STDEV('The List'!Y2:Y671)</f>
        <v>1.0075370656717726</v>
      </c>
      <c r="M271" s="55" cm="1">
        <f t="array" ref="M271">(VLOOKUP($A271,'The List'!$B1:$AH671,25,FALSE)-AVERAGE('The List'!Z2:Z671))/STDEV('The List'!Z2:Z671)</f>
        <v>1.2439364835012889</v>
      </c>
      <c r="N271" s="55" cm="1">
        <f t="array" ref="N271">(VLOOKUP($A271,'The List'!$B1:$AH671,26,FALSE)-AVERAGE('The List'!AA2:AA671))/STDEV('The List'!AA2:AA671)</f>
        <v>-0.35133299900818976</v>
      </c>
      <c r="O271" s="55" cm="1">
        <f t="array" ref="O271">(VLOOKUP($A271,'The List'!$B1:$AH671,27,FALSE)-AVERAGE('The List'!AB2:AB671))/STDEV('The List'!AB2:AB671)</f>
        <v>1.4906285988244696</v>
      </c>
      <c r="P271" s="55" cm="1">
        <f t="array" ref="P271">(VLOOKUP($A271,'The List'!$B1:$AH671,28,FALSE)-AVERAGE('The List'!AC2:AC671))/STDEV('The List'!AC2:AC671)</f>
        <v>1.1274180123084399</v>
      </c>
      <c r="Q271" s="55" cm="1">
        <f t="array" ref="Q271">(VLOOKUP($A271,'The List'!$B1:$AH671,29,FALSE)-AVERAGE('The List'!AD2:AD671))/STDEV('The List'!AD2:AD671)</f>
        <v>-0.3726145199380525</v>
      </c>
      <c r="R271" s="55" cm="1">
        <f t="array" ref="R271">(VLOOKUP($A271,'The List'!$B1:$AH671,30,FALSE)-AVERAGE('The List'!AE2:AE671))/STDEV('The List'!AE2:AE671)</f>
        <v>0.34094556517709618</v>
      </c>
      <c r="S271" s="55" cm="1">
        <f t="array" ref="S271">(VLOOKUP($A271,'The List'!$B1:$AH671,31,FALSE)-AVERAGE('The List'!AF2:AF671))/STDEV('The List'!AF2:AF671)</f>
        <v>3.5634080734195508</v>
      </c>
      <c r="T271" s="55" cm="1">
        <f t="array" ref="T271">(VLOOKUP($A271,'The List'!$B1:$AH671,32,FALSE)-AVERAGE('The List'!AG2:AG671))/STDEV('The List'!AG2:AG671)</f>
        <v>2.858208643060665</v>
      </c>
      <c r="U271" s="55" cm="1">
        <f t="array" ref="U271">(VLOOKUP($A271,'The List'!$B1:$AH671,33,FALSE)-AVERAGE('The List'!AH2:AH671))/STDEV('The List'!AH2:AH671)</f>
        <v>1.3110771308697291</v>
      </c>
      <c r="V271" s="55"/>
      <c r="W271" s="78"/>
      <c r="X271" s="57"/>
      <c r="Y271" s="57"/>
      <c r="Z271" s="57"/>
      <c r="AA271" s="57"/>
      <c r="AB271" s="57"/>
      <c r="AC271" s="60"/>
      <c r="AD271" s="61"/>
      <c r="AE271" s="55"/>
    </row>
    <row r="272" spans="1:31" ht="21.25" customHeight="1" x14ac:dyDescent="0.15">
      <c r="A272" s="10" t="s">
        <v>576</v>
      </c>
      <c r="B272" s="18" t="str" cm="1">
        <f t="array" ref="B272">VLOOKUP(A272,'Player Data'!A1:B673,2,FALSE)</f>
        <v>CBJ</v>
      </c>
      <c r="C272" s="52" cm="1">
        <f t="array" ref="C272">((E272)*Settings!$C$12)+(F272*Settings!$C$2)+(G272*Settings!$C$3)+(H272*Settings!$C$4)+(I272*Settings!$C$5)+(K272*Settings!$C$9)+(N272*Settings!$C$6)+(J272*Settings!$C$8)+(O272*Settings!$C$7)+(P272*Settings!$C$14)+(Q272*Settings!$C$15)+(R272*Settings!$C$16)+(S272*Settings!$C$17)+(T272*Settings!$C$18)+(U272*Settings!$C$19)+(L272*Settings!$C$10)+(Settings!$C$11*M272)</f>
        <v>-1.4752565533148718</v>
      </c>
      <c r="D272" s="57" cm="1">
        <f t="array" ref="D272">IF(Settings!$E$12="YES",VLOOKUP(A272,'Player Data'!A1:E673,5,FALSE),82)</f>
        <v>81.152500000000003</v>
      </c>
      <c r="E272" s="55" cm="1">
        <f t="array" ref="E272">(VLOOKUP($A272,'The List'!$B1:$AH671,17,FALSE)-AVERAGE('The List'!R2:R671))/STDEV('The List'!R2:R671)</f>
        <v>-0.6000851917979334</v>
      </c>
      <c r="F272" s="55" cm="1">
        <f t="array" ref="F272">(VLOOKUP($A272,'The List'!$B1:$AH671,18,FALSE)-AVERAGE('The List'!S2:S671))/STDEV('The List'!S2:S671)</f>
        <v>-0.27962301867270112</v>
      </c>
      <c r="G272" s="55" cm="1">
        <f t="array" ref="G272">(VLOOKUP($A272,'The List'!$B1:$AH671,19,FALSE)-AVERAGE('The List'!T2:T671))/STDEV('The List'!T2:T671)</f>
        <v>4.0138663300172068E-3</v>
      </c>
      <c r="H272" s="55" cm="1">
        <f t="array" ref="H272">(VLOOKUP($A272,'The List'!$B1:$AH671,20,FALSE)-AVERAGE('The List'!U2:U671))/STDEV('The List'!U2:U671)</f>
        <v>-0.1215379499212202</v>
      </c>
      <c r="I272" s="55" cm="1">
        <f t="array" ref="I272">(VLOOKUP($A272,'The List'!$B1:$AH671,21,FALSE)-AVERAGE('The List'!V2:V671))/STDEV('The List'!V2:V671)</f>
        <v>0.12784995676695701</v>
      </c>
      <c r="J272" s="55" cm="1">
        <f t="array" ref="J272">(VLOOKUP($A272,'The List'!$B1:$AH671,22,FALSE)-AVERAGE('The List'!W2:W671))/STDEV('The List'!W2:W671)</f>
        <v>-0.63890884634338929</v>
      </c>
      <c r="K272" s="55" cm="1">
        <f t="array" ref="K272">(VLOOKUP($A272,'The List'!$B1:$AH671,23,FALSE)-AVERAGE('The List'!X2:X671))/STDEV('The List'!X2:X671)</f>
        <v>-0.72673540923114832</v>
      </c>
      <c r="L272" s="55" cm="1">
        <f t="array" ref="L272">(VLOOKUP($A272,'The List'!$B1:$AH671,24,FALSE)-AVERAGE('The List'!Y2:Y671))/STDEV('The List'!Y2:Y671)</f>
        <v>3.6135495308245343E-2</v>
      </c>
      <c r="M272" s="55" cm="1">
        <f t="array" ref="M272">(VLOOKUP($A272,'The List'!$B1:$AH671,25,FALSE)-AVERAGE('The List'!Z2:Z671))/STDEV('The List'!Z2:Z671)</f>
        <v>0.12453764511070776</v>
      </c>
      <c r="N272" s="55" cm="1">
        <f t="array" ref="N272">(VLOOKUP($A272,'The List'!$B1:$AH671,26,FALSE)-AVERAGE('The List'!AA2:AA671))/STDEV('The List'!AA2:AA671)</f>
        <v>-0.51601883305311946</v>
      </c>
      <c r="O272" s="55" cm="1">
        <f t="array" ref="O272">(VLOOKUP($A272,'The List'!$B1:$AH671,27,FALSE)-AVERAGE('The List'!AB2:AB671))/STDEV('The List'!AB2:AB671)</f>
        <v>0.25668436121372701</v>
      </c>
      <c r="P272" s="55" cm="1">
        <f t="array" ref="P272">(VLOOKUP($A272,'The List'!$B1:$AH671,28,FALSE)-AVERAGE('The List'!AC2:AC671))/STDEV('The List'!AC2:AC671)</f>
        <v>-0.17252128495773611</v>
      </c>
      <c r="Q272" s="55" cm="1">
        <f t="array" ref="Q272">(VLOOKUP($A272,'The List'!$B1:$AH671,29,FALSE)-AVERAGE('The List'!AD2:AD671))/STDEV('The List'!AD2:AD671)</f>
        <v>8.7778169502859216E-2</v>
      </c>
      <c r="R272" s="55" cm="1">
        <f t="array" ref="R272">(VLOOKUP($A272,'The List'!$B1:$AH671,30,FALSE)-AVERAGE('The List'!AE2:AE671))/STDEV('The List'!AE2:AE671)</f>
        <v>-0.23392349454582309</v>
      </c>
      <c r="S272" s="55" cm="1">
        <f t="array" ref="S272">(VLOOKUP($A272,'The List'!$B1:$AH671,31,FALSE)-AVERAGE('The List'!AF2:AF671))/STDEV('The List'!AF2:AF671)</f>
        <v>5.5820369410670805E-2</v>
      </c>
      <c r="T272" s="55" cm="1">
        <f t="array" ref="T272">(VLOOKUP($A272,'The List'!$B1:$AH671,32,FALSE)-AVERAGE('The List'!AG2:AG671))/STDEV('The List'!AG2:AG671)</f>
        <v>0.22756967412496576</v>
      </c>
      <c r="U272" s="55" cm="1">
        <f t="array" ref="U272">(VLOOKUP($A272,'The List'!$B1:$AH671,33,FALSE)-AVERAGE('The List'!AH2:AH671))/STDEV('The List'!AH2:AH671)</f>
        <v>0.7769515728838885</v>
      </c>
      <c r="V272" s="55"/>
      <c r="W272" s="57"/>
      <c r="X272" s="55"/>
      <c r="Y272" s="55"/>
      <c r="Z272" s="55"/>
      <c r="AA272" s="55"/>
      <c r="AB272" s="55"/>
      <c r="AC272" s="55"/>
      <c r="AD272" s="55"/>
      <c r="AE272" s="55"/>
    </row>
    <row r="273" spans="1:31" ht="21.25" customHeight="1" x14ac:dyDescent="0.15">
      <c r="A273" s="10" t="s">
        <v>535</v>
      </c>
      <c r="B273" s="18" t="str" cm="1">
        <f t="array" ref="B273">VLOOKUP(A273,'Player Data'!A1:B673,2,FALSE)</f>
        <v>ANA</v>
      </c>
      <c r="C273" s="52" cm="1">
        <f t="array" ref="C273">((E273)*Settings!$C$12)+(F273*Settings!$C$2)+(G273*Settings!$C$3)+(H273*Settings!$C$4)+(I273*Settings!$C$5)+(K273*Settings!$C$9)+(N273*Settings!$C$6)+(J273*Settings!$C$8)+(O273*Settings!$C$7)+(P273*Settings!$C$14)+(Q273*Settings!$C$15)+(R273*Settings!$C$16)+(S273*Settings!$C$17)+(T273*Settings!$C$18)+(U273*Settings!$C$19)+(L273*Settings!$C$10)+(Settings!$C$11*M273)</f>
        <v>-2.8040369897370372</v>
      </c>
      <c r="D273" s="57" cm="1">
        <f t="array" ref="D273">IF(Settings!$E$12="YES",VLOOKUP(A273,'Player Data'!A1:E673,5,FALSE),82)</f>
        <v>80.362499999999997</v>
      </c>
      <c r="E273" s="55" cm="1">
        <f t="array" ref="E273">(VLOOKUP($A273,'The List'!$B1:$AH671,17,FALSE)-AVERAGE('The List'!R2:R671))/STDEV('The List'!R2:R671)</f>
        <v>-0.53434062398501969</v>
      </c>
      <c r="F273" s="55" cm="1">
        <f t="array" ref="F273">(VLOOKUP($A273,'The List'!$B1:$AH671,18,FALSE)-AVERAGE('The List'!S2:S671))/STDEV('The List'!S2:S671)</f>
        <v>-0.19176792982123803</v>
      </c>
      <c r="G273" s="55" cm="1">
        <f t="array" ref="G273">(VLOOKUP($A273,'The List'!$B1:$AH671,19,FALSE)-AVERAGE('The List'!T2:T671))/STDEV('The List'!T2:T671)</f>
        <v>-9.1331028693556623E-2</v>
      </c>
      <c r="H273" s="55" cm="1">
        <f t="array" ref="H273">(VLOOKUP($A273,'The List'!$B1:$AH671,20,FALSE)-AVERAGE('The List'!U2:U671))/STDEV('The List'!U2:U671)</f>
        <v>-0.14252999385125176</v>
      </c>
      <c r="I273" s="55" cm="1">
        <f t="array" ref="I273">(VLOOKUP($A273,'The List'!$B1:$AH671,21,FALSE)-AVERAGE('The List'!V2:V671))/STDEV('The List'!V2:V671)</f>
        <v>-0.45068366226544376</v>
      </c>
      <c r="J273" s="55" cm="1">
        <f t="array" ref="J273">(VLOOKUP($A273,'The List'!$B1:$AH671,22,FALSE)-AVERAGE('The List'!W2:W671))/STDEV('The List'!W2:W671)</f>
        <v>-0.72823000824952533</v>
      </c>
      <c r="K273" s="55" cm="1">
        <f t="array" ref="K273">(VLOOKUP($A273,'The List'!$B1:$AH671,23,FALSE)-AVERAGE('The List'!X2:X671))/STDEV('The List'!X2:X671)</f>
        <v>-0.79697911176095804</v>
      </c>
      <c r="L273" s="55" cm="1">
        <f t="array" ref="L273">(VLOOKUP($A273,'The List'!$B1:$AH671,24,FALSE)-AVERAGE('The List'!Y2:Y671))/STDEV('The List'!Y2:Y671)</f>
        <v>3.1557590294143938</v>
      </c>
      <c r="M273" s="55" cm="1">
        <f t="array" ref="M273">(VLOOKUP($A273,'The List'!$B1:$AH671,25,FALSE)-AVERAGE('The List'!Z2:Z671))/STDEV('The List'!Z2:Z671)</f>
        <v>3.7214528729072787</v>
      </c>
      <c r="N273" s="55" cm="1">
        <f t="array" ref="N273">(VLOOKUP($A273,'The List'!$B1:$AH671,26,FALSE)-AVERAGE('The List'!AA2:AA671))/STDEV('The List'!AA2:AA671)</f>
        <v>0.6791703014852557</v>
      </c>
      <c r="O273" s="55" cm="1">
        <f t="array" ref="O273">(VLOOKUP($A273,'The List'!$B1:$AH671,27,FALSE)-AVERAGE('The List'!AB2:AB671))/STDEV('The List'!AB2:AB671)</f>
        <v>-0.74718313562610439</v>
      </c>
      <c r="P273" s="55" cm="1">
        <f t="array" ref="P273">(VLOOKUP($A273,'The List'!$B1:$AH671,28,FALSE)-AVERAGE('The List'!AC2:AC671))/STDEV('The List'!AC2:AC671)</f>
        <v>-0.8008734867294478</v>
      </c>
      <c r="Q273" s="55" cm="1">
        <f t="array" ref="Q273">(VLOOKUP($A273,'The List'!$B1:$AH671,29,FALSE)-AVERAGE('The List'!AD2:AD671))/STDEV('The List'!AD2:AD671)</f>
        <v>-1.1515720719516487</v>
      </c>
      <c r="R273" s="55" cm="1">
        <f t="array" ref="R273">(VLOOKUP($A273,'The List'!$B1:$AH671,30,FALSE)-AVERAGE('The List'!AE2:AE671))/STDEV('The List'!AE2:AE671)</f>
        <v>-0.25633429299699761</v>
      </c>
      <c r="S273" s="55" cm="1">
        <f t="array" ref="S273">(VLOOKUP($A273,'The List'!$B1:$AH671,31,FALSE)-AVERAGE('The List'!AF2:AF671))/STDEV('The List'!AF2:AF671)</f>
        <v>1.862381659200689</v>
      </c>
      <c r="T273" s="55" cm="1">
        <f t="array" ref="T273">(VLOOKUP($A273,'The List'!$B1:$AH671,32,FALSE)-AVERAGE('The List'!AG2:AG671))/STDEV('The List'!AG2:AG671)</f>
        <v>2.0304813045608392</v>
      </c>
      <c r="U273" s="55" cm="1">
        <f t="array" ref="U273">(VLOOKUP($A273,'The List'!$B1:$AH671,33,FALSE)-AVERAGE('The List'!AH2:AH671))/STDEV('The List'!AH2:AH671)</f>
        <v>1.017234703072718</v>
      </c>
      <c r="V273" s="55"/>
      <c r="W273" s="78"/>
      <c r="X273" s="57"/>
      <c r="Y273" s="57"/>
      <c r="Z273" s="57"/>
      <c r="AA273" s="57"/>
      <c r="AB273" s="57"/>
      <c r="AC273" s="60"/>
      <c r="AD273" s="61"/>
      <c r="AE273" s="55"/>
    </row>
    <row r="274" spans="1:31" ht="21.25" customHeight="1" x14ac:dyDescent="0.15">
      <c r="A274" s="10" t="s">
        <v>478</v>
      </c>
      <c r="B274" s="18" t="str" cm="1">
        <f t="array" ref="B274">VLOOKUP(A274,'Player Data'!A1:B673,2,FALSE)</f>
        <v>CGY</v>
      </c>
      <c r="C274" s="52" cm="1">
        <f t="array" ref="C274">((E274)*Settings!$C$12)+(F274*Settings!$C$2)+(G274*Settings!$C$3)+(H274*Settings!$C$4)+(I274*Settings!$C$5)+(K274*Settings!$C$9)+(N274*Settings!$C$6)+(J274*Settings!$C$8)+(O274*Settings!$C$7)+(P274*Settings!$C$14)+(Q274*Settings!$C$15)+(R274*Settings!$C$16)+(S274*Settings!$C$17)+(T274*Settings!$C$18)+(U274*Settings!$C$19)+(L274*Settings!$C$10)+(Settings!$C$11*M274)</f>
        <v>-2.5414568001263587</v>
      </c>
      <c r="D274" s="57" cm="1">
        <f t="array" ref="D274">IF(Settings!$E$12="YES",VLOOKUP(A274,'Player Data'!A1:E673,5,FALSE),82)</f>
        <v>83.204999999999998</v>
      </c>
      <c r="E274" s="55" cm="1">
        <f t="array" ref="E274">(VLOOKUP($A274,'The List'!$B1:$AH671,17,FALSE)-AVERAGE('The List'!R2:R671))/STDEV('The List'!R2:R671)</f>
        <v>0.36851155119781598</v>
      </c>
      <c r="F274" s="55" cm="1">
        <f t="array" ref="F274">(VLOOKUP($A274,'The List'!$B1:$AH671,18,FALSE)-AVERAGE('The List'!S2:S671))/STDEV('The List'!S2:S671)</f>
        <v>6.6882810283554958E-2</v>
      </c>
      <c r="G274" s="55" cm="1">
        <f t="array" ref="G274">(VLOOKUP($A274,'The List'!$B1:$AH671,19,FALSE)-AVERAGE('The List'!T2:T671))/STDEV('The List'!T2:T671)</f>
        <v>-0.19059862782887549</v>
      </c>
      <c r="H274" s="55" cm="1">
        <f t="array" ref="H274">(VLOOKUP($A274,'The List'!$B1:$AH671,20,FALSE)-AVERAGE('The List'!U2:U671))/STDEV('The List'!U2:U671)</f>
        <v>-9.0211082873552853E-2</v>
      </c>
      <c r="I274" s="55" cm="1">
        <f t="array" ref="I274">(VLOOKUP($A274,'The List'!$B1:$AH671,21,FALSE)-AVERAGE('The List'!V2:V671))/STDEV('The List'!V2:V671)</f>
        <v>1.0000280027923787</v>
      </c>
      <c r="J274" s="55" cm="1">
        <f t="array" ref="J274">(VLOOKUP($A274,'The List'!$B1:$AH671,22,FALSE)-AVERAGE('The List'!W2:W671))/STDEV('The List'!W2:W671)</f>
        <v>-0.46856019949687794</v>
      </c>
      <c r="K274" s="55" cm="1">
        <f t="array" ref="K274">(VLOOKUP($A274,'The List'!$B1:$AH671,23,FALSE)-AVERAGE('The List'!X2:X671))/STDEV('The List'!X2:X671)</f>
        <v>-0.49265318046659851</v>
      </c>
      <c r="L274" s="55" cm="1">
        <f t="array" ref="L274">(VLOOKUP($A274,'The List'!$B1:$AH671,24,FALSE)-AVERAGE('The List'!Y2:Y671))/STDEV('The List'!Y2:Y671)</f>
        <v>0.79315552457120342</v>
      </c>
      <c r="M274" s="55" cm="1">
        <f t="array" ref="M274">(VLOOKUP($A274,'The List'!$B1:$AH671,25,FALSE)-AVERAGE('The List'!Z2:Z671))/STDEV('The List'!Z2:Z671)</f>
        <v>2.5752957561141514</v>
      </c>
      <c r="N274" s="55" cm="1">
        <f t="array" ref="N274">(VLOOKUP($A274,'The List'!$B1:$AH671,26,FALSE)-AVERAGE('The List'!AA2:AA671))/STDEV('The List'!AA2:AA671)</f>
        <v>-0.66430813512594067</v>
      </c>
      <c r="O274" s="55" cm="1">
        <f t="array" ref="O274">(VLOOKUP($A274,'The List'!$B1:$AH671,27,FALSE)-AVERAGE('The List'!AB2:AB671))/STDEV('The List'!AB2:AB671)</f>
        <v>-0.97303812212424812</v>
      </c>
      <c r="P274" s="55" cm="1">
        <f t="array" ref="P274">(VLOOKUP($A274,'The List'!$B1:$AH671,28,FALSE)-AVERAGE('The List'!AC2:AC671))/STDEV('The List'!AC2:AC671)</f>
        <v>-1.805704226424832</v>
      </c>
      <c r="Q274" s="55" cm="1">
        <f t="array" ref="Q274">(VLOOKUP($A274,'The List'!$B1:$AH671,29,FALSE)-AVERAGE('The List'!AD2:AD671))/STDEV('The List'!AD2:AD671)</f>
        <v>-0.45510344335604558</v>
      </c>
      <c r="R274" s="55" cm="1">
        <f t="array" ref="R274">(VLOOKUP($A274,'The List'!$B1:$AH671,30,FALSE)-AVERAGE('The List'!AE2:AE671))/STDEV('The List'!AE2:AE671)</f>
        <v>-4.1061251020421893E-2</v>
      </c>
      <c r="S274" s="55" cm="1">
        <f t="array" ref="S274">(VLOOKUP($A274,'The List'!$B1:$AH671,31,FALSE)-AVERAGE('The List'!AF2:AF671))/STDEV('The List'!AF2:AF671)</f>
        <v>2.9332750081047654</v>
      </c>
      <c r="T274" s="55" cm="1">
        <f t="array" ref="T274">(VLOOKUP($A274,'The List'!$B1:$AH671,32,FALSE)-AVERAGE('The List'!AG2:AG671))/STDEV('The List'!AG2:AG671)</f>
        <v>3.1759207070690327</v>
      </c>
      <c r="U274" s="55" cm="1">
        <f t="array" ref="U274">(VLOOKUP($A274,'The List'!$B1:$AH671,33,FALSE)-AVERAGE('The List'!AH2:AH671))/STDEV('The List'!AH2:AH671)</f>
        <v>1.0236609885018542</v>
      </c>
      <c r="V274" s="55"/>
      <c r="W274" s="57"/>
      <c r="X274" s="55"/>
      <c r="Y274" s="55"/>
      <c r="Z274" s="55"/>
      <c r="AA274" s="55"/>
      <c r="AB274" s="55"/>
      <c r="AC274" s="55"/>
      <c r="AD274" s="55"/>
      <c r="AE274" s="55"/>
    </row>
    <row r="275" spans="1:31" ht="21.25" customHeight="1" x14ac:dyDescent="0.15">
      <c r="A275" s="10" t="s">
        <v>244</v>
      </c>
      <c r="B275" s="18" t="str" cm="1">
        <f t="array" ref="B275">VLOOKUP(A275,'Player Data'!A1:B673,2,FALSE)</f>
        <v>SEA</v>
      </c>
      <c r="C275" s="52" cm="1">
        <f t="array" ref="C275">((E275)*Settings!$C$12)+(F275*Settings!$C$2)+(G275*Settings!$C$3)+(H275*Settings!$C$4)+(I275*Settings!$C$5)+(K275*Settings!$C$9)+(N275*Settings!$C$6)+(J275*Settings!$C$8)+(O275*Settings!$C$7)+(P275*Settings!$C$14)+(Q275*Settings!$C$15)+(R275*Settings!$C$16)+(S275*Settings!$C$17)+(T275*Settings!$C$18)+(U275*Settings!$C$19)+(L275*Settings!$C$10)+(Settings!$C$11*M275)</f>
        <v>1.3475538442110544</v>
      </c>
      <c r="D275" s="57" cm="1">
        <f t="array" ref="D275">IF(Settings!$E$12="YES",VLOOKUP(A275,'Player Data'!A1:E673,5,FALSE),82)</f>
        <v>79.097499999999997</v>
      </c>
      <c r="E275" s="55" cm="1">
        <f t="array" ref="E275">(VLOOKUP($A275,'The List'!$B1:$AH671,17,FALSE)-AVERAGE('The List'!R2:R671))/STDEV('The List'!R2:R671)</f>
        <v>1.4977776233269384</v>
      </c>
      <c r="F275" s="55" cm="1">
        <f t="array" ref="F275">(VLOOKUP($A275,'The List'!$B1:$AH671,18,FALSE)-AVERAGE('The List'!S2:S671))/STDEV('The List'!S2:S671)</f>
        <v>-0.30575438759236107</v>
      </c>
      <c r="G275" s="55" cm="1">
        <f t="array" ref="G275">(VLOOKUP($A275,'The List'!$B1:$AH671,19,FALSE)-AVERAGE('The List'!T2:T671))/STDEV('The List'!T2:T671)</f>
        <v>-5.5561071164460997E-2</v>
      </c>
      <c r="H275" s="55" cm="1">
        <f t="array" ref="H275">(VLOOKUP($A275,'The List'!$B1:$AH671,20,FALSE)-AVERAGE('The List'!U2:U671))/STDEV('The List'!U2:U671)</f>
        <v>-0.17060419109829439</v>
      </c>
      <c r="I275" s="55" cm="1">
        <f t="array" ref="I275">(VLOOKUP($A275,'The List'!$B1:$AH671,21,FALSE)-AVERAGE('The List'!V2:V671))/STDEV('The List'!V2:V671)</f>
        <v>1.259899302823019</v>
      </c>
      <c r="J275" s="55" cm="1">
        <f t="array" ref="J275">(VLOOKUP($A275,'The List'!$B1:$AH671,22,FALSE)-AVERAGE('The List'!W2:W671))/STDEV('The List'!W2:W671)</f>
        <v>-0.24810499505196482</v>
      </c>
      <c r="K275" s="55" cm="1">
        <f t="array" ref="K275">(VLOOKUP($A275,'The List'!$B1:$AH671,23,FALSE)-AVERAGE('The List'!X2:X671))/STDEV('The List'!X2:X671)</f>
        <v>-4.3087491315877144E-3</v>
      </c>
      <c r="L275" s="55" cm="1">
        <f t="array" ref="L275">(VLOOKUP($A275,'The List'!$B1:$AH671,24,FALSE)-AVERAGE('The List'!Y2:Y671))/STDEV('The List'!Y2:Y671)</f>
        <v>-0.5398889363816638</v>
      </c>
      <c r="M275" s="55" cm="1">
        <f t="array" ref="M275">(VLOOKUP($A275,'The List'!$B1:$AH671,25,FALSE)-AVERAGE('The List'!Z2:Z671))/STDEV('The List'!Z2:Z671)</f>
        <v>-0.65098808845495559</v>
      </c>
      <c r="N275" s="55" cm="1">
        <f t="array" ref="N275">(VLOOKUP($A275,'The List'!$B1:$AH671,26,FALSE)-AVERAGE('The List'!AA2:AA671))/STDEV('The List'!AA2:AA671)</f>
        <v>0.91493244019182651</v>
      </c>
      <c r="O275" s="55" cm="1">
        <f t="array" ref="O275">(VLOOKUP($A275,'The List'!$B1:$AH671,27,FALSE)-AVERAGE('The List'!AB2:AB671))/STDEV('The List'!AB2:AB671)</f>
        <v>-3.7128018670170966E-2</v>
      </c>
      <c r="P275" s="55" cm="1">
        <f t="array" ref="P275">(VLOOKUP($A275,'The List'!$B1:$AH671,28,FALSE)-AVERAGE('The List'!AC2:AC671))/STDEV('The List'!AC2:AC671)</f>
        <v>-1.9974713532762436</v>
      </c>
      <c r="Q275" s="55" cm="1">
        <f t="array" ref="Q275">(VLOOKUP($A275,'The List'!$B1:$AH671,29,FALSE)-AVERAGE('The List'!AD2:AD671))/STDEV('The List'!AD2:AD671)</f>
        <v>1.5358176623608624</v>
      </c>
      <c r="R275" s="55" cm="1">
        <f t="array" ref="R275">(VLOOKUP($A275,'The List'!$B1:$AH671,30,FALSE)-AVERAGE('The List'!AE2:AE671))/STDEV('The List'!AE2:AE671)</f>
        <v>-0.41580850332212116</v>
      </c>
      <c r="S275" s="55" cm="1">
        <f t="array" ref="S275">(VLOOKUP($A275,'The List'!$B1:$AH671,31,FALSE)-AVERAGE('The List'!AF2:AF671))/STDEV('The List'!AF2:AF671)</f>
        <v>-0.5939690971349143</v>
      </c>
      <c r="T275" s="55" cm="1">
        <f t="array" ref="T275">(VLOOKUP($A275,'The List'!$B1:$AH671,32,FALSE)-AVERAGE('The List'!AG2:AG671))/STDEV('The List'!AG2:AG671)</f>
        <v>-0.64602208138248207</v>
      </c>
      <c r="U275" s="55" cm="1">
        <f t="array" ref="U275">(VLOOKUP($A275,'The List'!$B1:$AH671,33,FALSE)-AVERAGE('The List'!AH2:AH671))/STDEV('The List'!AH2:AH671)</f>
        <v>-1.2548938914719048</v>
      </c>
      <c r="V275" s="55"/>
      <c r="W275" s="78"/>
      <c r="X275" s="57"/>
      <c r="Y275" s="57"/>
      <c r="Z275" s="57"/>
      <c r="AA275" s="57"/>
      <c r="AB275" s="57"/>
      <c r="AC275" s="60"/>
      <c r="AD275" s="61"/>
      <c r="AE275" s="55"/>
    </row>
    <row r="276" spans="1:31" ht="21.25" customHeight="1" x14ac:dyDescent="0.15">
      <c r="A276" s="10" t="s">
        <v>587</v>
      </c>
      <c r="B276" s="18" t="str" cm="1">
        <f t="array" ref="B276">VLOOKUP(A276,'Player Data'!A1:B673,2,FALSE)</f>
        <v>PIT</v>
      </c>
      <c r="C276" s="52" cm="1">
        <f t="array" ref="C276">((E276)*Settings!$C$12)+(F276*Settings!$C$2)+(G276*Settings!$C$3)+(H276*Settings!$C$4)+(I276*Settings!$C$5)+(K276*Settings!$C$9)+(N276*Settings!$C$6)+(J276*Settings!$C$8)+(O276*Settings!$C$7)+(P276*Settings!$C$14)+(Q276*Settings!$C$15)+(R276*Settings!$C$16)+(S276*Settings!$C$17)+(T276*Settings!$C$18)+(U276*Settings!$C$19)+(L276*Settings!$C$10)+(Settings!$C$11*M276)</f>
        <v>-2.6371079542828602</v>
      </c>
      <c r="D276" s="57" cm="1">
        <f t="array" ref="D276">IF(Settings!$E$12="YES",VLOOKUP(A276,'Player Data'!A1:E673,5,FALSE),82)</f>
        <v>78.932500000000005</v>
      </c>
      <c r="E276" s="55" cm="1">
        <f t="array" ref="E276">(VLOOKUP($A276,'The List'!$B1:$AH671,17,FALSE)-AVERAGE('The List'!R2:R671))/STDEV('The List'!R2:R671)</f>
        <v>-0.94568440570288148</v>
      </c>
      <c r="F276" s="55" cm="1">
        <f t="array" ref="F276">(VLOOKUP($A276,'The List'!$B1:$AH671,18,FALSE)-AVERAGE('The List'!S2:S671))/STDEV('The List'!S2:S671)</f>
        <v>0.36567294175111015</v>
      </c>
      <c r="G276" s="55" cm="1">
        <f t="array" ref="G276">(VLOOKUP($A276,'The List'!$B1:$AH671,19,FALSE)-AVERAGE('The List'!T2:T671))/STDEV('The List'!T2:T671)</f>
        <v>-0.54737426175029369</v>
      </c>
      <c r="H276" s="55" cm="1">
        <f t="array" ref="H276">(VLOOKUP($A276,'The List'!$B1:$AH671,20,FALSE)-AVERAGE('The List'!U2:U671))/STDEV('The List'!U2:U671)</f>
        <v>-0.18205439179662145</v>
      </c>
      <c r="I276" s="55" cm="1">
        <f t="array" ref="I276">(VLOOKUP($A276,'The List'!$B1:$AH671,21,FALSE)-AVERAGE('The List'!V2:V671))/STDEV('The List'!V2:V671)</f>
        <v>0.13899762339424027</v>
      </c>
      <c r="J276" s="55" cm="1">
        <f t="array" ref="J276">(VLOOKUP($A276,'The List'!$B1:$AH671,22,FALSE)-AVERAGE('The List'!W2:W671))/STDEV('The List'!W2:W671)</f>
        <v>-0.14577312077221283</v>
      </c>
      <c r="K276" s="55" cm="1">
        <f t="array" ref="K276">(VLOOKUP($A276,'The List'!$B1:$AH671,23,FALSE)-AVERAGE('The List'!X2:X671))/STDEV('The List'!X2:X671)</f>
        <v>-0.3782695279734562</v>
      </c>
      <c r="L276" s="55" cm="1">
        <f t="array" ref="L276">(VLOOKUP($A276,'The List'!$B1:$AH671,24,FALSE)-AVERAGE('The List'!Y2:Y671))/STDEV('The List'!Y2:Y671)</f>
        <v>-0.49494755180344052</v>
      </c>
      <c r="M276" s="55" cm="1">
        <f t="array" ref="M276">(VLOOKUP($A276,'The List'!$B1:$AH671,25,FALSE)-AVERAGE('The List'!Z2:Z671))/STDEV('The List'!Z2:Z671)</f>
        <v>-0.63780337756093342</v>
      </c>
      <c r="N276" s="55" cm="1">
        <f t="array" ref="N276">(VLOOKUP($A276,'The List'!$B1:$AH671,26,FALSE)-AVERAGE('The List'!AA2:AA671))/STDEV('The List'!AA2:AA671)</f>
        <v>-0.64823767875216232</v>
      </c>
      <c r="O276" s="55" cm="1">
        <f t="array" ref="O276">(VLOOKUP($A276,'The List'!$B1:$AH671,27,FALSE)-AVERAGE('The List'!AB2:AB671))/STDEV('The List'!AB2:AB671)</f>
        <v>-5.5368409672390657E-2</v>
      </c>
      <c r="P276" s="55" cm="1">
        <f t="array" ref="P276">(VLOOKUP($A276,'The List'!$B1:$AH671,28,FALSE)-AVERAGE('The List'!AC2:AC671))/STDEV('The List'!AC2:AC671)</f>
        <v>-0.38516451160062926</v>
      </c>
      <c r="Q276" s="55" cm="1">
        <f t="array" ref="Q276">(VLOOKUP($A276,'The List'!$B1:$AH671,29,FALSE)-AVERAGE('The List'!AD2:AD671))/STDEV('The List'!AD2:AD671)</f>
        <v>-1.182732539351669</v>
      </c>
      <c r="R276" s="55" cm="1">
        <f t="array" ref="R276">(VLOOKUP($A276,'The List'!$B1:$AH671,30,FALSE)-AVERAGE('The List'!AE2:AE671))/STDEV('The List'!AE2:AE671)</f>
        <v>0.24054892655898655</v>
      </c>
      <c r="S276" s="55" cm="1">
        <f t="array" ref="S276">(VLOOKUP($A276,'The List'!$B1:$AH671,31,FALSE)-AVERAGE('The List'!AF2:AF671))/STDEV('The List'!AF2:AF671)</f>
        <v>-0.54696366143893471</v>
      </c>
      <c r="T276" s="55" cm="1">
        <f t="array" ref="T276">(VLOOKUP($A276,'The List'!$B1:$AH671,32,FALSE)-AVERAGE('The List'!AG2:AG671))/STDEV('The List'!AG2:AG671)</f>
        <v>-0.57825547254465393</v>
      </c>
      <c r="U276" s="55" cm="1">
        <f t="array" ref="U276">(VLOOKUP($A276,'The List'!$B1:$AH671,33,FALSE)-AVERAGE('The List'!AH2:AH671))/STDEV('The List'!AH2:AH671)</f>
        <v>0.69811904580979234</v>
      </c>
      <c r="V276" s="55"/>
      <c r="W276" s="78"/>
      <c r="X276" s="57"/>
      <c r="Y276" s="57"/>
      <c r="Z276" s="57"/>
      <c r="AA276" s="57"/>
      <c r="AB276" s="57"/>
      <c r="AC276" s="60"/>
      <c r="AD276" s="61"/>
      <c r="AE276" s="55"/>
    </row>
    <row r="277" spans="1:31" ht="21.25" customHeight="1" x14ac:dyDescent="0.15">
      <c r="A277" s="10" t="s">
        <v>542</v>
      </c>
      <c r="B277" s="18" t="str" cm="1">
        <f t="array" ref="B277">VLOOKUP(A277,'Player Data'!A1:B673,2,FALSE)</f>
        <v>DET</v>
      </c>
      <c r="C277" s="52" cm="1">
        <f t="array" ref="C277">((E277)*Settings!$C$12)+(F277*Settings!$C$2)+(G277*Settings!$C$3)+(H277*Settings!$C$4)+(I277*Settings!$C$5)+(K277*Settings!$C$9)+(N277*Settings!$C$6)+(J277*Settings!$C$8)+(O277*Settings!$C$7)+(P277*Settings!$C$14)+(Q277*Settings!$C$15)+(R277*Settings!$C$16)+(S277*Settings!$C$17)+(T277*Settings!$C$18)+(U277*Settings!$C$19)+(L277*Settings!$C$10)+(Settings!$C$11*M277)</f>
        <v>-1.108640558188124</v>
      </c>
      <c r="D277" s="57" cm="1">
        <f t="array" ref="D277">IF(Settings!$E$12="YES",VLOOKUP(A277,'Player Data'!A1:E673,5,FALSE),82)</f>
        <v>82.265000000000001</v>
      </c>
      <c r="E277" s="55" cm="1">
        <f t="array" ref="E277">(VLOOKUP($A277,'The List'!$B1:$AH671,17,FALSE)-AVERAGE('The List'!R2:R671))/STDEV('The List'!R2:R671)</f>
        <v>-0.38197430945457606</v>
      </c>
      <c r="F277" s="55" cm="1">
        <f t="array" ref="F277">(VLOOKUP($A277,'The List'!$B1:$AH671,18,FALSE)-AVERAGE('The List'!S2:S671))/STDEV('The List'!S2:S671)</f>
        <v>0.26361104592887452</v>
      </c>
      <c r="G277" s="55" cm="1">
        <f t="array" ref="G277">(VLOOKUP($A277,'The List'!$B1:$AH671,19,FALSE)-AVERAGE('The List'!T2:T671))/STDEV('The List'!T2:T671)</f>
        <v>-0.38776053740347183</v>
      </c>
      <c r="H277" s="55" cm="1">
        <f t="array" ref="H277">(VLOOKUP($A277,'The List'!$B1:$AH671,20,FALSE)-AVERAGE('The List'!U2:U671))/STDEV('The List'!U2:U671)</f>
        <v>-0.12694084465825128</v>
      </c>
      <c r="I277" s="55" cm="1">
        <f t="array" ref="I277">(VLOOKUP($A277,'The List'!$B1:$AH671,21,FALSE)-AVERAGE('The List'!V2:V671))/STDEV('The List'!V2:V671)</f>
        <v>0.44983585752678551</v>
      </c>
      <c r="J277" s="55" cm="1">
        <f t="array" ref="J277">(VLOOKUP($A277,'The List'!$B1:$AH671,22,FALSE)-AVERAGE('The List'!W2:W671))/STDEV('The List'!W2:W671)</f>
        <v>-4.5731493116761959E-2</v>
      </c>
      <c r="K277" s="55" cm="1">
        <f t="array" ref="K277">(VLOOKUP($A277,'The List'!$B1:$AH671,23,FALSE)-AVERAGE('The List'!X2:X671))/STDEV('The List'!X2:X671)</f>
        <v>-0.24389040618539243</v>
      </c>
      <c r="L277" s="55" cm="1">
        <f t="array" ref="L277">(VLOOKUP($A277,'The List'!$B1:$AH671,24,FALSE)-AVERAGE('The List'!Y2:Y671))/STDEV('The List'!Y2:Y671)</f>
        <v>-0.36139240790672578</v>
      </c>
      <c r="M277" s="55" cm="1">
        <f t="array" ref="M277">(VLOOKUP($A277,'The List'!$B1:$AH671,25,FALSE)-AVERAGE('The List'!Z2:Z671))/STDEV('The List'!Z2:Z671)</f>
        <v>7.1452592350583197E-2</v>
      </c>
      <c r="N277" s="55" cm="1">
        <f t="array" ref="N277">(VLOOKUP($A277,'The List'!$B1:$AH671,26,FALSE)-AVERAGE('The List'!AA2:AA671))/STDEV('The List'!AA2:AA671)</f>
        <v>-0.31842762058076179</v>
      </c>
      <c r="O277" s="55" cm="1">
        <f t="array" ref="O277">(VLOOKUP($A277,'The List'!$B1:$AH671,27,FALSE)-AVERAGE('The List'!AB2:AB671))/STDEV('The List'!AB2:AB671)</f>
        <v>1.8498113350552658</v>
      </c>
      <c r="P277" s="55" cm="1">
        <f t="array" ref="P277">(VLOOKUP($A277,'The List'!$B1:$AH671,28,FALSE)-AVERAGE('The List'!AC2:AC671))/STDEV('The List'!AC2:AC671)</f>
        <v>-0.48646818427998662</v>
      </c>
      <c r="Q277" s="55" cm="1">
        <f t="array" ref="Q277">(VLOOKUP($A277,'The List'!$B1:$AH671,29,FALSE)-AVERAGE('The List'!AD2:AD671))/STDEV('The List'!AD2:AD671)</f>
        <v>-0.38554071319417144</v>
      </c>
      <c r="R277" s="55" cm="1">
        <f t="array" ref="R277">(VLOOKUP($A277,'The List'!$B1:$AH671,30,FALSE)-AVERAGE('The List'!AE2:AE671))/STDEV('The List'!AE2:AE671)</f>
        <v>0.2678147878902824</v>
      </c>
      <c r="S277" s="55" cm="1">
        <f t="array" ref="S277">(VLOOKUP($A277,'The List'!$B1:$AH671,31,FALSE)-AVERAGE('The List'!AF2:AF671))/STDEV('The List'!AF2:AF671)</f>
        <v>0.63728529240244514</v>
      </c>
      <c r="T277" s="55" cm="1">
        <f t="array" ref="T277">(VLOOKUP($A277,'The List'!$B1:$AH671,32,FALSE)-AVERAGE('The List'!AG2:AG671))/STDEV('The List'!AG2:AG671)</f>
        <v>0.75330155200570437</v>
      </c>
      <c r="U277" s="55" cm="1">
        <f t="array" ref="U277">(VLOOKUP($A277,'The List'!$B1:$AH671,33,FALSE)-AVERAGE('The List'!AH2:AH671))/STDEV('The List'!AH2:AH671)</f>
        <v>0.9688531704282819</v>
      </c>
      <c r="V277" s="55"/>
      <c r="W277" s="57"/>
      <c r="X277" s="55"/>
      <c r="Y277" s="55"/>
      <c r="Z277" s="55"/>
      <c r="AA277" s="55"/>
      <c r="AB277" s="55"/>
      <c r="AC277" s="55"/>
      <c r="AD277" s="55"/>
      <c r="AE277" s="55"/>
    </row>
    <row r="278" spans="1:31" ht="21.25" customHeight="1" x14ac:dyDescent="0.15">
      <c r="A278" s="10" t="s">
        <v>694</v>
      </c>
      <c r="B278" s="18" t="str" cm="1">
        <f t="array" ref="B278">VLOOKUP(A278,'Player Data'!A1:B673,2,FALSE)</f>
        <v>PHI</v>
      </c>
      <c r="C278" s="52" cm="1">
        <f t="array" ref="C278">((E278)*Settings!$C$12)+(F278*Settings!$C$2)+(G278*Settings!$C$3)+(H278*Settings!$C$4)+(I278*Settings!$C$5)+(K278*Settings!$C$9)+(N278*Settings!$C$6)+(J278*Settings!$C$8)+(O278*Settings!$C$7)+(P278*Settings!$C$14)+(Q278*Settings!$C$15)+(R278*Settings!$C$16)+(S278*Settings!$C$17)+(T278*Settings!$C$18)+(U278*Settings!$C$19)+(L278*Settings!$C$10)+(Settings!$C$11*M278)</f>
        <v>-4.1082318425825104</v>
      </c>
      <c r="D278" s="57" cm="1">
        <f t="array" ref="D278">IF(Settings!$E$12="YES",VLOOKUP(A278,'Player Data'!A1:E673,5,FALSE),82)</f>
        <v>67</v>
      </c>
      <c r="E278" s="55" cm="1">
        <f t="array" ref="E278">(VLOOKUP($A278,'The List'!$B1:$AH671,17,FALSE)-AVERAGE('The List'!R2:R671))/STDEV('The List'!R2:R671)</f>
        <v>-1.217432683390506</v>
      </c>
      <c r="F278" s="55" cm="1">
        <f t="array" ref="F278">(VLOOKUP($A278,'The List'!$B1:$AH671,18,FALSE)-AVERAGE('The List'!S2:S671))/STDEV('The List'!S2:S671)</f>
        <v>-1.1388687964265736E-2</v>
      </c>
      <c r="G278" s="55" cm="1">
        <f t="array" ref="G278">(VLOOKUP($A278,'The List'!$B1:$AH671,19,FALSE)-AVERAGE('The List'!T2:T671))/STDEV('The List'!T2:T671)</f>
        <v>-0.65526819975225514</v>
      </c>
      <c r="H278" s="55" cm="1">
        <f t="array" ref="H278">(VLOOKUP($A278,'The List'!$B1:$AH671,20,FALSE)-AVERAGE('The List'!U2:U671))/STDEV('The List'!U2:U671)</f>
        <v>-0.41721315206953374</v>
      </c>
      <c r="I278" s="55" cm="1">
        <f t="array" ref="I278">(VLOOKUP($A278,'The List'!$B1:$AH671,21,FALSE)-AVERAGE('The List'!V2:V671))/STDEV('The List'!V2:V671)</f>
        <v>-0.72636124520315326</v>
      </c>
      <c r="J278" s="55" cm="1">
        <f t="array" ref="J278">(VLOOKUP($A278,'The List'!$B1:$AH671,22,FALSE)-AVERAGE('The List'!W2:W671))/STDEV('The List'!W2:W671)</f>
        <v>-0.64065633289758617</v>
      </c>
      <c r="K278" s="55" cm="1">
        <f t="array" ref="K278">(VLOOKUP($A278,'The List'!$B1:$AH671,23,FALSE)-AVERAGE('The List'!X2:X671))/STDEV('The List'!X2:X671)</f>
        <v>-0.71881549825353863</v>
      </c>
      <c r="L278" s="55" cm="1">
        <f t="array" ref="L278">(VLOOKUP($A278,'The List'!$B1:$AH671,24,FALSE)-AVERAGE('The List'!Y2:Y671))/STDEV('The List'!Y2:Y671)</f>
        <v>-0.54414218511508672</v>
      </c>
      <c r="M278" s="55" cm="1">
        <f t="array" ref="M278">(VLOOKUP($A278,'The List'!$B1:$AH671,25,FALSE)-AVERAGE('The List'!Z2:Z671))/STDEV('The List'!Z2:Z671)</f>
        <v>-0.68634491066685299</v>
      </c>
      <c r="N278" s="55" cm="1">
        <f t="array" ref="N278">(VLOOKUP($A278,'The List'!$B1:$AH671,26,FALSE)-AVERAGE('The List'!AA2:AA671))/STDEV('The List'!AA2:AA671)</f>
        <v>-0.92307588727148004</v>
      </c>
      <c r="O278" s="55" cm="1">
        <f t="array" ref="O278">(VLOOKUP($A278,'The List'!$B1:$AH671,27,FALSE)-AVERAGE('The List'!AB2:AB671))/STDEV('The List'!AB2:AB671)</f>
        <v>-0.45077488416470607</v>
      </c>
      <c r="P278" s="55" cm="1">
        <f t="array" ref="P278">(VLOOKUP($A278,'The List'!$B1:$AH671,28,FALSE)-AVERAGE('The List'!AC2:AC671))/STDEV('The List'!AC2:AC671)</f>
        <v>6.20388406655785E-2</v>
      </c>
      <c r="Q278" s="55" cm="1">
        <f t="array" ref="Q278">(VLOOKUP($A278,'The List'!$B1:$AH671,29,FALSE)-AVERAGE('The List'!AD2:AD671))/STDEV('The List'!AD2:AD671)</f>
        <v>-1.1353611648033963</v>
      </c>
      <c r="R278" s="55" cm="1">
        <f t="array" ref="R278">(VLOOKUP($A278,'The List'!$B1:$AH671,30,FALSE)-AVERAGE('The List'!AE2:AE671))/STDEV('The List'!AE2:AE671)</f>
        <v>9.7891766078058579E-3</v>
      </c>
      <c r="S278" s="55" cm="1">
        <f t="array" ref="S278">(VLOOKUP($A278,'The List'!$B1:$AH671,31,FALSE)-AVERAGE('The List'!AF2:AF671))/STDEV('The List'!AF2:AF671)</f>
        <v>-0.5939690971349143</v>
      </c>
      <c r="T278" s="55" cm="1">
        <f t="array" ref="T278">(VLOOKUP($A278,'The List'!$B1:$AH671,32,FALSE)-AVERAGE('The List'!AG2:AG671))/STDEV('The List'!AG2:AG671)</f>
        <v>-0.60749842268807597</v>
      </c>
      <c r="U278" s="55" cm="1">
        <f t="array" ref="U278">(VLOOKUP($A278,'The List'!$B1:$AH671,33,FALSE)-AVERAGE('The List'!AH2:AH671))/STDEV('The List'!AH2:AH671)</f>
        <v>-1.2548938914719048</v>
      </c>
      <c r="V278" s="55"/>
      <c r="W278" s="78"/>
      <c r="X278" s="57"/>
      <c r="Y278" s="57"/>
      <c r="Z278" s="57"/>
      <c r="AA278" s="57"/>
      <c r="AB278" s="57"/>
      <c r="AC278" s="60"/>
      <c r="AD278" s="61"/>
      <c r="AE278" s="55"/>
    </row>
    <row r="279" spans="1:31" ht="21.25" customHeight="1" x14ac:dyDescent="0.15">
      <c r="A279" s="10" t="s">
        <v>291</v>
      </c>
      <c r="B279" s="18" t="str" cm="1">
        <f t="array" ref="B279">VLOOKUP(A279,'Player Data'!A1:B673,2,FALSE)</f>
        <v>CAR</v>
      </c>
      <c r="C279" s="52" cm="1">
        <f t="array" ref="C279">((E279)*Settings!$C$12)+(F279*Settings!$C$2)+(G279*Settings!$C$3)+(H279*Settings!$C$4)+(I279*Settings!$C$5)+(K279*Settings!$C$9)+(N279*Settings!$C$6)+(J279*Settings!$C$8)+(O279*Settings!$C$7)+(P279*Settings!$C$14)+(Q279*Settings!$C$15)+(R279*Settings!$C$16)+(S279*Settings!$C$17)+(T279*Settings!$C$18)+(U279*Settings!$C$19)+(L279*Settings!$C$10)+(Settings!$C$11*M279)</f>
        <v>2.8231588997523152</v>
      </c>
      <c r="D279" s="57" cm="1">
        <f t="array" ref="D279">IF(Settings!$E$12="YES",VLOOKUP(A279,'Player Data'!A1:E673,5,FALSE),82)</f>
        <v>83.277500000000003</v>
      </c>
      <c r="E279" s="55" cm="1">
        <f t="array" ref="E279">(VLOOKUP($A279,'The List'!$B1:$AH671,17,FALSE)-AVERAGE('The List'!R2:R671))/STDEV('The List'!R2:R671)</f>
        <v>0.62485650981925467</v>
      </c>
      <c r="F279" s="55" cm="1">
        <f t="array" ref="F279">(VLOOKUP($A279,'The List'!$B1:$AH671,18,FALSE)-AVERAGE('The List'!S2:S671))/STDEV('The List'!S2:S671)</f>
        <v>-0.33275395219346465</v>
      </c>
      <c r="G279" s="55" cm="1">
        <f t="array" ref="G279">(VLOOKUP($A279,'The List'!$B1:$AH671,19,FALSE)-AVERAGE('The List'!T2:T671))/STDEV('The List'!T2:T671)</f>
        <v>4.2995426152978918E-2</v>
      </c>
      <c r="H279" s="55" cm="1">
        <f t="array" ref="H279">(VLOOKUP($A279,'The List'!$B1:$AH671,20,FALSE)-AVERAGE('The List'!U2:U671))/STDEV('The List'!U2:U671)</f>
        <v>-0.12059179397683434</v>
      </c>
      <c r="I279" s="55" cm="1">
        <f t="array" ref="I279">(VLOOKUP($A279,'The List'!$B1:$AH671,21,FALSE)-AVERAGE('The List'!V2:V671))/STDEV('The List'!V2:V671)</f>
        <v>6.4150961931555631E-2</v>
      </c>
      <c r="J279" s="55" cm="1">
        <f t="array" ref="J279">(VLOOKUP($A279,'The List'!$B1:$AH671,22,FALSE)-AVERAGE('The List'!W2:W671))/STDEV('The List'!W2:W671)</f>
        <v>0.18305661583430044</v>
      </c>
      <c r="K279" s="55" cm="1">
        <f t="array" ref="K279">(VLOOKUP($A279,'The List'!$B1:$AH671,23,FALSE)-AVERAGE('The List'!X2:X671))/STDEV('The List'!X2:X671)</f>
        <v>0.13358036654042371</v>
      </c>
      <c r="L279" s="55" cm="1">
        <f t="array" ref="L279">(VLOOKUP($A279,'The List'!$B1:$AH671,24,FALSE)-AVERAGE('The List'!Y2:Y671))/STDEV('The List'!Y2:Y671)</f>
        <v>0.50217615922953129</v>
      </c>
      <c r="M279" s="55" cm="1">
        <f t="array" ref="M279">(VLOOKUP($A279,'The List'!$B1:$AH671,25,FALSE)-AVERAGE('The List'!Z2:Z671))/STDEV('The List'!Z2:Z671)</f>
        <v>1.6376250388146101E-2</v>
      </c>
      <c r="N279" s="55" cm="1">
        <f t="array" ref="N279">(VLOOKUP($A279,'The List'!$B1:$AH671,26,FALSE)-AVERAGE('The List'!AA2:AA671))/STDEV('The List'!AA2:AA671)</f>
        <v>1.0290393914005775</v>
      </c>
      <c r="O279" s="55" cm="1">
        <f t="array" ref="O279">(VLOOKUP($A279,'The List'!$B1:$AH671,27,FALSE)-AVERAGE('The List'!AB2:AB671))/STDEV('The List'!AB2:AB671)</f>
        <v>0.78480769912116843</v>
      </c>
      <c r="P279" s="55" cm="1">
        <f t="array" ref="P279">(VLOOKUP($A279,'The List'!$B1:$AH671,28,FALSE)-AVERAGE('The List'!AC2:AC671))/STDEV('The List'!AC2:AC671)</f>
        <v>1.5660036801182917</v>
      </c>
      <c r="Q279" s="55" cm="1">
        <f t="array" ref="Q279">(VLOOKUP($A279,'The List'!$B1:$AH671,29,FALSE)-AVERAGE('The List'!AD2:AD671))/STDEV('The List'!AD2:AD671)</f>
        <v>0.32014302580195247</v>
      </c>
      <c r="R279" s="55" cm="1">
        <f t="array" ref="R279">(VLOOKUP($A279,'The List'!$B1:$AH671,30,FALSE)-AVERAGE('The List'!AE2:AE671))/STDEV('The List'!AE2:AE671)</f>
        <v>-0.21873966563582437</v>
      </c>
      <c r="S279" s="55" cm="1">
        <f t="array" ref="S279">(VLOOKUP($A279,'The List'!$B1:$AH671,31,FALSE)-AVERAGE('The List'!AF2:AF671))/STDEV('The List'!AF2:AF671)</f>
        <v>-0.5939690971349143</v>
      </c>
      <c r="T279" s="55" cm="1">
        <f t="array" ref="T279">(VLOOKUP($A279,'The List'!$B1:$AH671,32,FALSE)-AVERAGE('The List'!AG2:AG671))/STDEV('The List'!AG2:AG671)</f>
        <v>-0.64602208138248207</v>
      </c>
      <c r="U279" s="55" cm="1">
        <f t="array" ref="U279">(VLOOKUP($A279,'The List'!$B1:$AH671,33,FALSE)-AVERAGE('The List'!AH2:AH671))/STDEV('The List'!AH2:AH671)</f>
        <v>-1.2548938914719048</v>
      </c>
      <c r="V279" s="55"/>
      <c r="W279" s="57"/>
      <c r="X279" s="55"/>
      <c r="Y279" s="55"/>
      <c r="Z279" s="55"/>
      <c r="AA279" s="55"/>
      <c r="AB279" s="55"/>
      <c r="AC279" s="55"/>
      <c r="AD279" s="55"/>
      <c r="AE279" s="55"/>
    </row>
    <row r="280" spans="1:31" ht="21.25" customHeight="1" x14ac:dyDescent="0.15">
      <c r="A280" s="10" t="s">
        <v>562</v>
      </c>
      <c r="B280" s="18" t="str" cm="1">
        <f t="array" ref="B280">VLOOKUP(A280,'Player Data'!A1:B673,2,FALSE)</f>
        <v>MTL</v>
      </c>
      <c r="C280" s="52" cm="1">
        <f t="array" ref="C280">((E280)*Settings!$C$12)+(F280*Settings!$C$2)+(G280*Settings!$C$3)+(H280*Settings!$C$4)+(I280*Settings!$C$5)+(K280*Settings!$C$9)+(N280*Settings!$C$6)+(J280*Settings!$C$8)+(O280*Settings!$C$7)+(P280*Settings!$C$14)+(Q280*Settings!$C$15)+(R280*Settings!$C$16)+(S280*Settings!$C$17)+(T280*Settings!$C$18)+(U280*Settings!$C$19)+(L280*Settings!$C$10)+(Settings!$C$11*M280)</f>
        <v>-1.7671144374086305</v>
      </c>
      <c r="D280" s="57" cm="1">
        <f t="array" ref="D280">IF(Settings!$E$12="YES",VLOOKUP(A280,'Player Data'!A1:E673,5,FALSE),82)</f>
        <v>78.492500000000007</v>
      </c>
      <c r="E280" s="55" cm="1">
        <f t="array" ref="E280">(VLOOKUP($A280,'The List'!$B1:$AH671,17,FALSE)-AVERAGE('The List'!R2:R671))/STDEV('The List'!R2:R671)</f>
        <v>-0.71302675928710368</v>
      </c>
      <c r="F280" s="55" cm="1">
        <f t="array" ref="F280">(VLOOKUP($A280,'The List'!$B1:$AH671,18,FALSE)-AVERAGE('The List'!S2:S671))/STDEV('The List'!S2:S671)</f>
        <v>0.36146629690716647</v>
      </c>
      <c r="G280" s="55" cm="1">
        <f t="array" ref="G280">(VLOOKUP($A280,'The List'!$B1:$AH671,19,FALSE)-AVERAGE('The List'!T2:T671))/STDEV('The List'!T2:T671)</f>
        <v>-0.59008586113807504</v>
      </c>
      <c r="H280" s="55" cm="1">
        <f t="array" ref="H280">(VLOOKUP($A280,'The List'!$B1:$AH671,20,FALSE)-AVERAGE('The List'!U2:U671))/STDEV('The List'!U2:U671)</f>
        <v>-0.21078615917694618</v>
      </c>
      <c r="I280" s="55" cm="1">
        <f t="array" ref="I280">(VLOOKUP($A280,'The List'!$B1:$AH671,21,FALSE)-AVERAGE('The List'!V2:V671))/STDEV('The List'!V2:V671)</f>
        <v>-9.9914619377547115E-2</v>
      </c>
      <c r="J280" s="55" cm="1">
        <f t="array" ref="J280">(VLOOKUP($A280,'The List'!$B1:$AH671,22,FALSE)-AVERAGE('The List'!W2:W671))/STDEV('The List'!W2:W671)</f>
        <v>-0.45836235428734196</v>
      </c>
      <c r="K280" s="55" cm="1">
        <f t="array" ref="K280">(VLOOKUP($A280,'The List'!$B1:$AH671,23,FALSE)-AVERAGE('The List'!X2:X671))/STDEV('The List'!X2:X671)</f>
        <v>-0.59374720413829118</v>
      </c>
      <c r="L280" s="55" cm="1">
        <f t="array" ref="L280">(VLOOKUP($A280,'The List'!$B1:$AH671,24,FALSE)-AVERAGE('The List'!Y2:Y671))/STDEV('The List'!Y2:Y671)</f>
        <v>0.8072640623688806</v>
      </c>
      <c r="M280" s="55" cm="1">
        <f t="array" ref="M280">(VLOOKUP($A280,'The List'!$B1:$AH671,25,FALSE)-AVERAGE('The List'!Z2:Z671))/STDEV('The List'!Z2:Z671)</f>
        <v>1.59899865634476</v>
      </c>
      <c r="N280" s="55" cm="1">
        <f t="array" ref="N280">(VLOOKUP($A280,'The List'!$B1:$AH671,26,FALSE)-AVERAGE('The List'!AA2:AA671))/STDEV('The List'!AA2:AA671)</f>
        <v>-0.17992150686835948</v>
      </c>
      <c r="O280" s="55" cm="1">
        <f t="array" ref="O280">(VLOOKUP($A280,'The List'!$B1:$AH671,27,FALSE)-AVERAGE('The List'!AB2:AB671))/STDEV('The List'!AB2:AB671)</f>
        <v>-0.98727661796689925</v>
      </c>
      <c r="P280" s="55" cm="1">
        <f t="array" ref="P280">(VLOOKUP($A280,'The List'!$B1:$AH671,28,FALSE)-AVERAGE('The List'!AC2:AC671))/STDEV('The List'!AC2:AC671)</f>
        <v>6.0711281633125475E-2</v>
      </c>
      <c r="Q280" s="55" cm="1">
        <f t="array" ref="Q280">(VLOOKUP($A280,'The List'!$B1:$AH671,29,FALSE)-AVERAGE('The List'!AD2:AD671))/STDEV('The List'!AD2:AD671)</f>
        <v>-0.7256228244266496</v>
      </c>
      <c r="R280" s="55" cm="1">
        <f t="array" ref="R280">(VLOOKUP($A280,'The List'!$B1:$AH671,30,FALSE)-AVERAGE('The List'!AE2:AE671))/STDEV('The List'!AE2:AE671)</f>
        <v>0.46956019111860209</v>
      </c>
      <c r="S280" s="55" cm="1">
        <f t="array" ref="S280">(VLOOKUP($A280,'The List'!$B1:$AH671,31,FALSE)-AVERAGE('The List'!AF2:AF671))/STDEV('The List'!AF2:AF671)</f>
        <v>0.73396553238089723</v>
      </c>
      <c r="T280" s="55" cm="1">
        <f t="array" ref="T280">(VLOOKUP($A280,'The List'!$B1:$AH671,32,FALSE)-AVERAGE('The List'!AG2:AG671))/STDEV('The List'!AG2:AG671)</f>
        <v>1.0676201445873192</v>
      </c>
      <c r="U280" s="55" cm="1">
        <f t="array" ref="U280">(VLOOKUP($A280,'The List'!$B1:$AH671,33,FALSE)-AVERAGE('The List'!AH2:AH671))/STDEV('The List'!AH2:AH671)</f>
        <v>0.82350431981927941</v>
      </c>
      <c r="V280" s="55"/>
      <c r="W280" s="78"/>
      <c r="X280" s="57"/>
      <c r="Y280" s="57"/>
      <c r="Z280" s="57"/>
      <c r="AA280" s="57"/>
      <c r="AB280" s="57"/>
      <c r="AC280" s="60"/>
      <c r="AD280" s="61"/>
      <c r="AE280" s="55"/>
    </row>
    <row r="281" spans="1:31" ht="21.25" customHeight="1" x14ac:dyDescent="0.15">
      <c r="A281" s="10" t="s">
        <v>582</v>
      </c>
      <c r="B281" s="18" t="str" cm="1">
        <f t="array" ref="B281">VLOOKUP(A281,'Player Data'!A1:B673,2,FALSE)</f>
        <v>DET</v>
      </c>
      <c r="C281" s="52" cm="1">
        <f t="array" ref="C281">((E281)*Settings!$C$12)+(F281*Settings!$C$2)+(G281*Settings!$C$3)+(H281*Settings!$C$4)+(I281*Settings!$C$5)+(K281*Settings!$C$9)+(N281*Settings!$C$6)+(J281*Settings!$C$8)+(O281*Settings!$C$7)+(P281*Settings!$C$14)+(Q281*Settings!$C$15)+(R281*Settings!$C$16)+(S281*Settings!$C$17)+(T281*Settings!$C$18)+(U281*Settings!$C$19)+(L281*Settings!$C$10)+(Settings!$C$11*M281)</f>
        <v>-2.5302031220111378</v>
      </c>
      <c r="D281" s="57" cm="1">
        <f t="array" ref="D281">IF(Settings!$E$12="YES",VLOOKUP(A281,'Player Data'!A1:E673,5,FALSE),82)</f>
        <v>83.355000000000004</v>
      </c>
      <c r="E281" s="55" cm="1">
        <f t="array" ref="E281">(VLOOKUP($A281,'The List'!$B1:$AH671,17,FALSE)-AVERAGE('The List'!R2:R671))/STDEV('The List'!R2:R671)</f>
        <v>-0.39179973545370461</v>
      </c>
      <c r="F281" s="55" cm="1">
        <f t="array" ref="F281">(VLOOKUP($A281,'The List'!$B1:$AH671,18,FALSE)-AVERAGE('The List'!S2:S671))/STDEV('The List'!S2:S671)</f>
        <v>8.5439171422173235E-2</v>
      </c>
      <c r="G281" s="55" cm="1">
        <f t="array" ref="G281">(VLOOKUP($A281,'The List'!$B1:$AH671,19,FALSE)-AVERAGE('The List'!T2:T671))/STDEV('The List'!T2:T671)</f>
        <v>-0.25958569551895855</v>
      </c>
      <c r="H281" s="55" cm="1">
        <f t="array" ref="H281">(VLOOKUP($A281,'The List'!$B1:$AH671,20,FALSE)-AVERAGE('The List'!U2:U671))/STDEV('The List'!U2:U671)</f>
        <v>-0.12537053054345693</v>
      </c>
      <c r="I281" s="55" cm="1">
        <f t="array" ref="I281">(VLOOKUP($A281,'The List'!$B1:$AH671,21,FALSE)-AVERAGE('The List'!V2:V671))/STDEV('The List'!V2:V671)</f>
        <v>1.2730824091262342E-3</v>
      </c>
      <c r="J281" s="55" cm="1">
        <f t="array" ref="J281">(VLOOKUP($A281,'The List'!$B1:$AH671,22,FALSE)-AVERAGE('The List'!W2:W671))/STDEV('The List'!W2:W671)</f>
        <v>0.28100188111109775</v>
      </c>
      <c r="K281" s="55" cm="1">
        <f t="array" ref="K281">(VLOOKUP($A281,'The List'!$B1:$AH671,23,FALSE)-AVERAGE('The List'!X2:X671))/STDEV('The List'!X2:X671)</f>
        <v>3.0755915093920813E-4</v>
      </c>
      <c r="L281" s="55" cm="1">
        <f t="array" ref="L281">(VLOOKUP($A281,'The List'!$B1:$AH671,24,FALSE)-AVERAGE('The List'!Y2:Y671))/STDEV('The List'!Y2:Y671)</f>
        <v>-0.38409179904156038</v>
      </c>
      <c r="M281" s="55" cm="1">
        <f t="array" ref="M281">(VLOOKUP($A281,'The List'!$B1:$AH671,25,FALSE)-AVERAGE('The List'!Z2:Z671))/STDEV('The List'!Z2:Z671)</f>
        <v>-0.52722275917259254</v>
      </c>
      <c r="N281" s="55" cm="1">
        <f t="array" ref="N281">(VLOOKUP($A281,'The List'!$B1:$AH671,26,FALSE)-AVERAGE('The List'!AA2:AA671))/STDEV('The List'!AA2:AA671)</f>
        <v>-0.57398676984120589</v>
      </c>
      <c r="O281" s="55" cm="1">
        <f t="array" ref="O281">(VLOOKUP($A281,'The List'!$B1:$AH671,27,FALSE)-AVERAGE('The List'!AB2:AB671))/STDEV('The List'!AB2:AB671)</f>
        <v>0.80466188996320132</v>
      </c>
      <c r="P281" s="55" cm="1">
        <f t="array" ref="P281">(VLOOKUP($A281,'The List'!$B1:$AH671,28,FALSE)-AVERAGE('The List'!AC2:AC671))/STDEV('The List'!AC2:AC671)</f>
        <v>-0.54305339907605144</v>
      </c>
      <c r="Q281" s="55" cm="1">
        <f t="array" ref="Q281">(VLOOKUP($A281,'The List'!$B1:$AH671,29,FALSE)-AVERAGE('The List'!AD2:AD671))/STDEV('The List'!AD2:AD671)</f>
        <v>-1.2405970705571607</v>
      </c>
      <c r="R281" s="55" cm="1">
        <f t="array" ref="R281">(VLOOKUP($A281,'The List'!$B1:$AH671,30,FALSE)-AVERAGE('The List'!AE2:AE671))/STDEV('The List'!AE2:AE671)</f>
        <v>9.3334273099632131E-2</v>
      </c>
      <c r="S281" s="55" cm="1">
        <f t="array" ref="S281">(VLOOKUP($A281,'The List'!$B1:$AH671,31,FALSE)-AVERAGE('The List'!AF2:AF671))/STDEV('The List'!AF2:AF671)</f>
        <v>-0.36892420623741728</v>
      </c>
      <c r="T281" s="55" cm="1">
        <f t="array" ref="T281">(VLOOKUP($A281,'The List'!$B1:$AH671,32,FALSE)-AVERAGE('The List'!AG2:AG671))/STDEV('The List'!AG2:AG671)</f>
        <v>-0.34007158550787775</v>
      </c>
      <c r="U281" s="55" cm="1">
        <f t="array" ref="U281">(VLOOKUP($A281,'The List'!$B1:$AH671,33,FALSE)-AVERAGE('The List'!AH2:AH671))/STDEV('The List'!AH2:AH671)</f>
        <v>0.76430859685141816</v>
      </c>
      <c r="V281" s="55"/>
      <c r="W281" s="57"/>
      <c r="X281" s="55"/>
      <c r="Y281" s="55"/>
      <c r="Z281" s="55"/>
      <c r="AA281" s="55"/>
      <c r="AB281" s="55"/>
      <c r="AC281" s="55"/>
      <c r="AD281" s="55"/>
      <c r="AE281" s="55"/>
    </row>
    <row r="282" spans="1:31" ht="21.25" customHeight="1" x14ac:dyDescent="0.15">
      <c r="A282" s="10" t="s">
        <v>571</v>
      </c>
      <c r="B282" s="18" t="str" cm="1">
        <f t="array" ref="B282">VLOOKUP(A282,'Player Data'!A1:B673,2,FALSE)</f>
        <v>NYR</v>
      </c>
      <c r="C282" s="52" cm="1">
        <f t="array" ref="C282">((E282)*Settings!$C$12)+(F282*Settings!$C$2)+(G282*Settings!$C$3)+(H282*Settings!$C$4)+(I282*Settings!$C$5)+(K282*Settings!$C$9)+(N282*Settings!$C$6)+(J282*Settings!$C$8)+(O282*Settings!$C$7)+(P282*Settings!$C$14)+(Q282*Settings!$C$15)+(R282*Settings!$C$16)+(S282*Settings!$C$17)+(T282*Settings!$C$18)+(U282*Settings!$C$19)+(L282*Settings!$C$10)+(Settings!$C$11*M282)</f>
        <v>-2.2094491018833731</v>
      </c>
      <c r="D282" s="57" cm="1">
        <f t="array" ref="D282">IF(Settings!$E$12="YES",VLOOKUP(A282,'Player Data'!A1:E673,5,FALSE),82)</f>
        <v>83.262500000000003</v>
      </c>
      <c r="E282" s="55" cm="1">
        <f t="array" ref="E282">(VLOOKUP($A282,'The List'!$B1:$AH671,17,FALSE)-AVERAGE('The List'!R2:R671))/STDEV('The List'!R2:R671)</f>
        <v>-0.69060983753578742</v>
      </c>
      <c r="F282" s="55" cm="1">
        <f t="array" ref="F282">(VLOOKUP($A282,'The List'!$B1:$AH671,18,FALSE)-AVERAGE('The List'!S2:S671))/STDEV('The List'!S2:S671)</f>
        <v>-0.12037377565228766</v>
      </c>
      <c r="G282" s="55" cm="1">
        <f t="array" ref="G282">(VLOOKUP($A282,'The List'!$B1:$AH671,19,FALSE)-AVERAGE('The List'!T2:T671))/STDEV('The List'!T2:T671)</f>
        <v>-0.12990361542779261</v>
      </c>
      <c r="H282" s="55" cm="1">
        <f t="array" ref="H282">(VLOOKUP($A282,'The List'!$B1:$AH671,20,FALSE)-AVERAGE('The List'!U2:U671))/STDEV('The List'!U2:U671)</f>
        <v>-0.13511591416555183</v>
      </c>
      <c r="I282" s="55" cm="1">
        <f t="array" ref="I282">(VLOOKUP($A282,'The List'!$B1:$AH671,21,FALSE)-AVERAGE('The List'!V2:V671))/STDEV('The List'!V2:V671)</f>
        <v>0.14517104983274559</v>
      </c>
      <c r="J282" s="55" cm="1">
        <f t="array" ref="J282">(VLOOKUP($A282,'The List'!$B1:$AH671,22,FALSE)-AVERAGE('The List'!W2:W671))/STDEV('The List'!W2:W671)</f>
        <v>4.682416425157411E-2</v>
      </c>
      <c r="K282" s="55" cm="1">
        <f t="array" ref="K282">(VLOOKUP($A282,'The List'!$B1:$AH671,23,FALSE)-AVERAGE('The List'!X2:X671))/STDEV('The List'!X2:X671)</f>
        <v>-0.19517017202425113</v>
      </c>
      <c r="L282" s="55" cm="1">
        <f t="array" ref="L282">(VLOOKUP($A282,'The List'!$B1:$AH671,24,FALSE)-AVERAGE('The List'!Y2:Y671))/STDEV('The List'!Y2:Y671)</f>
        <v>-0.56569022661034529</v>
      </c>
      <c r="M282" s="55" cm="1">
        <f t="array" ref="M282">(VLOOKUP($A282,'The List'!$B1:$AH671,25,FALSE)-AVERAGE('The List'!Z2:Z671))/STDEV('The List'!Z2:Z671)</f>
        <v>-0.70756870995144849</v>
      </c>
      <c r="N282" s="55" cm="1">
        <f t="array" ref="N282">(VLOOKUP($A282,'The List'!$B1:$AH671,26,FALSE)-AVERAGE('The List'!AA2:AA671))/STDEV('The List'!AA2:AA671)</f>
        <v>-0.59173524346114514</v>
      </c>
      <c r="O282" s="55" cm="1">
        <f t="array" ref="O282">(VLOOKUP($A282,'The List'!$B1:$AH671,27,FALSE)-AVERAGE('The List'!AB2:AB671))/STDEV('The List'!AB2:AB671)</f>
        <v>0.13056531329802792</v>
      </c>
      <c r="P282" s="55" cm="1">
        <f t="array" ref="P282">(VLOOKUP($A282,'The List'!$B1:$AH671,28,FALSE)-AVERAGE('The List'!AC2:AC671))/STDEV('The List'!AC2:AC671)</f>
        <v>-0.29635211356829078</v>
      </c>
      <c r="Q282" s="55" cm="1">
        <f t="array" ref="Q282">(VLOOKUP($A282,'The List'!$B1:$AH671,29,FALSE)-AVERAGE('The List'!AD2:AD671))/STDEV('The List'!AD2:AD671)</f>
        <v>-1.0210852315823513</v>
      </c>
      <c r="R282" s="55" cm="1">
        <f t="array" ref="R282">(VLOOKUP($A282,'The List'!$B1:$AH671,30,FALSE)-AVERAGE('The List'!AE2:AE671))/STDEV('The List'!AE2:AE671)</f>
        <v>-0.10512019090295376</v>
      </c>
      <c r="S282" s="55" cm="1">
        <f t="array" ref="S282">(VLOOKUP($A282,'The List'!$B1:$AH671,31,FALSE)-AVERAGE('The List'!AF2:AF671))/STDEV('The List'!AF2:AF671)</f>
        <v>-0.56415016101530679</v>
      </c>
      <c r="T282" s="55" cm="1">
        <f t="array" ref="T282">(VLOOKUP($A282,'The List'!$B1:$AH671,32,FALSE)-AVERAGE('The List'!AG2:AG671))/STDEV('The List'!AG2:AG671)</f>
        <v>-0.58912754257020172</v>
      </c>
      <c r="U282" s="55" cm="1">
        <f t="array" ref="U282">(VLOOKUP($A282,'The List'!$B1:$AH671,33,FALSE)-AVERAGE('The List'!AH2:AH671))/STDEV('The List'!AH2:AH671)</f>
        <v>0.39177762486491613</v>
      </c>
      <c r="V282" s="55"/>
      <c r="W282" s="78"/>
      <c r="X282" s="57"/>
      <c r="Y282" s="57"/>
      <c r="Z282" s="57"/>
      <c r="AA282" s="57"/>
      <c r="AB282" s="57"/>
      <c r="AC282" s="60"/>
      <c r="AD282" s="61"/>
      <c r="AE282" s="55"/>
    </row>
    <row r="283" spans="1:31" ht="21.25" customHeight="1" x14ac:dyDescent="0.15">
      <c r="A283" s="10" t="s">
        <v>346</v>
      </c>
      <c r="B283" s="18" t="str" cm="1">
        <f t="array" ref="B283">VLOOKUP(A283,'Player Data'!A1:B673,2,FALSE)</f>
        <v>NYR</v>
      </c>
      <c r="C283" s="52" cm="1">
        <f t="array" ref="C283">((E283)*Settings!$C$12)+(F283*Settings!$C$2)+(G283*Settings!$C$3)+(H283*Settings!$C$4)+(I283*Settings!$C$5)+(K283*Settings!$C$9)+(N283*Settings!$C$6)+(J283*Settings!$C$8)+(O283*Settings!$C$7)+(P283*Settings!$C$14)+(Q283*Settings!$C$15)+(R283*Settings!$C$16)+(S283*Settings!$C$17)+(T283*Settings!$C$18)+(U283*Settings!$C$19)+(L283*Settings!$C$10)+(Settings!$C$11*M283)</f>
        <v>-2.6383493994686313E-2</v>
      </c>
      <c r="D283" s="57" cm="1">
        <f t="array" ref="D283">IF(Settings!$E$12="YES",VLOOKUP(A283,'Player Data'!A1:E673,5,FALSE),82)</f>
        <v>72.375</v>
      </c>
      <c r="E283" s="55" cm="1">
        <f t="array" ref="E283">(VLOOKUP($A283,'The List'!$B1:$AH671,17,FALSE)-AVERAGE('The List'!R2:R671))/STDEV('The List'!R2:R671)</f>
        <v>0.90872529364128185</v>
      </c>
      <c r="F283" s="55" cm="1">
        <f t="array" ref="F283">(VLOOKUP($A283,'The List'!$B1:$AH671,18,FALSE)-AVERAGE('The List'!S2:S671))/STDEV('The List'!S2:S671)</f>
        <v>-0.7183991294121056</v>
      </c>
      <c r="G283" s="55" cm="1">
        <f t="array" ref="G283">(VLOOKUP($A283,'The List'!$B1:$AH671,19,FALSE)-AVERAGE('The List'!T2:T671))/STDEV('The List'!T2:T671)</f>
        <v>-3.1995075272675276E-2</v>
      </c>
      <c r="H283" s="55" cm="1">
        <f t="array" ref="H283">(VLOOKUP($A283,'The List'!$B1:$AH671,20,FALSE)-AVERAGE('The List'!U2:U671))/STDEV('The List'!U2:U671)</f>
        <v>-0.33886279962303589</v>
      </c>
      <c r="I283" s="55" cm="1">
        <f t="array" ref="I283">(VLOOKUP($A283,'The List'!$B1:$AH671,21,FALSE)-AVERAGE('The List'!V2:V671))/STDEV('The List'!V2:V671)</f>
        <v>-0.42889527450736908</v>
      </c>
      <c r="J283" s="55" cm="1">
        <f t="array" ref="J283">(VLOOKUP($A283,'The List'!$B1:$AH671,22,FALSE)-AVERAGE('The List'!W2:W671))/STDEV('The List'!W2:W671)</f>
        <v>-0.55533084909910357</v>
      </c>
      <c r="K283" s="55" cm="1">
        <f t="array" ref="K283">(VLOOKUP($A283,'The List'!$B1:$AH671,23,FALSE)-AVERAGE('The List'!X2:X671))/STDEV('The List'!X2:X671)</f>
        <v>-0.35447607333131131</v>
      </c>
      <c r="L283" s="55" cm="1">
        <f t="array" ref="L283">(VLOOKUP($A283,'The List'!$B1:$AH671,24,FALSE)-AVERAGE('The List'!Y2:Y671))/STDEV('The List'!Y2:Y671)</f>
        <v>-0.53964523361163097</v>
      </c>
      <c r="M283" s="55" cm="1">
        <f t="array" ref="M283">(VLOOKUP($A283,'The List'!$B1:$AH671,25,FALSE)-AVERAGE('The List'!Z2:Z671))/STDEV('The List'!Z2:Z671)</f>
        <v>-0.65167505298325856</v>
      </c>
      <c r="N283" s="55" cm="1">
        <f t="array" ref="N283">(VLOOKUP($A283,'The List'!$B1:$AH671,26,FALSE)-AVERAGE('The List'!AA2:AA671))/STDEV('The List'!AA2:AA671)</f>
        <v>1.2288375829281737</v>
      </c>
      <c r="O283" s="55" cm="1">
        <f t="array" ref="O283">(VLOOKUP($A283,'The List'!$B1:$AH671,27,FALSE)-AVERAGE('The List'!AB2:AB671))/STDEV('The List'!AB2:AB671)</f>
        <v>-0.63727757599059709</v>
      </c>
      <c r="P283" s="55" cm="1">
        <f t="array" ref="P283">(VLOOKUP($A283,'The List'!$B1:$AH671,28,FALSE)-AVERAGE('The List'!AC2:AC671))/STDEV('The List'!AC2:AC671)</f>
        <v>-0.32022464877201456</v>
      </c>
      <c r="Q283" s="55" cm="1">
        <f t="array" ref="Q283">(VLOOKUP($A283,'The List'!$B1:$AH671,29,FALSE)-AVERAGE('The List'!AD2:AD671))/STDEV('The List'!AD2:AD671)</f>
        <v>0.59876912437261587</v>
      </c>
      <c r="R283" s="55" cm="1">
        <f t="array" ref="R283">(VLOOKUP($A283,'The List'!$B1:$AH671,30,FALSE)-AVERAGE('The List'!AE2:AE671))/STDEV('The List'!AE2:AE671)</f>
        <v>-0.6922351590842365</v>
      </c>
      <c r="S283" s="55" cm="1">
        <f t="array" ref="S283">(VLOOKUP($A283,'The List'!$B1:$AH671,31,FALSE)-AVERAGE('The List'!AF2:AF671))/STDEV('The List'!AF2:AF671)</f>
        <v>-0.5939690971349143</v>
      </c>
      <c r="T283" s="55" cm="1">
        <f t="array" ref="T283">(VLOOKUP($A283,'The List'!$B1:$AH671,32,FALSE)-AVERAGE('The List'!AG2:AG671))/STDEV('The List'!AG2:AG671)</f>
        <v>-0.64602208138248207</v>
      </c>
      <c r="U283" s="55" cm="1">
        <f t="array" ref="U283">(VLOOKUP($A283,'The List'!$B1:$AH671,33,FALSE)-AVERAGE('The List'!AH2:AH671))/STDEV('The List'!AH2:AH671)</f>
        <v>-1.2548938914719048</v>
      </c>
      <c r="V283" s="55"/>
      <c r="W283" s="57"/>
      <c r="X283" s="55"/>
      <c r="Y283" s="55"/>
      <c r="Z283" s="55"/>
      <c r="AA283" s="55"/>
      <c r="AB283" s="55"/>
      <c r="AC283" s="55"/>
      <c r="AD283" s="55"/>
      <c r="AE283" s="55"/>
    </row>
    <row r="284" spans="1:31" ht="21.25" customHeight="1" x14ac:dyDescent="0.15">
      <c r="A284" s="10" t="s">
        <v>640</v>
      </c>
      <c r="B284" s="18" t="str" cm="1">
        <f t="array" ref="B284">VLOOKUP(A284,'Player Data'!A1:B673,2,FALSE)</f>
        <v>STL</v>
      </c>
      <c r="C284" s="52" cm="1">
        <f t="array" ref="C284">((E284)*Settings!$C$12)+(F284*Settings!$C$2)+(G284*Settings!$C$3)+(H284*Settings!$C$4)+(I284*Settings!$C$5)+(K284*Settings!$C$9)+(N284*Settings!$C$6)+(J284*Settings!$C$8)+(O284*Settings!$C$7)+(P284*Settings!$C$14)+(Q284*Settings!$C$15)+(R284*Settings!$C$16)+(S284*Settings!$C$17)+(T284*Settings!$C$18)+(U284*Settings!$C$19)+(L284*Settings!$C$10)+(Settings!$C$11*M284)</f>
        <v>-2.9949204154783944</v>
      </c>
      <c r="D284" s="57" cm="1">
        <f t="array" ref="D284">IF(Settings!$E$12="YES",VLOOKUP(A284,'Player Data'!A1:E673,5,FALSE),82)</f>
        <v>79.197500000000005</v>
      </c>
      <c r="E284" s="55" cm="1">
        <f t="array" ref="E284">(VLOOKUP($A284,'The List'!$B1:$AH671,17,FALSE)-AVERAGE('The List'!R2:R671))/STDEV('The List'!R2:R671)</f>
        <v>-0.63860212570842556</v>
      </c>
      <c r="F284" s="55" cm="1">
        <f t="array" ref="F284">(VLOOKUP($A284,'The List'!$B1:$AH671,18,FALSE)-AVERAGE('The List'!S2:S671))/STDEV('The List'!S2:S671)</f>
        <v>0.2386912228396319</v>
      </c>
      <c r="G284" s="55" cm="1">
        <f t="array" ref="G284">(VLOOKUP($A284,'The List'!$B1:$AH671,19,FALSE)-AVERAGE('The List'!T2:T671))/STDEV('The List'!T2:T671)</f>
        <v>-0.5127553872956867</v>
      </c>
      <c r="H284" s="55" cm="1">
        <f t="array" ref="H284">(VLOOKUP($A284,'The List'!$B1:$AH671,20,FALSE)-AVERAGE('The List'!U2:U671))/STDEV('The List'!U2:U671)</f>
        <v>-0.21661832889971286</v>
      </c>
      <c r="I284" s="55" cm="1">
        <f t="array" ref="I284">(VLOOKUP($A284,'The List'!$B1:$AH671,21,FALSE)-AVERAGE('The List'!V2:V671))/STDEV('The List'!V2:V671)</f>
        <v>-0.30349245099101363</v>
      </c>
      <c r="J284" s="55" cm="1">
        <f t="array" ref="J284">(VLOOKUP($A284,'The List'!$B1:$AH671,22,FALSE)-AVERAGE('The List'!W2:W671))/STDEV('The List'!W2:W671)</f>
        <v>-0.54167738097052109</v>
      </c>
      <c r="K284" s="55" cm="1">
        <f t="array" ref="K284">(VLOOKUP($A284,'The List'!$B1:$AH671,23,FALSE)-AVERAGE('The List'!X2:X671))/STDEV('The List'!X2:X671)</f>
        <v>-0.57042439581260629</v>
      </c>
      <c r="L284" s="55" cm="1">
        <f t="array" ref="L284">(VLOOKUP($A284,'The List'!$B1:$AH671,24,FALSE)-AVERAGE('The List'!Y2:Y671))/STDEV('The List'!Y2:Y671)</f>
        <v>0.96750278908331078</v>
      </c>
      <c r="M284" s="55" cm="1">
        <f t="array" ref="M284">(VLOOKUP($A284,'The List'!$B1:$AH671,25,FALSE)-AVERAGE('The List'!Z2:Z671))/STDEV('The List'!Z2:Z671)</f>
        <v>1.1102169823539449</v>
      </c>
      <c r="N284" s="55" cm="1">
        <f t="array" ref="N284">(VLOOKUP($A284,'The List'!$B1:$AH671,26,FALSE)-AVERAGE('The List'!AA2:AA671))/STDEV('The List'!AA2:AA671)</f>
        <v>-0.81913330171471099</v>
      </c>
      <c r="O284" s="55" cm="1">
        <f t="array" ref="O284">(VLOOKUP($A284,'The List'!$B1:$AH671,27,FALSE)-AVERAGE('The List'!AB2:AB671))/STDEV('The List'!AB2:AB671)</f>
        <v>-0.68261203008187987</v>
      </c>
      <c r="P284" s="55" cm="1">
        <f t="array" ref="P284">(VLOOKUP($A284,'The List'!$B1:$AH671,28,FALSE)-AVERAGE('The List'!AC2:AC671))/STDEV('The List'!AC2:AC671)</f>
        <v>-0.16180487522097245</v>
      </c>
      <c r="Q284" s="55" cm="1">
        <f t="array" ref="Q284">(VLOOKUP($A284,'The List'!$B1:$AH671,29,FALSE)-AVERAGE('The List'!AD2:AD671))/STDEV('The List'!AD2:AD671)</f>
        <v>-0.8660012272830363</v>
      </c>
      <c r="R284" s="55" cm="1">
        <f t="array" ref="R284">(VLOOKUP($A284,'The List'!$B1:$AH671,30,FALSE)-AVERAGE('The List'!AE2:AE671))/STDEV('The List'!AE2:AE671)</f>
        <v>0.11748807970134746</v>
      </c>
      <c r="S284" s="55" cm="1">
        <f t="array" ref="S284">(VLOOKUP($A284,'The List'!$B1:$AH671,31,FALSE)-AVERAGE('The List'!AF2:AF671))/STDEV('The List'!AF2:AF671)</f>
        <v>0.74150398136416429</v>
      </c>
      <c r="T284" s="55" cm="1">
        <f t="array" ref="T284">(VLOOKUP($A284,'The List'!$B1:$AH671,32,FALSE)-AVERAGE('The List'!AG2:AG671))/STDEV('The List'!AG2:AG671)</f>
        <v>1.0097187043302569</v>
      </c>
      <c r="U284" s="55" cm="1">
        <f t="array" ref="U284">(VLOOKUP($A284,'The List'!$B1:$AH671,33,FALSE)-AVERAGE('The List'!AH2:AH671))/STDEV('The List'!AH2:AH671)</f>
        <v>0.86917138945012107</v>
      </c>
      <c r="V284" s="55"/>
      <c r="W284" s="78"/>
      <c r="X284" s="57"/>
      <c r="Y284" s="57"/>
      <c r="Z284" s="57"/>
      <c r="AA284" s="57"/>
      <c r="AB284" s="57"/>
      <c r="AC284" s="60"/>
      <c r="AD284" s="61"/>
      <c r="AE284" s="55"/>
    </row>
    <row r="285" spans="1:31" ht="21.25" customHeight="1" x14ac:dyDescent="0.15">
      <c r="A285" s="10" t="s">
        <v>310</v>
      </c>
      <c r="B285" s="18" t="str" cm="1">
        <f t="array" ref="B285">VLOOKUP(A285,'Player Data'!A1:B673,2,FALSE)</f>
        <v>COL</v>
      </c>
      <c r="C285" s="52" cm="1">
        <f t="array" ref="C285">((E285)*Settings!$C$12)+(F285*Settings!$C$2)+(G285*Settings!$C$3)+(H285*Settings!$C$4)+(I285*Settings!$C$5)+(K285*Settings!$C$9)+(N285*Settings!$C$6)+(J285*Settings!$C$8)+(O285*Settings!$C$7)+(P285*Settings!$C$14)+(Q285*Settings!$C$15)+(R285*Settings!$C$16)+(S285*Settings!$C$17)+(T285*Settings!$C$18)+(U285*Settings!$C$19)+(L285*Settings!$C$10)+(Settings!$C$11*M285)</f>
        <v>1.7171581271685505</v>
      </c>
      <c r="D285" s="57" cm="1">
        <f t="array" ref="D285">IF(Settings!$E$12="YES",VLOOKUP(A285,'Player Data'!A1:E673,5,FALSE),82)</f>
        <v>80.72</v>
      </c>
      <c r="E285" s="55" cm="1">
        <f t="array" ref="E285">(VLOOKUP($A285,'The List'!$B1:$AH671,17,FALSE)-AVERAGE('The List'!R2:R671))/STDEV('The List'!R2:R671)</f>
        <v>1.3839085955048365</v>
      </c>
      <c r="F285" s="55" cm="1">
        <f t="array" ref="F285">(VLOOKUP($A285,'The List'!$B1:$AH671,18,FALSE)-AVERAGE('The List'!S2:S671))/STDEV('The List'!S2:S671)</f>
        <v>-0.82121061779718618</v>
      </c>
      <c r="G285" s="55" cm="1">
        <f t="array" ref="G285">(VLOOKUP($A285,'The List'!$B1:$AH671,19,FALSE)-AVERAGE('The List'!T2:T671))/STDEV('The List'!T2:T671)</f>
        <v>0.27356987529118004</v>
      </c>
      <c r="H285" s="55" cm="1">
        <f t="array" ref="H285">(VLOOKUP($A285,'The List'!$B1:$AH671,20,FALSE)-AVERAGE('The List'!U2:U671))/STDEV('The List'!U2:U671)</f>
        <v>-0.19227927947817133</v>
      </c>
      <c r="I285" s="55" cm="1">
        <f t="array" ref="I285">(VLOOKUP($A285,'The List'!$B1:$AH671,21,FALSE)-AVERAGE('The List'!V2:V671))/STDEV('The List'!V2:V671)</f>
        <v>-2.4426489230155241E-2</v>
      </c>
      <c r="J285" s="55" cm="1">
        <f t="array" ref="J285">(VLOOKUP($A285,'The List'!$B1:$AH671,22,FALSE)-AVERAGE('The List'!W2:W671))/STDEV('The List'!W2:W671)</f>
        <v>-0.61041033988631099</v>
      </c>
      <c r="K285" s="55" cm="1">
        <f t="array" ref="K285">(VLOOKUP($A285,'The List'!$B1:$AH671,23,FALSE)-AVERAGE('The List'!X2:X671))/STDEV('The List'!X2:X671)</f>
        <v>-0.59216066876186979</v>
      </c>
      <c r="L285" s="55" cm="1">
        <f t="array" ref="L285">(VLOOKUP($A285,'The List'!$B1:$AH671,24,FALSE)-AVERAGE('The List'!Y2:Y671))/STDEV('The List'!Y2:Y671)</f>
        <v>-0.53634893618976287</v>
      </c>
      <c r="M285" s="55" cm="1">
        <f t="array" ref="M285">(VLOOKUP($A285,'The List'!$B1:$AH671,25,FALSE)-AVERAGE('The List'!Z2:Z671))/STDEV('The List'!Z2:Z671)</f>
        <v>-0.42479933722822327</v>
      </c>
      <c r="N285" s="55" cm="1">
        <f t="array" ref="N285">(VLOOKUP($A285,'The List'!$B1:$AH671,26,FALSE)-AVERAGE('The List'!AA2:AA671))/STDEV('The List'!AA2:AA671)</f>
        <v>1.0715922453893545</v>
      </c>
      <c r="O285" s="55" cm="1">
        <f t="array" ref="O285">(VLOOKUP($A285,'The List'!$B1:$AH671,27,FALSE)-AVERAGE('The List'!AB2:AB671))/STDEV('The List'!AB2:AB671)</f>
        <v>-0.81408384828881886</v>
      </c>
      <c r="P285" s="55" cm="1">
        <f t="array" ref="P285">(VLOOKUP($A285,'The List'!$B1:$AH671,28,FALSE)-AVERAGE('The List'!AC2:AC671))/STDEV('The List'!AC2:AC671)</f>
        <v>1.9846150164883536</v>
      </c>
      <c r="Q285" s="55" cm="1">
        <f t="array" ref="Q285">(VLOOKUP($A285,'The List'!$B1:$AH671,29,FALSE)-AVERAGE('The List'!AD2:AD671))/STDEV('The List'!AD2:AD671)</f>
        <v>-0.17482123421112641</v>
      </c>
      <c r="R285" s="55" cm="1">
        <f t="array" ref="R285">(VLOOKUP($A285,'The List'!$B1:$AH671,30,FALSE)-AVERAGE('The List'!AE2:AE671))/STDEV('The List'!AE2:AE671)</f>
        <v>-0.71280535155231695</v>
      </c>
      <c r="S285" s="55" cm="1">
        <f t="array" ref="S285">(VLOOKUP($A285,'The List'!$B1:$AH671,31,FALSE)-AVERAGE('The List'!AF2:AF671))/STDEV('The List'!AF2:AF671)</f>
        <v>-0.5939690971349143</v>
      </c>
      <c r="T285" s="55" cm="1">
        <f t="array" ref="T285">(VLOOKUP($A285,'The List'!$B1:$AH671,32,FALSE)-AVERAGE('The List'!AG2:AG671))/STDEV('The List'!AG2:AG671)</f>
        <v>-0.64602208138248207</v>
      </c>
      <c r="U285" s="55" cm="1">
        <f t="array" ref="U285">(VLOOKUP($A285,'The List'!$B1:$AH671,33,FALSE)-AVERAGE('The List'!AH2:AH671))/STDEV('The List'!AH2:AH671)</f>
        <v>-1.2548938914719048</v>
      </c>
      <c r="V285" s="55"/>
      <c r="W285" s="78"/>
      <c r="X285" s="57"/>
      <c r="Y285" s="57"/>
      <c r="Z285" s="57"/>
      <c r="AA285" s="57"/>
      <c r="AB285" s="57"/>
      <c r="AC285" s="60"/>
      <c r="AD285" s="61"/>
      <c r="AE285" s="55"/>
    </row>
    <row r="286" spans="1:31" ht="21.25" customHeight="1" x14ac:dyDescent="0.15">
      <c r="A286" s="10" t="s">
        <v>600</v>
      </c>
      <c r="B286" s="18" t="str" cm="1">
        <f t="array" ref="B286">VLOOKUP(A286,'Player Data'!A1:B673,2,FALSE)</f>
        <v>N.J</v>
      </c>
      <c r="C286" s="52" cm="1">
        <f t="array" ref="C286">((E286)*Settings!$C$12)+(F286*Settings!$C$2)+(G286*Settings!$C$3)+(H286*Settings!$C$4)+(I286*Settings!$C$5)+(K286*Settings!$C$9)+(N286*Settings!$C$6)+(J286*Settings!$C$8)+(O286*Settings!$C$7)+(P286*Settings!$C$14)+(Q286*Settings!$C$15)+(R286*Settings!$C$16)+(S286*Settings!$C$17)+(T286*Settings!$C$18)+(U286*Settings!$C$19)+(L286*Settings!$C$10)+(Settings!$C$11*M286)</f>
        <v>-2.8265678436644288</v>
      </c>
      <c r="D286" s="57" cm="1">
        <f t="array" ref="D286">IF(Settings!$E$12="YES",VLOOKUP(A286,'Player Data'!A1:E673,5,FALSE),82)</f>
        <v>81.6875</v>
      </c>
      <c r="E286" s="55" cm="1">
        <f t="array" ref="E286">(VLOOKUP($A286,'The List'!$B1:$AH671,17,FALSE)-AVERAGE('The List'!R2:R671))/STDEV('The List'!R2:R671)</f>
        <v>-0.33924613207010412</v>
      </c>
      <c r="F286" s="55" cm="1">
        <f t="array" ref="F286">(VLOOKUP($A286,'The List'!$B1:$AH671,18,FALSE)-AVERAGE('The List'!S2:S671))/STDEV('The List'!S2:S671)</f>
        <v>2.6386269470097608E-3</v>
      </c>
      <c r="G286" s="55" cm="1">
        <f t="array" ref="G286">(VLOOKUP($A286,'The List'!$B1:$AH671,19,FALSE)-AVERAGE('The List'!T2:T671))/STDEV('The List'!T2:T671)</f>
        <v>-0.28689763774806559</v>
      </c>
      <c r="H286" s="55" cm="1">
        <f t="array" ref="H286">(VLOOKUP($A286,'The List'!$B1:$AH671,20,FALSE)-AVERAGE('The List'!U2:U671))/STDEV('The List'!U2:U671)</f>
        <v>-0.17928639844277941</v>
      </c>
      <c r="I286" s="55" cm="1">
        <f t="array" ref="I286">(VLOOKUP($A286,'The List'!$B1:$AH671,21,FALSE)-AVERAGE('The List'!V2:V671))/STDEV('The List'!V2:V671)</f>
        <v>-0.11598637121259861</v>
      </c>
      <c r="J286" s="55" cm="1">
        <f t="array" ref="J286">(VLOOKUP($A286,'The List'!$B1:$AH671,22,FALSE)-AVERAGE('The List'!W2:W671))/STDEV('The List'!W2:W671)</f>
        <v>-0.13027784508380741</v>
      </c>
      <c r="K286" s="55" cm="1">
        <f t="array" ref="K286">(VLOOKUP($A286,'The List'!$B1:$AH671,23,FALSE)-AVERAGE('The List'!X2:X671))/STDEV('The List'!X2:X671)</f>
        <v>-0.32347556755516516</v>
      </c>
      <c r="L286" s="55" cm="1">
        <f t="array" ref="L286">(VLOOKUP($A286,'The List'!$B1:$AH671,24,FALSE)-AVERAGE('The List'!Y2:Y671))/STDEV('The List'!Y2:Y671)</f>
        <v>1.9776250152993768</v>
      </c>
      <c r="M286" s="55" cm="1">
        <f t="array" ref="M286">(VLOOKUP($A286,'The List'!$B1:$AH671,25,FALSE)-AVERAGE('The List'!Z2:Z671))/STDEV('The List'!Z2:Z671)</f>
        <v>1.2735911273799678</v>
      </c>
      <c r="N286" s="55" cm="1">
        <f t="array" ref="N286">(VLOOKUP($A286,'The List'!$B1:$AH671,26,FALSE)-AVERAGE('The List'!AA2:AA671))/STDEV('The List'!AA2:AA671)</f>
        <v>-0.63661377915582484</v>
      </c>
      <c r="O286" s="55" cm="1">
        <f t="array" ref="O286">(VLOOKUP($A286,'The List'!$B1:$AH671,27,FALSE)-AVERAGE('The List'!AB2:AB671))/STDEV('The List'!AB2:AB671)</f>
        <v>-1.1118715509121377</v>
      </c>
      <c r="P286" s="55" cm="1">
        <f t="array" ref="P286">(VLOOKUP($A286,'The List'!$B1:$AH671,28,FALSE)-AVERAGE('The List'!AC2:AC671))/STDEV('The List'!AC2:AC671)</f>
        <v>-0.27665068435998064</v>
      </c>
      <c r="Q286" s="55" cm="1">
        <f t="array" ref="Q286">(VLOOKUP($A286,'The List'!$B1:$AH671,29,FALSE)-AVERAGE('The List'!AD2:AD671))/STDEV('The List'!AD2:AD671)</f>
        <v>-1.1895824305798037</v>
      </c>
      <c r="R286" s="55" cm="1">
        <f t="array" ref="R286">(VLOOKUP($A286,'The List'!$B1:$AH671,30,FALSE)-AVERAGE('The List'!AE2:AE671))/STDEV('The List'!AE2:AE671)</f>
        <v>-4.9925358811349713E-2</v>
      </c>
      <c r="S286" s="55" cm="1">
        <f t="array" ref="S286">(VLOOKUP($A286,'The List'!$B1:$AH671,31,FALSE)-AVERAGE('The List'!AF2:AF671))/STDEV('The List'!AF2:AF671)</f>
        <v>-0.5415373889640156</v>
      </c>
      <c r="T286" s="55" cm="1">
        <f t="array" ref="T286">(VLOOKUP($A286,'The List'!$B1:$AH671,32,FALSE)-AVERAGE('The List'!AG2:AG671))/STDEV('The List'!AG2:AG671)</f>
        <v>-0.54098936631190864</v>
      </c>
      <c r="U286" s="55" cm="1">
        <f t="array" ref="U286">(VLOOKUP($A286,'The List'!$B1:$AH671,33,FALSE)-AVERAGE('The List'!AH2:AH671))/STDEV('The List'!AH2:AH671)</f>
        <v>0.34066901010256362</v>
      </c>
      <c r="V286" s="55"/>
      <c r="W286" s="78"/>
      <c r="X286" s="57"/>
      <c r="Y286" s="57"/>
      <c r="Z286" s="57"/>
      <c r="AA286" s="57"/>
      <c r="AB286" s="57"/>
      <c r="AC286" s="60"/>
      <c r="AD286" s="61"/>
      <c r="AE286" s="55"/>
    </row>
    <row r="287" spans="1:31" ht="21.25" customHeight="1" x14ac:dyDescent="0.15">
      <c r="A287" s="10" t="s">
        <v>583</v>
      </c>
      <c r="B287" s="18" t="str" cm="1">
        <f t="array" ref="B287">VLOOKUP(A287,'Player Data'!A1:B673,2,FALSE)</f>
        <v>UTA</v>
      </c>
      <c r="C287" s="52" cm="1">
        <f t="array" ref="C287">((E287)*Settings!$C$12)+(F287*Settings!$C$2)+(G287*Settings!$C$3)+(H287*Settings!$C$4)+(I287*Settings!$C$5)+(K287*Settings!$C$9)+(N287*Settings!$C$6)+(J287*Settings!$C$8)+(O287*Settings!$C$7)+(P287*Settings!$C$14)+(Q287*Settings!$C$15)+(R287*Settings!$C$16)+(S287*Settings!$C$17)+(T287*Settings!$C$18)+(U287*Settings!$C$19)+(L287*Settings!$C$10)+(Settings!$C$11*M287)</f>
        <v>-0.68666587300718906</v>
      </c>
      <c r="D287" s="57" cm="1">
        <f t="array" ref="D287">IF(Settings!$E$12="YES",VLOOKUP(A287,'Player Data'!A1:E673,5,FALSE),82)</f>
        <v>76.467500000000001</v>
      </c>
      <c r="E287" s="55" cm="1">
        <f t="array" ref="E287">(VLOOKUP($A287,'The List'!$B1:$AH671,17,FALSE)-AVERAGE('The List'!R2:R671))/STDEV('The List'!R2:R671)</f>
        <v>-0.3964501254916537</v>
      </c>
      <c r="F287" s="55" cm="1">
        <f t="array" ref="F287">(VLOOKUP($A287,'The List'!$B1:$AH671,18,FALSE)-AVERAGE('The List'!S2:S671))/STDEV('The List'!S2:S671)</f>
        <v>-0.10037108201740162</v>
      </c>
      <c r="G287" s="55" cm="1">
        <f t="array" ref="G287">(VLOOKUP($A287,'The List'!$B1:$AH671,19,FALSE)-AVERAGE('The List'!T2:T671))/STDEV('The List'!T2:T671)</f>
        <v>-0.37311468089712058</v>
      </c>
      <c r="H287" s="55" cm="1">
        <f t="array" ref="H287">(VLOOKUP($A287,'The List'!$B1:$AH671,20,FALSE)-AVERAGE('The List'!U2:U671))/STDEV('The List'!U2:U671)</f>
        <v>-0.27921963057119942</v>
      </c>
      <c r="I287" s="55" cm="1">
        <f t="array" ref="I287">(VLOOKUP($A287,'The List'!$B1:$AH671,21,FALSE)-AVERAGE('The List'!V2:V671))/STDEV('The List'!V2:V671)</f>
        <v>1.969908806505943E-2</v>
      </c>
      <c r="J287" s="55" cm="1">
        <f t="array" ref="J287">(VLOOKUP($A287,'The List'!$B1:$AH671,22,FALSE)-AVERAGE('The List'!W2:W671))/STDEV('The List'!W2:W671)</f>
        <v>0.24825847881230767</v>
      </c>
      <c r="K287" s="55" cm="1">
        <f t="array" ref="K287">(VLOOKUP($A287,'The List'!$B1:$AH671,23,FALSE)-AVERAGE('The List'!X2:X671))/STDEV('The List'!X2:X671)</f>
        <v>-0.13751001942148625</v>
      </c>
      <c r="L287" s="55" cm="1">
        <f t="array" ref="L287">(VLOOKUP($A287,'The List'!$B1:$AH671,24,FALSE)-AVERAGE('The List'!Y2:Y671))/STDEV('The List'!Y2:Y671)</f>
        <v>-7.9951899516979244E-2</v>
      </c>
      <c r="M287" s="55" cm="1">
        <f t="array" ref="M287">(VLOOKUP($A287,'The List'!$B1:$AH671,25,FALSE)-AVERAGE('The List'!Z2:Z671))/STDEV('The List'!Z2:Z671)</f>
        <v>-0.2282147341605173</v>
      </c>
      <c r="N287" s="55" cm="1">
        <f t="array" ref="N287">(VLOOKUP($A287,'The List'!$B1:$AH671,26,FALSE)-AVERAGE('The List'!AA2:AA671))/STDEV('The List'!AA2:AA671)</f>
        <v>-0.68284041344398339</v>
      </c>
      <c r="O287" s="55" cm="1">
        <f t="array" ref="O287">(VLOOKUP($A287,'The List'!$B1:$AH671,27,FALSE)-AVERAGE('The List'!AB2:AB671))/STDEV('The List'!AB2:AB671)</f>
        <v>-0.92938197498364017</v>
      </c>
      <c r="P287" s="55" cm="1">
        <f t="array" ref="P287">(VLOOKUP($A287,'The List'!$B1:$AH671,28,FALSE)-AVERAGE('The List'!AC2:AC671))/STDEV('The List'!AC2:AC671)</f>
        <v>0.23664853003075995</v>
      </c>
      <c r="Q287" s="55" cm="1">
        <f t="array" ref="Q287">(VLOOKUP($A287,'The List'!$B1:$AH671,29,FALSE)-AVERAGE('The List'!AD2:AD671))/STDEV('The List'!AD2:AD671)</f>
        <v>0.3508227046769834</v>
      </c>
      <c r="R287" s="55" cm="1">
        <f t="array" ref="R287">(VLOOKUP($A287,'The List'!$B1:$AH671,30,FALSE)-AVERAGE('The List'!AE2:AE671))/STDEV('The List'!AE2:AE671)</f>
        <v>-4.9421751652301685E-2</v>
      </c>
      <c r="S287" s="55" cm="1">
        <f t="array" ref="S287">(VLOOKUP($A287,'The List'!$B1:$AH671,31,FALSE)-AVERAGE('The List'!AF2:AF671))/STDEV('The List'!AF2:AF671)</f>
        <v>1.6719151492877042</v>
      </c>
      <c r="T287" s="55" cm="1">
        <f t="array" ref="T287">(VLOOKUP($A287,'The List'!$B1:$AH671,32,FALSE)-AVERAGE('The List'!AG2:AG671))/STDEV('The List'!AG2:AG671)</f>
        <v>1.4855180129613594</v>
      </c>
      <c r="U287" s="55" cm="1">
        <f t="array" ref="U287">(VLOOKUP($A287,'The List'!$B1:$AH671,33,FALSE)-AVERAGE('The List'!AH2:AH671))/STDEV('The List'!AH2:AH671)</f>
        <v>1.1859353675362758</v>
      </c>
      <c r="V287" s="55"/>
      <c r="W287" s="78"/>
      <c r="X287" s="57"/>
      <c r="Y287" s="57"/>
      <c r="Z287" s="57"/>
      <c r="AA287" s="57"/>
      <c r="AB287" s="57"/>
      <c r="AC287" s="60"/>
      <c r="AD287" s="61"/>
      <c r="AE287" s="55"/>
    </row>
    <row r="288" spans="1:31" ht="21.25" customHeight="1" x14ac:dyDescent="0.15">
      <c r="A288" s="10" t="s">
        <v>668</v>
      </c>
      <c r="B288" s="18" t="str" cm="1">
        <f t="array" ref="B288">VLOOKUP(A288,'Player Data'!A1:B673,2,FALSE)</f>
        <v>T.B</v>
      </c>
      <c r="C288" s="52" cm="1">
        <f t="array" ref="C288">((E288)*Settings!$C$12)+(F288*Settings!$C$2)+(G288*Settings!$C$3)+(H288*Settings!$C$4)+(I288*Settings!$C$5)+(K288*Settings!$C$9)+(N288*Settings!$C$6)+(J288*Settings!$C$8)+(O288*Settings!$C$7)+(P288*Settings!$C$14)+(Q288*Settings!$C$15)+(R288*Settings!$C$16)+(S288*Settings!$C$17)+(T288*Settings!$C$18)+(U288*Settings!$C$19)+(L288*Settings!$C$10)+(Settings!$C$11*M288)</f>
        <v>-1.1809209112842955</v>
      </c>
      <c r="D288" s="57" cm="1">
        <f t="array" ref="D288">IF(Settings!$E$12="YES",VLOOKUP(A288,'Player Data'!A1:E673,5,FALSE),82)</f>
        <v>77.385000000000005</v>
      </c>
      <c r="E288" s="55" cm="1">
        <f t="array" ref="E288">(VLOOKUP($A288,'The List'!$B1:$AH671,17,FALSE)-AVERAGE('The List'!R2:R671))/STDEV('The List'!R2:R671)</f>
        <v>-1.0163600426605095</v>
      </c>
      <c r="F288" s="55" cm="1">
        <f t="array" ref="F288">(VLOOKUP($A288,'The List'!$B1:$AH671,18,FALSE)-AVERAGE('The List'!S2:S671))/STDEV('The List'!S2:S671)</f>
        <v>-0.2221428305198154</v>
      </c>
      <c r="G288" s="55" cm="1">
        <f t="array" ref="G288">(VLOOKUP($A288,'The List'!$B1:$AH671,19,FALSE)-AVERAGE('The List'!T2:T671))/STDEV('The List'!T2:T671)</f>
        <v>-0.26197925408784245</v>
      </c>
      <c r="H288" s="55" cm="1">
        <f t="array" ref="H288">(VLOOKUP($A288,'The List'!$B1:$AH671,20,FALSE)-AVERAGE('The List'!U2:U671))/STDEV('The List'!U2:U671)</f>
        <v>-0.26334350958188513</v>
      </c>
      <c r="I288" s="55" cm="1">
        <f t="array" ref="I288">(VLOOKUP($A288,'The List'!$B1:$AH671,21,FALSE)-AVERAGE('The List'!V2:V671))/STDEV('The List'!V2:V671)</f>
        <v>-0.73774812744028417</v>
      </c>
      <c r="J288" s="55" cm="1">
        <f t="array" ref="J288">(VLOOKUP($A288,'The List'!$B1:$AH671,22,FALSE)-AVERAGE('The List'!W2:W671))/STDEV('The List'!W2:W671)</f>
        <v>-0.51001571627082054</v>
      </c>
      <c r="K288" s="55" cm="1">
        <f t="array" ref="K288">(VLOOKUP($A288,'The List'!$B1:$AH671,23,FALSE)-AVERAGE('The List'!X2:X671))/STDEV('The List'!X2:X671)</f>
        <v>-0.50644471380062484</v>
      </c>
      <c r="L288" s="55" cm="1">
        <f t="array" ref="L288">(VLOOKUP($A288,'The List'!$B1:$AH671,24,FALSE)-AVERAGE('The List'!Y2:Y671))/STDEV('The List'!Y2:Y671)</f>
        <v>-0.53149663543469239</v>
      </c>
      <c r="M288" s="55" cm="1">
        <f t="array" ref="M288">(VLOOKUP($A288,'The List'!$B1:$AH671,25,FALSE)-AVERAGE('The List'!Z2:Z671))/STDEV('The List'!Z2:Z671)</f>
        <v>-0.67398237374480152</v>
      </c>
      <c r="N288" s="55" cm="1">
        <f t="array" ref="N288">(VLOOKUP($A288,'The List'!$B1:$AH671,26,FALSE)-AVERAGE('The List'!AA2:AA671))/STDEV('The List'!AA2:AA671)</f>
        <v>-0.86770992182429929</v>
      </c>
      <c r="O288" s="55" cm="1">
        <f t="array" ref="O288">(VLOOKUP($A288,'The List'!$B1:$AH671,27,FALSE)-AVERAGE('The List'!AB2:AB671))/STDEV('The List'!AB2:AB671)</f>
        <v>7.6753010967240166E-3</v>
      </c>
      <c r="P288" s="55" cm="1">
        <f t="array" ref="P288">(VLOOKUP($A288,'The List'!$B1:$AH671,28,FALSE)-AVERAGE('The List'!AC2:AC671))/STDEV('The List'!AC2:AC671)</f>
        <v>1.7128086297659326</v>
      </c>
      <c r="Q288" s="55" cm="1">
        <f t="array" ref="Q288">(VLOOKUP($A288,'The List'!$B1:$AH671,29,FALSE)-AVERAGE('The List'!AD2:AD671))/STDEV('The List'!AD2:AD671)</f>
        <v>-0.29770469337736216</v>
      </c>
      <c r="R288" s="55" cm="1">
        <f t="array" ref="R288">(VLOOKUP($A288,'The List'!$B1:$AH671,30,FALSE)-AVERAGE('The List'!AE2:AE671))/STDEV('The List'!AE2:AE671)</f>
        <v>-5.8509985695507263E-2</v>
      </c>
      <c r="S288" s="55" cm="1">
        <f t="array" ref="S288">(VLOOKUP($A288,'The List'!$B1:$AH671,31,FALSE)-AVERAGE('The List'!AF2:AF671))/STDEV('The List'!AF2:AF671)</f>
        <v>-0.55485812785920563</v>
      </c>
      <c r="T288" s="55" cm="1">
        <f t="array" ref="T288">(VLOOKUP($A288,'The List'!$B1:$AH671,32,FALSE)-AVERAGE('The List'!AG2:AG671))/STDEV('The List'!AG2:AG671)</f>
        <v>-0.57782786189667934</v>
      </c>
      <c r="U288" s="55" cm="1">
        <f t="array" ref="U288">(VLOOKUP($A288,'The List'!$B1:$AH671,33,FALSE)-AVERAGE('The List'!AH2:AH671))/STDEV('The List'!AH2:AH671)</f>
        <v>0.48816136727822734</v>
      </c>
      <c r="V288" s="55"/>
      <c r="W288" s="78"/>
      <c r="X288" s="57"/>
      <c r="Y288" s="57"/>
      <c r="Z288" s="57"/>
      <c r="AA288" s="57"/>
      <c r="AB288" s="57"/>
      <c r="AC288" s="60"/>
      <c r="AD288" s="61"/>
      <c r="AE288" s="55"/>
    </row>
    <row r="289" spans="1:31" ht="21.25" customHeight="1" x14ac:dyDescent="0.15">
      <c r="A289" s="10" t="s">
        <v>290</v>
      </c>
      <c r="B289" s="18" t="str" cm="1">
        <f t="array" ref="B289">VLOOKUP(A289,'Player Data'!A1:B673,2,FALSE)</f>
        <v>DET</v>
      </c>
      <c r="C289" s="52" cm="1">
        <f t="array" ref="C289">((E289)*Settings!$C$12)+(F289*Settings!$C$2)+(G289*Settings!$C$3)+(H289*Settings!$C$4)+(I289*Settings!$C$5)+(K289*Settings!$C$9)+(N289*Settings!$C$6)+(J289*Settings!$C$8)+(O289*Settings!$C$7)+(P289*Settings!$C$14)+(Q289*Settings!$C$15)+(R289*Settings!$C$16)+(S289*Settings!$C$17)+(T289*Settings!$C$18)+(U289*Settings!$C$19)+(L289*Settings!$C$10)+(Settings!$C$11*M289)</f>
        <v>2.7660003464473339</v>
      </c>
      <c r="D289" s="57" cm="1">
        <f t="array" ref="D289">IF(Settings!$E$12="YES",VLOOKUP(A289,'Player Data'!A1:E673,5,FALSE),82)</f>
        <v>80.504999999999995</v>
      </c>
      <c r="E289" s="55" cm="1">
        <f t="array" ref="E289">(VLOOKUP($A289,'The List'!$B1:$AH671,17,FALSE)-AVERAGE('The List'!R2:R671))/STDEV('The List'!R2:R671)</f>
        <v>1.5056672663374577</v>
      </c>
      <c r="F289" s="55" cm="1">
        <f t="array" ref="F289">(VLOOKUP($A289,'The List'!$B1:$AH671,18,FALSE)-AVERAGE('The List'!S2:S671))/STDEV('The List'!S2:S671)</f>
        <v>-0.37959163377397509</v>
      </c>
      <c r="G289" s="55" cm="1">
        <f t="array" ref="G289">(VLOOKUP($A289,'The List'!$B1:$AH671,19,FALSE)-AVERAGE('The List'!T2:T671))/STDEV('The List'!T2:T671)</f>
        <v>-6.3124931720021579E-2</v>
      </c>
      <c r="H289" s="55" cm="1">
        <f t="array" ref="H289">(VLOOKUP($A289,'The List'!$B1:$AH671,20,FALSE)-AVERAGE('The List'!U2:U671))/STDEV('The List'!U2:U671)</f>
        <v>-0.20812179938930067</v>
      </c>
      <c r="I289" s="55" cm="1">
        <f t="array" ref="I289">(VLOOKUP($A289,'The List'!$B1:$AH671,21,FALSE)-AVERAGE('The List'!V2:V671))/STDEV('The List'!V2:V671)</f>
        <v>-0.36185759142900548</v>
      </c>
      <c r="J289" s="55" cm="1">
        <f t="array" ref="J289">(VLOOKUP($A289,'The List'!$B1:$AH671,22,FALSE)-AVERAGE('The List'!W2:W671))/STDEV('The List'!W2:W671)</f>
        <v>-0.73784123130865031</v>
      </c>
      <c r="K289" s="55" cm="1">
        <f t="array" ref="K289">(VLOOKUP($A289,'The List'!$B1:$AH671,23,FALSE)-AVERAGE('The List'!X2:X671))/STDEV('The List'!X2:X671)</f>
        <v>-0.75441685490182442</v>
      </c>
      <c r="L289" s="55" cm="1">
        <f t="array" ref="L289">(VLOOKUP($A289,'The List'!$B1:$AH671,24,FALSE)-AVERAGE('The List'!Y2:Y671))/STDEV('The List'!Y2:Y671)</f>
        <v>-0.52126944555326526</v>
      </c>
      <c r="M289" s="55" cm="1">
        <f t="array" ref="M289">(VLOOKUP($A289,'The List'!$B1:$AH671,25,FALSE)-AVERAGE('The List'!Z2:Z671))/STDEV('The List'!Z2:Z671)</f>
        <v>0.56085880152695444</v>
      </c>
      <c r="N289" s="55" cm="1">
        <f t="array" ref="N289">(VLOOKUP($A289,'The List'!$B1:$AH671,26,FALSE)-AVERAGE('The List'!AA2:AA671))/STDEV('The List'!AA2:AA671)</f>
        <v>2.3970924232180559</v>
      </c>
      <c r="O289" s="55" cm="1">
        <f t="array" ref="O289">(VLOOKUP($A289,'The List'!$B1:$AH671,27,FALSE)-AVERAGE('The List'!AB2:AB671))/STDEV('The List'!AB2:AB671)</f>
        <v>0.16678355758817368</v>
      </c>
      <c r="P289" s="55" cm="1">
        <f t="array" ref="P289">(VLOOKUP($A289,'The List'!$B1:$AH671,28,FALSE)-AVERAGE('The List'!AC2:AC671))/STDEV('The List'!AC2:AC671)</f>
        <v>-9.4749135972855489E-2</v>
      </c>
      <c r="Q289" s="55" cm="1">
        <f t="array" ref="Q289">(VLOOKUP($A289,'The List'!$B1:$AH671,29,FALSE)-AVERAGE('The List'!AD2:AD671))/STDEV('The List'!AD2:AD671)</f>
        <v>2.0226480710269601</v>
      </c>
      <c r="R289" s="55" cm="1">
        <f t="array" ref="R289">(VLOOKUP($A289,'The List'!$B1:$AH671,30,FALSE)-AVERAGE('The List'!AE2:AE671))/STDEV('The List'!AE2:AE671)</f>
        <v>-0.36206203739427006</v>
      </c>
      <c r="S289" s="55" cm="1">
        <f t="array" ref="S289">(VLOOKUP($A289,'The List'!$B1:$AH671,31,FALSE)-AVERAGE('The List'!AF2:AF671))/STDEV('The List'!AF2:AF671)</f>
        <v>-0.5939690971349143</v>
      </c>
      <c r="T289" s="55" cm="1">
        <f t="array" ref="T289">(VLOOKUP($A289,'The List'!$B1:$AH671,32,FALSE)-AVERAGE('The List'!AG2:AG671))/STDEV('The List'!AG2:AG671)</f>
        <v>-0.64602208138248207</v>
      </c>
      <c r="U289" s="55" cm="1">
        <f t="array" ref="U289">(VLOOKUP($A289,'The List'!$B1:$AH671,33,FALSE)-AVERAGE('The List'!AH2:AH671))/STDEV('The List'!AH2:AH671)</f>
        <v>-1.2548938914719048</v>
      </c>
      <c r="V289" s="55"/>
      <c r="W289" s="78"/>
      <c r="X289" s="57"/>
      <c r="Y289" s="57"/>
      <c r="Z289" s="57"/>
      <c r="AA289" s="57"/>
      <c r="AB289" s="57"/>
      <c r="AC289" s="60"/>
      <c r="AD289" s="61"/>
      <c r="AE289" s="55"/>
    </row>
    <row r="290" spans="1:31" ht="21.25" customHeight="1" x14ac:dyDescent="0.15">
      <c r="A290" s="10" t="s">
        <v>625</v>
      </c>
      <c r="B290" s="18" t="str" cm="1">
        <f t="array" ref="B290">VLOOKUP(A290,'Player Data'!A1:B673,2,FALSE)</f>
        <v>CHI</v>
      </c>
      <c r="C290" s="52" cm="1">
        <f t="array" ref="C290">((E290)*Settings!$C$12)+(F290*Settings!$C$2)+(G290*Settings!$C$3)+(H290*Settings!$C$4)+(I290*Settings!$C$5)+(K290*Settings!$C$9)+(N290*Settings!$C$6)+(J290*Settings!$C$8)+(O290*Settings!$C$7)+(P290*Settings!$C$14)+(Q290*Settings!$C$15)+(R290*Settings!$C$16)+(S290*Settings!$C$17)+(T290*Settings!$C$18)+(U290*Settings!$C$19)+(L290*Settings!$C$10)+(Settings!$C$11*M290)</f>
        <v>-4.1365925369638195</v>
      </c>
      <c r="D290" s="57" cm="1">
        <f t="array" ref="D290">IF(Settings!$E$12="YES",VLOOKUP(A290,'Player Data'!A1:E673,5,FALSE),82)</f>
        <v>83.355000000000004</v>
      </c>
      <c r="E290" s="55" cm="1">
        <f t="array" ref="E290">(VLOOKUP($A290,'The List'!$B1:$AH671,17,FALSE)-AVERAGE('The List'!R2:R671))/STDEV('The List'!R2:R671)</f>
        <v>-0.89559448858202306</v>
      </c>
      <c r="F290" s="55" cm="1">
        <f t="array" ref="F290">(VLOOKUP($A290,'The List'!$B1:$AH671,18,FALSE)-AVERAGE('The List'!S2:S671))/STDEV('The List'!S2:S671)</f>
        <v>0.25389837183231595</v>
      </c>
      <c r="G290" s="55" cm="1">
        <f t="array" ref="G290">(VLOOKUP($A290,'The List'!$B1:$AH671,19,FALSE)-AVERAGE('The List'!T2:T671))/STDEV('The List'!T2:T671)</f>
        <v>-0.44081344218961449</v>
      </c>
      <c r="H290" s="55" cm="1">
        <f t="array" ref="H290">(VLOOKUP($A290,'The List'!$B1:$AH671,20,FALSE)-AVERAGE('The List'!U2:U671))/STDEV('The List'!U2:U671)</f>
        <v>-0.16462014395491895</v>
      </c>
      <c r="I290" s="55" cm="1">
        <f t="array" ref="I290">(VLOOKUP($A290,'The List'!$B1:$AH671,21,FALSE)-AVERAGE('The List'!V2:V671))/STDEV('The List'!V2:V671)</f>
        <v>-0.11122065272782482</v>
      </c>
      <c r="J290" s="55" cm="1">
        <f t="array" ref="J290">(VLOOKUP($A290,'The List'!$B1:$AH671,22,FALSE)-AVERAGE('The List'!W2:W671))/STDEV('The List'!W2:W671)</f>
        <v>-0.57661760774526416</v>
      </c>
      <c r="K290" s="55" cm="1">
        <f t="array" ref="K290">(VLOOKUP($A290,'The List'!$B1:$AH671,23,FALSE)-AVERAGE('The List'!X2:X671))/STDEV('The List'!X2:X671)</f>
        <v>-0.6474265176782672</v>
      </c>
      <c r="L290" s="55" cm="1">
        <f t="array" ref="L290">(VLOOKUP($A290,'The List'!$B1:$AH671,24,FALSE)-AVERAGE('The List'!Y2:Y671))/STDEV('The List'!Y2:Y671)</f>
        <v>-0.56462456273716544</v>
      </c>
      <c r="M290" s="55" cm="1">
        <f t="array" ref="M290">(VLOOKUP($A290,'The List'!$B1:$AH671,25,FALSE)-AVERAGE('The List'!Z2:Z671))/STDEV('The List'!Z2:Z671)</f>
        <v>-0.70651752422334879</v>
      </c>
      <c r="N290" s="55" cm="1">
        <f t="array" ref="N290">(VLOOKUP($A290,'The List'!$B1:$AH671,26,FALSE)-AVERAGE('The List'!AA2:AA671))/STDEV('The List'!AA2:AA671)</f>
        <v>-1.0666617666458897</v>
      </c>
      <c r="O290" s="55" cm="1">
        <f t="array" ref="O290">(VLOOKUP($A290,'The List'!$B1:$AH671,27,FALSE)-AVERAGE('The List'!AB2:AB671))/STDEV('The List'!AB2:AB671)</f>
        <v>-2.8452489704044636E-2</v>
      </c>
      <c r="P290" s="55" cm="1">
        <f t="array" ref="P290">(VLOOKUP($A290,'The List'!$B1:$AH671,28,FALSE)-AVERAGE('The List'!AC2:AC671))/STDEV('The List'!AC2:AC671)</f>
        <v>-1.8987522349569668</v>
      </c>
      <c r="Q290" s="55" cm="1">
        <f t="array" ref="Q290">(VLOOKUP($A290,'The List'!$B1:$AH671,29,FALSE)-AVERAGE('The List'!AD2:AD671))/STDEV('The List'!AD2:AD671)</f>
        <v>-0.22561629459757232</v>
      </c>
      <c r="R290" s="55" cm="1">
        <f t="array" ref="R290">(VLOOKUP($A290,'The List'!$B1:$AH671,30,FALSE)-AVERAGE('The List'!AE2:AE671))/STDEV('The List'!AE2:AE671)</f>
        <v>-7.9785990711111809E-2</v>
      </c>
      <c r="S290" s="55" cm="1">
        <f t="array" ref="S290">(VLOOKUP($A290,'The List'!$B1:$AH671,31,FALSE)-AVERAGE('The List'!AF2:AF671))/STDEV('The List'!AF2:AF671)</f>
        <v>0.14079858482767013</v>
      </c>
      <c r="T290" s="55" cm="1">
        <f t="array" ref="T290">(VLOOKUP($A290,'The List'!$B1:$AH671,32,FALSE)-AVERAGE('The List'!AG2:AG671))/STDEV('The List'!AG2:AG671)</f>
        <v>0.29550249215515428</v>
      </c>
      <c r="U290" s="55" cm="1">
        <f t="array" ref="U290">(VLOOKUP($A290,'The List'!$B1:$AH671,33,FALSE)-AVERAGE('The List'!AH2:AH671))/STDEV('The List'!AH2:AH671)</f>
        <v>0.83153496227908641</v>
      </c>
      <c r="V290" s="55"/>
      <c r="W290" s="78"/>
      <c r="X290" s="57"/>
      <c r="Y290" s="57"/>
      <c r="Z290" s="57"/>
      <c r="AA290" s="57"/>
      <c r="AB290" s="57"/>
      <c r="AC290" s="60"/>
      <c r="AD290" s="61"/>
      <c r="AE290" s="55"/>
    </row>
    <row r="291" spans="1:31" ht="21.25" customHeight="1" x14ac:dyDescent="0.15">
      <c r="A291" s="10" t="s">
        <v>707</v>
      </c>
      <c r="B291" s="18" t="str" cm="1">
        <f t="array" ref="B291">VLOOKUP(A291,'Player Data'!A1:B673,2,FALSE)</f>
        <v>WPG</v>
      </c>
      <c r="C291" s="52" cm="1">
        <f t="array" ref="C291">((E291)*Settings!$C$12)+(F291*Settings!$C$2)+(G291*Settings!$C$3)+(H291*Settings!$C$4)+(I291*Settings!$C$5)+(K291*Settings!$C$9)+(N291*Settings!$C$6)+(J291*Settings!$C$8)+(O291*Settings!$C$7)+(P291*Settings!$C$14)+(Q291*Settings!$C$15)+(R291*Settings!$C$16)+(S291*Settings!$C$17)+(T291*Settings!$C$18)+(U291*Settings!$C$19)+(L291*Settings!$C$10)+(Settings!$C$11*M291)</f>
        <v>-4.6435949662362255</v>
      </c>
      <c r="D291" s="57" cm="1">
        <f t="array" ref="D291">IF(Settings!$E$12="YES",VLOOKUP(A291,'Player Data'!A1:E673,5,FALSE),82)</f>
        <v>55.225000000000001</v>
      </c>
      <c r="E291" s="55" cm="1">
        <f t="array" ref="E291">(VLOOKUP($A291,'The List'!$B1:$AH671,17,FALSE)-AVERAGE('The List'!R2:R671))/STDEV('The List'!R2:R671)</f>
        <v>-0.77593266365492264</v>
      </c>
      <c r="F291" s="55" cm="1">
        <f t="array" ref="F291">(VLOOKUP($A291,'The List'!$B1:$AH671,18,FALSE)-AVERAGE('The List'!S2:S671))/STDEV('The List'!S2:S671)</f>
        <v>-0.41681513175870555</v>
      </c>
      <c r="G291" s="55" cm="1">
        <f t="array" ref="G291">(VLOOKUP($A291,'The List'!$B1:$AH671,19,FALSE)-AVERAGE('The List'!T2:T671))/STDEV('The List'!T2:T671)</f>
        <v>-0.76860259449966029</v>
      </c>
      <c r="H291" s="55" cm="1">
        <f t="array" ref="H291">(VLOOKUP($A291,'The List'!$B1:$AH671,20,FALSE)-AVERAGE('The List'!U2:U671))/STDEV('The List'!U2:U671)</f>
        <v>-0.66837878189717881</v>
      </c>
      <c r="I291" s="55" cm="1">
        <f t="array" ref="I291">(VLOOKUP($A291,'The List'!$B1:$AH671,21,FALSE)-AVERAGE('The List'!V2:V671))/STDEV('The List'!V2:V671)</f>
        <v>-0.82390719929460521</v>
      </c>
      <c r="J291" s="55" cm="1">
        <f t="array" ref="J291">(VLOOKUP($A291,'The List'!$B1:$AH671,22,FALSE)-AVERAGE('The List'!W2:W671))/STDEV('The List'!W2:W671)</f>
        <v>-0.40532475952913372</v>
      </c>
      <c r="K291" s="55" cm="1">
        <f t="array" ref="K291">(VLOOKUP($A291,'The List'!$B1:$AH671,23,FALSE)-AVERAGE('The List'!X2:X671))/STDEV('The List'!X2:X671)</f>
        <v>-0.40280149360707779</v>
      </c>
      <c r="L291" s="55" cm="1">
        <f t="array" ref="L291">(VLOOKUP($A291,'The List'!$B1:$AH671,24,FALSE)-AVERAGE('The List'!Y2:Y671))/STDEV('The List'!Y2:Y671)</f>
        <v>-0.56569022661034529</v>
      </c>
      <c r="M291" s="55" cm="1">
        <f t="array" ref="M291">(VLOOKUP($A291,'The List'!$B1:$AH671,25,FALSE)-AVERAGE('The List'!Z2:Z671))/STDEV('The List'!Z2:Z671)</f>
        <v>-0.70756870995144849</v>
      </c>
      <c r="N291" s="55" cm="1">
        <f t="array" ref="N291">(VLOOKUP($A291,'The List'!$B1:$AH671,26,FALSE)-AVERAGE('The List'!AA2:AA671))/STDEV('The List'!AA2:AA671)</f>
        <v>-1.0645880153774812</v>
      </c>
      <c r="O291" s="55" cm="1">
        <f t="array" ref="O291">(VLOOKUP($A291,'The List'!$B1:$AH671,27,FALSE)-AVERAGE('The List'!AB2:AB671))/STDEV('The List'!AB2:AB671)</f>
        <v>-0.52685879611782438</v>
      </c>
      <c r="P291" s="55" cm="1">
        <f t="array" ref="P291">(VLOOKUP($A291,'The List'!$B1:$AH671,28,FALSE)-AVERAGE('The List'!AC2:AC671))/STDEV('The List'!AC2:AC671)</f>
        <v>-0.12245270254800093</v>
      </c>
      <c r="Q291" s="55" cm="1">
        <f t="array" ref="Q291">(VLOOKUP($A291,'The List'!$B1:$AH671,29,FALSE)-AVERAGE('The List'!AD2:AD671))/STDEV('The List'!AD2:AD671)</f>
        <v>-1.0444278291506948</v>
      </c>
      <c r="R291" s="55" cm="1">
        <f t="array" ref="R291">(VLOOKUP($A291,'The List'!$B1:$AH671,30,FALSE)-AVERAGE('The List'!AE2:AE671))/STDEV('The List'!AE2:AE671)</f>
        <v>-0.29675801315691036</v>
      </c>
      <c r="S291" s="55" cm="1">
        <f t="array" ref="S291">(VLOOKUP($A291,'The List'!$B1:$AH671,31,FALSE)-AVERAGE('The List'!AF2:AF671))/STDEV('The List'!AF2:AF671)</f>
        <v>-0.52370440046386235</v>
      </c>
      <c r="T291" s="55" cm="1">
        <f t="array" ref="T291">(VLOOKUP($A291,'The List'!$B1:$AH671,32,FALSE)-AVERAGE('The List'!AG2:AG671))/STDEV('The List'!AG2:AG671)</f>
        <v>-0.46830909664566855</v>
      </c>
      <c r="U291" s="55" cm="1">
        <f t="array" ref="U291">(VLOOKUP($A291,'The List'!$B1:$AH671,33,FALSE)-AVERAGE('The List'!AH2:AH671))/STDEV('The List'!AH2:AH671)</f>
        <v>0.10717546121665666</v>
      </c>
      <c r="V291" s="55"/>
      <c r="W291" s="78"/>
      <c r="X291" s="57"/>
      <c r="Y291" s="57"/>
      <c r="Z291" s="57"/>
      <c r="AA291" s="57"/>
      <c r="AB291" s="57"/>
      <c r="AC291" s="60"/>
      <c r="AD291" s="61"/>
      <c r="AE291" s="55"/>
    </row>
    <row r="292" spans="1:31" ht="21.25" customHeight="1" x14ac:dyDescent="0.15">
      <c r="A292" s="10" t="s">
        <v>247</v>
      </c>
      <c r="B292" s="18" t="str" cm="1">
        <f t="array" ref="B292">VLOOKUP(A292,'Player Data'!A1:B673,2,FALSE)</f>
        <v>VGK</v>
      </c>
      <c r="C292" s="52" cm="1">
        <f t="array" ref="C292">((E292)*Settings!$C$12)+(F292*Settings!$C$2)+(G292*Settings!$C$3)+(H292*Settings!$C$4)+(I292*Settings!$C$5)+(K292*Settings!$C$9)+(N292*Settings!$C$6)+(J292*Settings!$C$8)+(O292*Settings!$C$7)+(P292*Settings!$C$14)+(Q292*Settings!$C$15)+(R292*Settings!$C$16)+(S292*Settings!$C$17)+(T292*Settings!$C$18)+(U292*Settings!$C$19)+(L292*Settings!$C$10)+(Settings!$C$11*M292)</f>
        <v>3.6242808712311554</v>
      </c>
      <c r="D292" s="57" cm="1">
        <f t="array" ref="D292">IF(Settings!$E$12="YES",VLOOKUP(A292,'Player Data'!A1:E673,5,FALSE),82)</f>
        <v>83.314999999999998</v>
      </c>
      <c r="E292" s="55" cm="1">
        <f t="array" ref="E292">(VLOOKUP($A292,'The List'!$B1:$AH671,17,FALSE)-AVERAGE('The List'!R2:R671))/STDEV('The List'!R2:R671)</f>
        <v>1.1329556355234496</v>
      </c>
      <c r="F292" s="55" cm="1">
        <f t="array" ref="F292">(VLOOKUP($A292,'The List'!$B1:$AH671,18,FALSE)-AVERAGE('The List'!S2:S671))/STDEV('The List'!S2:S671)</f>
        <v>-0.33320956838786042</v>
      </c>
      <c r="G292" s="55" cm="1">
        <f t="array" ref="G292">(VLOOKUP($A292,'The List'!$B1:$AH671,19,FALSE)-AVERAGE('The List'!T2:T671))/STDEV('The List'!T2:T671)</f>
        <v>-3.4575385553245477E-2</v>
      </c>
      <c r="H292" s="55" cm="1">
        <f t="array" ref="H292">(VLOOKUP($A292,'The List'!$B1:$AH671,20,FALSE)-AVERAGE('The List'!U2:U671))/STDEV('The List'!U2:U671)</f>
        <v>-0.1695855720946336</v>
      </c>
      <c r="I292" s="55" cm="1">
        <f t="array" ref="I292">(VLOOKUP($A292,'The List'!$B1:$AH671,21,FALSE)-AVERAGE('The List'!V2:V671))/STDEV('The List'!V2:V671)</f>
        <v>0.42421098860824324</v>
      </c>
      <c r="J292" s="55" cm="1">
        <f t="array" ref="J292">(VLOOKUP($A292,'The List'!$B1:$AH671,22,FALSE)-AVERAGE('The List'!W2:W671))/STDEV('The List'!W2:W671)</f>
        <v>-0.22387202282504765</v>
      </c>
      <c r="K292" s="55" cm="1">
        <f t="array" ref="K292">(VLOOKUP($A292,'The List'!$B1:$AH671,23,FALSE)-AVERAGE('The List'!X2:X671))/STDEV('The List'!X2:X671)</f>
        <v>-0.26352286429646854</v>
      </c>
      <c r="L292" s="55" cm="1">
        <f t="array" ref="L292">(VLOOKUP($A292,'The List'!$B1:$AH671,24,FALSE)-AVERAGE('The List'!Y2:Y671))/STDEV('The List'!Y2:Y671)</f>
        <v>0.3304372436923102</v>
      </c>
      <c r="M292" s="55" cm="1">
        <f t="array" ref="M292">(VLOOKUP($A292,'The List'!$B1:$AH671,25,FALSE)-AVERAGE('The List'!Z2:Z671))/STDEV('The List'!Z2:Z671)</f>
        <v>-7.748093752772213E-2</v>
      </c>
      <c r="N292" s="55" cm="1">
        <f t="array" ref="N292">(VLOOKUP($A292,'The List'!$B1:$AH671,26,FALSE)-AVERAGE('The List'!AA2:AA671))/STDEV('The List'!AA2:AA671)</f>
        <v>2.2022990913026952</v>
      </c>
      <c r="O292" s="55" cm="1">
        <f t="array" ref="O292">(VLOOKUP($A292,'The List'!$B1:$AH671,27,FALSE)-AVERAGE('The List'!AB2:AB671))/STDEV('The List'!AB2:AB671)</f>
        <v>-0.84206180572124145</v>
      </c>
      <c r="P292" s="55" cm="1">
        <f t="array" ref="P292">(VLOOKUP($A292,'The List'!$B1:$AH671,28,FALSE)-AVERAGE('The List'!AC2:AC671))/STDEV('The List'!AC2:AC671)</f>
        <v>0.54178811028913254</v>
      </c>
      <c r="Q292" s="55" cm="1">
        <f t="array" ref="Q292">(VLOOKUP($A292,'The List'!$B1:$AH671,29,FALSE)-AVERAGE('The List'!AD2:AD671))/STDEV('The List'!AD2:AD671)</f>
        <v>1.0872904992686589</v>
      </c>
      <c r="R292" s="55" cm="1">
        <f t="array" ref="R292">(VLOOKUP($A292,'The List'!$B1:$AH671,30,FALSE)-AVERAGE('The List'!AE2:AE671))/STDEV('The List'!AE2:AE671)</f>
        <v>-9.5651429963664936E-2</v>
      </c>
      <c r="S292" s="55" cm="1">
        <f t="array" ref="S292">(VLOOKUP($A292,'The List'!$B1:$AH671,31,FALSE)-AVERAGE('The List'!AF2:AF671))/STDEV('The List'!AF2:AF671)</f>
        <v>-0.5939690971349143</v>
      </c>
      <c r="T292" s="55" cm="1">
        <f t="array" ref="T292">(VLOOKUP($A292,'The List'!$B1:$AH671,32,FALSE)-AVERAGE('The List'!AG2:AG671))/STDEV('The List'!AG2:AG671)</f>
        <v>-0.64602208138248207</v>
      </c>
      <c r="U292" s="55" cm="1">
        <f t="array" ref="U292">(VLOOKUP($A292,'The List'!$B1:$AH671,33,FALSE)-AVERAGE('The List'!AH2:AH671))/STDEV('The List'!AH2:AH671)</f>
        <v>-1.2548938914719048</v>
      </c>
      <c r="V292" s="55"/>
      <c r="W292" s="78"/>
      <c r="X292" s="57"/>
      <c r="Y292" s="57"/>
      <c r="Z292" s="57"/>
      <c r="AA292" s="57"/>
      <c r="AB292" s="57"/>
      <c r="AC292" s="60"/>
      <c r="AD292" s="61"/>
      <c r="AE292" s="55"/>
    </row>
    <row r="293" spans="1:31" ht="21.25" customHeight="1" x14ac:dyDescent="0.15">
      <c r="A293" s="10" t="s">
        <v>314</v>
      </c>
      <c r="B293" s="18" t="str" cm="1">
        <f t="array" ref="B293">VLOOKUP(A293,'Player Data'!A1:B673,2,FALSE)</f>
        <v>PIT</v>
      </c>
      <c r="C293" s="52" cm="1">
        <f t="array" ref="C293">((E293)*Settings!$C$12)+(F293*Settings!$C$2)+(G293*Settings!$C$3)+(H293*Settings!$C$4)+(I293*Settings!$C$5)+(K293*Settings!$C$9)+(N293*Settings!$C$6)+(J293*Settings!$C$8)+(O293*Settings!$C$7)+(P293*Settings!$C$14)+(Q293*Settings!$C$15)+(R293*Settings!$C$16)+(S293*Settings!$C$17)+(T293*Settings!$C$18)+(U293*Settings!$C$19)+(L293*Settings!$C$10)+(Settings!$C$11*M293)</f>
        <v>0.84372005395397709</v>
      </c>
      <c r="D293" s="57" cm="1">
        <f t="array" ref="D293">IF(Settings!$E$12="YES",VLOOKUP(A293,'Player Data'!A1:E673,5,FALSE),82)</f>
        <v>81.510000000000005</v>
      </c>
      <c r="E293" s="55" cm="1">
        <f t="array" ref="E293">(VLOOKUP($A293,'The List'!$B1:$AH671,17,FALSE)-AVERAGE('The List'!R2:R671))/STDEV('The List'!R2:R671)</f>
        <v>1.3232885791833426</v>
      </c>
      <c r="F293" s="55" cm="1">
        <f t="array" ref="F293">(VLOOKUP($A293,'The List'!$B1:$AH671,18,FALSE)-AVERAGE('The List'!S2:S671))/STDEV('The List'!S2:S671)</f>
        <v>-0.83817733320602672</v>
      </c>
      <c r="G293" s="55" cm="1">
        <f t="array" ref="G293">(VLOOKUP($A293,'The List'!$B1:$AH671,19,FALSE)-AVERAGE('The List'!T2:T671))/STDEV('The List'!T2:T671)</f>
        <v>0.14473689294213821</v>
      </c>
      <c r="H293" s="55" cm="1">
        <f t="array" ref="H293">(VLOOKUP($A293,'The List'!$B1:$AH671,20,FALSE)-AVERAGE('The List'!U2:U671))/STDEV('The List'!U2:U671)</f>
        <v>-0.28084230790496534</v>
      </c>
      <c r="I293" s="55" cm="1">
        <f t="array" ref="I293">(VLOOKUP($A293,'The List'!$B1:$AH671,21,FALSE)-AVERAGE('The List'!V2:V671))/STDEV('The List'!V2:V671)</f>
        <v>-3.7388260671437037E-2</v>
      </c>
      <c r="J293" s="55" cm="1">
        <f t="array" ref="J293">(VLOOKUP($A293,'The List'!$B1:$AH671,22,FALSE)-AVERAGE('The List'!W2:W671))/STDEV('The List'!W2:W671)</f>
        <v>-0.45204201494852925</v>
      </c>
      <c r="K293" s="55" cm="1">
        <f t="array" ref="K293">(VLOOKUP($A293,'The List'!$B1:$AH671,23,FALSE)-AVERAGE('The List'!X2:X671))/STDEV('The List'!X2:X671)</f>
        <v>-0.16273100421847383</v>
      </c>
      <c r="L293" s="55" cm="1">
        <f t="array" ref="L293">(VLOOKUP($A293,'The List'!$B1:$AH671,24,FALSE)-AVERAGE('The List'!Y2:Y671))/STDEV('The List'!Y2:Y671)</f>
        <v>-0.53099595088657203</v>
      </c>
      <c r="M293" s="55" cm="1">
        <f t="array" ref="M293">(VLOOKUP($A293,'The List'!$B1:$AH671,25,FALSE)-AVERAGE('The List'!Z2:Z671))/STDEV('The List'!Z2:Z671)</f>
        <v>-0.62871924414230718</v>
      </c>
      <c r="N293" s="55" cm="1">
        <f t="array" ref="N293">(VLOOKUP($A293,'The List'!$B1:$AH671,26,FALSE)-AVERAGE('The List'!AA2:AA671))/STDEV('The List'!AA2:AA671)</f>
        <v>1.1563745736248912</v>
      </c>
      <c r="O293" s="55" cm="1">
        <f t="array" ref="O293">(VLOOKUP($A293,'The List'!$B1:$AH671,27,FALSE)-AVERAGE('The List'!AB2:AB671))/STDEV('The List'!AB2:AB671)</f>
        <v>0.38937131799293739</v>
      </c>
      <c r="P293" s="55" cm="1">
        <f t="array" ref="P293">(VLOOKUP($A293,'The List'!$B1:$AH671,28,FALSE)-AVERAGE('The List'!AC2:AC671))/STDEV('The List'!AC2:AC671)</f>
        <v>-0.46583955099274743</v>
      </c>
      <c r="Q293" s="55" cm="1">
        <f t="array" ref="Q293">(VLOOKUP($A293,'The List'!$B1:$AH671,29,FALSE)-AVERAGE('The List'!AD2:AD671))/STDEV('The List'!AD2:AD671)</f>
        <v>1.0467447364756328</v>
      </c>
      <c r="R293" s="55" cm="1">
        <f t="array" ref="R293">(VLOOKUP($A293,'The List'!$B1:$AH671,30,FALSE)-AVERAGE('The List'!AE2:AE671))/STDEV('The List'!AE2:AE671)</f>
        <v>-0.85018620472165507</v>
      </c>
      <c r="S293" s="55" cm="1">
        <f t="array" ref="S293">(VLOOKUP($A293,'The List'!$B1:$AH671,31,FALSE)-AVERAGE('The List'!AF2:AF671))/STDEV('The List'!AF2:AF671)</f>
        <v>-0.5939690971349143</v>
      </c>
      <c r="T293" s="55" cm="1">
        <f t="array" ref="T293">(VLOOKUP($A293,'The List'!$B1:$AH671,32,FALSE)-AVERAGE('The List'!AG2:AG671))/STDEV('The List'!AG2:AG671)</f>
        <v>-0.64602208138248207</v>
      </c>
      <c r="U293" s="55" cm="1">
        <f t="array" ref="U293">(VLOOKUP($A293,'The List'!$B1:$AH671,33,FALSE)-AVERAGE('The List'!AH2:AH671))/STDEV('The List'!AH2:AH671)</f>
        <v>-1.2548938914719048</v>
      </c>
      <c r="V293" s="55"/>
      <c r="W293" s="78"/>
      <c r="X293" s="57"/>
      <c r="Y293" s="57"/>
      <c r="Z293" s="57"/>
      <c r="AA293" s="57"/>
      <c r="AB293" s="57"/>
      <c r="AC293" s="60"/>
      <c r="AD293" s="61"/>
      <c r="AE293" s="55"/>
    </row>
    <row r="294" spans="1:31" ht="21.25" customHeight="1" x14ac:dyDescent="0.15">
      <c r="A294" s="10" t="s">
        <v>624</v>
      </c>
      <c r="B294" s="18" t="str" cm="1">
        <f t="array" ref="B294">VLOOKUP(A294,'Player Data'!A1:B673,2,FALSE)</f>
        <v>OTT</v>
      </c>
      <c r="C294" s="52" cm="1">
        <f t="array" ref="C294">((E294)*Settings!$C$12)+(F294*Settings!$C$2)+(G294*Settings!$C$3)+(H294*Settings!$C$4)+(I294*Settings!$C$5)+(K294*Settings!$C$9)+(N294*Settings!$C$6)+(J294*Settings!$C$8)+(O294*Settings!$C$7)+(P294*Settings!$C$14)+(Q294*Settings!$C$15)+(R294*Settings!$C$16)+(S294*Settings!$C$17)+(T294*Settings!$C$18)+(U294*Settings!$C$19)+(L294*Settings!$C$10)+(Settings!$C$11*M294)</f>
        <v>-2.2465424675620431</v>
      </c>
      <c r="D294" s="57" cm="1">
        <f t="array" ref="D294">IF(Settings!$E$12="YES",VLOOKUP(A294,'Player Data'!A1:E673,5,FALSE),82)</f>
        <v>81.577500000000001</v>
      </c>
      <c r="E294" s="55" cm="1">
        <f t="array" ref="E294">(VLOOKUP($A294,'The List'!$B1:$AH671,17,FALSE)-AVERAGE('The List'!R2:R671))/STDEV('The List'!R2:R671)</f>
        <v>-0.42135569352779395</v>
      </c>
      <c r="F294" s="55" cm="1">
        <f t="array" ref="F294">(VLOOKUP($A294,'The List'!$B1:$AH671,18,FALSE)-AVERAGE('The List'!S2:S671))/STDEV('The List'!S2:S671)</f>
        <v>1.8865546686686691E-2</v>
      </c>
      <c r="G294" s="55" cm="1">
        <f t="array" ref="G294">(VLOOKUP($A294,'The List'!$B1:$AH671,19,FALSE)-AVERAGE('The List'!T2:T671))/STDEV('The List'!T2:T671)</f>
        <v>-0.3456222583750298</v>
      </c>
      <c r="H294" s="55" cm="1">
        <f t="array" ref="H294">(VLOOKUP($A294,'The List'!$B1:$AH671,20,FALSE)-AVERAGE('The List'!U2:U671))/STDEV('The List'!U2:U671)</f>
        <v>-0.20902434355358024</v>
      </c>
      <c r="I294" s="55" cm="1">
        <f t="array" ref="I294">(VLOOKUP($A294,'The List'!$B1:$AH671,21,FALSE)-AVERAGE('The List'!V2:V671))/STDEV('The List'!V2:V671)</f>
        <v>-0.43041124258490143</v>
      </c>
      <c r="J294" s="55" cm="1">
        <f t="array" ref="J294">(VLOOKUP($A294,'The List'!$B1:$AH671,22,FALSE)-AVERAGE('The List'!W2:W671))/STDEV('The List'!W2:W671)</f>
        <v>-0.7122677558276338</v>
      </c>
      <c r="K294" s="55" cm="1">
        <f t="array" ref="K294">(VLOOKUP($A294,'The List'!$B1:$AH671,23,FALSE)-AVERAGE('The List'!X2:X671))/STDEV('The List'!X2:X671)</f>
        <v>-0.78892433719056954</v>
      </c>
      <c r="L294" s="55" cm="1">
        <f t="array" ref="L294">(VLOOKUP($A294,'The List'!$B1:$AH671,24,FALSE)-AVERAGE('The List'!Y2:Y671))/STDEV('The List'!Y2:Y671)</f>
        <v>-0.30351674942034507</v>
      </c>
      <c r="M294" s="55" cm="1">
        <f t="array" ref="M294">(VLOOKUP($A294,'The List'!$B1:$AH671,25,FALSE)-AVERAGE('The List'!Z2:Z671))/STDEV('The List'!Z2:Z671)</f>
        <v>0.28204217259742326</v>
      </c>
      <c r="N294" s="55" cm="1">
        <f t="array" ref="N294">(VLOOKUP($A294,'The List'!$B1:$AH671,26,FALSE)-AVERAGE('The List'!AA2:AA671))/STDEV('The List'!AA2:AA671)</f>
        <v>-0.36658544290612538</v>
      </c>
      <c r="O294" s="55" cm="1">
        <f t="array" ref="O294">(VLOOKUP($A294,'The List'!$B1:$AH671,27,FALSE)-AVERAGE('The List'!AB2:AB671))/STDEV('The List'!AB2:AB671)</f>
        <v>0.32795954430215396</v>
      </c>
      <c r="P294" s="55" cm="1">
        <f t="array" ref="P294">(VLOOKUP($A294,'The List'!$B1:$AH671,28,FALSE)-AVERAGE('The List'!AC2:AC671))/STDEV('The List'!AC2:AC671)</f>
        <v>0.43827186687190078</v>
      </c>
      <c r="Q294" s="55" cm="1">
        <f t="array" ref="Q294">(VLOOKUP($A294,'The List'!$B1:$AH671,29,FALSE)-AVERAGE('The List'!AD2:AD671))/STDEV('The List'!AD2:AD671)</f>
        <v>-0.77213660006400453</v>
      </c>
      <c r="R294" s="55" cm="1">
        <f t="array" ref="R294">(VLOOKUP($A294,'The List'!$B1:$AH671,30,FALSE)-AVERAGE('The List'!AE2:AE671))/STDEV('The List'!AE2:AE671)</f>
        <v>0.20775464524069981</v>
      </c>
      <c r="S294" s="55" cm="1">
        <f t="array" ref="S294">(VLOOKUP($A294,'The List'!$B1:$AH671,31,FALSE)-AVERAGE('The List'!AF2:AF671))/STDEV('The List'!AF2:AF671)</f>
        <v>-0.49262327349182067</v>
      </c>
      <c r="T294" s="55" cm="1">
        <f t="array" ref="T294">(VLOOKUP($A294,'The List'!$B1:$AH671,32,FALSE)-AVERAGE('The List'!AG2:AG671))/STDEV('The List'!AG2:AG671)</f>
        <v>-0.51046852854872649</v>
      </c>
      <c r="U294" s="55" cm="1">
        <f t="array" ref="U294">(VLOOKUP($A294,'The List'!$B1:$AH671,33,FALSE)-AVERAGE('The List'!AH2:AH671))/STDEV('The List'!AH2:AH671)</f>
        <v>0.78277702750873557</v>
      </c>
      <c r="V294" s="55"/>
      <c r="W294" s="78"/>
      <c r="X294" s="57"/>
      <c r="Y294" s="57"/>
      <c r="Z294" s="57"/>
      <c r="AA294" s="57"/>
      <c r="AB294" s="57"/>
      <c r="AC294" s="60"/>
      <c r="AD294" s="61"/>
      <c r="AE294" s="55"/>
    </row>
    <row r="295" spans="1:31" ht="21.25" customHeight="1" x14ac:dyDescent="0.15">
      <c r="A295" s="10" t="s">
        <v>570</v>
      </c>
      <c r="B295" s="18" t="str" cm="1">
        <f t="array" ref="B295">VLOOKUP(A295,'Player Data'!A1:B673,2,FALSE)</f>
        <v>NYI</v>
      </c>
      <c r="C295" s="52" cm="1">
        <f t="array" ref="C295">((E295)*Settings!$C$12)+(F295*Settings!$C$2)+(G295*Settings!$C$3)+(H295*Settings!$C$4)+(I295*Settings!$C$5)+(K295*Settings!$C$9)+(N295*Settings!$C$6)+(J295*Settings!$C$8)+(O295*Settings!$C$7)+(P295*Settings!$C$14)+(Q295*Settings!$C$15)+(R295*Settings!$C$16)+(S295*Settings!$C$17)+(T295*Settings!$C$18)+(U295*Settings!$C$19)+(L295*Settings!$C$10)+(Settings!$C$11*M295)</f>
        <v>-2.517361572612415</v>
      </c>
      <c r="D295" s="57" cm="1">
        <f t="array" ref="D295">IF(Settings!$E$12="YES",VLOOKUP(A295,'Player Data'!A1:E673,5,FALSE),82)</f>
        <v>79.08</v>
      </c>
      <c r="E295" s="55" cm="1">
        <f t="array" ref="E295">(VLOOKUP($A295,'The List'!$B1:$AH671,17,FALSE)-AVERAGE('The List'!R2:R671))/STDEV('The List'!R2:R671)</f>
        <v>-0.31733740421424195</v>
      </c>
      <c r="F295" s="55" cm="1">
        <f t="array" ref="F295">(VLOOKUP($A295,'The List'!$B1:$AH671,18,FALSE)-AVERAGE('The List'!S2:S671))/STDEV('The List'!S2:S671)</f>
        <v>0.499098014836446</v>
      </c>
      <c r="G295" s="55" cm="1">
        <f t="array" ref="G295">(VLOOKUP($A295,'The List'!$B1:$AH671,19,FALSE)-AVERAGE('The List'!T2:T671))/STDEV('The List'!T2:T671)</f>
        <v>-0.75922350748449274</v>
      </c>
      <c r="H295" s="55" cm="1">
        <f t="array" ref="H295">(VLOOKUP($A295,'The List'!$B1:$AH671,20,FALSE)-AVERAGE('The List'!U2:U671))/STDEV('The List'!U2:U671)</f>
        <v>-0.2561086466759972</v>
      </c>
      <c r="I295" s="55" cm="1">
        <f t="array" ref="I295">(VLOOKUP($A295,'The List'!$B1:$AH671,21,FALSE)-AVERAGE('The List'!V2:V671))/STDEV('The List'!V2:V671)</f>
        <v>0.36641286196706557</v>
      </c>
      <c r="J295" s="55" cm="1">
        <f t="array" ref="J295">(VLOOKUP($A295,'The List'!$B1:$AH671,22,FALSE)-AVERAGE('The List'!W2:W671))/STDEV('The List'!W2:W671)</f>
        <v>5.944651901090188E-2</v>
      </c>
      <c r="K295" s="55" cm="1">
        <f t="array" ref="K295">(VLOOKUP($A295,'The List'!$B1:$AH671,23,FALSE)-AVERAGE('The List'!X2:X671))/STDEV('The List'!X2:X671)</f>
        <v>-0.35750746223885499</v>
      </c>
      <c r="L295" s="55" cm="1">
        <f t="array" ref="L295">(VLOOKUP($A295,'The List'!$B1:$AH671,24,FALSE)-AVERAGE('The List'!Y2:Y671))/STDEV('The List'!Y2:Y671)</f>
        <v>-0.27454148507196746</v>
      </c>
      <c r="M295" s="55" cm="1">
        <f t="array" ref="M295">(VLOOKUP($A295,'The List'!$B1:$AH671,25,FALSE)-AVERAGE('The List'!Z2:Z671))/STDEV('The List'!Z2:Z671)</f>
        <v>-0.41874597083778958</v>
      </c>
      <c r="N295" s="55" cm="1">
        <f t="array" ref="N295">(VLOOKUP($A295,'The List'!$B1:$AH671,26,FALSE)-AVERAGE('The List'!AA2:AA671))/STDEV('The List'!AA2:AA671)</f>
        <v>-0.40849698420537844</v>
      </c>
      <c r="O295" s="55" cm="1">
        <f t="array" ref="O295">(VLOOKUP($A295,'The List'!$B1:$AH671,27,FALSE)-AVERAGE('The List'!AB2:AB671))/STDEV('The List'!AB2:AB671)</f>
        <v>2.628851215342328</v>
      </c>
      <c r="P295" s="55" cm="1">
        <f t="array" ref="P295">(VLOOKUP($A295,'The List'!$B1:$AH671,28,FALSE)-AVERAGE('The List'!AC2:AC671))/STDEV('The List'!AC2:AC671)</f>
        <v>-1.2365072406702142</v>
      </c>
      <c r="Q295" s="55" cm="1">
        <f t="array" ref="Q295">(VLOOKUP($A295,'The List'!$B1:$AH671,29,FALSE)-AVERAGE('The List'!AD2:AD671))/STDEV('The List'!AD2:AD671)</f>
        <v>-0.62113725481698623</v>
      </c>
      <c r="R295" s="55" cm="1">
        <f t="array" ref="R295">(VLOOKUP($A295,'The List'!$B1:$AH671,30,FALSE)-AVERAGE('The List'!AE2:AE671))/STDEV('The List'!AE2:AE671)</f>
        <v>0.37375807591756754</v>
      </c>
      <c r="S295" s="55" cm="1">
        <f t="array" ref="S295">(VLOOKUP($A295,'The List'!$B1:$AH671,31,FALSE)-AVERAGE('The List'!AF2:AF671))/STDEV('The List'!AF2:AF671)</f>
        <v>-0.56987201586027925</v>
      </c>
      <c r="T295" s="55" cm="1">
        <f t="array" ref="T295">(VLOOKUP($A295,'The List'!$B1:$AH671,32,FALSE)-AVERAGE('The List'!AG2:AG671))/STDEV('The List'!AG2:AG671)</f>
        <v>-0.58141892123312322</v>
      </c>
      <c r="U295" s="55" cm="1">
        <f t="array" ref="U295">(VLOOKUP($A295,'The List'!$B1:$AH671,33,FALSE)-AVERAGE('The List'!AH2:AH671))/STDEV('The List'!AH2:AH671)</f>
        <v>5.1992884038919392E-2</v>
      </c>
      <c r="V295" s="55"/>
      <c r="W295" s="78"/>
      <c r="X295" s="57"/>
      <c r="Y295" s="57"/>
      <c r="Z295" s="57"/>
      <c r="AA295" s="57"/>
      <c r="AB295" s="57"/>
      <c r="AC295" s="60"/>
      <c r="AD295" s="61"/>
      <c r="AE295" s="55"/>
    </row>
    <row r="296" spans="1:31" ht="21.25" customHeight="1" x14ac:dyDescent="0.15">
      <c r="A296" s="10" t="s">
        <v>312</v>
      </c>
      <c r="B296" s="18" t="str" cm="1">
        <f t="array" ref="B296">VLOOKUP(A296,'Player Data'!A1:B673,2,FALSE)</f>
        <v>BUF</v>
      </c>
      <c r="C296" s="52" cm="1">
        <f t="array" ref="C296">((E296)*Settings!$C$12)+(F296*Settings!$C$2)+(G296*Settings!$C$3)+(H296*Settings!$C$4)+(I296*Settings!$C$5)+(K296*Settings!$C$9)+(N296*Settings!$C$6)+(J296*Settings!$C$8)+(O296*Settings!$C$7)+(P296*Settings!$C$14)+(Q296*Settings!$C$15)+(R296*Settings!$C$16)+(S296*Settings!$C$17)+(T296*Settings!$C$18)+(U296*Settings!$C$19)+(L296*Settings!$C$10)+(Settings!$C$11*M296)</f>
        <v>0.56861858931909703</v>
      </c>
      <c r="D296" s="57" cm="1">
        <f t="array" ref="D296">IF(Settings!$E$12="YES",VLOOKUP(A296,'Player Data'!A1:E673,5,FALSE),82)</f>
        <v>76.47</v>
      </c>
      <c r="E296" s="55" cm="1">
        <f t="array" ref="E296">(VLOOKUP($A296,'The List'!$B1:$AH671,17,FALSE)-AVERAGE('The List'!R2:R671))/STDEV('The List'!R2:R671)</f>
        <v>1.6040690186828022</v>
      </c>
      <c r="F296" s="55" cm="1">
        <f t="array" ref="F296">(VLOOKUP($A296,'The List'!$B1:$AH671,18,FALSE)-AVERAGE('The List'!S2:S671))/STDEV('The List'!S2:S671)</f>
        <v>-0.500296121074158</v>
      </c>
      <c r="G296" s="55" cm="1">
        <f t="array" ref="G296">(VLOOKUP($A296,'The List'!$B1:$AH671,19,FALSE)-AVERAGE('The List'!T2:T671))/STDEV('The List'!T2:T671)</f>
        <v>-0.12988659586391924</v>
      </c>
      <c r="H296" s="55" cm="1">
        <f t="array" ref="H296">(VLOOKUP($A296,'The List'!$B1:$AH671,20,FALSE)-AVERAGE('The List'!U2:U671))/STDEV('The List'!U2:U671)</f>
        <v>-0.30366848904165983</v>
      </c>
      <c r="I296" s="55" cm="1">
        <f t="array" ref="I296">(VLOOKUP($A296,'The List'!$B1:$AH671,21,FALSE)-AVERAGE('The List'!V2:V671))/STDEV('The List'!V2:V671)</f>
        <v>-0.40848170401347583</v>
      </c>
      <c r="J296" s="55" cm="1">
        <f t="array" ref="J296">(VLOOKUP($A296,'The List'!$B1:$AH671,22,FALSE)-AVERAGE('The List'!W2:W671))/STDEV('The List'!W2:W671)</f>
        <v>-0.74776032553133875</v>
      </c>
      <c r="K296" s="55" cm="1">
        <f t="array" ref="K296">(VLOOKUP($A296,'The List'!$B1:$AH671,23,FALSE)-AVERAGE('The List'!X2:X671))/STDEV('The List'!X2:X671)</f>
        <v>-0.79952551791530324</v>
      </c>
      <c r="L296" s="55" cm="1">
        <f t="array" ref="L296">(VLOOKUP($A296,'The List'!$B1:$AH671,24,FALSE)-AVERAGE('The List'!Y2:Y671))/STDEV('The List'!Y2:Y671)</f>
        <v>0.49277998714893811</v>
      </c>
      <c r="M296" s="55" cm="1">
        <f t="array" ref="M296">(VLOOKUP($A296,'The List'!$B1:$AH671,25,FALSE)-AVERAGE('The List'!Z2:Z671))/STDEV('The List'!Z2:Z671)</f>
        <v>1.2869114391649359</v>
      </c>
      <c r="N296" s="55" cm="1">
        <f t="array" ref="N296">(VLOOKUP($A296,'The List'!$B1:$AH671,26,FALSE)-AVERAGE('The List'!AA2:AA671))/STDEV('The List'!AA2:AA671)</f>
        <v>2.0517826621015165</v>
      </c>
      <c r="O296" s="55" cm="1">
        <f t="array" ref="O296">(VLOOKUP($A296,'The List'!$B1:$AH671,27,FALSE)-AVERAGE('The List'!AB2:AB671))/STDEV('The List'!AB2:AB671)</f>
        <v>0.722545090483101</v>
      </c>
      <c r="P296" s="55" cm="1">
        <f t="array" ref="P296">(VLOOKUP($A296,'The List'!$B1:$AH671,28,FALSE)-AVERAGE('The List'!AC2:AC671))/STDEV('The List'!AC2:AC671)</f>
        <v>0.40557975915743788</v>
      </c>
      <c r="Q296" s="55" cm="1">
        <f t="array" ref="Q296">(VLOOKUP($A296,'The List'!$B1:$AH671,29,FALSE)-AVERAGE('The List'!AD2:AD671))/STDEV('The List'!AD2:AD671)</f>
        <v>-5.0553893073001337E-2</v>
      </c>
      <c r="R296" s="55" cm="1">
        <f t="array" ref="R296">(VLOOKUP($A296,'The List'!$B1:$AH671,30,FALSE)-AVERAGE('The List'!AE2:AE671))/STDEV('The List'!AE2:AE671)</f>
        <v>-0.51258164670052864</v>
      </c>
      <c r="S296" s="55" cm="1">
        <f t="array" ref="S296">(VLOOKUP($A296,'The List'!$B1:$AH671,31,FALSE)-AVERAGE('The List'!AF2:AF671))/STDEV('The List'!AF2:AF671)</f>
        <v>-0.5939690971349143</v>
      </c>
      <c r="T296" s="55" cm="1">
        <f t="array" ref="T296">(VLOOKUP($A296,'The List'!$B1:$AH671,32,FALSE)-AVERAGE('The List'!AG2:AG671))/STDEV('The List'!AG2:AG671)</f>
        <v>-0.64602208138248207</v>
      </c>
      <c r="U296" s="55" cm="1">
        <f t="array" ref="U296">(VLOOKUP($A296,'The List'!$B1:$AH671,33,FALSE)-AVERAGE('The List'!AH2:AH671))/STDEV('The List'!AH2:AH671)</f>
        <v>-1.2548938914719048</v>
      </c>
      <c r="V296" s="55"/>
      <c r="W296" s="78"/>
      <c r="X296" s="57"/>
      <c r="Y296" s="57"/>
      <c r="Z296" s="57"/>
      <c r="AA296" s="57"/>
      <c r="AB296" s="57"/>
      <c r="AC296" s="60"/>
      <c r="AD296" s="61"/>
      <c r="AE296" s="55"/>
    </row>
    <row r="297" spans="1:31" ht="21.25" customHeight="1" x14ac:dyDescent="0.15">
      <c r="A297" s="10" t="s">
        <v>305</v>
      </c>
      <c r="B297" s="18" t="str" cm="1">
        <f t="array" ref="B297">VLOOKUP(A297,'Player Data'!A1:B673,2,FALSE)</f>
        <v>TOR</v>
      </c>
      <c r="C297" s="52" cm="1">
        <f t="array" ref="C297">((E297)*Settings!$C$12)+(F297*Settings!$C$2)+(G297*Settings!$C$3)+(H297*Settings!$C$4)+(I297*Settings!$C$5)+(K297*Settings!$C$9)+(N297*Settings!$C$6)+(J297*Settings!$C$8)+(O297*Settings!$C$7)+(P297*Settings!$C$14)+(Q297*Settings!$C$15)+(R297*Settings!$C$16)+(S297*Settings!$C$17)+(T297*Settings!$C$18)+(U297*Settings!$C$19)+(L297*Settings!$C$10)+(Settings!$C$11*M297)</f>
        <v>-0.18694372461341163</v>
      </c>
      <c r="D297" s="57" cm="1">
        <f t="array" ref="D297">IF(Settings!$E$12="YES",VLOOKUP(A297,'Player Data'!A1:E673,5,FALSE),82)</f>
        <v>82.32</v>
      </c>
      <c r="E297" s="55" cm="1">
        <f t="array" ref="E297">(VLOOKUP($A297,'The List'!$B1:$AH671,17,FALSE)-AVERAGE('The List'!R2:R671))/STDEV('The List'!R2:R671)</f>
        <v>0.54821994825416065</v>
      </c>
      <c r="F297" s="55" cm="1">
        <f t="array" ref="F297">(VLOOKUP($A297,'The List'!$B1:$AH671,18,FALSE)-AVERAGE('The List'!S2:S671))/STDEV('The List'!S2:S671)</f>
        <v>-0.69009477897283877</v>
      </c>
      <c r="G297" s="55" cm="1">
        <f t="array" ref="G297">(VLOOKUP($A297,'The List'!$B1:$AH671,19,FALSE)-AVERAGE('The List'!T2:T671))/STDEV('The List'!T2:T671)</f>
        <v>0.16131922738494003</v>
      </c>
      <c r="H297" s="55" cm="1">
        <f t="array" ref="H297">(VLOOKUP($A297,'The List'!$B1:$AH671,20,FALSE)-AVERAGE('The List'!U2:U671))/STDEV('The List'!U2:U671)</f>
        <v>-0.20471109904016607</v>
      </c>
      <c r="I297" s="55" cm="1">
        <f t="array" ref="I297">(VLOOKUP($A297,'The List'!$B1:$AH671,21,FALSE)-AVERAGE('The List'!V2:V671))/STDEV('The List'!V2:V671)</f>
        <v>-9.0463541533666203E-2</v>
      </c>
      <c r="J297" s="55" cm="1">
        <f t="array" ref="J297">(VLOOKUP($A297,'The List'!$B1:$AH671,22,FALSE)-AVERAGE('The List'!W2:W671))/STDEV('The List'!W2:W671)</f>
        <v>-0.60999485745825377</v>
      </c>
      <c r="K297" s="55" cm="1">
        <f t="array" ref="K297">(VLOOKUP($A297,'The List'!$B1:$AH671,23,FALSE)-AVERAGE('The List'!X2:X671))/STDEV('The List'!X2:X671)</f>
        <v>-0.26480754346905716</v>
      </c>
      <c r="L297" s="55" cm="1">
        <f t="array" ref="L297">(VLOOKUP($A297,'The List'!$B1:$AH671,24,FALSE)-AVERAGE('The List'!Y2:Y671))/STDEV('The List'!Y2:Y671)</f>
        <v>-0.5226643625886257</v>
      </c>
      <c r="M297" s="55" cm="1">
        <f t="array" ref="M297">(VLOOKUP($A297,'The List'!$B1:$AH671,25,FALSE)-AVERAGE('The List'!Z2:Z671))/STDEV('The List'!Z2:Z671)</f>
        <v>-0.36405830178633608</v>
      </c>
      <c r="N297" s="55" cm="1">
        <f t="array" ref="N297">(VLOOKUP($A297,'The List'!$B1:$AH671,26,FALSE)-AVERAGE('The List'!AA2:AA671))/STDEV('The List'!AA2:AA671)</f>
        <v>1.2789108615884806</v>
      </c>
      <c r="O297" s="55" cm="1">
        <f t="array" ref="O297">(VLOOKUP($A297,'The List'!$B1:$AH671,27,FALSE)-AVERAGE('The List'!AB2:AB671))/STDEV('The List'!AB2:AB671)</f>
        <v>-0.88438017943092151</v>
      </c>
      <c r="P297" s="55" cm="1">
        <f t="array" ref="P297">(VLOOKUP($A297,'The List'!$B1:$AH671,28,FALSE)-AVERAGE('The List'!AC2:AC671))/STDEV('The List'!AC2:AC671)</f>
        <v>-6.1003572507965655E-2</v>
      </c>
      <c r="Q297" s="55" cm="1">
        <f t="array" ref="Q297">(VLOOKUP($A297,'The List'!$B1:$AH671,29,FALSE)-AVERAGE('The List'!AD2:AD671))/STDEV('The List'!AD2:AD671)</f>
        <v>-0.52080437710330441</v>
      </c>
      <c r="R297" s="55" cm="1">
        <f t="array" ref="R297">(VLOOKUP($A297,'The List'!$B1:$AH671,30,FALSE)-AVERAGE('The List'!AE2:AE671))/STDEV('The List'!AE2:AE671)</f>
        <v>-0.75188297973801566</v>
      </c>
      <c r="S297" s="55" cm="1">
        <f t="array" ref="S297">(VLOOKUP($A297,'The List'!$B1:$AH671,31,FALSE)-AVERAGE('The List'!AF2:AF671))/STDEV('The List'!AF2:AF671)</f>
        <v>-0.5939690971349143</v>
      </c>
      <c r="T297" s="55" cm="1">
        <f t="array" ref="T297">(VLOOKUP($A297,'The List'!$B1:$AH671,32,FALSE)-AVERAGE('The List'!AG2:AG671))/STDEV('The List'!AG2:AG671)</f>
        <v>-0.64602208138248207</v>
      </c>
      <c r="U297" s="55" cm="1">
        <f t="array" ref="U297">(VLOOKUP($A297,'The List'!$B1:$AH671,33,FALSE)-AVERAGE('The List'!AH2:AH671))/STDEV('The List'!AH2:AH671)</f>
        <v>-1.2548938914719048</v>
      </c>
      <c r="V297" s="55"/>
      <c r="W297" s="78"/>
      <c r="X297" s="57"/>
      <c r="Y297" s="57"/>
      <c r="Z297" s="57"/>
      <c r="AA297" s="57"/>
      <c r="AB297" s="57"/>
      <c r="AC297" s="60"/>
      <c r="AD297" s="61"/>
      <c r="AE297" s="55"/>
    </row>
    <row r="298" spans="1:31" ht="21.25" customHeight="1" x14ac:dyDescent="0.15">
      <c r="A298" s="10" t="s">
        <v>620</v>
      </c>
      <c r="B298" s="18" t="str" cm="1">
        <f t="array" ref="B298">VLOOKUP(A298,'Player Data'!A1:B673,2,FALSE)</f>
        <v>CHI</v>
      </c>
      <c r="C298" s="52" cm="1">
        <f t="array" ref="C298">((E298)*Settings!$C$12)+(F298*Settings!$C$2)+(G298*Settings!$C$3)+(H298*Settings!$C$4)+(I298*Settings!$C$5)+(K298*Settings!$C$9)+(N298*Settings!$C$6)+(J298*Settings!$C$8)+(O298*Settings!$C$7)+(P298*Settings!$C$14)+(Q298*Settings!$C$15)+(R298*Settings!$C$16)+(S298*Settings!$C$17)+(T298*Settings!$C$18)+(U298*Settings!$C$19)+(L298*Settings!$C$10)+(Settings!$C$11*M298)</f>
        <v>-4.6130221817348129</v>
      </c>
      <c r="D298" s="57" cm="1">
        <f t="array" ref="D298">IF(Settings!$E$12="YES",VLOOKUP(A298,'Player Data'!A1:E673,5,FALSE),82)</f>
        <v>82.94</v>
      </c>
      <c r="E298" s="55" cm="1">
        <f t="array" ref="E298">(VLOOKUP($A298,'The List'!$B1:$AH671,17,FALSE)-AVERAGE('The List'!R2:R671))/STDEV('The List'!R2:R671)</f>
        <v>-0.15637451215662654</v>
      </c>
      <c r="F298" s="55" cm="1">
        <f t="array" ref="F298">(VLOOKUP($A298,'The List'!$B1:$AH671,18,FALSE)-AVERAGE('The List'!S2:S671))/STDEV('The List'!S2:S671)</f>
        <v>3.1973472389789433E-2</v>
      </c>
      <c r="G298" s="55" cm="1">
        <f t="array" ref="G298">(VLOOKUP($A298,'The List'!$B1:$AH671,19,FALSE)-AVERAGE('The List'!T2:T671))/STDEV('The List'!T2:T671)</f>
        <v>-0.33797952561647054</v>
      </c>
      <c r="H298" s="55" cm="1">
        <f t="array" ref="H298">(VLOOKUP($A298,'The List'!$B1:$AH671,20,FALSE)-AVERAGE('The List'!U2:U671))/STDEV('The List'!U2:U671)</f>
        <v>-0.19840140349526933</v>
      </c>
      <c r="I298" s="55" cm="1">
        <f t="array" ref="I298">(VLOOKUP($A298,'The List'!$B1:$AH671,21,FALSE)-AVERAGE('The List'!V2:V671))/STDEV('The List'!V2:V671)</f>
        <v>-0.23727987032188971</v>
      </c>
      <c r="J298" s="55" cm="1">
        <f t="array" ref="J298">(VLOOKUP($A298,'The List'!$B1:$AH671,22,FALSE)-AVERAGE('The List'!W2:W671))/STDEV('The List'!W2:W671)</f>
        <v>-0.45376555568228877</v>
      </c>
      <c r="K298" s="55" cm="1">
        <f t="array" ref="K298">(VLOOKUP($A298,'The List'!$B1:$AH671,23,FALSE)-AVERAGE('The List'!X2:X671))/STDEV('The List'!X2:X671)</f>
        <v>-0.4678038956737669</v>
      </c>
      <c r="L298" s="55" cm="1">
        <f t="array" ref="L298">(VLOOKUP($A298,'The List'!$B1:$AH671,24,FALSE)-AVERAGE('The List'!Y2:Y671))/STDEV('The List'!Y2:Y671)</f>
        <v>1.7435963726732389</v>
      </c>
      <c r="M298" s="55" cm="1">
        <f t="array" ref="M298">(VLOOKUP($A298,'The List'!$B1:$AH671,25,FALSE)-AVERAGE('The List'!Z2:Z671))/STDEV('The List'!Z2:Z671)</f>
        <v>0.867397201054252</v>
      </c>
      <c r="N298" s="55" cm="1">
        <f t="array" ref="N298">(VLOOKUP($A298,'The List'!$B1:$AH671,26,FALSE)-AVERAGE('The List'!AA2:AA671))/STDEV('The List'!AA2:AA671)</f>
        <v>-0.61727319681077675</v>
      </c>
      <c r="O298" s="55" cm="1">
        <f t="array" ref="O298">(VLOOKUP($A298,'The List'!$B1:$AH671,27,FALSE)-AVERAGE('The List'!AB2:AB671))/STDEV('The List'!AB2:AB671)</f>
        <v>-0.63192150815870662</v>
      </c>
      <c r="P298" s="55" cm="1">
        <f t="array" ref="P298">(VLOOKUP($A298,'The List'!$B1:$AH671,28,FALSE)-AVERAGE('The List'!AC2:AC671))/STDEV('The List'!AC2:AC671)</f>
        <v>-2.122785706060176</v>
      </c>
      <c r="Q298" s="55" cm="1">
        <f t="array" ref="Q298">(VLOOKUP($A298,'The List'!$B1:$AH671,29,FALSE)-AVERAGE('The List'!AD2:AD671))/STDEV('The List'!AD2:AD671)</f>
        <v>-0.86187345964152273</v>
      </c>
      <c r="R298" s="55" cm="1">
        <f t="array" ref="R298">(VLOOKUP($A298,'The List'!$B1:$AH671,30,FALSE)-AVERAGE('The List'!AE2:AE671))/STDEV('The List'!AE2:AE671)</f>
        <v>-0.25094294822557972</v>
      </c>
      <c r="S298" s="55" cm="1">
        <f t="array" ref="S298">(VLOOKUP($A298,'The List'!$B1:$AH671,31,FALSE)-AVERAGE('The List'!AF2:AF671))/STDEV('The List'!AF2:AF671)</f>
        <v>1.0122369634678594</v>
      </c>
      <c r="T298" s="55" cm="1">
        <f t="array" ref="T298">(VLOOKUP($A298,'The List'!$B1:$AH671,32,FALSE)-AVERAGE('The List'!AG2:AG671))/STDEV('The List'!AG2:AG671)</f>
        <v>1.6504724455182769</v>
      </c>
      <c r="U298" s="55" cm="1">
        <f t="array" ref="U298">(VLOOKUP($A298,'The List'!$B1:$AH671,33,FALSE)-AVERAGE('The List'!AH2:AH671))/STDEV('The List'!AH2:AH671)</f>
        <v>0.70744501704923124</v>
      </c>
      <c r="V298" s="55"/>
      <c r="W298" s="78"/>
      <c r="X298" s="57"/>
      <c r="Y298" s="57"/>
      <c r="Z298" s="57"/>
      <c r="AA298" s="57"/>
      <c r="AB298" s="57"/>
      <c r="AC298" s="60"/>
      <c r="AD298" s="61"/>
      <c r="AE298" s="55"/>
    </row>
    <row r="299" spans="1:31" ht="21.25" customHeight="1" x14ac:dyDescent="0.15">
      <c r="A299" s="10" t="s">
        <v>326</v>
      </c>
      <c r="B299" s="18" t="str" cm="1">
        <f t="array" ref="B299">VLOOKUP(A299,'Player Data'!A1:B673,2,FALSE)</f>
        <v>CHI</v>
      </c>
      <c r="C299" s="52" cm="1">
        <f t="array" ref="C299">((E299)*Settings!$C$12)+(F299*Settings!$C$2)+(G299*Settings!$C$3)+(H299*Settings!$C$4)+(I299*Settings!$C$5)+(K299*Settings!$C$9)+(N299*Settings!$C$6)+(J299*Settings!$C$8)+(O299*Settings!$C$7)+(P299*Settings!$C$14)+(Q299*Settings!$C$15)+(R299*Settings!$C$16)+(S299*Settings!$C$17)+(T299*Settings!$C$18)+(U299*Settings!$C$19)+(L299*Settings!$C$10)+(Settings!$C$11*M299)</f>
        <v>-1.424691544589173</v>
      </c>
      <c r="D299" s="57" cm="1">
        <f t="array" ref="D299">IF(Settings!$E$12="YES",VLOOKUP(A299,'Player Data'!A1:E673,5,FALSE),82)</f>
        <v>78.22</v>
      </c>
      <c r="E299" s="55" cm="1">
        <f t="array" ref="E299">(VLOOKUP($A299,'The List'!$B1:$AH671,17,FALSE)-AVERAGE('The List'!R2:R671))/STDEV('The List'!R2:R671)</f>
        <v>1.0405125160100639</v>
      </c>
      <c r="F299" s="55" cm="1">
        <f t="array" ref="F299">(VLOOKUP($A299,'The List'!$B1:$AH671,18,FALSE)-AVERAGE('The List'!S2:S671))/STDEV('The List'!S2:S671)</f>
        <v>-0.87276251060946541</v>
      </c>
      <c r="G299" s="55" cm="1">
        <f t="array" ref="G299">(VLOOKUP($A299,'The List'!$B1:$AH671,19,FALSE)-AVERAGE('The List'!T2:T671))/STDEV('The List'!T2:T671)</f>
        <v>0.16451178569268604</v>
      </c>
      <c r="H299" s="55" cm="1">
        <f t="array" ref="H299">(VLOOKUP($A299,'The List'!$B1:$AH671,20,FALSE)-AVERAGE('The List'!U2:U671))/STDEV('The List'!U2:U671)</f>
        <v>-0.28374869561362925</v>
      </c>
      <c r="I299" s="55" cm="1">
        <f t="array" ref="I299">(VLOOKUP($A299,'The List'!$B1:$AH671,21,FALSE)-AVERAGE('The List'!V2:V671))/STDEV('The List'!V2:V671)</f>
        <v>-0.19405010431826197</v>
      </c>
      <c r="J299" s="55" cm="1">
        <f t="array" ref="J299">(VLOOKUP($A299,'The List'!$B1:$AH671,22,FALSE)-AVERAGE('The List'!W2:W671))/STDEV('The List'!W2:W671)</f>
        <v>-0.43788267866267594</v>
      </c>
      <c r="K299" s="55" cm="1">
        <f t="array" ref="K299">(VLOOKUP($A299,'The List'!$B1:$AH671,23,FALSE)-AVERAGE('The List'!X2:X671))/STDEV('The List'!X2:X671)</f>
        <v>8.4042009806381227E-2</v>
      </c>
      <c r="L299" s="55" cm="1">
        <f t="array" ref="L299">(VLOOKUP($A299,'The List'!$B1:$AH671,24,FALSE)-AVERAGE('The List'!Y2:Y671))/STDEV('The List'!Y2:Y671)</f>
        <v>-0.44069671301530761</v>
      </c>
      <c r="M299" s="55" cm="1">
        <f t="array" ref="M299">(VLOOKUP($A299,'The List'!$B1:$AH671,25,FALSE)-AVERAGE('The List'!Z2:Z671))/STDEV('The List'!Z2:Z671)</f>
        <v>-0.51542618003124607</v>
      </c>
      <c r="N299" s="55" cm="1">
        <f t="array" ref="N299">(VLOOKUP($A299,'The List'!$B1:$AH671,26,FALSE)-AVERAGE('The List'!AA2:AA671))/STDEV('The List'!AA2:AA671)</f>
        <v>0.92132161973226423</v>
      </c>
      <c r="O299" s="55" cm="1">
        <f t="array" ref="O299">(VLOOKUP($A299,'The List'!$B1:$AH671,27,FALSE)-AVERAGE('The List'!AB2:AB671))/STDEV('The List'!AB2:AB671)</f>
        <v>0.43078174188544016</v>
      </c>
      <c r="P299" s="55" cm="1">
        <f t="array" ref="P299">(VLOOKUP($A299,'The List'!$B1:$AH671,28,FALSE)-AVERAGE('The List'!AC2:AC671))/STDEV('The List'!AC2:AC671)</f>
        <v>-2.5959380794899829</v>
      </c>
      <c r="Q299" s="55" cm="1">
        <f t="array" ref="Q299">(VLOOKUP($A299,'The List'!$B1:$AH671,29,FALSE)-AVERAGE('The List'!AD2:AD671))/STDEV('The List'!AD2:AD671)</f>
        <v>1.0681837345972056</v>
      </c>
      <c r="R299" s="55" cm="1">
        <f t="array" ref="R299">(VLOOKUP($A299,'The List'!$B1:$AH671,30,FALSE)-AVERAGE('The List'!AE2:AE671))/STDEV('The List'!AE2:AE671)</f>
        <v>-0.94870988917272647</v>
      </c>
      <c r="S299" s="55" cm="1">
        <f t="array" ref="S299">(VLOOKUP($A299,'The List'!$B1:$AH671,31,FALSE)-AVERAGE('The List'!AF2:AF671))/STDEV('The List'!AF2:AF671)</f>
        <v>-0.5939690971349143</v>
      </c>
      <c r="T299" s="55" cm="1">
        <f t="array" ref="T299">(VLOOKUP($A299,'The List'!$B1:$AH671,32,FALSE)-AVERAGE('The List'!AG2:AG671))/STDEV('The List'!AG2:AG671)</f>
        <v>-0.64602208138248207</v>
      </c>
      <c r="U299" s="55" cm="1">
        <f t="array" ref="U299">(VLOOKUP($A299,'The List'!$B1:$AH671,33,FALSE)-AVERAGE('The List'!AH2:AH671))/STDEV('The List'!AH2:AH671)</f>
        <v>-1.2548938914719048</v>
      </c>
      <c r="V299" s="55"/>
      <c r="W299" s="78"/>
      <c r="X299" s="57"/>
      <c r="Y299" s="57"/>
      <c r="Z299" s="57"/>
      <c r="AA299" s="57"/>
      <c r="AB299" s="57"/>
      <c r="AC299" s="60"/>
      <c r="AD299" s="61"/>
      <c r="AE299" s="55"/>
    </row>
    <row r="300" spans="1:31" ht="21.25" customHeight="1" x14ac:dyDescent="0.15">
      <c r="A300" s="10" t="s">
        <v>678</v>
      </c>
      <c r="B300" s="18" t="str" cm="1">
        <f t="array" ref="B300">VLOOKUP(A300,'Player Data'!A1:B673,2,FALSE)</f>
        <v>VGK</v>
      </c>
      <c r="C300" s="52" cm="1">
        <f t="array" ref="C300">((E300)*Settings!$C$12)+(F300*Settings!$C$2)+(G300*Settings!$C$3)+(H300*Settings!$C$4)+(I300*Settings!$C$5)+(K300*Settings!$C$9)+(N300*Settings!$C$6)+(J300*Settings!$C$8)+(O300*Settings!$C$7)+(P300*Settings!$C$14)+(Q300*Settings!$C$15)+(R300*Settings!$C$16)+(S300*Settings!$C$17)+(T300*Settings!$C$18)+(U300*Settings!$C$19)+(L300*Settings!$C$10)+(Settings!$C$11*M300)</f>
        <v>-3.6127436372610044</v>
      </c>
      <c r="D300" s="57" cm="1">
        <f t="array" ref="D300">IF(Settings!$E$12="YES",VLOOKUP(A300,'Player Data'!A1:E673,5,FALSE),82)</f>
        <v>72.41</v>
      </c>
      <c r="E300" s="55" cm="1">
        <f t="array" ref="E300">(VLOOKUP($A300,'The List'!$B1:$AH671,17,FALSE)-AVERAGE('The List'!R2:R671))/STDEV('The List'!R2:R671)</f>
        <v>-1.1777072802658137</v>
      </c>
      <c r="F300" s="55" cm="1">
        <f t="array" ref="F300">(VLOOKUP($A300,'The List'!$B1:$AH671,18,FALSE)-AVERAGE('The List'!S2:S671))/STDEV('The List'!S2:S671)</f>
        <v>-0.41773050687877683</v>
      </c>
      <c r="G300" s="55" cm="1">
        <f t="array" ref="G300">(VLOOKUP($A300,'The List'!$B1:$AH671,19,FALSE)-AVERAGE('The List'!T2:T671))/STDEV('The List'!T2:T671)</f>
        <v>-0.31991213601176677</v>
      </c>
      <c r="H300" s="55" cm="1">
        <f t="array" ref="H300">(VLOOKUP($A300,'The List'!$B1:$AH671,20,FALSE)-AVERAGE('The List'!U2:U671))/STDEV('The List'!U2:U671)</f>
        <v>-0.38656098384610738</v>
      </c>
      <c r="I300" s="55" cm="1">
        <f t="array" ref="I300">(VLOOKUP($A300,'The List'!$B1:$AH671,21,FALSE)-AVERAGE('The List'!V2:V671))/STDEV('The List'!V2:V671)</f>
        <v>-0.70362625770784826</v>
      </c>
      <c r="J300" s="55" cm="1">
        <f t="array" ref="J300">(VLOOKUP($A300,'The List'!$B1:$AH671,22,FALSE)-AVERAGE('The List'!W2:W671))/STDEV('The List'!W2:W671)</f>
        <v>-0.53082615755044682</v>
      </c>
      <c r="K300" s="55" cm="1">
        <f t="array" ref="K300">(VLOOKUP($A300,'The List'!$B1:$AH671,23,FALSE)-AVERAGE('The List'!X2:X671))/STDEV('The List'!X2:X671)</f>
        <v>-0.64600523826045964</v>
      </c>
      <c r="L300" s="55" cm="1">
        <f t="array" ref="L300">(VLOOKUP($A300,'The List'!$B1:$AH671,24,FALSE)-AVERAGE('The List'!Y2:Y671))/STDEV('The List'!Y2:Y671)</f>
        <v>-0.55827587695008007</v>
      </c>
      <c r="M300" s="55" cm="1">
        <f t="array" ref="M300">(VLOOKUP($A300,'The List'!$B1:$AH671,25,FALSE)-AVERAGE('The List'!Z2:Z671))/STDEV('The List'!Z2:Z671)</f>
        <v>-0.70040534743137006</v>
      </c>
      <c r="N300" s="55" cm="1">
        <f t="array" ref="N300">(VLOOKUP($A300,'The List'!$B1:$AH671,26,FALSE)-AVERAGE('The List'!AA2:AA671))/STDEV('The List'!AA2:AA671)</f>
        <v>-0.863805169370091</v>
      </c>
      <c r="O300" s="55" cm="1">
        <f t="array" ref="O300">(VLOOKUP($A300,'The List'!$B1:$AH671,27,FALSE)-AVERAGE('The List'!AB2:AB671))/STDEV('The List'!AB2:AB671)</f>
        <v>-1.0442764739629016</v>
      </c>
      <c r="P300" s="55" cm="1">
        <f t="array" ref="P300">(VLOOKUP($A300,'The List'!$B1:$AH671,28,FALSE)-AVERAGE('The List'!AC2:AC671))/STDEV('The List'!AC2:AC671)</f>
        <v>0.38406212361458836</v>
      </c>
      <c r="Q300" s="55" cm="1">
        <f t="array" ref="Q300">(VLOOKUP($A300,'The List'!$B1:$AH671,29,FALSE)-AVERAGE('The List'!AD2:AD671))/STDEV('The List'!AD2:AD671)</f>
        <v>-1.0457264526466505</v>
      </c>
      <c r="R300" s="55" cm="1">
        <f t="array" ref="R300">(VLOOKUP($A300,'The List'!$B1:$AH671,30,FALSE)-AVERAGE('The List'!AE2:AE671))/STDEV('The List'!AE2:AE671)</f>
        <v>-0.19641607938481154</v>
      </c>
      <c r="S300" s="55" cm="1">
        <f t="array" ref="S300">(VLOOKUP($A300,'The List'!$B1:$AH671,31,FALSE)-AVERAGE('The List'!AF2:AF671))/STDEV('The List'!AF2:AF671)</f>
        <v>-0.57724861946717565</v>
      </c>
      <c r="T300" s="55" cm="1">
        <f t="array" ref="T300">(VLOOKUP($A300,'The List'!$B1:$AH671,32,FALSE)-AVERAGE('The List'!AG2:AG671))/STDEV('The List'!AG2:AG671)</f>
        <v>-0.59260273792943685</v>
      </c>
      <c r="U300" s="55" cm="1">
        <f t="array" ref="U300">(VLOOKUP($A300,'The List'!$B1:$AH671,33,FALSE)-AVERAGE('The List'!AH2:AH671))/STDEV('The List'!AH2:AH671)</f>
        <v>-0.10566694333043881</v>
      </c>
      <c r="V300" s="55"/>
      <c r="W300" s="78"/>
      <c r="X300" s="57"/>
      <c r="Y300" s="57"/>
      <c r="Z300" s="57"/>
      <c r="AA300" s="57"/>
      <c r="AB300" s="57"/>
      <c r="AC300" s="60"/>
      <c r="AD300" s="61"/>
      <c r="AE300" s="55"/>
    </row>
    <row r="301" spans="1:31" ht="21.25" customHeight="1" x14ac:dyDescent="0.15">
      <c r="A301" s="10" t="s">
        <v>598</v>
      </c>
      <c r="B301" s="18" t="str" cm="1">
        <f t="array" ref="B301">VLOOKUP(A301,'Player Data'!A1:B673,2,FALSE)</f>
        <v>NYI</v>
      </c>
      <c r="C301" s="52" cm="1">
        <f t="array" ref="C301">((E301)*Settings!$C$12)+(F301*Settings!$C$2)+(G301*Settings!$C$3)+(H301*Settings!$C$4)+(I301*Settings!$C$5)+(K301*Settings!$C$9)+(N301*Settings!$C$6)+(J301*Settings!$C$8)+(O301*Settings!$C$7)+(P301*Settings!$C$14)+(Q301*Settings!$C$15)+(R301*Settings!$C$16)+(S301*Settings!$C$17)+(T301*Settings!$C$18)+(U301*Settings!$C$19)+(L301*Settings!$C$10)+(Settings!$C$11*M301)</f>
        <v>-4.3534985591283375</v>
      </c>
      <c r="D301" s="57" cm="1">
        <f t="array" ref="D301">IF(Settings!$E$12="YES",VLOOKUP(A301,'Player Data'!A1:E673,5,FALSE),82)</f>
        <v>82.197500000000005</v>
      </c>
      <c r="E301" s="55" cm="1">
        <f t="array" ref="E301">(VLOOKUP($A301,'The List'!$B1:$AH671,17,FALSE)-AVERAGE('The List'!R2:R671))/STDEV('The List'!R2:R671)</f>
        <v>-0.53209178530056689</v>
      </c>
      <c r="F301" s="55" cm="1">
        <f t="array" ref="F301">(VLOOKUP($A301,'The List'!$B1:$AH671,18,FALSE)-AVERAGE('The List'!S2:S671))/STDEV('The List'!S2:S671)</f>
        <v>-7.4343743581543498E-2</v>
      </c>
      <c r="G301" s="55" cm="1">
        <f t="array" ref="G301">(VLOOKUP($A301,'The List'!$B1:$AH671,19,FALSE)-AVERAGE('The List'!T2:T671))/STDEV('The List'!T2:T671)</f>
        <v>-0.29233792818594162</v>
      </c>
      <c r="H301" s="55" cm="1">
        <f t="array" ref="H301">(VLOOKUP($A301,'The List'!$B1:$AH671,20,FALSE)-AVERAGE('The List'!U2:U671))/STDEV('The List'!U2:U671)</f>
        <v>-0.21686371559438497</v>
      </c>
      <c r="I301" s="55" cm="1">
        <f t="array" ref="I301">(VLOOKUP($A301,'The List'!$B1:$AH671,21,FALSE)-AVERAGE('The List'!V2:V671))/STDEV('The List'!V2:V671)</f>
        <v>-0.5694835206828841</v>
      </c>
      <c r="J301" s="55" cm="1">
        <f t="array" ref="J301">(VLOOKUP($A301,'The List'!$B1:$AH671,22,FALSE)-AVERAGE('The List'!W2:W671))/STDEV('The List'!W2:W671)</f>
        <v>-0.72894105717404534</v>
      </c>
      <c r="K301" s="55" cm="1">
        <f t="array" ref="K301">(VLOOKUP($A301,'The List'!$B1:$AH671,23,FALSE)-AVERAGE('The List'!X2:X671))/STDEV('The List'!X2:X671)</f>
        <v>-0.78972321466430939</v>
      </c>
      <c r="L301" s="55" cm="1">
        <f t="array" ref="L301">(VLOOKUP($A301,'The List'!$B1:$AH671,24,FALSE)-AVERAGE('The List'!Y2:Y671))/STDEV('The List'!Y2:Y671)</f>
        <v>3.2201897250700862</v>
      </c>
      <c r="M301" s="55" cm="1">
        <f t="array" ref="M301">(VLOOKUP($A301,'The List'!$B1:$AH671,25,FALSE)-AVERAGE('The List'!Z2:Z671))/STDEV('The List'!Z2:Z671)</f>
        <v>5.9596485893063651</v>
      </c>
      <c r="N301" s="55" cm="1">
        <f t="array" ref="N301">(VLOOKUP($A301,'The List'!$B1:$AH671,26,FALSE)-AVERAGE('The List'!AA2:AA671))/STDEV('The List'!AA2:AA671)</f>
        <v>-0.19886700798284387</v>
      </c>
      <c r="O301" s="55" cm="1">
        <f t="array" ref="O301">(VLOOKUP($A301,'The List'!$B1:$AH671,27,FALSE)-AVERAGE('The List'!AB2:AB671))/STDEV('The List'!AB2:AB671)</f>
        <v>0.77311410907999056</v>
      </c>
      <c r="P301" s="55" cm="1">
        <f t="array" ref="P301">(VLOOKUP($A301,'The List'!$B1:$AH671,28,FALSE)-AVERAGE('The List'!AC2:AC671))/STDEV('The List'!AC2:AC671)</f>
        <v>-1.0197058210119385</v>
      </c>
      <c r="Q301" s="55" cm="1">
        <f t="array" ref="Q301">(VLOOKUP($A301,'The List'!$B1:$AH671,29,FALSE)-AVERAGE('The List'!AD2:AD671))/STDEV('The List'!AD2:AD671)</f>
        <v>-1.4090373230188764</v>
      </c>
      <c r="R301" s="55" cm="1">
        <f t="array" ref="R301">(VLOOKUP($A301,'The List'!$B1:$AH671,30,FALSE)-AVERAGE('The List'!AE2:AE671))/STDEV('The List'!AE2:AE671)</f>
        <v>-0.14958009177464224</v>
      </c>
      <c r="S301" s="55" cm="1">
        <f t="array" ref="S301">(VLOOKUP($A301,'The List'!$B1:$AH671,31,FALSE)-AVERAGE('The List'!AF2:AF671))/STDEV('The List'!AF2:AF671)</f>
        <v>2.4992611151665303</v>
      </c>
      <c r="T301" s="55" cm="1">
        <f t="array" ref="T301">(VLOOKUP($A301,'The List'!$B1:$AH671,32,FALSE)-AVERAGE('The List'!AG2:AG671))/STDEV('The List'!AG2:AG671)</f>
        <v>1.7079094996677646</v>
      </c>
      <c r="U301" s="55" cm="1">
        <f t="array" ref="U301">(VLOOKUP($A301,'The List'!$B1:$AH671,33,FALSE)-AVERAGE('The List'!AH2:AH671))/STDEV('The List'!AH2:AH671)</f>
        <v>1.4261699387219227</v>
      </c>
      <c r="V301" s="55"/>
      <c r="W301" s="57"/>
      <c r="X301" s="55"/>
      <c r="Y301" s="55"/>
      <c r="Z301" s="55"/>
      <c r="AA301" s="55"/>
      <c r="AB301" s="55"/>
      <c r="AC301" s="55"/>
      <c r="AD301" s="55"/>
      <c r="AE301" s="55"/>
    </row>
    <row r="302" spans="1:31" ht="21.25" customHeight="1" x14ac:dyDescent="0.15">
      <c r="A302" s="10" t="s">
        <v>644</v>
      </c>
      <c r="B302" s="18" t="str" cm="1">
        <f t="array" ref="B302">VLOOKUP(A302,'Player Data'!A1:B673,2,FALSE)</f>
        <v>COL</v>
      </c>
      <c r="C302" s="52" cm="1">
        <f t="array" ref="C302">((E302)*Settings!$C$12)+(F302*Settings!$C$2)+(G302*Settings!$C$3)+(H302*Settings!$C$4)+(I302*Settings!$C$5)+(K302*Settings!$C$9)+(N302*Settings!$C$6)+(J302*Settings!$C$8)+(O302*Settings!$C$7)+(P302*Settings!$C$14)+(Q302*Settings!$C$15)+(R302*Settings!$C$16)+(S302*Settings!$C$17)+(T302*Settings!$C$18)+(U302*Settings!$C$19)+(L302*Settings!$C$10)+(Settings!$C$11*M302)</f>
        <v>-1.8173909338221472</v>
      </c>
      <c r="D302" s="57" cm="1">
        <f t="array" ref="D302">IF(Settings!$E$12="YES",VLOOKUP(A302,'Player Data'!A1:E673,5,FALSE),82)</f>
        <v>76.212500000000006</v>
      </c>
      <c r="E302" s="55" cm="1">
        <f t="array" ref="E302">(VLOOKUP($A302,'The List'!$B1:$AH671,17,FALSE)-AVERAGE('The List'!R2:R671))/STDEV('The List'!R2:R671)</f>
        <v>-0.93054429722757837</v>
      </c>
      <c r="F302" s="55" cm="1">
        <f t="array" ref="F302">(VLOOKUP($A302,'The List'!$B1:$AH671,18,FALSE)-AVERAGE('The List'!S2:S671))/STDEV('The List'!S2:S671)</f>
        <v>3.6046783275699365E-2</v>
      </c>
      <c r="G302" s="55" cm="1">
        <f t="array" ref="G302">(VLOOKUP($A302,'The List'!$B1:$AH671,19,FALSE)-AVERAGE('The List'!T2:T671))/STDEV('The List'!T2:T671)</f>
        <v>-0.54153216046924102</v>
      </c>
      <c r="H302" s="55" cm="1">
        <f t="array" ref="H302">(VLOOKUP($A302,'The List'!$B1:$AH671,20,FALSE)-AVERAGE('The List'!U2:U671))/STDEV('The List'!U2:U671)</f>
        <v>-0.32462769697980182</v>
      </c>
      <c r="I302" s="55" cm="1">
        <f t="array" ref="I302">(VLOOKUP($A302,'The List'!$B1:$AH671,21,FALSE)-AVERAGE('The List'!V2:V671))/STDEV('The List'!V2:V671)</f>
        <v>-0.27529556804191507</v>
      </c>
      <c r="J302" s="55" cm="1">
        <f t="array" ref="J302">(VLOOKUP($A302,'The List'!$B1:$AH671,22,FALSE)-AVERAGE('The List'!W2:W671))/STDEV('The List'!W2:W671)</f>
        <v>-0.16834577158307501</v>
      </c>
      <c r="K302" s="55" cm="1">
        <f t="array" ref="K302">(VLOOKUP($A302,'The List'!$B1:$AH671,23,FALSE)-AVERAGE('The List'!X2:X671))/STDEV('The List'!X2:X671)</f>
        <v>-0.45327359841935488</v>
      </c>
      <c r="L302" s="55" cm="1">
        <f t="array" ref="L302">(VLOOKUP($A302,'The List'!$B1:$AH671,24,FALSE)-AVERAGE('The List'!Y2:Y671))/STDEV('The List'!Y2:Y671)</f>
        <v>-0.36713682919419205</v>
      </c>
      <c r="M302" s="55" cm="1">
        <f t="array" ref="M302">(VLOOKUP($A302,'The List'!$B1:$AH671,25,FALSE)-AVERAGE('The List'!Z2:Z671))/STDEV('The List'!Z2:Z671)</f>
        <v>-0.51557120201013318</v>
      </c>
      <c r="N302" s="55" cm="1">
        <f t="array" ref="N302">(VLOOKUP($A302,'The List'!$B1:$AH671,26,FALSE)-AVERAGE('The List'!AA2:AA671))/STDEV('The List'!AA2:AA671)</f>
        <v>-0.56194576026468046</v>
      </c>
      <c r="O302" s="55" cm="1">
        <f t="array" ref="O302">(VLOOKUP($A302,'The List'!$B1:$AH671,27,FALSE)-AVERAGE('The List'!AB2:AB671))/STDEV('The List'!AB2:AB671)</f>
        <v>-0.85954935008297795</v>
      </c>
      <c r="P302" s="55" cm="1">
        <f t="array" ref="P302">(VLOOKUP($A302,'The List'!$B1:$AH671,28,FALSE)-AVERAGE('The List'!AC2:AC671))/STDEV('The List'!AC2:AC671)</f>
        <v>1.0151168622734517</v>
      </c>
      <c r="Q302" s="55" cm="1">
        <f t="array" ref="Q302">(VLOOKUP($A302,'The List'!$B1:$AH671,29,FALSE)-AVERAGE('The List'!AD2:AD671))/STDEV('The List'!AD2:AD671)</f>
        <v>-1.0365074921761066</v>
      </c>
      <c r="R302" s="55" cm="1">
        <f t="array" ref="R302">(VLOOKUP($A302,'The List'!$B1:$AH671,30,FALSE)-AVERAGE('The List'!AE2:AE671))/STDEV('The List'!AE2:AE671)</f>
        <v>0.25407907744358943</v>
      </c>
      <c r="S302" s="55" cm="1">
        <f t="array" ref="S302">(VLOOKUP($A302,'The List'!$B1:$AH671,31,FALSE)-AVERAGE('The List'!AF2:AF671))/STDEV('The List'!AF2:AF671)</f>
        <v>-0.39182196166124139</v>
      </c>
      <c r="T302" s="55" cm="1">
        <f t="array" ref="T302">(VLOOKUP($A302,'The List'!$B1:$AH671,32,FALSE)-AVERAGE('The List'!AG2:AG671))/STDEV('The List'!AG2:AG671)</f>
        <v>-0.46632794974971337</v>
      </c>
      <c r="U302" s="55" cm="1">
        <f t="array" ref="U302">(VLOOKUP($A302,'The List'!$B1:$AH671,33,FALSE)-AVERAGE('The List'!AH2:AH671))/STDEV('The List'!AH2:AH671)</f>
        <v>1.2506234924937725</v>
      </c>
      <c r="V302" s="55"/>
      <c r="W302" s="57"/>
      <c r="X302" s="57"/>
      <c r="Y302" s="57"/>
      <c r="Z302" s="57"/>
      <c r="AA302" s="57"/>
      <c r="AB302" s="57"/>
      <c r="AC302" s="60"/>
      <c r="AD302" s="61"/>
      <c r="AE302" s="55"/>
    </row>
    <row r="303" spans="1:31" ht="21.25" customHeight="1" x14ac:dyDescent="0.15">
      <c r="A303" s="10" t="s">
        <v>675</v>
      </c>
      <c r="B303" s="18" t="str" cm="1">
        <f t="array" ref="B303">VLOOKUP(A303,'Player Data'!A1:B673,2,FALSE)</f>
        <v>MTL</v>
      </c>
      <c r="C303" s="52" cm="1">
        <f t="array" ref="C303">((E303)*Settings!$C$12)+(F303*Settings!$C$2)+(G303*Settings!$C$3)+(H303*Settings!$C$4)+(I303*Settings!$C$5)+(K303*Settings!$C$9)+(N303*Settings!$C$6)+(J303*Settings!$C$8)+(O303*Settings!$C$7)+(P303*Settings!$C$14)+(Q303*Settings!$C$15)+(R303*Settings!$C$16)+(S303*Settings!$C$17)+(T303*Settings!$C$18)+(U303*Settings!$C$19)+(L303*Settings!$C$10)+(Settings!$C$11*M303)</f>
        <v>-1.9026919476884228</v>
      </c>
      <c r="D303" s="57" cm="1">
        <f t="array" ref="D303">IF(Settings!$E$12="YES",VLOOKUP(A303,'Player Data'!A1:E673,5,FALSE),82)</f>
        <v>64.605000000000004</v>
      </c>
      <c r="E303" s="55" cm="1">
        <f t="array" ref="E303">(VLOOKUP($A303,'The List'!$B1:$AH671,17,FALSE)-AVERAGE('The List'!R2:R671))/STDEV('The List'!R2:R671)</f>
        <v>-0.7426172180945626</v>
      </c>
      <c r="F303" s="55" cm="1">
        <f t="array" ref="F303">(VLOOKUP($A303,'The List'!$B1:$AH671,18,FALSE)-AVERAGE('The List'!S2:S671))/STDEV('The List'!S2:S671)</f>
        <v>-0.13991758609177737</v>
      </c>
      <c r="G303" s="55" cm="1">
        <f t="array" ref="G303">(VLOOKUP($A303,'The List'!$B1:$AH671,19,FALSE)-AVERAGE('The List'!T2:T671))/STDEV('The List'!T2:T671)</f>
        <v>-0.73945191513607467</v>
      </c>
      <c r="H303" s="55" cm="1">
        <f t="array" ref="H303">(VLOOKUP($A303,'The List'!$B1:$AH671,20,FALSE)-AVERAGE('The List'!U2:U671))/STDEV('The List'!U2:U671)</f>
        <v>-0.52718974087069537</v>
      </c>
      <c r="I303" s="55" cm="1">
        <f t="array" ref="I303">(VLOOKUP($A303,'The List'!$B1:$AH671,21,FALSE)-AVERAGE('The List'!V2:V671))/STDEV('The List'!V2:V671)</f>
        <v>-0.64954547948577834</v>
      </c>
      <c r="J303" s="55" cm="1">
        <f t="array" ref="J303">(VLOOKUP($A303,'The List'!$B1:$AH671,22,FALSE)-AVERAGE('The List'!W2:W671))/STDEV('The List'!W2:W671)</f>
        <v>-0.55201927572915455</v>
      </c>
      <c r="K303" s="55" cm="1">
        <f t="array" ref="K303">(VLOOKUP($A303,'The List'!$B1:$AH671,23,FALSE)-AVERAGE('The List'!X2:X671))/STDEV('The List'!X2:X671)</f>
        <v>-0.44376151074433989</v>
      </c>
      <c r="L303" s="55" cm="1">
        <f t="array" ref="L303">(VLOOKUP($A303,'The List'!$B1:$AH671,24,FALSE)-AVERAGE('The List'!Y2:Y671))/STDEV('The List'!Y2:Y671)</f>
        <v>-0.54864393299724767</v>
      </c>
      <c r="M303" s="55" cm="1">
        <f t="array" ref="M303">(VLOOKUP($A303,'The List'!$B1:$AH671,25,FALSE)-AVERAGE('The List'!Z2:Z671))/STDEV('The List'!Z2:Z671)</f>
        <v>-0.69075038615065709</v>
      </c>
      <c r="N303" s="55" cm="1">
        <f t="array" ref="N303">(VLOOKUP($A303,'The List'!$B1:$AH671,26,FALSE)-AVERAGE('The List'!AA2:AA671))/STDEV('The List'!AA2:AA671)</f>
        <v>-0.50325930193715529</v>
      </c>
      <c r="O303" s="55" cm="1">
        <f t="array" ref="O303">(VLOOKUP($A303,'The List'!$B1:$AH671,27,FALSE)-AVERAGE('The List'!AB2:AB671))/STDEV('The List'!AB2:AB671)</f>
        <v>0.15015023444441758</v>
      </c>
      <c r="P303" s="55" cm="1">
        <f t="array" ref="P303">(VLOOKUP($A303,'The List'!$B1:$AH671,28,FALSE)-AVERAGE('The List'!AC2:AC671))/STDEV('The List'!AC2:AC671)</f>
        <v>0.20031591533255386</v>
      </c>
      <c r="Q303" s="55" cm="1">
        <f t="array" ref="Q303">(VLOOKUP($A303,'The List'!$B1:$AH671,29,FALSE)-AVERAGE('The List'!AD2:AD671))/STDEV('The List'!AD2:AD671)</f>
        <v>0.37292793037414873</v>
      </c>
      <c r="R303" s="55" cm="1">
        <f t="array" ref="R303">(VLOOKUP($A303,'The List'!$B1:$AH671,30,FALSE)-AVERAGE('The List'!AE2:AE671))/STDEV('The List'!AE2:AE671)</f>
        <v>-5.2085724966214282E-2</v>
      </c>
      <c r="S303" s="55" cm="1">
        <f t="array" ref="S303">(VLOOKUP($A303,'The List'!$B1:$AH671,31,FALSE)-AVERAGE('The List'!AF2:AF671))/STDEV('The List'!AF2:AF671)</f>
        <v>-0.17341224768948363</v>
      </c>
      <c r="T303" s="55" cm="1">
        <f t="array" ref="T303">(VLOOKUP($A303,'The List'!$B1:$AH671,32,FALSE)-AVERAGE('The List'!AG2:AG671))/STDEV('The List'!AG2:AG671)</f>
        <v>5.9995862354476947E-3</v>
      </c>
      <c r="U303" s="55" cm="1">
        <f t="array" ref="U303">(VLOOKUP($A303,'The List'!$B1:$AH671,33,FALSE)-AVERAGE('The List'!AH2:AH671))/STDEV('The List'!AH2:AH671)</f>
        <v>0.61694580392174092</v>
      </c>
      <c r="V303" s="55"/>
      <c r="W303" s="57"/>
      <c r="X303" s="55"/>
      <c r="Y303" s="55"/>
      <c r="Z303" s="55"/>
      <c r="AA303" s="55"/>
      <c r="AB303" s="55"/>
      <c r="AC303" s="55"/>
      <c r="AD303" s="55"/>
      <c r="AE303" s="55"/>
    </row>
    <row r="304" spans="1:31" ht="21.25" customHeight="1" x14ac:dyDescent="0.15">
      <c r="A304" s="10" t="s">
        <v>674</v>
      </c>
      <c r="B304" s="18" t="str" cm="1">
        <f t="array" ref="B304">VLOOKUP(A304,'Player Data'!A1:B673,2,FALSE)</f>
        <v>MTL</v>
      </c>
      <c r="C304" s="52" cm="1">
        <f t="array" ref="C304">((E304)*Settings!$C$12)+(F304*Settings!$C$2)+(G304*Settings!$C$3)+(H304*Settings!$C$4)+(I304*Settings!$C$5)+(K304*Settings!$C$9)+(N304*Settings!$C$6)+(J304*Settings!$C$8)+(O304*Settings!$C$7)+(P304*Settings!$C$14)+(Q304*Settings!$C$15)+(R304*Settings!$C$16)+(S304*Settings!$C$17)+(T304*Settings!$C$18)+(U304*Settings!$C$19)+(L304*Settings!$C$10)+(Settings!$C$11*M304)</f>
        <v>-2.989838966641857</v>
      </c>
      <c r="D304" s="57" cm="1">
        <f t="array" ref="D304">IF(Settings!$E$12="YES",VLOOKUP(A304,'Player Data'!A1:E673,5,FALSE),82)</f>
        <v>71.114999999999995</v>
      </c>
      <c r="E304" s="55" cm="1">
        <f t="array" ref="E304">(VLOOKUP($A304,'The List'!$B1:$AH671,17,FALSE)-AVERAGE('The List'!R2:R671))/STDEV('The List'!R2:R671)</f>
        <v>-0.93219821336920372</v>
      </c>
      <c r="F304" s="55" cm="1">
        <f t="array" ref="F304">(VLOOKUP($A304,'The List'!$B1:$AH671,18,FALSE)-AVERAGE('The List'!S2:S671))/STDEV('The List'!S2:S671)</f>
        <v>-0.22819233871312514</v>
      </c>
      <c r="G304" s="55" cm="1">
        <f t="array" ref="G304">(VLOOKUP($A304,'The List'!$B1:$AH671,19,FALSE)-AVERAGE('The List'!T2:T671))/STDEV('The List'!T2:T671)</f>
        <v>-0.51233259700922085</v>
      </c>
      <c r="H304" s="55" cm="1">
        <f t="array" ref="H304">(VLOOKUP($A304,'The List'!$B1:$AH671,20,FALSE)-AVERAGE('The List'!U2:U671))/STDEV('The List'!U2:U671)</f>
        <v>-0.42349847603533192</v>
      </c>
      <c r="I304" s="55" cm="1">
        <f t="array" ref="I304">(VLOOKUP($A304,'The List'!$B1:$AH671,21,FALSE)-AVERAGE('The List'!V2:V671))/STDEV('The List'!V2:V671)</f>
        <v>-0.46126946796457463</v>
      </c>
      <c r="J304" s="55" cm="1">
        <f t="array" ref="J304">(VLOOKUP($A304,'The List'!$B1:$AH671,22,FALSE)-AVERAGE('The List'!W2:W671))/STDEV('The List'!W2:W671)</f>
        <v>-0.57735714175601494</v>
      </c>
      <c r="K304" s="55" cm="1">
        <f t="array" ref="K304">(VLOOKUP($A304,'The List'!$B1:$AH671,23,FALSE)-AVERAGE('The List'!X2:X671))/STDEV('The List'!X2:X671)</f>
        <v>-0.62391860021215662</v>
      </c>
      <c r="L304" s="55" cm="1">
        <f t="array" ref="L304">(VLOOKUP($A304,'The List'!$B1:$AH671,24,FALSE)-AVERAGE('The List'!Y2:Y671))/STDEV('The List'!Y2:Y671)</f>
        <v>-0.43361696280773249</v>
      </c>
      <c r="M304" s="55" cm="1">
        <f t="array" ref="M304">(VLOOKUP($A304,'The List'!$B1:$AH671,25,FALSE)-AVERAGE('The List'!Z2:Z671))/STDEV('The List'!Z2:Z671)</f>
        <v>-0.6155890931982777</v>
      </c>
      <c r="N304" s="55" cm="1">
        <f t="array" ref="N304">(VLOOKUP($A304,'The List'!$B1:$AH671,26,FALSE)-AVERAGE('The List'!AA2:AA671))/STDEV('The List'!AA2:AA671)</f>
        <v>-1.0240192351629438</v>
      </c>
      <c r="O304" s="55" cm="1">
        <f t="array" ref="O304">(VLOOKUP($A304,'The List'!$B1:$AH671,27,FALSE)-AVERAGE('The List'!AB2:AB671))/STDEV('The List'!AB2:AB671)</f>
        <v>-0.13522115833573684</v>
      </c>
      <c r="P304" s="55" cm="1">
        <f t="array" ref="P304">(VLOOKUP($A304,'The List'!$B1:$AH671,28,FALSE)-AVERAGE('The List'!AC2:AC671))/STDEV('The List'!AC2:AC671)</f>
        <v>0.41854388423590549</v>
      </c>
      <c r="Q304" s="55" cm="1">
        <f t="array" ref="Q304">(VLOOKUP($A304,'The List'!$B1:$AH671,29,FALSE)-AVERAGE('The List'!AD2:AD671))/STDEV('The List'!AD2:AD671)</f>
        <v>-0.55865061181574127</v>
      </c>
      <c r="R304" s="55" cm="1">
        <f t="array" ref="R304">(VLOOKUP($A304,'The List'!$B1:$AH671,30,FALSE)-AVERAGE('The List'!AE2:AE671))/STDEV('The List'!AE2:AE671)</f>
        <v>-0.14392785583586948</v>
      </c>
      <c r="S304" s="55" cm="1">
        <f t="array" ref="S304">(VLOOKUP($A304,'The List'!$B1:$AH671,31,FALSE)-AVERAGE('The List'!AF2:AF671))/STDEV('The List'!AF2:AF671)</f>
        <v>-0.57368689180861254</v>
      </c>
      <c r="T304" s="55" cm="1">
        <f t="array" ref="T304">(VLOOKUP($A304,'The List'!$B1:$AH671,32,FALSE)-AVERAGE('The List'!AG2:AG671))/STDEV('The List'!AG2:AG671)</f>
        <v>-0.57009589491833634</v>
      </c>
      <c r="U304" s="55" cm="1">
        <f t="array" ref="U304">(VLOOKUP($A304,'The List'!$B1:$AH671,33,FALSE)-AVERAGE('The List'!AH2:AH671))/STDEV('The List'!AH2:AH671)</f>
        <v>-0.23679364349904702</v>
      </c>
      <c r="V304" s="55"/>
      <c r="W304" s="78"/>
      <c r="X304" s="57"/>
      <c r="Y304" s="57"/>
      <c r="Z304" s="57"/>
      <c r="AA304" s="57"/>
      <c r="AB304" s="57"/>
      <c r="AC304" s="60"/>
      <c r="AD304" s="61"/>
      <c r="AE304" s="55"/>
    </row>
    <row r="305" spans="1:31" ht="21.25" customHeight="1" x14ac:dyDescent="0.15">
      <c r="A305" s="10" t="s">
        <v>227</v>
      </c>
      <c r="B305" s="18" t="str" cm="1">
        <f t="array" ref="B305">VLOOKUP(A305,'Player Data'!A1:B673,2,FALSE)</f>
        <v>UTA</v>
      </c>
      <c r="C305" s="52" cm="1">
        <f t="array" ref="C305">((E305)*Settings!$C$12)+(F305*Settings!$C$2)+(G305*Settings!$C$3)+(H305*Settings!$C$4)+(I305*Settings!$C$5)+(K305*Settings!$C$9)+(N305*Settings!$C$6)+(J305*Settings!$C$8)+(O305*Settings!$C$7)+(P305*Settings!$C$14)+(Q305*Settings!$C$15)+(R305*Settings!$C$16)+(S305*Settings!$C$17)+(T305*Settings!$C$18)+(U305*Settings!$C$19)+(L305*Settings!$C$10)+(Settings!$C$11*M305)</f>
        <v>3.7423963701241139</v>
      </c>
      <c r="D305" s="57" cm="1">
        <f t="array" ref="D305">IF(Settings!$E$12="YES",VLOOKUP(A305,'Player Data'!A1:E673,5,FALSE),82)</f>
        <v>83.36</v>
      </c>
      <c r="E305" s="55" cm="1">
        <f t="array" ref="E305">(VLOOKUP($A305,'The List'!$B1:$AH671,17,FALSE)-AVERAGE('The List'!R2:R671))/STDEV('The List'!R2:R671)</f>
        <v>1.4974805301595671</v>
      </c>
      <c r="F305" s="55" cm="1">
        <f t="array" ref="F305">(VLOOKUP($A305,'The List'!$B1:$AH671,18,FALSE)-AVERAGE('The List'!S2:S671))/STDEV('The List'!S2:S671)</f>
        <v>-0.75452409291491063</v>
      </c>
      <c r="G305" s="55" cm="1">
        <f t="array" ref="G305">(VLOOKUP($A305,'The List'!$B1:$AH671,19,FALSE)-AVERAGE('The List'!T2:T671))/STDEV('The List'!T2:T671)</f>
        <v>0.19415661570129969</v>
      </c>
      <c r="H305" s="55" cm="1">
        <f t="array" ref="H305">(VLOOKUP($A305,'The List'!$B1:$AH671,20,FALSE)-AVERAGE('The List'!U2:U671))/STDEV('The List'!U2:U671)</f>
        <v>-0.21264244015850378</v>
      </c>
      <c r="I305" s="55" cm="1">
        <f t="array" ref="I305">(VLOOKUP($A305,'The List'!$B1:$AH671,21,FALSE)-AVERAGE('The List'!V2:V671))/STDEV('The List'!V2:V671)</f>
        <v>0.46373070474760791</v>
      </c>
      <c r="J305" s="55" cm="1">
        <f t="array" ref="J305">(VLOOKUP($A305,'The List'!$B1:$AH671,22,FALSE)-AVERAGE('The List'!W2:W671))/STDEV('The List'!W2:W671)</f>
        <v>-0.47663804962019551</v>
      </c>
      <c r="K305" s="55" cm="1">
        <f t="array" ref="K305">(VLOOKUP($A305,'The List'!$B1:$AH671,23,FALSE)-AVERAGE('The List'!X2:X671))/STDEV('The List'!X2:X671)</f>
        <v>-1.4860818054457714E-2</v>
      </c>
      <c r="L305" s="55" cm="1">
        <f t="array" ref="L305">(VLOOKUP($A305,'The List'!$B1:$AH671,24,FALSE)-AVERAGE('The List'!Y2:Y671))/STDEV('The List'!Y2:Y671)</f>
        <v>-0.53250720939943152</v>
      </c>
      <c r="M305" s="55" cm="1">
        <f t="array" ref="M305">(VLOOKUP($A305,'The List'!$B1:$AH671,25,FALSE)-AVERAGE('The List'!Z2:Z671))/STDEV('The List'!Z2:Z671)</f>
        <v>0.9108113572406612</v>
      </c>
      <c r="N305" s="55" cm="1">
        <f t="array" ref="N305">(VLOOKUP($A305,'The List'!$B1:$AH671,26,FALSE)-AVERAGE('The List'!AA2:AA671))/STDEV('The List'!AA2:AA671)</f>
        <v>2.9835488152562633</v>
      </c>
      <c r="O305" s="55" cm="1">
        <f t="array" ref="O305">(VLOOKUP($A305,'The List'!$B1:$AH671,27,FALSE)-AVERAGE('The List'!AB2:AB671))/STDEV('The List'!AB2:AB671)</f>
        <v>1.7171709715518084</v>
      </c>
      <c r="P305" s="55" cm="1">
        <f t="array" ref="P305">(VLOOKUP($A305,'The List'!$B1:$AH671,28,FALSE)-AVERAGE('The List'!AC2:AC671))/STDEV('The List'!AC2:AC671)</f>
        <v>-0.3435105144505336</v>
      </c>
      <c r="Q305" s="55" cm="1">
        <f t="array" ref="Q305">(VLOOKUP($A305,'The List'!$B1:$AH671,29,FALSE)-AVERAGE('The List'!AD2:AD671))/STDEV('The List'!AD2:AD671)</f>
        <v>1.2138556598388452</v>
      </c>
      <c r="R305" s="55" cm="1">
        <f t="array" ref="R305">(VLOOKUP($A305,'The List'!$B1:$AH671,30,FALSE)-AVERAGE('The List'!AE2:AE671))/STDEV('The List'!AE2:AE671)</f>
        <v>-0.71020260698516713</v>
      </c>
      <c r="S305" s="55" cm="1">
        <f t="array" ref="S305">(VLOOKUP($A305,'The List'!$B1:$AH671,31,FALSE)-AVERAGE('The List'!AF2:AF671))/STDEV('The List'!AF2:AF671)</f>
        <v>-0.5939690971349143</v>
      </c>
      <c r="T305" s="55" cm="1">
        <f t="array" ref="T305">(VLOOKUP($A305,'The List'!$B1:$AH671,32,FALSE)-AVERAGE('The List'!AG2:AG671))/STDEV('The List'!AG2:AG671)</f>
        <v>-0.64525703579757909</v>
      </c>
      <c r="U305" s="55" cm="1">
        <f t="array" ref="U305">(VLOOKUP($A305,'The List'!$B1:$AH671,33,FALSE)-AVERAGE('The List'!AH2:AH671))/STDEV('The List'!AH2:AH671)</f>
        <v>-1.2548938914719048</v>
      </c>
      <c r="V305" s="55"/>
      <c r="W305" s="78"/>
      <c r="X305" s="57"/>
      <c r="Y305" s="57"/>
      <c r="Z305" s="57"/>
      <c r="AA305" s="57"/>
      <c r="AB305" s="57"/>
      <c r="AC305" s="60"/>
      <c r="AD305" s="61"/>
      <c r="AE305" s="55"/>
    </row>
    <row r="306" spans="1:31" ht="21.25" customHeight="1" x14ac:dyDescent="0.15">
      <c r="A306" s="10" t="s">
        <v>645</v>
      </c>
      <c r="B306" s="18" t="str" cm="1">
        <f t="array" ref="B306">VLOOKUP(A306,'Player Data'!A1:B673,2,FALSE)</f>
        <v>MIN</v>
      </c>
      <c r="C306" s="52" cm="1">
        <f t="array" ref="C306">((E306)*Settings!$C$12)+(F306*Settings!$C$2)+(G306*Settings!$C$3)+(H306*Settings!$C$4)+(I306*Settings!$C$5)+(K306*Settings!$C$9)+(N306*Settings!$C$6)+(J306*Settings!$C$8)+(O306*Settings!$C$7)+(P306*Settings!$C$14)+(Q306*Settings!$C$15)+(R306*Settings!$C$16)+(S306*Settings!$C$17)+(T306*Settings!$C$18)+(U306*Settings!$C$19)+(L306*Settings!$C$10)+(Settings!$C$11*M306)</f>
        <v>-2.0088661290370204</v>
      </c>
      <c r="D306" s="57" cm="1">
        <f t="array" ref="D306">IF(Settings!$E$12="YES",VLOOKUP(A306,'Player Data'!A1:E673,5,FALSE),82)</f>
        <v>80.295000000000002</v>
      </c>
      <c r="E306" s="55" cm="1">
        <f t="array" ref="E306">(VLOOKUP($A306,'The List'!$B1:$AH671,17,FALSE)-AVERAGE('The List'!R2:R671))/STDEV('The List'!R2:R671)</f>
        <v>-0.93516959189290361</v>
      </c>
      <c r="F306" s="55" cm="1">
        <f t="array" ref="F306">(VLOOKUP($A306,'The List'!$B1:$AH671,18,FALSE)-AVERAGE('The List'!S2:S671))/STDEV('The List'!S2:S671)</f>
        <v>1.0298819285902905E-2</v>
      </c>
      <c r="G306" s="55" cm="1">
        <f t="array" ref="G306">(VLOOKUP($A306,'The List'!$B1:$AH671,19,FALSE)-AVERAGE('The List'!T2:T671))/STDEV('The List'!T2:T671)</f>
        <v>-0.43658875265608249</v>
      </c>
      <c r="H306" s="55" cm="1">
        <f t="array" ref="H306">(VLOOKUP($A306,'The List'!$B1:$AH671,20,FALSE)-AVERAGE('The List'!U2:U671))/STDEV('The List'!U2:U671)</f>
        <v>-0.27004265890360402</v>
      </c>
      <c r="I306" s="55" cm="1">
        <f t="array" ref="I306">(VLOOKUP($A306,'The List'!$B1:$AH671,21,FALSE)-AVERAGE('The List'!V2:V671))/STDEV('The List'!V2:V671)</f>
        <v>-0.59989204137220342</v>
      </c>
      <c r="J306" s="55" cm="1">
        <f t="array" ref="J306">(VLOOKUP($A306,'The List'!$B1:$AH671,22,FALSE)-AVERAGE('The List'!W2:W671))/STDEV('The List'!W2:W671)</f>
        <v>-0.49283508346210336</v>
      </c>
      <c r="K306" s="55" cm="1">
        <f t="array" ref="K306">(VLOOKUP($A306,'The List'!$B1:$AH671,23,FALSE)-AVERAGE('The List'!X2:X671))/STDEV('The List'!X2:X671)</f>
        <v>-0.55921791970946721</v>
      </c>
      <c r="L306" s="55" cm="1">
        <f t="array" ref="L306">(VLOOKUP($A306,'The List'!$B1:$AH671,24,FALSE)-AVERAGE('The List'!Y2:Y671))/STDEV('The List'!Y2:Y671)</f>
        <v>-0.40085760050698049</v>
      </c>
      <c r="M306" s="55" cm="1">
        <f t="array" ref="M306">(VLOOKUP($A306,'The List'!$B1:$AH671,25,FALSE)-AVERAGE('The List'!Z2:Z671))/STDEV('The List'!Z2:Z671)</f>
        <v>-0.54581297182240651</v>
      </c>
      <c r="N306" s="55" cm="1">
        <f t="array" ref="N306">(VLOOKUP($A306,'The List'!$B1:$AH671,26,FALSE)-AVERAGE('The List'!AA2:AA671))/STDEV('The List'!AA2:AA671)</f>
        <v>-0.44096185604687682</v>
      </c>
      <c r="O306" s="55" cm="1">
        <f t="array" ref="O306">(VLOOKUP($A306,'The List'!$B1:$AH671,27,FALSE)-AVERAGE('The List'!AB2:AB671))/STDEV('The List'!AB2:AB671)</f>
        <v>-0.3232667337378437</v>
      </c>
      <c r="P306" s="55" cm="1">
        <f t="array" ref="P306">(VLOOKUP($A306,'The List'!$B1:$AH671,28,FALSE)-AVERAGE('The List'!AC2:AC671))/STDEV('The List'!AC2:AC671)</f>
        <v>0.26112244305400722</v>
      </c>
      <c r="Q306" s="55" cm="1">
        <f t="array" ref="Q306">(VLOOKUP($A306,'The List'!$B1:$AH671,29,FALSE)-AVERAGE('The List'!AD2:AD671))/STDEV('The List'!AD2:AD671)</f>
        <v>-0.24362682159230054</v>
      </c>
      <c r="R306" s="55" cm="1">
        <f t="array" ref="R306">(VLOOKUP($A306,'The List'!$B1:$AH671,30,FALSE)-AVERAGE('The List'!AE2:AE671))/STDEV('The List'!AE2:AE671)</f>
        <v>7.3073457400290198E-2</v>
      </c>
      <c r="S306" s="55" cm="1">
        <f t="array" ref="S306">(VLOOKUP($A306,'The List'!$B1:$AH671,31,FALSE)-AVERAGE('The List'!AF2:AF671))/STDEV('The List'!AF2:AF671)</f>
        <v>0.9363135691831137</v>
      </c>
      <c r="T306" s="55" cm="1">
        <f t="array" ref="T306">(VLOOKUP($A306,'The List'!$B1:$AH671,32,FALSE)-AVERAGE('The List'!AG2:AG671))/STDEV('The List'!AG2:AG671)</f>
        <v>1.8513254946345574</v>
      </c>
      <c r="U306" s="55" cm="1">
        <f t="array" ref="U306">(VLOOKUP($A306,'The List'!$B1:$AH671,33,FALSE)-AVERAGE('The List'!AH2:AH671))/STDEV('The List'!AH2:AH671)</f>
        <v>0.56032711017472403</v>
      </c>
      <c r="V306" s="55"/>
      <c r="W306" s="57"/>
      <c r="X306" s="55"/>
      <c r="Y306" s="55"/>
      <c r="Z306" s="55"/>
      <c r="AA306" s="55"/>
      <c r="AB306" s="55"/>
      <c r="AC306" s="55"/>
      <c r="AD306" s="55"/>
      <c r="AE306" s="55"/>
    </row>
    <row r="307" spans="1:31" ht="21.25" customHeight="1" x14ac:dyDescent="0.15">
      <c r="A307" s="10" t="s">
        <v>647</v>
      </c>
      <c r="B307" s="18" t="str" cm="1">
        <f t="array" ref="B307">VLOOKUP(A307,'Player Data'!A1:B673,2,FALSE)</f>
        <v>TOR</v>
      </c>
      <c r="C307" s="52" cm="1">
        <f t="array" ref="C307">((E307)*Settings!$C$12)+(F307*Settings!$C$2)+(G307*Settings!$C$3)+(H307*Settings!$C$4)+(I307*Settings!$C$5)+(K307*Settings!$C$9)+(N307*Settings!$C$6)+(J307*Settings!$C$8)+(O307*Settings!$C$7)+(P307*Settings!$C$14)+(Q307*Settings!$C$15)+(R307*Settings!$C$16)+(S307*Settings!$C$17)+(T307*Settings!$C$18)+(U307*Settings!$C$19)+(L307*Settings!$C$10)+(Settings!$C$11*M307)</f>
        <v>-2.8568650466714383</v>
      </c>
      <c r="D307" s="57" cm="1">
        <f t="array" ref="D307">IF(Settings!$E$12="YES",VLOOKUP(A307,'Player Data'!A1:E673,5,FALSE),82)</f>
        <v>77.702500000000001</v>
      </c>
      <c r="E307" s="55" cm="1">
        <f t="array" ref="E307">(VLOOKUP($A307,'The List'!$B1:$AH671,17,FALSE)-AVERAGE('The List'!R2:R671))/STDEV('The List'!R2:R671)</f>
        <v>-0.614827988112852</v>
      </c>
      <c r="F307" s="55" cm="1">
        <f t="array" ref="F307">(VLOOKUP($A307,'The List'!$B1:$AH671,18,FALSE)-AVERAGE('The List'!S2:S671))/STDEV('The List'!S2:S671)</f>
        <v>0.13714545474015466</v>
      </c>
      <c r="G307" s="55" cm="1">
        <f t="array" ref="G307">(VLOOKUP($A307,'The List'!$B1:$AH671,19,FALSE)-AVERAGE('The List'!T2:T671))/STDEV('The List'!T2:T671)</f>
        <v>-0.61124381886054235</v>
      </c>
      <c r="H307" s="55" cm="1">
        <f t="array" ref="H307">(VLOOKUP($A307,'The List'!$B1:$AH671,20,FALSE)-AVERAGE('The List'!U2:U671))/STDEV('The List'!U2:U671)</f>
        <v>-0.32362068085376772</v>
      </c>
      <c r="I307" s="55" cm="1">
        <f t="array" ref="I307">(VLOOKUP($A307,'The List'!$B1:$AH671,21,FALSE)-AVERAGE('The List'!V2:V671))/STDEV('The List'!V2:V671)</f>
        <v>-0.20079341763291877</v>
      </c>
      <c r="J307" s="55" cm="1">
        <f t="array" ref="J307">(VLOOKUP($A307,'The List'!$B1:$AH671,22,FALSE)-AVERAGE('The List'!W2:W671))/STDEV('The List'!W2:W671)</f>
        <v>-0.28061882343508077</v>
      </c>
      <c r="K307" s="55" cm="1">
        <f t="array" ref="K307">(VLOOKUP($A307,'The List'!$B1:$AH671,23,FALSE)-AVERAGE('The List'!X2:X671))/STDEV('The List'!X2:X671)</f>
        <v>-0.4815252688927576</v>
      </c>
      <c r="L307" s="55" cm="1">
        <f t="array" ref="L307">(VLOOKUP($A307,'The List'!$B1:$AH671,24,FALSE)-AVERAGE('The List'!Y2:Y671))/STDEV('The List'!Y2:Y671)</f>
        <v>-0.25704622956342821</v>
      </c>
      <c r="M307" s="55" cm="1">
        <f t="array" ref="M307">(VLOOKUP($A307,'The List'!$B1:$AH671,25,FALSE)-AVERAGE('The List'!Z2:Z671))/STDEV('The List'!Z2:Z671)</f>
        <v>8.255240491575494E-2</v>
      </c>
      <c r="N307" s="55" cm="1">
        <f t="array" ref="N307">(VLOOKUP($A307,'The List'!$B1:$AH671,26,FALSE)-AVERAGE('The List'!AA2:AA671))/STDEV('The List'!AA2:AA671)</f>
        <v>-0.7438466042491555</v>
      </c>
      <c r="O307" s="55" cm="1">
        <f t="array" ref="O307">(VLOOKUP($A307,'The List'!$B1:$AH671,27,FALSE)-AVERAGE('The List'!AB2:AB671))/STDEV('The List'!AB2:AB671)</f>
        <v>9.5476387929593273E-2</v>
      </c>
      <c r="P307" s="55" cm="1">
        <f t="array" ref="P307">(VLOOKUP($A307,'The List'!$B1:$AH671,28,FALSE)-AVERAGE('The List'!AC2:AC671))/STDEV('The List'!AC2:AC671)</f>
        <v>-0.24117068879831377</v>
      </c>
      <c r="Q307" s="55" cm="1">
        <f t="array" ref="Q307">(VLOOKUP($A307,'The List'!$B1:$AH671,29,FALSE)-AVERAGE('The List'!AD2:AD671))/STDEV('The List'!AD2:AD671)</f>
        <v>-0.71543070297790456</v>
      </c>
      <c r="R307" s="55" cm="1">
        <f t="array" ref="R307">(VLOOKUP($A307,'The List'!$B1:$AH671,30,FALSE)-AVERAGE('The List'!AE2:AE671))/STDEV('The List'!AE2:AE671)</f>
        <v>-4.5932344660398146E-2</v>
      </c>
      <c r="S307" s="55" cm="1">
        <f t="array" ref="S307">(VLOOKUP($A307,'The List'!$B1:$AH671,31,FALSE)-AVERAGE('The List'!AF2:AF671))/STDEV('The List'!AF2:AF671)</f>
        <v>1.480866159004445</v>
      </c>
      <c r="T307" s="55" cm="1">
        <f t="array" ref="T307">(VLOOKUP($A307,'The List'!$B1:$AH671,32,FALSE)-AVERAGE('The List'!AG2:AG671))/STDEV('The List'!AG2:AG671)</f>
        <v>1.3577980037448449</v>
      </c>
      <c r="U307" s="55" cm="1">
        <f t="array" ref="U307">(VLOOKUP($A307,'The List'!$B1:$AH671,33,FALSE)-AVERAGE('The List'!AH2:AH671))/STDEV('The List'!AH2:AH671)</f>
        <v>1.1558107940953017</v>
      </c>
      <c r="V307" s="55"/>
      <c r="W307" s="78"/>
      <c r="X307" s="57"/>
      <c r="Y307" s="57"/>
      <c r="Z307" s="57"/>
      <c r="AA307" s="57"/>
      <c r="AB307" s="57"/>
      <c r="AC307" s="60"/>
      <c r="AD307" s="61"/>
      <c r="AE307" s="55"/>
    </row>
    <row r="308" spans="1:31" ht="21.25" customHeight="1" x14ac:dyDescent="0.15">
      <c r="A308" s="10" t="s">
        <v>425</v>
      </c>
      <c r="B308" s="18" t="str" cm="1">
        <f t="array" ref="B308">VLOOKUP(A308,'Player Data'!A1:B673,2,FALSE)</f>
        <v>UTA</v>
      </c>
      <c r="C308" s="52" cm="1">
        <f t="array" ref="C308">((E308)*Settings!$C$12)+(F308*Settings!$C$2)+(G308*Settings!$C$3)+(H308*Settings!$C$4)+(I308*Settings!$C$5)+(K308*Settings!$C$9)+(N308*Settings!$C$6)+(J308*Settings!$C$8)+(O308*Settings!$C$7)+(P308*Settings!$C$14)+(Q308*Settings!$C$15)+(R308*Settings!$C$16)+(S308*Settings!$C$17)+(T308*Settings!$C$18)+(U308*Settings!$C$19)+(L308*Settings!$C$10)+(Settings!$C$11*M308)</f>
        <v>-2.3339342153424827</v>
      </c>
      <c r="D308" s="57" cm="1">
        <f t="array" ref="D308">IF(Settings!$E$12="YES",VLOOKUP(A308,'Player Data'!A1:E673,5,FALSE),82)</f>
        <v>76.512500000000003</v>
      </c>
      <c r="E308" s="55" cm="1">
        <f t="array" ref="E308">(VLOOKUP($A308,'The List'!$B1:$AH671,17,FALSE)-AVERAGE('The List'!R2:R671))/STDEV('The List'!R2:R671)</f>
        <v>1.0235685854863386</v>
      </c>
      <c r="F308" s="55" cm="1">
        <f t="array" ref="F308">(VLOOKUP($A308,'The List'!$B1:$AH671,18,FALSE)-AVERAGE('The List'!S2:S671))/STDEV('The List'!S2:S671)</f>
        <v>-0.98375186381925916</v>
      </c>
      <c r="G308" s="55" cm="1">
        <f t="array" ref="G308">(VLOOKUP($A308,'The List'!$B1:$AH671,19,FALSE)-AVERAGE('The List'!T2:T671))/STDEV('The List'!T2:T671)</f>
        <v>0.1452693996734663</v>
      </c>
      <c r="H308" s="55" cm="1">
        <f t="array" ref="H308">(VLOOKUP($A308,'The List'!$B1:$AH671,20,FALSE)-AVERAGE('The List'!U2:U671))/STDEV('The List'!U2:U671)</f>
        <v>-0.34509561648565551</v>
      </c>
      <c r="I308" s="55" cm="1">
        <f t="array" ref="I308">(VLOOKUP($A308,'The List'!$B1:$AH671,21,FALSE)-AVERAGE('The List'!V2:V671))/STDEV('The List'!V2:V671)</f>
        <v>-1.1438177197930099</v>
      </c>
      <c r="J308" s="55" cm="1">
        <f t="array" ref="J308">(VLOOKUP($A308,'The List'!$B1:$AH671,22,FALSE)-AVERAGE('The List'!W2:W671))/STDEV('The List'!W2:W671)</f>
        <v>-0.74841353139876587</v>
      </c>
      <c r="K308" s="55" cm="1">
        <f t="array" ref="K308">(VLOOKUP($A308,'The List'!$B1:$AH671,23,FALSE)-AVERAGE('The List'!X2:X671))/STDEV('The List'!X2:X671)</f>
        <v>-0.80626984300729965</v>
      </c>
      <c r="L308" s="55" cm="1">
        <f t="array" ref="L308">(VLOOKUP($A308,'The List'!$B1:$AH671,24,FALSE)-AVERAGE('The List'!Y2:Y671))/STDEV('The List'!Y2:Y671)</f>
        <v>-0.52063460412336227</v>
      </c>
      <c r="M308" s="55" cm="1">
        <f t="array" ref="M308">(VLOOKUP($A308,'The List'!$B1:$AH671,25,FALSE)-AVERAGE('The List'!Z2:Z671))/STDEV('The List'!Z2:Z671)</f>
        <v>4.5778548844706043E-2</v>
      </c>
      <c r="N308" s="55" cm="1">
        <f t="array" ref="N308">(VLOOKUP($A308,'The List'!$B1:$AH671,26,FALSE)-AVERAGE('The List'!AA2:AA671))/STDEV('The List'!AA2:AA671)</f>
        <v>0.52699770877925001</v>
      </c>
      <c r="O308" s="55" cm="1">
        <f t="array" ref="O308">(VLOOKUP($A308,'The List'!$B1:$AH671,27,FALSE)-AVERAGE('The List'!AB2:AB671))/STDEV('The List'!AB2:AB671)</f>
        <v>-0.96247214984052853</v>
      </c>
      <c r="P308" s="55" cm="1">
        <f t="array" ref="P308">(VLOOKUP($A308,'The List'!$B1:$AH671,28,FALSE)-AVERAGE('The List'!AC2:AC671))/STDEV('The List'!AC2:AC671)</f>
        <v>0.65969117528037757</v>
      </c>
      <c r="Q308" s="55" cm="1">
        <f t="array" ref="Q308">(VLOOKUP($A308,'The List'!$B1:$AH671,29,FALSE)-AVERAGE('The List'!AD2:AD671))/STDEV('The List'!AD2:AD671)</f>
        <v>-0.73205307245600804</v>
      </c>
      <c r="R308" s="55" cm="1">
        <f t="array" ref="R308">(VLOOKUP($A308,'The List'!$B1:$AH671,30,FALSE)-AVERAGE('The List'!AE2:AE671))/STDEV('The List'!AE2:AE671)</f>
        <v>-0.94175290179525284</v>
      </c>
      <c r="S308" s="55" cm="1">
        <f t="array" ref="S308">(VLOOKUP($A308,'The List'!$B1:$AH671,31,FALSE)-AVERAGE('The List'!AF2:AF671))/STDEV('The List'!AF2:AF671)</f>
        <v>-0.5939690971349143</v>
      </c>
      <c r="T308" s="55" cm="1">
        <f t="array" ref="T308">(VLOOKUP($A308,'The List'!$B1:$AH671,32,FALSE)-AVERAGE('The List'!AG2:AG671))/STDEV('The List'!AG2:AG671)</f>
        <v>-0.64602208138248207</v>
      </c>
      <c r="U308" s="55" cm="1">
        <f t="array" ref="U308">(VLOOKUP($A308,'The List'!$B1:$AH671,33,FALSE)-AVERAGE('The List'!AH2:AH671))/STDEV('The List'!AH2:AH671)</f>
        <v>-1.2548938914719048</v>
      </c>
      <c r="V308" s="55"/>
      <c r="W308" s="57"/>
      <c r="X308" s="55"/>
      <c r="Y308" s="55"/>
      <c r="Z308" s="55"/>
      <c r="AA308" s="55"/>
      <c r="AB308" s="55"/>
      <c r="AC308" s="55"/>
      <c r="AD308" s="55"/>
      <c r="AE308" s="55"/>
    </row>
    <row r="309" spans="1:31" ht="21.25" customHeight="1" x14ac:dyDescent="0.15">
      <c r="A309" s="10" t="s">
        <v>361</v>
      </c>
      <c r="B309" s="18" t="str" cm="1">
        <f t="array" ref="B309">VLOOKUP(A309,'Player Data'!A1:B673,2,FALSE)</f>
        <v>OTT</v>
      </c>
      <c r="C309" s="52" cm="1">
        <f t="array" ref="C309">((E309)*Settings!$C$12)+(F309*Settings!$C$2)+(G309*Settings!$C$3)+(H309*Settings!$C$4)+(I309*Settings!$C$5)+(K309*Settings!$C$9)+(N309*Settings!$C$6)+(J309*Settings!$C$8)+(O309*Settings!$C$7)+(P309*Settings!$C$14)+(Q309*Settings!$C$15)+(R309*Settings!$C$16)+(S309*Settings!$C$17)+(T309*Settings!$C$18)+(U309*Settings!$C$19)+(L309*Settings!$C$10)+(Settings!$C$11*M309)</f>
        <v>-0.59130079674554248</v>
      </c>
      <c r="D309" s="57" cm="1">
        <f t="array" ref="D309">IF(Settings!$E$12="YES",VLOOKUP(A309,'Player Data'!A1:E673,5,FALSE),82)</f>
        <v>80.92</v>
      </c>
      <c r="E309" s="55" cm="1">
        <f t="array" ref="E309">(VLOOKUP($A309,'The List'!$B1:$AH671,17,FALSE)-AVERAGE('The List'!R2:R671))/STDEV('The List'!R2:R671)</f>
        <v>0.34177480537641336</v>
      </c>
      <c r="F309" s="55" cm="1">
        <f t="array" ref="F309">(VLOOKUP($A309,'The List'!$B1:$AH671,18,FALSE)-AVERAGE('The List'!S2:S671))/STDEV('The List'!S2:S671)</f>
        <v>-0.79709991113249656</v>
      </c>
      <c r="G309" s="55" cm="1">
        <f t="array" ref="G309">(VLOOKUP($A309,'The List'!$B1:$AH671,19,FALSE)-AVERAGE('The List'!T2:T671))/STDEV('The List'!T2:T671)</f>
        <v>0.12723684801278703</v>
      </c>
      <c r="H309" s="55" cm="1">
        <f t="array" ref="H309">(VLOOKUP($A309,'The List'!$B1:$AH671,20,FALSE)-AVERAGE('The List'!U2:U671))/STDEV('The List'!U2:U671)</f>
        <v>-0.27362458519177596</v>
      </c>
      <c r="I309" s="55" cm="1">
        <f t="array" ref="I309">(VLOOKUP($A309,'The List'!$B1:$AH671,21,FALSE)-AVERAGE('The List'!V2:V671))/STDEV('The List'!V2:V671)</f>
        <v>-0.27111690933961874</v>
      </c>
      <c r="J309" s="55" cm="1">
        <f t="array" ref="J309">(VLOOKUP($A309,'The List'!$B1:$AH671,22,FALSE)-AVERAGE('The List'!W2:W671))/STDEV('The List'!W2:W671)</f>
        <v>-0.6968647533783241</v>
      </c>
      <c r="K309" s="55" cm="1">
        <f t="array" ref="K309">(VLOOKUP($A309,'The List'!$B1:$AH671,23,FALSE)-AVERAGE('The List'!X2:X671))/STDEV('The List'!X2:X671)</f>
        <v>-0.5336853753466565</v>
      </c>
      <c r="L309" s="55" cm="1">
        <f t="array" ref="L309">(VLOOKUP($A309,'The List'!$B1:$AH671,24,FALSE)-AVERAGE('The List'!Y2:Y671))/STDEV('The List'!Y2:Y671)</f>
        <v>-0.55721193025542104</v>
      </c>
      <c r="M309" s="55" cm="1">
        <f t="array" ref="M309">(VLOOKUP($A309,'The List'!$B1:$AH671,25,FALSE)-AVERAGE('The List'!Z2:Z671))/STDEV('The List'!Z2:Z671)</f>
        <v>-0.69056936734985286</v>
      </c>
      <c r="N309" s="55" cm="1">
        <f t="array" ref="N309">(VLOOKUP($A309,'The List'!$B1:$AH671,26,FALSE)-AVERAGE('The List'!AA2:AA671))/STDEV('The List'!AA2:AA671)</f>
        <v>0.36549635596015118</v>
      </c>
      <c r="O309" s="55" cm="1">
        <f t="array" ref="O309">(VLOOKUP($A309,'The List'!$B1:$AH671,27,FALSE)-AVERAGE('The List'!AB2:AB671))/STDEV('The List'!AB2:AB671)</f>
        <v>-0.31962015200442728</v>
      </c>
      <c r="P309" s="55" cm="1">
        <f t="array" ref="P309">(VLOOKUP($A309,'The List'!$B1:$AH671,28,FALSE)-AVERAGE('The List'!AC2:AC671))/STDEV('The List'!AC2:AC671)</f>
        <v>1.1552841775997496</v>
      </c>
      <c r="Q309" s="55" cm="1">
        <f t="array" ref="Q309">(VLOOKUP($A309,'The List'!$B1:$AH671,29,FALSE)-AVERAGE('The List'!AD2:AD671))/STDEV('The List'!AD2:AD671)</f>
        <v>-0.63741598249945841</v>
      </c>
      <c r="R309" s="55" cm="1">
        <f t="array" ref="R309">(VLOOKUP($A309,'The List'!$B1:$AH671,30,FALSE)-AVERAGE('The List'!AE2:AE671))/STDEV('The List'!AE2:AE671)</f>
        <v>-0.69673998411192106</v>
      </c>
      <c r="S309" s="55" cm="1">
        <f t="array" ref="S309">(VLOOKUP($A309,'The List'!$B1:$AH671,31,FALSE)-AVERAGE('The List'!AF2:AF671))/STDEV('The List'!AF2:AF671)</f>
        <v>-0.5939690971349143</v>
      </c>
      <c r="T309" s="55" cm="1">
        <f t="array" ref="T309">(VLOOKUP($A309,'The List'!$B1:$AH671,32,FALSE)-AVERAGE('The List'!AG2:AG671))/STDEV('The List'!AG2:AG671)</f>
        <v>-0.64602208138248207</v>
      </c>
      <c r="U309" s="55" cm="1">
        <f t="array" ref="U309">(VLOOKUP($A309,'The List'!$B1:$AH671,33,FALSE)-AVERAGE('The List'!AH2:AH671))/STDEV('The List'!AH2:AH671)</f>
        <v>-1.2548938914719048</v>
      </c>
      <c r="V309" s="55"/>
      <c r="W309" s="78"/>
      <c r="X309" s="57"/>
      <c r="Y309" s="57"/>
      <c r="Z309" s="57"/>
      <c r="AA309" s="57"/>
      <c r="AB309" s="57"/>
      <c r="AC309" s="60"/>
      <c r="AD309" s="61"/>
      <c r="AE309" s="55"/>
    </row>
    <row r="310" spans="1:31" ht="21.25" customHeight="1" x14ac:dyDescent="0.15">
      <c r="A310" s="10" t="s">
        <v>705</v>
      </c>
      <c r="B310" s="18" t="str" cm="1">
        <f t="array" ref="B310">VLOOKUP(A310,'Player Data'!A1:B673,2,FALSE)</f>
        <v>PHI</v>
      </c>
      <c r="C310" s="52" cm="1">
        <f t="array" ref="C310">((E310)*Settings!$C$12)+(F310*Settings!$C$2)+(G310*Settings!$C$3)+(H310*Settings!$C$4)+(I310*Settings!$C$5)+(K310*Settings!$C$9)+(N310*Settings!$C$6)+(J310*Settings!$C$8)+(O310*Settings!$C$7)+(P310*Settings!$C$14)+(Q310*Settings!$C$15)+(R310*Settings!$C$16)+(S310*Settings!$C$17)+(T310*Settings!$C$18)+(U310*Settings!$C$19)+(L310*Settings!$C$10)+(Settings!$C$11*M310)</f>
        <v>-3.7276797325709965</v>
      </c>
      <c r="D310" s="57" cm="1">
        <f t="array" ref="D310">IF(Settings!$E$12="YES",VLOOKUP(A310,'Player Data'!A1:E673,5,FALSE),82)</f>
        <v>70</v>
      </c>
      <c r="E310" s="55" cm="1">
        <f t="array" ref="E310">(VLOOKUP($A310,'The List'!$B1:$AH671,17,FALSE)-AVERAGE('The List'!R2:R671))/STDEV('The List'!R2:R671)</f>
        <v>-1.0656183653402986</v>
      </c>
      <c r="F310" s="55" cm="1">
        <f t="array" ref="F310">(VLOOKUP($A310,'The List'!$B1:$AH671,18,FALSE)-AVERAGE('The List'!S2:S671))/STDEV('The List'!S2:S671)</f>
        <v>-0.40803858720058683</v>
      </c>
      <c r="G310" s="55" cm="1">
        <f t="array" ref="G310">(VLOOKUP($A310,'The List'!$B1:$AH671,19,FALSE)-AVERAGE('The List'!T2:T671))/STDEV('The List'!T2:T671)</f>
        <v>-0.45246054602841485</v>
      </c>
      <c r="H310" s="55" cm="1">
        <f t="array" ref="H310">(VLOOKUP($A310,'The List'!$B1:$AH671,20,FALSE)-AVERAGE('The List'!U2:U671))/STDEV('The List'!U2:U671)</f>
        <v>-0.46563314019045549</v>
      </c>
      <c r="I310" s="55" cm="1">
        <f t="array" ref="I310">(VLOOKUP($A310,'The List'!$B1:$AH671,21,FALSE)-AVERAGE('The List'!V2:V671))/STDEV('The List'!V2:V671)</f>
        <v>-0.91762497061211079</v>
      </c>
      <c r="J310" s="55" cm="1">
        <f t="array" ref="J310">(VLOOKUP($A310,'The List'!$B1:$AH671,22,FALSE)-AVERAGE('The List'!W2:W671))/STDEV('The List'!W2:W671)</f>
        <v>-0.42128918678006044</v>
      </c>
      <c r="K310" s="55" cm="1">
        <f t="array" ref="K310">(VLOOKUP($A310,'The List'!$B1:$AH671,23,FALSE)-AVERAGE('The List'!X2:X671))/STDEV('The List'!X2:X671)</f>
        <v>-0.43698285406359716</v>
      </c>
      <c r="L310" s="55" cm="1">
        <f t="array" ref="L310">(VLOOKUP($A310,'The List'!$B1:$AH671,24,FALSE)-AVERAGE('The List'!Y2:Y671))/STDEV('The List'!Y2:Y671)</f>
        <v>-0.56112362813696393</v>
      </c>
      <c r="M310" s="55" cm="1">
        <f t="array" ref="M310">(VLOOKUP($A310,'The List'!$B1:$AH671,25,FALSE)-AVERAGE('The List'!Z2:Z671))/STDEV('The List'!Z2:Z671)</f>
        <v>-0.70317212064645285</v>
      </c>
      <c r="N310" s="55" cm="1">
        <f t="array" ref="N310">(VLOOKUP($A310,'The List'!$B1:$AH671,26,FALSE)-AVERAGE('The List'!AA2:AA671))/STDEV('The List'!AA2:AA671)</f>
        <v>-0.86382532958439784</v>
      </c>
      <c r="O310" s="55" cm="1">
        <f t="array" ref="O310">(VLOOKUP($A310,'The List'!$B1:$AH671,27,FALSE)-AVERAGE('The List'!AB2:AB671))/STDEV('The List'!AB2:AB671)</f>
        <v>-0.34803925674647973</v>
      </c>
      <c r="P310" s="55" cm="1">
        <f t="array" ref="P310">(VLOOKUP($A310,'The List'!$B1:$AH671,28,FALSE)-AVERAGE('The List'!AC2:AC671))/STDEV('The List'!AC2:AC671)</f>
        <v>5.2484202395153029E-2</v>
      </c>
      <c r="Q310" s="55" cm="1">
        <f t="array" ref="Q310">(VLOOKUP($A310,'The List'!$B1:$AH671,29,FALSE)-AVERAGE('The List'!AD2:AD671))/STDEV('The List'!AD2:AD671)</f>
        <v>-0.7012316474770417</v>
      </c>
      <c r="R310" s="55" cm="1">
        <f t="array" ref="R310">(VLOOKUP($A310,'The List'!$B1:$AH671,30,FALSE)-AVERAGE('The List'!AE2:AE671))/STDEV('The List'!AE2:AE671)</f>
        <v>-0.3819323199471506</v>
      </c>
      <c r="S310" s="55" cm="1">
        <f t="array" ref="S310">(VLOOKUP($A310,'The List'!$B1:$AH671,31,FALSE)-AVERAGE('The List'!AF2:AF671))/STDEV('The List'!AF2:AF671)</f>
        <v>-0.54231796326737503</v>
      </c>
      <c r="T310" s="55" cm="1">
        <f t="array" ref="T310">(VLOOKUP($A310,'The List'!$B1:$AH671,32,FALSE)-AVERAGE('The List'!AG2:AG671))/STDEV('The List'!AG2:AG671)</f>
        <v>-0.55958439854026332</v>
      </c>
      <c r="U310" s="55" cm="1">
        <f t="array" ref="U310">(VLOOKUP($A310,'The List'!$B1:$AH671,33,FALSE)-AVERAGE('The List'!AH2:AH671))/STDEV('The List'!AH2:AH671)</f>
        <v>0.53279247230370952</v>
      </c>
      <c r="V310" s="55"/>
      <c r="W310" s="78"/>
      <c r="X310" s="57"/>
      <c r="Y310" s="57"/>
      <c r="Z310" s="57"/>
      <c r="AA310" s="57"/>
      <c r="AB310" s="57"/>
      <c r="AC310" s="60"/>
      <c r="AD310" s="61"/>
      <c r="AE310" s="55"/>
    </row>
    <row r="311" spans="1:31" ht="21.25" customHeight="1" x14ac:dyDescent="0.15">
      <c r="A311" s="10" t="s">
        <v>594</v>
      </c>
      <c r="B311" s="18" t="str" cm="1">
        <f t="array" ref="B311">VLOOKUP(A311,'Player Data'!A1:B673,2,FALSE)</f>
        <v>L.A</v>
      </c>
      <c r="C311" s="52" cm="1">
        <f t="array" ref="C311">((E311)*Settings!$C$12)+(F311*Settings!$C$2)+(G311*Settings!$C$3)+(H311*Settings!$C$4)+(I311*Settings!$C$5)+(K311*Settings!$C$9)+(N311*Settings!$C$6)+(J311*Settings!$C$8)+(O311*Settings!$C$7)+(P311*Settings!$C$14)+(Q311*Settings!$C$15)+(R311*Settings!$C$16)+(S311*Settings!$C$17)+(T311*Settings!$C$18)+(U311*Settings!$C$19)+(L311*Settings!$C$10)+(Settings!$C$11*M311)</f>
        <v>-0.33643394959361128</v>
      </c>
      <c r="D311" s="57" cm="1">
        <f t="array" ref="D311">IF(Settings!$E$12="YES",VLOOKUP(A311,'Player Data'!A1:E673,5,FALSE),82)</f>
        <v>81.465000000000003</v>
      </c>
      <c r="E311" s="55" cm="1">
        <f t="array" ref="E311">(VLOOKUP($A311,'The List'!$B1:$AH671,17,FALSE)-AVERAGE('The List'!R2:R671))/STDEV('The List'!R2:R671)</f>
        <v>-0.22175271803435137</v>
      </c>
      <c r="F311" s="55" cm="1">
        <f t="array" ref="F311">(VLOOKUP($A311,'The List'!$B1:$AH671,18,FALSE)-AVERAGE('The List'!S2:S671))/STDEV('The List'!S2:S671)</f>
        <v>-0.11647572286733673</v>
      </c>
      <c r="G311" s="55" cm="1">
        <f t="array" ref="G311">(VLOOKUP($A311,'The List'!$B1:$AH671,19,FALSE)-AVERAGE('The List'!T2:T671))/STDEV('The List'!T2:T671)</f>
        <v>-0.34990403726329489</v>
      </c>
      <c r="H311" s="55" cm="1">
        <f t="array" ref="H311">(VLOOKUP($A311,'The List'!$B1:$AH671,20,FALSE)-AVERAGE('The List'!U2:U671))/STDEV('The List'!U2:U671)</f>
        <v>-0.2717655370533088</v>
      </c>
      <c r="I311" s="55" cm="1">
        <f t="array" ref="I311">(VLOOKUP($A311,'The List'!$B1:$AH671,21,FALSE)-AVERAGE('The List'!V2:V671))/STDEV('The List'!V2:V671)</f>
        <v>6.0365458121076056E-2</v>
      </c>
      <c r="J311" s="55" cm="1">
        <f t="array" ref="J311">(VLOOKUP($A311,'The List'!$B1:$AH671,22,FALSE)-AVERAGE('The List'!W2:W671))/STDEV('The List'!W2:W671)</f>
        <v>1.7187674308394352E-2</v>
      </c>
      <c r="K311" s="55" cm="1">
        <f t="array" ref="K311">(VLOOKUP($A311,'The List'!$B1:$AH671,23,FALSE)-AVERAGE('The List'!X2:X671))/STDEV('The List'!X2:X671)</f>
        <v>-1.8516586426645863E-2</v>
      </c>
      <c r="L311" s="55" cm="1">
        <f t="array" ref="L311">(VLOOKUP($A311,'The List'!$B1:$AH671,24,FALSE)-AVERAGE('The List'!Y2:Y671))/STDEV('The List'!Y2:Y671)</f>
        <v>0.38557295333972824</v>
      </c>
      <c r="M311" s="55" cm="1">
        <f t="array" ref="M311">(VLOOKUP($A311,'The List'!$B1:$AH671,25,FALSE)-AVERAGE('The List'!Z2:Z671))/STDEV('The List'!Z2:Z671)</f>
        <v>0.44445537608157576</v>
      </c>
      <c r="N311" s="55" cm="1">
        <f t="array" ref="N311">(VLOOKUP($A311,'The List'!$B1:$AH671,26,FALSE)-AVERAGE('The List'!AA2:AA671))/STDEV('The List'!AA2:AA671)</f>
        <v>-0.41889503031445396</v>
      </c>
      <c r="O311" s="55" cm="1">
        <f t="array" ref="O311">(VLOOKUP($A311,'The List'!$B1:$AH671,27,FALSE)-AVERAGE('The List'!AB2:AB671))/STDEV('The List'!AB2:AB671)</f>
        <v>0.55607702682182913</v>
      </c>
      <c r="P311" s="55" cm="1">
        <f t="array" ref="P311">(VLOOKUP($A311,'The List'!$B1:$AH671,28,FALSE)-AVERAGE('The List'!AC2:AC671))/STDEV('The List'!AC2:AC671)</f>
        <v>-0.62844046524303099</v>
      </c>
      <c r="Q311" s="55" cm="1">
        <f t="array" ref="Q311">(VLOOKUP($A311,'The List'!$B1:$AH671,29,FALSE)-AVERAGE('The List'!AD2:AD671))/STDEV('The List'!AD2:AD671)</f>
        <v>1.1354324344000752</v>
      </c>
      <c r="R311" s="55" cm="1">
        <f t="array" ref="R311">(VLOOKUP($A311,'The List'!$B1:$AH671,30,FALSE)-AVERAGE('The List'!AE2:AE671))/STDEV('The List'!AE2:AE671)</f>
        <v>-9.4547250751222667E-2</v>
      </c>
      <c r="S311" s="55" cm="1">
        <f t="array" ref="S311">(VLOOKUP($A311,'The List'!$B1:$AH671,31,FALSE)-AVERAGE('The List'!AF2:AF671))/STDEV('The List'!AF2:AF671)</f>
        <v>1.752793487315488</v>
      </c>
      <c r="T311" s="55" cm="1">
        <f t="array" ref="T311">(VLOOKUP($A311,'The List'!$B1:$AH671,32,FALSE)-AVERAGE('The List'!AG2:AG671))/STDEV('The List'!AG2:AG671)</f>
        <v>1.6977276270559778</v>
      </c>
      <c r="U311" s="55" cm="1">
        <f t="array" ref="U311">(VLOOKUP($A311,'The List'!$B1:$AH671,33,FALSE)-AVERAGE('The List'!AH2:AH671))/STDEV('The List'!AH2:AH671)</f>
        <v>1.1173278115370193</v>
      </c>
      <c r="V311" s="55"/>
      <c r="W311" s="57"/>
      <c r="X311" s="55"/>
      <c r="Y311" s="55"/>
      <c r="Z311" s="55"/>
      <c r="AA311" s="55"/>
      <c r="AB311" s="55"/>
      <c r="AC311" s="55"/>
      <c r="AD311" s="55"/>
      <c r="AE311" s="55"/>
    </row>
    <row r="312" spans="1:31" ht="21.25" customHeight="1" x14ac:dyDescent="0.15">
      <c r="A312" s="10" t="s">
        <v>303</v>
      </c>
      <c r="B312" s="18" t="str" cm="1">
        <f t="array" ref="B312">VLOOKUP(A312,'Player Data'!A1:B673,2,FALSE)</f>
        <v>FLA</v>
      </c>
      <c r="C312" s="52" cm="1">
        <f t="array" ref="C312">((E312)*Settings!$C$12)+(F312*Settings!$C$2)+(G312*Settings!$C$3)+(H312*Settings!$C$4)+(I312*Settings!$C$5)+(K312*Settings!$C$9)+(N312*Settings!$C$6)+(J312*Settings!$C$8)+(O312*Settings!$C$7)+(P312*Settings!$C$14)+(Q312*Settings!$C$15)+(R312*Settings!$C$16)+(S312*Settings!$C$17)+(T312*Settings!$C$18)+(U312*Settings!$C$19)+(L312*Settings!$C$10)+(Settings!$C$11*M312)</f>
        <v>1.269185617575316</v>
      </c>
      <c r="D312" s="57" cm="1">
        <f t="array" ref="D312">IF(Settings!$E$12="YES",VLOOKUP(A312,'Player Data'!A1:E673,5,FALSE),82)</f>
        <v>83.1</v>
      </c>
      <c r="E312" s="55" cm="1">
        <f t="array" ref="E312">(VLOOKUP($A312,'The List'!$B1:$AH671,17,FALSE)-AVERAGE('The List'!R2:R671))/STDEV('The List'!R2:R671)</f>
        <v>1.7362471303358125</v>
      </c>
      <c r="F312" s="55" cm="1">
        <f t="array" ref="F312">(VLOOKUP($A312,'The List'!$B1:$AH671,18,FALSE)-AVERAGE('The List'!S2:S671))/STDEV('The List'!S2:S671)</f>
        <v>-0.73195109826262028</v>
      </c>
      <c r="G312" s="55" cm="1">
        <f t="array" ref="G312">(VLOOKUP($A312,'The List'!$B1:$AH671,19,FALSE)-AVERAGE('The List'!T2:T671))/STDEV('The List'!T2:T671)</f>
        <v>0.12145265255938856</v>
      </c>
      <c r="H312" s="55" cm="1">
        <f t="array" ref="H312">(VLOOKUP($A312,'The List'!$B1:$AH671,20,FALSE)-AVERAGE('The List'!U2:U671))/STDEV('The List'!U2:U671)</f>
        <v>-0.2483577025339202</v>
      </c>
      <c r="I312" s="55" cm="1">
        <f t="array" ref="I312">(VLOOKUP($A312,'The List'!$B1:$AH671,21,FALSE)-AVERAGE('The List'!V2:V671))/STDEV('The List'!V2:V671)</f>
        <v>0.30639568141736395</v>
      </c>
      <c r="J312" s="55" cm="1">
        <f t="array" ref="J312">(VLOOKUP($A312,'The List'!$B1:$AH671,22,FALSE)-AVERAGE('The List'!W2:W671))/STDEV('The List'!W2:W671)</f>
        <v>-0.72655424448843486</v>
      </c>
      <c r="K312" s="55" cm="1">
        <f t="array" ref="K312">(VLOOKUP($A312,'The List'!$B1:$AH671,23,FALSE)-AVERAGE('The List'!X2:X671))/STDEV('The List'!X2:X671)</f>
        <v>-0.73950430967743475</v>
      </c>
      <c r="L312" s="55" cm="1">
        <f t="array" ref="L312">(VLOOKUP($A312,'The List'!$B1:$AH671,24,FALSE)-AVERAGE('The List'!Y2:Y671))/STDEV('The List'!Y2:Y671)</f>
        <v>-0.53506547997442422</v>
      </c>
      <c r="M312" s="55" cm="1">
        <f t="array" ref="M312">(VLOOKUP($A312,'The List'!$B1:$AH671,25,FALSE)-AVERAGE('The List'!Z2:Z671))/STDEV('The List'!Z2:Z671)</f>
        <v>-0.3336390723973689</v>
      </c>
      <c r="N312" s="55" cm="1">
        <f t="array" ref="N312">(VLOOKUP($A312,'The List'!$B1:$AH671,26,FALSE)-AVERAGE('The List'!AA2:AA671))/STDEV('The List'!AA2:AA671)</f>
        <v>1.1405069224495463</v>
      </c>
      <c r="O312" s="55" cm="1">
        <f t="array" ref="O312">(VLOOKUP($A312,'The List'!$B1:$AH671,27,FALSE)-AVERAGE('The List'!AB2:AB671))/STDEV('The List'!AB2:AB671)</f>
        <v>-0.36231757690536776</v>
      </c>
      <c r="P312" s="55" cm="1">
        <f t="array" ref="P312">(VLOOKUP($A312,'The List'!$B1:$AH671,28,FALSE)-AVERAGE('The List'!AC2:AC671))/STDEV('The List'!AC2:AC671)</f>
        <v>0.9187393048184076</v>
      </c>
      <c r="Q312" s="55" cm="1">
        <f t="array" ref="Q312">(VLOOKUP($A312,'The List'!$B1:$AH671,29,FALSE)-AVERAGE('The List'!AD2:AD671))/STDEV('The List'!AD2:AD671)</f>
        <v>0.25354646427066457</v>
      </c>
      <c r="R312" s="55" cm="1">
        <f t="array" ref="R312">(VLOOKUP($A312,'The List'!$B1:$AH671,30,FALSE)-AVERAGE('The List'!AE2:AE671))/STDEV('The List'!AE2:AE671)</f>
        <v>-0.66802219513438155</v>
      </c>
      <c r="S312" s="55" cm="1">
        <f t="array" ref="S312">(VLOOKUP($A312,'The List'!$B1:$AH671,31,FALSE)-AVERAGE('The List'!AF2:AF671))/STDEV('The List'!AF2:AF671)</f>
        <v>-0.5939690971349143</v>
      </c>
      <c r="T312" s="55" cm="1">
        <f t="array" ref="T312">(VLOOKUP($A312,'The List'!$B1:$AH671,32,FALSE)-AVERAGE('The List'!AG2:AG671))/STDEV('The List'!AG2:AG671)</f>
        <v>-0.64602208138248207</v>
      </c>
      <c r="U312" s="55" cm="1">
        <f t="array" ref="U312">(VLOOKUP($A312,'The List'!$B1:$AH671,33,FALSE)-AVERAGE('The List'!AH2:AH671))/STDEV('The List'!AH2:AH671)</f>
        <v>-1.2548938914719048</v>
      </c>
      <c r="V312" s="55"/>
      <c r="W312" s="78"/>
      <c r="X312" s="57"/>
      <c r="Y312" s="57"/>
      <c r="Z312" s="57"/>
      <c r="AA312" s="57"/>
      <c r="AB312" s="57"/>
      <c r="AC312" s="60"/>
      <c r="AD312" s="61"/>
      <c r="AE312" s="55"/>
    </row>
    <row r="313" spans="1:31" ht="21.25" customHeight="1" x14ac:dyDescent="0.15">
      <c r="A313" s="10" t="s">
        <v>616</v>
      </c>
      <c r="B313" s="18" t="str" cm="1">
        <f t="array" ref="B313">VLOOKUP(A313,'Player Data'!A1:B673,2,FALSE)</f>
        <v>PHI</v>
      </c>
      <c r="C313" s="52" cm="1">
        <f t="array" ref="C313">((E313)*Settings!$C$12)+(F313*Settings!$C$2)+(G313*Settings!$C$3)+(H313*Settings!$C$4)+(I313*Settings!$C$5)+(K313*Settings!$C$9)+(N313*Settings!$C$6)+(J313*Settings!$C$8)+(O313*Settings!$C$7)+(P313*Settings!$C$14)+(Q313*Settings!$C$15)+(R313*Settings!$C$16)+(S313*Settings!$C$17)+(T313*Settings!$C$18)+(U313*Settings!$C$19)+(L313*Settings!$C$10)+(Settings!$C$11*M313)</f>
        <v>-2.085072442958622</v>
      </c>
      <c r="D313" s="57" cm="1">
        <f t="array" ref="D313">IF(Settings!$E$12="YES",VLOOKUP(A313,'Player Data'!A1:E673,5,FALSE),82)</f>
        <v>82.107500000000002</v>
      </c>
      <c r="E313" s="55" cm="1">
        <f t="array" ref="E313">(VLOOKUP($A313,'The List'!$B1:$AH671,17,FALSE)-AVERAGE('The List'!R2:R671))/STDEV('The List'!R2:R671)</f>
        <v>-0.65009151945514976</v>
      </c>
      <c r="F313" s="55" cm="1">
        <f t="array" ref="F313">(VLOOKUP($A313,'The List'!$B1:$AH671,18,FALSE)-AVERAGE('The List'!S2:S671))/STDEV('The List'!S2:S671)</f>
        <v>-0.29985197424633225</v>
      </c>
      <c r="G313" s="55" cm="1">
        <f t="array" ref="G313">(VLOOKUP($A313,'The List'!$B1:$AH671,19,FALSE)-AVERAGE('The List'!T2:T671))/STDEV('The List'!T2:T671)</f>
        <v>-0.21142495351912766</v>
      </c>
      <c r="H313" s="55" cm="1">
        <f t="array" ref="H313">(VLOOKUP($A313,'The List'!$B1:$AH671,20,FALSE)-AVERAGE('The List'!U2:U671))/STDEV('The List'!U2:U671)</f>
        <v>-0.26602297800313479</v>
      </c>
      <c r="I313" s="55" cm="1">
        <f t="array" ref="I313">(VLOOKUP($A313,'The List'!$B1:$AH671,21,FALSE)-AVERAGE('The List'!V2:V671))/STDEV('The List'!V2:V671)</f>
        <v>-0.21350392034916521</v>
      </c>
      <c r="J313" s="55" cm="1">
        <f t="array" ref="J313">(VLOOKUP($A313,'The List'!$B1:$AH671,22,FALSE)-AVERAGE('The List'!W2:W671))/STDEV('The List'!W2:W671)</f>
        <v>-0.72168736484868812</v>
      </c>
      <c r="K313" s="55" cm="1">
        <f t="array" ref="K313">(VLOOKUP($A313,'The List'!$B1:$AH671,23,FALSE)-AVERAGE('The List'!X2:X671))/STDEV('The List'!X2:X671)</f>
        <v>-0.78092516995198202</v>
      </c>
      <c r="L313" s="55" cm="1">
        <f t="array" ref="L313">(VLOOKUP($A313,'The List'!$B1:$AH671,24,FALSE)-AVERAGE('The List'!Y2:Y671))/STDEV('The List'!Y2:Y671)</f>
        <v>-0.30941007008327936</v>
      </c>
      <c r="M313" s="55" cm="1">
        <f t="array" ref="M313">(VLOOKUP($A313,'The List'!$B1:$AH671,25,FALSE)-AVERAGE('The List'!Z2:Z671))/STDEV('The List'!Z2:Z671)</f>
        <v>7.8805811954046026E-2</v>
      </c>
      <c r="N313" s="55" cm="1">
        <f t="array" ref="N313">(VLOOKUP($A313,'The List'!$B1:$AH671,26,FALSE)-AVERAGE('The List'!AA2:AA671))/STDEV('The List'!AA2:AA671)</f>
        <v>-0.55882188898321294</v>
      </c>
      <c r="O313" s="55" cm="1">
        <f t="array" ref="O313">(VLOOKUP($A313,'The List'!$B1:$AH671,27,FALSE)-AVERAGE('The List'!AB2:AB671))/STDEV('The List'!AB2:AB671)</f>
        <v>-0.16752376826653428</v>
      </c>
      <c r="P313" s="55" cm="1">
        <f t="array" ref="P313">(VLOOKUP($A313,'The List'!$B1:$AH671,28,FALSE)-AVERAGE('The List'!AC2:AC671))/STDEV('The List'!AC2:AC671)</f>
        <v>0.18107425254495238</v>
      </c>
      <c r="Q313" s="55" cm="1">
        <f t="array" ref="Q313">(VLOOKUP($A313,'The List'!$B1:$AH671,29,FALSE)-AVERAGE('The List'!AD2:AD671))/STDEV('The List'!AD2:AD671)</f>
        <v>-0.20161878845375444</v>
      </c>
      <c r="R313" s="55" cm="1">
        <f t="array" ref="R313">(VLOOKUP($A313,'The List'!$B1:$AH671,30,FALSE)-AVERAGE('The List'!AE2:AE671))/STDEV('The List'!AE2:AE671)</f>
        <v>-0.27508993320951414</v>
      </c>
      <c r="S313" s="55" cm="1">
        <f t="array" ref="S313">(VLOOKUP($A313,'The List'!$B1:$AH671,31,FALSE)-AVERAGE('The List'!AF2:AF671))/STDEV('The List'!AF2:AF671)</f>
        <v>2.1888714121506974</v>
      </c>
      <c r="T313" s="55" cm="1">
        <f t="array" ref="T313">(VLOOKUP($A313,'The List'!$B1:$AH671,32,FALSE)-AVERAGE('The List'!AG2:AG671))/STDEV('The List'!AG2:AG671)</f>
        <v>1.805728635558616</v>
      </c>
      <c r="U313" s="55" cm="1">
        <f t="array" ref="U313">(VLOOKUP($A313,'The List'!$B1:$AH671,33,FALSE)-AVERAGE('The List'!AH2:AH671))/STDEV('The List'!AH2:AH671)</f>
        <v>1.2607987928530229</v>
      </c>
      <c r="V313" s="55"/>
      <c r="W313" s="78"/>
      <c r="X313" s="57"/>
      <c r="Y313" s="57"/>
      <c r="Z313" s="57"/>
      <c r="AA313" s="57"/>
      <c r="AB313" s="57"/>
      <c r="AC313" s="60"/>
      <c r="AD313" s="61"/>
      <c r="AE313" s="55"/>
    </row>
    <row r="314" spans="1:31" ht="21.25" customHeight="1" x14ac:dyDescent="0.15">
      <c r="A314" s="10" t="s">
        <v>289</v>
      </c>
      <c r="B314" s="18" t="str" cm="1">
        <f t="array" ref="B314">VLOOKUP(A314,'Player Data'!A1:B673,2,FALSE)</f>
        <v>PHI</v>
      </c>
      <c r="C314" s="52" cm="1">
        <f t="array" ref="C314">((E314)*Settings!$C$12)+(F314*Settings!$C$2)+(G314*Settings!$C$3)+(H314*Settings!$C$4)+(I314*Settings!$C$5)+(K314*Settings!$C$9)+(N314*Settings!$C$6)+(J314*Settings!$C$8)+(O314*Settings!$C$7)+(P314*Settings!$C$14)+(Q314*Settings!$C$15)+(R314*Settings!$C$16)+(S314*Settings!$C$17)+(T314*Settings!$C$18)+(U314*Settings!$C$19)+(L314*Settings!$C$10)+(Settings!$C$11*M314)</f>
        <v>1.1484654511998873</v>
      </c>
      <c r="D314" s="57" cm="1">
        <f t="array" ref="D314">IF(Settings!$E$12="YES",VLOOKUP(A314,'Player Data'!A1:E673,5,FALSE),82)</f>
        <v>83.752499999999998</v>
      </c>
      <c r="E314" s="55" cm="1">
        <f t="array" ref="E314">(VLOOKUP($A314,'The List'!$B1:$AH671,17,FALSE)-AVERAGE('The List'!R2:R671))/STDEV('The List'!R2:R671)</f>
        <v>1.7170928454975343</v>
      </c>
      <c r="F314" s="55" cm="1">
        <f t="array" ref="F314">(VLOOKUP($A314,'The List'!$B1:$AH671,18,FALSE)-AVERAGE('The List'!S2:S671))/STDEV('The List'!S2:S671)</f>
        <v>-0.60027592050664302</v>
      </c>
      <c r="G314" s="55" cm="1">
        <f t="array" ref="G314">(VLOOKUP($A314,'The List'!$B1:$AH671,19,FALSE)-AVERAGE('The List'!T2:T671))/STDEV('The List'!T2:T671)</f>
        <v>4.33044123074409E-2</v>
      </c>
      <c r="H314" s="55" cm="1">
        <f t="array" ref="H314">(VLOOKUP($A314,'The List'!$B1:$AH671,20,FALSE)-AVERAGE('The List'!U2:U671))/STDEV('The List'!U2:U671)</f>
        <v>-0.23909112116660125</v>
      </c>
      <c r="I314" s="55" cm="1">
        <f t="array" ref="I314">(VLOOKUP($A314,'The List'!$B1:$AH671,21,FALSE)-AVERAGE('The List'!V2:V671))/STDEV('The List'!V2:V671)</f>
        <v>-0.29864770617646508</v>
      </c>
      <c r="J314" s="55" cm="1">
        <f t="array" ref="J314">(VLOOKUP($A314,'The List'!$B1:$AH671,22,FALSE)-AVERAGE('The List'!W2:W671))/STDEV('The List'!W2:W671)</f>
        <v>-0.70308436265255692</v>
      </c>
      <c r="K314" s="55" cm="1">
        <f t="array" ref="K314">(VLOOKUP($A314,'The List'!$B1:$AH671,23,FALSE)-AVERAGE('The List'!X2:X671))/STDEV('The List'!X2:X671)</f>
        <v>-0.67883963118173585</v>
      </c>
      <c r="L314" s="55" cm="1">
        <f t="array" ref="L314">(VLOOKUP($A314,'The List'!$B1:$AH671,24,FALSE)-AVERAGE('The List'!Y2:Y671))/STDEV('The List'!Y2:Y671)</f>
        <v>0.47204958859852236</v>
      </c>
      <c r="M314" s="55" cm="1">
        <f t="array" ref="M314">(VLOOKUP($A314,'The List'!$B1:$AH671,25,FALSE)-AVERAGE('The List'!Z2:Z671))/STDEV('The List'!Z2:Z671)</f>
        <v>2.1891235524254404</v>
      </c>
      <c r="N314" s="55" cm="1">
        <f t="array" ref="N314">(VLOOKUP($A314,'The List'!$B1:$AH671,26,FALSE)-AVERAGE('The List'!AA2:AA671))/STDEV('The List'!AA2:AA671)</f>
        <v>2.3004801573131908</v>
      </c>
      <c r="O314" s="55" cm="1">
        <f t="array" ref="O314">(VLOOKUP($A314,'The List'!$B1:$AH671,27,FALSE)-AVERAGE('The List'!AB2:AB671))/STDEV('The List'!AB2:AB671)</f>
        <v>-0.53500375490209384</v>
      </c>
      <c r="P314" s="55" cm="1">
        <f t="array" ref="P314">(VLOOKUP($A314,'The List'!$B1:$AH671,28,FALSE)-AVERAGE('The List'!AC2:AC671))/STDEV('The List'!AC2:AC671)</f>
        <v>0.15389495922980118</v>
      </c>
      <c r="Q314" s="55" cm="1">
        <f t="array" ref="Q314">(VLOOKUP($A314,'The List'!$B1:$AH671,29,FALSE)-AVERAGE('The List'!AD2:AD671))/STDEV('The List'!AD2:AD671)</f>
        <v>0.22854918021429849</v>
      </c>
      <c r="R314" s="55" cm="1">
        <f t="array" ref="R314">(VLOOKUP($A314,'The List'!$B1:$AH671,30,FALSE)-AVERAGE('The List'!AE2:AE671))/STDEV('The List'!AE2:AE671)</f>
        <v>-0.57178109097007401</v>
      </c>
      <c r="S314" s="55" cm="1">
        <f t="array" ref="S314">(VLOOKUP($A314,'The List'!$B1:$AH671,31,FALSE)-AVERAGE('The List'!AF2:AF671))/STDEV('The List'!AF2:AF671)</f>
        <v>-0.5939690971349143</v>
      </c>
      <c r="T314" s="55" cm="1">
        <f t="array" ref="T314">(VLOOKUP($A314,'The List'!$B1:$AH671,32,FALSE)-AVERAGE('The List'!AG2:AG671))/STDEV('The List'!AG2:AG671)</f>
        <v>-0.64602208138248207</v>
      </c>
      <c r="U314" s="55" cm="1">
        <f t="array" ref="U314">(VLOOKUP($A314,'The List'!$B1:$AH671,33,FALSE)-AVERAGE('The List'!AH2:AH671))/STDEV('The List'!AH2:AH671)</f>
        <v>-1.2548938914719048</v>
      </c>
      <c r="V314" s="55"/>
      <c r="W314" s="78"/>
      <c r="X314" s="57"/>
      <c r="Y314" s="57"/>
      <c r="Z314" s="57"/>
      <c r="AA314" s="57"/>
      <c r="AB314" s="57"/>
      <c r="AC314" s="60"/>
      <c r="AD314" s="61"/>
      <c r="AE314" s="55"/>
    </row>
    <row r="315" spans="1:31" ht="21.25" customHeight="1" x14ac:dyDescent="0.15">
      <c r="A315" s="10" t="s">
        <v>572</v>
      </c>
      <c r="B315" s="18" t="str" cm="1">
        <f t="array" ref="B315">VLOOKUP(A315,'Player Data'!A1:B673,2,FALSE)</f>
        <v>WPG</v>
      </c>
      <c r="C315" s="52" cm="1">
        <f t="array" ref="C315">((E315)*Settings!$C$12)+(F315*Settings!$C$2)+(G315*Settings!$C$3)+(H315*Settings!$C$4)+(I315*Settings!$C$5)+(K315*Settings!$C$9)+(N315*Settings!$C$6)+(J315*Settings!$C$8)+(O315*Settings!$C$7)+(P315*Settings!$C$14)+(Q315*Settings!$C$15)+(R315*Settings!$C$16)+(S315*Settings!$C$17)+(T315*Settings!$C$18)+(U315*Settings!$C$19)+(L315*Settings!$C$10)+(Settings!$C$11*M315)</f>
        <v>-1.6278458556818045</v>
      </c>
      <c r="D315" s="57" cm="1">
        <f t="array" ref="D315">IF(Settings!$E$12="YES",VLOOKUP(A315,'Player Data'!A1:E673,5,FALSE),82)</f>
        <v>83.497500000000002</v>
      </c>
      <c r="E315" s="55" cm="1">
        <f t="array" ref="E315">(VLOOKUP($A315,'The List'!$B1:$AH671,17,FALSE)-AVERAGE('The List'!R2:R671))/STDEV('The List'!R2:R671)</f>
        <v>-0.28161173172442311</v>
      </c>
      <c r="F315" s="55" cm="1">
        <f t="array" ref="F315">(VLOOKUP($A315,'The List'!$B1:$AH671,18,FALSE)-AVERAGE('The List'!S2:S671))/STDEV('The List'!S2:S671)</f>
        <v>2.3199912898426725E-2</v>
      </c>
      <c r="G315" s="55" cm="1">
        <f t="array" ref="G315">(VLOOKUP($A315,'The List'!$B1:$AH671,19,FALSE)-AVERAGE('The List'!T2:T671))/STDEV('The List'!T2:T671)</f>
        <v>-0.41047073505158371</v>
      </c>
      <c r="H315" s="55" cm="1">
        <f t="array" ref="H315">(VLOOKUP($A315,'The List'!$B1:$AH671,20,FALSE)-AVERAGE('The List'!U2:U671))/STDEV('The List'!U2:U671)</f>
        <v>-0.24789062909404849</v>
      </c>
      <c r="I315" s="55" cm="1">
        <f t="array" ref="I315">(VLOOKUP($A315,'The List'!$B1:$AH671,21,FALSE)-AVERAGE('The List'!V2:V671))/STDEV('The List'!V2:V671)</f>
        <v>4.4916848576072196E-4</v>
      </c>
      <c r="J315" s="55" cm="1">
        <f t="array" ref="J315">(VLOOKUP($A315,'The List'!$B1:$AH671,22,FALSE)-AVERAGE('The List'!W2:W671))/STDEV('The List'!W2:W671)</f>
        <v>0.13979192319590625</v>
      </c>
      <c r="K315" s="55" cm="1">
        <f t="array" ref="K315">(VLOOKUP($A315,'The List'!$B1:$AH671,23,FALSE)-AVERAGE('The List'!X2:X671))/STDEV('The List'!X2:X671)</f>
        <v>-0.10778988936977332</v>
      </c>
      <c r="L315" s="55" cm="1">
        <f t="array" ref="L315">(VLOOKUP($A315,'The List'!$B1:$AH671,24,FALSE)-AVERAGE('The List'!Y2:Y671))/STDEV('The List'!Y2:Y671)</f>
        <v>-0.44815202474567301</v>
      </c>
      <c r="M315" s="55" cm="1">
        <f t="array" ref="M315">(VLOOKUP($A315,'The List'!$B1:$AH671,25,FALSE)-AVERAGE('The List'!Z2:Z671))/STDEV('The List'!Z2:Z671)</f>
        <v>-0.13693134804620805</v>
      </c>
      <c r="N315" s="55" cm="1">
        <f t="array" ref="N315">(VLOOKUP($A315,'The List'!$B1:$AH671,26,FALSE)-AVERAGE('The List'!AA2:AA671))/STDEV('The List'!AA2:AA671)</f>
        <v>-9.9769865909672323E-2</v>
      </c>
      <c r="O315" s="55" cm="1">
        <f t="array" ref="O315">(VLOOKUP($A315,'The List'!$B1:$AH671,27,FALSE)-AVERAGE('The List'!AB2:AB671))/STDEV('The List'!AB2:AB671)</f>
        <v>0.40302927446868048</v>
      </c>
      <c r="P315" s="55" cm="1">
        <f t="array" ref="P315">(VLOOKUP($A315,'The List'!$B1:$AH671,28,FALSE)-AVERAGE('The List'!AC2:AC671))/STDEV('The List'!AC2:AC671)</f>
        <v>4.7611507984566107E-2</v>
      </c>
      <c r="Q315" s="55" cm="1">
        <f t="array" ref="Q315">(VLOOKUP($A315,'The List'!$B1:$AH671,29,FALSE)-AVERAGE('The List'!AD2:AD671))/STDEV('The List'!AD2:AD671)</f>
        <v>-1.0810759547195288</v>
      </c>
      <c r="R315" s="55" cm="1">
        <f t="array" ref="R315">(VLOOKUP($A315,'The List'!$B1:$AH671,30,FALSE)-AVERAGE('The List'!AE2:AE671))/STDEV('The List'!AE2:AE671)</f>
        <v>0.18105569115093212</v>
      </c>
      <c r="S315" s="55" cm="1">
        <f t="array" ref="S315">(VLOOKUP($A315,'The List'!$B1:$AH671,31,FALSE)-AVERAGE('The List'!AF2:AF671))/STDEV('The List'!AF2:AF671)</f>
        <v>-0.51766126972209325</v>
      </c>
      <c r="T315" s="55" cm="1">
        <f t="array" ref="T315">(VLOOKUP($A315,'The List'!$B1:$AH671,32,FALSE)-AVERAGE('The List'!AG2:AG671))/STDEV('The List'!AG2:AG671)</f>
        <v>-0.5316103650871522</v>
      </c>
      <c r="U315" s="55" cm="1">
        <f t="array" ref="U315">(VLOOKUP($A315,'The List'!$B1:$AH671,33,FALSE)-AVERAGE('The List'!AH2:AH671))/STDEV('The List'!AH2:AH671)</f>
        <v>0.65419770517340625</v>
      </c>
      <c r="V315" s="55"/>
      <c r="W315" s="57"/>
      <c r="X315" s="55"/>
      <c r="Y315" s="55"/>
      <c r="Z315" s="55"/>
      <c r="AA315" s="55"/>
      <c r="AB315" s="55"/>
      <c r="AC315" s="55"/>
      <c r="AD315" s="55"/>
      <c r="AE315" s="55"/>
    </row>
    <row r="316" spans="1:31" ht="21.25" customHeight="1" x14ac:dyDescent="0.15">
      <c r="A316" s="10" t="s">
        <v>701</v>
      </c>
      <c r="B316" s="18" t="str" cm="1">
        <f t="array" ref="B316">VLOOKUP(A316,'Player Data'!A1:B673,2,FALSE)</f>
        <v>CHI</v>
      </c>
      <c r="C316" s="52" cm="1">
        <f t="array" ref="C316">((E316)*Settings!$C$12)+(F316*Settings!$C$2)+(G316*Settings!$C$3)+(H316*Settings!$C$4)+(I316*Settings!$C$5)+(K316*Settings!$C$9)+(N316*Settings!$C$6)+(J316*Settings!$C$8)+(O316*Settings!$C$7)+(P316*Settings!$C$14)+(Q316*Settings!$C$15)+(R316*Settings!$C$16)+(S316*Settings!$C$17)+(T316*Settings!$C$18)+(U316*Settings!$C$19)+(L316*Settings!$C$10)+(Settings!$C$11*M316)</f>
        <v>-5.731569194907137</v>
      </c>
      <c r="D316" s="57" cm="1">
        <f t="array" ref="D316">IF(Settings!$E$12="YES",VLOOKUP(A316,'Player Data'!A1:E673,5,FALSE),82)</f>
        <v>67.015000000000001</v>
      </c>
      <c r="E316" s="55" cm="1">
        <f t="array" ref="E316">(VLOOKUP($A316,'The List'!$B1:$AH671,17,FALSE)-AVERAGE('The List'!R2:R671))/STDEV('The List'!R2:R671)</f>
        <v>-1.0903922295067481</v>
      </c>
      <c r="F316" s="55" cm="1">
        <f t="array" ref="F316">(VLOOKUP($A316,'The List'!$B1:$AH671,18,FALSE)-AVERAGE('The List'!S2:S671))/STDEV('The List'!S2:S671)</f>
        <v>2.7270054347162627E-2</v>
      </c>
      <c r="G316" s="55" cm="1">
        <f t="array" ref="G316">(VLOOKUP($A316,'The List'!$B1:$AH671,19,FALSE)-AVERAGE('The List'!T2:T671))/STDEV('The List'!T2:T671)</f>
        <v>-0.85989677757299054</v>
      </c>
      <c r="H316" s="55" cm="1">
        <f t="array" ref="H316">(VLOOKUP($A316,'The List'!$B1:$AH671,20,FALSE)-AVERAGE('The List'!U2:U671))/STDEV('The List'!U2:U671)</f>
        <v>-0.52877140442619641</v>
      </c>
      <c r="I316" s="55" cm="1">
        <f t="array" ref="I316">(VLOOKUP($A316,'The List'!$B1:$AH671,21,FALSE)-AVERAGE('The List'!V2:V671))/STDEV('The List'!V2:V671)</f>
        <v>-0.60964197912836926</v>
      </c>
      <c r="J316" s="55" cm="1">
        <f t="array" ref="J316">(VLOOKUP($A316,'The List'!$B1:$AH671,22,FALSE)-AVERAGE('The List'!W2:W671))/STDEV('The List'!W2:W671)</f>
        <v>-0.26432183649777807</v>
      </c>
      <c r="K316" s="55" cm="1">
        <f t="array" ref="K316">(VLOOKUP($A316,'The List'!$B1:$AH671,23,FALSE)-AVERAGE('The List'!X2:X671))/STDEV('The List'!X2:X671)</f>
        <v>-0.48154495139355447</v>
      </c>
      <c r="L316" s="55" cm="1">
        <f t="array" ref="L316">(VLOOKUP($A316,'The List'!$B1:$AH671,24,FALSE)-AVERAGE('The List'!Y2:Y671))/STDEV('The List'!Y2:Y671)</f>
        <v>-0.56290138978186788</v>
      </c>
      <c r="M316" s="55" cm="1">
        <f t="array" ref="M316">(VLOOKUP($A316,'The List'!$B1:$AH671,25,FALSE)-AVERAGE('The List'!Z2:Z671))/STDEV('The List'!Z2:Z671)</f>
        <v>-0.70478999350120686</v>
      </c>
      <c r="N316" s="55" cm="1">
        <f t="array" ref="N316">(VLOOKUP($A316,'The List'!$B1:$AH671,26,FALSE)-AVERAGE('The List'!AA2:AA671))/STDEV('The List'!AA2:AA671)</f>
        <v>-1.0150653475463716</v>
      </c>
      <c r="O316" s="55" cm="1">
        <f t="array" ref="O316">(VLOOKUP($A316,'The List'!$B1:$AH671,27,FALSE)-AVERAGE('The List'!AB2:AB671))/STDEV('The List'!AB2:AB671)</f>
        <v>1.5333949425814081E-3</v>
      </c>
      <c r="P316" s="55" cm="1">
        <f t="array" ref="P316">(VLOOKUP($A316,'The List'!$B1:$AH671,28,FALSE)-AVERAGE('The List'!AC2:AC671))/STDEV('The List'!AC2:AC671)</f>
        <v>-1.7890657635195779</v>
      </c>
      <c r="Q316" s="55" cm="1">
        <f t="array" ref="Q316">(VLOOKUP($A316,'The List'!$B1:$AH671,29,FALSE)-AVERAGE('The List'!AD2:AD671))/STDEV('The List'!AD2:AD671)</f>
        <v>-1.0036244300934356</v>
      </c>
      <c r="R316" s="55" cm="1">
        <f t="array" ref="R316">(VLOOKUP($A316,'The List'!$B1:$AH671,30,FALSE)-AVERAGE('The List'!AE2:AE671))/STDEV('The List'!AE2:AE671)</f>
        <v>-0.25457040383834173</v>
      </c>
      <c r="S316" s="55" cm="1">
        <f t="array" ref="S316">(VLOOKUP($A316,'The List'!$B1:$AH671,31,FALSE)-AVERAGE('The List'!AF2:AF671))/STDEV('The List'!AF2:AF671)</f>
        <v>-0.58619922958155513</v>
      </c>
      <c r="T316" s="55" cm="1">
        <f t="array" ref="T316">(VLOOKUP($A316,'The List'!$B1:$AH671,32,FALSE)-AVERAGE('The List'!AG2:AG671))/STDEV('The List'!AG2:AG671)</f>
        <v>-0.63774757249054204</v>
      </c>
      <c r="U316" s="55" cm="1">
        <f t="array" ref="U316">(VLOOKUP($A316,'The List'!$B1:$AH671,33,FALSE)-AVERAGE('The List'!AH2:AH671))/STDEV('The List'!AH2:AH671)</f>
        <v>1.0435600048110272</v>
      </c>
      <c r="V316" s="55"/>
      <c r="W316" s="57"/>
      <c r="X316" s="55"/>
      <c r="Y316" s="55"/>
      <c r="Z316" s="55"/>
      <c r="AA316" s="55"/>
      <c r="AB316" s="55"/>
      <c r="AC316" s="55"/>
      <c r="AD316" s="55"/>
      <c r="AE316" s="55"/>
    </row>
    <row r="317" spans="1:31" ht="21.25" customHeight="1" x14ac:dyDescent="0.15">
      <c r="A317" s="10" t="s">
        <v>307</v>
      </c>
      <c r="B317" s="18" t="str" cm="1">
        <f t="array" ref="B317">VLOOKUP(A317,'Player Data'!A1:B673,2,FALSE)</f>
        <v>NSH</v>
      </c>
      <c r="C317" s="52" cm="1">
        <f t="array" ref="C317">((E317)*Settings!$C$12)+(F317*Settings!$C$2)+(G317*Settings!$C$3)+(H317*Settings!$C$4)+(I317*Settings!$C$5)+(K317*Settings!$C$9)+(N317*Settings!$C$6)+(J317*Settings!$C$8)+(O317*Settings!$C$7)+(P317*Settings!$C$14)+(Q317*Settings!$C$15)+(R317*Settings!$C$16)+(S317*Settings!$C$17)+(T317*Settings!$C$18)+(U317*Settings!$C$19)+(L317*Settings!$C$10)+(Settings!$C$11*M317)</f>
        <v>0.18600601212750145</v>
      </c>
      <c r="D317" s="57" cm="1">
        <f t="array" ref="D317">IF(Settings!$E$12="YES",VLOOKUP(A317,'Player Data'!A1:E673,5,FALSE),82)</f>
        <v>83.83</v>
      </c>
      <c r="E317" s="55" cm="1">
        <f t="array" ref="E317">(VLOOKUP($A317,'The List'!$B1:$AH671,17,FALSE)-AVERAGE('The List'!R2:R671))/STDEV('The List'!R2:R671)</f>
        <v>1.6204898589478234</v>
      </c>
      <c r="F317" s="55" cm="1">
        <f t="array" ref="F317">(VLOOKUP($A317,'The List'!$B1:$AH671,18,FALSE)-AVERAGE('The List'!S2:S671))/STDEV('The List'!S2:S671)</f>
        <v>-0.76572172547185724</v>
      </c>
      <c r="G317" s="55" cm="1">
        <f t="array" ref="G317">(VLOOKUP($A317,'The List'!$B1:$AH671,19,FALSE)-AVERAGE('The List'!T2:T671))/STDEV('The List'!T2:T671)</f>
        <v>0.14667384977746833</v>
      </c>
      <c r="H317" s="55" cm="1">
        <f t="array" ref="H317">(VLOOKUP($A317,'The List'!$B1:$AH671,20,FALSE)-AVERAGE('The List'!U2:U671))/STDEV('The List'!U2:U671)</f>
        <v>-0.24747699527757561</v>
      </c>
      <c r="I317" s="55" cm="1">
        <f t="array" ref="I317">(VLOOKUP($A317,'The List'!$B1:$AH671,21,FALSE)-AVERAGE('The List'!V2:V671))/STDEV('The List'!V2:V671)</f>
        <v>6.9759369299029789E-2</v>
      </c>
      <c r="J317" s="55" cm="1">
        <f t="array" ref="J317">(VLOOKUP($A317,'The List'!$B1:$AH671,22,FALSE)-AVERAGE('The List'!W2:W671))/STDEV('The List'!W2:W671)</f>
        <v>-0.54141261430333987</v>
      </c>
      <c r="K317" s="55" cm="1">
        <f t="array" ref="K317">(VLOOKUP($A317,'The List'!$B1:$AH671,23,FALSE)-AVERAGE('The List'!X2:X671))/STDEV('The List'!X2:X671)</f>
        <v>-5.7177122859276834E-2</v>
      </c>
      <c r="L317" s="55" cm="1">
        <f t="array" ref="L317">(VLOOKUP($A317,'The List'!$B1:$AH671,24,FALSE)-AVERAGE('The List'!Y2:Y671))/STDEV('The List'!Y2:Y671)</f>
        <v>0.40839741850388755</v>
      </c>
      <c r="M317" s="55" cm="1">
        <f t="array" ref="M317">(VLOOKUP($A317,'The List'!$B1:$AH671,25,FALSE)-AVERAGE('The List'!Z2:Z671))/STDEV('The List'!Z2:Z671)</f>
        <v>1.1714364000744386</v>
      </c>
      <c r="N317" s="55" cm="1">
        <f t="array" ref="N317">(VLOOKUP($A317,'The List'!$B1:$AH671,26,FALSE)-AVERAGE('The List'!AA2:AA671))/STDEV('The List'!AA2:AA671)</f>
        <v>0.97177433192512663</v>
      </c>
      <c r="O317" s="55" cm="1">
        <f t="array" ref="O317">(VLOOKUP($A317,'The List'!$B1:$AH671,27,FALSE)-AVERAGE('The List'!AB2:AB671))/STDEV('The List'!AB2:AB671)</f>
        <v>-0.28420385858406583</v>
      </c>
      <c r="P317" s="55" cm="1">
        <f t="array" ref="P317">(VLOOKUP($A317,'The List'!$B1:$AH671,28,FALSE)-AVERAGE('The List'!AC2:AC671))/STDEV('The List'!AC2:AC671)</f>
        <v>-1.0435937753417239</v>
      </c>
      <c r="Q317" s="55" cm="1">
        <f t="array" ref="Q317">(VLOOKUP($A317,'The List'!$B1:$AH671,29,FALSE)-AVERAGE('The List'!AD2:AD671))/STDEV('The List'!AD2:AD671)</f>
        <v>0.86429108479873462</v>
      </c>
      <c r="R317" s="55" cm="1">
        <f t="array" ref="R317">(VLOOKUP($A317,'The List'!$B1:$AH671,30,FALSE)-AVERAGE('The List'!AE2:AE671))/STDEV('The List'!AE2:AE671)</f>
        <v>-0.80898938738247905</v>
      </c>
      <c r="S317" s="55" cm="1">
        <f t="array" ref="S317">(VLOOKUP($A317,'The List'!$B1:$AH671,31,FALSE)-AVERAGE('The List'!AF2:AF671))/STDEV('The List'!AF2:AF671)</f>
        <v>-0.5939690971349143</v>
      </c>
      <c r="T317" s="55" cm="1">
        <f t="array" ref="T317">(VLOOKUP($A317,'The List'!$B1:$AH671,32,FALSE)-AVERAGE('The List'!AG2:AG671))/STDEV('The List'!AG2:AG671)</f>
        <v>-0.64602208138248207</v>
      </c>
      <c r="U317" s="55" cm="1">
        <f t="array" ref="U317">(VLOOKUP($A317,'The List'!$B1:$AH671,33,FALSE)-AVERAGE('The List'!AH2:AH671))/STDEV('The List'!AH2:AH671)</f>
        <v>-1.2548938914719048</v>
      </c>
      <c r="V317" s="55"/>
      <c r="W317" s="78"/>
      <c r="X317" s="57"/>
      <c r="Y317" s="57"/>
      <c r="Z317" s="57"/>
      <c r="AA317" s="57"/>
      <c r="AB317" s="57"/>
      <c r="AC317" s="60"/>
      <c r="AD317" s="61"/>
      <c r="AE317" s="55"/>
    </row>
    <row r="318" spans="1:31" ht="21.25" customHeight="1" x14ac:dyDescent="0.15">
      <c r="A318" s="10" t="s">
        <v>659</v>
      </c>
      <c r="B318" s="18" t="str" cm="1">
        <f t="array" ref="B318">VLOOKUP(A318,'Player Data'!A1:B673,2,FALSE)</f>
        <v>DET</v>
      </c>
      <c r="C318" s="52" cm="1">
        <f t="array" ref="C318">((E318)*Settings!$C$12)+(F318*Settings!$C$2)+(G318*Settings!$C$3)+(H318*Settings!$C$4)+(I318*Settings!$C$5)+(K318*Settings!$C$9)+(N318*Settings!$C$6)+(J318*Settings!$C$8)+(O318*Settings!$C$7)+(P318*Settings!$C$14)+(Q318*Settings!$C$15)+(R318*Settings!$C$16)+(S318*Settings!$C$17)+(T318*Settings!$C$18)+(U318*Settings!$C$19)+(L318*Settings!$C$10)+(Settings!$C$11*M318)</f>
        <v>-3.8155008341569836</v>
      </c>
      <c r="D318" s="57" cm="1">
        <f t="array" ref="D318">IF(Settings!$E$12="YES",VLOOKUP(A318,'Player Data'!A1:E673,5,FALSE),82)</f>
        <v>68</v>
      </c>
      <c r="E318" s="55" cm="1">
        <f t="array" ref="E318">(VLOOKUP($A318,'The List'!$B1:$AH671,17,FALSE)-AVERAGE('The List'!R2:R671))/STDEV('The List'!R2:R671)</f>
        <v>-0.83258758724051918</v>
      </c>
      <c r="F318" s="55" cm="1">
        <f t="array" ref="F318">(VLOOKUP($A318,'The List'!$B1:$AH671,18,FALSE)-AVERAGE('The List'!S2:S671))/STDEV('The List'!S2:S671)</f>
        <v>-0.39948881249213924</v>
      </c>
      <c r="G318" s="55" cm="1">
        <f t="array" ref="G318">(VLOOKUP($A318,'The List'!$B1:$AH671,19,FALSE)-AVERAGE('The List'!T2:T671))/STDEV('The List'!T2:T671)</f>
        <v>-0.53361854671484188</v>
      </c>
      <c r="H318" s="55" cm="1">
        <f t="array" ref="H318">(VLOOKUP($A318,'The List'!$B1:$AH671,20,FALSE)-AVERAGE('The List'!U2:U671))/STDEV('The List'!U2:U671)</f>
        <v>-0.51288774519619307</v>
      </c>
      <c r="I318" s="55" cm="1">
        <f t="array" ref="I318">(VLOOKUP($A318,'The List'!$B1:$AH671,21,FALSE)-AVERAGE('The List'!V2:V671))/STDEV('The List'!V2:V671)</f>
        <v>-0.50782802067774213</v>
      </c>
      <c r="J318" s="55" cm="1">
        <f t="array" ref="J318">(VLOOKUP($A318,'The List'!$B1:$AH671,22,FALSE)-AVERAGE('The List'!W2:W671))/STDEV('The List'!W2:W671)</f>
        <v>-0.30121443852563995</v>
      </c>
      <c r="K318" s="55" cm="1">
        <f t="array" ref="K318">(VLOOKUP($A318,'The List'!$B1:$AH671,23,FALSE)-AVERAGE('The List'!X2:X671))/STDEV('The List'!X2:X671)</f>
        <v>-4.1544580249591102E-2</v>
      </c>
      <c r="L318" s="55" cm="1">
        <f t="array" ref="L318">(VLOOKUP($A318,'The List'!$B1:$AH671,24,FALSE)-AVERAGE('The List'!Y2:Y671))/STDEV('The List'!Y2:Y671)</f>
        <v>-0.54205561934839031</v>
      </c>
      <c r="M318" s="55" cm="1">
        <f t="array" ref="M318">(VLOOKUP($A318,'The List'!$B1:$AH671,25,FALSE)-AVERAGE('The List'!Z2:Z671))/STDEV('The List'!Z2:Z671)</f>
        <v>-0.6841662402541705</v>
      </c>
      <c r="N318" s="55" cm="1">
        <f t="array" ref="N318">(VLOOKUP($A318,'The List'!$B1:$AH671,26,FALSE)-AVERAGE('The List'!AA2:AA671))/STDEV('The List'!AA2:AA671)</f>
        <v>-0.91118680464875801</v>
      </c>
      <c r="O318" s="55" cm="1">
        <f t="array" ref="O318">(VLOOKUP($A318,'The List'!$B1:$AH671,27,FALSE)-AVERAGE('The List'!AB2:AB671))/STDEV('The List'!AB2:AB671)</f>
        <v>-0.85468671406841279</v>
      </c>
      <c r="P318" s="55" cm="1">
        <f t="array" ref="P318">(VLOOKUP($A318,'The List'!$B1:$AH671,28,FALSE)-AVERAGE('The List'!AC2:AC671))/STDEV('The List'!AC2:AC671)</f>
        <v>-0.45975116527605442</v>
      </c>
      <c r="Q318" s="55" cm="1">
        <f t="array" ref="Q318">(VLOOKUP($A318,'The List'!$B1:$AH671,29,FALSE)-AVERAGE('The List'!AD2:AD671))/STDEV('The List'!AD2:AD671)</f>
        <v>-0.96208290409785657</v>
      </c>
      <c r="R318" s="55" cm="1">
        <f t="array" ref="R318">(VLOOKUP($A318,'The List'!$B1:$AH671,30,FALSE)-AVERAGE('The List'!AE2:AE671))/STDEV('The List'!AE2:AE671)</f>
        <v>-0.38154698694222094</v>
      </c>
      <c r="S318" s="55" cm="1">
        <f t="array" ref="S318">(VLOOKUP($A318,'The List'!$B1:$AH671,31,FALSE)-AVERAGE('The List'!AF2:AF671))/STDEV('The List'!AF2:AF671)</f>
        <v>0.19159060867259317</v>
      </c>
      <c r="T318" s="55" cm="1">
        <f t="array" ref="T318">(VLOOKUP($A318,'The List'!$B1:$AH671,32,FALSE)-AVERAGE('The List'!AG2:AG671))/STDEV('The List'!AG2:AG671)</f>
        <v>0.73813861396469493</v>
      </c>
      <c r="U318" s="55" cm="1">
        <f t="array" ref="U318">(VLOOKUP($A318,'The List'!$B1:$AH671,33,FALSE)-AVERAGE('The List'!AH2:AH671))/STDEV('The List'!AH2:AH671)</f>
        <v>0.47681794819331674</v>
      </c>
      <c r="V318" s="55"/>
      <c r="W318" s="78"/>
      <c r="X318" s="57"/>
      <c r="Y318" s="57"/>
      <c r="Z318" s="57"/>
      <c r="AA318" s="57"/>
      <c r="AB318" s="57"/>
      <c r="AC318" s="60"/>
      <c r="AD318" s="61"/>
      <c r="AE318" s="55"/>
    </row>
    <row r="319" spans="1:31" ht="21.25" customHeight="1" x14ac:dyDescent="0.15">
      <c r="A319" s="10" t="s">
        <v>639</v>
      </c>
      <c r="B319" s="18" t="str" cm="1">
        <f t="array" ref="B319">VLOOKUP(A319,'Player Data'!A1:B673,2,FALSE)</f>
        <v>FLA</v>
      </c>
      <c r="C319" s="52" cm="1">
        <f t="array" ref="C319">((E319)*Settings!$C$12)+(F319*Settings!$C$2)+(G319*Settings!$C$3)+(H319*Settings!$C$4)+(I319*Settings!$C$5)+(K319*Settings!$C$9)+(N319*Settings!$C$6)+(J319*Settings!$C$8)+(O319*Settings!$C$7)+(P319*Settings!$C$14)+(Q319*Settings!$C$15)+(R319*Settings!$C$16)+(S319*Settings!$C$17)+(T319*Settings!$C$18)+(U319*Settings!$C$19)+(L319*Settings!$C$10)+(Settings!$C$11*M319)</f>
        <v>-1.5560691439592338</v>
      </c>
      <c r="D319" s="57" cm="1">
        <f t="array" ref="D319">IF(Settings!$E$12="YES",VLOOKUP(A319,'Player Data'!A1:E673,5,FALSE),82)</f>
        <v>82.157499999999999</v>
      </c>
      <c r="E319" s="55" cm="1">
        <f t="array" ref="E319">(VLOOKUP($A319,'The List'!$B1:$AH671,17,FALSE)-AVERAGE('The List'!R2:R671))/STDEV('The List'!R2:R671)</f>
        <v>-0.50516839736236197</v>
      </c>
      <c r="F319" s="55" cm="1">
        <f t="array" ref="F319">(VLOOKUP($A319,'The List'!$B1:$AH671,18,FALSE)-AVERAGE('The List'!S2:S671))/STDEV('The List'!S2:S671)</f>
        <v>-0.28221575078861649</v>
      </c>
      <c r="G319" s="55" cm="1">
        <f t="array" ref="G319">(VLOOKUP($A319,'The List'!$B1:$AH671,19,FALSE)-AVERAGE('The List'!T2:T671))/STDEV('The List'!T2:T671)</f>
        <v>-0.25920325467683469</v>
      </c>
      <c r="H319" s="55" cm="1">
        <f t="array" ref="H319">(VLOOKUP($A319,'The List'!$B1:$AH671,20,FALSE)-AVERAGE('The List'!U2:U671))/STDEV('The List'!U2:U671)</f>
        <v>-0.28825046854274367</v>
      </c>
      <c r="I319" s="55" cm="1">
        <f t="array" ref="I319">(VLOOKUP($A319,'The List'!$B1:$AH671,21,FALSE)-AVERAGE('The List'!V2:V671))/STDEV('The List'!V2:V671)</f>
        <v>-0.45171391179501569</v>
      </c>
      <c r="J319" s="55" cm="1">
        <f t="array" ref="J319">(VLOOKUP($A319,'The List'!$B1:$AH671,22,FALSE)-AVERAGE('The List'!W2:W671))/STDEV('The List'!W2:W671)</f>
        <v>-0.73606287443285678</v>
      </c>
      <c r="K319" s="55" cm="1">
        <f t="array" ref="K319">(VLOOKUP($A319,'The List'!$B1:$AH671,23,FALSE)-AVERAGE('The List'!X2:X671))/STDEV('The List'!X2:X671)</f>
        <v>-0.80360382700039168</v>
      </c>
      <c r="L319" s="55" cm="1">
        <f t="array" ref="L319">(VLOOKUP($A319,'The List'!$B1:$AH671,24,FALSE)-AVERAGE('The List'!Y2:Y671))/STDEV('The List'!Y2:Y671)</f>
        <v>-0.12108104177886396</v>
      </c>
      <c r="M319" s="55" cm="1">
        <f t="array" ref="M319">(VLOOKUP($A319,'The List'!$B1:$AH671,25,FALSE)-AVERAGE('The List'!Z2:Z671))/STDEV('The List'!Z2:Z671)</f>
        <v>0.27786118482535987</v>
      </c>
      <c r="N319" s="55" cm="1">
        <f t="array" ref="N319">(VLOOKUP($A319,'The List'!$B1:$AH671,26,FALSE)-AVERAGE('The List'!AA2:AA671))/STDEV('The List'!AA2:AA671)</f>
        <v>-0.17923229048653008</v>
      </c>
      <c r="O319" s="55" cm="1">
        <f t="array" ref="O319">(VLOOKUP($A319,'The List'!$B1:$AH671,27,FALSE)-AVERAGE('The List'!AB2:AB671))/STDEV('The List'!AB2:AB671)</f>
        <v>1.1110147745808081</v>
      </c>
      <c r="P319" s="55" cm="1">
        <f t="array" ref="P319">(VLOOKUP($A319,'The List'!$B1:$AH671,28,FALSE)-AVERAGE('The List'!AC2:AC671))/STDEV('The List'!AC2:AC671)</f>
        <v>0.66290225866056107</v>
      </c>
      <c r="Q319" s="55" cm="1">
        <f t="array" ref="Q319">(VLOOKUP($A319,'The List'!$B1:$AH671,29,FALSE)-AVERAGE('The List'!AD2:AD671))/STDEV('The List'!AD2:AD671)</f>
        <v>-0.24300236787240651</v>
      </c>
      <c r="R319" s="55" cm="1">
        <f t="array" ref="R319">(VLOOKUP($A319,'The List'!$B1:$AH671,30,FALSE)-AVERAGE('The List'!AE2:AE671))/STDEV('The List'!AE2:AE671)</f>
        <v>-0.20009626751590975</v>
      </c>
      <c r="S319" s="55" cm="1">
        <f t="array" ref="S319">(VLOOKUP($A319,'The List'!$B1:$AH671,31,FALSE)-AVERAGE('The List'!AF2:AF671))/STDEV('The List'!AF2:AF671)</f>
        <v>-0.11650693189497703</v>
      </c>
      <c r="T319" s="55" cm="1">
        <f t="array" ref="T319">(VLOOKUP($A319,'The List'!$B1:$AH671,32,FALSE)-AVERAGE('The List'!AG2:AG671))/STDEV('The List'!AG2:AG671)</f>
        <v>-7.5299477670271425E-2</v>
      </c>
      <c r="U319" s="55" cm="1">
        <f t="array" ref="U319">(VLOOKUP($A319,'The List'!$B1:$AH671,33,FALSE)-AVERAGE('The List'!AH2:AH671))/STDEV('The List'!AH2:AH671)</f>
        <v>0.91098092344889892</v>
      </c>
      <c r="V319" s="55"/>
      <c r="W319" s="78"/>
      <c r="X319" s="57"/>
      <c r="Y319" s="57"/>
      <c r="Z319" s="57"/>
      <c r="AA319" s="57"/>
      <c r="AB319" s="57"/>
      <c r="AC319" s="60"/>
      <c r="AD319" s="61"/>
      <c r="AE319" s="55"/>
    </row>
    <row r="320" spans="1:31" ht="21.25" customHeight="1" x14ac:dyDescent="0.15">
      <c r="A320" s="10" t="s">
        <v>604</v>
      </c>
      <c r="B320" s="18" t="str" cm="1">
        <f t="array" ref="B320">VLOOKUP(A320,'Player Data'!A1:B673,2,FALSE)</f>
        <v>ANA</v>
      </c>
      <c r="C320" s="52" cm="1">
        <f t="array" ref="C320">((E320)*Settings!$C$12)+(F320*Settings!$C$2)+(G320*Settings!$C$3)+(H320*Settings!$C$4)+(I320*Settings!$C$5)+(K320*Settings!$C$9)+(N320*Settings!$C$6)+(J320*Settings!$C$8)+(O320*Settings!$C$7)+(P320*Settings!$C$14)+(Q320*Settings!$C$15)+(R320*Settings!$C$16)+(S320*Settings!$C$17)+(T320*Settings!$C$18)+(U320*Settings!$C$19)+(L320*Settings!$C$10)+(Settings!$C$11*M320)</f>
        <v>-1.8921143594206931</v>
      </c>
      <c r="D320" s="57" cm="1">
        <f t="array" ref="D320">IF(Settings!$E$12="YES",VLOOKUP(A320,'Player Data'!A1:E673,5,FALSE),82)</f>
        <v>82.13</v>
      </c>
      <c r="E320" s="55" cm="1">
        <f t="array" ref="E320">(VLOOKUP($A320,'The List'!$B1:$AH671,17,FALSE)-AVERAGE('The List'!R2:R671))/STDEV('The List'!R2:R671)</f>
        <v>1.4324223459812596E-2</v>
      </c>
      <c r="F320" s="55" cm="1">
        <f t="array" ref="F320">(VLOOKUP($A320,'The List'!$B1:$AH671,18,FALSE)-AVERAGE('The List'!S2:S671))/STDEV('The List'!S2:S671)</f>
        <v>6.4911512742719571E-2</v>
      </c>
      <c r="G320" s="55" cm="1">
        <f t="array" ref="G320">(VLOOKUP($A320,'The List'!$B1:$AH671,19,FALSE)-AVERAGE('The List'!T2:T671))/STDEV('The List'!T2:T671)</f>
        <v>-0.51385436134410711</v>
      </c>
      <c r="H320" s="55" cm="1">
        <f t="array" ref="H320">(VLOOKUP($A320,'The List'!$B1:$AH671,20,FALSE)-AVERAGE('The List'!U2:U671))/STDEV('The List'!U2:U671)</f>
        <v>-0.29441185486012827</v>
      </c>
      <c r="I320" s="55" cm="1">
        <f t="array" ref="I320">(VLOOKUP($A320,'The List'!$B1:$AH671,21,FALSE)-AVERAGE('The List'!V2:V671))/STDEV('The List'!V2:V671)</f>
        <v>0.30727376896557079</v>
      </c>
      <c r="J320" s="55" cm="1">
        <f t="array" ref="J320">(VLOOKUP($A320,'The List'!$B1:$AH671,22,FALSE)-AVERAGE('The List'!W2:W671))/STDEV('The List'!W2:W671)</f>
        <v>-0.20588083883878913</v>
      </c>
      <c r="K320" s="55" cm="1">
        <f t="array" ref="K320">(VLOOKUP($A320,'The List'!$B1:$AH671,23,FALSE)-AVERAGE('The List'!X2:X671))/STDEV('The List'!X2:X671)</f>
        <v>-0.3981349344981378</v>
      </c>
      <c r="L320" s="55" cm="1">
        <f t="array" ref="L320">(VLOOKUP($A320,'The List'!$B1:$AH671,24,FALSE)-AVERAGE('The List'!Y2:Y671))/STDEV('The List'!Y2:Y671)</f>
        <v>0.19808854485415606</v>
      </c>
      <c r="M320" s="55" cm="1">
        <f t="array" ref="M320">(VLOOKUP($A320,'The List'!$B1:$AH671,25,FALSE)-AVERAGE('The List'!Z2:Z671))/STDEV('The List'!Z2:Z671)</f>
        <v>0.7882359609298889</v>
      </c>
      <c r="N320" s="55" cm="1">
        <f t="array" ref="N320">(VLOOKUP($A320,'The List'!$B1:$AH671,26,FALSE)-AVERAGE('The List'!AA2:AA671))/STDEV('The List'!AA2:AA671)</f>
        <v>-0.83019367034871017</v>
      </c>
      <c r="O320" s="55" cm="1">
        <f t="array" ref="O320">(VLOOKUP($A320,'The List'!$B1:$AH671,27,FALSE)-AVERAGE('The List'!AB2:AB671))/STDEV('The List'!AB2:AB671)</f>
        <v>-0.22694967565463475</v>
      </c>
      <c r="P320" s="55" cm="1">
        <f t="array" ref="P320">(VLOOKUP($A320,'The List'!$B1:$AH671,28,FALSE)-AVERAGE('The List'!AC2:AC671))/STDEV('The List'!AC2:AC671)</f>
        <v>-0.68427409165984299</v>
      </c>
      <c r="Q320" s="55" cm="1">
        <f t="array" ref="Q320">(VLOOKUP($A320,'The List'!$B1:$AH671,29,FALSE)-AVERAGE('The List'!AD2:AD671))/STDEV('The List'!AD2:AD671)</f>
        <v>0.16215741672181502</v>
      </c>
      <c r="R320" s="55" cm="1">
        <f t="array" ref="R320">(VLOOKUP($A320,'The List'!$B1:$AH671,30,FALSE)-AVERAGE('The List'!AE2:AE671))/STDEV('The List'!AE2:AE671)</f>
        <v>-2.199254296450627E-2</v>
      </c>
      <c r="S320" s="55" cm="1">
        <f t="array" ref="S320">(VLOOKUP($A320,'The List'!$B1:$AH671,31,FALSE)-AVERAGE('The List'!AF2:AF671))/STDEV('The List'!AF2:AF671)</f>
        <v>-0.43001900631687762</v>
      </c>
      <c r="T320" s="55" cm="1">
        <f t="array" ref="T320">(VLOOKUP($A320,'The List'!$B1:$AH671,32,FALSE)-AVERAGE('The List'!AG2:AG671))/STDEV('The List'!AG2:AG671)</f>
        <v>-0.32067737483788988</v>
      </c>
      <c r="U320" s="55" cm="1">
        <f t="array" ref="U320">(VLOOKUP($A320,'The List'!$B1:$AH671,33,FALSE)-AVERAGE('The List'!AH2:AH671))/STDEV('The List'!AH2:AH671)</f>
        <v>0.35051430581303961</v>
      </c>
      <c r="V320" s="55"/>
      <c r="W320" s="78"/>
      <c r="X320" s="57"/>
      <c r="Y320" s="57"/>
      <c r="Z320" s="57"/>
      <c r="AA320" s="57"/>
      <c r="AB320" s="57"/>
      <c r="AC320" s="60"/>
      <c r="AD320" s="61"/>
      <c r="AE320" s="55"/>
    </row>
    <row r="321" spans="1:31" ht="21.25" customHeight="1" x14ac:dyDescent="0.15">
      <c r="A321" s="10" t="s">
        <v>364</v>
      </c>
      <c r="B321" s="18" t="str" cm="1">
        <f t="array" ref="B321">VLOOKUP(A321,'Player Data'!A1:B673,2,FALSE)</f>
        <v>CBJ</v>
      </c>
      <c r="C321" s="52" cm="1">
        <f t="array" ref="C321">((E321)*Settings!$C$12)+(F321*Settings!$C$2)+(G321*Settings!$C$3)+(H321*Settings!$C$4)+(I321*Settings!$C$5)+(K321*Settings!$C$9)+(N321*Settings!$C$6)+(J321*Settings!$C$8)+(O321*Settings!$C$7)+(P321*Settings!$C$14)+(Q321*Settings!$C$15)+(R321*Settings!$C$16)+(S321*Settings!$C$17)+(T321*Settings!$C$18)+(U321*Settings!$C$19)+(L321*Settings!$C$10)+(Settings!$C$11*M321)</f>
        <v>0.89025317303236584</v>
      </c>
      <c r="D321" s="57" cm="1">
        <f t="array" ref="D321">IF(Settings!$E$12="YES",VLOOKUP(A321,'Player Data'!A1:E673,5,FALSE),82)</f>
        <v>78.927499999999995</v>
      </c>
      <c r="E321" s="55" cm="1">
        <f t="array" ref="E321">(VLOOKUP($A321,'The List'!$B1:$AH671,17,FALSE)-AVERAGE('The List'!R2:R671))/STDEV('The List'!R2:R671)</f>
        <v>0.709974809941603</v>
      </c>
      <c r="F321" s="55" cm="1">
        <f t="array" ref="F321">(VLOOKUP($A321,'The List'!$B1:$AH671,18,FALSE)-AVERAGE('The List'!S2:S671))/STDEV('The List'!S2:S671)</f>
        <v>-0.62491804076974011</v>
      </c>
      <c r="G321" s="55" cm="1">
        <f t="array" ref="G321">(VLOOKUP($A321,'The List'!$B1:$AH671,19,FALSE)-AVERAGE('The List'!T2:T671))/STDEV('The List'!T2:T671)</f>
        <v>-0.1208918141381989</v>
      </c>
      <c r="H321" s="55" cm="1">
        <f t="array" ref="H321">(VLOOKUP($A321,'The List'!$B1:$AH671,20,FALSE)-AVERAGE('The List'!U2:U671))/STDEV('The List'!U2:U671)</f>
        <v>-0.35330285364170572</v>
      </c>
      <c r="I321" s="55" cm="1">
        <f t="array" ref="I321">(VLOOKUP($A321,'The List'!$B1:$AH671,21,FALSE)-AVERAGE('The List'!V2:V671))/STDEV('The List'!V2:V671)</f>
        <v>-0.51023677898495035</v>
      </c>
      <c r="J321" s="55" cm="1">
        <f t="array" ref="J321">(VLOOKUP($A321,'The List'!$B1:$AH671,22,FALSE)-AVERAGE('The List'!W2:W671))/STDEV('The List'!W2:W671)</f>
        <v>-0.62566733512471084</v>
      </c>
      <c r="K321" s="55" cm="1">
        <f t="array" ref="K321">(VLOOKUP($A321,'The List'!$B1:$AH671,23,FALSE)-AVERAGE('The List'!X2:X671))/STDEV('The List'!X2:X671)</f>
        <v>-0.549089379696582</v>
      </c>
      <c r="L321" s="55" cm="1">
        <f t="array" ref="L321">(VLOOKUP($A321,'The List'!$B1:$AH671,24,FALSE)-AVERAGE('The List'!Y2:Y671))/STDEV('The List'!Y2:Y671)</f>
        <v>-0.53509744675871007</v>
      </c>
      <c r="M321" s="55" cm="1">
        <f t="array" ref="M321">(VLOOKUP($A321,'The List'!$B1:$AH671,25,FALSE)-AVERAGE('The List'!Z2:Z671))/STDEV('The List'!Z2:Z671)</f>
        <v>-0.5361984495178943</v>
      </c>
      <c r="N321" s="55" cm="1">
        <f t="array" ref="N321">(VLOOKUP($A321,'The List'!$B1:$AH671,26,FALSE)-AVERAGE('The List'!AA2:AA671))/STDEV('The List'!AA2:AA671)</f>
        <v>0.90302581082127975</v>
      </c>
      <c r="O321" s="55" cm="1">
        <f t="array" ref="O321">(VLOOKUP($A321,'The List'!$B1:$AH671,27,FALSE)-AVERAGE('The List'!AB2:AB671))/STDEV('The List'!AB2:AB671)</f>
        <v>-0.7259519201186061</v>
      </c>
      <c r="P321" s="55" cm="1">
        <f t="array" ref="P321">(VLOOKUP($A321,'The List'!$B1:$AH671,28,FALSE)-AVERAGE('The List'!AC2:AC671))/STDEV('The List'!AC2:AC671)</f>
        <v>0.54173172409919457</v>
      </c>
      <c r="Q321" s="55" cm="1">
        <f t="array" ref="Q321">(VLOOKUP($A321,'The List'!$B1:$AH671,29,FALSE)-AVERAGE('The List'!AD2:AD671))/STDEV('The List'!AD2:AD671)</f>
        <v>1.2506316517013629</v>
      </c>
      <c r="R321" s="55" cm="1">
        <f t="array" ref="R321">(VLOOKUP($A321,'The List'!$B1:$AH671,30,FALSE)-AVERAGE('The List'!AE2:AE671))/STDEV('The List'!AE2:AE671)</f>
        <v>-0.58163086592996094</v>
      </c>
      <c r="S321" s="55" cm="1">
        <f t="array" ref="S321">(VLOOKUP($A321,'The List'!$B1:$AH671,31,FALSE)-AVERAGE('The List'!AF2:AF671))/STDEV('The List'!AF2:AF671)</f>
        <v>-0.5939690971349143</v>
      </c>
      <c r="T321" s="55" cm="1">
        <f t="array" ref="T321">(VLOOKUP($A321,'The List'!$B1:$AH671,32,FALSE)-AVERAGE('The List'!AG2:AG671))/STDEV('The List'!AG2:AG671)</f>
        <v>-0.64602208138248207</v>
      </c>
      <c r="U321" s="55" cm="1">
        <f t="array" ref="U321">(VLOOKUP($A321,'The List'!$B1:$AH671,33,FALSE)-AVERAGE('The List'!AH2:AH671))/STDEV('The List'!AH2:AH671)</f>
        <v>-1.2548938914719048</v>
      </c>
      <c r="V321" s="55"/>
      <c r="W321" s="57"/>
      <c r="X321" s="55"/>
      <c r="Y321" s="55"/>
      <c r="Z321" s="55"/>
      <c r="AA321" s="55"/>
      <c r="AB321" s="55"/>
      <c r="AC321" s="55"/>
      <c r="AD321" s="55"/>
      <c r="AE321" s="55"/>
    </row>
    <row r="322" spans="1:31" ht="21.25" customHeight="1" x14ac:dyDescent="0.15">
      <c r="A322" s="10" t="s">
        <v>682</v>
      </c>
      <c r="B322" s="18" t="str" cm="1">
        <f t="array" ref="B322">VLOOKUP(A322,'Player Data'!A1:B673,2,FALSE)</f>
        <v>STL</v>
      </c>
      <c r="C322" s="52" cm="1">
        <f t="array" ref="C322">((E322)*Settings!$C$12)+(F322*Settings!$C$2)+(G322*Settings!$C$3)+(H322*Settings!$C$4)+(I322*Settings!$C$5)+(K322*Settings!$C$9)+(N322*Settings!$C$6)+(J322*Settings!$C$8)+(O322*Settings!$C$7)+(P322*Settings!$C$14)+(Q322*Settings!$C$15)+(R322*Settings!$C$16)+(S322*Settings!$C$17)+(T322*Settings!$C$18)+(U322*Settings!$C$19)+(L322*Settings!$C$10)+(Settings!$C$11*M322)</f>
        <v>-4.6387613370971712</v>
      </c>
      <c r="D322" s="57" cm="1">
        <f t="array" ref="D322">IF(Settings!$E$12="YES",VLOOKUP(A322,'Player Data'!A1:E673,5,FALSE),82)</f>
        <v>75.172499999999999</v>
      </c>
      <c r="E322" s="55" cm="1">
        <f t="array" ref="E322">(VLOOKUP($A322,'The List'!$B1:$AH671,17,FALSE)-AVERAGE('The List'!R2:R671))/STDEV('The List'!R2:R671)</f>
        <v>-0.88643834944223721</v>
      </c>
      <c r="F322" s="55" cm="1">
        <f t="array" ref="F322">(VLOOKUP($A322,'The List'!$B1:$AH671,18,FALSE)-AVERAGE('The List'!S2:S671))/STDEV('The List'!S2:S671)</f>
        <v>-0.62049802651336805</v>
      </c>
      <c r="G322" s="55" cm="1">
        <f t="array" ref="G322">(VLOOKUP($A322,'The List'!$B1:$AH671,19,FALSE)-AVERAGE('The List'!T2:T671))/STDEV('The List'!T2:T671)</f>
        <v>-0.23785538881086848</v>
      </c>
      <c r="H322" s="55" cm="1">
        <f t="array" ref="H322">(VLOOKUP($A322,'The List'!$B1:$AH671,20,FALSE)-AVERAGE('The List'!U2:U671))/STDEV('The List'!U2:U671)</f>
        <v>-0.42491126056988704</v>
      </c>
      <c r="I322" s="55" cm="1">
        <f t="array" ref="I322">(VLOOKUP($A322,'The List'!$B1:$AH671,21,FALSE)-AVERAGE('The List'!V2:V671))/STDEV('The List'!V2:V671)</f>
        <v>-0.74042620108241874</v>
      </c>
      <c r="J322" s="55" cm="1">
        <f t="array" ref="J322">(VLOOKUP($A322,'The List'!$B1:$AH671,22,FALSE)-AVERAGE('The List'!W2:W671))/STDEV('The List'!W2:W671)</f>
        <v>-0.46472168435198458</v>
      </c>
      <c r="K322" s="55" cm="1">
        <f t="array" ref="K322">(VLOOKUP($A322,'The List'!$B1:$AH671,23,FALSE)-AVERAGE('The List'!X2:X671))/STDEV('The List'!X2:X671)</f>
        <v>-0.36906215103710921</v>
      </c>
      <c r="L322" s="55" cm="1">
        <f t="array" ref="L322">(VLOOKUP($A322,'The List'!$B1:$AH671,24,FALSE)-AVERAGE('The List'!Y2:Y671))/STDEV('The List'!Y2:Y671)</f>
        <v>-0.56041549327350426</v>
      </c>
      <c r="M322" s="55" cm="1">
        <f t="array" ref="M322">(VLOOKUP($A322,'The List'!$B1:$AH671,25,FALSE)-AVERAGE('The List'!Z2:Z671))/STDEV('The List'!Z2:Z671)</f>
        <v>-0.70204962324870224</v>
      </c>
      <c r="N322" s="55" cm="1">
        <f t="array" ref="N322">(VLOOKUP($A322,'The List'!$B1:$AH671,26,FALSE)-AVERAGE('The List'!AA2:AA671))/STDEV('The List'!AA2:AA671)</f>
        <v>-0.89269771761769268</v>
      </c>
      <c r="O322" s="55" cm="1">
        <f t="array" ref="O322">(VLOOKUP($A322,'The List'!$B1:$AH671,27,FALSE)-AVERAGE('The List'!AB2:AB671))/STDEV('The List'!AB2:AB671)</f>
        <v>-1.189442488532622</v>
      </c>
      <c r="P322" s="55" cm="1">
        <f t="array" ref="P322">(VLOOKUP($A322,'The List'!$B1:$AH671,28,FALSE)-AVERAGE('The List'!AC2:AC671))/STDEV('The List'!AC2:AC671)</f>
        <v>-0.51195733426514567</v>
      </c>
      <c r="Q322" s="55" cm="1">
        <f t="array" ref="Q322">(VLOOKUP($A322,'The List'!$B1:$AH671,29,FALSE)-AVERAGE('The List'!AD2:AD671))/STDEV('The List'!AD2:AD671)</f>
        <v>-1.2662645177705687</v>
      </c>
      <c r="R322" s="55" cm="1">
        <f t="array" ref="R322">(VLOOKUP($A322,'The List'!$B1:$AH671,30,FALSE)-AVERAGE('The List'!AE2:AE671))/STDEV('The List'!AE2:AE671)</f>
        <v>-0.65669559615009265</v>
      </c>
      <c r="S322" s="55" cm="1">
        <f t="array" ref="S322">(VLOOKUP($A322,'The List'!$B1:$AH671,31,FALSE)-AVERAGE('The List'!AF2:AF671))/STDEV('The List'!AF2:AF671)</f>
        <v>-0.21489558804837938</v>
      </c>
      <c r="T322" s="55" cm="1">
        <f t="array" ref="T322">(VLOOKUP($A322,'The List'!$B1:$AH671,32,FALSE)-AVERAGE('The List'!AG2:AG671))/STDEV('The List'!AG2:AG671)</f>
        <v>-0.21212019200458537</v>
      </c>
      <c r="U322" s="55" cm="1">
        <f t="array" ref="U322">(VLOOKUP($A322,'The List'!$B1:$AH671,33,FALSE)-AVERAGE('The List'!AH2:AH671))/STDEV('The List'!AH2:AH671)</f>
        <v>0.96066562738405636</v>
      </c>
      <c r="V322" s="55"/>
      <c r="W322" s="78"/>
      <c r="X322" s="57"/>
      <c r="Y322" s="57"/>
      <c r="Z322" s="57"/>
      <c r="AA322" s="57"/>
      <c r="AB322" s="57"/>
      <c r="AC322" s="60"/>
      <c r="AD322" s="61"/>
      <c r="AE322" s="55"/>
    </row>
    <row r="323" spans="1:31" ht="21.25" customHeight="1" x14ac:dyDescent="0.15">
      <c r="A323" s="10" t="s">
        <v>567</v>
      </c>
      <c r="B323" s="18" t="str" cm="1">
        <f t="array" ref="B323">VLOOKUP(A323,'Player Data'!A1:B673,2,FALSE)</f>
        <v>ANA</v>
      </c>
      <c r="C323" s="52" cm="1">
        <f t="array" ref="C323">((E323)*Settings!$C$12)+(F323*Settings!$C$2)+(G323*Settings!$C$3)+(H323*Settings!$C$4)+(I323*Settings!$C$5)+(K323*Settings!$C$9)+(N323*Settings!$C$6)+(J323*Settings!$C$8)+(O323*Settings!$C$7)+(P323*Settings!$C$14)+(Q323*Settings!$C$15)+(R323*Settings!$C$16)+(S323*Settings!$C$17)+(T323*Settings!$C$18)+(U323*Settings!$C$19)+(L323*Settings!$C$10)+(Settings!$C$11*M323)</f>
        <v>-0.52690729833914385</v>
      </c>
      <c r="D323" s="57" cm="1">
        <f t="array" ref="D323">IF(Settings!$E$12="YES",VLOOKUP(A323,'Player Data'!A1:E673,5,FALSE),82)</f>
        <v>78.212500000000006</v>
      </c>
      <c r="E323" s="55" cm="1">
        <f t="array" ref="E323">(VLOOKUP($A323,'The List'!$B1:$AH671,17,FALSE)-AVERAGE('The List'!R2:R671))/STDEV('The List'!R2:R671)</f>
        <v>-0.7620512919089707</v>
      </c>
      <c r="F323" s="55" cm="1">
        <f t="array" ref="F323">(VLOOKUP($A323,'The List'!$B1:$AH671,18,FALSE)-AVERAGE('The List'!S2:S671))/STDEV('The List'!S2:S671)</f>
        <v>6.4937383853032493E-2</v>
      </c>
      <c r="G323" s="55" cm="1">
        <f t="array" ref="G323">(VLOOKUP($A323,'The List'!$B1:$AH671,19,FALSE)-AVERAGE('The List'!T2:T671))/STDEV('The List'!T2:T671)</f>
        <v>-0.6467970076719447</v>
      </c>
      <c r="H323" s="55" cm="1">
        <f t="array" ref="H323">(VLOOKUP($A323,'The List'!$B1:$AH671,20,FALSE)-AVERAGE('The List'!U2:U671))/STDEV('The List'!U2:U671)</f>
        <v>-0.37802059924426384</v>
      </c>
      <c r="I323" s="55" cm="1">
        <f t="array" ref="I323">(VLOOKUP($A323,'The List'!$B1:$AH671,21,FALSE)-AVERAGE('The List'!V2:V671))/STDEV('The List'!V2:V671)</f>
        <v>0.61416227981635219</v>
      </c>
      <c r="J323" s="55" cm="1">
        <f t="array" ref="J323">(VLOOKUP($A323,'The List'!$B1:$AH671,22,FALSE)-AVERAGE('The List'!W2:W671))/STDEV('The List'!W2:W671)</f>
        <v>3.0350604164652562E-2</v>
      </c>
      <c r="K323" s="55" cm="1">
        <f t="array" ref="K323">(VLOOKUP($A323,'The List'!$B1:$AH671,23,FALSE)-AVERAGE('The List'!X2:X671))/STDEV('The List'!X2:X671)</f>
        <v>-0.27485069825505021</v>
      </c>
      <c r="L323" s="55" cm="1">
        <f t="array" ref="L323">(VLOOKUP($A323,'The List'!$B1:$AH671,24,FALSE)-AVERAGE('The List'!Y2:Y671))/STDEV('The List'!Y2:Y671)</f>
        <v>0.36055522990687772</v>
      </c>
      <c r="M323" s="55" cm="1">
        <f t="array" ref="M323">(VLOOKUP($A323,'The List'!$B1:$AH671,25,FALSE)-AVERAGE('The List'!Z2:Z671))/STDEV('The List'!Z2:Z671)</f>
        <v>3.4926238239130013E-2</v>
      </c>
      <c r="N323" s="55" cm="1">
        <f t="array" ref="N323">(VLOOKUP($A323,'The List'!$B1:$AH671,26,FALSE)-AVERAGE('The List'!AA2:AA671))/STDEV('The List'!AA2:AA671)</f>
        <v>-0.37448301357152164</v>
      </c>
      <c r="O323" s="55" cm="1">
        <f t="array" ref="O323">(VLOOKUP($A323,'The List'!$B1:$AH671,27,FALSE)-AVERAGE('The List'!AB2:AB671))/STDEV('The List'!AB2:AB671)</f>
        <v>0.88373926193638086</v>
      </c>
      <c r="P323" s="55" cm="1">
        <f t="array" ref="P323">(VLOOKUP($A323,'The List'!$B1:$AH671,28,FALSE)-AVERAGE('The List'!AC2:AC671))/STDEV('The List'!AC2:AC671)</f>
        <v>-1.2025529184009578</v>
      </c>
      <c r="Q323" s="55" cm="1">
        <f t="array" ref="Q323">(VLOOKUP($A323,'The List'!$B1:$AH671,29,FALSE)-AVERAGE('The List'!AD2:AD671))/STDEV('The List'!AD2:AD671)</f>
        <v>1.2926766758909458</v>
      </c>
      <c r="R323" s="55" cm="1">
        <f t="array" ref="R323">(VLOOKUP($A323,'The List'!$B1:$AH671,30,FALSE)-AVERAGE('The List'!AE2:AE671))/STDEV('The List'!AE2:AE671)</f>
        <v>-2.1968923304105319E-2</v>
      </c>
      <c r="S323" s="55" cm="1">
        <f t="array" ref="S323">(VLOOKUP($A323,'The List'!$B1:$AH671,31,FALSE)-AVERAGE('The List'!AF2:AF671))/STDEV('The List'!AF2:AF671)</f>
        <v>-0.54606706435750108</v>
      </c>
      <c r="T323" s="55" cm="1">
        <f t="array" ref="T323">(VLOOKUP($A323,'The List'!$B1:$AH671,32,FALSE)-AVERAGE('The List'!AG2:AG671))/STDEV('The List'!AG2:AG671)</f>
        <v>-0.57425644688892608</v>
      </c>
      <c r="U323" s="55" cm="1">
        <f t="array" ref="U323">(VLOOKUP($A323,'The List'!$B1:$AH671,33,FALSE)-AVERAGE('The List'!AH2:AH671))/STDEV('The List'!AH2:AH671)</f>
        <v>0.6550686330816119</v>
      </c>
      <c r="V323" s="55"/>
      <c r="W323" s="78"/>
      <c r="X323" s="57"/>
      <c r="Y323" s="57"/>
      <c r="Z323" s="57"/>
      <c r="AA323" s="57"/>
      <c r="AB323" s="57"/>
      <c r="AC323" s="60"/>
      <c r="AD323" s="61"/>
      <c r="AE323" s="55"/>
    </row>
    <row r="324" spans="1:31" ht="21.25" customHeight="1" x14ac:dyDescent="0.15">
      <c r="A324" s="10" t="s">
        <v>718</v>
      </c>
      <c r="B324" s="18" t="str" cm="1">
        <f t="array" ref="B324">VLOOKUP(A324,'Player Data'!A1:B673,2,FALSE)</f>
        <v>WPG</v>
      </c>
      <c r="C324" s="52" cm="1">
        <f t="array" ref="C324">((E324)*Settings!$C$12)+(F324*Settings!$C$2)+(G324*Settings!$C$3)+(H324*Settings!$C$4)+(I324*Settings!$C$5)+(K324*Settings!$C$9)+(N324*Settings!$C$6)+(J324*Settings!$C$8)+(O324*Settings!$C$7)+(P324*Settings!$C$14)+(Q324*Settings!$C$15)+(R324*Settings!$C$16)+(S324*Settings!$C$17)+(T324*Settings!$C$18)+(U324*Settings!$C$19)+(L324*Settings!$C$10)+(Settings!$C$11*M324)</f>
        <v>-4.8565839778138322</v>
      </c>
      <c r="D324" s="57" cm="1">
        <f t="array" ref="D324">IF(Settings!$E$12="YES",VLOOKUP(A324,'Player Data'!A1:E673,5,FALSE),82)</f>
        <v>58.3675</v>
      </c>
      <c r="E324" s="55" cm="1">
        <f t="array" ref="E324">(VLOOKUP($A324,'The List'!$B1:$AH671,17,FALSE)-AVERAGE('The List'!R2:R671))/STDEV('The List'!R2:R671)</f>
        <v>-0.76772722984530695</v>
      </c>
      <c r="F324" s="55" cm="1">
        <f t="array" ref="F324">(VLOOKUP($A324,'The List'!$B1:$AH671,18,FALSE)-AVERAGE('The List'!S2:S671))/STDEV('The List'!S2:S671)</f>
        <v>-0.34054406441716595</v>
      </c>
      <c r="G324" s="55" cm="1">
        <f t="array" ref="G324">(VLOOKUP($A324,'The List'!$B1:$AH671,19,FALSE)-AVERAGE('The List'!T2:T671))/STDEV('The List'!T2:T671)</f>
        <v>-0.87866863796616668</v>
      </c>
      <c r="H324" s="55" cm="1">
        <f t="array" ref="H324">(VLOOKUP($A324,'The List'!$B1:$AH671,20,FALSE)-AVERAGE('The List'!U2:U671))/STDEV('The List'!U2:U671)</f>
        <v>-0.70376992884866085</v>
      </c>
      <c r="I324" s="55" cm="1">
        <f t="array" ref="I324">(VLOOKUP($A324,'The List'!$B1:$AH671,21,FALSE)-AVERAGE('The List'!V2:V671))/STDEV('The List'!V2:V671)</f>
        <v>-0.88294261414500741</v>
      </c>
      <c r="J324" s="55" cm="1">
        <f t="array" ref="J324">(VLOOKUP($A324,'The List'!$B1:$AH671,22,FALSE)-AVERAGE('The List'!W2:W671))/STDEV('The List'!W2:W671)</f>
        <v>-0.24684015648897734</v>
      </c>
      <c r="K324" s="55" cm="1">
        <f t="array" ref="K324">(VLOOKUP($A324,'The List'!$B1:$AH671,23,FALSE)-AVERAGE('The List'!X2:X671))/STDEV('The List'!X2:X671)</f>
        <v>-0.30506225286782279</v>
      </c>
      <c r="L324" s="55" cm="1">
        <f t="array" ref="L324">(VLOOKUP($A324,'The List'!$B1:$AH671,24,FALSE)-AVERAGE('The List'!Y2:Y671))/STDEV('The List'!Y2:Y671)</f>
        <v>-0.56569022661034529</v>
      </c>
      <c r="M324" s="55" cm="1">
        <f t="array" ref="M324">(VLOOKUP($A324,'The List'!$B1:$AH671,25,FALSE)-AVERAGE('The List'!Z2:Z671))/STDEV('The List'!Z2:Z671)</f>
        <v>-0.70756870995144849</v>
      </c>
      <c r="N324" s="55" cm="1">
        <f t="array" ref="N324">(VLOOKUP($A324,'The List'!$B1:$AH671,26,FALSE)-AVERAGE('The List'!AA2:AA671))/STDEV('The List'!AA2:AA671)</f>
        <v>-0.77961251201320414</v>
      </c>
      <c r="O324" s="55" cm="1">
        <f t="array" ref="O324">(VLOOKUP($A324,'The List'!$B1:$AH671,27,FALSE)-AVERAGE('The List'!AB2:AB671))/STDEV('The List'!AB2:AB671)</f>
        <v>-0.89561437863693727</v>
      </c>
      <c r="P324" s="55" cm="1">
        <f t="array" ref="P324">(VLOOKUP($A324,'The List'!$B1:$AH671,28,FALSE)-AVERAGE('The List'!AC2:AC671))/STDEV('The List'!AC2:AC671)</f>
        <v>-0.14954148907458159</v>
      </c>
      <c r="Q324" s="55" cm="1">
        <f t="array" ref="Q324">(VLOOKUP($A324,'The List'!$B1:$AH671,29,FALSE)-AVERAGE('The List'!AD2:AD671))/STDEV('The List'!AD2:AD671)</f>
        <v>-1.5202124073298835</v>
      </c>
      <c r="R324" s="55" cm="1">
        <f t="array" ref="R324">(VLOOKUP($A324,'The List'!$B1:$AH671,30,FALSE)-AVERAGE('The List'!AE2:AE671))/STDEV('The List'!AE2:AE671)</f>
        <v>-0.21393502412395562</v>
      </c>
      <c r="S324" s="55" cm="1">
        <f t="array" ref="S324">(VLOOKUP($A324,'The List'!$B1:$AH671,31,FALSE)-AVERAGE('The List'!AF2:AF671))/STDEV('The List'!AF2:AF671)</f>
        <v>-0.58382336801182488</v>
      </c>
      <c r="T324" s="55" cm="1">
        <f t="array" ref="T324">(VLOOKUP($A324,'The List'!$B1:$AH671,32,FALSE)-AVERAGE('The List'!AG2:AG671))/STDEV('The List'!AG2:AG671)</f>
        <v>-0.61844363193267682</v>
      </c>
      <c r="U324" s="55" cm="1">
        <f t="array" ref="U324">(VLOOKUP($A324,'The List'!$B1:$AH671,33,FALSE)-AVERAGE('The List'!AH2:AH671))/STDEV('The List'!AH2:AH671)</f>
        <v>3.9115105367038647E-2</v>
      </c>
      <c r="V324" s="55"/>
      <c r="W324" s="57"/>
      <c r="X324" s="55"/>
      <c r="Y324" s="55"/>
      <c r="Z324" s="55"/>
      <c r="AA324" s="55"/>
      <c r="AB324" s="55"/>
      <c r="AC324" s="55"/>
      <c r="AD324" s="55"/>
      <c r="AE324" s="55"/>
    </row>
    <row r="325" spans="1:31" ht="21.25" customHeight="1" x14ac:dyDescent="0.15">
      <c r="A325" s="10" t="s">
        <v>355</v>
      </c>
      <c r="B325" s="18" t="str" cm="1">
        <f t="array" ref="B325">VLOOKUP(A325,'Player Data'!A1:B673,2,FALSE)</f>
        <v>FLA</v>
      </c>
      <c r="C325" s="52" cm="1">
        <f t="array" ref="C325">((E325)*Settings!$C$12)+(F325*Settings!$C$2)+(G325*Settings!$C$3)+(H325*Settings!$C$4)+(I325*Settings!$C$5)+(K325*Settings!$C$9)+(N325*Settings!$C$6)+(J325*Settings!$C$8)+(O325*Settings!$C$7)+(P325*Settings!$C$14)+(Q325*Settings!$C$15)+(R325*Settings!$C$16)+(S325*Settings!$C$17)+(T325*Settings!$C$18)+(U325*Settings!$C$19)+(L325*Settings!$C$10)+(Settings!$C$11*M325)</f>
        <v>1.8807862469308883</v>
      </c>
      <c r="D325" s="57" cm="1">
        <f t="array" ref="D325">IF(Settings!$E$12="YES",VLOOKUP(A325,'Player Data'!A1:E673,5,FALSE),82)</f>
        <v>75.58</v>
      </c>
      <c r="E325" s="55" cm="1">
        <f t="array" ref="E325">(VLOOKUP($A325,'The List'!$B1:$AH671,17,FALSE)-AVERAGE('The List'!R2:R671))/STDEV('The List'!R2:R671)</f>
        <v>1.4621958088958753</v>
      </c>
      <c r="F325" s="55" cm="1">
        <f t="array" ref="F325">(VLOOKUP($A325,'The List'!$B1:$AH671,18,FALSE)-AVERAGE('The List'!S2:S671))/STDEV('The List'!S2:S671)</f>
        <v>-1.0354590627161007</v>
      </c>
      <c r="G325" s="55" cm="1">
        <f t="array" ref="G325">(VLOOKUP($A325,'The List'!$B1:$AH671,19,FALSE)-AVERAGE('The List'!T2:T671))/STDEV('The List'!T2:T671)</f>
        <v>5.0809365282117928E-2</v>
      </c>
      <c r="H325" s="55" cm="1">
        <f t="array" ref="H325">(VLOOKUP($A325,'The List'!$B1:$AH671,20,FALSE)-AVERAGE('The List'!U2:U671))/STDEV('The List'!U2:U671)</f>
        <v>-0.42745183887959642</v>
      </c>
      <c r="I325" s="55" cm="1">
        <f t="array" ref="I325">(VLOOKUP($A325,'The List'!$B1:$AH671,21,FALSE)-AVERAGE('The List'!V2:V671))/STDEV('The List'!V2:V671)</f>
        <v>-0.39748894772657806</v>
      </c>
      <c r="J325" s="55" cm="1">
        <f t="array" ref="J325">(VLOOKUP($A325,'The List'!$B1:$AH671,22,FALSE)-AVERAGE('The List'!W2:W671))/STDEV('The List'!W2:W671)</f>
        <v>-0.65181863644705995</v>
      </c>
      <c r="K325" s="55" cm="1">
        <f t="array" ref="K325">(VLOOKUP($A325,'The List'!$B1:$AH671,23,FALSE)-AVERAGE('The List'!X2:X671))/STDEV('The List'!X2:X671)</f>
        <v>-0.40701328095728317</v>
      </c>
      <c r="L325" s="55" cm="1">
        <f t="array" ref="L325">(VLOOKUP($A325,'The List'!$B1:$AH671,24,FALSE)-AVERAGE('The List'!Y2:Y671))/STDEV('The List'!Y2:Y671)</f>
        <v>-0.53671968340520448</v>
      </c>
      <c r="M325" s="55" cm="1">
        <f t="array" ref="M325">(VLOOKUP($A325,'The List'!$B1:$AH671,25,FALSE)-AVERAGE('The List'!Z2:Z671))/STDEV('The List'!Z2:Z671)</f>
        <v>0.48279771476263661</v>
      </c>
      <c r="N325" s="55" cm="1">
        <f t="array" ref="N325">(VLOOKUP($A325,'The List'!$B1:$AH671,26,FALSE)-AVERAGE('The List'!AA2:AA671))/STDEV('The List'!AA2:AA671)</f>
        <v>1.1574172905777615</v>
      </c>
      <c r="O325" s="55" cm="1">
        <f t="array" ref="O325">(VLOOKUP($A325,'The List'!$B1:$AH671,27,FALSE)-AVERAGE('The List'!AB2:AB671))/STDEV('The List'!AB2:AB671)</f>
        <v>0.1527228212156693</v>
      </c>
      <c r="P325" s="55" cm="1">
        <f t="array" ref="P325">(VLOOKUP($A325,'The List'!$B1:$AH671,28,FALSE)-AVERAGE('The List'!AC2:AC671))/STDEV('The List'!AC2:AC671)</f>
        <v>0.57822072117345558</v>
      </c>
      <c r="Q325" s="55" cm="1">
        <f t="array" ref="Q325">(VLOOKUP($A325,'The List'!$B1:$AH671,29,FALSE)-AVERAGE('The List'!AD2:AD671))/STDEV('The List'!AD2:AD671)</f>
        <v>1.9343001612975153</v>
      </c>
      <c r="R325" s="55" cm="1">
        <f t="array" ref="R325">(VLOOKUP($A325,'The List'!$B1:$AH671,30,FALSE)-AVERAGE('The List'!AE2:AE671))/STDEV('The List'!AE2:AE671)</f>
        <v>-0.98380623702514747</v>
      </c>
      <c r="S325" s="55" cm="1">
        <f t="array" ref="S325">(VLOOKUP($A325,'The List'!$B1:$AH671,31,FALSE)-AVERAGE('The List'!AF2:AF671))/STDEV('The List'!AF2:AF671)</f>
        <v>-0.5939690971349143</v>
      </c>
      <c r="T325" s="55" cm="1">
        <f t="array" ref="T325">(VLOOKUP($A325,'The List'!$B1:$AH671,32,FALSE)-AVERAGE('The List'!AG2:AG671))/STDEV('The List'!AG2:AG671)</f>
        <v>-0.64194978824602267</v>
      </c>
      <c r="U325" s="55" cm="1">
        <f t="array" ref="U325">(VLOOKUP($A325,'The List'!$B1:$AH671,33,FALSE)-AVERAGE('The List'!AH2:AH671))/STDEV('The List'!AH2:AH671)</f>
        <v>-1.2548938914719048</v>
      </c>
      <c r="V325" s="55"/>
      <c r="W325" s="78"/>
      <c r="X325" s="57"/>
      <c r="Y325" s="57"/>
      <c r="Z325" s="57"/>
      <c r="AA325" s="57"/>
      <c r="AB325" s="57"/>
      <c r="AC325" s="60"/>
      <c r="AD325" s="61"/>
      <c r="AE325" s="55"/>
    </row>
    <row r="326" spans="1:31" ht="21.25" customHeight="1" x14ac:dyDescent="0.15">
      <c r="A326" s="10" t="s">
        <v>650</v>
      </c>
      <c r="B326" s="18" t="str" cm="1">
        <f t="array" ref="B326">VLOOKUP(A326,'Player Data'!A1:B673,2,FALSE)</f>
        <v>SEA</v>
      </c>
      <c r="C326" s="52" cm="1">
        <f t="array" ref="C326">((E326)*Settings!$C$12)+(F326*Settings!$C$2)+(G326*Settings!$C$3)+(H326*Settings!$C$4)+(I326*Settings!$C$5)+(K326*Settings!$C$9)+(N326*Settings!$C$6)+(J326*Settings!$C$8)+(O326*Settings!$C$7)+(P326*Settings!$C$14)+(Q326*Settings!$C$15)+(R326*Settings!$C$16)+(S326*Settings!$C$17)+(T326*Settings!$C$18)+(U326*Settings!$C$19)+(L326*Settings!$C$10)+(Settings!$C$11*M326)</f>
        <v>-3.3653015348614677</v>
      </c>
      <c r="D326" s="57" cm="1">
        <f t="array" ref="D326">IF(Settings!$E$12="YES",VLOOKUP(A326,'Player Data'!A1:E673,5,FALSE),82)</f>
        <v>77.39</v>
      </c>
      <c r="E326" s="55" cm="1">
        <f t="array" ref="E326">(VLOOKUP($A326,'The List'!$B1:$AH671,17,FALSE)-AVERAGE('The List'!R2:R671))/STDEV('The List'!R2:R671)</f>
        <v>-0.62130927147682857</v>
      </c>
      <c r="F326" s="55" cm="1">
        <f t="array" ref="F326">(VLOOKUP($A326,'The List'!$B1:$AH671,18,FALSE)-AVERAGE('The List'!S2:S671))/STDEV('The List'!S2:S671)</f>
        <v>-0.20995002542585667</v>
      </c>
      <c r="G326" s="55" cm="1">
        <f t="array" ref="G326">(VLOOKUP($A326,'The List'!$B1:$AH671,19,FALSE)-AVERAGE('The List'!T2:T671))/STDEV('The List'!T2:T671)</f>
        <v>-0.48578435089957855</v>
      </c>
      <c r="H326" s="55" cm="1">
        <f t="array" ref="H326">(VLOOKUP($A326,'The List'!$B1:$AH671,20,FALSE)-AVERAGE('The List'!U2:U671))/STDEV('The List'!U2:U671)</f>
        <v>-0.39870605178647134</v>
      </c>
      <c r="I326" s="55" cm="1">
        <f t="array" ref="I326">(VLOOKUP($A326,'The List'!$B1:$AH671,21,FALSE)-AVERAGE('The List'!V2:V671))/STDEV('The List'!V2:V671)</f>
        <v>-0.2881065874645457</v>
      </c>
      <c r="J326" s="55" cm="1">
        <f t="array" ref="J326">(VLOOKUP($A326,'The List'!$B1:$AH671,22,FALSE)-AVERAGE('The List'!W2:W671))/STDEV('The List'!W2:W671)</f>
        <v>-0.16052006932097954</v>
      </c>
      <c r="K326" s="55" cm="1">
        <f t="array" ref="K326">(VLOOKUP($A326,'The List'!$B1:$AH671,23,FALSE)-AVERAGE('The List'!X2:X671))/STDEV('The List'!X2:X671)</f>
        <v>-0.31421765479554703</v>
      </c>
      <c r="L326" s="55" cm="1">
        <f t="array" ref="L326">(VLOOKUP($A326,'The List'!$B1:$AH671,24,FALSE)-AVERAGE('The List'!Y2:Y671))/STDEV('The List'!Y2:Y671)</f>
        <v>-0.56569022661034529</v>
      </c>
      <c r="M326" s="55" cm="1">
        <f t="array" ref="M326">(VLOOKUP($A326,'The List'!$B1:$AH671,25,FALSE)-AVERAGE('The List'!Z2:Z671))/STDEV('The List'!Z2:Z671)</f>
        <v>-0.70756870995144849</v>
      </c>
      <c r="N326" s="55" cm="1">
        <f t="array" ref="N326">(VLOOKUP($A326,'The List'!$B1:$AH671,26,FALSE)-AVERAGE('The List'!AA2:AA671))/STDEV('The List'!AA2:AA671)</f>
        <v>-0.66802440216411729</v>
      </c>
      <c r="O326" s="55" cm="1">
        <f t="array" ref="O326">(VLOOKUP($A326,'The List'!$B1:$AH671,27,FALSE)-AVERAGE('The List'!AB2:AB671))/STDEV('The List'!AB2:AB671)</f>
        <v>-1.2487718251117679</v>
      </c>
      <c r="P326" s="55" cm="1">
        <f t="array" ref="P326">(VLOOKUP($A326,'The List'!$B1:$AH671,28,FALSE)-AVERAGE('The List'!AC2:AC671))/STDEV('The List'!AC2:AC671)</f>
        <v>-1.5867110871684054</v>
      </c>
      <c r="Q326" s="55" cm="1">
        <f t="array" ref="Q326">(VLOOKUP($A326,'The List'!$B1:$AH671,29,FALSE)-AVERAGE('The List'!AD2:AD671))/STDEV('The List'!AD2:AD671)</f>
        <v>0.18749257305658348</v>
      </c>
      <c r="R326" s="55" cm="1">
        <f t="array" ref="R326">(VLOOKUP($A326,'The List'!$B1:$AH671,30,FALSE)-AVERAGE('The List'!AE2:AE671))/STDEV('The List'!AE2:AE671)</f>
        <v>-0.33332384611297106</v>
      </c>
      <c r="S326" s="55" cm="1">
        <f t="array" ref="S326">(VLOOKUP($A326,'The List'!$B1:$AH671,31,FALSE)-AVERAGE('The List'!AF2:AF671))/STDEV('The List'!AF2:AF671)</f>
        <v>-0.15714803099794977</v>
      </c>
      <c r="T326" s="55" cm="1">
        <f t="array" ref="T326">(VLOOKUP($A326,'The List'!$B1:$AH671,32,FALSE)-AVERAGE('The List'!AG2:AG671))/STDEV('The List'!AG2:AG671)</f>
        <v>-6.1209351108208805E-2</v>
      </c>
      <c r="U326" s="55" cm="1">
        <f t="array" ref="U326">(VLOOKUP($A326,'The List'!$B1:$AH671,33,FALSE)-AVERAGE('The List'!AH2:AH671))/STDEV('The List'!AH2:AH671)</f>
        <v>0.78171082675347658</v>
      </c>
      <c r="V326" s="55"/>
      <c r="W326" s="78"/>
      <c r="X326" s="57"/>
      <c r="Y326" s="57"/>
      <c r="Z326" s="57"/>
      <c r="AA326" s="57"/>
      <c r="AB326" s="57"/>
      <c r="AC326" s="60"/>
      <c r="AD326" s="61"/>
      <c r="AE326" s="55"/>
    </row>
    <row r="327" spans="1:31" ht="21.25" customHeight="1" x14ac:dyDescent="0.15">
      <c r="A327" s="10" t="s">
        <v>627</v>
      </c>
      <c r="B327" s="18" t="str" cm="1">
        <f t="array" ref="B327">VLOOKUP(A327,'Player Data'!A1:B673,2,FALSE)</f>
        <v>STL</v>
      </c>
      <c r="C327" s="52" cm="1">
        <f t="array" ref="C327">((E327)*Settings!$C$12)+(F327*Settings!$C$2)+(G327*Settings!$C$3)+(H327*Settings!$C$4)+(I327*Settings!$C$5)+(K327*Settings!$C$9)+(N327*Settings!$C$6)+(J327*Settings!$C$8)+(O327*Settings!$C$7)+(P327*Settings!$C$14)+(Q327*Settings!$C$15)+(R327*Settings!$C$16)+(S327*Settings!$C$17)+(T327*Settings!$C$18)+(U327*Settings!$C$19)+(L327*Settings!$C$10)+(Settings!$C$11*M327)</f>
        <v>-2.8794209603531997</v>
      </c>
      <c r="D327" s="57" cm="1">
        <f t="array" ref="D327">IF(Settings!$E$12="YES",VLOOKUP(A327,'Player Data'!A1:E673,5,FALSE),82)</f>
        <v>78.790000000000006</v>
      </c>
      <c r="E327" s="55" cm="1">
        <f t="array" ref="E327">(VLOOKUP($A327,'The List'!$B1:$AH671,17,FALSE)-AVERAGE('The List'!R2:R671))/STDEV('The List'!R2:R671)</f>
        <v>-0.54930462077759068</v>
      </c>
      <c r="F327" s="55" cm="1">
        <f t="array" ref="F327">(VLOOKUP($A327,'The List'!$B1:$AH671,18,FALSE)-AVERAGE('The List'!S2:S671))/STDEV('The List'!S2:S671)</f>
        <v>5.8784562436949676E-2</v>
      </c>
      <c r="G327" s="55" cm="1">
        <f t="array" ref="G327">(VLOOKUP($A327,'The List'!$B1:$AH671,19,FALSE)-AVERAGE('The List'!T2:T671))/STDEV('The List'!T2:T671)</f>
        <v>-0.64193996459399394</v>
      </c>
      <c r="H327" s="55" cm="1">
        <f t="array" ref="H327">(VLOOKUP($A327,'The List'!$B1:$AH671,20,FALSE)-AVERAGE('The List'!U2:U671))/STDEV('The List'!U2:U671)</f>
        <v>-0.37769541780305138</v>
      </c>
      <c r="I327" s="55" cm="1">
        <f t="array" ref="I327">(VLOOKUP($A327,'The List'!$B1:$AH671,21,FALSE)-AVERAGE('The List'!V2:V671))/STDEV('The List'!V2:V671)</f>
        <v>-0.31554768757987539</v>
      </c>
      <c r="J327" s="55" cm="1">
        <f t="array" ref="J327">(VLOOKUP($A327,'The List'!$B1:$AH671,22,FALSE)-AVERAGE('The List'!W2:W671))/STDEV('The List'!W2:W671)</f>
        <v>0.58011369265501356</v>
      </c>
      <c r="K327" s="55" cm="1">
        <f t="array" ref="K327">(VLOOKUP($A327,'The List'!$B1:$AH671,23,FALSE)-AVERAGE('The List'!X2:X671))/STDEV('The List'!X2:X671)</f>
        <v>1.1564331447603613E-2</v>
      </c>
      <c r="L327" s="55" cm="1">
        <f t="array" ref="L327">(VLOOKUP($A327,'The List'!$B1:$AH671,24,FALSE)-AVERAGE('The List'!Y2:Y671))/STDEV('The List'!Y2:Y671)</f>
        <v>-0.55482476795687252</v>
      </c>
      <c r="M327" s="55" cm="1">
        <f t="array" ref="M327">(VLOOKUP($A327,'The List'!$B1:$AH671,25,FALSE)-AVERAGE('The List'!Z2:Z671))/STDEV('The List'!Z2:Z671)</f>
        <v>-0.69673228846359858</v>
      </c>
      <c r="N327" s="55" cm="1">
        <f t="array" ref="N327">(VLOOKUP($A327,'The List'!$B1:$AH671,26,FALSE)-AVERAGE('The List'!AA2:AA671))/STDEV('The List'!AA2:AA671)</f>
        <v>-0.88312269203990612</v>
      </c>
      <c r="O327" s="55" cm="1">
        <f t="array" ref="O327">(VLOOKUP($A327,'The List'!$B1:$AH671,27,FALSE)-AVERAGE('The List'!AB2:AB671))/STDEV('The List'!AB2:AB671)</f>
        <v>2.4367971621781625E-2</v>
      </c>
      <c r="P327" s="55" cm="1">
        <f t="array" ref="P327">(VLOOKUP($A327,'The List'!$B1:$AH671,28,FALSE)-AVERAGE('The List'!AC2:AC671))/STDEV('The List'!AC2:AC671)</f>
        <v>-0.87955600574051174</v>
      </c>
      <c r="Q327" s="55" cm="1">
        <f t="array" ref="Q327">(VLOOKUP($A327,'The List'!$B1:$AH671,29,FALSE)-AVERAGE('The List'!AD2:AD671))/STDEV('The List'!AD2:AD671)</f>
        <v>-0.22960350428346568</v>
      </c>
      <c r="R327" s="55" cm="1">
        <f t="array" ref="R327">(VLOOKUP($A327,'The List'!$B1:$AH671,30,FALSE)-AVERAGE('The List'!AE2:AE671))/STDEV('The List'!AE2:AE671)</f>
        <v>-4.4619162405775417E-2</v>
      </c>
      <c r="S327" s="55" cm="1">
        <f t="array" ref="S327">(VLOOKUP($A327,'The List'!$B1:$AH671,31,FALSE)-AVERAGE('The List'!AF2:AF671))/STDEV('The List'!AF2:AF671)</f>
        <v>1.2233271306893689</v>
      </c>
      <c r="T327" s="55" cm="1">
        <f t="array" ref="T327">(VLOOKUP($A327,'The List'!$B1:$AH671,32,FALSE)-AVERAGE('The List'!AG2:AG671))/STDEV('The List'!AG2:AG671)</f>
        <v>1.6245603151890833</v>
      </c>
      <c r="U327" s="55" cm="1">
        <f t="array" ref="U327">(VLOOKUP($A327,'The List'!$B1:$AH671,33,FALSE)-AVERAGE('The List'!AH2:AH671))/STDEV('The List'!AH2:AH671)</f>
        <v>0.86034890524438312</v>
      </c>
      <c r="V327" s="55"/>
      <c r="W327" s="57"/>
      <c r="X327" s="57"/>
      <c r="Y327" s="57"/>
      <c r="Z327" s="57"/>
      <c r="AA327" s="57"/>
      <c r="AB327" s="57"/>
      <c r="AC327" s="60"/>
      <c r="AD327" s="61"/>
      <c r="AE327" s="55"/>
    </row>
    <row r="328" spans="1:31" ht="21.25" customHeight="1" x14ac:dyDescent="0.15">
      <c r="A328" s="10" t="s">
        <v>634</v>
      </c>
      <c r="B328" s="18" t="str" cm="1">
        <f t="array" ref="B328">VLOOKUP(A328,'Player Data'!A1:B673,2,FALSE)</f>
        <v>NYR</v>
      </c>
      <c r="C328" s="52" cm="1">
        <f t="array" ref="C328">((E328)*Settings!$C$12)+(F328*Settings!$C$2)+(G328*Settings!$C$3)+(H328*Settings!$C$4)+(I328*Settings!$C$5)+(K328*Settings!$C$9)+(N328*Settings!$C$6)+(J328*Settings!$C$8)+(O328*Settings!$C$7)+(P328*Settings!$C$14)+(Q328*Settings!$C$15)+(R328*Settings!$C$16)+(S328*Settings!$C$17)+(T328*Settings!$C$18)+(U328*Settings!$C$19)+(L328*Settings!$C$10)+(Settings!$C$11*M328)</f>
        <v>-2.2082247514453677</v>
      </c>
      <c r="D328" s="57" cm="1">
        <f t="array" ref="D328">IF(Settings!$E$12="YES",VLOOKUP(A328,'Player Data'!A1:E673,5,FALSE),82)</f>
        <v>80.709999999999994</v>
      </c>
      <c r="E328" s="55" cm="1">
        <f t="array" ref="E328">(VLOOKUP($A328,'The List'!$B1:$AH671,17,FALSE)-AVERAGE('The List'!R2:R671))/STDEV('The List'!R2:R671)</f>
        <v>-0.71322821201918973</v>
      </c>
      <c r="F328" s="55" cm="1">
        <f t="array" ref="F328">(VLOOKUP($A328,'The List'!$B1:$AH671,18,FALSE)-AVERAGE('The List'!S2:S671))/STDEV('The List'!S2:S671)</f>
        <v>-0.23881453520425797</v>
      </c>
      <c r="G328" s="55" cm="1">
        <f t="array" ref="G328">(VLOOKUP($A328,'The List'!$B1:$AH671,19,FALSE)-AVERAGE('The List'!T2:T671))/STDEV('The List'!T2:T671)</f>
        <v>-0.39687833088607505</v>
      </c>
      <c r="H328" s="55" cm="1">
        <f t="array" ref="H328">(VLOOKUP($A328,'The List'!$B1:$AH671,20,FALSE)-AVERAGE('The List'!U2:U671))/STDEV('The List'!U2:U671)</f>
        <v>-0.35559118955778135</v>
      </c>
      <c r="I328" s="55" cm="1">
        <f t="array" ref="I328">(VLOOKUP($A328,'The List'!$B1:$AH671,21,FALSE)-AVERAGE('The List'!V2:V671))/STDEV('The List'!V2:V671)</f>
        <v>-0.62601909912979092</v>
      </c>
      <c r="J328" s="55" cm="1">
        <f t="array" ref="J328">(VLOOKUP($A328,'The List'!$B1:$AH671,22,FALSE)-AVERAGE('The List'!W2:W671))/STDEV('The List'!W2:W671)</f>
        <v>-0.10571511063237427</v>
      </c>
      <c r="K328" s="55" cm="1">
        <f t="array" ref="K328">(VLOOKUP($A328,'The List'!$B1:$AH671,23,FALSE)-AVERAGE('The List'!X2:X671))/STDEV('The List'!X2:X671)</f>
        <v>-0.38044744229699196</v>
      </c>
      <c r="L328" s="55" cm="1">
        <f t="array" ref="L328">(VLOOKUP($A328,'The List'!$B1:$AH671,24,FALSE)-AVERAGE('The List'!Y2:Y671))/STDEV('The List'!Y2:Y671)</f>
        <v>-0.20312456304113052</v>
      </c>
      <c r="M328" s="55" cm="1">
        <f t="array" ref="M328">(VLOOKUP($A328,'The List'!$B1:$AH671,25,FALSE)-AVERAGE('The List'!Z2:Z671))/STDEV('The List'!Z2:Z671)</f>
        <v>-0.35446692384912942</v>
      </c>
      <c r="N328" s="55" cm="1">
        <f t="array" ref="N328">(VLOOKUP($A328,'The List'!$B1:$AH671,26,FALSE)-AVERAGE('The List'!AA2:AA671))/STDEV('The List'!AA2:AA671)</f>
        <v>-0.42375077750636553</v>
      </c>
      <c r="O328" s="55" cm="1">
        <f t="array" ref="O328">(VLOOKUP($A328,'The List'!$B1:$AH671,27,FALSE)-AVERAGE('The List'!AB2:AB671))/STDEV('The List'!AB2:AB671)</f>
        <v>0.60534528469901949</v>
      </c>
      <c r="P328" s="55" cm="1">
        <f t="array" ref="P328">(VLOOKUP($A328,'The List'!$B1:$AH671,28,FALSE)-AVERAGE('The List'!AC2:AC671))/STDEV('The List'!AC2:AC671)</f>
        <v>-0.15814040738994392</v>
      </c>
      <c r="Q328" s="55" cm="1">
        <f t="array" ref="Q328">(VLOOKUP($A328,'The List'!$B1:$AH671,29,FALSE)-AVERAGE('The List'!AD2:AD671))/STDEV('The List'!AD2:AD671)</f>
        <v>1.5825840968057302E-2</v>
      </c>
      <c r="R328" s="55" cm="1">
        <f t="array" ref="R328">(VLOOKUP($A328,'The List'!$B1:$AH671,30,FALSE)-AVERAGE('The List'!AE2:AE671))/STDEV('The List'!AE2:AE671)</f>
        <v>-0.22140011505421348</v>
      </c>
      <c r="S328" s="55" cm="1">
        <f t="array" ref="S328">(VLOOKUP($A328,'The List'!$B1:$AH671,31,FALSE)-AVERAGE('The List'!AF2:AF671))/STDEV('The List'!AF2:AF671)</f>
        <v>1.2116422123249471</v>
      </c>
      <c r="T328" s="55" cm="1">
        <f t="array" ref="T328">(VLOOKUP($A328,'The List'!$B1:$AH671,32,FALSE)-AVERAGE('The List'!AG2:AG671))/STDEV('The List'!AG2:AG671)</f>
        <v>1.2073591984757943</v>
      </c>
      <c r="U328" s="55" cm="1">
        <f t="array" ref="U328">(VLOOKUP($A328,'The List'!$B1:$AH671,33,FALSE)-AVERAGE('The List'!AH2:AH671))/STDEV('The List'!AH2:AH671)</f>
        <v>1.0858628372579522</v>
      </c>
      <c r="V328" s="55"/>
      <c r="W328" s="78"/>
      <c r="X328" s="57"/>
      <c r="Y328" s="57"/>
      <c r="Z328" s="57"/>
      <c r="AA328" s="57"/>
      <c r="AB328" s="57"/>
      <c r="AC328" s="60"/>
      <c r="AD328" s="61"/>
      <c r="AE328" s="55"/>
    </row>
    <row r="329" spans="1:31" ht="21.25" customHeight="1" x14ac:dyDescent="0.15">
      <c r="A329" s="10" t="s">
        <v>601</v>
      </c>
      <c r="B329" s="18" t="str" cm="1">
        <f t="array" ref="B329">VLOOKUP(A329,'Player Data'!A1:B673,2,FALSE)</f>
        <v>VAN</v>
      </c>
      <c r="C329" s="52" cm="1">
        <f t="array" ref="C329">((E329)*Settings!$C$12)+(F329*Settings!$C$2)+(G329*Settings!$C$3)+(H329*Settings!$C$4)+(I329*Settings!$C$5)+(K329*Settings!$C$9)+(N329*Settings!$C$6)+(J329*Settings!$C$8)+(O329*Settings!$C$7)+(P329*Settings!$C$14)+(Q329*Settings!$C$15)+(R329*Settings!$C$16)+(S329*Settings!$C$17)+(T329*Settings!$C$18)+(U329*Settings!$C$19)+(L329*Settings!$C$10)+(Settings!$C$11*M329)</f>
        <v>-3.9108748407976717</v>
      </c>
      <c r="D329" s="57" cm="1">
        <f t="array" ref="D329">IF(Settings!$E$12="YES",VLOOKUP(A329,'Player Data'!A1:E673,5,FALSE),82)</f>
        <v>84.004999999999995</v>
      </c>
      <c r="E329" s="55" cm="1">
        <f t="array" ref="E329">(VLOOKUP($A329,'The List'!$B1:$AH671,17,FALSE)-AVERAGE('The List'!R2:R671))/STDEV('The List'!R2:R671)</f>
        <v>-0.46498564188034519</v>
      </c>
      <c r="F329" s="55" cm="1">
        <f t="array" ref="F329">(VLOOKUP($A329,'The List'!$B1:$AH671,18,FALSE)-AVERAGE('The List'!S2:S671))/STDEV('The List'!S2:S671)</f>
        <v>0.15317207754405709</v>
      </c>
      <c r="G329" s="55" cm="1">
        <f t="array" ref="G329">(VLOOKUP($A329,'The List'!$B1:$AH671,19,FALSE)-AVERAGE('The List'!T2:T671))/STDEV('The List'!T2:T671)</f>
        <v>-0.58962817612055096</v>
      </c>
      <c r="H329" s="55" cm="1">
        <f t="array" ref="H329">(VLOOKUP($A329,'The List'!$B1:$AH671,20,FALSE)-AVERAGE('The List'!U2:U671))/STDEV('The List'!U2:U671)</f>
        <v>-0.30291389175765315</v>
      </c>
      <c r="I329" s="55" cm="1">
        <f t="array" ref="I329">(VLOOKUP($A329,'The List'!$B1:$AH671,21,FALSE)-AVERAGE('The List'!V2:V671))/STDEV('The List'!V2:V671)</f>
        <v>0.22441932299891085</v>
      </c>
      <c r="J329" s="55" cm="1">
        <f t="array" ref="J329">(VLOOKUP($A329,'The List'!$B1:$AH671,22,FALSE)-AVERAGE('The List'!W2:W671))/STDEV('The List'!W2:W671)</f>
        <v>-0.73718045646311936</v>
      </c>
      <c r="K329" s="55" cm="1">
        <f t="array" ref="K329">(VLOOKUP($A329,'The List'!$B1:$AH671,23,FALSE)-AVERAGE('The List'!X2:X671))/STDEV('The List'!X2:X671)</f>
        <v>-0.80195793448149999</v>
      </c>
      <c r="L329" s="55" cm="1">
        <f t="array" ref="L329">(VLOOKUP($A329,'The List'!$B1:$AH671,24,FALSE)-AVERAGE('The List'!Y2:Y671))/STDEV('The List'!Y2:Y671)</f>
        <v>3.3070880120402077</v>
      </c>
      <c r="M329" s="55" cm="1">
        <f t="array" ref="M329">(VLOOKUP($A329,'The List'!$B1:$AH671,25,FALSE)-AVERAGE('The List'!Z2:Z671))/STDEV('The List'!Z2:Z671)</f>
        <v>3.1812732530167711</v>
      </c>
      <c r="N329" s="55" cm="1">
        <f t="array" ref="N329">(VLOOKUP($A329,'The List'!$B1:$AH671,26,FALSE)-AVERAGE('The List'!AA2:AA671))/STDEV('The List'!AA2:AA671)</f>
        <v>-0.56488448455845541</v>
      </c>
      <c r="O329" s="55" cm="1">
        <f t="array" ref="O329">(VLOOKUP($A329,'The List'!$B1:$AH671,27,FALSE)-AVERAGE('The List'!AB2:AB671))/STDEV('The List'!AB2:AB671)</f>
        <v>-0.13217382451141121</v>
      </c>
      <c r="P329" s="55" cm="1">
        <f t="array" ref="P329">(VLOOKUP($A329,'The List'!$B1:$AH671,28,FALSE)-AVERAGE('The List'!AC2:AC671))/STDEV('The List'!AC2:AC671)</f>
        <v>-2.3455708203530166</v>
      </c>
      <c r="Q329" s="55" cm="1">
        <f t="array" ref="Q329">(VLOOKUP($A329,'The List'!$B1:$AH671,29,FALSE)-AVERAGE('The List'!AD2:AD671))/STDEV('The List'!AD2:AD671)</f>
        <v>1.3575174172883194E-2</v>
      </c>
      <c r="R329" s="55" cm="1">
        <f t="array" ref="R329">(VLOOKUP($A329,'The List'!$B1:$AH671,30,FALSE)-AVERAGE('The List'!AE2:AE671))/STDEV('The List'!AE2:AE671)</f>
        <v>-0.15269296909516847</v>
      </c>
      <c r="S329" s="55" cm="1">
        <f t="array" ref="S329">(VLOOKUP($A329,'The List'!$B1:$AH671,31,FALSE)-AVERAGE('The List'!AF2:AF671))/STDEV('The List'!AF2:AF671)</f>
        <v>-0.36088618811641182</v>
      </c>
      <c r="T329" s="55" cm="1">
        <f t="array" ref="T329">(VLOOKUP($A329,'The List'!$B1:$AH671,32,FALSE)-AVERAGE('The List'!AG2:AG671))/STDEV('The List'!AG2:AG671)</f>
        <v>-0.35207413381759312</v>
      </c>
      <c r="U329" s="55" cm="1">
        <f t="array" ref="U329">(VLOOKUP($A329,'The List'!$B1:$AH671,33,FALSE)-AVERAGE('The List'!AH2:AH671))/STDEV('The List'!AH2:AH671)</f>
        <v>0.84970799515009721</v>
      </c>
      <c r="V329" s="55"/>
      <c r="W329" s="78"/>
      <c r="X329" s="57"/>
      <c r="Y329" s="57"/>
      <c r="Z329" s="57"/>
      <c r="AA329" s="57"/>
      <c r="AB329" s="57"/>
      <c r="AC329" s="60"/>
      <c r="AD329" s="61"/>
      <c r="AE329" s="55"/>
    </row>
    <row r="330" spans="1:31" ht="21.25" customHeight="1" x14ac:dyDescent="0.15">
      <c r="A330" s="10" t="s">
        <v>292</v>
      </c>
      <c r="B330" s="18" t="str" cm="1">
        <f t="array" ref="B330">VLOOKUP(A330,'Player Data'!A1:B673,2,FALSE)</f>
        <v>CBJ</v>
      </c>
      <c r="C330" s="52" cm="1">
        <f t="array" ref="C330">((E330)*Settings!$C$12)+(F330*Settings!$C$2)+(G330*Settings!$C$3)+(H330*Settings!$C$4)+(I330*Settings!$C$5)+(K330*Settings!$C$9)+(N330*Settings!$C$6)+(J330*Settings!$C$8)+(O330*Settings!$C$7)+(P330*Settings!$C$14)+(Q330*Settings!$C$15)+(R330*Settings!$C$16)+(S330*Settings!$C$17)+(T330*Settings!$C$18)+(U330*Settings!$C$19)+(L330*Settings!$C$10)+(Settings!$C$11*M330)</f>
        <v>1.1056361226612426</v>
      </c>
      <c r="D330" s="57" cm="1">
        <f t="array" ref="D330">IF(Settings!$E$12="YES",VLOOKUP(A330,'Player Data'!A1:E673,5,FALSE),82)</f>
        <v>84.03</v>
      </c>
      <c r="E330" s="55" cm="1">
        <f t="array" ref="E330">(VLOOKUP($A330,'The List'!$B1:$AH671,17,FALSE)-AVERAGE('The List'!R2:R671))/STDEV('The List'!R2:R671)</f>
        <v>1.9793528480021656</v>
      </c>
      <c r="F330" s="55" cm="1">
        <f t="array" ref="F330">(VLOOKUP($A330,'The List'!$B1:$AH671,18,FALSE)-AVERAGE('The List'!S2:S671))/STDEV('The List'!S2:S671)</f>
        <v>-0.75418836125603295</v>
      </c>
      <c r="G330" s="55" cm="1">
        <f t="array" ref="G330">(VLOOKUP($A330,'The List'!$B1:$AH671,19,FALSE)-AVERAGE('The List'!T2:T671))/STDEV('The List'!T2:T671)</f>
        <v>4.6153248599645549E-2</v>
      </c>
      <c r="H330" s="55" cm="1">
        <f t="array" ref="H330">(VLOOKUP($A330,'The List'!$B1:$AH671,20,FALSE)-AVERAGE('The List'!U2:U671))/STDEV('The List'!U2:U671)</f>
        <v>-0.305586820029913</v>
      </c>
      <c r="I330" s="55" cm="1">
        <f t="array" ref="I330">(VLOOKUP($A330,'The List'!$B1:$AH671,21,FALSE)-AVERAGE('The List'!V2:V671))/STDEV('The List'!V2:V671)</f>
        <v>6.539418001979018E-2</v>
      </c>
      <c r="J330" s="55" cm="1">
        <f t="array" ref="J330">(VLOOKUP($A330,'The List'!$B1:$AH671,22,FALSE)-AVERAGE('The List'!W2:W671))/STDEV('The List'!W2:W671)</f>
        <v>-0.6545848433973035</v>
      </c>
      <c r="K330" s="55" cm="1">
        <f t="array" ref="K330">(VLOOKUP($A330,'The List'!$B1:$AH671,23,FALSE)-AVERAGE('The List'!X2:X671))/STDEV('The List'!X2:X671)</f>
        <v>-0.55819858507852971</v>
      </c>
      <c r="L330" s="55" cm="1">
        <f t="array" ref="L330">(VLOOKUP($A330,'The List'!$B1:$AH671,24,FALSE)-AVERAGE('The List'!Y2:Y671))/STDEV('The List'!Y2:Y671)</f>
        <v>-9.9998692143693169E-2</v>
      </c>
      <c r="M330" s="55" cm="1">
        <f t="array" ref="M330">(VLOOKUP($A330,'The List'!$B1:$AH671,25,FALSE)-AVERAGE('The List'!Z2:Z671))/STDEV('The List'!Z2:Z671)</f>
        <v>0.31324150408433105</v>
      </c>
      <c r="N330" s="55" cm="1">
        <f t="array" ref="N330">(VLOOKUP($A330,'The List'!$B1:$AH671,26,FALSE)-AVERAGE('The List'!AA2:AA671))/STDEV('The List'!AA2:AA671)</f>
        <v>1.969654816583746</v>
      </c>
      <c r="O330" s="55" cm="1">
        <f t="array" ref="O330">(VLOOKUP($A330,'The List'!$B1:$AH671,27,FALSE)-AVERAGE('The List'!AB2:AB671))/STDEV('The List'!AB2:AB671)</f>
        <v>-0.9796343589988934</v>
      </c>
      <c r="P330" s="55" cm="1">
        <f t="array" ref="P330">(VLOOKUP($A330,'The List'!$B1:$AH671,28,FALSE)-AVERAGE('The List'!AC2:AC671))/STDEV('The List'!AC2:AC671)</f>
        <v>0.28253411356209845</v>
      </c>
      <c r="Q330" s="55" cm="1">
        <f t="array" ref="Q330">(VLOOKUP($A330,'The List'!$B1:$AH671,29,FALSE)-AVERAGE('The List'!AD2:AD671))/STDEV('The List'!AD2:AD671)</f>
        <v>5.4286710230525059E-2</v>
      </c>
      <c r="R330" s="55" cm="1">
        <f t="array" ref="R330">(VLOOKUP($A330,'The List'!$B1:$AH671,30,FALSE)-AVERAGE('The List'!AE2:AE671))/STDEV('The List'!AE2:AE671)</f>
        <v>-0.71180431314995274</v>
      </c>
      <c r="S330" s="55" cm="1">
        <f t="array" ref="S330">(VLOOKUP($A330,'The List'!$B1:$AH671,31,FALSE)-AVERAGE('The List'!AF2:AF671))/STDEV('The List'!AF2:AF671)</f>
        <v>-0.5939690971349143</v>
      </c>
      <c r="T330" s="55" cm="1">
        <f t="array" ref="T330">(VLOOKUP($A330,'The List'!$B1:$AH671,32,FALSE)-AVERAGE('The List'!AG2:AG671))/STDEV('The List'!AG2:AG671)</f>
        <v>-0.64602208138248207</v>
      </c>
      <c r="U330" s="55" cm="1">
        <f t="array" ref="U330">(VLOOKUP($A330,'The List'!$B1:$AH671,33,FALSE)-AVERAGE('The List'!AH2:AH671))/STDEV('The List'!AH2:AH671)</f>
        <v>-1.2548938914719048</v>
      </c>
      <c r="V330" s="55"/>
      <c r="W330" s="78"/>
      <c r="X330" s="57"/>
      <c r="Y330" s="57"/>
      <c r="Z330" s="57"/>
      <c r="AA330" s="57"/>
      <c r="AB330" s="57"/>
      <c r="AC330" s="60"/>
      <c r="AD330" s="61"/>
      <c r="AE330" s="55"/>
    </row>
    <row r="331" spans="1:31" ht="21.25" customHeight="1" x14ac:dyDescent="0.15">
      <c r="A331" s="10" t="s">
        <v>636</v>
      </c>
      <c r="B331" s="18" t="str" cm="1">
        <f t="array" ref="B331">VLOOKUP(A331,'Player Data'!A1:B673,2,FALSE)</f>
        <v>T.B</v>
      </c>
      <c r="C331" s="52" cm="1">
        <f t="array" ref="C331">((E331)*Settings!$C$12)+(F331*Settings!$C$2)+(G331*Settings!$C$3)+(H331*Settings!$C$4)+(I331*Settings!$C$5)+(K331*Settings!$C$9)+(N331*Settings!$C$6)+(J331*Settings!$C$8)+(O331*Settings!$C$7)+(P331*Settings!$C$14)+(Q331*Settings!$C$15)+(R331*Settings!$C$16)+(S331*Settings!$C$17)+(T331*Settings!$C$18)+(U331*Settings!$C$19)+(L331*Settings!$C$10)+(Settings!$C$11*M331)</f>
        <v>-0.30429311272009074</v>
      </c>
      <c r="D331" s="57" cm="1">
        <f t="array" ref="D331">IF(Settings!$E$12="YES",VLOOKUP(A331,'Player Data'!A1:E673,5,FALSE),82)</f>
        <v>80.392499999999998</v>
      </c>
      <c r="E331" s="55" cm="1">
        <f t="array" ref="E331">(VLOOKUP($A331,'The List'!$B1:$AH671,17,FALSE)-AVERAGE('The List'!R2:R671))/STDEV('The List'!R2:R671)</f>
        <v>-0.44227879894487215</v>
      </c>
      <c r="F331" s="55" cm="1">
        <f t="array" ref="F331">(VLOOKUP($A331,'The List'!$B1:$AH671,18,FALSE)-AVERAGE('The List'!S2:S671))/STDEV('The List'!S2:S671)</f>
        <v>-0.45780406469125506</v>
      </c>
      <c r="G331" s="55" cm="1">
        <f t="array" ref="G331">(VLOOKUP($A331,'The List'!$B1:$AH671,19,FALSE)-AVERAGE('The List'!T2:T671))/STDEV('The List'!T2:T671)</f>
        <v>-0.25847841789246984</v>
      </c>
      <c r="H331" s="55" cm="1">
        <f t="array" ref="H331">(VLOOKUP($A331,'The List'!$B1:$AH671,20,FALSE)-AVERAGE('The List'!U2:U671))/STDEV('The List'!U2:U671)</f>
        <v>-0.36569926528136998</v>
      </c>
      <c r="I331" s="55" cm="1">
        <f t="array" ref="I331">(VLOOKUP($A331,'The List'!$B1:$AH671,21,FALSE)-AVERAGE('The List'!V2:V671))/STDEV('The List'!V2:V671)</f>
        <v>-0.29653974512008802</v>
      </c>
      <c r="J331" s="55" cm="1">
        <f t="array" ref="J331">(VLOOKUP($A331,'The List'!$B1:$AH671,22,FALSE)-AVERAGE('The List'!W2:W671))/STDEV('The List'!W2:W671)</f>
        <v>-0.72882581805110525</v>
      </c>
      <c r="K331" s="55" cm="1">
        <f t="array" ref="K331">(VLOOKUP($A331,'The List'!$B1:$AH671,23,FALSE)-AVERAGE('The List'!X2:X671))/STDEV('The List'!X2:X671)</f>
        <v>-0.78152021193196763</v>
      </c>
      <c r="L331" s="55" cm="1">
        <f t="array" ref="L331">(VLOOKUP($A331,'The List'!$B1:$AH671,24,FALSE)-AVERAGE('The List'!Y2:Y671))/STDEV('The List'!Y2:Y671)</f>
        <v>-0.10344722596429873</v>
      </c>
      <c r="M331" s="55" cm="1">
        <f t="array" ref="M331">(VLOOKUP($A331,'The List'!$B1:$AH671,25,FALSE)-AVERAGE('The List'!Z2:Z671))/STDEV('The List'!Z2:Z671)</f>
        <v>-0.16507208214408073</v>
      </c>
      <c r="N331" s="55" cm="1">
        <f t="array" ref="N331">(VLOOKUP($A331,'The List'!$B1:$AH671,26,FALSE)-AVERAGE('The List'!AA2:AA671))/STDEV('The List'!AA2:AA671)</f>
        <v>-0.73230800926897177</v>
      </c>
      <c r="O331" s="55" cm="1">
        <f t="array" ref="O331">(VLOOKUP($A331,'The List'!$B1:$AH671,27,FALSE)-AVERAGE('The List'!AB2:AB671))/STDEV('The List'!AB2:AB671)</f>
        <v>0.50116798908772875</v>
      </c>
      <c r="P331" s="55" cm="1">
        <f t="array" ref="P331">(VLOOKUP($A331,'The List'!$B1:$AH671,28,FALSE)-AVERAGE('The List'!AC2:AC671))/STDEV('The List'!AC2:AC671)</f>
        <v>1.1839978711375936</v>
      </c>
      <c r="Q331" s="55" cm="1">
        <f t="array" ref="Q331">(VLOOKUP($A331,'The List'!$B1:$AH671,29,FALSE)-AVERAGE('The List'!AD2:AD671))/STDEV('The List'!AD2:AD671)</f>
        <v>1.0383594650470682</v>
      </c>
      <c r="R331" s="55" cm="1">
        <f t="array" ref="R331">(VLOOKUP($A331,'The List'!$B1:$AH671,30,FALSE)-AVERAGE('The List'!AE2:AE671))/STDEV('The List'!AE2:AE671)</f>
        <v>-0.31992256730243712</v>
      </c>
      <c r="S331" s="55" cm="1">
        <f t="array" ref="S331">(VLOOKUP($A331,'The List'!$B1:$AH671,31,FALSE)-AVERAGE('The List'!AF2:AF671))/STDEV('The List'!AF2:AF671)</f>
        <v>1.2261101584916163</v>
      </c>
      <c r="T331" s="55" cm="1">
        <f t="array" ref="T331">(VLOOKUP($A331,'The List'!$B1:$AH671,32,FALSE)-AVERAGE('The List'!AG2:AG671))/STDEV('The List'!AG2:AG671)</f>
        <v>1.5419242050424662</v>
      </c>
      <c r="U331" s="55" cm="1">
        <f t="array" ref="U331">(VLOOKUP($A331,'The List'!$B1:$AH671,33,FALSE)-AVERAGE('The List'!AH2:AH671))/STDEV('The List'!AH2:AH671)</f>
        <v>0.90449337631608362</v>
      </c>
      <c r="V331" s="55"/>
      <c r="W331" s="78"/>
      <c r="X331" s="57"/>
      <c r="Y331" s="57"/>
      <c r="Z331" s="57"/>
      <c r="AA331" s="57"/>
      <c r="AB331" s="57"/>
      <c r="AC331" s="60"/>
      <c r="AD331" s="61"/>
      <c r="AE331" s="55"/>
    </row>
    <row r="332" spans="1:31" ht="21.25" customHeight="1" x14ac:dyDescent="0.15">
      <c r="A332" s="10" t="s">
        <v>378</v>
      </c>
      <c r="B332" s="18" t="str" cm="1">
        <f t="array" ref="B332">VLOOKUP(A332,'Player Data'!A1:B673,2,FALSE)</f>
        <v>STL</v>
      </c>
      <c r="C332" s="52" cm="1">
        <f t="array" ref="C332">((E332)*Settings!$C$12)+(F332*Settings!$C$2)+(G332*Settings!$C$3)+(H332*Settings!$C$4)+(I332*Settings!$C$5)+(K332*Settings!$C$9)+(N332*Settings!$C$6)+(J332*Settings!$C$8)+(O332*Settings!$C$7)+(P332*Settings!$C$14)+(Q332*Settings!$C$15)+(R332*Settings!$C$16)+(S332*Settings!$C$17)+(T332*Settings!$C$18)+(U332*Settings!$C$19)+(L332*Settings!$C$10)+(Settings!$C$11*M332)</f>
        <v>-2.5977987243833525</v>
      </c>
      <c r="D332" s="57" cm="1">
        <f t="array" ref="D332">IF(Settings!$E$12="YES",VLOOKUP(A332,'Player Data'!A1:E673,5,FALSE),82)</f>
        <v>82.004999999999995</v>
      </c>
      <c r="E332" s="55" cm="1">
        <f t="array" ref="E332">(VLOOKUP($A332,'The List'!$B1:$AH671,17,FALSE)-AVERAGE('The List'!R2:R671))/STDEV('The List'!R2:R671)</f>
        <v>1.0559469535473911</v>
      </c>
      <c r="F332" s="55" cm="1">
        <f t="array" ref="F332">(VLOOKUP($A332,'The List'!$B1:$AH671,18,FALSE)-AVERAGE('The List'!S2:S671))/STDEV('The List'!S2:S671)</f>
        <v>-1.0306564376234262</v>
      </c>
      <c r="G332" s="55" cm="1">
        <f t="array" ref="G332">(VLOOKUP($A332,'The List'!$B1:$AH671,19,FALSE)-AVERAGE('The List'!T2:T671))/STDEV('The List'!T2:T671)</f>
        <v>0.18402681282403252</v>
      </c>
      <c r="H332" s="55" cm="1">
        <f t="array" ref="H332">(VLOOKUP($A332,'The List'!$B1:$AH671,20,FALSE)-AVERAGE('The List'!U2:U671))/STDEV('The List'!U2:U671)</f>
        <v>-0.34152794725283125</v>
      </c>
      <c r="I332" s="55" cm="1">
        <f t="array" ref="I332">(VLOOKUP($A332,'The List'!$B1:$AH671,21,FALSE)-AVERAGE('The List'!V2:V671))/STDEV('The List'!V2:V671)</f>
        <v>-0.73294222563306832</v>
      </c>
      <c r="J332" s="55" cm="1">
        <f t="array" ref="J332">(VLOOKUP($A332,'The List'!$B1:$AH671,22,FALSE)-AVERAGE('The List'!W2:W671))/STDEV('The List'!W2:W671)</f>
        <v>-0.523851412198306</v>
      </c>
      <c r="K332" s="55" cm="1">
        <f t="array" ref="K332">(VLOOKUP($A332,'The List'!$B1:$AH671,23,FALSE)-AVERAGE('The List'!X2:X671))/STDEV('The List'!X2:X671)</f>
        <v>-5.371600579517042E-2</v>
      </c>
      <c r="L332" s="55" cm="1">
        <f t="array" ref="L332">(VLOOKUP($A332,'The List'!$B1:$AH671,24,FALSE)-AVERAGE('The List'!Y2:Y671))/STDEV('The List'!Y2:Y671)</f>
        <v>-0.54569422367398956</v>
      </c>
      <c r="M332" s="55" cm="1">
        <f t="array" ref="M332">(VLOOKUP($A332,'The List'!$B1:$AH671,25,FALSE)-AVERAGE('The List'!Z2:Z671))/STDEV('The List'!Z2:Z671)</f>
        <v>-0.23117695226099755</v>
      </c>
      <c r="N332" s="55" cm="1">
        <f t="array" ref="N332">(VLOOKUP($A332,'The List'!$B1:$AH671,26,FALSE)-AVERAGE('The List'!AA2:AA671))/STDEV('The List'!AA2:AA671)</f>
        <v>0.63724475444104167</v>
      </c>
      <c r="O332" s="55" cm="1">
        <f t="array" ref="O332">(VLOOKUP($A332,'The List'!$B1:$AH671,27,FALSE)-AVERAGE('The List'!AB2:AB671))/STDEV('The List'!AB2:AB671)</f>
        <v>-1.2276451198491658</v>
      </c>
      <c r="P332" s="55" cm="1">
        <f t="array" ref="P332">(VLOOKUP($A332,'The List'!$B1:$AH671,28,FALSE)-AVERAGE('The List'!AC2:AC671))/STDEV('The List'!AC2:AC671)</f>
        <v>-0.74015729942987663</v>
      </c>
      <c r="Q332" s="55" cm="1">
        <f t="array" ref="Q332">(VLOOKUP($A332,'The List'!$B1:$AH671,29,FALSE)-AVERAGE('The List'!AD2:AD671))/STDEV('The List'!AD2:AD671)</f>
        <v>-0.86159832316688501</v>
      </c>
      <c r="R332" s="55" cm="1">
        <f t="array" ref="R332">(VLOOKUP($A332,'The List'!$B1:$AH671,30,FALSE)-AVERAGE('The List'!AE2:AE671))/STDEV('The List'!AE2:AE671)</f>
        <v>-1.0262741804185651</v>
      </c>
      <c r="S332" s="55" cm="1">
        <f t="array" ref="S332">(VLOOKUP($A332,'The List'!$B1:$AH671,31,FALSE)-AVERAGE('The List'!AF2:AF671))/STDEV('The List'!AF2:AF671)</f>
        <v>-0.5939690971349143</v>
      </c>
      <c r="T332" s="55" cm="1">
        <f t="array" ref="T332">(VLOOKUP($A332,'The List'!$B1:$AH671,32,FALSE)-AVERAGE('The List'!AG2:AG671))/STDEV('The List'!AG2:AG671)</f>
        <v>-0.64602208138248207</v>
      </c>
      <c r="U332" s="55" cm="1">
        <f t="array" ref="U332">(VLOOKUP($A332,'The List'!$B1:$AH671,33,FALSE)-AVERAGE('The List'!AH2:AH671))/STDEV('The List'!AH2:AH671)</f>
        <v>-1.2548938914719048</v>
      </c>
      <c r="V332" s="55"/>
      <c r="W332" s="78"/>
      <c r="X332" s="57"/>
      <c r="Y332" s="57"/>
      <c r="Z332" s="57"/>
      <c r="AA332" s="57"/>
      <c r="AB332" s="57"/>
      <c r="AC332" s="60"/>
      <c r="AD332" s="61"/>
      <c r="AE332" s="55"/>
    </row>
    <row r="333" spans="1:31" ht="21.25" customHeight="1" x14ac:dyDescent="0.15">
      <c r="A333" s="10" t="s">
        <v>306</v>
      </c>
      <c r="B333" s="18" t="str" cm="1">
        <f t="array" ref="B333">VLOOKUP(A333,'Player Data'!A1:B673,2,FALSE)</f>
        <v>PHI</v>
      </c>
      <c r="C333" s="52" cm="1">
        <f t="array" ref="C333">((E333)*Settings!$C$12)+(F333*Settings!$C$2)+(G333*Settings!$C$3)+(H333*Settings!$C$4)+(I333*Settings!$C$5)+(K333*Settings!$C$9)+(N333*Settings!$C$6)+(J333*Settings!$C$8)+(O333*Settings!$C$7)+(P333*Settings!$C$14)+(Q333*Settings!$C$15)+(R333*Settings!$C$16)+(S333*Settings!$C$17)+(T333*Settings!$C$18)+(U333*Settings!$C$19)+(L333*Settings!$C$10)+(Settings!$C$11*M333)</f>
        <v>1.1809046032225925</v>
      </c>
      <c r="D333" s="57" cm="1">
        <f t="array" ref="D333">IF(Settings!$E$12="YES",VLOOKUP(A333,'Player Data'!A1:E673,5,FALSE),82)</f>
        <v>80.41</v>
      </c>
      <c r="E333" s="55" cm="1">
        <f t="array" ref="E333">(VLOOKUP($A333,'The List'!$B1:$AH671,17,FALSE)-AVERAGE('The List'!R2:R671))/STDEV('The List'!R2:R671)</f>
        <v>1.4108269473742774</v>
      </c>
      <c r="F333" s="55" cm="1">
        <f t="array" ref="F333">(VLOOKUP($A333,'The List'!$B1:$AH671,18,FALSE)-AVERAGE('The List'!S2:S671))/STDEV('The List'!S2:S671)</f>
        <v>-0.71872738389664859</v>
      </c>
      <c r="G333" s="55" cm="1">
        <f t="array" ref="G333">(VLOOKUP($A333,'The List'!$B1:$AH671,19,FALSE)-AVERAGE('The List'!T2:T671))/STDEV('The List'!T2:T671)</f>
        <v>-7.7792684496455294E-2</v>
      </c>
      <c r="H333" s="55" cm="1">
        <f t="array" ref="H333">(VLOOKUP($A333,'The List'!$B1:$AH671,20,FALSE)-AVERAGE('The List'!U2:U671))/STDEV('The List'!U2:U671)</f>
        <v>-0.36781489346680407</v>
      </c>
      <c r="I333" s="55" cm="1">
        <f t="array" ref="I333">(VLOOKUP($A333,'The List'!$B1:$AH671,21,FALSE)-AVERAGE('The List'!V2:V671))/STDEV('The List'!V2:V671)</f>
        <v>-0.38261083057978817</v>
      </c>
      <c r="J333" s="55" cm="1">
        <f t="array" ref="J333">(VLOOKUP($A333,'The List'!$B1:$AH671,22,FALSE)-AVERAGE('The List'!W2:W671))/STDEV('The List'!W2:W671)</f>
        <v>-0.54455052095689627</v>
      </c>
      <c r="K333" s="55" cm="1">
        <f t="array" ref="K333">(VLOOKUP($A333,'The List'!$B1:$AH671,23,FALSE)-AVERAGE('The List'!X2:X671))/STDEV('The List'!X2:X671)</f>
        <v>-0.14753195063022753</v>
      </c>
      <c r="L333" s="55" cm="1">
        <f t="array" ref="L333">(VLOOKUP($A333,'The List'!$B1:$AH671,24,FALSE)-AVERAGE('The List'!Y2:Y671))/STDEV('The List'!Y2:Y671)</f>
        <v>-0.5229625740401681</v>
      </c>
      <c r="M333" s="55" cm="1">
        <f t="array" ref="M333">(VLOOKUP($A333,'The List'!$B1:$AH671,25,FALSE)-AVERAGE('The List'!Z2:Z671))/STDEV('The List'!Z2:Z671)</f>
        <v>-0.18452898673591753</v>
      </c>
      <c r="N333" s="55" cm="1">
        <f t="array" ref="N333">(VLOOKUP($A333,'The List'!$B1:$AH671,26,FALSE)-AVERAGE('The List'!AA2:AA671))/STDEV('The List'!AA2:AA671)</f>
        <v>2.2095857894781301</v>
      </c>
      <c r="O333" s="55" cm="1">
        <f t="array" ref="O333">(VLOOKUP($A333,'The List'!$B1:$AH671,27,FALSE)-AVERAGE('The List'!AB2:AB671))/STDEV('The List'!AB2:AB671)</f>
        <v>-0.73617391887111738</v>
      </c>
      <c r="P333" s="55" cm="1">
        <f t="array" ref="P333">(VLOOKUP($A333,'The List'!$B1:$AH671,28,FALSE)-AVERAGE('The List'!AC2:AC671))/STDEV('The List'!AC2:AC671)</f>
        <v>-3.7228806560670305E-2</v>
      </c>
      <c r="Q333" s="55" cm="1">
        <f t="array" ref="Q333">(VLOOKUP($A333,'The List'!$B1:$AH671,29,FALSE)-AVERAGE('The List'!AD2:AD671))/STDEV('The List'!AD2:AD671)</f>
        <v>0.3352104699082521</v>
      </c>
      <c r="R333" s="55" cm="1">
        <f t="array" ref="R333">(VLOOKUP($A333,'The List'!$B1:$AH671,30,FALSE)-AVERAGE('The List'!AE2:AE671))/STDEV('The List'!AE2:AE671)</f>
        <v>-0.6887607866603882</v>
      </c>
      <c r="S333" s="55" cm="1">
        <f t="array" ref="S333">(VLOOKUP($A333,'The List'!$B1:$AH671,31,FALSE)-AVERAGE('The List'!AF2:AF671))/STDEV('The List'!AF2:AF671)</f>
        <v>-0.5939690971349143</v>
      </c>
      <c r="T333" s="55" cm="1">
        <f t="array" ref="T333">(VLOOKUP($A333,'The List'!$B1:$AH671,32,FALSE)-AVERAGE('The List'!AG2:AG671))/STDEV('The List'!AG2:AG671)</f>
        <v>-0.64602208138248207</v>
      </c>
      <c r="U333" s="55" cm="1">
        <f t="array" ref="U333">(VLOOKUP($A333,'The List'!$B1:$AH671,33,FALSE)-AVERAGE('The List'!AH2:AH671))/STDEV('The List'!AH2:AH671)</f>
        <v>-1.2548938914719048</v>
      </c>
      <c r="V333" s="55"/>
      <c r="W333" s="78"/>
      <c r="X333" s="57"/>
      <c r="Y333" s="57"/>
      <c r="Z333" s="57"/>
      <c r="AA333" s="57"/>
      <c r="AB333" s="57"/>
      <c r="AC333" s="60"/>
      <c r="AD333" s="61"/>
      <c r="AE333" s="55"/>
    </row>
    <row r="334" spans="1:31" ht="21.25" customHeight="1" x14ac:dyDescent="0.15">
      <c r="A334" s="10" t="s">
        <v>606</v>
      </c>
      <c r="B334" s="18" t="str" cm="1">
        <f t="array" ref="B334">VLOOKUP(A334,'Player Data'!A1:B673,2,FALSE)</f>
        <v>OTT</v>
      </c>
      <c r="C334" s="52" cm="1">
        <f t="array" ref="C334">((E334)*Settings!$C$12)+(F334*Settings!$C$2)+(G334*Settings!$C$3)+(H334*Settings!$C$4)+(I334*Settings!$C$5)+(K334*Settings!$C$9)+(N334*Settings!$C$6)+(J334*Settings!$C$8)+(O334*Settings!$C$7)+(P334*Settings!$C$14)+(Q334*Settings!$C$15)+(R334*Settings!$C$16)+(S334*Settings!$C$17)+(T334*Settings!$C$18)+(U334*Settings!$C$19)+(L334*Settings!$C$10)+(Settings!$C$11*M334)</f>
        <v>-1.7302523427694685</v>
      </c>
      <c r="D334" s="57" cm="1">
        <f t="array" ref="D334">IF(Settings!$E$12="YES",VLOOKUP(A334,'Player Data'!A1:E673,5,FALSE),82)</f>
        <v>84.305000000000007</v>
      </c>
      <c r="E334" s="55" cm="1">
        <f t="array" ref="E334">(VLOOKUP($A334,'The List'!$B1:$AH671,17,FALSE)-AVERAGE('The List'!R2:R671))/STDEV('The List'!R2:R671)</f>
        <v>-1.0654739621493627</v>
      </c>
      <c r="F334" s="55" cm="1">
        <f t="array" ref="F334">(VLOOKUP($A334,'The List'!$B1:$AH671,18,FALSE)-AVERAGE('The List'!S2:S671))/STDEV('The List'!S2:S671)</f>
        <v>0.11534027911045444</v>
      </c>
      <c r="G334" s="55" cm="1">
        <f t="array" ref="G334">(VLOOKUP($A334,'The List'!$B1:$AH671,19,FALSE)-AVERAGE('The List'!T2:T671))/STDEV('The List'!T2:T671)</f>
        <v>-0.57012469524986475</v>
      </c>
      <c r="H334" s="55" cm="1">
        <f t="array" ref="H334">(VLOOKUP($A334,'The List'!$B1:$AH671,20,FALSE)-AVERAGE('The List'!U2:U671))/STDEV('The List'!U2:U671)</f>
        <v>-0.30743145123246773</v>
      </c>
      <c r="I334" s="55" cm="1">
        <f t="array" ref="I334">(VLOOKUP($A334,'The List'!$B1:$AH671,21,FALSE)-AVERAGE('The List'!V2:V671))/STDEV('The List'!V2:V671)</f>
        <v>0.12194505950501268</v>
      </c>
      <c r="J334" s="55" cm="1">
        <f t="array" ref="J334">(VLOOKUP($A334,'The List'!$B1:$AH671,22,FALSE)-AVERAGE('The List'!W2:W671))/STDEV('The List'!W2:W671)</f>
        <v>2.162181819793018E-2</v>
      </c>
      <c r="K334" s="55" cm="1">
        <f t="array" ref="K334">(VLOOKUP($A334,'The List'!$B1:$AH671,23,FALSE)-AVERAGE('The List'!X2:X671))/STDEV('The List'!X2:X671)</f>
        <v>-0.27758331072076681</v>
      </c>
      <c r="L334" s="55" cm="1">
        <f t="array" ref="L334">(VLOOKUP($A334,'The List'!$B1:$AH671,24,FALSE)-AVERAGE('The List'!Y2:Y671))/STDEV('The List'!Y2:Y671)</f>
        <v>-0.48677297782343687</v>
      </c>
      <c r="M334" s="55" cm="1">
        <f t="array" ref="M334">(VLOOKUP($A334,'The List'!$B1:$AH671,25,FALSE)-AVERAGE('The List'!Z2:Z671))/STDEV('The List'!Z2:Z671)</f>
        <v>-0.64831479459229147</v>
      </c>
      <c r="N334" s="55" cm="1">
        <f t="array" ref="N334">(VLOOKUP($A334,'The List'!$B1:$AH671,26,FALSE)-AVERAGE('The List'!AA2:AA671))/STDEV('The List'!AA2:AA671)</f>
        <v>-0.51570536077387652</v>
      </c>
      <c r="O334" s="55" cm="1">
        <f t="array" ref="O334">(VLOOKUP($A334,'The List'!$B1:$AH671,27,FALSE)-AVERAGE('The List'!AB2:AB671))/STDEV('The List'!AB2:AB671)</f>
        <v>1.0023643878556596</v>
      </c>
      <c r="P334" s="55" cm="1">
        <f t="array" ref="P334">(VLOOKUP($A334,'The List'!$B1:$AH671,28,FALSE)-AVERAGE('The List'!AC2:AC671))/STDEV('The List'!AC2:AC671)</f>
        <v>0.41275604653205317</v>
      </c>
      <c r="Q334" s="55" cm="1">
        <f t="array" ref="Q334">(VLOOKUP($A334,'The List'!$B1:$AH671,29,FALSE)-AVERAGE('The List'!AD2:AD671))/STDEV('The List'!AD2:AD671)</f>
        <v>-1.0168803611724808</v>
      </c>
      <c r="R334" s="55" cm="1">
        <f t="array" ref="R334">(VLOOKUP($A334,'The List'!$B1:$AH671,30,FALSE)-AVERAGE('The List'!AE2:AE671))/STDEV('The List'!AE2:AE671)</f>
        <v>0.31469652189654373</v>
      </c>
      <c r="S334" s="55" cm="1">
        <f t="array" ref="S334">(VLOOKUP($A334,'The List'!$B1:$AH671,31,FALSE)-AVERAGE('The List'!AF2:AF671))/STDEV('The List'!AF2:AF671)</f>
        <v>-0.54448390423794513</v>
      </c>
      <c r="T334" s="55" cm="1">
        <f t="array" ref="T334">(VLOOKUP($A334,'The List'!$B1:$AH671,32,FALSE)-AVERAGE('The List'!AG2:AG671))/STDEV('The List'!AG2:AG671)</f>
        <v>-0.57968240603358978</v>
      </c>
      <c r="U334" s="55" cm="1">
        <f t="array" ref="U334">(VLOOKUP($A334,'The List'!$B1:$AH671,33,FALSE)-AVERAGE('The List'!AH2:AH671))/STDEV('The List'!AH2:AH671)</f>
        <v>0.78018345404495715</v>
      </c>
      <c r="V334" s="55"/>
      <c r="W334" s="57"/>
      <c r="X334" s="55"/>
      <c r="Y334" s="55"/>
      <c r="Z334" s="55"/>
      <c r="AA334" s="55"/>
      <c r="AB334" s="55"/>
      <c r="AC334" s="55"/>
      <c r="AD334" s="55"/>
      <c r="AE334" s="55"/>
    </row>
    <row r="335" spans="1:31" ht="21.25" customHeight="1" x14ac:dyDescent="0.15">
      <c r="A335" s="10" t="s">
        <v>324</v>
      </c>
      <c r="B335" s="18" t="str" cm="1">
        <f t="array" ref="B335">VLOOKUP(A335,'Player Data'!A1:B673,2,FALSE)</f>
        <v>EDM</v>
      </c>
      <c r="C335" s="52" cm="1">
        <f t="array" ref="C335">((E335)*Settings!$C$12)+(F335*Settings!$C$2)+(G335*Settings!$C$3)+(H335*Settings!$C$4)+(I335*Settings!$C$5)+(K335*Settings!$C$9)+(N335*Settings!$C$6)+(J335*Settings!$C$8)+(O335*Settings!$C$7)+(P335*Settings!$C$14)+(Q335*Settings!$C$15)+(R335*Settings!$C$16)+(S335*Settings!$C$17)+(T335*Settings!$C$18)+(U335*Settings!$C$19)+(L335*Settings!$C$10)+(Settings!$C$11*M335)</f>
        <v>0.52328593616335761</v>
      </c>
      <c r="D335" s="57" cm="1">
        <f t="array" ref="D335">IF(Settings!$E$12="YES",VLOOKUP(A335,'Player Data'!A1:E673,5,FALSE),82)</f>
        <v>74.644999999999996</v>
      </c>
      <c r="E335" s="55" cm="1">
        <f t="array" ref="E335">(VLOOKUP($A335,'The List'!$B1:$AH671,17,FALSE)-AVERAGE('The List'!R2:R671))/STDEV('The List'!R2:R671)</f>
        <v>0.48186949529271872</v>
      </c>
      <c r="F335" s="55" cm="1">
        <f t="array" ref="F335">(VLOOKUP($A335,'The List'!$B1:$AH671,18,FALSE)-AVERAGE('The List'!S2:S671))/STDEV('The List'!S2:S671)</f>
        <v>-0.59837755560955241</v>
      </c>
      <c r="G335" s="55" cm="1">
        <f t="array" ref="G335">(VLOOKUP($A335,'The List'!$B1:$AH671,19,FALSE)-AVERAGE('The List'!T2:T671))/STDEV('The List'!T2:T671)</f>
        <v>-0.31313229871177395</v>
      </c>
      <c r="H335" s="55" cm="1">
        <f t="array" ref="H335">(VLOOKUP($A335,'The List'!$B1:$AH671,20,FALSE)-AVERAGE('The List'!U2:U671))/STDEV('The List'!U2:U671)</f>
        <v>-0.46244566781930785</v>
      </c>
      <c r="I335" s="55" cm="1">
        <f t="array" ref="I335">(VLOOKUP($A335,'The List'!$B1:$AH671,21,FALSE)-AVERAGE('The List'!V2:V671))/STDEV('The List'!V2:V671)</f>
        <v>4.6873226197564524E-2</v>
      </c>
      <c r="J335" s="55" cm="1">
        <f t="array" ref="J335">(VLOOKUP($A335,'The List'!$B1:$AH671,22,FALSE)-AVERAGE('The List'!W2:W671))/STDEV('The List'!W2:W671)</f>
        <v>-0.65112935317457932</v>
      </c>
      <c r="K335" s="55" cm="1">
        <f t="array" ref="K335">(VLOOKUP($A335,'The List'!$B1:$AH671,23,FALSE)-AVERAGE('The List'!X2:X671))/STDEV('The List'!X2:X671)</f>
        <v>-0.59178165344157807</v>
      </c>
      <c r="L335" s="55" cm="1">
        <f t="array" ref="L335">(VLOOKUP($A335,'The List'!$B1:$AH671,24,FALSE)-AVERAGE('The List'!Y2:Y671))/STDEV('The List'!Y2:Y671)</f>
        <v>0.29419714733225599</v>
      </c>
      <c r="M335" s="55" cm="1">
        <f t="array" ref="M335">(VLOOKUP($A335,'The List'!$B1:$AH671,25,FALSE)-AVERAGE('The List'!Z2:Z671))/STDEV('The List'!Z2:Z671)</f>
        <v>-1.9608945097961367E-2</v>
      </c>
      <c r="N335" s="55" cm="1">
        <f t="array" ref="N335">(VLOOKUP($A335,'The List'!$B1:$AH671,26,FALSE)-AVERAGE('The List'!AA2:AA671))/STDEV('The List'!AA2:AA671)</f>
        <v>1.5658427579099115</v>
      </c>
      <c r="O335" s="55" cm="1">
        <f t="array" ref="O335">(VLOOKUP($A335,'The List'!$B1:$AH671,27,FALSE)-AVERAGE('The List'!AB2:AB671))/STDEV('The List'!AB2:AB671)</f>
        <v>-0.85547469738695514</v>
      </c>
      <c r="P335" s="55" cm="1">
        <f t="array" ref="P335">(VLOOKUP($A335,'The List'!$B1:$AH671,28,FALSE)-AVERAGE('The List'!AC2:AC671))/STDEV('The List'!AC2:AC671)</f>
        <v>0.49203674476532411</v>
      </c>
      <c r="Q335" s="55" cm="1">
        <f t="array" ref="Q335">(VLOOKUP($A335,'The List'!$B1:$AH671,29,FALSE)-AVERAGE('The List'!AD2:AD671))/STDEV('The List'!AD2:AD671)</f>
        <v>-7.8175284946537998E-2</v>
      </c>
      <c r="R335" s="55" cm="1">
        <f t="array" ref="R335">(VLOOKUP($A335,'The List'!$B1:$AH671,30,FALSE)-AVERAGE('The List'!AE2:AE671))/STDEV('The List'!AE2:AE671)</f>
        <v>-0.48536054236222709</v>
      </c>
      <c r="S335" s="55" cm="1">
        <f t="array" ref="S335">(VLOOKUP($A335,'The List'!$B1:$AH671,31,FALSE)-AVERAGE('The List'!AF2:AF671))/STDEV('The List'!AF2:AF671)</f>
        <v>-0.5939690971349143</v>
      </c>
      <c r="T335" s="55" cm="1">
        <f t="array" ref="T335">(VLOOKUP($A335,'The List'!$B1:$AH671,32,FALSE)-AVERAGE('The List'!AG2:AG671))/STDEV('The List'!AG2:AG671)</f>
        <v>-0.64602208138248207</v>
      </c>
      <c r="U335" s="55" cm="1">
        <f t="array" ref="U335">(VLOOKUP($A335,'The List'!$B1:$AH671,33,FALSE)-AVERAGE('The List'!AH2:AH671))/STDEV('The List'!AH2:AH671)</f>
        <v>-1.2548938914719048</v>
      </c>
      <c r="V335" s="55"/>
      <c r="W335" s="57"/>
      <c r="X335" s="55"/>
      <c r="Y335" s="55"/>
      <c r="Z335" s="55"/>
      <c r="AA335" s="55"/>
      <c r="AB335" s="55"/>
      <c r="AC335" s="55"/>
      <c r="AD335" s="55"/>
      <c r="AE335" s="55"/>
    </row>
    <row r="336" spans="1:31" ht="21.25" customHeight="1" x14ac:dyDescent="0.15">
      <c r="A336" s="10" t="s">
        <v>666</v>
      </c>
      <c r="B336" s="18" t="str" cm="1">
        <f t="array" ref="B336">VLOOKUP(A336,'Player Data'!A1:B673,2,FALSE)</f>
        <v>DAL</v>
      </c>
      <c r="C336" s="52" cm="1">
        <f t="array" ref="C336">((E336)*Settings!$C$12)+(F336*Settings!$C$2)+(G336*Settings!$C$3)+(H336*Settings!$C$4)+(I336*Settings!$C$5)+(K336*Settings!$C$9)+(N336*Settings!$C$6)+(J336*Settings!$C$8)+(O336*Settings!$C$7)+(P336*Settings!$C$14)+(Q336*Settings!$C$15)+(R336*Settings!$C$16)+(S336*Settings!$C$17)+(T336*Settings!$C$18)+(U336*Settings!$C$19)+(L336*Settings!$C$10)+(Settings!$C$11*M336)</f>
        <v>-1.0466563569080498</v>
      </c>
      <c r="D336" s="57" cm="1">
        <f t="array" ref="D336">IF(Settings!$E$12="YES",VLOOKUP(A336,'Player Data'!A1:E673,5,FALSE),82)</f>
        <v>80.715000000000003</v>
      </c>
      <c r="E336" s="55" cm="1">
        <f t="array" ref="E336">(VLOOKUP($A336,'The List'!$B1:$AH671,17,FALSE)-AVERAGE('The List'!R2:R671))/STDEV('The List'!R2:R671)</f>
        <v>-0.85624452271206519</v>
      </c>
      <c r="F336" s="55" cm="1">
        <f t="array" ref="F336">(VLOOKUP($A336,'The List'!$B1:$AH671,18,FALSE)-AVERAGE('The List'!S2:S671))/STDEV('The List'!S2:S671)</f>
        <v>-6.3111614441677441E-2</v>
      </c>
      <c r="G336" s="55" cm="1">
        <f t="array" ref="G336">(VLOOKUP($A336,'The List'!$B1:$AH671,19,FALSE)-AVERAGE('The List'!T2:T671))/STDEV('The List'!T2:T671)</f>
        <v>-0.53989193374656497</v>
      </c>
      <c r="H336" s="55" cm="1">
        <f t="array" ref="H336">(VLOOKUP($A336,'The List'!$B1:$AH671,20,FALSE)-AVERAGE('The List'!U2:U671))/STDEV('The List'!U2:U671)</f>
        <v>-0.3675904270718045</v>
      </c>
      <c r="I336" s="55" cm="1">
        <f t="array" ref="I336">(VLOOKUP($A336,'The List'!$B1:$AH671,21,FALSE)-AVERAGE('The List'!V2:V671))/STDEV('The List'!V2:V671)</f>
        <v>-0.66788161084361608</v>
      </c>
      <c r="J336" s="55" cm="1">
        <f t="array" ref="J336">(VLOOKUP($A336,'The List'!$B1:$AH671,22,FALSE)-AVERAGE('The List'!W2:W671))/STDEV('The List'!W2:W671)</f>
        <v>-0.46874439451797106</v>
      </c>
      <c r="K336" s="55" cm="1">
        <f t="array" ref="K336">(VLOOKUP($A336,'The List'!$B1:$AH671,23,FALSE)-AVERAGE('The List'!X2:X671))/STDEV('The List'!X2:X671)</f>
        <v>-0.55878899607175259</v>
      </c>
      <c r="L336" s="55" cm="1">
        <f t="array" ref="L336">(VLOOKUP($A336,'The List'!$B1:$AH671,24,FALSE)-AVERAGE('The List'!Y2:Y671))/STDEV('The List'!Y2:Y671)</f>
        <v>-0.26019349379483214</v>
      </c>
      <c r="M336" s="55" cm="1">
        <f t="array" ref="M336">(VLOOKUP($A336,'The List'!$B1:$AH671,25,FALSE)-AVERAGE('The List'!Z2:Z671))/STDEV('The List'!Z2:Z671)</f>
        <v>-0.40637077616969197</v>
      </c>
      <c r="N336" s="55" cm="1">
        <f t="array" ref="N336">(VLOOKUP($A336,'The List'!$B1:$AH671,26,FALSE)-AVERAGE('The List'!AA2:AA671))/STDEV('The List'!AA2:AA671)</f>
        <v>-0.49312890506450985</v>
      </c>
      <c r="O336" s="55" cm="1">
        <f t="array" ref="O336">(VLOOKUP($A336,'The List'!$B1:$AH671,27,FALSE)-AVERAGE('The List'!AB2:AB671))/STDEV('The List'!AB2:AB671)</f>
        <v>0.61729574268633691</v>
      </c>
      <c r="P336" s="55" cm="1">
        <f t="array" ref="P336">(VLOOKUP($A336,'The List'!$B1:$AH671,28,FALSE)-AVERAGE('The List'!AC2:AC671))/STDEV('The List'!AC2:AC671)</f>
        <v>1.0219892575958294</v>
      </c>
      <c r="Q336" s="55" cm="1">
        <f t="array" ref="Q336">(VLOOKUP($A336,'The List'!$B1:$AH671,29,FALSE)-AVERAGE('The List'!AD2:AD671))/STDEV('The List'!AD2:AD671)</f>
        <v>0.25415744566424187</v>
      </c>
      <c r="R336" s="55" cm="1">
        <f t="array" ref="R336">(VLOOKUP($A336,'The List'!$B1:$AH671,30,FALSE)-AVERAGE('The List'!AE2:AE671))/STDEV('The List'!AE2:AE671)</f>
        <v>4.9344111534708489E-2</v>
      </c>
      <c r="S336" s="55" cm="1">
        <f t="array" ref="S336">(VLOOKUP($A336,'The List'!$B1:$AH671,31,FALSE)-AVERAGE('The List'!AF2:AF671))/STDEV('The List'!AF2:AF671)</f>
        <v>0.31873389314481282</v>
      </c>
      <c r="T336" s="55" cm="1">
        <f t="array" ref="T336">(VLOOKUP($A336,'The List'!$B1:$AH671,32,FALSE)-AVERAGE('The List'!AG2:AG671))/STDEV('The List'!AG2:AG671)</f>
        <v>0.14135852102010926</v>
      </c>
      <c r="U336" s="55" cm="1">
        <f t="array" ref="U336">(VLOOKUP($A336,'The List'!$B1:$AH671,33,FALSE)-AVERAGE('The List'!AH2:AH671))/STDEV('The List'!AH2:AH671)</f>
        <v>1.2847252806432097</v>
      </c>
      <c r="V336" s="55"/>
      <c r="W336" s="78"/>
      <c r="X336" s="57"/>
      <c r="Y336" s="57"/>
      <c r="Z336" s="57"/>
      <c r="AA336" s="57"/>
      <c r="AB336" s="57"/>
      <c r="AC336" s="60"/>
      <c r="AD336" s="61"/>
      <c r="AE336" s="55"/>
    </row>
    <row r="337" spans="1:31" ht="21.25" customHeight="1" x14ac:dyDescent="0.15">
      <c r="A337" s="10" t="s">
        <v>398</v>
      </c>
      <c r="B337" s="18" t="str" cm="1">
        <f t="array" ref="B337">VLOOKUP(A337,'Player Data'!A1:B673,2,FALSE)</f>
        <v>NYI</v>
      </c>
      <c r="C337" s="52" cm="1">
        <f t="array" ref="C337">((E337)*Settings!$C$12)+(F337*Settings!$C$2)+(G337*Settings!$C$3)+(H337*Settings!$C$4)+(I337*Settings!$C$5)+(K337*Settings!$C$9)+(N337*Settings!$C$6)+(J337*Settings!$C$8)+(O337*Settings!$C$7)+(P337*Settings!$C$14)+(Q337*Settings!$C$15)+(R337*Settings!$C$16)+(S337*Settings!$C$17)+(T337*Settings!$C$18)+(U337*Settings!$C$19)+(L337*Settings!$C$10)+(Settings!$C$11*M337)</f>
        <v>-3.0992831672398427</v>
      </c>
      <c r="D337" s="57" cm="1">
        <f t="array" ref="D337">IF(Settings!$E$12="YES",VLOOKUP(A337,'Player Data'!A1:E673,5,FALSE),82)</f>
        <v>71.402500000000003</v>
      </c>
      <c r="E337" s="55" cm="1">
        <f t="array" ref="E337">(VLOOKUP($A337,'The List'!$B1:$AH671,17,FALSE)-AVERAGE('The List'!R2:R671))/STDEV('The List'!R2:R671)</f>
        <v>3.6560647126507431E-2</v>
      </c>
      <c r="F337" s="55" cm="1">
        <f t="array" ref="F337">(VLOOKUP($A337,'The List'!$B1:$AH671,18,FALSE)-AVERAGE('The List'!S2:S671))/STDEV('The List'!S2:S671)</f>
        <v>-0.90977979493790018</v>
      </c>
      <c r="G337" s="55" cm="1">
        <f t="array" ref="G337">(VLOOKUP($A337,'The List'!$B1:$AH671,19,FALSE)-AVERAGE('The List'!T2:T671))/STDEV('The List'!T2:T671)</f>
        <v>-0.17855843624014447</v>
      </c>
      <c r="H337" s="55" cm="1">
        <f t="array" ref="H337">(VLOOKUP($A337,'The List'!$B1:$AH671,20,FALSE)-AVERAGE('The List'!U2:U671))/STDEV('The List'!U2:U671)</f>
        <v>-0.51596181819979992</v>
      </c>
      <c r="I337" s="55" cm="1">
        <f t="array" ref="I337">(VLOOKUP($A337,'The List'!$B1:$AH671,21,FALSE)-AVERAGE('The List'!V2:V671))/STDEV('The List'!V2:V671)</f>
        <v>-0.23268177107925789</v>
      </c>
      <c r="J337" s="55" cm="1">
        <f t="array" ref="J337">(VLOOKUP($A337,'The List'!$B1:$AH671,22,FALSE)-AVERAGE('The List'!W2:W671))/STDEV('The List'!W2:W671)</f>
        <v>-0.51501676361519377</v>
      </c>
      <c r="K337" s="55" cm="1">
        <f t="array" ref="K337">(VLOOKUP($A337,'The List'!$B1:$AH671,23,FALSE)-AVERAGE('The List'!X2:X671))/STDEV('The List'!X2:X671)</f>
        <v>-0.2572112200249333</v>
      </c>
      <c r="L337" s="55" cm="1">
        <f t="array" ref="L337">(VLOOKUP($A337,'The List'!$B1:$AH671,24,FALSE)-AVERAGE('The List'!Y2:Y671))/STDEV('The List'!Y2:Y671)</f>
        <v>-0.55955694932130162</v>
      </c>
      <c r="M337" s="55" cm="1">
        <f t="array" ref="M337">(VLOOKUP($A337,'The List'!$B1:$AH671,25,FALSE)-AVERAGE('The List'!Z2:Z671))/STDEV('The List'!Z2:Z671)</f>
        <v>-0.69470563387898754</v>
      </c>
      <c r="N337" s="55" cm="1">
        <f t="array" ref="N337">(VLOOKUP($A337,'The List'!$B1:$AH671,26,FALSE)-AVERAGE('The List'!AA2:AA671))/STDEV('The List'!AA2:AA671)</f>
        <v>4.8654059470981802E-2</v>
      </c>
      <c r="O337" s="55" cm="1">
        <f t="array" ref="O337">(VLOOKUP($A337,'The List'!$B1:$AH671,27,FALSE)-AVERAGE('The List'!AB2:AB671))/STDEV('The List'!AB2:AB671)</f>
        <v>-0.94118584165374486</v>
      </c>
      <c r="P337" s="55" cm="1">
        <f t="array" ref="P337">(VLOOKUP($A337,'The List'!$B1:$AH671,28,FALSE)-AVERAGE('The List'!AC2:AC671))/STDEV('The List'!AC2:AC671)</f>
        <v>-0.96319162076249487</v>
      </c>
      <c r="Q337" s="55" cm="1">
        <f t="array" ref="Q337">(VLOOKUP($A337,'The List'!$B1:$AH671,29,FALSE)-AVERAGE('The List'!AD2:AD671))/STDEV('The List'!AD2:AD671)</f>
        <v>-0.60651438366609367</v>
      </c>
      <c r="R337" s="55" cm="1">
        <f t="array" ref="R337">(VLOOKUP($A337,'The List'!$B1:$AH671,30,FALSE)-AVERAGE('The List'!AE2:AE671))/STDEV('The List'!AE2:AE671)</f>
        <v>-0.91202120444672774</v>
      </c>
      <c r="S337" s="55" cm="1">
        <f t="array" ref="S337">(VLOOKUP($A337,'The List'!$B1:$AH671,31,FALSE)-AVERAGE('The List'!AF2:AF671))/STDEV('The List'!AF2:AF671)</f>
        <v>-0.5939690971349143</v>
      </c>
      <c r="T337" s="55" cm="1">
        <f t="array" ref="T337">(VLOOKUP($A337,'The List'!$B1:$AH671,32,FALSE)-AVERAGE('The List'!AG2:AG671))/STDEV('The List'!AG2:AG671)</f>
        <v>-0.64602208138248207</v>
      </c>
      <c r="U337" s="55" cm="1">
        <f t="array" ref="U337">(VLOOKUP($A337,'The List'!$B1:$AH671,33,FALSE)-AVERAGE('The List'!AH2:AH671))/STDEV('The List'!AH2:AH671)</f>
        <v>-1.2548938914719048</v>
      </c>
      <c r="V337" s="55"/>
      <c r="W337" s="78"/>
      <c r="X337" s="57"/>
      <c r="Y337" s="57"/>
      <c r="Z337" s="57"/>
      <c r="AA337" s="57"/>
      <c r="AB337" s="57"/>
      <c r="AC337" s="60"/>
      <c r="AD337" s="61"/>
      <c r="AE337" s="55"/>
    </row>
    <row r="338" spans="1:31" ht="21.25" customHeight="1" x14ac:dyDescent="0.15">
      <c r="A338" s="10" t="s">
        <v>648</v>
      </c>
      <c r="B338" s="18" t="str" cm="1">
        <f t="array" ref="B338">VLOOKUP(A338,'Player Data'!A1:B673,2,FALSE)</f>
        <v>VGK</v>
      </c>
      <c r="C338" s="52" cm="1">
        <f t="array" ref="C338">((E338)*Settings!$C$12)+(F338*Settings!$C$2)+(G338*Settings!$C$3)+(H338*Settings!$C$4)+(I338*Settings!$C$5)+(K338*Settings!$C$9)+(N338*Settings!$C$6)+(J338*Settings!$C$8)+(O338*Settings!$C$7)+(P338*Settings!$C$14)+(Q338*Settings!$C$15)+(R338*Settings!$C$16)+(S338*Settings!$C$17)+(T338*Settings!$C$18)+(U338*Settings!$C$19)+(L338*Settings!$C$10)+(Settings!$C$11*M338)</f>
        <v>-2.6650322048251658</v>
      </c>
      <c r="D338" s="57" cm="1">
        <f t="array" ref="D338">IF(Settings!$E$12="YES",VLOOKUP(A338,'Player Data'!A1:E673,5,FALSE),82)</f>
        <v>76.644999999999996</v>
      </c>
      <c r="E338" s="55" cm="1">
        <f t="array" ref="E338">(VLOOKUP($A338,'The List'!$B1:$AH671,17,FALSE)-AVERAGE('The List'!R2:R671))/STDEV('The List'!R2:R671)</f>
        <v>-0.96848075569406056</v>
      </c>
      <c r="F338" s="55" cm="1">
        <f t="array" ref="F338">(VLOOKUP($A338,'The List'!$B1:$AH671,18,FALSE)-AVERAGE('The List'!S2:S671))/STDEV('The List'!S2:S671)</f>
        <v>-0.16147039941626284</v>
      </c>
      <c r="G338" s="55" cm="1">
        <f t="array" ref="G338">(VLOOKUP($A338,'The List'!$B1:$AH671,19,FALSE)-AVERAGE('The List'!T2:T671))/STDEV('The List'!T2:T671)</f>
        <v>-0.58075858980642192</v>
      </c>
      <c r="H338" s="55" cm="1">
        <f t="array" ref="H338">(VLOOKUP($A338,'The List'!$B1:$AH671,20,FALSE)-AVERAGE('The List'!U2:U671))/STDEV('The List'!U2:U671)</f>
        <v>-0.43693499129146102</v>
      </c>
      <c r="I338" s="55" cm="1">
        <f t="array" ref="I338">(VLOOKUP($A338,'The List'!$B1:$AH671,21,FALSE)-AVERAGE('The List'!V2:V671))/STDEV('The List'!V2:V671)</f>
        <v>-4.0506241668756974E-3</v>
      </c>
      <c r="J338" s="55" cm="1">
        <f t="array" ref="J338">(VLOOKUP($A338,'The List'!$B1:$AH671,22,FALSE)-AVERAGE('The List'!W2:W671))/STDEV('The List'!W2:W671)</f>
        <v>-0.21209779945818497</v>
      </c>
      <c r="K338" s="55" cm="1">
        <f t="array" ref="K338">(VLOOKUP($A338,'The List'!$B1:$AH671,23,FALSE)-AVERAGE('The List'!X2:X671))/STDEV('The List'!X2:X671)</f>
        <v>-0.36603781823329168</v>
      </c>
      <c r="L338" s="55" cm="1">
        <f t="array" ref="L338">(VLOOKUP($A338,'The List'!$B1:$AH671,24,FALSE)-AVERAGE('The List'!Y2:Y671))/STDEV('The List'!Y2:Y671)</f>
        <v>-0.56314832888759703</v>
      </c>
      <c r="M338" s="55" cm="1">
        <f t="array" ref="M338">(VLOOKUP($A338,'The List'!$B1:$AH671,25,FALSE)-AVERAGE('The List'!Z2:Z671))/STDEV('The List'!Z2:Z671)</f>
        <v>-0.70504074750346701</v>
      </c>
      <c r="N338" s="55" cm="1">
        <f t="array" ref="N338">(VLOOKUP($A338,'The List'!$B1:$AH671,26,FALSE)-AVERAGE('The List'!AA2:AA671))/STDEV('The List'!AA2:AA671)</f>
        <v>-1.0451970138270932</v>
      </c>
      <c r="O338" s="55" cm="1">
        <f t="array" ref="O338">(VLOOKUP($A338,'The List'!$B1:$AH671,27,FALSE)-AVERAGE('The List'!AB2:AB671))/STDEV('The List'!AB2:AB671)</f>
        <v>-1.1331393410565505</v>
      </c>
      <c r="P338" s="55" cm="1">
        <f t="array" ref="P338">(VLOOKUP($A338,'The List'!$B1:$AH671,28,FALSE)-AVERAGE('The List'!AC2:AC671))/STDEV('The List'!AC2:AC671)</f>
        <v>0.83720405064252568</v>
      </c>
      <c r="Q338" s="55" cm="1">
        <f t="array" ref="Q338">(VLOOKUP($A338,'The List'!$B1:$AH671,29,FALSE)-AVERAGE('The List'!AD2:AD671))/STDEV('The List'!AD2:AD671)</f>
        <v>-1.3447218100177463</v>
      </c>
      <c r="R338" s="55" cm="1">
        <f t="array" ref="R338">(VLOOKUP($A338,'The List'!$B1:$AH671,30,FALSE)-AVERAGE('The List'!AE2:AE671))/STDEV('The List'!AE2:AE671)</f>
        <v>0.109093541664431</v>
      </c>
      <c r="S338" s="55" cm="1">
        <f t="array" ref="S338">(VLOOKUP($A338,'The List'!$B1:$AH671,31,FALSE)-AVERAGE('The List'!AF2:AF671))/STDEV('The List'!AF2:AF671)</f>
        <v>-0.58562526423204464</v>
      </c>
      <c r="T338" s="55" cm="1">
        <f t="array" ref="T338">(VLOOKUP($A338,'The List'!$B1:$AH671,32,FALSE)-AVERAGE('The List'!AG2:AG671))/STDEV('The List'!AG2:AG671)</f>
        <v>-0.61376211835798711</v>
      </c>
      <c r="U338" s="55" cm="1">
        <f t="array" ref="U338">(VLOOKUP($A338,'The List'!$B1:$AH671,33,FALSE)-AVERAGE('The List'!AH2:AH671))/STDEV('The List'!AH2:AH671)</f>
        <v>-0.26215420612634738</v>
      </c>
      <c r="V338" s="55"/>
      <c r="W338" s="78"/>
      <c r="X338" s="57"/>
      <c r="Y338" s="57"/>
      <c r="Z338" s="57"/>
      <c r="AA338" s="57"/>
      <c r="AB338" s="57"/>
      <c r="AC338" s="60"/>
      <c r="AD338" s="61"/>
      <c r="AE338" s="55"/>
    </row>
    <row r="339" spans="1:31" ht="21.25" customHeight="1" x14ac:dyDescent="0.15">
      <c r="A339" s="10" t="s">
        <v>661</v>
      </c>
      <c r="B339" s="18" t="str" cm="1">
        <f t="array" ref="B339">VLOOKUP(A339,'Player Data'!A1:B673,2,FALSE)</f>
        <v>CGY</v>
      </c>
      <c r="C339" s="52" cm="1">
        <f t="array" ref="C339">((E339)*Settings!$C$12)+(F339*Settings!$C$2)+(G339*Settings!$C$3)+(H339*Settings!$C$4)+(I339*Settings!$C$5)+(K339*Settings!$C$9)+(N339*Settings!$C$6)+(J339*Settings!$C$8)+(O339*Settings!$C$7)+(P339*Settings!$C$14)+(Q339*Settings!$C$15)+(R339*Settings!$C$16)+(S339*Settings!$C$17)+(T339*Settings!$C$18)+(U339*Settings!$C$19)+(L339*Settings!$C$10)+(Settings!$C$11*M339)</f>
        <v>-3.6038429875680138</v>
      </c>
      <c r="D339" s="57" cm="1">
        <f t="array" ref="D339">IF(Settings!$E$12="YES",VLOOKUP(A339,'Player Data'!A1:E673,5,FALSE),82)</f>
        <v>78.405000000000001</v>
      </c>
      <c r="E339" s="55" cm="1">
        <f t="array" ref="E339">(VLOOKUP($A339,'The List'!$B1:$AH671,17,FALSE)-AVERAGE('The List'!R2:R671))/STDEV('The List'!R2:R671)</f>
        <v>-1.0105210125629223</v>
      </c>
      <c r="F339" s="55" cm="1">
        <f t="array" ref="F339">(VLOOKUP($A339,'The List'!$B1:$AH671,18,FALSE)-AVERAGE('The List'!S2:S671))/STDEV('The List'!S2:S671)</f>
        <v>-0.51257622355863375</v>
      </c>
      <c r="G339" s="55" cm="1">
        <f t="array" ref="G339">(VLOOKUP($A339,'The List'!$B1:$AH671,19,FALSE)-AVERAGE('The List'!T2:T671))/STDEV('The List'!T2:T671)</f>
        <v>-0.29364880292290985</v>
      </c>
      <c r="H339" s="55" cm="1">
        <f t="array" ref="H339">(VLOOKUP($A339,'The List'!$B1:$AH671,20,FALSE)-AVERAGE('The List'!U2:U671))/STDEV('The List'!U2:U671)</f>
        <v>-0.41212246723996748</v>
      </c>
      <c r="I339" s="55" cm="1">
        <f t="array" ref="I339">(VLOOKUP($A339,'The List'!$B1:$AH671,21,FALSE)-AVERAGE('The List'!V2:V671))/STDEV('The List'!V2:V671)</f>
        <v>-0.55466365937246709</v>
      </c>
      <c r="J339" s="55" cm="1">
        <f t="array" ref="J339">(VLOOKUP($A339,'The List'!$B1:$AH671,22,FALSE)-AVERAGE('The List'!W2:W671))/STDEV('The List'!W2:W671)</f>
        <v>-0.58999044205376372</v>
      </c>
      <c r="K339" s="55" cm="1">
        <f t="array" ref="K339">(VLOOKUP($A339,'The List'!$B1:$AH671,23,FALSE)-AVERAGE('The List'!X2:X671))/STDEV('The List'!X2:X671)</f>
        <v>-0.53587304490703502</v>
      </c>
      <c r="L339" s="55" cm="1">
        <f t="array" ref="L339">(VLOOKUP($A339,'The List'!$B1:$AH671,24,FALSE)-AVERAGE('The List'!Y2:Y671))/STDEV('The List'!Y2:Y671)</f>
        <v>-0.51410122507687839</v>
      </c>
      <c r="M339" s="55" cm="1">
        <f t="array" ref="M339">(VLOOKUP($A339,'The List'!$B1:$AH671,25,FALSE)-AVERAGE('The List'!Z2:Z671))/STDEV('The List'!Z2:Z671)</f>
        <v>-0.6538770801244993</v>
      </c>
      <c r="N339" s="55" cm="1">
        <f t="array" ref="N339">(VLOOKUP($A339,'The List'!$B1:$AH671,26,FALSE)-AVERAGE('The List'!AA2:AA671))/STDEV('The List'!AA2:AA671)</f>
        <v>-0.95827412630095687</v>
      </c>
      <c r="O339" s="55" cm="1">
        <f t="array" ref="O339">(VLOOKUP($A339,'The List'!$B1:$AH671,27,FALSE)-AVERAGE('The List'!AB2:AB671))/STDEV('The List'!AB2:AB671)</f>
        <v>-0.84583078747609641</v>
      </c>
      <c r="P339" s="55" cm="1">
        <f t="array" ref="P339">(VLOOKUP($A339,'The List'!$B1:$AH671,28,FALSE)-AVERAGE('The List'!AC2:AC671))/STDEV('The List'!AC2:AC671)</f>
        <v>-1.6923750172475922</v>
      </c>
      <c r="Q339" s="55" cm="1">
        <f t="array" ref="Q339">(VLOOKUP($A339,'The List'!$B1:$AH671,29,FALSE)-AVERAGE('The List'!AD2:AD671))/STDEV('The List'!AD2:AD671)</f>
        <v>0.94356788674158099</v>
      </c>
      <c r="R339" s="55" cm="1">
        <f t="array" ref="R339">(VLOOKUP($A339,'The List'!$B1:$AH671,30,FALSE)-AVERAGE('The List'!AE2:AE671))/STDEV('The List'!AE2:AE671)</f>
        <v>-0.56168372106075504</v>
      </c>
      <c r="S339" s="55" cm="1">
        <f t="array" ref="S339">(VLOOKUP($A339,'The List'!$B1:$AH671,31,FALSE)-AVERAGE('The List'!AF2:AF671))/STDEV('The List'!AF2:AF671)</f>
        <v>0.71860479193185844</v>
      </c>
      <c r="T339" s="55" cm="1">
        <f t="array" ref="T339">(VLOOKUP($A339,'The List'!$B1:$AH671,32,FALSE)-AVERAGE('The List'!AG2:AG671))/STDEV('The List'!AG2:AG671)</f>
        <v>1.1362702991632863</v>
      </c>
      <c r="U339" s="55" cm="1">
        <f t="array" ref="U339">(VLOOKUP($A339,'The List'!$B1:$AH671,33,FALSE)-AVERAGE('The List'!AH2:AH671))/STDEV('The List'!AH2:AH671)</f>
        <v>0.76568217109592396</v>
      </c>
      <c r="V339" s="55"/>
      <c r="W339" s="78"/>
      <c r="X339" s="57"/>
      <c r="Y339" s="57"/>
      <c r="Z339" s="57"/>
      <c r="AA339" s="57"/>
      <c r="AB339" s="57"/>
      <c r="AC339" s="60"/>
      <c r="AD339" s="61"/>
      <c r="AE339" s="55"/>
    </row>
    <row r="340" spans="1:31" ht="21.25" customHeight="1" x14ac:dyDescent="0.15">
      <c r="A340" s="10" t="s">
        <v>688</v>
      </c>
      <c r="B340" s="18" t="str" cm="1">
        <f t="array" ref="B340">VLOOKUP(A340,'Player Data'!A1:B673,2,FALSE)</f>
        <v>VAN</v>
      </c>
      <c r="C340" s="52" cm="1">
        <f t="array" ref="C340">((E340)*Settings!$C$12)+(F340*Settings!$C$2)+(G340*Settings!$C$3)+(H340*Settings!$C$4)+(I340*Settings!$C$5)+(K340*Settings!$C$9)+(N340*Settings!$C$6)+(J340*Settings!$C$8)+(O340*Settings!$C$7)+(P340*Settings!$C$14)+(Q340*Settings!$C$15)+(R340*Settings!$C$16)+(S340*Settings!$C$17)+(T340*Settings!$C$18)+(U340*Settings!$C$19)+(L340*Settings!$C$10)+(Settings!$C$11*M340)</f>
        <v>-6.7876636494062668</v>
      </c>
      <c r="D340" s="57" cm="1">
        <f t="array" ref="D340">IF(Settings!$E$12="YES",VLOOKUP(A340,'Player Data'!A1:E673,5,FALSE),82)</f>
        <v>65.947500000000005</v>
      </c>
      <c r="E340" s="55" cm="1">
        <f t="array" ref="E340">(VLOOKUP($A340,'The List'!$B1:$AH671,17,FALSE)-AVERAGE('The List'!R2:R671))/STDEV('The List'!R2:R671)</f>
        <v>-0.57434475126916651</v>
      </c>
      <c r="F340" s="55" cm="1">
        <f t="array" ref="F340">(VLOOKUP($A340,'The List'!$B1:$AH671,18,FALSE)-AVERAGE('The List'!S2:S671))/STDEV('The List'!S2:S671)</f>
        <v>-0.34742687544283885</v>
      </c>
      <c r="G340" s="55" cm="1">
        <f t="array" ref="G340">(VLOOKUP($A340,'The List'!$B1:$AH671,19,FALSE)-AVERAGE('The List'!T2:T671))/STDEV('The List'!T2:T671)</f>
        <v>-0.7288959259066069</v>
      </c>
      <c r="H340" s="55" cm="1">
        <f t="array" ref="H340">(VLOOKUP($A340,'The List'!$B1:$AH671,20,FALSE)-AVERAGE('The List'!U2:U671))/STDEV('The List'!U2:U671)</f>
        <v>-0.61261743703215488</v>
      </c>
      <c r="I340" s="55" cm="1">
        <f t="array" ref="I340">(VLOOKUP($A340,'The List'!$B1:$AH671,21,FALSE)-AVERAGE('The List'!V2:V671))/STDEV('The List'!V2:V671)</f>
        <v>-0.49099550669605552</v>
      </c>
      <c r="J340" s="55" cm="1">
        <f t="array" ref="J340">(VLOOKUP($A340,'The List'!$B1:$AH671,22,FALSE)-AVERAGE('The List'!W2:W671))/STDEV('The List'!W2:W671)</f>
        <v>-0.68777774121256607</v>
      </c>
      <c r="K340" s="55" cm="1">
        <f t="array" ref="K340">(VLOOKUP($A340,'The List'!$B1:$AH671,23,FALSE)-AVERAGE('The List'!X2:X671))/STDEV('The List'!X2:X671)</f>
        <v>-0.74453119562549197</v>
      </c>
      <c r="L340" s="55" cm="1">
        <f t="array" ref="L340">(VLOOKUP($A340,'The List'!$B1:$AH671,24,FALSE)-AVERAGE('The List'!Y2:Y671))/STDEV('The List'!Y2:Y671)</f>
        <v>-0.14136044225940919</v>
      </c>
      <c r="M340" s="55" cm="1">
        <f t="array" ref="M340">(VLOOKUP($A340,'The List'!$B1:$AH671,25,FALSE)-AVERAGE('The List'!Z2:Z671))/STDEV('The List'!Z2:Z671)</f>
        <v>0.90264588198903251</v>
      </c>
      <c r="N340" s="55" cm="1">
        <f t="array" ref="N340">(VLOOKUP($A340,'The List'!$B1:$AH671,26,FALSE)-AVERAGE('The List'!AA2:AA671))/STDEV('The List'!AA2:AA671)</f>
        <v>-0.55474750210040547</v>
      </c>
      <c r="O340" s="55" cm="1">
        <f t="array" ref="O340">(VLOOKUP($A340,'The List'!$B1:$AH671,27,FALSE)-AVERAGE('The List'!AB2:AB671))/STDEV('The List'!AB2:AB671)</f>
        <v>-0.27953522217361404</v>
      </c>
      <c r="P340" s="55" cm="1">
        <f t="array" ref="P340">(VLOOKUP($A340,'The List'!$B1:$AH671,28,FALSE)-AVERAGE('The List'!AC2:AC671))/STDEV('The List'!AC2:AC671)</f>
        <v>-2.3681381115447446</v>
      </c>
      <c r="Q340" s="55" cm="1">
        <f t="array" ref="Q340">(VLOOKUP($A340,'The List'!$B1:$AH671,29,FALSE)-AVERAGE('The List'!AD2:AD671))/STDEV('The List'!AD2:AD671)</f>
        <v>-1.5529285320901234</v>
      </c>
      <c r="R340" s="55" cm="1">
        <f t="array" ref="R340">(VLOOKUP($A340,'The List'!$B1:$AH671,30,FALSE)-AVERAGE('The List'!AE2:AE671))/STDEV('The List'!AE2:AE671)</f>
        <v>-0.5403427578740525</v>
      </c>
      <c r="S340" s="55" cm="1">
        <f t="array" ref="S340">(VLOOKUP($A340,'The List'!$B1:$AH671,31,FALSE)-AVERAGE('The List'!AF2:AF671))/STDEV('The List'!AF2:AF671)</f>
        <v>-0.5601643747424031</v>
      </c>
      <c r="T340" s="55" cm="1">
        <f t="array" ref="T340">(VLOOKUP($A340,'The List'!$B1:$AH671,32,FALSE)-AVERAGE('The List'!AG2:AG671))/STDEV('The List'!AG2:AG671)</f>
        <v>-0.57953590191854265</v>
      </c>
      <c r="U340" s="55" cm="1">
        <f t="array" ref="U340">(VLOOKUP($A340,'The List'!$B1:$AH671,33,FALSE)-AVERAGE('The List'!AH2:AH671))/STDEV('The List'!AH2:AH671)</f>
        <v>0.35985594806317656</v>
      </c>
      <c r="V340" s="55"/>
      <c r="W340" s="57"/>
      <c r="X340" s="55"/>
      <c r="Y340" s="55"/>
      <c r="Z340" s="55"/>
      <c r="AA340" s="55"/>
      <c r="AB340" s="55"/>
      <c r="AC340" s="55"/>
      <c r="AD340" s="55"/>
      <c r="AE340" s="55"/>
    </row>
    <row r="341" spans="1:31" ht="21.25" customHeight="1" x14ac:dyDescent="0.15">
      <c r="A341" s="10" t="s">
        <v>679</v>
      </c>
      <c r="B341" s="18" t="str" cm="1">
        <f t="array" ref="B341">VLOOKUP(A341,'Player Data'!A1:B673,2,FALSE)</f>
        <v>BOS</v>
      </c>
      <c r="C341" s="52" cm="1">
        <f t="array" ref="C341">((E341)*Settings!$C$12)+(F341*Settings!$C$2)+(G341*Settings!$C$3)+(H341*Settings!$C$4)+(I341*Settings!$C$5)+(K341*Settings!$C$9)+(N341*Settings!$C$6)+(J341*Settings!$C$8)+(O341*Settings!$C$7)+(P341*Settings!$C$14)+(Q341*Settings!$C$15)+(R341*Settings!$C$16)+(S341*Settings!$C$17)+(T341*Settings!$C$18)+(U341*Settings!$C$19)+(L341*Settings!$C$10)+(Settings!$C$11*M341)</f>
        <v>-4.0432539563229764</v>
      </c>
      <c r="D341" s="57" cm="1">
        <f t="array" ref="D341">IF(Settings!$E$12="YES",VLOOKUP(A341,'Player Data'!A1:E673,5,FALSE),82)</f>
        <v>81.28</v>
      </c>
      <c r="E341" s="55" cm="1">
        <f t="array" ref="E341">(VLOOKUP($A341,'The List'!$B1:$AH671,17,FALSE)-AVERAGE('The List'!R2:R671))/STDEV('The List'!R2:R671)</f>
        <v>-0.77941303650860116</v>
      </c>
      <c r="F341" s="55" cm="1">
        <f t="array" ref="F341">(VLOOKUP($A341,'The List'!$B1:$AH671,18,FALSE)-AVERAGE('The List'!S2:S671))/STDEV('The List'!S2:S671)</f>
        <v>-7.4827651641541884E-2</v>
      </c>
      <c r="G341" s="55" cm="1">
        <f t="array" ref="G341">(VLOOKUP($A341,'The List'!$B1:$AH671,19,FALSE)-AVERAGE('The List'!T2:T671))/STDEV('The List'!T2:T671)</f>
        <v>-0.53802828691983728</v>
      </c>
      <c r="H341" s="55" cm="1">
        <f t="array" ref="H341">(VLOOKUP($A341,'The List'!$B1:$AH671,20,FALSE)-AVERAGE('The List'!U2:U671))/STDEV('The List'!U2:U671)</f>
        <v>-0.37161635389751707</v>
      </c>
      <c r="I341" s="55" cm="1">
        <f t="array" ref="I341">(VLOOKUP($A341,'The List'!$B1:$AH671,21,FALSE)-AVERAGE('The List'!V2:V671))/STDEV('The List'!V2:V671)</f>
        <v>-0.83260760461049532</v>
      </c>
      <c r="J341" s="55" cm="1">
        <f t="array" ref="J341">(VLOOKUP($A341,'The List'!$B1:$AH671,22,FALSE)-AVERAGE('The List'!W2:W671))/STDEV('The List'!W2:W671)</f>
        <v>-0.70023658991120763</v>
      </c>
      <c r="K341" s="55" cm="1">
        <f t="array" ref="K341">(VLOOKUP($A341,'The List'!$B1:$AH671,23,FALSE)-AVERAGE('The List'!X2:X671))/STDEV('The List'!X2:X671)</f>
        <v>-0.75252960288251225</v>
      </c>
      <c r="L341" s="55" cm="1">
        <f t="array" ref="L341">(VLOOKUP($A341,'The List'!$B1:$AH671,24,FALSE)-AVERAGE('The List'!Y2:Y671))/STDEV('The List'!Y2:Y671)</f>
        <v>-0.40635593627757599</v>
      </c>
      <c r="M341" s="55" cm="1">
        <f t="array" ref="M341">(VLOOKUP($A341,'The List'!$B1:$AH671,25,FALSE)-AVERAGE('The List'!Z2:Z671))/STDEV('The List'!Z2:Z671)</f>
        <v>-0.29381060812555432</v>
      </c>
      <c r="N341" s="55" cm="1">
        <f t="array" ref="N341">(VLOOKUP($A341,'The List'!$B1:$AH671,26,FALSE)-AVERAGE('The List'!AA2:AA671))/STDEV('The List'!AA2:AA671)</f>
        <v>-0.49749609850058768</v>
      </c>
      <c r="O341" s="55" cm="1">
        <f t="array" ref="O341">(VLOOKUP($A341,'The List'!$B1:$AH671,27,FALSE)-AVERAGE('The List'!AB2:AB671))/STDEV('The List'!AB2:AB671)</f>
        <v>-0.61026090058557036</v>
      </c>
      <c r="P341" s="55" cm="1">
        <f t="array" ref="P341">(VLOOKUP($A341,'The List'!$B1:$AH671,28,FALSE)-AVERAGE('The List'!AC2:AC671))/STDEV('The List'!AC2:AC671)</f>
        <v>-0.62107903003148313</v>
      </c>
      <c r="Q341" s="55" cm="1">
        <f t="array" ref="Q341">(VLOOKUP($A341,'The List'!$B1:$AH671,29,FALSE)-AVERAGE('The List'!AD2:AD671))/STDEV('The List'!AD2:AD671)</f>
        <v>-0.72668568173651915</v>
      </c>
      <c r="R341" s="55" cm="1">
        <f t="array" ref="R341">(VLOOKUP($A341,'The List'!$B1:$AH671,30,FALSE)-AVERAGE('The List'!AE2:AE671))/STDEV('The List'!AE2:AE671)</f>
        <v>-0.24253435437248944</v>
      </c>
      <c r="S341" s="55" cm="1">
        <f t="array" ref="S341">(VLOOKUP($A341,'The List'!$B1:$AH671,31,FALSE)-AVERAGE('The List'!AF2:AF671))/STDEV('The List'!AF2:AF671)</f>
        <v>-0.17170042820509362</v>
      </c>
      <c r="T341" s="55" cm="1">
        <f t="array" ref="T341">(VLOOKUP($A341,'The List'!$B1:$AH671,32,FALSE)-AVERAGE('The List'!AG2:AG671))/STDEV('The List'!AG2:AG671)</f>
        <v>-0.11862677235992033</v>
      </c>
      <c r="U341" s="55" cm="1">
        <f t="array" ref="U341">(VLOOKUP($A341,'The List'!$B1:$AH671,33,FALSE)-AVERAGE('The List'!AH2:AH671))/STDEV('The List'!AH2:AH671)</f>
        <v>0.86078049304666737</v>
      </c>
      <c r="V341" s="55"/>
      <c r="W341" s="57"/>
      <c r="X341" s="55"/>
      <c r="Y341" s="55"/>
      <c r="Z341" s="55"/>
      <c r="AA341" s="55"/>
      <c r="AB341" s="55"/>
      <c r="AC341" s="55"/>
      <c r="AD341" s="55"/>
      <c r="AE341" s="55"/>
    </row>
    <row r="342" spans="1:31" ht="21.25" customHeight="1" x14ac:dyDescent="0.15">
      <c r="A342" s="10" t="s">
        <v>677</v>
      </c>
      <c r="B342" s="18" t="str" cm="1">
        <f t="array" ref="B342">VLOOKUP(A342,'Player Data'!A1:B673,2,FALSE)</f>
        <v>WSH</v>
      </c>
      <c r="C342" s="52" cm="1">
        <f t="array" ref="C342">((E342)*Settings!$C$12)+(F342*Settings!$C$2)+(G342*Settings!$C$3)+(H342*Settings!$C$4)+(I342*Settings!$C$5)+(K342*Settings!$C$9)+(N342*Settings!$C$6)+(J342*Settings!$C$8)+(O342*Settings!$C$7)+(P342*Settings!$C$14)+(Q342*Settings!$C$15)+(R342*Settings!$C$16)+(S342*Settings!$C$17)+(T342*Settings!$C$18)+(U342*Settings!$C$19)+(L342*Settings!$C$10)+(Settings!$C$11*M342)</f>
        <v>-2.2233758562068937</v>
      </c>
      <c r="D342" s="57" cm="1">
        <f t="array" ref="D342">IF(Settings!$E$12="YES",VLOOKUP(A342,'Player Data'!A1:E673,5,FALSE),82)</f>
        <v>78.995000000000005</v>
      </c>
      <c r="E342" s="55" cm="1">
        <f t="array" ref="E342">(VLOOKUP($A342,'The List'!$B1:$AH671,17,FALSE)-AVERAGE('The List'!R2:R671))/STDEV('The List'!R2:R671)</f>
        <v>-1.2495238055531586</v>
      </c>
      <c r="F342" s="55" cm="1">
        <f t="array" ref="F342">(VLOOKUP($A342,'The List'!$B1:$AH671,18,FALSE)-AVERAGE('The List'!S2:S671))/STDEV('The List'!S2:S671)</f>
        <v>-0.25179266983349397</v>
      </c>
      <c r="G342" s="55" cm="1">
        <f t="array" ref="G342">(VLOOKUP($A342,'The List'!$B1:$AH671,19,FALSE)-AVERAGE('The List'!T2:T671))/STDEV('The List'!T2:T671)</f>
        <v>-0.47579817222176451</v>
      </c>
      <c r="H342" s="55" cm="1">
        <f t="array" ref="H342">(VLOOKUP($A342,'The List'!$B1:$AH671,20,FALSE)-AVERAGE('The List'!U2:U671))/STDEV('The List'!U2:U671)</f>
        <v>-0.41098946921517943</v>
      </c>
      <c r="I342" s="55" cm="1">
        <f t="array" ref="I342">(VLOOKUP($A342,'The List'!$B1:$AH671,21,FALSE)-AVERAGE('The List'!V2:V671))/STDEV('The List'!V2:V671)</f>
        <v>-0.67310980643032359</v>
      </c>
      <c r="J342" s="55" cm="1">
        <f t="array" ref="J342">(VLOOKUP($A342,'The List'!$B1:$AH671,22,FALSE)-AVERAGE('The List'!W2:W671))/STDEV('The List'!W2:W671)</f>
        <v>-0.69341472470358456</v>
      </c>
      <c r="K342" s="55" cm="1">
        <f t="array" ref="K342">(VLOOKUP($A342,'The List'!$B1:$AH671,23,FALSE)-AVERAGE('The List'!X2:X671))/STDEV('The List'!X2:X671)</f>
        <v>-0.78611219226850726</v>
      </c>
      <c r="L342" s="55" cm="1">
        <f t="array" ref="L342">(VLOOKUP($A342,'The List'!$B1:$AH671,24,FALSE)-AVERAGE('The List'!Y2:Y671))/STDEV('The List'!Y2:Y671)</f>
        <v>-0.36848438451968729</v>
      </c>
      <c r="M342" s="55" cm="1">
        <f t="array" ref="M342">(VLOOKUP($A342,'The List'!$B1:$AH671,25,FALSE)-AVERAGE('The List'!Z2:Z671))/STDEV('The List'!Z2:Z671)</f>
        <v>-0.5129071188374773</v>
      </c>
      <c r="N342" s="55" cm="1">
        <f t="array" ref="N342">(VLOOKUP($A342,'The List'!$B1:$AH671,26,FALSE)-AVERAGE('The List'!AA2:AA671))/STDEV('The List'!AA2:AA671)</f>
        <v>-0.73062186355041514</v>
      </c>
      <c r="O342" s="55" cm="1">
        <f t="array" ref="O342">(VLOOKUP($A342,'The List'!$B1:$AH671,27,FALSE)-AVERAGE('The List'!AB2:AB671))/STDEV('The List'!AB2:AB671)</f>
        <v>-7.0412976748762193E-2</v>
      </c>
      <c r="P342" s="55" cm="1">
        <f t="array" ref="P342">(VLOOKUP($A342,'The List'!$B1:$AH671,28,FALSE)-AVERAGE('The List'!AC2:AC671))/STDEV('The List'!AC2:AC671)</f>
        <v>1.1449956240501562</v>
      </c>
      <c r="Q342" s="55" cm="1">
        <f t="array" ref="Q342">(VLOOKUP($A342,'The List'!$B1:$AH671,29,FALSE)-AVERAGE('The List'!AD2:AD671))/STDEV('The List'!AD2:AD671)</f>
        <v>-0.45093677595254555</v>
      </c>
      <c r="R342" s="55" cm="1">
        <f t="array" ref="R342">(VLOOKUP($A342,'The List'!$B1:$AH671,30,FALSE)-AVERAGE('The List'!AE2:AE671))/STDEV('The List'!AE2:AE671)</f>
        <v>-0.28544766766338081</v>
      </c>
      <c r="S342" s="55" cm="1">
        <f t="array" ref="S342">(VLOOKUP($A342,'The List'!$B1:$AH671,31,FALSE)-AVERAGE('The List'!AF2:AF671))/STDEV('The List'!AF2:AF671)</f>
        <v>0.62031260029730595</v>
      </c>
      <c r="T342" s="55" cm="1">
        <f t="array" ref="T342">(VLOOKUP($A342,'The List'!$B1:$AH671,32,FALSE)-AVERAGE('The List'!AG2:AG671))/STDEV('The List'!AG2:AG671)</f>
        <v>0.92951562333648674</v>
      </c>
      <c r="U342" s="55" cm="1">
        <f t="array" ref="U342">(VLOOKUP($A342,'The List'!$B1:$AH671,33,FALSE)-AVERAGE('The List'!AH2:AH671))/STDEV('The List'!AH2:AH671)</f>
        <v>0.8173027293575762</v>
      </c>
      <c r="V342" s="55"/>
      <c r="W342" s="57"/>
      <c r="X342" s="55"/>
      <c r="Y342" s="55"/>
      <c r="Z342" s="55"/>
      <c r="AA342" s="55"/>
      <c r="AB342" s="55"/>
      <c r="AC342" s="55"/>
      <c r="AD342" s="55"/>
      <c r="AE342" s="55"/>
    </row>
    <row r="343" spans="1:31" ht="21.25" customHeight="1" x14ac:dyDescent="0.15">
      <c r="A343" s="10" t="s">
        <v>631</v>
      </c>
      <c r="B343" s="18" t="str" cm="1">
        <f t="array" ref="B343">VLOOKUP(A343,'Player Data'!A1:B673,2,FALSE)</f>
        <v>MTL</v>
      </c>
      <c r="C343" s="52" cm="1">
        <f t="array" ref="C343">((E343)*Settings!$C$12)+(F343*Settings!$C$2)+(G343*Settings!$C$3)+(H343*Settings!$C$4)+(I343*Settings!$C$5)+(K343*Settings!$C$9)+(N343*Settings!$C$6)+(J343*Settings!$C$8)+(O343*Settings!$C$7)+(P343*Settings!$C$14)+(Q343*Settings!$C$15)+(R343*Settings!$C$16)+(S343*Settings!$C$17)+(T343*Settings!$C$18)+(U343*Settings!$C$19)+(L343*Settings!$C$10)+(Settings!$C$11*M343)</f>
        <v>-3.0305118897070655</v>
      </c>
      <c r="D343" s="57" cm="1">
        <f t="array" ref="D343">IF(Settings!$E$12="YES",VLOOKUP(A343,'Player Data'!A1:E673,5,FALSE),82)</f>
        <v>81.545000000000002</v>
      </c>
      <c r="E343" s="55" cm="1">
        <f t="array" ref="E343">(VLOOKUP($A343,'The List'!$B1:$AH671,17,FALSE)-AVERAGE('The List'!R2:R671))/STDEV('The List'!R2:R671)</f>
        <v>-0.37373728092112646</v>
      </c>
      <c r="F343" s="55" cm="1">
        <f t="array" ref="F343">(VLOOKUP($A343,'The List'!$B1:$AH671,18,FALSE)-AVERAGE('The List'!S2:S671))/STDEV('The List'!S2:S671)</f>
        <v>-0.22925340686229789</v>
      </c>
      <c r="G343" s="55" cm="1">
        <f t="array" ref="G343">(VLOOKUP($A343,'The List'!$B1:$AH671,19,FALSE)-AVERAGE('The List'!T2:T671))/STDEV('The List'!T2:T671)</f>
        <v>-0.42866364879609253</v>
      </c>
      <c r="H343" s="55" cm="1">
        <f t="array" ref="H343">(VLOOKUP($A343,'The List'!$B1:$AH671,20,FALSE)-AVERAGE('The List'!U2:U671))/STDEV('The List'!U2:U671)</f>
        <v>-0.37134192209262651</v>
      </c>
      <c r="I343" s="55" cm="1">
        <f t="array" ref="I343">(VLOOKUP($A343,'The List'!$B1:$AH671,21,FALSE)-AVERAGE('The List'!V2:V671))/STDEV('The List'!V2:V671)</f>
        <v>-0.66651605757007548</v>
      </c>
      <c r="J343" s="55" cm="1">
        <f t="array" ref="J343">(VLOOKUP($A343,'The List'!$B1:$AH671,22,FALSE)-AVERAGE('The List'!W2:W671))/STDEV('The List'!W2:W671)</f>
        <v>-0.7419640691191941</v>
      </c>
      <c r="K343" s="55" cm="1">
        <f t="array" ref="K343">(VLOOKUP($A343,'The List'!$B1:$AH671,23,FALSE)-AVERAGE('The List'!X2:X671))/STDEV('The List'!X2:X671)</f>
        <v>-0.80523853299795234</v>
      </c>
      <c r="L343" s="55" cm="1">
        <f t="array" ref="L343">(VLOOKUP($A343,'The List'!$B1:$AH671,24,FALSE)-AVERAGE('The List'!Y2:Y671))/STDEV('The List'!Y2:Y671)</f>
        <v>2.4580783461780569</v>
      </c>
      <c r="M343" s="55" cm="1">
        <f t="array" ref="M343">(VLOOKUP($A343,'The List'!$B1:$AH671,25,FALSE)-AVERAGE('The List'!Z2:Z671))/STDEV('The List'!Z2:Z671)</f>
        <v>2.2311093031151739</v>
      </c>
      <c r="N343" s="55" cm="1">
        <f t="array" ref="N343">(VLOOKUP($A343,'The List'!$B1:$AH671,26,FALSE)-AVERAGE('The List'!AA2:AA671))/STDEV('The List'!AA2:AA671)</f>
        <v>-0.13709495864261509</v>
      </c>
      <c r="O343" s="55" cm="1">
        <f t="array" ref="O343">(VLOOKUP($A343,'The List'!$B1:$AH671,27,FALSE)-AVERAGE('The List'!AB2:AB671))/STDEV('The List'!AB2:AB671)</f>
        <v>0.40842967925809726</v>
      </c>
      <c r="P343" s="55" cm="1">
        <f t="array" ref="P343">(VLOOKUP($A343,'The List'!$B1:$AH671,28,FALSE)-AVERAGE('The List'!AC2:AC671))/STDEV('The List'!AC2:AC671)</f>
        <v>8.8456974177172507E-2</v>
      </c>
      <c r="Q343" s="55" cm="1">
        <f t="array" ref="Q343">(VLOOKUP($A343,'The List'!$B1:$AH671,29,FALSE)-AVERAGE('The List'!AD2:AD671))/STDEV('The List'!AD2:AD671)</f>
        <v>-0.85220225901520497</v>
      </c>
      <c r="R343" s="55" cm="1">
        <f t="array" ref="R343">(VLOOKUP($A343,'The List'!$B1:$AH671,30,FALSE)-AVERAGE('The List'!AE2:AE671))/STDEV('The List'!AE2:AE671)</f>
        <v>-0.14503180409880753</v>
      </c>
      <c r="S343" s="55" cm="1">
        <f t="array" ref="S343">(VLOOKUP($A343,'The List'!$B1:$AH671,31,FALSE)-AVERAGE('The List'!AF2:AF671))/STDEV('The List'!AF2:AF671)</f>
        <v>2.0786291985382563</v>
      </c>
      <c r="T343" s="55" cm="1">
        <f t="array" ref="T343">(VLOOKUP($A343,'The List'!$B1:$AH671,32,FALSE)-AVERAGE('The List'!AG2:AG671))/STDEV('The List'!AG2:AG671)</f>
        <v>1.798148105080053</v>
      </c>
      <c r="U343" s="55" cm="1">
        <f t="array" ref="U343">(VLOOKUP($A343,'The List'!$B1:$AH671,33,FALSE)-AVERAGE('The List'!AH2:AH671))/STDEV('The List'!AH2:AH671)</f>
        <v>1.2182176542379257</v>
      </c>
      <c r="V343" s="55"/>
      <c r="W343" s="78"/>
      <c r="X343" s="57"/>
      <c r="Y343" s="57"/>
      <c r="Z343" s="57"/>
      <c r="AA343" s="57"/>
      <c r="AB343" s="57"/>
      <c r="AC343" s="60"/>
      <c r="AD343" s="61"/>
      <c r="AE343" s="55"/>
    </row>
    <row r="344" spans="1:31" ht="21.25" customHeight="1" x14ac:dyDescent="0.15">
      <c r="A344" s="10" t="s">
        <v>646</v>
      </c>
      <c r="B344" s="18" t="str" cm="1">
        <f t="array" ref="B344">VLOOKUP(A344,'Player Data'!A1:B673,2,FALSE)</f>
        <v>CBJ</v>
      </c>
      <c r="C344" s="52" cm="1">
        <f t="array" ref="C344">((E344)*Settings!$C$12)+(F344*Settings!$C$2)+(G344*Settings!$C$3)+(H344*Settings!$C$4)+(I344*Settings!$C$5)+(K344*Settings!$C$9)+(N344*Settings!$C$6)+(J344*Settings!$C$8)+(O344*Settings!$C$7)+(P344*Settings!$C$14)+(Q344*Settings!$C$15)+(R344*Settings!$C$16)+(S344*Settings!$C$17)+(T344*Settings!$C$18)+(U344*Settings!$C$19)+(L344*Settings!$C$10)+(Settings!$C$11*M344)</f>
        <v>2.1650649651964757</v>
      </c>
      <c r="D344" s="57" cm="1">
        <f t="array" ref="D344">IF(Settings!$E$12="YES",VLOOKUP(A344,'Player Data'!A1:E673,5,FALSE),82)</f>
        <v>77.502499999999998</v>
      </c>
      <c r="E344" s="55" cm="1">
        <f t="array" ref="E344">(VLOOKUP($A344,'The List'!$B1:$AH671,17,FALSE)-AVERAGE('The List'!R2:R671))/STDEV('The List'!R2:R671)</f>
        <v>-0.83090598164391793</v>
      </c>
      <c r="F344" s="55" cm="1">
        <f t="array" ref="F344">(VLOOKUP($A344,'The List'!$B1:$AH671,18,FALSE)-AVERAGE('The List'!S2:S671))/STDEV('The List'!S2:S671)</f>
        <v>8.9730976080141855E-2</v>
      </c>
      <c r="G344" s="55" cm="1">
        <f t="array" ref="G344">(VLOOKUP($A344,'The List'!$B1:$AH671,19,FALSE)-AVERAGE('The List'!T2:T671))/STDEV('The List'!T2:T671)</f>
        <v>-0.75805307423266621</v>
      </c>
      <c r="H344" s="55" cm="1">
        <f t="array" ref="H344">(VLOOKUP($A344,'The List'!$B1:$AH671,20,FALSE)-AVERAGE('The List'!U2:U671))/STDEV('The List'!U2:U671)</f>
        <v>-0.43699970034311159</v>
      </c>
      <c r="I344" s="55" cm="1">
        <f t="array" ref="I344">(VLOOKUP($A344,'The List'!$B1:$AH671,21,FALSE)-AVERAGE('The List'!V2:V671))/STDEV('The List'!V2:V671)</f>
        <v>-0.36424228687116011</v>
      </c>
      <c r="J344" s="55" cm="1">
        <f t="array" ref="J344">(VLOOKUP($A344,'The List'!$B1:$AH671,22,FALSE)-AVERAGE('The List'!W2:W671))/STDEV('The List'!W2:W671)</f>
        <v>-0.74391999399605624</v>
      </c>
      <c r="K344" s="55" cm="1">
        <f t="array" ref="K344">(VLOOKUP($A344,'The List'!$B1:$AH671,23,FALSE)-AVERAGE('The List'!X2:X671))/STDEV('The List'!X2:X671)</f>
        <v>-0.80695023884683637</v>
      </c>
      <c r="L344" s="55" cm="1">
        <f t="array" ref="L344">(VLOOKUP($A344,'The List'!$B1:$AH671,24,FALSE)-AVERAGE('The List'!Y2:Y671))/STDEV('The List'!Y2:Y671)</f>
        <v>0.81078149105475583</v>
      </c>
      <c r="M344" s="55" cm="1">
        <f t="array" ref="M344">(VLOOKUP($A344,'The List'!$B1:$AH671,25,FALSE)-AVERAGE('The List'!Z2:Z671))/STDEV('The List'!Z2:Z671)</f>
        <v>0.64126687465910837</v>
      </c>
      <c r="N344" s="55" cm="1">
        <f t="array" ref="N344">(VLOOKUP($A344,'The List'!$B1:$AH671,26,FALSE)-AVERAGE('The List'!AA2:AA671))/STDEV('The List'!AA2:AA671)</f>
        <v>-0.16192359352040633</v>
      </c>
      <c r="O344" s="55" cm="1">
        <f t="array" ref="O344">(VLOOKUP($A344,'The List'!$B1:$AH671,27,FALSE)-AVERAGE('The List'!AB2:AB671))/STDEV('The List'!AB2:AB671)</f>
        <v>2.9444471449702658</v>
      </c>
      <c r="P344" s="55" cm="1">
        <f t="array" ref="P344">(VLOOKUP($A344,'The List'!$B1:$AH671,28,FALSE)-AVERAGE('The List'!AC2:AC671))/STDEV('The List'!AC2:AC671)</f>
        <v>0.33417108789424449</v>
      </c>
      <c r="Q344" s="55" cm="1">
        <f t="array" ref="Q344">(VLOOKUP($A344,'The List'!$B1:$AH671,29,FALSE)-AVERAGE('The List'!AD2:AD671))/STDEV('The List'!AD2:AD671)</f>
        <v>3.8323320946931587</v>
      </c>
      <c r="R344" s="55" cm="1">
        <f t="array" ref="R344">(VLOOKUP($A344,'The List'!$B1:$AH671,30,FALSE)-AVERAGE('The List'!AE2:AE671))/STDEV('The List'!AE2:AE671)</f>
        <v>0.13801093371723749</v>
      </c>
      <c r="S344" s="55" cm="1">
        <f t="array" ref="S344">(VLOOKUP($A344,'The List'!$B1:$AH671,31,FALSE)-AVERAGE('The List'!AF2:AF671))/STDEV('The List'!AF2:AF671)</f>
        <v>-0.56876827796527551</v>
      </c>
      <c r="T344" s="55" cm="1">
        <f t="array" ref="T344">(VLOOKUP($A344,'The List'!$B1:$AH671,32,FALSE)-AVERAGE('The List'!AG2:AG671))/STDEV('The List'!AG2:AG671)</f>
        <v>-0.57870319644886303</v>
      </c>
      <c r="U344" s="55" cm="1">
        <f t="array" ref="U344">(VLOOKUP($A344,'The List'!$B1:$AH671,33,FALSE)-AVERAGE('The List'!AH2:AH671))/STDEV('The List'!AH2:AH671)</f>
        <v>5.5370506290624115E-2</v>
      </c>
      <c r="V344" s="55"/>
      <c r="W344" s="78"/>
      <c r="X344" s="57"/>
      <c r="Y344" s="57"/>
      <c r="Z344" s="57"/>
      <c r="AA344" s="57"/>
      <c r="AB344" s="57"/>
      <c r="AC344" s="60"/>
      <c r="AD344" s="61"/>
      <c r="AE344" s="55"/>
    </row>
    <row r="345" spans="1:31" ht="21.25" customHeight="1" x14ac:dyDescent="0.15">
      <c r="A345" s="10" t="s">
        <v>383</v>
      </c>
      <c r="B345" s="18" t="str" cm="1">
        <f t="array" ref="B345">VLOOKUP(A345,'Player Data'!A1:B673,2,FALSE)</f>
        <v>L.A</v>
      </c>
      <c r="C345" s="52" cm="1">
        <f t="array" ref="C345">((E345)*Settings!$C$12)+(F345*Settings!$C$2)+(G345*Settings!$C$3)+(H345*Settings!$C$4)+(I345*Settings!$C$5)+(K345*Settings!$C$9)+(N345*Settings!$C$6)+(J345*Settings!$C$8)+(O345*Settings!$C$7)+(P345*Settings!$C$14)+(Q345*Settings!$C$15)+(R345*Settings!$C$16)+(S345*Settings!$C$17)+(T345*Settings!$C$18)+(U345*Settings!$C$19)+(L345*Settings!$C$10)+(Settings!$C$11*M345)</f>
        <v>-0.28615743920942227</v>
      </c>
      <c r="D345" s="57" cm="1">
        <f t="array" ref="D345">IF(Settings!$E$12="YES",VLOOKUP(A345,'Player Data'!A1:E673,5,FALSE),82)</f>
        <v>75.105000000000004</v>
      </c>
      <c r="E345" s="55" cm="1">
        <f t="array" ref="E345">(VLOOKUP($A345,'The List'!$B1:$AH671,17,FALSE)-AVERAGE('The List'!R2:R671))/STDEV('The List'!R2:R671)</f>
        <v>1.6080930270838181</v>
      </c>
      <c r="F345" s="55" cm="1">
        <f t="array" ref="F345">(VLOOKUP($A345,'The List'!$B1:$AH671,18,FALSE)-AVERAGE('The List'!S2:S671))/STDEV('The List'!S2:S671)</f>
        <v>-0.83459827154693045</v>
      </c>
      <c r="G345" s="55" cm="1">
        <f t="array" ref="G345">(VLOOKUP($A345,'The List'!$B1:$AH671,19,FALSE)-AVERAGE('The List'!T2:T671))/STDEV('The List'!T2:T671)</f>
        <v>-0.1708729985369099</v>
      </c>
      <c r="H345" s="55" cm="1">
        <f t="array" ref="H345">(VLOOKUP($A345,'The List'!$B1:$AH671,20,FALSE)-AVERAGE('The List'!U2:U671))/STDEV('The List'!U2:U671)</f>
        <v>-0.47777131196932243</v>
      </c>
      <c r="I345" s="55" cm="1">
        <f t="array" ref="I345">(VLOOKUP($A345,'The List'!$B1:$AH671,21,FALSE)-AVERAGE('The List'!V2:V671))/STDEV('The List'!V2:V671)</f>
        <v>-0.46690704684958811</v>
      </c>
      <c r="J345" s="55" cm="1">
        <f t="array" ref="J345">(VLOOKUP($A345,'The List'!$B1:$AH671,22,FALSE)-AVERAGE('The List'!W2:W671))/STDEV('The List'!W2:W671)</f>
        <v>-0.56892081853782728</v>
      </c>
      <c r="K345" s="55" cm="1">
        <f t="array" ref="K345">(VLOOKUP($A345,'The List'!$B1:$AH671,23,FALSE)-AVERAGE('The List'!X2:X671))/STDEV('The List'!X2:X671)</f>
        <v>-0.3474085432246054</v>
      </c>
      <c r="L345" s="55" cm="1">
        <f t="array" ref="L345">(VLOOKUP($A345,'The List'!$B1:$AH671,24,FALSE)-AVERAGE('The List'!Y2:Y671))/STDEV('The List'!Y2:Y671)</f>
        <v>-0.5400020215183009</v>
      </c>
      <c r="M345" s="55" cm="1">
        <f t="array" ref="M345">(VLOOKUP($A345,'The List'!$B1:$AH671,25,FALSE)-AVERAGE('The List'!Z2:Z671))/STDEV('The List'!Z2:Z671)</f>
        <v>-0.31063356951967558</v>
      </c>
      <c r="N345" s="55" cm="1">
        <f t="array" ref="N345">(VLOOKUP($A345,'The List'!$B1:$AH671,26,FALSE)-AVERAGE('The List'!AA2:AA671))/STDEV('The List'!AA2:AA671)</f>
        <v>0.72598513198555448</v>
      </c>
      <c r="O345" s="55" cm="1">
        <f t="array" ref="O345">(VLOOKUP($A345,'The List'!$B1:$AH671,27,FALSE)-AVERAGE('The List'!AB2:AB671))/STDEV('The List'!AB2:AB671)</f>
        <v>-0.57500215216900263</v>
      </c>
      <c r="P345" s="55" cm="1">
        <f t="array" ref="P345">(VLOOKUP($A345,'The List'!$B1:$AH671,28,FALSE)-AVERAGE('The List'!AC2:AC671))/STDEV('The List'!AC2:AC671)</f>
        <v>0.19732227161726798</v>
      </c>
      <c r="Q345" s="55" cm="1">
        <f t="array" ref="Q345">(VLOOKUP($A345,'The List'!$B1:$AH671,29,FALSE)-AVERAGE('The List'!AD2:AD671))/STDEV('The List'!AD2:AD671)</f>
        <v>0.61032201734578939</v>
      </c>
      <c r="R345" s="55" cm="1">
        <f t="array" ref="R345">(VLOOKUP($A345,'The List'!$B1:$AH671,30,FALSE)-AVERAGE('The List'!AE2:AE671))/STDEV('The List'!AE2:AE671)</f>
        <v>-0.80342936707832335</v>
      </c>
      <c r="S345" s="55" cm="1">
        <f t="array" ref="S345">(VLOOKUP($A345,'The List'!$B1:$AH671,31,FALSE)-AVERAGE('The List'!AF2:AF671))/STDEV('The List'!AF2:AF671)</f>
        <v>-0.5939690971349143</v>
      </c>
      <c r="T345" s="55" cm="1">
        <f t="array" ref="T345">(VLOOKUP($A345,'The List'!$B1:$AH671,32,FALSE)-AVERAGE('The List'!AG2:AG671))/STDEV('The List'!AG2:AG671)</f>
        <v>-0.64602208138248207</v>
      </c>
      <c r="U345" s="55" cm="1">
        <f t="array" ref="U345">(VLOOKUP($A345,'The List'!$B1:$AH671,33,FALSE)-AVERAGE('The List'!AH2:AH671))/STDEV('The List'!AH2:AH671)</f>
        <v>-1.2548938914719048</v>
      </c>
      <c r="V345" s="55"/>
      <c r="W345" s="78"/>
      <c r="X345" s="57"/>
      <c r="Y345" s="57"/>
      <c r="Z345" s="57"/>
      <c r="AA345" s="57"/>
      <c r="AB345" s="57"/>
      <c r="AC345" s="60"/>
      <c r="AD345" s="61"/>
      <c r="AE345" s="55"/>
    </row>
    <row r="346" spans="1:31" ht="21.25" customHeight="1" x14ac:dyDescent="0.15">
      <c r="A346" s="10" t="s">
        <v>379</v>
      </c>
      <c r="B346" s="18" t="str" cm="1">
        <f t="array" ref="B346">VLOOKUP(A346,'Player Data'!A1:B673,2,FALSE)</f>
        <v>VAN</v>
      </c>
      <c r="C346" s="52" cm="1">
        <f t="array" ref="C346">((E346)*Settings!$C$12)+(F346*Settings!$C$2)+(G346*Settings!$C$3)+(H346*Settings!$C$4)+(I346*Settings!$C$5)+(K346*Settings!$C$9)+(N346*Settings!$C$6)+(J346*Settings!$C$8)+(O346*Settings!$C$7)+(P346*Settings!$C$14)+(Q346*Settings!$C$15)+(R346*Settings!$C$16)+(S346*Settings!$C$17)+(T346*Settings!$C$18)+(U346*Settings!$C$19)+(L346*Settings!$C$10)+(Settings!$C$11*M346)</f>
        <v>-4.0516027751070558</v>
      </c>
      <c r="D346" s="57" cm="1">
        <f t="array" ref="D346">IF(Settings!$E$12="YES",VLOOKUP(A346,'Player Data'!A1:E673,5,FALSE),82)</f>
        <v>79.05</v>
      </c>
      <c r="E346" s="55" cm="1">
        <f t="array" ref="E346">(VLOOKUP($A346,'The List'!$B1:$AH671,17,FALSE)-AVERAGE('The List'!R2:R671))/STDEV('The List'!R2:R671)</f>
        <v>0.68704188583384151</v>
      </c>
      <c r="F346" s="55" cm="1">
        <f t="array" ref="F346">(VLOOKUP($A346,'The List'!$B1:$AH671,18,FALSE)-AVERAGE('The List'!S2:S671))/STDEV('The List'!S2:S671)</f>
        <v>-0.71299480707593677</v>
      </c>
      <c r="G346" s="55" cm="1">
        <f t="array" ref="G346">(VLOOKUP($A346,'The List'!$B1:$AH671,19,FALSE)-AVERAGE('The List'!T2:T671))/STDEV('The List'!T2:T671)</f>
        <v>-0.15939819224882457</v>
      </c>
      <c r="H346" s="55" cm="1">
        <f t="array" ref="H346">(VLOOKUP($A346,'The List'!$B1:$AH671,20,FALSE)-AVERAGE('The List'!U2:U671))/STDEV('The List'!U2:U671)</f>
        <v>-0.41660090747434192</v>
      </c>
      <c r="I346" s="55" cm="1">
        <f t="array" ref="I346">(VLOOKUP($A346,'The List'!$B1:$AH671,21,FALSE)-AVERAGE('The List'!V2:V671))/STDEV('The List'!V2:V671)</f>
        <v>-0.73837133594562676</v>
      </c>
      <c r="J346" s="55" cm="1">
        <f t="array" ref="J346">(VLOOKUP($A346,'The List'!$B1:$AH671,22,FALSE)-AVERAGE('The List'!W2:W671))/STDEV('The List'!W2:W671)</f>
        <v>-0.6797872887602262</v>
      </c>
      <c r="K346" s="55" cm="1">
        <f t="array" ref="K346">(VLOOKUP($A346,'The List'!$B1:$AH671,23,FALSE)-AVERAGE('The List'!X2:X671))/STDEV('The List'!X2:X671)</f>
        <v>-0.42712977838641025</v>
      </c>
      <c r="L346" s="55" cm="1">
        <f t="array" ref="L346">(VLOOKUP($A346,'The List'!$B1:$AH671,24,FALSE)-AVERAGE('The List'!Y2:Y671))/STDEV('The List'!Y2:Y671)</f>
        <v>-0.47941095291019742</v>
      </c>
      <c r="M346" s="55" cm="1">
        <f t="array" ref="M346">(VLOOKUP($A346,'The List'!$B1:$AH671,25,FALSE)-AVERAGE('The List'!Z2:Z671))/STDEV('The List'!Z2:Z671)</f>
        <v>-0.53132563217023576</v>
      </c>
      <c r="N346" s="55" cm="1">
        <f t="array" ref="N346">(VLOOKUP($A346,'The List'!$B1:$AH671,26,FALSE)-AVERAGE('The List'!AA2:AA671))/STDEV('The List'!AA2:AA671)</f>
        <v>1.0443239980328025</v>
      </c>
      <c r="O346" s="55" cm="1">
        <f t="array" ref="O346">(VLOOKUP($A346,'The List'!$B1:$AH671,27,FALSE)-AVERAGE('The List'!AB2:AB671))/STDEV('The List'!AB2:AB671)</f>
        <v>-0.62685725707795736</v>
      </c>
      <c r="P346" s="55" cm="1">
        <f t="array" ref="P346">(VLOOKUP($A346,'The List'!$B1:$AH671,28,FALSE)-AVERAGE('The List'!AC2:AC671))/STDEV('The List'!AC2:AC671)</f>
        <v>-2.816422292380349</v>
      </c>
      <c r="Q346" s="55" cm="1">
        <f t="array" ref="Q346">(VLOOKUP($A346,'The List'!$B1:$AH671,29,FALSE)-AVERAGE('The List'!AD2:AD671))/STDEV('The List'!AD2:AD671)</f>
        <v>-0.241610367102711</v>
      </c>
      <c r="R346" s="55" cm="1">
        <f t="array" ref="R346">(VLOOKUP($A346,'The List'!$B1:$AH671,30,FALSE)-AVERAGE('The List'!AE2:AE671))/STDEV('The List'!AE2:AE671)</f>
        <v>-0.82342831096272229</v>
      </c>
      <c r="S346" s="55" cm="1">
        <f t="array" ref="S346">(VLOOKUP($A346,'The List'!$B1:$AH671,31,FALSE)-AVERAGE('The List'!AF2:AF671))/STDEV('The List'!AF2:AF671)</f>
        <v>-0.5939690971349143</v>
      </c>
      <c r="T346" s="55" cm="1">
        <f t="array" ref="T346">(VLOOKUP($A346,'The List'!$B1:$AH671,32,FALSE)-AVERAGE('The List'!AG2:AG671))/STDEV('The List'!AG2:AG671)</f>
        <v>-0.64602208138248207</v>
      </c>
      <c r="U346" s="55" cm="1">
        <f t="array" ref="U346">(VLOOKUP($A346,'The List'!$B1:$AH671,33,FALSE)-AVERAGE('The List'!AH2:AH671))/STDEV('The List'!AH2:AH671)</f>
        <v>-1.2548938914719048</v>
      </c>
      <c r="V346" s="55"/>
      <c r="W346" s="57"/>
      <c r="X346" s="55"/>
      <c r="Y346" s="55"/>
      <c r="Z346" s="55"/>
      <c r="AA346" s="55"/>
      <c r="AB346" s="55"/>
      <c r="AC346" s="55"/>
      <c r="AD346" s="55"/>
      <c r="AE346" s="55"/>
    </row>
    <row r="347" spans="1:31" ht="21.25" customHeight="1" x14ac:dyDescent="0.15">
      <c r="A347" s="10" t="s">
        <v>605</v>
      </c>
      <c r="B347" s="18" t="str" cm="1">
        <f t="array" ref="B347">VLOOKUP(A347,'Player Data'!A1:B673,2,FALSE)</f>
        <v>NSH</v>
      </c>
      <c r="C347" s="52" cm="1">
        <f t="array" ref="C347">((E347)*Settings!$C$12)+(F347*Settings!$C$2)+(G347*Settings!$C$3)+(H347*Settings!$C$4)+(I347*Settings!$C$5)+(K347*Settings!$C$9)+(N347*Settings!$C$6)+(J347*Settings!$C$8)+(O347*Settings!$C$7)+(P347*Settings!$C$14)+(Q347*Settings!$C$15)+(R347*Settings!$C$16)+(S347*Settings!$C$17)+(T347*Settings!$C$18)+(U347*Settings!$C$19)+(L347*Settings!$C$10)+(Settings!$C$11*M347)</f>
        <v>-2.069134639510938</v>
      </c>
      <c r="D347" s="57" cm="1">
        <f t="array" ref="D347">IF(Settings!$E$12="YES",VLOOKUP(A347,'Player Data'!A1:E673,5,FALSE),82)</f>
        <v>81.855000000000004</v>
      </c>
      <c r="E347" s="55" cm="1">
        <f t="array" ref="E347">(VLOOKUP($A347,'The List'!$B1:$AH671,17,FALSE)-AVERAGE('The List'!R2:R671))/STDEV('The List'!R2:R671)</f>
        <v>-0.30706258423005683</v>
      </c>
      <c r="F347" s="55" cm="1">
        <f t="array" ref="F347">(VLOOKUP($A347,'The List'!$B1:$AH671,18,FALSE)-AVERAGE('The List'!S2:S671))/STDEV('The List'!S2:S671)</f>
        <v>-0.26697304518707327</v>
      </c>
      <c r="G347" s="55" cm="1">
        <f t="array" ref="G347">(VLOOKUP($A347,'The List'!$B1:$AH671,19,FALSE)-AVERAGE('The List'!T2:T671))/STDEV('The List'!T2:T671)</f>
        <v>-0.40621823057087875</v>
      </c>
      <c r="H347" s="55" cm="1">
        <f t="array" ref="H347">(VLOOKUP($A347,'The List'!$B1:$AH671,20,FALSE)-AVERAGE('The List'!U2:U671))/STDEV('The List'!U2:U671)</f>
        <v>-0.37395925549935144</v>
      </c>
      <c r="I347" s="55" cm="1">
        <f t="array" ref="I347">(VLOOKUP($A347,'The List'!$B1:$AH671,21,FALSE)-AVERAGE('The List'!V2:V671))/STDEV('The List'!V2:V671)</f>
        <v>-0.20405559560279934</v>
      </c>
      <c r="J347" s="55" cm="1">
        <f t="array" ref="J347">(VLOOKUP($A347,'The List'!$B1:$AH671,22,FALSE)-AVERAGE('The List'!W2:W671))/STDEV('The List'!W2:W671)</f>
        <v>-0.58138157497670762</v>
      </c>
      <c r="K347" s="55" cm="1">
        <f t="array" ref="K347">(VLOOKUP($A347,'The List'!$B1:$AH671,23,FALSE)-AVERAGE('The List'!X2:X671))/STDEV('The List'!X2:X671)</f>
        <v>-0.64962343467427808</v>
      </c>
      <c r="L347" s="55" cm="1">
        <f t="array" ref="L347">(VLOOKUP($A347,'The List'!$B1:$AH671,24,FALSE)-AVERAGE('The List'!Y2:Y671))/STDEV('The List'!Y2:Y671)</f>
        <v>-0.26602425597935775</v>
      </c>
      <c r="M347" s="55" cm="1">
        <f t="array" ref="M347">(VLOOKUP($A347,'The List'!$B1:$AH671,25,FALSE)-AVERAGE('The List'!Z2:Z671))/STDEV('The List'!Z2:Z671)</f>
        <v>-0.38411625921867737</v>
      </c>
      <c r="N347" s="55" cm="1">
        <f t="array" ref="N347">(VLOOKUP($A347,'The List'!$B1:$AH671,26,FALSE)-AVERAGE('The List'!AA2:AA671))/STDEV('The List'!AA2:AA671)</f>
        <v>-4.8447012572490775E-2</v>
      </c>
      <c r="O347" s="55" cm="1">
        <f t="array" ref="O347">(VLOOKUP($A347,'The List'!$B1:$AH671,27,FALSE)-AVERAGE('The List'!AB2:AB671))/STDEV('The List'!AB2:AB671)</f>
        <v>-0.61786502563584134</v>
      </c>
      <c r="P347" s="55" cm="1">
        <f t="array" ref="P347">(VLOOKUP($A347,'The List'!$B1:$AH671,28,FALSE)-AVERAGE('The List'!AC2:AC671))/STDEV('The List'!AC2:AC671)</f>
        <v>-0.6408430716331438</v>
      </c>
      <c r="Q347" s="55" cm="1">
        <f t="array" ref="Q347">(VLOOKUP($A347,'The List'!$B1:$AH671,29,FALSE)-AVERAGE('The List'!AD2:AD671))/STDEV('The List'!AD2:AD671)</f>
        <v>0.14702575072972621</v>
      </c>
      <c r="R347" s="55" cm="1">
        <f t="array" ref="R347">(VLOOKUP($A347,'The List'!$B1:$AH671,30,FALSE)-AVERAGE('The List'!AE2:AE671))/STDEV('The List'!AE2:AE671)</f>
        <v>-0.37724484295077998</v>
      </c>
      <c r="S347" s="55" cm="1">
        <f t="array" ref="S347">(VLOOKUP($A347,'The List'!$B1:$AH671,31,FALSE)-AVERAGE('The List'!AF2:AF671))/STDEV('The List'!AF2:AF671)</f>
        <v>2.2222493797642509</v>
      </c>
      <c r="T347" s="55" cm="1">
        <f t="array" ref="T347">(VLOOKUP($A347,'The List'!$B1:$AH671,32,FALSE)-AVERAGE('The List'!AG2:AG671))/STDEV('The List'!AG2:AG671)</f>
        <v>1.5804426809520702</v>
      </c>
      <c r="U347" s="55" cm="1">
        <f t="array" ref="U347">(VLOOKUP($A347,'The List'!$B1:$AH671,33,FALSE)-AVERAGE('The List'!AH2:AH671))/STDEV('The List'!AH2:AH671)</f>
        <v>1.3834123962978129</v>
      </c>
      <c r="V347" s="55"/>
      <c r="W347" s="78"/>
      <c r="X347" s="57"/>
      <c r="Y347" s="57"/>
      <c r="Z347" s="57"/>
      <c r="AA347" s="57"/>
      <c r="AB347" s="57"/>
      <c r="AC347" s="60"/>
      <c r="AD347" s="61"/>
      <c r="AE347" s="55"/>
    </row>
    <row r="348" spans="1:31" ht="21.25" customHeight="1" x14ac:dyDescent="0.15">
      <c r="A348" s="10" t="s">
        <v>333</v>
      </c>
      <c r="B348" s="18" t="str" cm="1">
        <f t="array" ref="B348">VLOOKUP(A348,'Player Data'!A1:B673,2,FALSE)</f>
        <v>CHI</v>
      </c>
      <c r="C348" s="52" cm="1">
        <f t="array" ref="C348">((E348)*Settings!$C$12)+(F348*Settings!$C$2)+(G348*Settings!$C$3)+(H348*Settings!$C$4)+(I348*Settings!$C$5)+(K348*Settings!$C$9)+(N348*Settings!$C$6)+(J348*Settings!$C$8)+(O348*Settings!$C$7)+(P348*Settings!$C$14)+(Q348*Settings!$C$15)+(R348*Settings!$C$16)+(S348*Settings!$C$17)+(T348*Settings!$C$18)+(U348*Settings!$C$19)+(L348*Settings!$C$10)+(Settings!$C$11*M348)</f>
        <v>0.43288559822602624</v>
      </c>
      <c r="D348" s="57" cm="1">
        <f t="array" ref="D348">IF(Settings!$E$12="YES",VLOOKUP(A348,'Player Data'!A1:E673,5,FALSE),82)</f>
        <v>76.792500000000004</v>
      </c>
      <c r="E348" s="55" cm="1">
        <f t="array" ref="E348">(VLOOKUP($A348,'The List'!$B1:$AH671,17,FALSE)-AVERAGE('The List'!R2:R671))/STDEV('The List'!R2:R671)</f>
        <v>0.1496022342261516</v>
      </c>
      <c r="F348" s="55" cm="1">
        <f t="array" ref="F348">(VLOOKUP($A348,'The List'!$B1:$AH671,18,FALSE)-AVERAGE('The List'!S2:S671))/STDEV('The List'!S2:S671)</f>
        <v>0.40431648952085408</v>
      </c>
      <c r="G348" s="55" cm="1">
        <f t="array" ref="G348">(VLOOKUP($A348,'The List'!$B1:$AH671,19,FALSE)-AVERAGE('The List'!T2:T671))/STDEV('The List'!T2:T671)</f>
        <v>1.0466883634727613</v>
      </c>
      <c r="H348" s="55" cm="1">
        <f t="array" ref="H348">(VLOOKUP($A348,'The List'!$B1:$AH671,20,FALSE)-AVERAGE('The List'!U2:U671))/STDEV('The List'!U2:U671)</f>
        <v>0.83774788709543691</v>
      </c>
      <c r="I348" s="55" cm="1">
        <f t="array" ref="I348">(VLOOKUP($A348,'The List'!$B1:$AH671,21,FALSE)-AVERAGE('The List'!V2:V671))/STDEV('The List'!V2:V671)</f>
        <v>1.0101576287348955</v>
      </c>
      <c r="J348" s="55" cm="1">
        <f t="array" ref="J348">(VLOOKUP($A348,'The List'!$B1:$AH671,22,FALSE)-AVERAGE('The List'!W2:W671))/STDEV('The List'!W2:W671)</f>
        <v>0.60922567832083008</v>
      </c>
      <c r="K348" s="55" cm="1">
        <f t="array" ref="K348">(VLOOKUP($A348,'The List'!$B1:$AH671,23,FALSE)-AVERAGE('The List'!X2:X671))/STDEV('The List'!X2:X671)</f>
        <v>1.2488513750325538</v>
      </c>
      <c r="L348" s="55" cm="1">
        <f t="array" ref="L348">(VLOOKUP($A348,'The List'!$B1:$AH671,24,FALSE)-AVERAGE('The List'!Y2:Y671))/STDEV('The List'!Y2:Y671)</f>
        <v>-0.56569022661034529</v>
      </c>
      <c r="M348" s="55" cm="1">
        <f t="array" ref="M348">(VLOOKUP($A348,'The List'!$B1:$AH671,25,FALSE)-AVERAGE('The List'!Z2:Z671))/STDEV('The List'!Z2:Z671)</f>
        <v>-0.70756870995144849</v>
      </c>
      <c r="N348" s="55" cm="1">
        <f t="array" ref="N348">(VLOOKUP($A348,'The List'!$B1:$AH671,26,FALSE)-AVERAGE('The List'!AA2:AA671))/STDEV('The List'!AA2:AA671)</f>
        <v>-0.94318291601070459</v>
      </c>
      <c r="O348" s="55" cm="1">
        <f t="array" ref="O348">(VLOOKUP($A348,'The List'!$B1:$AH671,27,FALSE)-AVERAGE('The List'!AB2:AB671))/STDEV('The List'!AB2:AB671)</f>
        <v>-1.1784709849659625</v>
      </c>
      <c r="P348" s="55" cm="1">
        <f t="array" ref="P348">(VLOOKUP($A348,'The List'!$B1:$AH671,28,FALSE)-AVERAGE('The List'!AC2:AC671))/STDEV('The List'!AC2:AC671)</f>
        <v>-1.2269548859639556</v>
      </c>
      <c r="Q348" s="55" cm="1">
        <f t="array" ref="Q348">(VLOOKUP($A348,'The List'!$B1:$AH671,29,FALSE)-AVERAGE('The List'!AD2:AD671))/STDEV('The List'!AD2:AD671)</f>
        <v>-1.1069904565603781</v>
      </c>
      <c r="R348" s="55" cm="1">
        <f t="array" ref="R348">(VLOOKUP($A348,'The List'!$B1:$AH671,30,FALSE)-AVERAGE('The List'!AE2:AE671))/STDEV('The List'!AE2:AE671)</f>
        <v>3.6222205950439235E-2</v>
      </c>
      <c r="S348" s="55" cm="1">
        <f t="array" ref="S348">(VLOOKUP($A348,'The List'!$B1:$AH671,31,FALSE)-AVERAGE('The List'!AF2:AF671))/STDEV('The List'!AF2:AF671)</f>
        <v>-0.57419131908635201</v>
      </c>
      <c r="T348" s="55" cm="1">
        <f t="array" ref="T348">(VLOOKUP($A348,'The List'!$B1:$AH671,32,FALSE)-AVERAGE('The List'!AG2:AG671))/STDEV('The List'!AG2:AG671)</f>
        <v>-0.59411842848836727</v>
      </c>
      <c r="U348" s="55" cm="1">
        <f t="array" ref="U348">(VLOOKUP($A348,'The List'!$B1:$AH671,33,FALSE)-AVERAGE('The List'!AH2:AH671))/STDEV('The List'!AH2:AH671)</f>
        <v>7.2046924376785393E-2</v>
      </c>
      <c r="V348" s="55"/>
      <c r="W348" s="78"/>
      <c r="X348" s="57"/>
      <c r="Y348" s="57"/>
      <c r="Z348" s="57"/>
      <c r="AA348" s="57"/>
      <c r="AB348" s="57"/>
      <c r="AC348" s="60"/>
      <c r="AD348" s="61"/>
      <c r="AE348" s="55"/>
    </row>
    <row r="349" spans="1:31" ht="21.25" customHeight="1" x14ac:dyDescent="0.15">
      <c r="A349" s="10" t="s">
        <v>630</v>
      </c>
      <c r="B349" s="18" t="str" cm="1">
        <f t="array" ref="B349">VLOOKUP(A349,'Player Data'!A1:B673,2,FALSE)</f>
        <v>OTT</v>
      </c>
      <c r="C349" s="52" cm="1">
        <f t="array" ref="C349">((E349)*Settings!$C$12)+(F349*Settings!$C$2)+(G349*Settings!$C$3)+(H349*Settings!$C$4)+(I349*Settings!$C$5)+(K349*Settings!$C$9)+(N349*Settings!$C$6)+(J349*Settings!$C$8)+(O349*Settings!$C$7)+(P349*Settings!$C$14)+(Q349*Settings!$C$15)+(R349*Settings!$C$16)+(S349*Settings!$C$17)+(T349*Settings!$C$18)+(U349*Settings!$C$19)+(L349*Settings!$C$10)+(Settings!$C$11*M349)</f>
        <v>-2.0468560342383721</v>
      </c>
      <c r="D349" s="57" cm="1">
        <f t="array" ref="D349">IF(Settings!$E$12="YES",VLOOKUP(A349,'Player Data'!A1:E673,5,FALSE),82)</f>
        <v>81.545000000000002</v>
      </c>
      <c r="E349" s="55" cm="1">
        <f t="array" ref="E349">(VLOOKUP($A349,'The List'!$B1:$AH671,17,FALSE)-AVERAGE('The List'!R2:R671))/STDEV('The List'!R2:R671)</f>
        <v>-0.96867028933645738</v>
      </c>
      <c r="F349" s="55" cm="1">
        <f t="array" ref="F349">(VLOOKUP($A349,'The List'!$B1:$AH671,18,FALSE)-AVERAGE('The List'!S2:S671))/STDEV('The List'!S2:S671)</f>
        <v>0.20883629297837195</v>
      </c>
      <c r="G349" s="55" cm="1">
        <f t="array" ref="G349">(VLOOKUP($A349,'The List'!$B1:$AH671,19,FALSE)-AVERAGE('The List'!T2:T671))/STDEV('The List'!T2:T671)</f>
        <v>-0.76334264167661048</v>
      </c>
      <c r="H349" s="55" cm="1">
        <f t="array" ref="H349">(VLOOKUP($A349,'The List'!$B1:$AH671,20,FALSE)-AVERAGE('The List'!U2:U671))/STDEV('The List'!U2:U671)</f>
        <v>-0.38748237217371884</v>
      </c>
      <c r="I349" s="55" cm="1">
        <f t="array" ref="I349">(VLOOKUP($A349,'The List'!$B1:$AH671,21,FALSE)-AVERAGE('The List'!V2:V671))/STDEV('The List'!V2:V671)</f>
        <v>0.22172992901458483</v>
      </c>
      <c r="J349" s="55" cm="1">
        <f t="array" ref="J349">(VLOOKUP($A349,'The List'!$B1:$AH671,22,FALSE)-AVERAGE('The List'!W2:W671))/STDEV('The List'!W2:W671)</f>
        <v>-0.44244166383799849</v>
      </c>
      <c r="K349" s="55" cm="1">
        <f t="array" ref="K349">(VLOOKUP($A349,'The List'!$B1:$AH671,23,FALSE)-AVERAGE('The List'!X2:X671))/STDEV('The List'!X2:X671)</f>
        <v>-0.62350843150099211</v>
      </c>
      <c r="L349" s="55" cm="1">
        <f t="array" ref="L349">(VLOOKUP($A349,'The List'!$B1:$AH671,24,FALSE)-AVERAGE('The List'!Y2:Y671))/STDEV('The List'!Y2:Y671)</f>
        <v>-0.26648656806291587</v>
      </c>
      <c r="M349" s="55" cm="1">
        <f t="array" ref="M349">(VLOOKUP($A349,'The List'!$B1:$AH671,25,FALSE)-AVERAGE('The List'!Z2:Z671))/STDEV('The List'!Z2:Z671)</f>
        <v>-0.37310879921356627</v>
      </c>
      <c r="N349" s="55" cm="1">
        <f t="array" ref="N349">(VLOOKUP($A349,'The List'!$B1:$AH671,26,FALSE)-AVERAGE('The List'!AA2:AA671))/STDEV('The List'!AA2:AA671)</f>
        <v>-0.93337471058456944</v>
      </c>
      <c r="O349" s="55" cm="1">
        <f t="array" ref="O349">(VLOOKUP($A349,'The List'!$B1:$AH671,27,FALSE)-AVERAGE('The List'!AB2:AB671))/STDEV('The List'!AB2:AB671)</f>
        <v>-0.17319794771078503</v>
      </c>
      <c r="P349" s="55" cm="1">
        <f t="array" ref="P349">(VLOOKUP($A349,'The List'!$B1:$AH671,28,FALSE)-AVERAGE('The List'!AC2:AC671))/STDEV('The List'!AC2:AC671)</f>
        <v>0.43632848524897716</v>
      </c>
      <c r="Q349" s="55" cm="1">
        <f t="array" ref="Q349">(VLOOKUP($A349,'The List'!$B1:$AH671,29,FALSE)-AVERAGE('The List'!AD2:AD671))/STDEV('The List'!AD2:AD671)</f>
        <v>-0.59352495771813396</v>
      </c>
      <c r="R349" s="55" cm="1">
        <f t="array" ref="R349">(VLOOKUP($A349,'The List'!$B1:$AH671,30,FALSE)-AVERAGE('The List'!AE2:AE671))/STDEV('The List'!AE2:AE671)</f>
        <v>0.41833650027923919</v>
      </c>
      <c r="S349" s="55" cm="1">
        <f t="array" ref="S349">(VLOOKUP($A349,'The List'!$B1:$AH671,31,FALSE)-AVERAGE('The List'!AF2:AF671))/STDEV('The List'!AF2:AF671)</f>
        <v>-0.52619394013880549</v>
      </c>
      <c r="T349" s="55" cm="1">
        <f t="array" ref="T349">(VLOOKUP($A349,'The List'!$B1:$AH671,32,FALSE)-AVERAGE('The List'!AG2:AG671))/STDEV('The List'!AG2:AG671)</f>
        <v>-0.55130412866672185</v>
      </c>
      <c r="U349" s="55" cm="1">
        <f t="array" ref="U349">(VLOOKUP($A349,'The List'!$B1:$AH671,33,FALSE)-AVERAGE('The List'!AH2:AH671))/STDEV('The List'!AH2:AH671)</f>
        <v>0.73312998590518708</v>
      </c>
      <c r="V349" s="55"/>
      <c r="W349" s="78"/>
      <c r="X349" s="57"/>
      <c r="Y349" s="57"/>
      <c r="Z349" s="57"/>
      <c r="AA349" s="57"/>
      <c r="AB349" s="57"/>
      <c r="AC349" s="60"/>
      <c r="AD349" s="61"/>
      <c r="AE349" s="55"/>
    </row>
    <row r="350" spans="1:31" ht="21.25" customHeight="1" x14ac:dyDescent="0.15">
      <c r="A350" s="10" t="s">
        <v>619</v>
      </c>
      <c r="B350" s="18" t="str" cm="1">
        <f t="array" ref="B350">VLOOKUP(A350,'Player Data'!A1:B673,2,FALSE)</f>
        <v>N.J</v>
      </c>
      <c r="C350" s="52" cm="1">
        <f t="array" ref="C350">((E350)*Settings!$C$12)+(F350*Settings!$C$2)+(G350*Settings!$C$3)+(H350*Settings!$C$4)+(I350*Settings!$C$5)+(K350*Settings!$C$9)+(N350*Settings!$C$6)+(J350*Settings!$C$8)+(O350*Settings!$C$7)+(P350*Settings!$C$14)+(Q350*Settings!$C$15)+(R350*Settings!$C$16)+(S350*Settings!$C$17)+(T350*Settings!$C$18)+(U350*Settings!$C$19)+(L350*Settings!$C$10)+(Settings!$C$11*M350)</f>
        <v>-1.4905689833853419</v>
      </c>
      <c r="D350" s="57" cm="1">
        <f t="array" ref="D350">IF(Settings!$E$12="YES",VLOOKUP(A350,'Player Data'!A1:E673,5,FALSE),82)</f>
        <v>81.522499999999994</v>
      </c>
      <c r="E350" s="55" cm="1">
        <f t="array" ref="E350">(VLOOKUP($A350,'The List'!$B1:$AH671,17,FALSE)-AVERAGE('The List'!R2:R671))/STDEV('The List'!R2:R671)</f>
        <v>-0.73905577326143734</v>
      </c>
      <c r="F350" s="55" cm="1">
        <f t="array" ref="F350">(VLOOKUP($A350,'The List'!$B1:$AH671,18,FALSE)-AVERAGE('The List'!S2:S671))/STDEV('The List'!S2:S671)</f>
        <v>-0.22881395194798726</v>
      </c>
      <c r="G350" s="55" cm="1">
        <f t="array" ref="G350">(VLOOKUP($A350,'The List'!$B1:$AH671,19,FALSE)-AVERAGE('The List'!T2:T671))/STDEV('The List'!T2:T671)</f>
        <v>-0.45622868641844461</v>
      </c>
      <c r="H350" s="55" cm="1">
        <f t="array" ref="H350">(VLOOKUP($A350,'The List'!$B1:$AH671,20,FALSE)-AVERAGE('The List'!U2:U671))/STDEV('The List'!U2:U671)</f>
        <v>-0.38848520867549186</v>
      </c>
      <c r="I350" s="55" cm="1">
        <f t="array" ref="I350">(VLOOKUP($A350,'The List'!$B1:$AH671,21,FALSE)-AVERAGE('The List'!V2:V671))/STDEV('The List'!V2:V671)</f>
        <v>0.41685192948403421</v>
      </c>
      <c r="J350" s="55" cm="1">
        <f t="array" ref="J350">(VLOOKUP($A350,'The List'!$B1:$AH671,22,FALSE)-AVERAGE('The List'!W2:W671))/STDEV('The List'!W2:W671)</f>
        <v>-0.32166002895093232</v>
      </c>
      <c r="K350" s="55" cm="1">
        <f t="array" ref="K350">(VLOOKUP($A350,'The List'!$B1:$AH671,23,FALSE)-AVERAGE('The List'!X2:X671))/STDEV('The List'!X2:X671)</f>
        <v>-0.37734095996140254</v>
      </c>
      <c r="L350" s="55" cm="1">
        <f t="array" ref="L350">(VLOOKUP($A350,'The List'!$B1:$AH671,24,FALSE)-AVERAGE('The List'!Y2:Y671))/STDEV('The List'!Y2:Y671)</f>
        <v>0.78982692336614146</v>
      </c>
      <c r="M350" s="55" cm="1">
        <f t="array" ref="M350">(VLOOKUP($A350,'The List'!$B1:$AH671,25,FALSE)-AVERAGE('The List'!Z2:Z671))/STDEV('The List'!Z2:Z671)</f>
        <v>0.1919907918780536</v>
      </c>
      <c r="N350" s="55" cm="1">
        <f t="array" ref="N350">(VLOOKUP($A350,'The List'!$B1:$AH671,26,FALSE)-AVERAGE('The List'!AA2:AA671))/STDEV('The List'!AA2:AA671)</f>
        <v>-0.93835407598111009</v>
      </c>
      <c r="O350" s="55" cm="1">
        <f t="array" ref="O350">(VLOOKUP($A350,'The List'!$B1:$AH671,27,FALSE)-AVERAGE('The List'!AB2:AB671))/STDEV('The List'!AB2:AB671)</f>
        <v>-0.1194454841329593</v>
      </c>
      <c r="P350" s="55" cm="1">
        <f t="array" ref="P350">(VLOOKUP($A350,'The List'!$B1:$AH671,28,FALSE)-AVERAGE('The List'!AC2:AC671))/STDEV('The List'!AC2:AC671)</f>
        <v>1.5964417386528505E-2</v>
      </c>
      <c r="Q350" s="55" cm="1">
        <f t="array" ref="Q350">(VLOOKUP($A350,'The List'!$B1:$AH671,29,FALSE)-AVERAGE('The List'!AD2:AD671))/STDEV('The List'!AD2:AD671)</f>
        <v>7.7352344053039743E-2</v>
      </c>
      <c r="R350" s="55" cm="1">
        <f t="array" ref="R350">(VLOOKUP($A350,'The List'!$B1:$AH671,30,FALSE)-AVERAGE('The List'!AE2:AE671))/STDEV('The List'!AE2:AE671)</f>
        <v>-0.26610798714668776</v>
      </c>
      <c r="S350" s="55" cm="1">
        <f t="array" ref="S350">(VLOOKUP($A350,'The List'!$B1:$AH671,31,FALSE)-AVERAGE('The List'!AF2:AF671))/STDEV('The List'!AF2:AF671)</f>
        <v>0.714907362868619</v>
      </c>
      <c r="T350" s="55" cm="1">
        <f t="array" ref="T350">(VLOOKUP($A350,'The List'!$B1:$AH671,32,FALSE)-AVERAGE('The List'!AG2:AG671))/STDEV('The List'!AG2:AG671)</f>
        <v>0.92914904967725609</v>
      </c>
      <c r="U350" s="55" cm="1">
        <f t="array" ref="U350">(VLOOKUP($A350,'The List'!$B1:$AH671,33,FALSE)-AVERAGE('The List'!AH2:AH671))/STDEV('The List'!AH2:AH671)</f>
        <v>0.90322069756498991</v>
      </c>
      <c r="V350" s="55"/>
      <c r="W350" s="57"/>
      <c r="X350" s="55"/>
      <c r="Y350" s="55"/>
      <c r="Z350" s="55"/>
      <c r="AA350" s="55"/>
      <c r="AB350" s="55"/>
      <c r="AC350" s="55"/>
      <c r="AD350" s="55"/>
      <c r="AE350" s="55"/>
    </row>
    <row r="351" spans="1:31" ht="21.25" customHeight="1" x14ac:dyDescent="0.15">
      <c r="A351" s="10" t="s">
        <v>652</v>
      </c>
      <c r="B351" s="18" t="str" cm="1">
        <f t="array" ref="B351">VLOOKUP(A351,'Player Data'!A1:B673,2,FALSE)</f>
        <v>T.B</v>
      </c>
      <c r="C351" s="52" cm="1">
        <f t="array" ref="C351">((E351)*Settings!$C$12)+(F351*Settings!$C$2)+(G351*Settings!$C$3)+(H351*Settings!$C$4)+(I351*Settings!$C$5)+(K351*Settings!$C$9)+(N351*Settings!$C$6)+(J351*Settings!$C$8)+(O351*Settings!$C$7)+(P351*Settings!$C$14)+(Q351*Settings!$C$15)+(R351*Settings!$C$16)+(S351*Settings!$C$17)+(T351*Settings!$C$18)+(U351*Settings!$C$19)+(L351*Settings!$C$10)+(Settings!$C$11*M351)</f>
        <v>-2.5933096611094397</v>
      </c>
      <c r="D351" s="57" cm="1">
        <f t="array" ref="D351">IF(Settings!$E$12="YES",VLOOKUP(A351,'Player Data'!A1:E673,5,FALSE),82)</f>
        <v>82.467500000000001</v>
      </c>
      <c r="E351" s="55" cm="1">
        <f t="array" ref="E351">(VLOOKUP($A351,'The List'!$B1:$AH671,17,FALSE)-AVERAGE('The List'!R2:R671))/STDEV('The List'!R2:R671)</f>
        <v>-0.66436996900275014</v>
      </c>
      <c r="F351" s="55" cm="1">
        <f t="array" ref="F351">(VLOOKUP($A351,'The List'!$B1:$AH671,18,FALSE)-AVERAGE('The List'!S2:S671))/STDEV('The List'!S2:S671)</f>
        <v>6.803834483309322E-2</v>
      </c>
      <c r="G351" s="55" cm="1">
        <f t="array" ref="G351">(VLOOKUP($A351,'The List'!$B1:$AH671,19,FALSE)-AVERAGE('The List'!T2:T671))/STDEV('The List'!T2:T671)</f>
        <v>-0.64653933323754065</v>
      </c>
      <c r="H351" s="55" cm="1">
        <f t="array" ref="H351">(VLOOKUP($A351,'The List'!$B1:$AH671,20,FALSE)-AVERAGE('The List'!U2:U671))/STDEV('The List'!U2:U671)</f>
        <v>-0.37648269445443738</v>
      </c>
      <c r="I351" s="55" cm="1">
        <f t="array" ref="I351">(VLOOKUP($A351,'The List'!$B1:$AH671,21,FALSE)-AVERAGE('The List'!V2:V671))/STDEV('The List'!V2:V671)</f>
        <v>-0.17870904205332178</v>
      </c>
      <c r="J351" s="55" cm="1">
        <f t="array" ref="J351">(VLOOKUP($A351,'The List'!$B1:$AH671,22,FALSE)-AVERAGE('The List'!W2:W671))/STDEV('The List'!W2:W671)</f>
        <v>-0.74194640134051881</v>
      </c>
      <c r="K351" s="55" cm="1">
        <f t="array" ref="K351">(VLOOKUP($A351,'The List'!$B1:$AH671,23,FALSE)-AVERAGE('The List'!X2:X671))/STDEV('The List'!X2:X671)</f>
        <v>-0.8053380219376759</v>
      </c>
      <c r="L351" s="55" cm="1">
        <f t="array" ref="L351">(VLOOKUP($A351,'The List'!$B1:$AH671,24,FALSE)-AVERAGE('The List'!Y2:Y671))/STDEV('The List'!Y2:Y671)</f>
        <v>2.1544868921606244</v>
      </c>
      <c r="M351" s="55" cm="1">
        <f t="array" ref="M351">(VLOOKUP($A351,'The List'!$B1:$AH671,25,FALSE)-AVERAGE('The List'!Z2:Z671))/STDEV('The List'!Z2:Z671)</f>
        <v>2.1578706006820969</v>
      </c>
      <c r="N351" s="55" cm="1">
        <f t="array" ref="N351">(VLOOKUP($A351,'The List'!$B1:$AH671,26,FALSE)-AVERAGE('The List'!AA2:AA671))/STDEV('The List'!AA2:AA671)</f>
        <v>-1.0566725109210737</v>
      </c>
      <c r="O351" s="55" cm="1">
        <f t="array" ref="O351">(VLOOKUP($A351,'The List'!$B1:$AH671,27,FALSE)-AVERAGE('The List'!AB2:AB671))/STDEV('The List'!AB2:AB671)</f>
        <v>-1.0266818527088286</v>
      </c>
      <c r="P351" s="55" cm="1">
        <f t="array" ref="P351">(VLOOKUP($A351,'The List'!$B1:$AH671,28,FALSE)-AVERAGE('The List'!AC2:AC671))/STDEV('The List'!AC2:AC671)</f>
        <v>1.2089890781244224</v>
      </c>
      <c r="Q351" s="55" cm="1">
        <f t="array" ref="Q351">(VLOOKUP($A351,'The List'!$B1:$AH671,29,FALSE)-AVERAGE('The List'!AD2:AD671))/STDEV('The List'!AD2:AD671)</f>
        <v>-1.1830781759173432</v>
      </c>
      <c r="R351" s="55" cm="1">
        <f t="array" ref="R351">(VLOOKUP($A351,'The List'!$B1:$AH671,30,FALSE)-AVERAGE('The List'!AE2:AE671))/STDEV('The List'!AE2:AE671)</f>
        <v>0.26338008014176761</v>
      </c>
      <c r="S351" s="55" cm="1">
        <f t="array" ref="S351">(VLOOKUP($A351,'The List'!$B1:$AH671,31,FALSE)-AVERAGE('The List'!AF2:AF671))/STDEV('The List'!AF2:AF671)</f>
        <v>-0.58400598489967359</v>
      </c>
      <c r="T351" s="55" cm="1">
        <f t="array" ref="T351">(VLOOKUP($A351,'The List'!$B1:$AH671,32,FALSE)-AVERAGE('The List'!AG2:AG671))/STDEV('The List'!AG2:AG671)</f>
        <v>-0.59965234783309451</v>
      </c>
      <c r="U351" s="55" cm="1">
        <f t="array" ref="U351">(VLOOKUP($A351,'The List'!$B1:$AH671,33,FALSE)-AVERAGE('The List'!AH2:AH671))/STDEV('The List'!AH2:AH671)</f>
        <v>-0.39890628614476786</v>
      </c>
      <c r="V351" s="55"/>
      <c r="W351" s="57"/>
      <c r="X351" s="55"/>
      <c r="Y351" s="55"/>
      <c r="Z351" s="55"/>
      <c r="AA351" s="55"/>
      <c r="AB351" s="55"/>
      <c r="AC351" s="55"/>
      <c r="AD351" s="55"/>
      <c r="AE351" s="55"/>
    </row>
    <row r="352" spans="1:31" ht="21.25" customHeight="1" x14ac:dyDescent="0.15">
      <c r="A352" s="10" t="s">
        <v>657</v>
      </c>
      <c r="B352" s="18" t="str" cm="1">
        <f t="array" ref="B352">VLOOKUP(A352,'Player Data'!A1:B673,2,FALSE)</f>
        <v>PIT</v>
      </c>
      <c r="C352" s="52" cm="1">
        <f t="array" ref="C352">((E352)*Settings!$C$12)+(F352*Settings!$C$2)+(G352*Settings!$C$3)+(H352*Settings!$C$4)+(I352*Settings!$C$5)+(K352*Settings!$C$9)+(N352*Settings!$C$6)+(J352*Settings!$C$8)+(O352*Settings!$C$7)+(P352*Settings!$C$14)+(Q352*Settings!$C$15)+(R352*Settings!$C$16)+(S352*Settings!$C$17)+(T352*Settings!$C$18)+(U352*Settings!$C$19)+(L352*Settings!$C$10)+(Settings!$C$11*M352)</f>
        <v>-3.5602767014653418</v>
      </c>
      <c r="D352" s="57" cm="1">
        <f t="array" ref="D352">IF(Settings!$E$12="YES",VLOOKUP(A352,'Player Data'!A1:E673,5,FALSE),82)</f>
        <v>76.81</v>
      </c>
      <c r="E352" s="55" cm="1">
        <f t="array" ref="E352">(VLOOKUP($A352,'The List'!$B1:$AH671,17,FALSE)-AVERAGE('The List'!R2:R671))/STDEV('The List'!R2:R671)</f>
        <v>-1.3624395954242865</v>
      </c>
      <c r="F352" s="55" cm="1">
        <f t="array" ref="F352">(VLOOKUP($A352,'The List'!$B1:$AH671,18,FALSE)-AVERAGE('The List'!S2:S671))/STDEV('The List'!S2:S671)</f>
        <v>-0.10637736372751534</v>
      </c>
      <c r="G352" s="55" cm="1">
        <f t="array" ref="G352">(VLOOKUP($A352,'The List'!$B1:$AH671,19,FALSE)-AVERAGE('The List'!T2:T671))/STDEV('The List'!T2:T671)</f>
        <v>-0.66561585774236354</v>
      </c>
      <c r="H352" s="55" cm="1">
        <f t="array" ref="H352">(VLOOKUP($A352,'The List'!$B1:$AH671,20,FALSE)-AVERAGE('The List'!U2:U671))/STDEV('The List'!U2:U671)</f>
        <v>-0.46586618344482578</v>
      </c>
      <c r="I352" s="55" cm="1">
        <f t="array" ref="I352">(VLOOKUP($A352,'The List'!$B1:$AH671,21,FALSE)-AVERAGE('The List'!V2:V671))/STDEV('The List'!V2:V671)</f>
        <v>-0.42849786580413768</v>
      </c>
      <c r="J352" s="55" cm="1">
        <f t="array" ref="J352">(VLOOKUP($A352,'The List'!$B1:$AH671,22,FALSE)-AVERAGE('The List'!W2:W671))/STDEV('The List'!W2:W671)</f>
        <v>-0.38691184428624481</v>
      </c>
      <c r="K352" s="55" cm="1">
        <f t="array" ref="K352">(VLOOKUP($A352,'The List'!$B1:$AH671,23,FALSE)-AVERAGE('The List'!X2:X671))/STDEV('The List'!X2:X671)</f>
        <v>-0.60488181287834097</v>
      </c>
      <c r="L352" s="55" cm="1">
        <f t="array" ref="L352">(VLOOKUP($A352,'The List'!$B1:$AH671,24,FALSE)-AVERAGE('The List'!Y2:Y671))/STDEV('The List'!Y2:Y671)</f>
        <v>-0.55966696264010429</v>
      </c>
      <c r="M352" s="55" cm="1">
        <f t="array" ref="M352">(VLOOKUP($A352,'The List'!$B1:$AH671,25,FALSE)-AVERAGE('The List'!Z2:Z671))/STDEV('The List'!Z2:Z671)</f>
        <v>-0.70162423206279889</v>
      </c>
      <c r="N352" s="55" cm="1">
        <f t="array" ref="N352">(VLOOKUP($A352,'The List'!$B1:$AH671,26,FALSE)-AVERAGE('The List'!AA2:AA671))/STDEV('The List'!AA2:AA671)</f>
        <v>-0.46125027428496562</v>
      </c>
      <c r="O352" s="55" cm="1">
        <f t="array" ref="O352">(VLOOKUP($A352,'The List'!$B1:$AH671,27,FALSE)-AVERAGE('The List'!AB2:AB671))/STDEV('The List'!AB2:AB671)</f>
        <v>0.58471834944561807</v>
      </c>
      <c r="P352" s="55" cm="1">
        <f t="array" ref="P352">(VLOOKUP($A352,'The List'!$B1:$AH671,28,FALSE)-AVERAGE('The List'!AC2:AC671))/STDEV('The List'!AC2:AC671)</f>
        <v>-3.065713998647181E-2</v>
      </c>
      <c r="Q352" s="55" cm="1">
        <f t="array" ref="Q352">(VLOOKUP($A352,'The List'!$B1:$AH671,29,FALSE)-AVERAGE('The List'!AD2:AD671))/STDEV('The List'!AD2:AD671)</f>
        <v>-1.2629963870415468</v>
      </c>
      <c r="R352" s="55" cm="1">
        <f t="array" ref="R352">(VLOOKUP($A352,'The List'!$B1:$AH671,30,FALSE)-AVERAGE('The List'!AE2:AE671))/STDEV('The List'!AE2:AE671)</f>
        <v>-0.187146994294317</v>
      </c>
      <c r="S352" s="55" cm="1">
        <f t="array" ref="S352">(VLOOKUP($A352,'The List'!$B1:$AH671,31,FALSE)-AVERAGE('The List'!AF2:AF671))/STDEV('The List'!AF2:AF671)</f>
        <v>-0.59001784418280956</v>
      </c>
      <c r="T352" s="55" cm="1">
        <f t="array" ref="T352">(VLOOKUP($A352,'The List'!$B1:$AH671,32,FALSE)-AVERAGE('The List'!AG2:AG671))/STDEV('The List'!AG2:AG671)</f>
        <v>-0.61650386606074059</v>
      </c>
      <c r="U352" s="55" cm="1">
        <f t="array" ref="U352">(VLOOKUP($A352,'The List'!$B1:$AH671,33,FALSE)-AVERAGE('The List'!AH2:AH671))/STDEV('The List'!AH2:AH671)</f>
        <v>-0.68135461831749855</v>
      </c>
      <c r="V352" s="55"/>
      <c r="W352" s="78"/>
      <c r="X352" s="57"/>
      <c r="Y352" s="57"/>
      <c r="Z352" s="57"/>
      <c r="AA352" s="57"/>
      <c r="AB352" s="57"/>
      <c r="AC352" s="60"/>
      <c r="AD352" s="61"/>
      <c r="AE352" s="55"/>
    </row>
    <row r="353" spans="1:31" ht="21.25" customHeight="1" x14ac:dyDescent="0.15">
      <c r="A353" s="10" t="s">
        <v>706</v>
      </c>
      <c r="B353" s="18" t="str" cm="1">
        <f t="array" ref="B353">VLOOKUP(A353,'Player Data'!A1:B673,2,FALSE)</f>
        <v>CHI</v>
      </c>
      <c r="C353" s="52" cm="1">
        <f t="array" ref="C353">((E353)*Settings!$C$12)+(F353*Settings!$C$2)+(G353*Settings!$C$3)+(H353*Settings!$C$4)+(I353*Settings!$C$5)+(K353*Settings!$C$9)+(N353*Settings!$C$6)+(J353*Settings!$C$8)+(O353*Settings!$C$7)+(P353*Settings!$C$14)+(Q353*Settings!$C$15)+(R353*Settings!$C$16)+(S353*Settings!$C$17)+(T353*Settings!$C$18)+(U353*Settings!$C$19)+(L353*Settings!$C$10)+(Settings!$C$11*M353)</f>
        <v>-5.5018196713217451</v>
      </c>
      <c r="D353" s="57" cm="1">
        <f t="array" ref="D353">IF(Settings!$E$12="YES",VLOOKUP(A353,'Player Data'!A1:E673,5,FALSE),82)</f>
        <v>71.165000000000006</v>
      </c>
      <c r="E353" s="55" cm="1">
        <f t="array" ref="E353">(VLOOKUP($A353,'The List'!$B1:$AH671,17,FALSE)-AVERAGE('The List'!R2:R671))/STDEV('The List'!R2:R671)</f>
        <v>-1.0855583024623152</v>
      </c>
      <c r="F353" s="55" cm="1">
        <f t="array" ref="F353">(VLOOKUP($A353,'The List'!$B1:$AH671,18,FALSE)-AVERAGE('The List'!S2:S671))/STDEV('The List'!S2:S671)</f>
        <v>-0.66009737540326729</v>
      </c>
      <c r="G353" s="55" cm="1">
        <f t="array" ref="G353">(VLOOKUP($A353,'The List'!$B1:$AH671,19,FALSE)-AVERAGE('The List'!T2:T671))/STDEV('The List'!T2:T671)</f>
        <v>-0.41472889872724644</v>
      </c>
      <c r="H353" s="55" cm="1">
        <f t="array" ref="H353">(VLOOKUP($A353,'The List'!$B1:$AH671,20,FALSE)-AVERAGE('The List'!U2:U671))/STDEV('The List'!U2:U671)</f>
        <v>-0.55373313440631389</v>
      </c>
      <c r="I353" s="55" cm="1">
        <f t="array" ref="I353">(VLOOKUP($A353,'The List'!$B1:$AH671,21,FALSE)-AVERAGE('The List'!V2:V671))/STDEV('The List'!V2:V671)</f>
        <v>-0.80018981961794489</v>
      </c>
      <c r="J353" s="55" cm="1">
        <f t="array" ref="J353">(VLOOKUP($A353,'The List'!$B1:$AH671,22,FALSE)-AVERAGE('The List'!W2:W671))/STDEV('The List'!W2:W671)</f>
        <v>-0.38356961503806669</v>
      </c>
      <c r="K353" s="55" cm="1">
        <f t="array" ref="K353">(VLOOKUP($A353,'The List'!$B1:$AH671,23,FALSE)-AVERAGE('The List'!X2:X671))/STDEV('The List'!X2:X671)</f>
        <v>-0.48044066446469608</v>
      </c>
      <c r="L353" s="55" cm="1">
        <f t="array" ref="L353">(VLOOKUP($A353,'The List'!$B1:$AH671,24,FALSE)-AVERAGE('The List'!Y2:Y671))/STDEV('The List'!Y2:Y671)</f>
        <v>-0.25255532573738998</v>
      </c>
      <c r="M353" s="55" cm="1">
        <f t="array" ref="M353">(VLOOKUP($A353,'The List'!$B1:$AH671,25,FALSE)-AVERAGE('The List'!Z2:Z671))/STDEV('The List'!Z2:Z671)</f>
        <v>-0.39910521736203852</v>
      </c>
      <c r="N353" s="55" cm="1">
        <f t="array" ref="N353">(VLOOKUP($A353,'The List'!$B1:$AH671,26,FALSE)-AVERAGE('The List'!AA2:AA671))/STDEV('The List'!AA2:AA671)</f>
        <v>-1.0308418857976007</v>
      </c>
      <c r="O353" s="55" cm="1">
        <f t="array" ref="O353">(VLOOKUP($A353,'The List'!$B1:$AH671,27,FALSE)-AVERAGE('The List'!AB2:AB671))/STDEV('The List'!AB2:AB671)</f>
        <v>-0.57854279367345574</v>
      </c>
      <c r="P353" s="55" cm="1">
        <f t="array" ref="P353">(VLOOKUP($A353,'The List'!$B1:$AH671,28,FALSE)-AVERAGE('The List'!AC2:AC671))/STDEV('The List'!AC2:AC671)</f>
        <v>-1.5508818774710367</v>
      </c>
      <c r="Q353" s="55" cm="1">
        <f t="array" ref="Q353">(VLOOKUP($A353,'The List'!$B1:$AH671,29,FALSE)-AVERAGE('The List'!AD2:AD671))/STDEV('The List'!AD2:AD671)</f>
        <v>-0.56463914983995289</v>
      </c>
      <c r="R353" s="55" cm="1">
        <f t="array" ref="R353">(VLOOKUP($A353,'The List'!$B1:$AH671,30,FALSE)-AVERAGE('The List'!AE2:AE671))/STDEV('The List'!AE2:AE671)</f>
        <v>-0.7846944154573825</v>
      </c>
      <c r="S353" s="55" cm="1">
        <f t="array" ref="S353">(VLOOKUP($A353,'The List'!$B1:$AH671,31,FALSE)-AVERAGE('The List'!AF2:AF671))/STDEV('The List'!AF2:AF671)</f>
        <v>3.5295106877116872E-2</v>
      </c>
      <c r="T353" s="55" cm="1">
        <f t="array" ref="T353">(VLOOKUP($A353,'The List'!$B1:$AH671,32,FALSE)-AVERAGE('The List'!AG2:AG671))/STDEV('The List'!AG2:AG671)</f>
        <v>0.10119822189654437</v>
      </c>
      <c r="U353" s="55" cm="1">
        <f t="array" ref="U353">(VLOOKUP($A353,'The List'!$B1:$AH671,33,FALSE)-AVERAGE('The List'!AH2:AH671))/STDEV('The List'!AH2:AH671)</f>
        <v>0.9185528931724265</v>
      </c>
      <c r="V353" s="55"/>
      <c r="W353" s="78"/>
      <c r="X353" s="57"/>
      <c r="Y353" s="57"/>
      <c r="Z353" s="57"/>
      <c r="AA353" s="57"/>
      <c r="AB353" s="57"/>
      <c r="AC353" s="60"/>
      <c r="AD353" s="61"/>
      <c r="AE353" s="55"/>
    </row>
    <row r="354" spans="1:31" ht="21.25" customHeight="1" x14ac:dyDescent="0.15">
      <c r="A354" s="10" t="s">
        <v>348</v>
      </c>
      <c r="B354" s="18" t="str" cm="1">
        <f t="array" ref="B354">VLOOKUP(A354,'Player Data'!A1:B673,2,FALSE)</f>
        <v>COL</v>
      </c>
      <c r="C354" s="52" cm="1">
        <f t="array" ref="C354">((E354)*Settings!$C$12)+(F354*Settings!$C$2)+(G354*Settings!$C$3)+(H354*Settings!$C$4)+(I354*Settings!$C$5)+(K354*Settings!$C$9)+(N354*Settings!$C$6)+(J354*Settings!$C$8)+(O354*Settings!$C$7)+(P354*Settings!$C$14)+(Q354*Settings!$C$15)+(R354*Settings!$C$16)+(S354*Settings!$C$17)+(T354*Settings!$C$18)+(U354*Settings!$C$19)+(L354*Settings!$C$10)+(Settings!$C$11*M354)</f>
        <v>0.83805153389996379</v>
      </c>
      <c r="D354" s="57" cm="1">
        <f t="array" ref="D354">IF(Settings!$E$12="YES",VLOOKUP(A354,'Player Data'!A1:E673,5,FALSE),82)</f>
        <v>77.305000000000007</v>
      </c>
      <c r="E354" s="55" cm="1">
        <f t="array" ref="E354">(VLOOKUP($A354,'The List'!$B1:$AH671,17,FALSE)-AVERAGE('The List'!R2:R671))/STDEV('The List'!R2:R671)</f>
        <v>0.20757032378950643</v>
      </c>
      <c r="F354" s="55" cm="1">
        <f t="array" ref="F354">(VLOOKUP($A354,'The List'!$B1:$AH671,18,FALSE)-AVERAGE('The List'!S2:S671))/STDEV('The List'!S2:S671)</f>
        <v>-0.73357285017092977</v>
      </c>
      <c r="G354" s="55" cm="1">
        <f t="array" ref="G354">(VLOOKUP($A354,'The List'!$B1:$AH671,19,FALSE)-AVERAGE('The List'!T2:T671))/STDEV('The List'!T2:T671)</f>
        <v>-0.21462080520078422</v>
      </c>
      <c r="H354" s="55" cm="1">
        <f t="array" ref="H354">(VLOOKUP($A354,'The List'!$B1:$AH671,20,FALSE)-AVERAGE('The List'!U2:U671))/STDEV('The List'!U2:U671)</f>
        <v>-0.46046566962177693</v>
      </c>
      <c r="I354" s="55" cm="1">
        <f t="array" ref="I354">(VLOOKUP($A354,'The List'!$B1:$AH671,21,FALSE)-AVERAGE('The List'!V2:V671))/STDEV('The List'!V2:V671)</f>
        <v>0.20396751581168718</v>
      </c>
      <c r="J354" s="55" cm="1">
        <f t="array" ref="J354">(VLOOKUP($A354,'The List'!$B1:$AH671,22,FALSE)-AVERAGE('The List'!W2:W671))/STDEV('The List'!W2:W671)</f>
        <v>-0.70566842987854816</v>
      </c>
      <c r="K354" s="55" cm="1">
        <f t="array" ref="K354">(VLOOKUP($A354,'The List'!$B1:$AH671,23,FALSE)-AVERAGE('The List'!X2:X671))/STDEV('The List'!X2:X671)</f>
        <v>-0.71733345006603355</v>
      </c>
      <c r="L354" s="55" cm="1">
        <f t="array" ref="L354">(VLOOKUP($A354,'The List'!$B1:$AH671,24,FALSE)-AVERAGE('The List'!Y2:Y671))/STDEV('The List'!Y2:Y671)</f>
        <v>-0.52107954983301674</v>
      </c>
      <c r="M354" s="55" cm="1">
        <f t="array" ref="M354">(VLOOKUP($A354,'The List'!$B1:$AH671,25,FALSE)-AVERAGE('The List'!Z2:Z671))/STDEV('The List'!Z2:Z671)</f>
        <v>-0.6158265222307725</v>
      </c>
      <c r="N354" s="55" cm="1">
        <f t="array" ref="N354">(VLOOKUP($A354,'The List'!$B1:$AH671,26,FALSE)-AVERAGE('The List'!AA2:AA671))/STDEV('The List'!AA2:AA671)</f>
        <v>0.88189991730868122</v>
      </c>
      <c r="O354" s="55" cm="1">
        <f t="array" ref="O354">(VLOOKUP($A354,'The List'!$B1:$AH671,27,FALSE)-AVERAGE('The List'!AB2:AB671))/STDEV('The List'!AB2:AB671)</f>
        <v>-0.6821955785531415</v>
      </c>
      <c r="P354" s="55" cm="1">
        <f t="array" ref="P354">(VLOOKUP($A354,'The List'!$B1:$AH671,28,FALSE)-AVERAGE('The List'!AC2:AC671))/STDEV('The List'!AC2:AC671)</f>
        <v>2.0968533938811738</v>
      </c>
      <c r="Q354" s="55" cm="1">
        <f t="array" ref="Q354">(VLOOKUP($A354,'The List'!$B1:$AH671,29,FALSE)-AVERAGE('The List'!AD2:AD671))/STDEV('The List'!AD2:AD671)</f>
        <v>-0.67914218766383094</v>
      </c>
      <c r="R354" s="55" cm="1">
        <f t="array" ref="R354">(VLOOKUP($A354,'The List'!$B1:$AH671,30,FALSE)-AVERAGE('The List'!AE2:AE671))/STDEV('The List'!AE2:AE671)</f>
        <v>-0.61396036893246653</v>
      </c>
      <c r="S354" s="55" cm="1">
        <f t="array" ref="S354">(VLOOKUP($A354,'The List'!$B1:$AH671,31,FALSE)-AVERAGE('The List'!AF2:AF671))/STDEV('The List'!AF2:AF671)</f>
        <v>-0.5939690971349143</v>
      </c>
      <c r="T354" s="55" cm="1">
        <f t="array" ref="T354">(VLOOKUP($A354,'The List'!$B1:$AH671,32,FALSE)-AVERAGE('The List'!AG2:AG671))/STDEV('The List'!AG2:AG671)</f>
        <v>-0.64602208138248207</v>
      </c>
      <c r="U354" s="55" cm="1">
        <f t="array" ref="U354">(VLOOKUP($A354,'The List'!$B1:$AH671,33,FALSE)-AVERAGE('The List'!AH2:AH671))/STDEV('The List'!AH2:AH671)</f>
        <v>-1.2548938914719048</v>
      </c>
      <c r="V354" s="55"/>
      <c r="W354" s="78"/>
      <c r="X354" s="57"/>
      <c r="Y354" s="57"/>
      <c r="Z354" s="57"/>
      <c r="AA354" s="57"/>
      <c r="AB354" s="57"/>
      <c r="AC354" s="60"/>
      <c r="AD354" s="61"/>
      <c r="AE354" s="55"/>
    </row>
    <row r="355" spans="1:31" ht="21.25" customHeight="1" x14ac:dyDescent="0.15">
      <c r="A355" s="10" t="s">
        <v>667</v>
      </c>
      <c r="B355" s="18" t="str" cm="1">
        <f t="array" ref="B355">VLOOKUP(A355,'Player Data'!A1:B673,2,FALSE)</f>
        <v>COL</v>
      </c>
      <c r="C355" s="52" cm="1">
        <f t="array" ref="C355">((E355)*Settings!$C$12)+(F355*Settings!$C$2)+(G355*Settings!$C$3)+(H355*Settings!$C$4)+(I355*Settings!$C$5)+(K355*Settings!$C$9)+(N355*Settings!$C$6)+(J355*Settings!$C$8)+(O355*Settings!$C$7)+(P355*Settings!$C$14)+(Q355*Settings!$C$15)+(R355*Settings!$C$16)+(S355*Settings!$C$17)+(T355*Settings!$C$18)+(U355*Settings!$C$19)+(L355*Settings!$C$10)+(Settings!$C$11*M355)</f>
        <v>-1.8429988272330453</v>
      </c>
      <c r="D355" s="57" cm="1">
        <f t="array" ref="D355">IF(Settings!$E$12="YES",VLOOKUP(A355,'Player Data'!A1:E673,5,FALSE),82)</f>
        <v>79.897499999999994</v>
      </c>
      <c r="E355" s="55" cm="1">
        <f t="array" ref="E355">(VLOOKUP($A355,'The List'!$B1:$AH671,17,FALSE)-AVERAGE('The List'!R2:R671))/STDEV('The List'!R2:R671)</f>
        <v>-0.90676192532246225</v>
      </c>
      <c r="F355" s="55" cm="1">
        <f t="array" ref="F355">(VLOOKUP($A355,'The List'!$B1:$AH671,18,FALSE)-AVERAGE('The List'!S2:S671))/STDEV('The List'!S2:S671)</f>
        <v>-0.32181642607944044</v>
      </c>
      <c r="G355" s="55" cm="1">
        <f t="array" ref="G355">(VLOOKUP($A355,'The List'!$B1:$AH671,19,FALSE)-AVERAGE('The List'!T2:T671))/STDEV('The List'!T2:T671)</f>
        <v>-0.44142000133855985</v>
      </c>
      <c r="H355" s="55" cm="1">
        <f t="array" ref="H355">(VLOOKUP($A355,'The List'!$B1:$AH671,20,FALSE)-AVERAGE('The List'!U2:U671))/STDEV('The List'!U2:U671)</f>
        <v>-0.42043379858418312</v>
      </c>
      <c r="I355" s="55" cm="1">
        <f t="array" ref="I355">(VLOOKUP($A355,'The List'!$B1:$AH671,21,FALSE)-AVERAGE('The List'!V2:V671))/STDEV('The List'!V2:V671)</f>
        <v>-0.71082554341225945</v>
      </c>
      <c r="J355" s="55" cm="1">
        <f t="array" ref="J355">(VLOOKUP($A355,'The List'!$B1:$AH671,22,FALSE)-AVERAGE('The List'!W2:W671))/STDEV('The List'!W2:W671)</f>
        <v>-0.39867908318208167</v>
      </c>
      <c r="K355" s="55" cm="1">
        <f t="array" ref="K355">(VLOOKUP($A355,'The List'!$B1:$AH671,23,FALSE)-AVERAGE('The List'!X2:X671))/STDEV('The List'!X2:X671)</f>
        <v>-0.55106979794514221</v>
      </c>
      <c r="L355" s="55" cm="1">
        <f t="array" ref="L355">(VLOOKUP($A355,'The List'!$B1:$AH671,24,FALSE)-AVERAGE('The List'!Y2:Y671))/STDEV('The List'!Y2:Y671)</f>
        <v>2.3288062056895823E-2</v>
      </c>
      <c r="M355" s="55" cm="1">
        <f t="array" ref="M355">(VLOOKUP($A355,'The List'!$B1:$AH671,25,FALSE)-AVERAGE('The List'!Z2:Z671))/STDEV('The List'!Z2:Z671)</f>
        <v>0.36302164313562418</v>
      </c>
      <c r="N355" s="55" cm="1">
        <f t="array" ref="N355">(VLOOKUP($A355,'The List'!$B1:$AH671,26,FALSE)-AVERAGE('The List'!AA2:AA671))/STDEV('The List'!AA2:AA671)</f>
        <v>-0.51949039469966241</v>
      </c>
      <c r="O355" s="55" cm="1">
        <f t="array" ref="O355">(VLOOKUP($A355,'The List'!$B1:$AH671,27,FALSE)-AVERAGE('The List'!AB2:AB671))/STDEV('The List'!AB2:AB671)</f>
        <v>-0.1517733865220055</v>
      </c>
      <c r="P355" s="55" cm="1">
        <f t="array" ref="P355">(VLOOKUP($A355,'The List'!$B1:$AH671,28,FALSE)-AVERAGE('The List'!AC2:AC671))/STDEV('The List'!AC2:AC671)</f>
        <v>1.0675466925558481</v>
      </c>
      <c r="Q355" s="55" cm="1">
        <f t="array" ref="Q355">(VLOOKUP($A355,'The List'!$B1:$AH671,29,FALSE)-AVERAGE('The List'!AD2:AD671))/STDEV('The List'!AD2:AD671)</f>
        <v>-0.365923356313829</v>
      </c>
      <c r="R355" s="55" cm="1">
        <f t="array" ref="R355">(VLOOKUP($A355,'The List'!$B1:$AH671,30,FALSE)-AVERAGE('The List'!AE2:AE671))/STDEV('The List'!AE2:AE671)</f>
        <v>-0.14954807631786016</v>
      </c>
      <c r="S355" s="55" cm="1">
        <f t="array" ref="S355">(VLOOKUP($A355,'The List'!$B1:$AH671,31,FALSE)-AVERAGE('The List'!AF2:AF671))/STDEV('The List'!AF2:AF671)</f>
        <v>1.1293617980657857</v>
      </c>
      <c r="T355" s="55" cm="1">
        <f t="array" ref="T355">(VLOOKUP($A355,'The List'!$B1:$AH671,32,FALSE)-AVERAGE('The List'!AG2:AG671))/STDEV('The List'!AG2:AG671)</f>
        <v>1.2332553944406031</v>
      </c>
      <c r="U355" s="55" cm="1">
        <f t="array" ref="U355">(VLOOKUP($A355,'The List'!$B1:$AH671,33,FALSE)-AVERAGE('The List'!AH2:AH671))/STDEV('The List'!AH2:AH671)</f>
        <v>1.0163223674354636</v>
      </c>
      <c r="V355" s="55"/>
      <c r="W355" s="78"/>
      <c r="X355" s="57"/>
      <c r="Y355" s="57"/>
      <c r="Z355" s="57"/>
      <c r="AA355" s="57"/>
      <c r="AB355" s="57"/>
      <c r="AC355" s="60"/>
      <c r="AD355" s="61"/>
      <c r="AE355" s="55"/>
    </row>
    <row r="356" spans="1:31" ht="21.25" customHeight="1" x14ac:dyDescent="0.15">
      <c r="A356" s="10" t="s">
        <v>403</v>
      </c>
      <c r="B356" s="18" t="str" cm="1">
        <f t="array" ref="B356">VLOOKUP(A356,'Player Data'!A1:B673,2,FALSE)</f>
        <v>T.B</v>
      </c>
      <c r="C356" s="52" cm="1">
        <f t="array" ref="C356">((E356)*Settings!$C$12)+(F356*Settings!$C$2)+(G356*Settings!$C$3)+(H356*Settings!$C$4)+(I356*Settings!$C$5)+(K356*Settings!$C$9)+(N356*Settings!$C$6)+(J356*Settings!$C$8)+(O356*Settings!$C$7)+(P356*Settings!$C$14)+(Q356*Settings!$C$15)+(R356*Settings!$C$16)+(S356*Settings!$C$17)+(T356*Settings!$C$18)+(U356*Settings!$C$19)+(L356*Settings!$C$10)+(Settings!$C$11*M356)</f>
        <v>2.2988914632263509</v>
      </c>
      <c r="D356" s="57" cm="1">
        <f t="array" ref="D356">IF(Settings!$E$12="YES",VLOOKUP(A356,'Player Data'!A1:E673,5,FALSE),82)</f>
        <v>79.05</v>
      </c>
      <c r="E356" s="55" cm="1">
        <f t="array" ref="E356">(VLOOKUP($A356,'The List'!$B1:$AH671,17,FALSE)-AVERAGE('The List'!R2:R671))/STDEV('The List'!R2:R671)</f>
        <v>0.14833408346971197</v>
      </c>
      <c r="F356" s="55" cm="1">
        <f t="array" ref="F356">(VLOOKUP($A356,'The List'!$B1:$AH671,18,FALSE)-AVERAGE('The List'!S2:S671))/STDEV('The List'!S2:S671)</f>
        <v>-0.80187048668189831</v>
      </c>
      <c r="G356" s="55" cm="1">
        <f t="array" ref="G356">(VLOOKUP($A356,'The List'!$B1:$AH671,19,FALSE)-AVERAGE('The List'!T2:T671))/STDEV('The List'!T2:T671)</f>
        <v>-0.1273870818332401</v>
      </c>
      <c r="H356" s="55" cm="1">
        <f t="array" ref="H356">(VLOOKUP($A356,'The List'!$B1:$AH671,20,FALSE)-AVERAGE('The List'!U2:U671))/STDEV('The List'!U2:U671)</f>
        <v>-0.4358982936864419</v>
      </c>
      <c r="I356" s="55" cm="1">
        <f t="array" ref="I356">(VLOOKUP($A356,'The List'!$B1:$AH671,21,FALSE)-AVERAGE('The List'!V2:V671))/STDEV('The List'!V2:V671)</f>
        <v>-0.71864811418480279</v>
      </c>
      <c r="J356" s="55" cm="1">
        <f t="array" ref="J356">(VLOOKUP($A356,'The List'!$B1:$AH671,22,FALSE)-AVERAGE('The List'!W2:W671))/STDEV('The List'!W2:W671)</f>
        <v>-0.6938652251157712</v>
      </c>
      <c r="K356" s="55" cm="1">
        <f t="array" ref="K356">(VLOOKUP($A356,'The List'!$B1:$AH671,23,FALSE)-AVERAGE('The List'!X2:X671))/STDEV('The List'!X2:X671)</f>
        <v>-0.54602997076579562</v>
      </c>
      <c r="L356" s="55" cm="1">
        <f t="array" ref="L356">(VLOOKUP($A356,'The List'!$B1:$AH671,24,FALSE)-AVERAGE('The List'!Y2:Y671))/STDEV('The List'!Y2:Y671)</f>
        <v>-0.54319724180491247</v>
      </c>
      <c r="M356" s="55" cm="1">
        <f t="array" ref="M356">(VLOOKUP($A356,'The List'!$B1:$AH671,25,FALSE)-AVERAGE('The List'!Z2:Z671))/STDEV('The List'!Z2:Z671)</f>
        <v>-0.6611783580764502</v>
      </c>
      <c r="N356" s="55" cm="1">
        <f t="array" ref="N356">(VLOOKUP($A356,'The List'!$B1:$AH671,26,FALSE)-AVERAGE('The List'!AA2:AA671))/STDEV('The List'!AA2:AA671)</f>
        <v>0.51383455222141483</v>
      </c>
      <c r="O356" s="55" cm="1">
        <f t="array" ref="O356">(VLOOKUP($A356,'The List'!$B1:$AH671,27,FALSE)-AVERAGE('The List'!AB2:AB671))/STDEV('The List'!AB2:AB671)</f>
        <v>0.22198309667485236</v>
      </c>
      <c r="P356" s="55" cm="1">
        <f t="array" ref="P356">(VLOOKUP($A356,'The List'!$B1:$AH671,28,FALSE)-AVERAGE('The List'!AC2:AC671))/STDEV('The List'!AC2:AC671)</f>
        <v>1.492836259148772</v>
      </c>
      <c r="Q356" s="55" cm="1">
        <f t="array" ref="Q356">(VLOOKUP($A356,'The List'!$B1:$AH671,29,FALSE)-AVERAGE('The List'!AD2:AD671))/STDEV('The List'!AD2:AD671)</f>
        <v>2.4861563053219009</v>
      </c>
      <c r="R356" s="55" cm="1">
        <f t="array" ref="R356">(VLOOKUP($A356,'The List'!$B1:$AH671,30,FALSE)-AVERAGE('The List'!AE2:AE671))/STDEV('The List'!AE2:AE671)</f>
        <v>-0.70158606801805079</v>
      </c>
      <c r="S356" s="55" cm="1">
        <f t="array" ref="S356">(VLOOKUP($A356,'The List'!$B1:$AH671,31,FALSE)-AVERAGE('The List'!AF2:AF671))/STDEV('The List'!AF2:AF671)</f>
        <v>-0.5939690971349143</v>
      </c>
      <c r="T356" s="55" cm="1">
        <f t="array" ref="T356">(VLOOKUP($A356,'The List'!$B1:$AH671,32,FALSE)-AVERAGE('The List'!AG2:AG671))/STDEV('The List'!AG2:AG671)</f>
        <v>-0.64602208138248207</v>
      </c>
      <c r="U356" s="55" cm="1">
        <f t="array" ref="U356">(VLOOKUP($A356,'The List'!$B1:$AH671,33,FALSE)-AVERAGE('The List'!AH2:AH671))/STDEV('The List'!AH2:AH671)</f>
        <v>-1.2548938914719048</v>
      </c>
      <c r="V356" s="55"/>
      <c r="W356" s="57"/>
      <c r="X356" s="55"/>
      <c r="Y356" s="55"/>
      <c r="Z356" s="55"/>
      <c r="AA356" s="55"/>
      <c r="AB356" s="55"/>
      <c r="AC356" s="55"/>
      <c r="AD356" s="55"/>
      <c r="AE356" s="55"/>
    </row>
    <row r="357" spans="1:31" ht="21.25" customHeight="1" x14ac:dyDescent="0.15">
      <c r="A357" s="10" t="s">
        <v>686</v>
      </c>
      <c r="B357" s="18" t="str" cm="1">
        <f t="array" ref="B357">VLOOKUP(A357,'Player Data'!A1:B673,2,FALSE)</f>
        <v>DAL</v>
      </c>
      <c r="C357" s="52" cm="1">
        <f t="array" ref="C357">((E357)*Settings!$C$12)+(F357*Settings!$C$2)+(G357*Settings!$C$3)+(H357*Settings!$C$4)+(I357*Settings!$C$5)+(K357*Settings!$C$9)+(N357*Settings!$C$6)+(J357*Settings!$C$8)+(O357*Settings!$C$7)+(P357*Settings!$C$14)+(Q357*Settings!$C$15)+(R357*Settings!$C$16)+(S357*Settings!$C$17)+(T357*Settings!$C$18)+(U357*Settings!$C$19)+(L357*Settings!$C$10)+(Settings!$C$11*M357)</f>
        <v>-2.5261636105711389</v>
      </c>
      <c r="D357" s="57" cm="1">
        <f t="array" ref="D357">IF(Settings!$E$12="YES",VLOOKUP(A357,'Player Data'!A1:E673,5,FALSE),82)</f>
        <v>81.52</v>
      </c>
      <c r="E357" s="55" cm="1">
        <f t="array" ref="E357">(VLOOKUP($A357,'The List'!$B1:$AH671,17,FALSE)-AVERAGE('The List'!R2:R671))/STDEV('The List'!R2:R671)</f>
        <v>-0.74464800104567774</v>
      </c>
      <c r="F357" s="55" cm="1">
        <f t="array" ref="F357">(VLOOKUP($A357,'The List'!$B1:$AH671,18,FALSE)-AVERAGE('The List'!S2:S671))/STDEV('The List'!S2:S671)</f>
        <v>-0.40326604615695466</v>
      </c>
      <c r="G357" s="55" cm="1">
        <f t="array" ref="G357">(VLOOKUP($A357,'The List'!$B1:$AH671,19,FALSE)-AVERAGE('The List'!T2:T671))/STDEV('The List'!T2:T671)</f>
        <v>-0.3532668702970948</v>
      </c>
      <c r="H357" s="55" cm="1">
        <f t="array" ref="H357">(VLOOKUP($A357,'The List'!$B1:$AH671,20,FALSE)-AVERAGE('The List'!U2:U671))/STDEV('The List'!U2:U671)</f>
        <v>-0.40112336908402479</v>
      </c>
      <c r="I357" s="55" cm="1">
        <f t="array" ref="I357">(VLOOKUP($A357,'The List'!$B1:$AH671,21,FALSE)-AVERAGE('The List'!V2:V671))/STDEV('The List'!V2:V671)</f>
        <v>-0.67564911162046393</v>
      </c>
      <c r="J357" s="55" cm="1">
        <f t="array" ref="J357">(VLOOKUP($A357,'The List'!$B1:$AH671,22,FALSE)-AVERAGE('The List'!W2:W671))/STDEV('The List'!W2:W671)</f>
        <v>-0.60320658317669762</v>
      </c>
      <c r="K357" s="55" cm="1">
        <f t="array" ref="K357">(VLOOKUP($A357,'The List'!$B1:$AH671,23,FALSE)-AVERAGE('The List'!X2:X671))/STDEV('The List'!X2:X671)</f>
        <v>-0.66467985943996932</v>
      </c>
      <c r="L357" s="55" cm="1">
        <f t="array" ref="L357">(VLOOKUP($A357,'The List'!$B1:$AH671,24,FALSE)-AVERAGE('The List'!Y2:Y671))/STDEV('The List'!Y2:Y671)</f>
        <v>0.20050844497656617</v>
      </c>
      <c r="M357" s="55" cm="1">
        <f t="array" ref="M357">(VLOOKUP($A357,'The List'!$B1:$AH671,25,FALSE)-AVERAGE('The List'!Z2:Z671))/STDEV('The List'!Z2:Z671)</f>
        <v>0.4431596542557053</v>
      </c>
      <c r="N357" s="55" cm="1">
        <f t="array" ref="N357">(VLOOKUP($A357,'The List'!$B1:$AH671,26,FALSE)-AVERAGE('The List'!AA2:AA671))/STDEV('The List'!AA2:AA671)</f>
        <v>-0.86933718943199267</v>
      </c>
      <c r="O357" s="55" cm="1">
        <f t="array" ref="O357">(VLOOKUP($A357,'The List'!$B1:$AH671,27,FALSE)-AVERAGE('The List'!AB2:AB671))/STDEV('The List'!AB2:AB671)</f>
        <v>-0.2345626936984119</v>
      </c>
      <c r="P357" s="55" cm="1">
        <f t="array" ref="P357">(VLOOKUP($A357,'The List'!$B1:$AH671,28,FALSE)-AVERAGE('The List'!AC2:AC671))/STDEV('The List'!AC2:AC671)</f>
        <v>0.74199675577416013</v>
      </c>
      <c r="Q357" s="55" cm="1">
        <f t="array" ref="Q357">(VLOOKUP($A357,'The List'!$B1:$AH671,29,FALSE)-AVERAGE('The List'!AD2:AD671))/STDEV('The List'!AD2:AD671)</f>
        <v>-0.30196128939882327</v>
      </c>
      <c r="R357" s="55" cm="1">
        <f t="array" ref="R357">(VLOOKUP($A357,'The List'!$B1:$AH671,30,FALSE)-AVERAGE('The List'!AE2:AE671))/STDEV('The List'!AE2:AE671)</f>
        <v>-0.31015280037344661</v>
      </c>
      <c r="S357" s="55" cm="1">
        <f t="array" ref="S357">(VLOOKUP($A357,'The List'!$B1:$AH671,31,FALSE)-AVERAGE('The List'!AF2:AF671))/STDEV('The List'!AF2:AF671)</f>
        <v>5.0854941681334163E-2</v>
      </c>
      <c r="T357" s="55" cm="1">
        <f t="array" ref="T357">(VLOOKUP($A357,'The List'!$B1:$AH671,32,FALSE)-AVERAGE('The List'!AG2:AG671))/STDEV('The List'!AG2:AG671)</f>
        <v>3.138818269054771E-2</v>
      </c>
      <c r="U357" s="55" cm="1">
        <f t="array" ref="U357">(VLOOKUP($A357,'The List'!$B1:$AH671,33,FALSE)-AVERAGE('The List'!AH2:AH671))/STDEV('The List'!AH2:AH671)</f>
        <v>1.0592200848903535</v>
      </c>
      <c r="V357" s="55"/>
      <c r="W357" s="57"/>
      <c r="X357" s="55"/>
      <c r="Y357" s="55"/>
      <c r="Z357" s="55"/>
      <c r="AA357" s="55"/>
      <c r="AB357" s="55"/>
      <c r="AC357" s="55"/>
      <c r="AD357" s="55"/>
      <c r="AE357" s="55"/>
    </row>
    <row r="358" spans="1:31" ht="21.25" customHeight="1" x14ac:dyDescent="0.15">
      <c r="A358" s="10" t="s">
        <v>343</v>
      </c>
      <c r="B358" s="18" t="str" cm="1">
        <f t="array" ref="B358">VLOOKUP(A358,'Player Data'!A1:B673,2,FALSE)</f>
        <v>S.J</v>
      </c>
      <c r="C358" s="52" cm="1">
        <f t="array" ref="C358">((E358)*Settings!$C$12)+(F358*Settings!$C$2)+(G358*Settings!$C$3)+(H358*Settings!$C$4)+(I358*Settings!$C$5)+(K358*Settings!$C$9)+(N358*Settings!$C$6)+(J358*Settings!$C$8)+(O358*Settings!$C$7)+(P358*Settings!$C$14)+(Q358*Settings!$C$15)+(R358*Settings!$C$16)+(S358*Settings!$C$17)+(T358*Settings!$C$18)+(U358*Settings!$C$19)+(L358*Settings!$C$10)+(Settings!$C$11*M358)</f>
        <v>-1.0271691094477446</v>
      </c>
      <c r="D358" s="57" cm="1">
        <f t="array" ref="D358">IF(Settings!$E$12="YES",VLOOKUP(A358,'Player Data'!A1:E673,5,FALSE),82)</f>
        <v>79.88</v>
      </c>
      <c r="E358" s="55" cm="1">
        <f t="array" ref="E358">(VLOOKUP($A358,'The List'!$B1:$AH671,17,FALSE)-AVERAGE('The List'!R2:R671))/STDEV('The List'!R2:R671)</f>
        <v>0.80649600922075848</v>
      </c>
      <c r="F358" s="55" cm="1">
        <f t="array" ref="F358">(VLOOKUP($A358,'The List'!$B1:$AH671,18,FALSE)-AVERAGE('The List'!S2:S671))/STDEV('The List'!S2:S671)</f>
        <v>-0.91174994764684747</v>
      </c>
      <c r="G358" s="55" cm="1">
        <f t="array" ref="G358">(VLOOKUP($A358,'The List'!$B1:$AH671,19,FALSE)-AVERAGE('The List'!T2:T671))/STDEV('The List'!T2:T671)</f>
        <v>0.14891509176028569</v>
      </c>
      <c r="H358" s="55" cm="1">
        <f t="array" ref="H358">(VLOOKUP($A358,'The List'!$B1:$AH671,20,FALSE)-AVERAGE('The List'!U2:U671))/STDEV('The List'!U2:U671)</f>
        <v>-0.31085681148090033</v>
      </c>
      <c r="I358" s="55" cm="1">
        <f t="array" ref="I358">(VLOOKUP($A358,'The List'!$B1:$AH671,21,FALSE)-AVERAGE('The List'!V2:V671))/STDEV('The List'!V2:V671)</f>
        <v>-0.26180913569660608</v>
      </c>
      <c r="J358" s="55" cm="1">
        <f t="array" ref="J358">(VLOOKUP($A358,'The List'!$B1:$AH671,22,FALSE)-AVERAGE('The List'!W2:W671))/STDEV('The List'!W2:W671)</f>
        <v>-0.27935875973352714</v>
      </c>
      <c r="K358" s="55" cm="1">
        <f t="array" ref="K358">(VLOOKUP($A358,'The List'!$B1:$AH671,23,FALSE)-AVERAGE('The List'!X2:X671))/STDEV('The List'!X2:X671)</f>
        <v>0.11739460621624272</v>
      </c>
      <c r="L358" s="55" cm="1">
        <f t="array" ref="L358">(VLOOKUP($A358,'The List'!$B1:$AH671,24,FALSE)-AVERAGE('The List'!Y2:Y671))/STDEV('The List'!Y2:Y671)</f>
        <v>-0.49302292562277927</v>
      </c>
      <c r="M358" s="55" cm="1">
        <f t="array" ref="M358">(VLOOKUP($A358,'The List'!$B1:$AH671,25,FALSE)-AVERAGE('The List'!Z2:Z671))/STDEV('The List'!Z2:Z671)</f>
        <v>-0.56302810471576359</v>
      </c>
      <c r="N358" s="55" cm="1">
        <f t="array" ref="N358">(VLOOKUP($A358,'The List'!$B1:$AH671,26,FALSE)-AVERAGE('The List'!AA2:AA671))/STDEV('The List'!AA2:AA671)</f>
        <v>0.7091167903430895</v>
      </c>
      <c r="O358" s="55" cm="1">
        <f t="array" ref="O358">(VLOOKUP($A358,'The List'!$B1:$AH671,27,FALSE)-AVERAGE('The List'!AB2:AB671))/STDEV('The List'!AB2:AB671)</f>
        <v>-5.7321988075093644E-2</v>
      </c>
      <c r="P358" s="55" cm="1">
        <f t="array" ref="P358">(VLOOKUP($A358,'The List'!$B1:$AH671,28,FALSE)-AVERAGE('The List'!AC2:AC671))/STDEV('The List'!AC2:AC671)</f>
        <v>-0.8435585389142799</v>
      </c>
      <c r="Q358" s="55" cm="1">
        <f t="array" ref="Q358">(VLOOKUP($A358,'The List'!$B1:$AH671,29,FALSE)-AVERAGE('The List'!AD2:AD671))/STDEV('The List'!AD2:AD671)</f>
        <v>1.4522024490370792E-2</v>
      </c>
      <c r="R358" s="55" cm="1">
        <f t="array" ref="R358">(VLOOKUP($A358,'The List'!$B1:$AH671,30,FALSE)-AVERAGE('The List'!AE2:AE671))/STDEV('The List'!AE2:AE671)</f>
        <v>-0.93165414378711364</v>
      </c>
      <c r="S358" s="55" cm="1">
        <f t="array" ref="S358">(VLOOKUP($A358,'The List'!$B1:$AH671,31,FALSE)-AVERAGE('The List'!AF2:AF671))/STDEV('The List'!AF2:AF671)</f>
        <v>-0.5939690971349143</v>
      </c>
      <c r="T358" s="55" cm="1">
        <f t="array" ref="T358">(VLOOKUP($A358,'The List'!$B1:$AH671,32,FALSE)-AVERAGE('The List'!AG2:AG671))/STDEV('The List'!AG2:AG671)</f>
        <v>-0.64602208138248207</v>
      </c>
      <c r="U358" s="55" cm="1">
        <f t="array" ref="U358">(VLOOKUP($A358,'The List'!$B1:$AH671,33,FALSE)-AVERAGE('The List'!AH2:AH671))/STDEV('The List'!AH2:AH671)</f>
        <v>-1.2548938914719048</v>
      </c>
      <c r="V358" s="55"/>
      <c r="W358" s="57"/>
      <c r="X358" s="55"/>
      <c r="Y358" s="55"/>
      <c r="Z358" s="55"/>
      <c r="AA358" s="55"/>
      <c r="AB358" s="55"/>
      <c r="AC358" s="55"/>
      <c r="AD358" s="55"/>
      <c r="AE358" s="55"/>
    </row>
    <row r="359" spans="1:31" ht="21.25" customHeight="1" x14ac:dyDescent="0.15">
      <c r="A359" s="10" t="s">
        <v>673</v>
      </c>
      <c r="B359" s="18" t="str" cm="1">
        <f t="array" ref="B359">VLOOKUP(A359,'Player Data'!A1:B673,2,FALSE)</f>
        <v>TOR</v>
      </c>
      <c r="C359" s="52" cm="1">
        <f t="array" ref="C359">((E359)*Settings!$C$12)+(F359*Settings!$C$2)+(G359*Settings!$C$3)+(H359*Settings!$C$4)+(I359*Settings!$C$5)+(K359*Settings!$C$9)+(N359*Settings!$C$6)+(J359*Settings!$C$8)+(O359*Settings!$C$7)+(P359*Settings!$C$14)+(Q359*Settings!$C$15)+(R359*Settings!$C$16)+(S359*Settings!$C$17)+(T359*Settings!$C$18)+(U359*Settings!$C$19)+(L359*Settings!$C$10)+(Settings!$C$11*M359)</f>
        <v>-1.4687639745274956</v>
      </c>
      <c r="D359" s="57" cm="1">
        <f t="array" ref="D359">IF(Settings!$E$12="YES",VLOOKUP(A359,'Player Data'!A1:E673,5,FALSE),82)</f>
        <v>82.375</v>
      </c>
      <c r="E359" s="55" cm="1">
        <f t="array" ref="E359">(VLOOKUP($A359,'The List'!$B1:$AH671,17,FALSE)-AVERAGE('The List'!R2:R671))/STDEV('The List'!R2:R671)</f>
        <v>-1.1071231899968905</v>
      </c>
      <c r="F359" s="55" cm="1">
        <f t="array" ref="F359">(VLOOKUP($A359,'The List'!$B1:$AH671,18,FALSE)-AVERAGE('The List'!S2:S671))/STDEV('The List'!S2:S671)</f>
        <v>-0.51645537440807532</v>
      </c>
      <c r="G359" s="55" cm="1">
        <f t="array" ref="G359">(VLOOKUP($A359,'The List'!$B1:$AH671,19,FALSE)-AVERAGE('The List'!T2:T671))/STDEV('The List'!T2:T671)</f>
        <v>-0.27150439685502442</v>
      </c>
      <c r="H359" s="55" cm="1">
        <f t="array" ref="H359">(VLOOKUP($A359,'The List'!$B1:$AH671,20,FALSE)-AVERAGE('The List'!U2:U671))/STDEV('The List'!U2:U671)</f>
        <v>-0.39991484755492029</v>
      </c>
      <c r="I359" s="55" cm="1">
        <f t="array" ref="I359">(VLOOKUP($A359,'The List'!$B1:$AH671,21,FALSE)-AVERAGE('The List'!V2:V671))/STDEV('The List'!V2:V671)</f>
        <v>-0.48312881692469806</v>
      </c>
      <c r="J359" s="55" cm="1">
        <f t="array" ref="J359">(VLOOKUP($A359,'The List'!$B1:$AH671,22,FALSE)-AVERAGE('The List'!W2:W671))/STDEV('The List'!W2:W671)</f>
        <v>-0.6369272533178485</v>
      </c>
      <c r="K359" s="55" cm="1">
        <f t="array" ref="K359">(VLOOKUP($A359,'The List'!$B1:$AH671,23,FALSE)-AVERAGE('The List'!X2:X671))/STDEV('The List'!X2:X671)</f>
        <v>-0.61258551561430807</v>
      </c>
      <c r="L359" s="55" cm="1">
        <f t="array" ref="L359">(VLOOKUP($A359,'The List'!$B1:$AH671,24,FALSE)-AVERAGE('The List'!Y2:Y671))/STDEV('The List'!Y2:Y671)</f>
        <v>-0.56384462712286387</v>
      </c>
      <c r="M359" s="55" cm="1">
        <f t="array" ref="M359">(VLOOKUP($A359,'The List'!$B1:$AH671,25,FALSE)-AVERAGE('The List'!Z2:Z671))/STDEV('The List'!Z2:Z671)</f>
        <v>-0.70566157735332025</v>
      </c>
      <c r="N359" s="55" cm="1">
        <f t="array" ref="N359">(VLOOKUP($A359,'The List'!$B1:$AH671,26,FALSE)-AVERAGE('The List'!AA2:AA671))/STDEV('The List'!AA2:AA671)</f>
        <v>-0.82104485542293348</v>
      </c>
      <c r="O359" s="55" cm="1">
        <f t="array" ref="O359">(VLOOKUP($A359,'The List'!$B1:$AH671,27,FALSE)-AVERAGE('The List'!AB2:AB671))/STDEV('The List'!AB2:AB671)</f>
        <v>-0.92883182229237959</v>
      </c>
      <c r="P359" s="55" cm="1">
        <f t="array" ref="P359">(VLOOKUP($A359,'The List'!$B1:$AH671,28,FALSE)-AVERAGE('The List'!AC2:AC671))/STDEV('The List'!AC2:AC671)</f>
        <v>-0.3415818601048779</v>
      </c>
      <c r="Q359" s="55" cm="1">
        <f t="array" ref="Q359">(VLOOKUP($A359,'The List'!$B1:$AH671,29,FALSE)-AVERAGE('The List'!AD2:AD671))/STDEV('The List'!AD2:AD671)</f>
        <v>1.5775368448024216</v>
      </c>
      <c r="R359" s="55" cm="1">
        <f t="array" ref="R359">(VLOOKUP($A359,'The List'!$B1:$AH671,30,FALSE)-AVERAGE('The List'!AE2:AE671))/STDEV('The List'!AE2:AE671)</f>
        <v>-0.60370250817560034</v>
      </c>
      <c r="S359" s="55" cm="1">
        <f t="array" ref="S359">(VLOOKUP($A359,'The List'!$B1:$AH671,31,FALSE)-AVERAGE('The List'!AF2:AF671))/STDEV('The List'!AF2:AF671)</f>
        <v>0.37806204124038628</v>
      </c>
      <c r="T359" s="55" cm="1">
        <f t="array" ref="T359">(VLOOKUP($A359,'The List'!$B1:$AH671,32,FALSE)-AVERAGE('The List'!AG2:AG671))/STDEV('The List'!AG2:AG671)</f>
        <v>0.36580424433233166</v>
      </c>
      <c r="U359" s="55" cm="1">
        <f t="array" ref="U359">(VLOOKUP($A359,'The List'!$B1:$AH671,33,FALSE)-AVERAGE('The List'!AH2:AH671))/STDEV('The List'!AH2:AH671)</f>
        <v>1.06976362492942</v>
      </c>
      <c r="V359" s="55"/>
      <c r="W359" s="57"/>
      <c r="X359" s="55"/>
      <c r="Y359" s="55"/>
      <c r="Z359" s="55"/>
      <c r="AA359" s="55"/>
      <c r="AB359" s="55"/>
      <c r="AC359" s="55"/>
      <c r="AD359" s="55"/>
      <c r="AE359" s="55"/>
    </row>
    <row r="360" spans="1:31" ht="21.25" customHeight="1" x14ac:dyDescent="0.15">
      <c r="A360" s="10" t="s">
        <v>685</v>
      </c>
      <c r="B360" s="18" t="str" cm="1">
        <f t="array" ref="B360">VLOOKUP(A360,'Player Data'!A1:B673,2,FALSE)</f>
        <v>BUF</v>
      </c>
      <c r="C360" s="52" cm="1">
        <f t="array" ref="C360">((E360)*Settings!$C$12)+(F360*Settings!$C$2)+(G360*Settings!$C$3)+(H360*Settings!$C$4)+(I360*Settings!$C$5)+(K360*Settings!$C$9)+(N360*Settings!$C$6)+(J360*Settings!$C$8)+(O360*Settings!$C$7)+(P360*Settings!$C$14)+(Q360*Settings!$C$15)+(R360*Settings!$C$16)+(S360*Settings!$C$17)+(T360*Settings!$C$18)+(U360*Settings!$C$19)+(L360*Settings!$C$10)+(Settings!$C$11*M360)</f>
        <v>-2.0164064771055523</v>
      </c>
      <c r="D360" s="57" cm="1">
        <f t="array" ref="D360">IF(Settings!$E$12="YES",VLOOKUP(A360,'Player Data'!A1:E673,5,FALSE),82)</f>
        <v>83.692499999999995</v>
      </c>
      <c r="E360" s="55" cm="1">
        <f t="array" ref="E360">(VLOOKUP($A360,'The List'!$B1:$AH671,17,FALSE)-AVERAGE('The List'!R2:R671))/STDEV('The List'!R2:R671)</f>
        <v>-1.2031602909859762</v>
      </c>
      <c r="F360" s="55" cm="1">
        <f t="array" ref="F360">(VLOOKUP($A360,'The List'!$B1:$AH671,18,FALSE)-AVERAGE('The List'!S2:S671))/STDEV('The List'!S2:S671)</f>
        <v>-0.42929141233375556</v>
      </c>
      <c r="G360" s="55" cm="1">
        <f t="array" ref="G360">(VLOOKUP($A360,'The List'!$B1:$AH671,19,FALSE)-AVERAGE('The List'!T2:T671))/STDEV('The List'!T2:T671)</f>
        <v>-0.30948210364896411</v>
      </c>
      <c r="H360" s="55" cm="1">
        <f t="array" ref="H360">(VLOOKUP($A360,'The List'!$B1:$AH671,20,FALSE)-AVERAGE('The List'!U2:U671))/STDEV('The List'!U2:U671)</f>
        <v>-0.38512987080475092</v>
      </c>
      <c r="I360" s="55" cm="1">
        <f t="array" ref="I360">(VLOOKUP($A360,'The List'!$B1:$AH671,21,FALSE)-AVERAGE('The List'!V2:V671))/STDEV('The List'!V2:V671)</f>
        <v>-0.74164120730176863</v>
      </c>
      <c r="J360" s="55" cm="1">
        <f t="array" ref="J360">(VLOOKUP($A360,'The List'!$B1:$AH671,22,FALSE)-AVERAGE('The List'!W2:W671))/STDEV('The List'!W2:W671)</f>
        <v>-0.72717288154692006</v>
      </c>
      <c r="K360" s="55" cm="1">
        <f t="array" ref="K360">(VLOOKUP($A360,'The List'!$B1:$AH671,23,FALSE)-AVERAGE('The List'!X2:X671))/STDEV('The List'!X2:X671)</f>
        <v>-0.79134014973911959</v>
      </c>
      <c r="L360" s="55" cm="1">
        <f t="array" ref="L360">(VLOOKUP($A360,'The List'!$B1:$AH671,24,FALSE)-AVERAGE('The List'!Y2:Y671))/STDEV('The List'!Y2:Y671)</f>
        <v>0.22092912839687381</v>
      </c>
      <c r="M360" s="55" cm="1">
        <f t="array" ref="M360">(VLOOKUP($A360,'The List'!$B1:$AH671,25,FALSE)-AVERAGE('The List'!Z2:Z671))/STDEV('The List'!Z2:Z671)</f>
        <v>-0.1504622544186506</v>
      </c>
      <c r="N360" s="55" cm="1">
        <f t="array" ref="N360">(VLOOKUP($A360,'The List'!$B1:$AH671,26,FALSE)-AVERAGE('The List'!AA2:AA671))/STDEV('The List'!AA2:AA671)</f>
        <v>-0.7329831382859272</v>
      </c>
      <c r="O360" s="55" cm="1">
        <f t="array" ref="O360">(VLOOKUP($A360,'The List'!$B1:$AH671,27,FALSE)-AVERAGE('The List'!AB2:AB671))/STDEV('The List'!AB2:AB671)</f>
        <v>1.305531807489646</v>
      </c>
      <c r="P360" s="55" cm="1">
        <f t="array" ref="P360">(VLOOKUP($A360,'The List'!$B1:$AH671,28,FALSE)-AVERAGE('The List'!AC2:AC671))/STDEV('The List'!AC2:AC671)</f>
        <v>0.16867577449705462</v>
      </c>
      <c r="Q360" s="55" cm="1">
        <f t="array" ref="Q360">(VLOOKUP($A360,'The List'!$B1:$AH671,29,FALSE)-AVERAGE('The List'!AD2:AD671))/STDEV('The List'!AD2:AD671)</f>
        <v>0.81965575970692861</v>
      </c>
      <c r="R360" s="55" cm="1">
        <f t="array" ref="R360">(VLOOKUP($A360,'The List'!$B1:$AH671,30,FALSE)-AVERAGE('The List'!AE2:AE671))/STDEV('The List'!AE2:AE671)</f>
        <v>-0.4456827560581425</v>
      </c>
      <c r="S360" s="55" cm="1">
        <f t="array" ref="S360">(VLOOKUP($A360,'The List'!$B1:$AH671,31,FALSE)-AVERAGE('The List'!AF2:AF671))/STDEV('The List'!AF2:AF671)</f>
        <v>0.47246764463055874</v>
      </c>
      <c r="T360" s="55" cm="1">
        <f t="array" ref="T360">(VLOOKUP($A360,'The List'!$B1:$AH671,32,FALSE)-AVERAGE('The List'!AG2:AG671))/STDEV('The List'!AG2:AG671)</f>
        <v>0.67211227656061234</v>
      </c>
      <c r="U360" s="55" cm="1">
        <f t="array" ref="U360">(VLOOKUP($A360,'The List'!$B1:$AH671,33,FALSE)-AVERAGE('The List'!AH2:AH671))/STDEV('The List'!AH2:AH671)</f>
        <v>0.87267788630948628</v>
      </c>
      <c r="V360" s="55"/>
      <c r="W360" s="78"/>
      <c r="X360" s="57"/>
      <c r="Y360" s="57"/>
      <c r="Z360" s="57"/>
      <c r="AA360" s="57"/>
      <c r="AB360" s="57"/>
      <c r="AC360" s="60"/>
      <c r="AD360" s="61"/>
      <c r="AE360" s="55"/>
    </row>
    <row r="361" spans="1:31" ht="21.25" customHeight="1" x14ac:dyDescent="0.15">
      <c r="A361" s="10" t="s">
        <v>695</v>
      </c>
      <c r="B361" s="18" t="str" cm="1">
        <f t="array" ref="B361">VLOOKUP(A361,'Player Data'!A1:B673,2,FALSE)</f>
        <v>MIN</v>
      </c>
      <c r="C361" s="52" cm="1">
        <f t="array" ref="C361">((E361)*Settings!$C$12)+(F361*Settings!$C$2)+(G361*Settings!$C$3)+(H361*Settings!$C$4)+(I361*Settings!$C$5)+(K361*Settings!$C$9)+(N361*Settings!$C$6)+(J361*Settings!$C$8)+(O361*Settings!$C$7)+(P361*Settings!$C$14)+(Q361*Settings!$C$15)+(R361*Settings!$C$16)+(S361*Settings!$C$17)+(T361*Settings!$C$18)+(U361*Settings!$C$19)+(L361*Settings!$C$10)+(Settings!$C$11*M361)</f>
        <v>-4.2261327981915322</v>
      </c>
      <c r="D361" s="57" cm="1">
        <f t="array" ref="D361">IF(Settings!$E$12="YES",VLOOKUP(A361,'Player Data'!A1:E673,5,FALSE),82)</f>
        <v>68.260000000000005</v>
      </c>
      <c r="E361" s="55" cm="1">
        <f t="array" ref="E361">(VLOOKUP($A361,'The List'!$B1:$AH671,17,FALSE)-AVERAGE('The List'!R2:R671))/STDEV('The List'!R2:R671)</f>
        <v>-0.98675397091907002</v>
      </c>
      <c r="F361" s="55" cm="1">
        <f t="array" ref="F361">(VLOOKUP($A361,'The List'!$B1:$AH671,18,FALSE)-AVERAGE('The List'!S2:S671))/STDEV('The List'!S2:S671)</f>
        <v>-0.45785395751465691</v>
      </c>
      <c r="G361" s="55" cm="1">
        <f t="array" ref="G361">(VLOOKUP($A361,'The List'!$B1:$AH671,19,FALSE)-AVERAGE('The List'!T2:T671))/STDEV('The List'!T2:T671)</f>
        <v>-0.52619469539922292</v>
      </c>
      <c r="H361" s="55" cm="1">
        <f t="array" ref="H361">(VLOOKUP($A361,'The List'!$B1:$AH671,20,FALSE)-AVERAGE('The List'!U2:U671))/STDEV('The List'!U2:U671)</f>
        <v>-0.53411352711467208</v>
      </c>
      <c r="I361" s="55" cm="1">
        <f t="array" ref="I361">(VLOOKUP($A361,'The List'!$B1:$AH671,21,FALSE)-AVERAGE('The List'!V2:V671))/STDEV('The List'!V2:V671)</f>
        <v>-0.6932189284026995</v>
      </c>
      <c r="J361" s="55" cm="1">
        <f t="array" ref="J361">(VLOOKUP($A361,'The List'!$B1:$AH671,22,FALSE)-AVERAGE('The List'!W2:W671))/STDEV('The List'!W2:W671)</f>
        <v>-0.59173511567859105</v>
      </c>
      <c r="K361" s="55" cm="1">
        <f t="array" ref="K361">(VLOOKUP($A361,'The List'!$B1:$AH671,23,FALSE)-AVERAGE('The List'!X2:X671))/STDEV('The List'!X2:X671)</f>
        <v>-0.40995017022411151</v>
      </c>
      <c r="L361" s="55" cm="1">
        <f t="array" ref="L361">(VLOOKUP($A361,'The List'!$B1:$AH671,24,FALSE)-AVERAGE('The List'!Y2:Y671))/STDEV('The List'!Y2:Y671)</f>
        <v>-0.56569022661034529</v>
      </c>
      <c r="M361" s="55" cm="1">
        <f t="array" ref="M361">(VLOOKUP($A361,'The List'!$B1:$AH671,25,FALSE)-AVERAGE('The List'!Z2:Z671))/STDEV('The List'!Z2:Z671)</f>
        <v>-0.70756870995144849</v>
      </c>
      <c r="N361" s="55" cm="1">
        <f t="array" ref="N361">(VLOOKUP($A361,'The List'!$B1:$AH671,26,FALSE)-AVERAGE('The List'!AA2:AA671))/STDEV('The List'!AA2:AA671)</f>
        <v>-0.9606824039574382</v>
      </c>
      <c r="O361" s="55" cm="1">
        <f t="array" ref="O361">(VLOOKUP($A361,'The List'!$B1:$AH671,27,FALSE)-AVERAGE('The List'!AB2:AB671))/STDEV('The List'!AB2:AB671)</f>
        <v>-0.74278941416044098</v>
      </c>
      <c r="P361" s="55" cm="1">
        <f t="array" ref="P361">(VLOOKUP($A361,'The List'!$B1:$AH671,28,FALSE)-AVERAGE('The List'!AC2:AC671))/STDEV('The List'!AC2:AC671)</f>
        <v>0.13236796670101883</v>
      </c>
      <c r="Q361" s="55" cm="1">
        <f t="array" ref="Q361">(VLOOKUP($A361,'The List'!$B1:$AH671,29,FALSE)-AVERAGE('The List'!AD2:AD671))/STDEV('The List'!AD2:AD671)</f>
        <v>-1.3106006093944211</v>
      </c>
      <c r="R361" s="55" cm="1">
        <f t="array" ref="R361">(VLOOKUP($A361,'The List'!$B1:$AH671,30,FALSE)-AVERAGE('The List'!AE2:AE671))/STDEV('The List'!AE2:AE671)</f>
        <v>-0.40344994868885781</v>
      </c>
      <c r="S361" s="55" cm="1">
        <f t="array" ref="S361">(VLOOKUP($A361,'The List'!$B1:$AH671,31,FALSE)-AVERAGE('The List'!AF2:AF671))/STDEV('The List'!AF2:AF671)</f>
        <v>-0.5939690971349143</v>
      </c>
      <c r="T361" s="55" cm="1">
        <f t="array" ref="T361">(VLOOKUP($A361,'The List'!$B1:$AH671,32,FALSE)-AVERAGE('The List'!AG2:AG671))/STDEV('The List'!AG2:AG671)</f>
        <v>-0.63100073618044972</v>
      </c>
      <c r="U361" s="55" cm="1">
        <f t="array" ref="U361">(VLOOKUP($A361,'The List'!$B1:$AH671,33,FALSE)-AVERAGE('The List'!AH2:AH671))/STDEV('The List'!AH2:AH671)</f>
        <v>-1.2548938914719048</v>
      </c>
      <c r="V361" s="55"/>
      <c r="W361" s="57"/>
      <c r="X361" s="55"/>
      <c r="Y361" s="55"/>
      <c r="Z361" s="55"/>
      <c r="AA361" s="55"/>
      <c r="AB361" s="55"/>
      <c r="AC361" s="55"/>
      <c r="AD361" s="55"/>
      <c r="AE361" s="55"/>
    </row>
    <row r="362" spans="1:31" ht="21.25" customHeight="1" x14ac:dyDescent="0.15">
      <c r="A362" s="10" t="s">
        <v>642</v>
      </c>
      <c r="B362" s="18" t="str" cm="1">
        <f t="array" ref="B362">VLOOKUP(A362,'Player Data'!A1:B673,2,FALSE)</f>
        <v>DET</v>
      </c>
      <c r="C362" s="52" cm="1">
        <f t="array" ref="C362">((E362)*Settings!$C$12)+(F362*Settings!$C$2)+(G362*Settings!$C$3)+(H362*Settings!$C$4)+(I362*Settings!$C$5)+(K362*Settings!$C$9)+(N362*Settings!$C$6)+(J362*Settings!$C$8)+(O362*Settings!$C$7)+(P362*Settings!$C$14)+(Q362*Settings!$C$15)+(R362*Settings!$C$16)+(S362*Settings!$C$17)+(T362*Settings!$C$18)+(U362*Settings!$C$19)+(L362*Settings!$C$10)+(Settings!$C$11*M362)</f>
        <v>-3.7592228194923769</v>
      </c>
      <c r="D362" s="57" cm="1">
        <f t="array" ref="D362">IF(Settings!$E$12="YES",VLOOKUP(A362,'Player Data'!A1:E673,5,FALSE),82)</f>
        <v>82.704999999999998</v>
      </c>
      <c r="E362" s="55" cm="1">
        <f t="array" ref="E362">(VLOOKUP($A362,'The List'!$B1:$AH671,17,FALSE)-AVERAGE('The List'!R2:R671))/STDEV('The List'!R2:R671)</f>
        <v>-0.62692047765570547</v>
      </c>
      <c r="F362" s="55" cm="1">
        <f t="array" ref="F362">(VLOOKUP($A362,'The List'!$B1:$AH671,18,FALSE)-AVERAGE('The List'!S2:S671))/STDEV('The List'!S2:S671)</f>
        <v>-0.29715359517324474</v>
      </c>
      <c r="G362" s="55" cm="1">
        <f t="array" ref="G362">(VLOOKUP($A362,'The List'!$B1:$AH671,19,FALSE)-AVERAGE('The List'!T2:T671))/STDEV('The List'!T2:T671)</f>
        <v>-0.43644734191611201</v>
      </c>
      <c r="H362" s="55" cm="1">
        <f t="array" ref="H362">(VLOOKUP($A362,'The List'!$B1:$AH671,20,FALSE)-AVERAGE('The List'!U2:U671))/STDEV('The List'!U2:U671)</f>
        <v>-0.40636366047983696</v>
      </c>
      <c r="I362" s="55" cm="1">
        <f t="array" ref="I362">(VLOOKUP($A362,'The List'!$B1:$AH671,21,FALSE)-AVERAGE('The List'!V2:V671))/STDEV('The List'!V2:V671)</f>
        <v>-0.64882450633508093</v>
      </c>
      <c r="J362" s="55" cm="1">
        <f t="array" ref="J362">(VLOOKUP($A362,'The List'!$B1:$AH671,22,FALSE)-AVERAGE('The List'!W2:W671))/STDEV('The List'!W2:W671)</f>
        <v>-0.40346765433684473</v>
      </c>
      <c r="K362" s="55" cm="1">
        <f t="array" ref="K362">(VLOOKUP($A362,'The List'!$B1:$AH671,23,FALSE)-AVERAGE('The List'!X2:X671))/STDEV('The List'!X2:X671)</f>
        <v>-0.53939860678059226</v>
      </c>
      <c r="L362" s="55" cm="1">
        <f t="array" ref="L362">(VLOOKUP($A362,'The List'!$B1:$AH671,24,FALSE)-AVERAGE('The List'!Y2:Y671))/STDEV('The List'!Y2:Y671)</f>
        <v>0.20101125475105094</v>
      </c>
      <c r="M362" s="55" cm="1">
        <f t="array" ref="M362">(VLOOKUP($A362,'The List'!$B1:$AH671,25,FALSE)-AVERAGE('The List'!Z2:Z671))/STDEV('The List'!Z2:Z671)</f>
        <v>-0.16535240990058991</v>
      </c>
      <c r="N362" s="55" cm="1">
        <f t="array" ref="N362">(VLOOKUP($A362,'The List'!$B1:$AH671,26,FALSE)-AVERAGE('The List'!AA2:AA671))/STDEV('The List'!AA2:AA671)</f>
        <v>-0.28546210681695178</v>
      </c>
      <c r="O362" s="55" cm="1">
        <f t="array" ref="O362">(VLOOKUP($A362,'The List'!$B1:$AH671,27,FALSE)-AVERAGE('The List'!AB2:AB671))/STDEV('The List'!AB2:AB671)</f>
        <v>-1.1198525063936471</v>
      </c>
      <c r="P362" s="55" cm="1">
        <f t="array" ref="P362">(VLOOKUP($A362,'The List'!$B1:$AH671,28,FALSE)-AVERAGE('The List'!AC2:AC671))/STDEV('The List'!AC2:AC671)</f>
        <v>-0.76864478915967582</v>
      </c>
      <c r="Q362" s="55" cm="1">
        <f t="array" ref="Q362">(VLOOKUP($A362,'The List'!$B1:$AH671,29,FALSE)-AVERAGE('The List'!AD2:AD671))/STDEV('The List'!AD2:AD671)</f>
        <v>-0.78329187331071959</v>
      </c>
      <c r="R362" s="55" cm="1">
        <f t="array" ref="R362">(VLOOKUP($A362,'The List'!$B1:$AH671,30,FALSE)-AVERAGE('The List'!AE2:AE671))/STDEV('The List'!AE2:AE671)</f>
        <v>-0.28133194768055497</v>
      </c>
      <c r="S362" s="55" cm="1">
        <f t="array" ref="S362">(VLOOKUP($A362,'The List'!$B1:$AH671,31,FALSE)-AVERAGE('The List'!AF2:AF671))/STDEV('The List'!AF2:AF671)</f>
        <v>1.5031870091364699</v>
      </c>
      <c r="T362" s="55" cm="1">
        <f t="array" ref="T362">(VLOOKUP($A362,'The List'!$B1:$AH671,32,FALSE)-AVERAGE('The List'!AG2:AG671))/STDEV('The List'!AG2:AG671)</f>
        <v>1.8402481010907248</v>
      </c>
      <c r="U362" s="55" cm="1">
        <f t="array" ref="U362">(VLOOKUP($A362,'The List'!$B1:$AH671,33,FALSE)-AVERAGE('The List'!AH2:AH671))/STDEV('The List'!AH2:AH671)</f>
        <v>0.92039474824631962</v>
      </c>
      <c r="V362" s="55"/>
      <c r="W362" s="57"/>
      <c r="X362" s="55"/>
      <c r="Y362" s="55"/>
      <c r="Z362" s="55"/>
      <c r="AA362" s="55"/>
      <c r="AB362" s="55"/>
      <c r="AC362" s="55"/>
      <c r="AD362" s="55"/>
      <c r="AE362" s="55"/>
    </row>
    <row r="363" spans="1:31" ht="21.25" customHeight="1" x14ac:dyDescent="0.15">
      <c r="A363" s="10" t="s">
        <v>381</v>
      </c>
      <c r="B363" s="18" t="str" cm="1">
        <f t="array" ref="B363">VLOOKUP(A363,'Player Data'!A1:B673,2,FALSE)</f>
        <v>TOR</v>
      </c>
      <c r="C363" s="52" cm="1">
        <f t="array" ref="C363">((E363)*Settings!$C$12)+(F363*Settings!$C$2)+(G363*Settings!$C$3)+(H363*Settings!$C$4)+(I363*Settings!$C$5)+(K363*Settings!$C$9)+(N363*Settings!$C$6)+(J363*Settings!$C$8)+(O363*Settings!$C$7)+(P363*Settings!$C$14)+(Q363*Settings!$C$15)+(R363*Settings!$C$16)+(S363*Settings!$C$17)+(T363*Settings!$C$18)+(U363*Settings!$C$19)+(L363*Settings!$C$10)+(Settings!$C$11*M363)</f>
        <v>0.34642942349990857</v>
      </c>
      <c r="D363" s="57" cm="1">
        <f t="array" ref="D363">IF(Settings!$E$12="YES",VLOOKUP(A363,'Player Data'!A1:E673,5,FALSE),82)</f>
        <v>82.432500000000005</v>
      </c>
      <c r="E363" s="55" cm="1">
        <f t="array" ref="E363">(VLOOKUP($A363,'The List'!$B1:$AH671,17,FALSE)-AVERAGE('The List'!R2:R671))/STDEV('The List'!R2:R671)</f>
        <v>0.43465436895020537</v>
      </c>
      <c r="F363" s="55" cm="1">
        <f t="array" ref="F363">(VLOOKUP($A363,'The List'!$B1:$AH671,18,FALSE)-AVERAGE('The List'!S2:S671))/STDEV('The List'!S2:S671)</f>
        <v>-0.83085014929413092</v>
      </c>
      <c r="G363" s="55" cm="1">
        <f t="array" ref="G363">(VLOOKUP($A363,'The List'!$B1:$AH671,19,FALSE)-AVERAGE('The List'!T2:T671))/STDEV('The List'!T2:T671)</f>
        <v>-6.6983121726550632E-2</v>
      </c>
      <c r="H363" s="55" cm="1">
        <f t="array" ref="H363">(VLOOKUP($A363,'The List'!$B1:$AH671,20,FALSE)-AVERAGE('The List'!U2:U671))/STDEV('The List'!U2:U671)</f>
        <v>-0.41076216750497879</v>
      </c>
      <c r="I363" s="55" cm="1">
        <f t="array" ref="I363">(VLOOKUP($A363,'The List'!$B1:$AH671,21,FALSE)-AVERAGE('The List'!V2:V671))/STDEV('The List'!V2:V671)</f>
        <v>-0.41423113266967415</v>
      </c>
      <c r="J363" s="55" cm="1">
        <f t="array" ref="J363">(VLOOKUP($A363,'The List'!$B1:$AH671,22,FALSE)-AVERAGE('The List'!W2:W671))/STDEV('The List'!W2:W671)</f>
        <v>-0.60708005915743912</v>
      </c>
      <c r="K363" s="55" cm="1">
        <f t="array" ref="K363">(VLOOKUP($A363,'The List'!$B1:$AH671,23,FALSE)-AVERAGE('The List'!X2:X671))/STDEV('The List'!X2:X671)</f>
        <v>-0.32710738991058441</v>
      </c>
      <c r="L363" s="55" cm="1">
        <f t="array" ref="L363">(VLOOKUP($A363,'The List'!$B1:$AH671,24,FALSE)-AVERAGE('The List'!Y2:Y671))/STDEV('The List'!Y2:Y671)</f>
        <v>-0.53232737425778942</v>
      </c>
      <c r="M363" s="55" cm="1">
        <f t="array" ref="M363">(VLOOKUP($A363,'The List'!$B1:$AH671,25,FALSE)-AVERAGE('The List'!Z2:Z671))/STDEV('The List'!Z2:Z671)</f>
        <v>-0.63558817033175152</v>
      </c>
      <c r="N363" s="55" cm="1">
        <f t="array" ref="N363">(VLOOKUP($A363,'The List'!$B1:$AH671,26,FALSE)-AVERAGE('The List'!AA2:AA671))/STDEV('The List'!AA2:AA671)</f>
        <v>0.43059479417320623</v>
      </c>
      <c r="O363" s="55" cm="1">
        <f t="array" ref="O363">(VLOOKUP($A363,'The List'!$B1:$AH671,27,FALSE)-AVERAGE('The List'!AB2:AB671))/STDEV('The List'!AB2:AB671)</f>
        <v>2.6286564714291874E-3</v>
      </c>
      <c r="P363" s="55" cm="1">
        <f t="array" ref="P363">(VLOOKUP($A363,'The List'!$B1:$AH671,28,FALSE)-AVERAGE('The List'!AC2:AC671))/STDEV('The List'!AC2:AC671)</f>
        <v>0.11907493216283491</v>
      </c>
      <c r="Q363" s="55" cm="1">
        <f t="array" ref="Q363">(VLOOKUP($A363,'The List'!$B1:$AH671,29,FALSE)-AVERAGE('The List'!AD2:AD671))/STDEV('The List'!AD2:AD671)</f>
        <v>1.4359314907648077</v>
      </c>
      <c r="R363" s="55" cm="1">
        <f t="array" ref="R363">(VLOOKUP($A363,'The List'!$B1:$AH671,30,FALSE)-AVERAGE('The List'!AE2:AE671))/STDEV('The List'!AE2:AE671)</f>
        <v>-0.87200085967103669</v>
      </c>
      <c r="S363" s="55" cm="1">
        <f t="array" ref="S363">(VLOOKUP($A363,'The List'!$B1:$AH671,31,FALSE)-AVERAGE('The List'!AF2:AF671))/STDEV('The List'!AF2:AF671)</f>
        <v>-0.5939690971349143</v>
      </c>
      <c r="T363" s="55" cm="1">
        <f t="array" ref="T363">(VLOOKUP($A363,'The List'!$B1:$AH671,32,FALSE)-AVERAGE('The List'!AG2:AG671))/STDEV('The List'!AG2:AG671)</f>
        <v>-0.64602208138248207</v>
      </c>
      <c r="U363" s="55" cm="1">
        <f t="array" ref="U363">(VLOOKUP($A363,'The List'!$B1:$AH671,33,FALSE)-AVERAGE('The List'!AH2:AH671))/STDEV('The List'!AH2:AH671)</f>
        <v>-1.2548938914719048</v>
      </c>
      <c r="V363" s="55"/>
      <c r="W363" s="78"/>
      <c r="X363" s="57"/>
      <c r="Y363" s="57"/>
      <c r="Z363" s="57"/>
      <c r="AA363" s="57"/>
      <c r="AB363" s="57"/>
      <c r="AC363" s="60"/>
      <c r="AD363" s="61"/>
      <c r="AE363" s="55"/>
    </row>
    <row r="364" spans="1:31" ht="21.25" customHeight="1" x14ac:dyDescent="0.15">
      <c r="A364" s="10" t="s">
        <v>637</v>
      </c>
      <c r="B364" s="18" t="str" cm="1">
        <f t="array" ref="B364">VLOOKUP(A364,'Player Data'!A1:B673,2,FALSE)</f>
        <v>CAR</v>
      </c>
      <c r="C364" s="52" cm="1">
        <f t="array" ref="C364">((E364)*Settings!$C$12)+(F364*Settings!$C$2)+(G364*Settings!$C$3)+(H364*Settings!$C$4)+(I364*Settings!$C$5)+(K364*Settings!$C$9)+(N364*Settings!$C$6)+(J364*Settings!$C$8)+(O364*Settings!$C$7)+(P364*Settings!$C$14)+(Q364*Settings!$C$15)+(R364*Settings!$C$16)+(S364*Settings!$C$17)+(T364*Settings!$C$18)+(U364*Settings!$C$19)+(L364*Settings!$C$10)+(Settings!$C$11*M364)</f>
        <v>-0.98426101920080145</v>
      </c>
      <c r="D364" s="57" cm="1">
        <f t="array" ref="D364">IF(Settings!$E$12="YES",VLOOKUP(A364,'Player Data'!A1:E673,5,FALSE),82)</f>
        <v>82.73</v>
      </c>
      <c r="E364" s="55" cm="1">
        <f t="array" ref="E364">(VLOOKUP($A364,'The List'!$B1:$AH671,17,FALSE)-AVERAGE('The List'!R2:R671))/STDEV('The List'!R2:R671)</f>
        <v>-0.65939396480331924</v>
      </c>
      <c r="F364" s="55" cm="1">
        <f t="array" ref="F364">(VLOOKUP($A364,'The List'!$B1:$AH671,18,FALSE)-AVERAGE('The List'!S2:S671))/STDEV('The List'!S2:S671)</f>
        <v>-0.21931638009415313</v>
      </c>
      <c r="G364" s="55" cm="1">
        <f t="array" ref="G364">(VLOOKUP($A364,'The List'!$B1:$AH671,19,FALSE)-AVERAGE('The List'!T2:T671))/STDEV('The List'!T2:T671)</f>
        <v>-0.49265699922592004</v>
      </c>
      <c r="H364" s="55" cm="1">
        <f t="array" ref="H364">(VLOOKUP($A364,'The List'!$B1:$AH671,20,FALSE)-AVERAGE('The List'!U2:U671))/STDEV('The List'!U2:U671)</f>
        <v>-0.4071845591250734</v>
      </c>
      <c r="I364" s="55" cm="1">
        <f t="array" ref="I364">(VLOOKUP($A364,'The List'!$B1:$AH671,21,FALSE)-AVERAGE('The List'!V2:V671))/STDEV('The List'!V2:V671)</f>
        <v>-0.20412982185516781</v>
      </c>
      <c r="J364" s="55" cm="1">
        <f t="array" ref="J364">(VLOOKUP($A364,'The List'!$B1:$AH671,22,FALSE)-AVERAGE('The List'!W2:W671))/STDEV('The List'!W2:W671)</f>
        <v>-0.74268587648666107</v>
      </c>
      <c r="K364" s="55" cm="1">
        <f t="array" ref="K364">(VLOOKUP($A364,'The List'!$B1:$AH671,23,FALSE)-AVERAGE('The List'!X2:X671))/STDEV('The List'!X2:X671)</f>
        <v>-0.80580428265116977</v>
      </c>
      <c r="L364" s="55" cm="1">
        <f t="array" ref="L364">(VLOOKUP($A364,'The List'!$B1:$AH671,24,FALSE)-AVERAGE('The List'!Y2:Y671))/STDEV('The List'!Y2:Y671)</f>
        <v>0.78092232367864101</v>
      </c>
      <c r="M364" s="55" cm="1">
        <f t="array" ref="M364">(VLOOKUP($A364,'The List'!$B1:$AH671,25,FALSE)-AVERAGE('The List'!Z2:Z671))/STDEV('The List'!Z2:Z671)</f>
        <v>0.52083004076778594</v>
      </c>
      <c r="N364" s="55" cm="1">
        <f t="array" ref="N364">(VLOOKUP($A364,'The List'!$B1:$AH671,26,FALSE)-AVERAGE('The List'!AA2:AA671))/STDEV('The List'!AA2:AA671)</f>
        <v>-0.3509651340471181</v>
      </c>
      <c r="O364" s="55" cm="1">
        <f t="array" ref="O364">(VLOOKUP($A364,'The List'!$B1:$AH671,27,FALSE)-AVERAGE('The List'!AB2:AB671))/STDEV('The List'!AB2:AB671)</f>
        <v>0.27804161505513875</v>
      </c>
      <c r="P364" s="55" cm="1">
        <f t="array" ref="P364">(VLOOKUP($A364,'The List'!$B1:$AH671,28,FALSE)-AVERAGE('The List'!AC2:AC671))/STDEV('The List'!AC2:AC671)</f>
        <v>1.2550904141837773</v>
      </c>
      <c r="Q364" s="55" cm="1">
        <f t="array" ref="Q364">(VLOOKUP($A364,'The List'!$B1:$AH671,29,FALSE)-AVERAGE('The List'!AD2:AD671))/STDEV('The List'!AD2:AD671)</f>
        <v>-0.16647881551104968</v>
      </c>
      <c r="R364" s="55" cm="1">
        <f t="array" ref="R364">(VLOOKUP($A364,'The List'!$B1:$AH671,30,FALSE)-AVERAGE('The List'!AE2:AE671))/STDEV('The List'!AE2:AE671)</f>
        <v>-9.7006394215303923E-2</v>
      </c>
      <c r="S364" s="55" cm="1">
        <f t="array" ref="S364">(VLOOKUP($A364,'The List'!$B1:$AH671,31,FALSE)-AVERAGE('The List'!AF2:AF671))/STDEV('The List'!AF2:AF671)</f>
        <v>-0.42093789109288576</v>
      </c>
      <c r="T364" s="55" cm="1">
        <f t="array" ref="T364">(VLOOKUP($A364,'The List'!$B1:$AH671,32,FALSE)-AVERAGE('The List'!AG2:AG671))/STDEV('The List'!AG2:AG671)</f>
        <v>-0.43754239835918762</v>
      </c>
      <c r="U364" s="55" cm="1">
        <f t="array" ref="U364">(VLOOKUP($A364,'The List'!$B1:$AH671,33,FALSE)-AVERAGE('The List'!AH2:AH671))/STDEV('The List'!AH2:AH671)</f>
        <v>0.90187564796312469</v>
      </c>
      <c r="V364" s="55"/>
      <c r="W364" s="78"/>
      <c r="X364" s="57"/>
      <c r="Y364" s="57"/>
      <c r="Z364" s="57"/>
      <c r="AA364" s="57"/>
      <c r="AB364" s="57"/>
      <c r="AC364" s="60"/>
      <c r="AD364" s="61"/>
      <c r="AE364" s="55"/>
    </row>
    <row r="365" spans="1:31" ht="21.25" customHeight="1" x14ac:dyDescent="0.15">
      <c r="A365" s="10" t="s">
        <v>349</v>
      </c>
      <c r="B365" s="18" t="str" cm="1">
        <f t="array" ref="B365">VLOOKUP(A365,'Player Data'!A1:B673,2,FALSE)</f>
        <v>WPG</v>
      </c>
      <c r="C365" s="52" cm="1">
        <f t="array" ref="C365">((E365)*Settings!$C$12)+(F365*Settings!$C$2)+(G365*Settings!$C$3)+(H365*Settings!$C$4)+(I365*Settings!$C$5)+(K365*Settings!$C$9)+(N365*Settings!$C$6)+(J365*Settings!$C$8)+(O365*Settings!$C$7)+(P365*Settings!$C$14)+(Q365*Settings!$C$15)+(R365*Settings!$C$16)+(S365*Settings!$C$17)+(T365*Settings!$C$18)+(U365*Settings!$C$19)+(L365*Settings!$C$10)+(Settings!$C$11*M365)</f>
        <v>0.6254311902712405</v>
      </c>
      <c r="D365" s="57" cm="1">
        <f t="array" ref="D365">IF(Settings!$E$12="YES",VLOOKUP(A365,'Player Data'!A1:E673,5,FALSE),82)</f>
        <v>76.739999999999995</v>
      </c>
      <c r="E365" s="55" cm="1">
        <f t="array" ref="E365">(VLOOKUP($A365,'The List'!$B1:$AH671,17,FALSE)-AVERAGE('The List'!R2:R671))/STDEV('The List'!R2:R671)</f>
        <v>1.0108612768552578</v>
      </c>
      <c r="F365" s="55" cm="1">
        <f t="array" ref="F365">(VLOOKUP($A365,'The List'!$B1:$AH671,18,FALSE)-AVERAGE('The List'!S2:S671))/STDEV('The List'!S2:S671)</f>
        <v>-0.88734846095013753</v>
      </c>
      <c r="G365" s="55" cm="1">
        <f t="array" ref="G365">(VLOOKUP($A365,'The List'!$B1:$AH671,19,FALSE)-AVERAGE('The List'!T2:T671))/STDEV('The List'!T2:T671)</f>
        <v>-0.16589312902497225</v>
      </c>
      <c r="H365" s="55" cm="1">
        <f t="array" ref="H365">(VLOOKUP($A365,'The List'!$B1:$AH671,20,FALSE)-AVERAGE('The List'!U2:U671))/STDEV('The List'!U2:U671)</f>
        <v>-0.49804311187794975</v>
      </c>
      <c r="I365" s="55" cm="1">
        <f t="array" ref="I365">(VLOOKUP($A365,'The List'!$B1:$AH671,21,FALSE)-AVERAGE('The List'!V2:V671))/STDEV('The List'!V2:V671)</f>
        <v>-9.0331112718419801E-2</v>
      </c>
      <c r="J365" s="55" cm="1">
        <f t="array" ref="J365">(VLOOKUP($A365,'The List'!$B1:$AH671,22,FALSE)-AVERAGE('The List'!W2:W671))/STDEV('The List'!W2:W671)</f>
        <v>-0.31271857533203151</v>
      </c>
      <c r="K365" s="55" cm="1">
        <f t="array" ref="K365">(VLOOKUP($A365,'The List'!$B1:$AH671,23,FALSE)-AVERAGE('The List'!X2:X671))/STDEV('The List'!X2:X671)</f>
        <v>-0.12450526178835994</v>
      </c>
      <c r="L365" s="55" cm="1">
        <f t="array" ref="L365">(VLOOKUP($A365,'The List'!$B1:$AH671,24,FALSE)-AVERAGE('The List'!Y2:Y671))/STDEV('The List'!Y2:Y671)</f>
        <v>-0.52725970019228097</v>
      </c>
      <c r="M365" s="55" cm="1">
        <f t="array" ref="M365">(VLOOKUP($A365,'The List'!$B1:$AH671,25,FALSE)-AVERAGE('The List'!Z2:Z671))/STDEV('The List'!Z2:Z671)</f>
        <v>-0.21925455827367407</v>
      </c>
      <c r="N365" s="55" cm="1">
        <f t="array" ref="N365">(VLOOKUP($A365,'The List'!$B1:$AH671,26,FALSE)-AVERAGE('The List'!AA2:AA671))/STDEV('The List'!AA2:AA671)</f>
        <v>1.119752926029369</v>
      </c>
      <c r="O365" s="55" cm="1">
        <f t="array" ref="O365">(VLOOKUP($A365,'The List'!$B1:$AH671,27,FALSE)-AVERAGE('The List'!AB2:AB671))/STDEV('The List'!AB2:AB671)</f>
        <v>0.82628434998919964</v>
      </c>
      <c r="P365" s="55" cm="1">
        <f t="array" ref="P365">(VLOOKUP($A365,'The List'!$B1:$AH671,28,FALSE)-AVERAGE('The List'!AC2:AC671))/STDEV('The List'!AC2:AC671)</f>
        <v>5.1281581800755233E-2</v>
      </c>
      <c r="Q365" s="55" cm="1">
        <f t="array" ref="Q365">(VLOOKUP($A365,'The List'!$B1:$AH671,29,FALSE)-AVERAGE('The List'!AD2:AD671))/STDEV('The List'!AD2:AD671)</f>
        <v>0.72247464692300578</v>
      </c>
      <c r="R365" s="55" cm="1">
        <f t="array" ref="R365">(VLOOKUP($A365,'The List'!$B1:$AH671,30,FALSE)-AVERAGE('The List'!AE2:AE671))/STDEV('The List'!AE2:AE671)</f>
        <v>-0.80771161747388942</v>
      </c>
      <c r="S365" s="55" cm="1">
        <f t="array" ref="S365">(VLOOKUP($A365,'The List'!$B1:$AH671,31,FALSE)-AVERAGE('The List'!AF2:AF671))/STDEV('The List'!AF2:AF671)</f>
        <v>-0.5939690971349143</v>
      </c>
      <c r="T365" s="55" cm="1">
        <f t="array" ref="T365">(VLOOKUP($A365,'The List'!$B1:$AH671,32,FALSE)-AVERAGE('The List'!AG2:AG671))/STDEV('The List'!AG2:AG671)</f>
        <v>-0.64602208138248207</v>
      </c>
      <c r="U365" s="55" cm="1">
        <f t="array" ref="U365">(VLOOKUP($A365,'The List'!$B1:$AH671,33,FALSE)-AVERAGE('The List'!AH2:AH671))/STDEV('The List'!AH2:AH671)</f>
        <v>-1.2548938914719048</v>
      </c>
      <c r="V365" s="55"/>
      <c r="W365" s="78"/>
      <c r="X365" s="57"/>
      <c r="Y365" s="57"/>
      <c r="Z365" s="57"/>
      <c r="AA365" s="57"/>
      <c r="AB365" s="57"/>
      <c r="AC365" s="60"/>
      <c r="AD365" s="61"/>
      <c r="AE365" s="55"/>
    </row>
    <row r="366" spans="1:31" ht="21.25" customHeight="1" x14ac:dyDescent="0.15">
      <c r="A366" s="10" t="s">
        <v>377</v>
      </c>
      <c r="B366" s="18" t="str" cm="1">
        <f t="array" ref="B366">VLOOKUP(A366,'Player Data'!A1:B673,2,FALSE)</f>
        <v>BOS</v>
      </c>
      <c r="C366" s="52" cm="1">
        <f t="array" ref="C366">((E366)*Settings!$C$12)+(F366*Settings!$C$2)+(G366*Settings!$C$3)+(H366*Settings!$C$4)+(I366*Settings!$C$5)+(K366*Settings!$C$9)+(N366*Settings!$C$6)+(J366*Settings!$C$8)+(O366*Settings!$C$7)+(P366*Settings!$C$14)+(Q366*Settings!$C$15)+(R366*Settings!$C$16)+(S366*Settings!$C$17)+(T366*Settings!$C$18)+(U366*Settings!$C$19)+(L366*Settings!$C$10)+(Settings!$C$11*M366)</f>
        <v>0.16502641885959912</v>
      </c>
      <c r="D366" s="57" cm="1">
        <f t="array" ref="D366">IF(Settings!$E$12="YES",VLOOKUP(A366,'Player Data'!A1:E673,5,FALSE),82)</f>
        <v>71.53</v>
      </c>
      <c r="E366" s="55" cm="1">
        <f t="array" ref="E366">(VLOOKUP($A366,'The List'!$B1:$AH671,17,FALSE)-AVERAGE('The List'!R2:R671))/STDEV('The List'!R2:R671)</f>
        <v>1.484232676115167</v>
      </c>
      <c r="F366" s="55" cm="1">
        <f t="array" ref="F366">(VLOOKUP($A366,'The List'!$B1:$AH671,18,FALSE)-AVERAGE('The List'!S2:S671))/STDEV('The List'!S2:S671)</f>
        <v>-0.9978710281875367</v>
      </c>
      <c r="G366" s="55" cm="1">
        <f t="array" ref="G366">(VLOOKUP($A366,'The List'!$B1:$AH671,19,FALSE)-AVERAGE('The List'!T2:T671))/STDEV('The List'!T2:T671)</f>
        <v>-0.21957687870809178</v>
      </c>
      <c r="H366" s="55" cm="1">
        <f t="array" ref="H366">(VLOOKUP($A366,'The List'!$B1:$AH671,20,FALSE)-AVERAGE('The List'!U2:U671))/STDEV('The List'!U2:U671)</f>
        <v>-0.58084636592193717</v>
      </c>
      <c r="I366" s="55" cm="1">
        <f t="array" ref="I366">(VLOOKUP($A366,'The List'!$B1:$AH671,21,FALSE)-AVERAGE('The List'!V2:V671))/STDEV('The List'!V2:V671)</f>
        <v>-0.42621699861540507</v>
      </c>
      <c r="J366" s="55" cm="1">
        <f t="array" ref="J366">(VLOOKUP($A366,'The List'!$B1:$AH671,22,FALSE)-AVERAGE('The List'!W2:W671))/STDEV('The List'!W2:W671)</f>
        <v>-0.5959240092764988</v>
      </c>
      <c r="K366" s="55" cm="1">
        <f t="array" ref="K366">(VLOOKUP($A366,'The List'!$B1:$AH671,23,FALSE)-AVERAGE('The List'!X2:X671))/STDEV('The List'!X2:X671)</f>
        <v>-0.43192615083368591</v>
      </c>
      <c r="L366" s="55" cm="1">
        <f t="array" ref="L366">(VLOOKUP($A366,'The List'!$B1:$AH671,24,FALSE)-AVERAGE('The List'!Y2:Y671))/STDEV('The List'!Y2:Y671)</f>
        <v>-0.53571869501634151</v>
      </c>
      <c r="M366" s="55" cm="1">
        <f t="array" ref="M366">(VLOOKUP($A366,'The List'!$B1:$AH671,25,FALSE)-AVERAGE('The List'!Z2:Z671))/STDEV('The List'!Z2:Z671)</f>
        <v>-0.57825635959896138</v>
      </c>
      <c r="N366" s="55" cm="1">
        <f t="array" ref="N366">(VLOOKUP($A366,'The List'!$B1:$AH671,26,FALSE)-AVERAGE('The List'!AA2:AA671))/STDEV('The List'!AA2:AA671)</f>
        <v>1.2332732267118538</v>
      </c>
      <c r="O366" s="55" cm="1">
        <f t="array" ref="O366">(VLOOKUP($A366,'The List'!$B1:$AH671,27,FALSE)-AVERAGE('The List'!AB2:AB671))/STDEV('The List'!AB2:AB671)</f>
        <v>-1.0722095543452579</v>
      </c>
      <c r="P366" s="55" cm="1">
        <f t="array" ref="P366">(VLOOKUP($A366,'The List'!$B1:$AH671,28,FALSE)-AVERAGE('The List'!AC2:AC671))/STDEV('The List'!AC2:AC671)</f>
        <v>-0.37858364585314047</v>
      </c>
      <c r="Q366" s="55" cm="1">
        <f t="array" ref="Q366">(VLOOKUP($A366,'The List'!$B1:$AH671,29,FALSE)-AVERAGE('The List'!AD2:AD671))/STDEV('The List'!AD2:AD671)</f>
        <v>1.385927894345605</v>
      </c>
      <c r="R366" s="55" cm="1">
        <f t="array" ref="R366">(VLOOKUP($A366,'The List'!$B1:$AH671,30,FALSE)-AVERAGE('The List'!AE2:AE671))/STDEV('The List'!AE2:AE671)</f>
        <v>-1.0190567865155375</v>
      </c>
      <c r="S366" s="55" cm="1">
        <f t="array" ref="S366">(VLOOKUP($A366,'The List'!$B1:$AH671,31,FALSE)-AVERAGE('The List'!AF2:AF671))/STDEV('The List'!AF2:AF671)</f>
        <v>-0.5939690971349143</v>
      </c>
      <c r="T366" s="55" cm="1">
        <f t="array" ref="T366">(VLOOKUP($A366,'The List'!$B1:$AH671,32,FALSE)-AVERAGE('The List'!AG2:AG671))/STDEV('The List'!AG2:AG671)</f>
        <v>-0.64602208138248207</v>
      </c>
      <c r="U366" s="55" cm="1">
        <f t="array" ref="U366">(VLOOKUP($A366,'The List'!$B1:$AH671,33,FALSE)-AVERAGE('The List'!AH2:AH671))/STDEV('The List'!AH2:AH671)</f>
        <v>-1.2548938914719048</v>
      </c>
      <c r="V366" s="55"/>
      <c r="W366" s="57"/>
      <c r="X366" s="55"/>
      <c r="Y366" s="55"/>
      <c r="Z366" s="55"/>
      <c r="AA366" s="55"/>
      <c r="AB366" s="55"/>
      <c r="AC366" s="55"/>
      <c r="AD366" s="55"/>
      <c r="AE366" s="55"/>
    </row>
    <row r="367" spans="1:31" ht="21.25" customHeight="1" x14ac:dyDescent="0.15">
      <c r="A367" s="10" t="s">
        <v>641</v>
      </c>
      <c r="B367" s="18" t="str" cm="1">
        <f t="array" ref="B367">VLOOKUP(A367,'Player Data'!A1:B673,2,FALSE)</f>
        <v>WPG</v>
      </c>
      <c r="C367" s="52" cm="1">
        <f t="array" ref="C367">((E367)*Settings!$C$12)+(F367*Settings!$C$2)+(G367*Settings!$C$3)+(H367*Settings!$C$4)+(I367*Settings!$C$5)+(K367*Settings!$C$9)+(N367*Settings!$C$6)+(J367*Settings!$C$8)+(O367*Settings!$C$7)+(P367*Settings!$C$14)+(Q367*Settings!$C$15)+(R367*Settings!$C$16)+(S367*Settings!$C$17)+(T367*Settings!$C$18)+(U367*Settings!$C$19)+(L367*Settings!$C$10)+(Settings!$C$11*M367)</f>
        <v>-1.8889924476446918</v>
      </c>
      <c r="D367" s="57" cm="1">
        <f t="array" ref="D367">IF(Settings!$E$12="YES",VLOOKUP(A367,'Player Data'!A1:E673,5,FALSE),82)</f>
        <v>80.5625</v>
      </c>
      <c r="E367" s="55" cm="1">
        <f t="array" ref="E367">(VLOOKUP($A367,'The List'!$B1:$AH671,17,FALSE)-AVERAGE('The List'!R2:R671))/STDEV('The List'!R2:R671)</f>
        <v>-0.47030061940827461</v>
      </c>
      <c r="F367" s="55" cm="1">
        <f t="array" ref="F367">(VLOOKUP($A367,'The List'!$B1:$AH671,18,FALSE)-AVERAGE('The List'!S2:S671))/STDEV('The List'!S2:S671)</f>
        <v>-0.41012162344576042</v>
      </c>
      <c r="G367" s="55" cm="1">
        <f t="array" ref="G367">(VLOOKUP($A367,'The List'!$B1:$AH671,19,FALSE)-AVERAGE('The List'!T2:T671))/STDEV('The List'!T2:T671)</f>
        <v>-0.42042224966249531</v>
      </c>
      <c r="H367" s="55" cm="1">
        <f t="array" ref="H367">(VLOOKUP($A367,'The List'!$B1:$AH671,20,FALSE)-AVERAGE('The List'!U2:U671))/STDEV('The List'!U2:U671)</f>
        <v>-0.44640541875211048</v>
      </c>
      <c r="I367" s="55" cm="1">
        <f t="array" ref="I367">(VLOOKUP($A367,'The List'!$B1:$AH671,21,FALSE)-AVERAGE('The List'!V2:V671))/STDEV('The List'!V2:V671)</f>
        <v>-0.57845700161709079</v>
      </c>
      <c r="J367" s="55" cm="1">
        <f t="array" ref="J367">(VLOOKUP($A367,'The List'!$B1:$AH671,22,FALSE)-AVERAGE('The List'!W2:W671))/STDEV('The List'!W2:W671)</f>
        <v>-0.74245952813403437</v>
      </c>
      <c r="K367" s="55" cm="1">
        <f t="array" ref="K367">(VLOOKUP($A367,'The List'!$B1:$AH671,23,FALSE)-AVERAGE('The List'!X2:X671))/STDEV('The List'!X2:X671)</f>
        <v>-0.80252086901648156</v>
      </c>
      <c r="L367" s="55" cm="1">
        <f t="array" ref="L367">(VLOOKUP($A367,'The List'!$B1:$AH671,24,FALSE)-AVERAGE('The List'!Y2:Y671))/STDEV('The List'!Y2:Y671)</f>
        <v>0.41597167267684865</v>
      </c>
      <c r="M367" s="55" cm="1">
        <f t="array" ref="M367">(VLOOKUP($A367,'The List'!$B1:$AH671,25,FALSE)-AVERAGE('The List'!Z2:Z671))/STDEV('The List'!Z2:Z671)</f>
        <v>1.000509157227689</v>
      </c>
      <c r="N367" s="55" cm="1">
        <f t="array" ref="N367">(VLOOKUP($A367,'The List'!$B1:$AH671,26,FALSE)-AVERAGE('The List'!AA2:AA671))/STDEV('The List'!AA2:AA671)</f>
        <v>-0.16216170732209148</v>
      </c>
      <c r="O367" s="55" cm="1">
        <f t="array" ref="O367">(VLOOKUP($A367,'The List'!$B1:$AH671,27,FALSE)-AVERAGE('The List'!AB2:AB671))/STDEV('The List'!AB2:AB671)</f>
        <v>1.3919328177569605</v>
      </c>
      <c r="P367" s="55" cm="1">
        <f t="array" ref="P367">(VLOOKUP($A367,'The List'!$B1:$AH671,28,FALSE)-AVERAGE('The List'!AC2:AC671))/STDEV('The List'!AC2:AC671)</f>
        <v>0.13184248045691055</v>
      </c>
      <c r="Q367" s="55" cm="1">
        <f t="array" ref="Q367">(VLOOKUP($A367,'The List'!$B1:$AH671,29,FALSE)-AVERAGE('The List'!AD2:AD671))/STDEV('The List'!AD2:AD671)</f>
        <v>0.35284852296231756</v>
      </c>
      <c r="R367" s="55" cm="1">
        <f t="array" ref="R367">(VLOOKUP($A367,'The List'!$B1:$AH671,30,FALSE)-AVERAGE('The List'!AE2:AE671))/STDEV('The List'!AE2:AE671)</f>
        <v>-0.28948951168029358</v>
      </c>
      <c r="S367" s="55" cm="1">
        <f t="array" ref="S367">(VLOOKUP($A367,'The List'!$B1:$AH671,31,FALSE)-AVERAGE('The List'!AF2:AF671))/STDEV('The List'!AF2:AF671)</f>
        <v>2.2805495360484258</v>
      </c>
      <c r="T367" s="55" cm="1">
        <f t="array" ref="T367">(VLOOKUP($A367,'The List'!$B1:$AH671,32,FALSE)-AVERAGE('The List'!AG2:AG671))/STDEV('The List'!AG2:AG671)</f>
        <v>2.1638408777871216</v>
      </c>
      <c r="U367" s="55" cm="1">
        <f t="array" ref="U367">(VLOOKUP($A367,'The List'!$B1:$AH671,33,FALSE)-AVERAGE('The List'!AH2:AH671))/STDEV('The List'!AH2:AH671)</f>
        <v>1.1419609516424156</v>
      </c>
      <c r="V367" s="55"/>
      <c r="W367" s="78"/>
      <c r="X367" s="57"/>
      <c r="Y367" s="57"/>
      <c r="Z367" s="57"/>
      <c r="AA367" s="57"/>
      <c r="AB367" s="57"/>
      <c r="AC367" s="60"/>
      <c r="AD367" s="61"/>
      <c r="AE367" s="55"/>
    </row>
    <row r="368" spans="1:31" ht="21.25" customHeight="1" x14ac:dyDescent="0.15">
      <c r="A368" s="10" t="s">
        <v>344</v>
      </c>
      <c r="B368" s="18" t="str" cm="1">
        <f t="array" ref="B368">VLOOKUP(A368,'Player Data'!A1:B673,2,FALSE)</f>
        <v>NYR</v>
      </c>
      <c r="C368" s="52" cm="1">
        <f t="array" ref="C368">((E368)*Settings!$C$12)+(F368*Settings!$C$2)+(G368*Settings!$C$3)+(H368*Settings!$C$4)+(I368*Settings!$C$5)+(K368*Settings!$C$9)+(N368*Settings!$C$6)+(J368*Settings!$C$8)+(O368*Settings!$C$7)+(P368*Settings!$C$14)+(Q368*Settings!$C$15)+(R368*Settings!$C$16)+(S368*Settings!$C$17)+(T368*Settings!$C$18)+(U368*Settings!$C$19)+(L368*Settings!$C$10)+(Settings!$C$11*M368)</f>
        <v>-3.8651555675218441E-2</v>
      </c>
      <c r="D368" s="57" cm="1">
        <f t="array" ref="D368">IF(Settings!$E$12="YES",VLOOKUP(A368,'Player Data'!A1:E673,5,FALSE),82)</f>
        <v>83.53</v>
      </c>
      <c r="E368" s="55" cm="1">
        <f t="array" ref="E368">(VLOOKUP($A368,'The List'!$B1:$AH671,17,FALSE)-AVERAGE('The List'!R2:R671))/STDEV('The List'!R2:R671)</f>
        <v>1.5756467575976503</v>
      </c>
      <c r="F368" s="55" cm="1">
        <f t="array" ref="F368">(VLOOKUP($A368,'The List'!$B1:$AH671,18,FALSE)-AVERAGE('The List'!S2:S671))/STDEV('The List'!S2:S671)</f>
        <v>-0.7009024604896853</v>
      </c>
      <c r="G368" s="55" cm="1">
        <f t="array" ref="G368">(VLOOKUP($A368,'The List'!$B1:$AH671,19,FALSE)-AVERAGE('The List'!T2:T671))/STDEV('The List'!T2:T671)</f>
        <v>-0.15023579242130097</v>
      </c>
      <c r="H368" s="55" cm="1">
        <f t="array" ref="H368">(VLOOKUP($A368,'The List'!$B1:$AH671,20,FALSE)-AVERAGE('The List'!U2:U671))/STDEV('The List'!U2:U671)</f>
        <v>-0.40547269521279705</v>
      </c>
      <c r="I368" s="55" cm="1">
        <f t="array" ref="I368">(VLOOKUP($A368,'The List'!$B1:$AH671,21,FALSE)-AVERAGE('The List'!V2:V671))/STDEV('The List'!V2:V671)</f>
        <v>-0.24580740632659911</v>
      </c>
      <c r="J368" s="55" cm="1">
        <f t="array" ref="J368">(VLOOKUP($A368,'The List'!$B1:$AH671,22,FALSE)-AVERAGE('The List'!W2:W671))/STDEV('The List'!W2:W671)</f>
        <v>-0.65701222077738286</v>
      </c>
      <c r="K368" s="55" cm="1">
        <f t="array" ref="K368">(VLOOKUP($A368,'The List'!$B1:$AH671,23,FALSE)-AVERAGE('The List'!X2:X671))/STDEV('The List'!X2:X671)</f>
        <v>-0.72354298361583591</v>
      </c>
      <c r="L368" s="55" cm="1">
        <f t="array" ref="L368">(VLOOKUP($A368,'The List'!$B1:$AH671,24,FALSE)-AVERAGE('The List'!Y2:Y671))/STDEV('The List'!Y2:Y671)</f>
        <v>-0.53705244900537852</v>
      </c>
      <c r="M368" s="55" cm="1">
        <f t="array" ref="M368">(VLOOKUP($A368,'The List'!$B1:$AH671,25,FALSE)-AVERAGE('The List'!Z2:Z671))/STDEV('The List'!Z2:Z671)</f>
        <v>-3.4442443426864089E-2</v>
      </c>
      <c r="N368" s="55" cm="1">
        <f t="array" ref="N368">(VLOOKUP($A368,'The List'!$B1:$AH671,26,FALSE)-AVERAGE('The List'!AA2:AA671))/STDEV('The List'!AA2:AA671)</f>
        <v>1.4083957957408626</v>
      </c>
      <c r="O368" s="55" cm="1">
        <f t="array" ref="O368">(VLOOKUP($A368,'The List'!$B1:$AH671,27,FALSE)-AVERAGE('The List'!AB2:AB671))/STDEV('The List'!AB2:AB671)</f>
        <v>-0.69106947292254195</v>
      </c>
      <c r="P368" s="55" cm="1">
        <f t="array" ref="P368">(VLOOKUP($A368,'The List'!$B1:$AH671,28,FALSE)-AVERAGE('The List'!AC2:AC671))/STDEV('The List'!AC2:AC671)</f>
        <v>-7.2405011056918794E-2</v>
      </c>
      <c r="Q368" s="55" cm="1">
        <f t="array" ref="Q368">(VLOOKUP($A368,'The List'!$B1:$AH671,29,FALSE)-AVERAGE('The List'!AD2:AD671))/STDEV('The List'!AD2:AD671)</f>
        <v>0.44584630249425899</v>
      </c>
      <c r="R368" s="55" cm="1">
        <f t="array" ref="R368">(VLOOKUP($A368,'The List'!$B1:$AH671,30,FALSE)-AVERAGE('The List'!AE2:AE671))/STDEV('The List'!AE2:AE671)</f>
        <v>-0.67505769971218388</v>
      </c>
      <c r="S368" s="55" cm="1">
        <f t="array" ref="S368">(VLOOKUP($A368,'The List'!$B1:$AH671,31,FALSE)-AVERAGE('The List'!AF2:AF671))/STDEV('The List'!AF2:AF671)</f>
        <v>-0.5939690971349143</v>
      </c>
      <c r="T368" s="55" cm="1">
        <f t="array" ref="T368">(VLOOKUP($A368,'The List'!$B1:$AH671,32,FALSE)-AVERAGE('The List'!AG2:AG671))/STDEV('The List'!AG2:AG671)</f>
        <v>-0.64602208138248207</v>
      </c>
      <c r="U368" s="55" cm="1">
        <f t="array" ref="U368">(VLOOKUP($A368,'The List'!$B1:$AH671,33,FALSE)-AVERAGE('The List'!AH2:AH671))/STDEV('The List'!AH2:AH671)</f>
        <v>-1.2548938914719048</v>
      </c>
      <c r="V368" s="55"/>
      <c r="W368" s="78"/>
      <c r="X368" s="57"/>
      <c r="Y368" s="57"/>
      <c r="Z368" s="57"/>
      <c r="AA368" s="57"/>
      <c r="AB368" s="57"/>
      <c r="AC368" s="60"/>
      <c r="AD368" s="61"/>
      <c r="AE368" s="55"/>
    </row>
    <row r="369" spans="1:31" ht="21.25" customHeight="1" x14ac:dyDescent="0.15">
      <c r="A369" s="10" t="s">
        <v>702</v>
      </c>
      <c r="B369" s="18" t="str" cm="1">
        <f t="array" ref="B369">VLOOKUP(A369,'Player Data'!A1:B673,2,FALSE)</f>
        <v>T.B</v>
      </c>
      <c r="C369" s="52" cm="1">
        <f t="array" ref="C369">((E369)*Settings!$C$12)+(F369*Settings!$C$2)+(G369*Settings!$C$3)+(H369*Settings!$C$4)+(I369*Settings!$C$5)+(K369*Settings!$C$9)+(N369*Settings!$C$6)+(J369*Settings!$C$8)+(O369*Settings!$C$7)+(P369*Settings!$C$14)+(Q369*Settings!$C$15)+(R369*Settings!$C$16)+(S369*Settings!$C$17)+(T369*Settings!$C$18)+(U369*Settings!$C$19)+(L369*Settings!$C$10)+(Settings!$C$11*M369)</f>
        <v>-3.5499159779618354</v>
      </c>
      <c r="D369" s="57" cm="1">
        <f t="array" ref="D369">IF(Settings!$E$12="YES",VLOOKUP(A369,'Player Data'!A1:E673,5,FALSE),82)</f>
        <v>67.844999999999999</v>
      </c>
      <c r="E369" s="55" cm="1">
        <f t="array" ref="E369">(VLOOKUP($A369,'The List'!$B1:$AH671,17,FALSE)-AVERAGE('The List'!R2:R671))/STDEV('The List'!R2:R671)</f>
        <v>-1.322541458728868</v>
      </c>
      <c r="F369" s="55" cm="1">
        <f t="array" ref="F369">(VLOOKUP($A369,'The List'!$B1:$AH671,18,FALSE)-AVERAGE('The List'!S2:S671))/STDEV('The List'!S2:S671)</f>
        <v>-0.34373890920361189</v>
      </c>
      <c r="G369" s="55" cm="1">
        <f t="array" ref="G369">(VLOOKUP($A369,'The List'!$B1:$AH671,19,FALSE)-AVERAGE('The List'!T2:T671))/STDEV('The List'!T2:T671)</f>
        <v>-0.77794814117242739</v>
      </c>
      <c r="H369" s="55" cm="1">
        <f t="array" ref="H369">(VLOOKUP($A369,'The List'!$B1:$AH671,20,FALSE)-AVERAGE('The List'!U2:U671))/STDEV('The List'!U2:U671)</f>
        <v>-0.64183475112866761</v>
      </c>
      <c r="I369" s="55" cm="1">
        <f t="array" ref="I369">(VLOOKUP($A369,'The List'!$B1:$AH671,21,FALSE)-AVERAGE('The List'!V2:V671))/STDEV('The List'!V2:V671)</f>
        <v>-0.71666238290704964</v>
      </c>
      <c r="J369" s="55" cm="1">
        <f t="array" ref="J369">(VLOOKUP($A369,'The List'!$B1:$AH671,22,FALSE)-AVERAGE('The List'!W2:W671))/STDEV('The List'!W2:W671)</f>
        <v>-0.59241942765663791</v>
      </c>
      <c r="K369" s="55" cm="1">
        <f t="array" ref="K369">(VLOOKUP($A369,'The List'!$B1:$AH671,23,FALSE)-AVERAGE('The List'!X2:X671))/STDEV('The List'!X2:X671)</f>
        <v>-0.67446148084962332</v>
      </c>
      <c r="L369" s="55" cm="1">
        <f t="array" ref="L369">(VLOOKUP($A369,'The List'!$B1:$AH671,24,FALSE)-AVERAGE('The List'!Y2:Y671))/STDEV('The List'!Y2:Y671)</f>
        <v>-0.52239224844632315</v>
      </c>
      <c r="M369" s="55" cm="1">
        <f t="array" ref="M369">(VLOOKUP($A369,'The List'!$B1:$AH671,25,FALSE)-AVERAGE('The List'!Z2:Z671))/STDEV('The List'!Z2:Z671)</f>
        <v>-0.6649800411922796</v>
      </c>
      <c r="N369" s="55" cm="1">
        <f t="array" ref="N369">(VLOOKUP($A369,'The List'!$B1:$AH671,26,FALSE)-AVERAGE('The List'!AA2:AA671))/STDEV('The List'!AA2:AA671)</f>
        <v>-1.0273548920671225</v>
      </c>
      <c r="O369" s="55" cm="1">
        <f t="array" ref="O369">(VLOOKUP($A369,'The List'!$B1:$AH671,27,FALSE)-AVERAGE('The List'!AB2:AB671))/STDEV('The List'!AB2:AB671)</f>
        <v>0.17166720383296807</v>
      </c>
      <c r="P369" s="55" cm="1">
        <f t="array" ref="P369">(VLOOKUP($A369,'The List'!$B1:$AH671,28,FALSE)-AVERAGE('The List'!AC2:AC671))/STDEV('The List'!AC2:AC671)</f>
        <v>1.1387172645369046</v>
      </c>
      <c r="Q369" s="55" cm="1">
        <f t="array" ref="Q369">(VLOOKUP($A369,'The List'!$B1:$AH671,29,FALSE)-AVERAGE('The List'!AD2:AD671))/STDEV('The List'!AD2:AD671)</f>
        <v>-1.1484674362989049</v>
      </c>
      <c r="R369" s="55" cm="1">
        <f t="array" ref="R369">(VLOOKUP($A369,'The List'!$B1:$AH671,30,FALSE)-AVERAGE('The List'!AE2:AE671))/STDEV('The List'!AE2:AE671)</f>
        <v>-0.19339320038191768</v>
      </c>
      <c r="S369" s="55" cm="1">
        <f t="array" ref="S369">(VLOOKUP($A369,'The List'!$B1:$AH671,31,FALSE)-AVERAGE('The List'!AF2:AF671))/STDEV('The List'!AF2:AF671)</f>
        <v>0.41156318903200678</v>
      </c>
      <c r="T369" s="55" cm="1">
        <f t="array" ref="T369">(VLOOKUP($A369,'The List'!$B1:$AH671,32,FALSE)-AVERAGE('The List'!AG2:AG671))/STDEV('The List'!AG2:AG671)</f>
        <v>0.4094102594700485</v>
      </c>
      <c r="U369" s="55" cm="1">
        <f t="array" ref="U369">(VLOOKUP($A369,'The List'!$B1:$AH671,33,FALSE)-AVERAGE('The List'!AH2:AH671))/STDEV('The List'!AH2:AH671)</f>
        <v>1.0602154678275697</v>
      </c>
      <c r="V369" s="55"/>
      <c r="W369" s="57"/>
      <c r="X369" s="55"/>
      <c r="Y369" s="55"/>
      <c r="Z369" s="55"/>
      <c r="AA369" s="55"/>
      <c r="AB369" s="55"/>
      <c r="AC369" s="55"/>
      <c r="AD369" s="55"/>
      <c r="AE369" s="55"/>
    </row>
    <row r="370" spans="1:31" ht="21.25" customHeight="1" x14ac:dyDescent="0.15">
      <c r="A370" s="10" t="s">
        <v>371</v>
      </c>
      <c r="B370" s="18" t="str" cm="1">
        <f t="array" ref="B370">VLOOKUP(A370,'Player Data'!A1:B673,2,FALSE)</f>
        <v>T.B</v>
      </c>
      <c r="C370" s="52" cm="1">
        <f t="array" ref="C370">((E370)*Settings!$C$12)+(F370*Settings!$C$2)+(G370*Settings!$C$3)+(H370*Settings!$C$4)+(I370*Settings!$C$5)+(K370*Settings!$C$9)+(N370*Settings!$C$6)+(J370*Settings!$C$8)+(O370*Settings!$C$7)+(P370*Settings!$C$14)+(Q370*Settings!$C$15)+(R370*Settings!$C$16)+(S370*Settings!$C$17)+(T370*Settings!$C$18)+(U370*Settings!$C$19)+(L370*Settings!$C$10)+(Settings!$C$11*M370)</f>
        <v>1.4509329311643757</v>
      </c>
      <c r="D370" s="57" cm="1">
        <f t="array" ref="D370">IF(Settings!$E$12="YES",VLOOKUP(A370,'Player Data'!A1:E673,5,FALSE),82)</f>
        <v>79.447500000000005</v>
      </c>
      <c r="E370" s="55" cm="1">
        <f t="array" ref="E370">(VLOOKUP($A370,'The List'!$B1:$AH671,17,FALSE)-AVERAGE('The List'!R2:R671))/STDEV('The List'!R2:R671)</f>
        <v>1.2153311780630476</v>
      </c>
      <c r="F370" s="55" cm="1">
        <f t="array" ref="F370">(VLOOKUP($A370,'The List'!$B1:$AH671,18,FALSE)-AVERAGE('The List'!S2:S671))/STDEV('The List'!S2:S671)</f>
        <v>-0.79626878069740081</v>
      </c>
      <c r="G370" s="55" cm="1">
        <f t="array" ref="G370">(VLOOKUP($A370,'The List'!$B1:$AH671,19,FALSE)-AVERAGE('The List'!T2:T671))/STDEV('The List'!T2:T671)</f>
        <v>-0.18603619572659849</v>
      </c>
      <c r="H370" s="55" cm="1">
        <f t="array" ref="H370">(VLOOKUP($A370,'The List'!$B1:$AH671,20,FALSE)-AVERAGE('The List'!U2:U671))/STDEV('The List'!U2:U671)</f>
        <v>-0.47030292166986526</v>
      </c>
      <c r="I370" s="55" cm="1">
        <f t="array" ref="I370">(VLOOKUP($A370,'The List'!$B1:$AH671,21,FALSE)-AVERAGE('The List'!V2:V671))/STDEV('The List'!V2:V671)</f>
        <v>-0.4174178419076166</v>
      </c>
      <c r="J370" s="55" cm="1">
        <f t="array" ref="J370">(VLOOKUP($A370,'The List'!$B1:$AH671,22,FALSE)-AVERAGE('The List'!W2:W671))/STDEV('The List'!W2:W671)</f>
        <v>-0.74821697600644632</v>
      </c>
      <c r="K370" s="55" cm="1">
        <f t="array" ref="K370">(VLOOKUP($A370,'The List'!$B1:$AH671,23,FALSE)-AVERAGE('The List'!X2:X671))/STDEV('The List'!X2:X671)</f>
        <v>-0.78676695100659932</v>
      </c>
      <c r="L370" s="55" cm="1">
        <f t="array" ref="L370">(VLOOKUP($A370,'The List'!$B1:$AH671,24,FALSE)-AVERAGE('The List'!Y2:Y671))/STDEV('The List'!Y2:Y671)</f>
        <v>2.8221340537273546E-2</v>
      </c>
      <c r="M370" s="55" cm="1">
        <f t="array" ref="M370">(VLOOKUP($A370,'The List'!$B1:$AH671,25,FALSE)-AVERAGE('The List'!Z2:Z671))/STDEV('The List'!Z2:Z671)</f>
        <v>1.3552104136795731</v>
      </c>
      <c r="N370" s="55" cm="1">
        <f t="array" ref="N370">(VLOOKUP($A370,'The List'!$B1:$AH671,26,FALSE)-AVERAGE('The List'!AA2:AA671))/STDEV('The List'!AA2:AA671)</f>
        <v>1.0461998482276733</v>
      </c>
      <c r="O370" s="55" cm="1">
        <f t="array" ref="O370">(VLOOKUP($A370,'The List'!$B1:$AH671,27,FALSE)-AVERAGE('The List'!AB2:AB671))/STDEV('The List'!AB2:AB671)</f>
        <v>-0.36955101123034878</v>
      </c>
      <c r="P370" s="55" cm="1">
        <f t="array" ref="P370">(VLOOKUP($A370,'The List'!$B1:$AH671,28,FALSE)-AVERAGE('The List'!AC2:AC671))/STDEV('The List'!AC2:AC671)</f>
        <v>1.8445074482752901</v>
      </c>
      <c r="Q370" s="55" cm="1">
        <f t="array" ref="Q370">(VLOOKUP($A370,'The List'!$B1:$AH671,29,FALSE)-AVERAGE('The List'!AD2:AD671))/STDEV('The List'!AD2:AD671)</f>
        <v>0.74671540399962744</v>
      </c>
      <c r="R370" s="55" cm="1">
        <f t="array" ref="R370">(VLOOKUP($A370,'The List'!$B1:$AH671,30,FALSE)-AVERAGE('The List'!AE2:AE671))/STDEV('The List'!AE2:AE671)</f>
        <v>-0.69537224830366839</v>
      </c>
      <c r="S370" s="55" cm="1">
        <f t="array" ref="S370">(VLOOKUP($A370,'The List'!$B1:$AH671,31,FALSE)-AVERAGE('The List'!AF2:AF671))/STDEV('The List'!AF2:AF671)</f>
        <v>-0.5939690971349143</v>
      </c>
      <c r="T370" s="55" cm="1">
        <f t="array" ref="T370">(VLOOKUP($A370,'The List'!$B1:$AH671,32,FALSE)-AVERAGE('The List'!AG2:AG671))/STDEV('The List'!AG2:AG671)</f>
        <v>-0.64602208138248207</v>
      </c>
      <c r="U370" s="55" cm="1">
        <f t="array" ref="U370">(VLOOKUP($A370,'The List'!$B1:$AH671,33,FALSE)-AVERAGE('The List'!AH2:AH671))/STDEV('The List'!AH2:AH671)</f>
        <v>-1.2548938914719048</v>
      </c>
      <c r="V370" s="55"/>
      <c r="W370" s="78"/>
      <c r="X370" s="57"/>
      <c r="Y370" s="57"/>
      <c r="Z370" s="57"/>
      <c r="AA370" s="57"/>
      <c r="AB370" s="57"/>
      <c r="AC370" s="60"/>
      <c r="AD370" s="61"/>
      <c r="AE370" s="55"/>
    </row>
    <row r="371" spans="1:31" ht="21.25" customHeight="1" x14ac:dyDescent="0.15">
      <c r="A371" s="10" t="s">
        <v>709</v>
      </c>
      <c r="B371" s="18" t="str" cm="1">
        <f t="array" ref="B371">VLOOKUP(A371,'Player Data'!A1:B673,2,FALSE)</f>
        <v>NSH</v>
      </c>
      <c r="C371" s="52" cm="1">
        <f t="array" ref="C371">((E371)*Settings!$C$12)+(F371*Settings!$C$2)+(G371*Settings!$C$3)+(H371*Settings!$C$4)+(I371*Settings!$C$5)+(K371*Settings!$C$9)+(N371*Settings!$C$6)+(J371*Settings!$C$8)+(O371*Settings!$C$7)+(P371*Settings!$C$14)+(Q371*Settings!$C$15)+(R371*Settings!$C$16)+(S371*Settings!$C$17)+(T371*Settings!$C$18)+(U371*Settings!$C$19)+(L371*Settings!$C$10)+(Settings!$C$11*M371)</f>
        <v>-3.9584083475917593</v>
      </c>
      <c r="D371" s="57" cm="1">
        <f t="array" ref="D371">IF(Settings!$E$12="YES",VLOOKUP(A371,'Player Data'!A1:E673,5,FALSE),82)</f>
        <v>74.644999999999996</v>
      </c>
      <c r="E371" s="55" cm="1">
        <f t="array" ref="E371">(VLOOKUP($A371,'The List'!$B1:$AH671,17,FALSE)-AVERAGE('The List'!R2:R671))/STDEV('The List'!R2:R671)</f>
        <v>-1.0939230626285148</v>
      </c>
      <c r="F371" s="55" cm="1">
        <f t="array" ref="F371">(VLOOKUP($A371,'The List'!$B1:$AH671,18,FALSE)-AVERAGE('The List'!S2:S671))/STDEV('The List'!S2:S671)</f>
        <v>-0.21300880881307899</v>
      </c>
      <c r="G371" s="55" cm="1">
        <f t="array" ref="G371">(VLOOKUP($A371,'The List'!$B1:$AH671,19,FALSE)-AVERAGE('The List'!T2:T671))/STDEV('The List'!T2:T671)</f>
        <v>-0.7247623081763801</v>
      </c>
      <c r="H371" s="55" cm="1">
        <f t="array" ref="H371">(VLOOKUP($A371,'The List'!$B1:$AH671,20,FALSE)-AVERAGE('The List'!U2:U671))/STDEV('The List'!U2:U671)</f>
        <v>-0.55037904117356651</v>
      </c>
      <c r="I371" s="55" cm="1">
        <f t="array" ref="I371">(VLOOKUP($A371,'The List'!$B1:$AH671,21,FALSE)-AVERAGE('The List'!V2:V671))/STDEV('The List'!V2:V671)</f>
        <v>-0.5938405388211877</v>
      </c>
      <c r="J371" s="55" cm="1">
        <f t="array" ref="J371">(VLOOKUP($A371,'The List'!$B1:$AH671,22,FALSE)-AVERAGE('The List'!W2:W671))/STDEV('The List'!W2:W671)</f>
        <v>-0.68853317805107284</v>
      </c>
      <c r="K371" s="55" cm="1">
        <f t="array" ref="K371">(VLOOKUP($A371,'The List'!$B1:$AH671,23,FALSE)-AVERAGE('The List'!X2:X671))/STDEV('The List'!X2:X671)</f>
        <v>-0.74500251288273578</v>
      </c>
      <c r="L371" s="55" cm="1">
        <f t="array" ref="L371">(VLOOKUP($A371,'The List'!$B1:$AH671,24,FALSE)-AVERAGE('The List'!Y2:Y671))/STDEV('The List'!Y2:Y671)</f>
        <v>-0.5642023549230899</v>
      </c>
      <c r="M371" s="55" cm="1">
        <f t="array" ref="M371">(VLOOKUP($A371,'The List'!$B1:$AH671,25,FALSE)-AVERAGE('The List'!Z2:Z671))/STDEV('The List'!Z2:Z671)</f>
        <v>-0.70610085180178805</v>
      </c>
      <c r="N371" s="55" cm="1">
        <f t="array" ref="N371">(VLOOKUP($A371,'The List'!$B1:$AH671,26,FALSE)-AVERAGE('The List'!AA2:AA671))/STDEV('The List'!AA2:AA671)</f>
        <v>-1.0396334175207782</v>
      </c>
      <c r="O371" s="55" cm="1">
        <f t="array" ref="O371">(VLOOKUP($A371,'The List'!$B1:$AH671,27,FALSE)-AVERAGE('The List'!AB2:AB671))/STDEV('The List'!AB2:AB671)</f>
        <v>0.14082340410738814</v>
      </c>
      <c r="P371" s="55" cm="1">
        <f t="array" ref="P371">(VLOOKUP($A371,'The List'!$B1:$AH671,28,FALSE)-AVERAGE('The List'!AC2:AC671))/STDEV('The List'!AC2:AC671)</f>
        <v>-0.34588538823561948</v>
      </c>
      <c r="Q371" s="55" cm="1">
        <f t="array" ref="Q371">(VLOOKUP($A371,'The List'!$B1:$AH671,29,FALSE)-AVERAGE('The List'!AD2:AD671))/STDEV('The List'!AD2:AD671)</f>
        <v>-0.29627537314197849</v>
      </c>
      <c r="R371" s="55" cm="1">
        <f t="array" ref="R371">(VLOOKUP($A371,'The List'!$B1:$AH671,30,FALSE)-AVERAGE('The List'!AE2:AE671))/STDEV('The List'!AE2:AE671)</f>
        <v>-0.33053040425674379</v>
      </c>
      <c r="S371" s="55" cm="1">
        <f t="array" ref="S371">(VLOOKUP($A371,'The List'!$B1:$AH671,31,FALSE)-AVERAGE('The List'!AF2:AF671))/STDEV('The List'!AF2:AF671)</f>
        <v>-0.59229078503275001</v>
      </c>
      <c r="T371" s="55" cm="1">
        <f t="array" ref="T371">(VLOOKUP($A371,'The List'!$B1:$AH671,32,FALSE)-AVERAGE('The List'!AG2:AG671))/STDEV('The List'!AG2:AG671)</f>
        <v>-0.64073936627192074</v>
      </c>
      <c r="U371" s="55" cm="1">
        <f t="array" ref="U371">(VLOOKUP($A371,'The List'!$B1:$AH671,33,FALSE)-AVERAGE('The List'!AH2:AH671))/STDEV('The List'!AH2:AH671)</f>
        <v>-9.2787722671354267E-2</v>
      </c>
      <c r="V371" s="55"/>
      <c r="W371" s="57"/>
      <c r="X371" s="55"/>
      <c r="Y371" s="55"/>
      <c r="Z371" s="55"/>
      <c r="AA371" s="55"/>
      <c r="AB371" s="55"/>
      <c r="AC371" s="55"/>
      <c r="AD371" s="55"/>
      <c r="AE371" s="55"/>
    </row>
    <row r="372" spans="1:31" ht="21.25" customHeight="1" x14ac:dyDescent="0.15">
      <c r="A372" s="10" t="s">
        <v>384</v>
      </c>
      <c r="B372" s="18" t="str" cm="1">
        <f t="array" ref="B372">VLOOKUP(A372,'Player Data'!A1:B673,2,FALSE)</f>
        <v>T.B</v>
      </c>
      <c r="C372" s="52" cm="1">
        <f t="array" ref="C372">((E372)*Settings!$C$12)+(F372*Settings!$C$2)+(G372*Settings!$C$3)+(H372*Settings!$C$4)+(I372*Settings!$C$5)+(K372*Settings!$C$9)+(N372*Settings!$C$6)+(J372*Settings!$C$8)+(O372*Settings!$C$7)+(P372*Settings!$C$14)+(Q372*Settings!$C$15)+(R372*Settings!$C$16)+(S372*Settings!$C$17)+(T372*Settings!$C$18)+(U372*Settings!$C$19)+(L372*Settings!$C$10)+(Settings!$C$11*M372)</f>
        <v>-0.22114157156690373</v>
      </c>
      <c r="D372" s="57" cm="1">
        <f t="array" ref="D372">IF(Settings!$E$12="YES",VLOOKUP(A372,'Player Data'!A1:E673,5,FALSE),82)</f>
        <v>77.194999999999993</v>
      </c>
      <c r="E372" s="55" cm="1">
        <f t="array" ref="E372">(VLOOKUP($A372,'The List'!$B1:$AH671,17,FALSE)-AVERAGE('The List'!R2:R671))/STDEV('The List'!R2:R671)</f>
        <v>0.89786344973615528</v>
      </c>
      <c r="F372" s="55" cm="1">
        <f t="array" ref="F372">(VLOOKUP($A372,'The List'!$B1:$AH671,18,FALSE)-AVERAGE('The List'!S2:S671))/STDEV('The List'!S2:S671)</f>
        <v>-0.95597315111233361</v>
      </c>
      <c r="G372" s="55" cm="1">
        <f t="array" ref="G372">(VLOOKUP($A372,'The List'!$B1:$AH671,19,FALSE)-AVERAGE('The List'!T2:T671))/STDEV('The List'!T2:T671)</f>
        <v>-0.14325729609596999</v>
      </c>
      <c r="H372" s="55" cm="1">
        <f t="array" ref="H372">(VLOOKUP($A372,'The List'!$B1:$AH671,20,FALSE)-AVERAGE('The List'!U2:U671))/STDEV('The List'!U2:U671)</f>
        <v>-0.51425257465388385</v>
      </c>
      <c r="I372" s="55" cm="1">
        <f t="array" ref="I372">(VLOOKUP($A372,'The List'!$B1:$AH671,21,FALSE)-AVERAGE('The List'!V2:V671))/STDEV('The List'!V2:V671)</f>
        <v>-0.9736996141735742</v>
      </c>
      <c r="J372" s="55" cm="1">
        <f t="array" ref="J372">(VLOOKUP($A372,'The List'!$B1:$AH671,22,FALSE)-AVERAGE('The List'!W2:W671))/STDEV('The List'!W2:W671)</f>
        <v>-0.74801190618872604</v>
      </c>
      <c r="K372" s="55" cm="1">
        <f t="array" ref="K372">(VLOOKUP($A372,'The List'!$B1:$AH671,23,FALSE)-AVERAGE('The List'!X2:X671))/STDEV('The List'!X2:X671)</f>
        <v>-0.7858055223596655</v>
      </c>
      <c r="L372" s="55" cm="1">
        <f t="array" ref="L372">(VLOOKUP($A372,'The List'!$B1:$AH671,24,FALSE)-AVERAGE('The List'!Y2:Y671))/STDEV('The List'!Y2:Y671)</f>
        <v>-3.5159088679805828E-2</v>
      </c>
      <c r="M372" s="55" cm="1">
        <f t="array" ref="M372">(VLOOKUP($A372,'The List'!$B1:$AH671,25,FALSE)-AVERAGE('The List'!Z2:Z671))/STDEV('The List'!Z2:Z671)</f>
        <v>0.42692343524402876</v>
      </c>
      <c r="N372" s="55" cm="1">
        <f t="array" ref="N372">(VLOOKUP($A372,'The List'!$B1:$AH671,26,FALSE)-AVERAGE('The List'!AA2:AA671))/STDEV('The List'!AA2:AA671)</f>
        <v>1.7470744643727325</v>
      </c>
      <c r="O372" s="55" cm="1">
        <f t="array" ref="O372">(VLOOKUP($A372,'The List'!$B1:$AH671,27,FALSE)-AVERAGE('The List'!AB2:AB671))/STDEV('The List'!AB2:AB671)</f>
        <v>-0.88681493432465852</v>
      </c>
      <c r="P372" s="55" cm="1">
        <f t="array" ref="P372">(VLOOKUP($A372,'The List'!$B1:$AH671,28,FALSE)-AVERAGE('The List'!AC2:AC671))/STDEV('The List'!AC2:AC671)</f>
        <v>1.6889727490081412</v>
      </c>
      <c r="Q372" s="55" cm="1">
        <f t="array" ref="Q372">(VLOOKUP($A372,'The List'!$B1:$AH671,29,FALSE)-AVERAGE('The List'!AD2:AD671))/STDEV('The List'!AD2:AD671)</f>
        <v>-0.79845320120623409</v>
      </c>
      <c r="R372" s="55" cm="1">
        <f t="array" ref="R372">(VLOOKUP($A372,'The List'!$B1:$AH671,30,FALSE)-AVERAGE('The List'!AE2:AE671))/STDEV('The List'!AE2:AE671)</f>
        <v>-0.87252795195964472</v>
      </c>
      <c r="S372" s="55" cm="1">
        <f t="array" ref="S372">(VLOOKUP($A372,'The List'!$B1:$AH671,31,FALSE)-AVERAGE('The List'!AF2:AF671))/STDEV('The List'!AF2:AF671)</f>
        <v>-0.5939690971349143</v>
      </c>
      <c r="T372" s="55" cm="1">
        <f t="array" ref="T372">(VLOOKUP($A372,'The List'!$B1:$AH671,32,FALSE)-AVERAGE('The List'!AG2:AG671))/STDEV('The List'!AG2:AG671)</f>
        <v>-0.64602208138248207</v>
      </c>
      <c r="U372" s="55" cm="1">
        <f t="array" ref="U372">(VLOOKUP($A372,'The List'!$B1:$AH671,33,FALSE)-AVERAGE('The List'!AH2:AH671))/STDEV('The List'!AH2:AH671)</f>
        <v>-1.2548938914719048</v>
      </c>
      <c r="V372" s="55"/>
      <c r="W372" s="57"/>
      <c r="X372" s="55"/>
      <c r="Y372" s="55"/>
      <c r="Z372" s="55"/>
      <c r="AA372" s="55"/>
      <c r="AB372" s="55"/>
      <c r="AC372" s="55"/>
      <c r="AD372" s="55"/>
      <c r="AE372" s="55"/>
    </row>
    <row r="373" spans="1:31" ht="21.25" customHeight="1" x14ac:dyDescent="0.15">
      <c r="A373" s="10" t="s">
        <v>669</v>
      </c>
      <c r="B373" s="18" t="str" cm="1">
        <f t="array" ref="B373">VLOOKUP(A373,'Player Data'!A1:B673,2,FALSE)</f>
        <v>N.J</v>
      </c>
      <c r="C373" s="52" cm="1">
        <f t="array" ref="C373">((E373)*Settings!$C$12)+(F373*Settings!$C$2)+(G373*Settings!$C$3)+(H373*Settings!$C$4)+(I373*Settings!$C$5)+(K373*Settings!$C$9)+(N373*Settings!$C$6)+(J373*Settings!$C$8)+(O373*Settings!$C$7)+(P373*Settings!$C$14)+(Q373*Settings!$C$15)+(R373*Settings!$C$16)+(S373*Settings!$C$17)+(T373*Settings!$C$18)+(U373*Settings!$C$19)+(L373*Settings!$C$10)+(Settings!$C$11*M373)</f>
        <v>-3.1258471731550865</v>
      </c>
      <c r="D373" s="57" cm="1">
        <f t="array" ref="D373">IF(Settings!$E$12="YES",VLOOKUP(A373,'Player Data'!A1:E673,5,FALSE),82)</f>
        <v>75.462500000000006</v>
      </c>
      <c r="E373" s="55" cm="1">
        <f t="array" ref="E373">(VLOOKUP($A373,'The List'!$B1:$AH671,17,FALSE)-AVERAGE('The List'!R2:R671))/STDEV('The List'!R2:R671)</f>
        <v>-0.98896264323641714</v>
      </c>
      <c r="F373" s="55" cm="1">
        <f t="array" ref="F373">(VLOOKUP($A373,'The List'!$B1:$AH671,18,FALSE)-AVERAGE('The List'!S2:S671))/STDEV('The List'!S2:S671)</f>
        <v>-3.2707013829412573E-2</v>
      </c>
      <c r="G373" s="55" cm="1">
        <f t="array" ref="G373">(VLOOKUP($A373,'The List'!$B1:$AH671,19,FALSE)-AVERAGE('The List'!T2:T671))/STDEV('The List'!T2:T671)</f>
        <v>-0.84898410986987083</v>
      </c>
      <c r="H373" s="55" cm="1">
        <f t="array" ref="H373">(VLOOKUP($A373,'The List'!$B1:$AH671,20,FALSE)-AVERAGE('The List'!U2:U671))/STDEV('The List'!U2:U671)</f>
        <v>-0.54851791449063092</v>
      </c>
      <c r="I373" s="55" cm="1">
        <f t="array" ref="I373">(VLOOKUP($A373,'The List'!$B1:$AH671,21,FALSE)-AVERAGE('The List'!V2:V671))/STDEV('The List'!V2:V671)</f>
        <v>-0.34945296846194718</v>
      </c>
      <c r="J373" s="55" cm="1">
        <f t="array" ref="J373">(VLOOKUP($A373,'The List'!$B1:$AH671,22,FALSE)-AVERAGE('The List'!W2:W671))/STDEV('The List'!W2:W671)</f>
        <v>-0.70488500481619831</v>
      </c>
      <c r="K373" s="55" cm="1">
        <f t="array" ref="K373">(VLOOKUP($A373,'The List'!$B1:$AH671,23,FALSE)-AVERAGE('The List'!X2:X671))/STDEV('The List'!X2:X671)</f>
        <v>-0.77509332843956757</v>
      </c>
      <c r="L373" s="55" cm="1">
        <f t="array" ref="L373">(VLOOKUP($A373,'The List'!$B1:$AH671,24,FALSE)-AVERAGE('The List'!Y2:Y671))/STDEV('The List'!Y2:Y671)</f>
        <v>-0.34680086075260108</v>
      </c>
      <c r="M373" s="55" cm="1">
        <f t="array" ref="M373">(VLOOKUP($A373,'The List'!$B1:$AH671,25,FALSE)-AVERAGE('The List'!Z2:Z671))/STDEV('The List'!Z2:Z671)</f>
        <v>-0.49251968190196477</v>
      </c>
      <c r="N373" s="55" cm="1">
        <f t="array" ref="N373">(VLOOKUP($A373,'The List'!$B1:$AH671,26,FALSE)-AVERAGE('The List'!AA2:AA671))/STDEV('The List'!AA2:AA671)</f>
        <v>-0.56280772038835059</v>
      </c>
      <c r="O373" s="55" cm="1">
        <f t="array" ref="O373">(VLOOKUP($A373,'The List'!$B1:$AH671,27,FALSE)-AVERAGE('The List'!AB2:AB671))/STDEV('The List'!AB2:AB671)</f>
        <v>-0.68745414695127216</v>
      </c>
      <c r="P373" s="55" cm="1">
        <f t="array" ref="P373">(VLOOKUP($A373,'The List'!$B1:$AH671,28,FALSE)-AVERAGE('The List'!AC2:AC671))/STDEV('The List'!AC2:AC671)</f>
        <v>-8.7178189835087502E-2</v>
      </c>
      <c r="Q373" s="55" cm="1">
        <f t="array" ref="Q373">(VLOOKUP($A373,'The List'!$B1:$AH671,29,FALSE)-AVERAGE('The List'!AD2:AD671))/STDEV('The List'!AD2:AD671)</f>
        <v>-0.46962384233085025</v>
      </c>
      <c r="R373" s="55" cm="1">
        <f t="array" ref="R373">(VLOOKUP($A373,'The List'!$B1:$AH671,30,FALSE)-AVERAGE('The List'!AE2:AE671))/STDEV('The List'!AE2:AE671)</f>
        <v>-8.2939091299120984E-2</v>
      </c>
      <c r="S373" s="55" cm="1">
        <f t="array" ref="S373">(VLOOKUP($A373,'The List'!$B1:$AH671,31,FALSE)-AVERAGE('The List'!AF2:AF671))/STDEV('The List'!AF2:AF671)</f>
        <v>1.4256153086269079</v>
      </c>
      <c r="T373" s="55" cm="1">
        <f t="array" ref="T373">(VLOOKUP($A373,'The List'!$B1:$AH671,32,FALSE)-AVERAGE('The List'!AG2:AG671))/STDEV('The List'!AG2:AG671)</f>
        <v>1.3550484247130994</v>
      </c>
      <c r="U373" s="55" cm="1">
        <f t="array" ref="U373">(VLOOKUP($A373,'The List'!$B1:$AH671,33,FALSE)-AVERAGE('The List'!AH2:AH671))/STDEV('The List'!AH2:AH671)</f>
        <v>1.1264246101454991</v>
      </c>
      <c r="V373" s="55"/>
      <c r="W373" s="57"/>
      <c r="X373" s="55"/>
      <c r="Y373" s="55"/>
      <c r="Z373" s="55"/>
      <c r="AA373" s="55"/>
      <c r="AB373" s="55"/>
      <c r="AC373" s="55"/>
      <c r="AD373" s="55"/>
      <c r="AE373" s="55"/>
    </row>
    <row r="374" spans="1:31" ht="21.25" customHeight="1" x14ac:dyDescent="0.15">
      <c r="A374" s="10" t="s">
        <v>407</v>
      </c>
      <c r="B374" s="18" t="str" cm="1">
        <f t="array" ref="B374">VLOOKUP(A374,'Player Data'!A1:B673,2,FALSE)</f>
        <v>BOS</v>
      </c>
      <c r="C374" s="52" cm="1">
        <f t="array" ref="C374">((E374)*Settings!$C$12)+(F374*Settings!$C$2)+(G374*Settings!$C$3)+(H374*Settings!$C$4)+(I374*Settings!$C$5)+(K374*Settings!$C$9)+(N374*Settings!$C$6)+(J374*Settings!$C$8)+(O374*Settings!$C$7)+(P374*Settings!$C$14)+(Q374*Settings!$C$15)+(R374*Settings!$C$16)+(S374*Settings!$C$17)+(T374*Settings!$C$18)+(U374*Settings!$C$19)+(L374*Settings!$C$10)+(Settings!$C$11*M374)</f>
        <v>-2.5504761819990693</v>
      </c>
      <c r="D374" s="57" cm="1">
        <f t="array" ref="D374">IF(Settings!$E$12="YES",VLOOKUP(A374,'Player Data'!A1:E673,5,FALSE),82)</f>
        <v>77.644999999999996</v>
      </c>
      <c r="E374" s="55" cm="1">
        <f t="array" ref="E374">(VLOOKUP($A374,'The List'!$B1:$AH671,17,FALSE)-AVERAGE('The List'!R2:R671))/STDEV('The List'!R2:R671)</f>
        <v>-0.19327663636486983</v>
      </c>
      <c r="F374" s="55" cm="1">
        <f t="array" ref="F374">(VLOOKUP($A374,'The List'!$B1:$AH671,18,FALSE)-AVERAGE('The List'!S2:S671))/STDEV('The List'!S2:S671)</f>
        <v>-0.8065776422474713</v>
      </c>
      <c r="G374" s="55" cm="1">
        <f t="array" ref="G374">(VLOOKUP($A374,'The List'!$B1:$AH671,19,FALSE)-AVERAGE('The List'!T2:T671))/STDEV('The List'!T2:T671)</f>
        <v>-0.25408759554206972</v>
      </c>
      <c r="H374" s="55" cm="1">
        <f t="array" ref="H374">(VLOOKUP($A374,'The List'!$B1:$AH671,20,FALSE)-AVERAGE('The List'!U2:U671))/STDEV('The List'!U2:U671)</f>
        <v>-0.51768071057793885</v>
      </c>
      <c r="I374" s="55" cm="1">
        <f t="array" ref="I374">(VLOOKUP($A374,'The List'!$B1:$AH671,21,FALSE)-AVERAGE('The List'!V2:V671))/STDEV('The List'!V2:V671)</f>
        <v>-0.88925450688398588</v>
      </c>
      <c r="J374" s="55" cm="1">
        <f t="array" ref="J374">(VLOOKUP($A374,'The List'!$B1:$AH671,22,FALSE)-AVERAGE('The List'!W2:W671))/STDEV('The List'!W2:W671)</f>
        <v>-0.33831333601547481</v>
      </c>
      <c r="K374" s="55" cm="1">
        <f t="array" ref="K374">(VLOOKUP($A374,'The List'!$B1:$AH671,23,FALSE)-AVERAGE('The List'!X2:X671))/STDEV('The List'!X2:X671)</f>
        <v>2.4274787609933231E-2</v>
      </c>
      <c r="L374" s="55" cm="1">
        <f t="array" ref="L374">(VLOOKUP($A374,'The List'!$B1:$AH671,24,FALSE)-AVERAGE('The List'!Y2:Y671))/STDEV('The List'!Y2:Y671)</f>
        <v>-0.55442022303577632</v>
      </c>
      <c r="M374" s="55" cm="1">
        <f t="array" ref="M374">(VLOOKUP($A374,'The List'!$B1:$AH671,25,FALSE)-AVERAGE('The List'!Z2:Z671))/STDEV('The List'!Z2:Z671)</f>
        <v>-0.68452001093426829</v>
      </c>
      <c r="N374" s="55" cm="1">
        <f t="array" ref="N374">(VLOOKUP($A374,'The List'!$B1:$AH671,26,FALSE)-AVERAGE('The List'!AA2:AA671))/STDEV('The List'!AA2:AA671)</f>
        <v>0.66515175972446761</v>
      </c>
      <c r="O374" s="55" cm="1">
        <f t="array" ref="O374">(VLOOKUP($A374,'The List'!$B1:$AH671,27,FALSE)-AVERAGE('The List'!AB2:AB671))/STDEV('The List'!AB2:AB671)</f>
        <v>-0.90875459463238939</v>
      </c>
      <c r="P374" s="55" cm="1">
        <f t="array" ref="P374">(VLOOKUP($A374,'The List'!$B1:$AH671,28,FALSE)-AVERAGE('The List'!AC2:AC671))/STDEV('The List'!AC2:AC671)</f>
        <v>-0.54452167972704602</v>
      </c>
      <c r="Q374" s="55" cm="1">
        <f t="array" ref="Q374">(VLOOKUP($A374,'The List'!$B1:$AH671,29,FALSE)-AVERAGE('The List'!AD2:AD671))/STDEV('The List'!AD2:AD671)</f>
        <v>-0.7454613049328972</v>
      </c>
      <c r="R374" s="55" cm="1">
        <f t="array" ref="R374">(VLOOKUP($A374,'The List'!$B1:$AH671,30,FALSE)-AVERAGE('The List'!AE2:AE671))/STDEV('The List'!AE2:AE671)</f>
        <v>-0.85812869897656929</v>
      </c>
      <c r="S374" s="55" cm="1">
        <f t="array" ref="S374">(VLOOKUP($A374,'The List'!$B1:$AH671,31,FALSE)-AVERAGE('The List'!AF2:AF671))/STDEV('The List'!AF2:AF671)</f>
        <v>-0.5939690971349143</v>
      </c>
      <c r="T374" s="55" cm="1">
        <f t="array" ref="T374">(VLOOKUP($A374,'The List'!$B1:$AH671,32,FALSE)-AVERAGE('The List'!AG2:AG671))/STDEV('The List'!AG2:AG671)</f>
        <v>-0.64602208138248207</v>
      </c>
      <c r="U374" s="55" cm="1">
        <f t="array" ref="U374">(VLOOKUP($A374,'The List'!$B1:$AH671,33,FALSE)-AVERAGE('The List'!AH2:AH671))/STDEV('The List'!AH2:AH671)</f>
        <v>-1.2548938914719048</v>
      </c>
      <c r="V374" s="55"/>
      <c r="W374" s="57"/>
      <c r="X374" s="55"/>
      <c r="Y374" s="55"/>
      <c r="Z374" s="55"/>
      <c r="AA374" s="55"/>
      <c r="AB374" s="55"/>
      <c r="AC374" s="55"/>
      <c r="AD374" s="55"/>
      <c r="AE374" s="55"/>
    </row>
    <row r="375" spans="1:31" ht="21.25" customHeight="1" x14ac:dyDescent="0.15">
      <c r="A375" s="10" t="s">
        <v>749</v>
      </c>
      <c r="B375" s="18" t="str" cm="1">
        <f t="array" ref="B375">VLOOKUP(A375,'Player Data'!A1:B673,2,FALSE)</f>
        <v>VAN</v>
      </c>
      <c r="C375" s="52" cm="1">
        <f t="array" ref="C375">((E375)*Settings!$C$12)+(F375*Settings!$C$2)+(G375*Settings!$C$3)+(H375*Settings!$C$4)+(I375*Settings!$C$5)+(K375*Settings!$C$9)+(N375*Settings!$C$6)+(J375*Settings!$C$8)+(O375*Settings!$C$7)+(P375*Settings!$C$14)+(Q375*Settings!$C$15)+(R375*Settings!$C$16)+(S375*Settings!$C$17)+(T375*Settings!$C$18)+(U375*Settings!$C$19)+(L375*Settings!$C$10)+(Settings!$C$11*M375)</f>
        <v>-6.7010017569354821</v>
      </c>
      <c r="D375" s="57" cm="1">
        <f t="array" ref="D375">IF(Settings!$E$12="YES",VLOOKUP(A375,'Player Data'!A1:E673,5,FALSE),82)</f>
        <v>59.307499999999997</v>
      </c>
      <c r="E375" s="55" cm="1">
        <f t="array" ref="E375">(VLOOKUP($A375,'The List'!$B1:$AH671,17,FALSE)-AVERAGE('The List'!R2:R671))/STDEV('The List'!R2:R671)</f>
        <v>-1.0446670239844464</v>
      </c>
      <c r="F375" s="55" cm="1">
        <f t="array" ref="F375">(VLOOKUP($A375,'The List'!$B1:$AH671,18,FALSE)-AVERAGE('The List'!S2:S671))/STDEV('The List'!S2:S671)</f>
        <v>-0.44680461297248852</v>
      </c>
      <c r="G375" s="55" cm="1">
        <f t="array" ref="G375">(VLOOKUP($A375,'The List'!$B1:$AH671,19,FALSE)-AVERAGE('The List'!T2:T671))/STDEV('The List'!T2:T671)</f>
        <v>-0.93705518134604304</v>
      </c>
      <c r="H375" s="55" cm="1">
        <f t="array" ref="H375">(VLOOKUP($A375,'The List'!$B1:$AH671,20,FALSE)-AVERAGE('The List'!U2:U671))/STDEV('The List'!U2:U671)</f>
        <v>-0.78764025032910423</v>
      </c>
      <c r="I375" s="55" cm="1">
        <f t="array" ref="I375">(VLOOKUP($A375,'The List'!$B1:$AH671,21,FALSE)-AVERAGE('The List'!V2:V671))/STDEV('The List'!V2:V671)</f>
        <v>-0.9723561080135511</v>
      </c>
      <c r="J375" s="55" cm="1">
        <f t="array" ref="J375">(VLOOKUP($A375,'The List'!$B1:$AH671,22,FALSE)-AVERAGE('The List'!W2:W671))/STDEV('The List'!W2:W671)</f>
        <v>-0.32240422016116077</v>
      </c>
      <c r="K375" s="55" cm="1">
        <f t="array" ref="K375">(VLOOKUP($A375,'The List'!$B1:$AH671,23,FALSE)-AVERAGE('The List'!X2:X671))/STDEV('The List'!X2:X671)</f>
        <v>-0.28576946413710957</v>
      </c>
      <c r="L375" s="55" cm="1">
        <f t="array" ref="L375">(VLOOKUP($A375,'The List'!$B1:$AH671,24,FALSE)-AVERAGE('The List'!Y2:Y671))/STDEV('The List'!Y2:Y671)</f>
        <v>-0.56569022661034529</v>
      </c>
      <c r="M375" s="55" cm="1">
        <f t="array" ref="M375">(VLOOKUP($A375,'The List'!$B1:$AH671,25,FALSE)-AVERAGE('The List'!Z2:Z671))/STDEV('The List'!Z2:Z671)</f>
        <v>-0.70756870995144849</v>
      </c>
      <c r="N375" s="55" cm="1">
        <f t="array" ref="N375">(VLOOKUP($A375,'The List'!$B1:$AH671,26,FALSE)-AVERAGE('The List'!AA2:AA671))/STDEV('The List'!AA2:AA671)</f>
        <v>-1.0150662576333798</v>
      </c>
      <c r="O375" s="55" cm="1">
        <f t="array" ref="O375">(VLOOKUP($A375,'The List'!$B1:$AH671,27,FALSE)-AVERAGE('The List'!AB2:AB671))/STDEV('The List'!AB2:AB671)</f>
        <v>-0.32382470243962147</v>
      </c>
      <c r="P375" s="55" cm="1">
        <f t="array" ref="P375">(VLOOKUP($A375,'The List'!$B1:$AH671,28,FALSE)-AVERAGE('The List'!AC2:AC671))/STDEV('The List'!AC2:AC671)</f>
        <v>-1.6692047656525542</v>
      </c>
      <c r="Q375" s="55" cm="1">
        <f t="array" ref="Q375">(VLOOKUP($A375,'The List'!$B1:$AH671,29,FALSE)-AVERAGE('The List'!AD2:AD671))/STDEV('The List'!AD2:AD671)</f>
        <v>-1.3747453671803562</v>
      </c>
      <c r="R375" s="55" cm="1">
        <f t="array" ref="R375">(VLOOKUP($A375,'The List'!$B1:$AH671,30,FALSE)-AVERAGE('The List'!AE2:AE671))/STDEV('The List'!AE2:AE671)</f>
        <v>-0.61729809054671603</v>
      </c>
      <c r="S375" s="55" cm="1">
        <f t="array" ref="S375">(VLOOKUP($A375,'The List'!$B1:$AH671,31,FALSE)-AVERAGE('The List'!AF2:AF671))/STDEV('The List'!AF2:AF671)</f>
        <v>-0.5939690971349143</v>
      </c>
      <c r="T375" s="55" cm="1">
        <f t="array" ref="T375">(VLOOKUP($A375,'The List'!$B1:$AH671,32,FALSE)-AVERAGE('The List'!AG2:AG671))/STDEV('The List'!AG2:AG671)</f>
        <v>-0.64229895123070158</v>
      </c>
      <c r="U375" s="55" cm="1">
        <f t="array" ref="U375">(VLOOKUP($A375,'The List'!$B1:$AH671,33,FALSE)-AVERAGE('The List'!AH2:AH671))/STDEV('The List'!AH2:AH671)</f>
        <v>-1.2548938914719048</v>
      </c>
      <c r="V375" s="55"/>
      <c r="W375" s="57"/>
      <c r="X375" s="55"/>
      <c r="Y375" s="55"/>
      <c r="Z375" s="55"/>
      <c r="AA375" s="55"/>
      <c r="AB375" s="55"/>
      <c r="AC375" s="55"/>
      <c r="AD375" s="55"/>
      <c r="AE375" s="55"/>
    </row>
    <row r="376" spans="1:31" ht="21.25" customHeight="1" x14ac:dyDescent="0.15">
      <c r="A376" s="10" t="s">
        <v>339</v>
      </c>
      <c r="B376" s="18" t="str" cm="1">
        <f t="array" ref="B376">VLOOKUP(A376,'Player Data'!A1:B673,2,FALSE)</f>
        <v>CAR</v>
      </c>
      <c r="C376" s="52" cm="1">
        <f t="array" ref="C376">((E376)*Settings!$C$12)+(F376*Settings!$C$2)+(G376*Settings!$C$3)+(H376*Settings!$C$4)+(I376*Settings!$C$5)+(K376*Settings!$C$9)+(N376*Settings!$C$6)+(J376*Settings!$C$8)+(O376*Settings!$C$7)+(P376*Settings!$C$14)+(Q376*Settings!$C$15)+(R376*Settings!$C$16)+(S376*Settings!$C$17)+(T376*Settings!$C$18)+(U376*Settings!$C$19)+(L376*Settings!$C$10)+(Settings!$C$11*M376)</f>
        <v>-0.26582422089484181</v>
      </c>
      <c r="D376" s="57" cm="1">
        <f t="array" ref="D376">IF(Settings!$E$12="YES",VLOOKUP(A376,'Player Data'!A1:E673,5,FALSE),82)</f>
        <v>79.572500000000005</v>
      </c>
      <c r="E376" s="55" cm="1">
        <f t="array" ref="E376">(VLOOKUP($A376,'The List'!$B1:$AH671,17,FALSE)-AVERAGE('The List'!R2:R671))/STDEV('The List'!R2:R671)</f>
        <v>1.2125102307983471</v>
      </c>
      <c r="F376" s="55" cm="1">
        <f t="array" ref="F376">(VLOOKUP($A376,'The List'!$B1:$AH671,18,FALSE)-AVERAGE('The List'!S2:S671))/STDEV('The List'!S2:S671)</f>
        <v>-0.90156263742050824</v>
      </c>
      <c r="G376" s="55" cm="1">
        <f t="array" ref="G376">(VLOOKUP($A376,'The List'!$B1:$AH671,19,FALSE)-AVERAGE('The List'!T2:T671))/STDEV('The List'!T2:T671)</f>
        <v>-0.15264179192600319</v>
      </c>
      <c r="H376" s="55" cm="1">
        <f t="array" ref="H376">(VLOOKUP($A376,'The List'!$B1:$AH671,20,FALSE)-AVERAGE('The List'!U2:U671))/STDEV('The List'!U2:U671)</f>
        <v>-0.49601461168123351</v>
      </c>
      <c r="I376" s="55" cm="1">
        <f t="array" ref="I376">(VLOOKUP($A376,'The List'!$B1:$AH671,21,FALSE)-AVERAGE('The List'!V2:V671))/STDEV('The List'!V2:V671)</f>
        <v>-0.13156621168043298</v>
      </c>
      <c r="J376" s="55" cm="1">
        <f t="array" ref="J376">(VLOOKUP($A376,'The List'!$B1:$AH671,22,FALSE)-AVERAGE('The List'!W2:W671))/STDEV('The List'!W2:W671)</f>
        <v>-0.74692021219932381</v>
      </c>
      <c r="K376" s="55" cm="1">
        <f t="array" ref="K376">(VLOOKUP($A376,'The List'!$B1:$AH671,23,FALSE)-AVERAGE('The List'!X2:X671))/STDEV('The List'!X2:X671)</f>
        <v>-0.80198527734988945</v>
      </c>
      <c r="L376" s="55" cm="1">
        <f t="array" ref="L376">(VLOOKUP($A376,'The List'!$B1:$AH671,24,FALSE)-AVERAGE('The List'!Y2:Y671))/STDEV('The List'!Y2:Y671)</f>
        <v>0.20255255262017063</v>
      </c>
      <c r="M376" s="55" cm="1">
        <f t="array" ref="M376">(VLOOKUP($A376,'The List'!$B1:$AH671,25,FALSE)-AVERAGE('The List'!Z2:Z671))/STDEV('The List'!Z2:Z671)</f>
        <v>2.3612875563609661</v>
      </c>
      <c r="N376" s="55" cm="1">
        <f t="array" ref="N376">(VLOOKUP($A376,'The List'!$B1:$AH671,26,FALSE)-AVERAGE('The List'!AA2:AA671))/STDEV('The List'!AA2:AA671)</f>
        <v>1.5669979507148222</v>
      </c>
      <c r="O376" s="55" cm="1">
        <f t="array" ref="O376">(VLOOKUP($A376,'The List'!$B1:$AH671,27,FALSE)-AVERAGE('The List'!AB2:AB671))/STDEV('The List'!AB2:AB671)</f>
        <v>-0.99085196047608992</v>
      </c>
      <c r="P376" s="55" cm="1">
        <f t="array" ref="P376">(VLOOKUP($A376,'The List'!$B1:$AH671,28,FALSE)-AVERAGE('The List'!AC2:AC671))/STDEV('The List'!AC2:AC671)</f>
        <v>1.4500413100438496</v>
      </c>
      <c r="Q376" s="55" cm="1">
        <f t="array" ref="Q376">(VLOOKUP($A376,'The List'!$B1:$AH671,29,FALSE)-AVERAGE('The List'!AD2:AD671))/STDEV('The List'!AD2:AD671)</f>
        <v>-1.2951075632766798</v>
      </c>
      <c r="R376" s="55" cm="1">
        <f t="array" ref="R376">(VLOOKUP($A376,'The List'!$B1:$AH671,30,FALSE)-AVERAGE('The List'!AE2:AE671))/STDEV('The List'!AE2:AE671)</f>
        <v>-0.82914537851966508</v>
      </c>
      <c r="S376" s="55" cm="1">
        <f t="array" ref="S376">(VLOOKUP($A376,'The List'!$B1:$AH671,31,FALSE)-AVERAGE('The List'!AF2:AF671))/STDEV('The List'!AF2:AF671)</f>
        <v>-0.5939690971349143</v>
      </c>
      <c r="T376" s="55" cm="1">
        <f t="array" ref="T376">(VLOOKUP($A376,'The List'!$B1:$AH671,32,FALSE)-AVERAGE('The List'!AG2:AG671))/STDEV('The List'!AG2:AG671)</f>
        <v>-0.64602208138248207</v>
      </c>
      <c r="U376" s="55" cm="1">
        <f t="array" ref="U376">(VLOOKUP($A376,'The List'!$B1:$AH671,33,FALSE)-AVERAGE('The List'!AH2:AH671))/STDEV('The List'!AH2:AH671)</f>
        <v>-1.2548938914719048</v>
      </c>
      <c r="V376" s="55"/>
      <c r="W376" s="78"/>
      <c r="X376" s="57"/>
      <c r="Y376" s="57"/>
      <c r="Z376" s="57"/>
      <c r="AA376" s="57"/>
      <c r="AB376" s="57"/>
      <c r="AC376" s="60"/>
      <c r="AD376" s="61"/>
      <c r="AE376" s="55"/>
    </row>
    <row r="377" spans="1:31" ht="21.25" customHeight="1" x14ac:dyDescent="0.15">
      <c r="A377" s="10" t="s">
        <v>362</v>
      </c>
      <c r="B377" s="18" t="str" cm="1">
        <f t="array" ref="B377">VLOOKUP(A377,'Player Data'!A1:B673,2,FALSE)</f>
        <v>COL</v>
      </c>
      <c r="C377" s="52" cm="1">
        <f t="array" ref="C377">((E377)*Settings!$C$12)+(F377*Settings!$C$2)+(G377*Settings!$C$3)+(H377*Settings!$C$4)+(I377*Settings!$C$5)+(K377*Settings!$C$9)+(N377*Settings!$C$6)+(J377*Settings!$C$8)+(O377*Settings!$C$7)+(P377*Settings!$C$14)+(Q377*Settings!$C$15)+(R377*Settings!$C$16)+(S377*Settings!$C$17)+(T377*Settings!$C$18)+(U377*Settings!$C$19)+(L377*Settings!$C$10)+(Settings!$C$11*M377)</f>
        <v>3.7000098232622225</v>
      </c>
      <c r="D377" s="57" cm="1">
        <f t="array" ref="D377">IF(Settings!$E$12="YES",VLOOKUP(A377,'Player Data'!A1:E673,5,FALSE),82)</f>
        <v>78.222499999999997</v>
      </c>
      <c r="E377" s="55" cm="1">
        <f t="array" ref="E377">(VLOOKUP($A377,'The List'!$B1:$AH671,17,FALSE)-AVERAGE('The List'!R2:R671))/STDEV('The List'!R2:R671)</f>
        <v>0.54763732103311846</v>
      </c>
      <c r="F377" s="55" cm="1">
        <f t="array" ref="F377">(VLOOKUP($A377,'The List'!$B1:$AH671,18,FALSE)-AVERAGE('The List'!S2:S671))/STDEV('The List'!S2:S671)</f>
        <v>-0.92466518992054747</v>
      </c>
      <c r="G377" s="55" cm="1">
        <f t="array" ref="G377">(VLOOKUP($A377,'The List'!$B1:$AH671,19,FALSE)-AVERAGE('The List'!T2:T671))/STDEV('The List'!T2:T671)</f>
        <v>-0.20261424342154916</v>
      </c>
      <c r="H377" s="55" cm="1">
        <f t="array" ref="H377">(VLOOKUP($A377,'The List'!$B1:$AH671,20,FALSE)-AVERAGE('The List'!U2:U671))/STDEV('The List'!U2:U671)</f>
        <v>-0.53769711989091729</v>
      </c>
      <c r="I377" s="55" cm="1">
        <f t="array" ref="I377">(VLOOKUP($A377,'The List'!$B1:$AH671,21,FALSE)-AVERAGE('The List'!V2:V671))/STDEV('The List'!V2:V671)</f>
        <v>-8.8482894788057473E-2</v>
      </c>
      <c r="J377" s="55" cm="1">
        <f t="array" ref="J377">(VLOOKUP($A377,'The List'!$B1:$AH671,22,FALSE)-AVERAGE('The List'!W2:W671))/STDEV('The List'!W2:W671)</f>
        <v>-0.74740119654488824</v>
      </c>
      <c r="K377" s="55" cm="1">
        <f t="array" ref="K377">(VLOOKUP($A377,'The List'!$B1:$AH671,23,FALSE)-AVERAGE('The List'!X2:X671))/STDEV('The List'!X2:X671)</f>
        <v>-0.79711295400434257</v>
      </c>
      <c r="L377" s="55" cm="1">
        <f t="array" ref="L377">(VLOOKUP($A377,'The List'!$B1:$AH671,24,FALSE)-AVERAGE('The List'!Y2:Y671))/STDEV('The List'!Y2:Y671)</f>
        <v>-0.53660645142229202</v>
      </c>
      <c r="M377" s="55" cm="1">
        <f t="array" ref="M377">(VLOOKUP($A377,'The List'!$B1:$AH671,25,FALSE)-AVERAGE('The List'!Z2:Z671))/STDEV('The List'!Z2:Z671)</f>
        <v>-0.11673493617446637</v>
      </c>
      <c r="N377" s="55" cm="1">
        <f t="array" ref="N377">(VLOOKUP($A377,'The List'!$B1:$AH671,26,FALSE)-AVERAGE('The List'!AA2:AA671))/STDEV('The List'!AA2:AA671)</f>
        <v>1.099176325972919</v>
      </c>
      <c r="O377" s="55" cm="1">
        <f t="array" ref="O377">(VLOOKUP($A377,'The List'!$B1:$AH671,27,FALSE)-AVERAGE('The List'!AB2:AB671))/STDEV('The List'!AB2:AB671)</f>
        <v>1.461858129342289</v>
      </c>
      <c r="P377" s="55" cm="1">
        <f t="array" ref="P377">(VLOOKUP($A377,'The List'!$B1:$AH671,28,FALSE)-AVERAGE('The List'!AC2:AC671))/STDEV('The List'!AC2:AC671)</f>
        <v>1.6387233087658879</v>
      </c>
      <c r="Q377" s="55" cm="1">
        <f t="array" ref="Q377">(VLOOKUP($A377,'The List'!$B1:$AH671,29,FALSE)-AVERAGE('The List'!AD2:AD671))/STDEV('The List'!AD2:AD671)</f>
        <v>2.974985470657912</v>
      </c>
      <c r="R377" s="55" cm="1">
        <f t="array" ref="R377">(VLOOKUP($A377,'The List'!$B1:$AH671,30,FALSE)-AVERAGE('The List'!AE2:AE671))/STDEV('The List'!AE2:AE671)</f>
        <v>-0.82948980918350645</v>
      </c>
      <c r="S377" s="55" cm="1">
        <f t="array" ref="S377">(VLOOKUP($A377,'The List'!$B1:$AH671,31,FALSE)-AVERAGE('The List'!AF2:AF671))/STDEV('The List'!AF2:AF671)</f>
        <v>-0.5939690971349143</v>
      </c>
      <c r="T377" s="55" cm="1">
        <f t="array" ref="T377">(VLOOKUP($A377,'The List'!$B1:$AH671,32,FALSE)-AVERAGE('The List'!AG2:AG671))/STDEV('The List'!AG2:AG671)</f>
        <v>-0.64519219512220383</v>
      </c>
      <c r="U377" s="55" cm="1">
        <f t="array" ref="U377">(VLOOKUP($A377,'The List'!$B1:$AH671,33,FALSE)-AVERAGE('The List'!AH2:AH671))/STDEV('The List'!AH2:AH671)</f>
        <v>-1.2548938914719048</v>
      </c>
      <c r="V377" s="55"/>
      <c r="W377" s="78"/>
      <c r="X377" s="57"/>
      <c r="Y377" s="57"/>
      <c r="Z377" s="57"/>
      <c r="AA377" s="57"/>
      <c r="AB377" s="57"/>
      <c r="AC377" s="60"/>
      <c r="AD377" s="61"/>
      <c r="AE377" s="55"/>
    </row>
    <row r="378" spans="1:31" ht="21.25" customHeight="1" x14ac:dyDescent="0.15">
      <c r="A378" s="10" t="s">
        <v>317</v>
      </c>
      <c r="B378" s="18" t="str" cm="1">
        <f t="array" ref="B378">VLOOKUP(A378,'Player Data'!A1:B673,2,FALSE)</f>
        <v>MTL</v>
      </c>
      <c r="C378" s="52" cm="1">
        <f t="array" ref="C378">((E378)*Settings!$C$12)+(F378*Settings!$C$2)+(G378*Settings!$C$3)+(H378*Settings!$C$4)+(I378*Settings!$C$5)+(K378*Settings!$C$9)+(N378*Settings!$C$6)+(J378*Settings!$C$8)+(O378*Settings!$C$7)+(P378*Settings!$C$14)+(Q378*Settings!$C$15)+(R378*Settings!$C$16)+(S378*Settings!$C$17)+(T378*Settings!$C$18)+(U378*Settings!$C$19)+(L378*Settings!$C$10)+(Settings!$C$11*M378)</f>
        <v>0.90784396540328904</v>
      </c>
      <c r="D378" s="57" cm="1">
        <f t="array" ref="D378">IF(Settings!$E$12="YES",VLOOKUP(A378,'Player Data'!A1:E673,5,FALSE),82)</f>
        <v>83.045000000000002</v>
      </c>
      <c r="E378" s="55" cm="1">
        <f t="array" ref="E378">(VLOOKUP($A378,'The List'!$B1:$AH671,17,FALSE)-AVERAGE('The List'!R2:R671))/STDEV('The List'!R2:R671)</f>
        <v>1.4718353690627151</v>
      </c>
      <c r="F378" s="55" cm="1">
        <f t="array" ref="F378">(VLOOKUP($A378,'The List'!$B1:$AH671,18,FALSE)-AVERAGE('The List'!S2:S671))/STDEV('The List'!S2:S671)</f>
        <v>-0.9741891550591304</v>
      </c>
      <c r="G378" s="55" cm="1">
        <f t="array" ref="G378">(VLOOKUP($A378,'The List'!$B1:$AH671,19,FALSE)-AVERAGE('The List'!T2:T671))/STDEV('The List'!T2:T671)</f>
        <v>-6.8158605751699117E-2</v>
      </c>
      <c r="H378" s="55" cm="1">
        <f t="array" ref="H378">(VLOOKUP($A378,'The List'!$B1:$AH671,20,FALSE)-AVERAGE('The List'!U2:U671))/STDEV('The List'!U2:U671)</f>
        <v>-0.47509793951117862</v>
      </c>
      <c r="I378" s="55" cm="1">
        <f t="array" ref="I378">(VLOOKUP($A378,'The List'!$B1:$AH671,21,FALSE)-AVERAGE('The List'!V2:V671))/STDEV('The List'!V2:V671)</f>
        <v>-0.2801190043023804</v>
      </c>
      <c r="J378" s="55" cm="1">
        <f t="array" ref="J378">(VLOOKUP($A378,'The List'!$B1:$AH671,22,FALSE)-AVERAGE('The List'!W2:W671))/STDEV('The List'!W2:W671)</f>
        <v>-0.71960108948415047</v>
      </c>
      <c r="K378" s="55" cm="1">
        <f t="array" ref="K378">(VLOOKUP($A378,'The List'!$B1:$AH671,23,FALSE)-AVERAGE('The List'!X2:X671))/STDEV('The List'!X2:X671)</f>
        <v>-0.68980644022920834</v>
      </c>
      <c r="L378" s="55" cm="1">
        <f t="array" ref="L378">(VLOOKUP($A378,'The List'!$B1:$AH671,24,FALSE)-AVERAGE('The List'!Y2:Y671))/STDEV('The List'!Y2:Y671)</f>
        <v>-0.13221082995642328</v>
      </c>
      <c r="M378" s="55" cm="1">
        <f t="array" ref="M378">(VLOOKUP($A378,'The List'!$B1:$AH671,25,FALSE)-AVERAGE('The List'!Z2:Z671))/STDEV('The List'!Z2:Z671)</f>
        <v>0.50880781271071274</v>
      </c>
      <c r="N378" s="55" cm="1">
        <f t="array" ref="N378">(VLOOKUP($A378,'The List'!$B1:$AH671,26,FALSE)-AVERAGE('The List'!AA2:AA671))/STDEV('The List'!AA2:AA671)</f>
        <v>2.312531143095494</v>
      </c>
      <c r="O378" s="55" cm="1">
        <f t="array" ref="O378">(VLOOKUP($A378,'The List'!$B1:$AH671,27,FALSE)-AVERAGE('The List'!AB2:AB671))/STDEV('The List'!AB2:AB671)</f>
        <v>-0.44403512641858994</v>
      </c>
      <c r="P378" s="55" cm="1">
        <f t="array" ref="P378">(VLOOKUP($A378,'The List'!$B1:$AH671,28,FALSE)-AVERAGE('The List'!AC2:AC671))/STDEV('The List'!AC2:AC671)</f>
        <v>-2.2033026565673908E-2</v>
      </c>
      <c r="Q378" s="55" cm="1">
        <f t="array" ref="Q378">(VLOOKUP($A378,'The List'!$B1:$AH671,29,FALSE)-AVERAGE('The List'!AD2:AD671))/STDEV('The List'!AD2:AD671)</f>
        <v>0.62961905421588715</v>
      </c>
      <c r="R378" s="55" cm="1">
        <f t="array" ref="R378">(VLOOKUP($A378,'The List'!$B1:$AH671,30,FALSE)-AVERAGE('The List'!AE2:AE671))/STDEV('The List'!AE2:AE671)</f>
        <v>-0.92007205562856131</v>
      </c>
      <c r="S378" s="55" cm="1">
        <f t="array" ref="S378">(VLOOKUP($A378,'The List'!$B1:$AH671,31,FALSE)-AVERAGE('The List'!AF2:AF671))/STDEV('The List'!AF2:AF671)</f>
        <v>-0.5939690971349143</v>
      </c>
      <c r="T378" s="55" cm="1">
        <f t="array" ref="T378">(VLOOKUP($A378,'The List'!$B1:$AH671,32,FALSE)-AVERAGE('The List'!AG2:AG671))/STDEV('The List'!AG2:AG671)</f>
        <v>-0.64602208138248207</v>
      </c>
      <c r="U378" s="55" cm="1">
        <f t="array" ref="U378">(VLOOKUP($A378,'The List'!$B1:$AH671,33,FALSE)-AVERAGE('The List'!AH2:AH671))/STDEV('The List'!AH2:AH671)</f>
        <v>-1.2548938914719048</v>
      </c>
      <c r="V378" s="55"/>
      <c r="W378" s="57"/>
      <c r="X378" s="55"/>
      <c r="Y378" s="55"/>
      <c r="Z378" s="55"/>
      <c r="AA378" s="55"/>
      <c r="AB378" s="55"/>
      <c r="AC378" s="55"/>
      <c r="AD378" s="55"/>
      <c r="AE378" s="55"/>
    </row>
    <row r="379" spans="1:31" ht="21.25" customHeight="1" x14ac:dyDescent="0.15">
      <c r="A379" s="10" t="s">
        <v>352</v>
      </c>
      <c r="B379" s="18" t="str" cm="1">
        <f t="array" ref="B379">VLOOKUP(A379,'Player Data'!A1:B673,2,FALSE)</f>
        <v>BUF</v>
      </c>
      <c r="C379" s="52" cm="1">
        <f t="array" ref="C379">((E379)*Settings!$C$12)+(F379*Settings!$C$2)+(G379*Settings!$C$3)+(H379*Settings!$C$4)+(I379*Settings!$C$5)+(K379*Settings!$C$9)+(N379*Settings!$C$6)+(J379*Settings!$C$8)+(O379*Settings!$C$7)+(P379*Settings!$C$14)+(Q379*Settings!$C$15)+(R379*Settings!$C$16)+(S379*Settings!$C$17)+(T379*Settings!$C$18)+(U379*Settings!$C$19)+(L379*Settings!$C$10)+(Settings!$C$11*M379)</f>
        <v>-4.9708812154178716E-2</v>
      </c>
      <c r="D379" s="57" cm="1">
        <f t="array" ref="D379">IF(Settings!$E$12="YES",VLOOKUP(A379,'Player Data'!A1:E673,5,FALSE),82)</f>
        <v>77.515000000000001</v>
      </c>
      <c r="E379" s="55" cm="1">
        <f t="array" ref="E379">(VLOOKUP($A379,'The List'!$B1:$AH671,17,FALSE)-AVERAGE('The List'!R2:R671))/STDEV('The List'!R2:R671)</f>
        <v>0.64674462560481294</v>
      </c>
      <c r="F379" s="55" cm="1">
        <f t="array" ref="F379">(VLOOKUP($A379,'The List'!$B1:$AH671,18,FALSE)-AVERAGE('The List'!S2:S671))/STDEV('The List'!S2:S671)</f>
        <v>-0.6237119774819142</v>
      </c>
      <c r="G379" s="55" cm="1">
        <f t="array" ref="G379">(VLOOKUP($A379,'The List'!$B1:$AH671,19,FALSE)-AVERAGE('The List'!T2:T671))/STDEV('The List'!T2:T671)</f>
        <v>-0.44133722845160511</v>
      </c>
      <c r="H379" s="55" cm="1">
        <f t="array" ref="H379">(VLOOKUP($A379,'The List'!$B1:$AH671,20,FALSE)-AVERAGE('The List'!U2:U671))/STDEV('The List'!U2:U671)</f>
        <v>-0.55432622380242147</v>
      </c>
      <c r="I379" s="55" cm="1">
        <f t="array" ref="I379">(VLOOKUP($A379,'The List'!$B1:$AH671,21,FALSE)-AVERAGE('The List'!V2:V671))/STDEV('The List'!V2:V671)</f>
        <v>0.13866333305557027</v>
      </c>
      <c r="J379" s="55" cm="1">
        <f t="array" ref="J379">(VLOOKUP($A379,'The List'!$B1:$AH671,22,FALSE)-AVERAGE('The List'!W2:W671))/STDEV('The List'!W2:W671)</f>
        <v>-0.61173858189247721</v>
      </c>
      <c r="K379" s="55" cm="1">
        <f t="array" ref="K379">(VLOOKUP($A379,'The List'!$B1:$AH671,23,FALSE)-AVERAGE('The List'!X2:X671))/STDEV('The List'!X2:X671)</f>
        <v>-0.57211276577007497</v>
      </c>
      <c r="L379" s="55" cm="1">
        <f t="array" ref="L379">(VLOOKUP($A379,'The List'!$B1:$AH671,24,FALSE)-AVERAGE('The List'!Y2:Y671))/STDEV('The List'!Y2:Y671)</f>
        <v>-0.48716648518345501</v>
      </c>
      <c r="M379" s="55" cm="1">
        <f t="array" ref="M379">(VLOOKUP($A379,'The List'!$B1:$AH671,25,FALSE)-AVERAGE('The List'!Z2:Z671))/STDEV('The List'!Z2:Z671)</f>
        <v>-0.54556157185935583</v>
      </c>
      <c r="N379" s="55" cm="1">
        <f t="array" ref="N379">(VLOOKUP($A379,'The List'!$B1:$AH671,26,FALSE)-AVERAGE('The List'!AA2:AA671))/STDEV('The List'!AA2:AA671)</f>
        <v>0.97146341676831605</v>
      </c>
      <c r="O379" s="55" cm="1">
        <f t="array" ref="O379">(VLOOKUP($A379,'The List'!$B1:$AH671,27,FALSE)-AVERAGE('The List'!AB2:AB671))/STDEV('The List'!AB2:AB671)</f>
        <v>-0.73568356522611511</v>
      </c>
      <c r="P379" s="55" cm="1">
        <f t="array" ref="P379">(VLOOKUP($A379,'The List'!$B1:$AH671,28,FALSE)-AVERAGE('The List'!AC2:AC671))/STDEV('The List'!AC2:AC671)</f>
        <v>0.30900034333299148</v>
      </c>
      <c r="Q379" s="55" cm="1">
        <f t="array" ref="Q379">(VLOOKUP($A379,'The List'!$B1:$AH671,29,FALSE)-AVERAGE('The List'!AD2:AD671))/STDEV('The List'!AD2:AD671)</f>
        <v>0.16832606639253767</v>
      </c>
      <c r="R379" s="55" cm="1">
        <f t="array" ref="R379">(VLOOKUP($A379,'The List'!$B1:$AH671,30,FALSE)-AVERAGE('The List'!AE2:AE671))/STDEV('The List'!AE2:AE671)</f>
        <v>-0.62886103193883569</v>
      </c>
      <c r="S379" s="55" cm="1">
        <f t="array" ref="S379">(VLOOKUP($A379,'The List'!$B1:$AH671,31,FALSE)-AVERAGE('The List'!AF2:AF671))/STDEV('The List'!AF2:AF671)</f>
        <v>-0.5939690971349143</v>
      </c>
      <c r="T379" s="55" cm="1">
        <f t="array" ref="T379">(VLOOKUP($A379,'The List'!$B1:$AH671,32,FALSE)-AVERAGE('The List'!AG2:AG671))/STDEV('The List'!AG2:AG671)</f>
        <v>-0.64602208138248207</v>
      </c>
      <c r="U379" s="55" cm="1">
        <f t="array" ref="U379">(VLOOKUP($A379,'The List'!$B1:$AH671,33,FALSE)-AVERAGE('The List'!AH2:AH671))/STDEV('The List'!AH2:AH671)</f>
        <v>-1.2548938914719048</v>
      </c>
      <c r="V379" s="55"/>
      <c r="W379" s="78"/>
      <c r="X379" s="57"/>
      <c r="Y379" s="57"/>
      <c r="Z379" s="57"/>
      <c r="AA379" s="57"/>
      <c r="AB379" s="57"/>
      <c r="AC379" s="60"/>
      <c r="AD379" s="61"/>
      <c r="AE379" s="55"/>
    </row>
    <row r="380" spans="1:31" ht="21.25" customHeight="1" x14ac:dyDescent="0.15">
      <c r="A380" s="10" t="s">
        <v>711</v>
      </c>
      <c r="B380" s="18" t="str" cm="1">
        <f t="array" ref="B380">VLOOKUP(A380,'Player Data'!A1:B673,2,FALSE)</f>
        <v>DAL</v>
      </c>
      <c r="C380" s="52" cm="1">
        <f t="array" ref="C380">((E380)*Settings!$C$12)+(F380*Settings!$C$2)+(G380*Settings!$C$3)+(H380*Settings!$C$4)+(I380*Settings!$C$5)+(K380*Settings!$C$9)+(N380*Settings!$C$6)+(J380*Settings!$C$8)+(O380*Settings!$C$7)+(P380*Settings!$C$14)+(Q380*Settings!$C$15)+(R380*Settings!$C$16)+(S380*Settings!$C$17)+(T380*Settings!$C$18)+(U380*Settings!$C$19)+(L380*Settings!$C$10)+(Settings!$C$11*M380)</f>
        <v>-3.9244146042314254</v>
      </c>
      <c r="D380" s="57" cm="1">
        <f t="array" ref="D380">IF(Settings!$E$12="YES",VLOOKUP(A380,'Player Data'!A1:E673,5,FALSE),82)</f>
        <v>67</v>
      </c>
      <c r="E380" s="55" cm="1">
        <f t="array" ref="E380">(VLOOKUP($A380,'The List'!$B1:$AH671,17,FALSE)-AVERAGE('The List'!R2:R671))/STDEV('The List'!R2:R671)</f>
        <v>-0.90132175019769678</v>
      </c>
      <c r="F380" s="55" cm="1">
        <f t="array" ref="F380">(VLOOKUP($A380,'The List'!$B1:$AH671,18,FALSE)-AVERAGE('The List'!S2:S671))/STDEV('The List'!S2:S671)</f>
        <v>-0.36286108487781743</v>
      </c>
      <c r="G380" s="55" cm="1">
        <f t="array" ref="G380">(VLOOKUP($A380,'The List'!$B1:$AH671,19,FALSE)-AVERAGE('The List'!T2:T671))/STDEV('The List'!T2:T671)</f>
        <v>-0.86897176027353296</v>
      </c>
      <c r="H380" s="55" cm="1">
        <f t="array" ref="H380">(VLOOKUP($A380,'The List'!$B1:$AH671,20,FALSE)-AVERAGE('The List'!U2:U671))/STDEV('The List'!U2:U671)</f>
        <v>-0.70757222047187496</v>
      </c>
      <c r="I380" s="55" cm="1">
        <f t="array" ref="I380">(VLOOKUP($A380,'The List'!$B1:$AH671,21,FALSE)-AVERAGE('The List'!V2:V671))/STDEV('The List'!V2:V671)</f>
        <v>-0.58139916307631667</v>
      </c>
      <c r="J380" s="55" cm="1">
        <f t="array" ref="J380">(VLOOKUP($A380,'The List'!$B1:$AH671,22,FALSE)-AVERAGE('The List'!W2:W671))/STDEV('The List'!W2:W671)</f>
        <v>-0.74111551331266468</v>
      </c>
      <c r="K380" s="55" cm="1">
        <f t="array" ref="K380">(VLOOKUP($A380,'The List'!$B1:$AH671,23,FALSE)-AVERAGE('The List'!X2:X671))/STDEV('The List'!X2:X671)</f>
        <v>-0.80467954353961235</v>
      </c>
      <c r="L380" s="55" cm="1">
        <f t="array" ref="L380">(VLOOKUP($A380,'The List'!$B1:$AH671,24,FALSE)-AVERAGE('The List'!Y2:Y671))/STDEV('The List'!Y2:Y671)</f>
        <v>3.1883659550092496</v>
      </c>
      <c r="M380" s="55" cm="1">
        <f t="array" ref="M380">(VLOOKUP($A380,'The List'!$B1:$AH671,25,FALSE)-AVERAGE('The List'!Z2:Z671))/STDEV('The List'!Z2:Z671)</f>
        <v>1.8720416167042708</v>
      </c>
      <c r="N380" s="55" cm="1">
        <f t="array" ref="N380">(VLOOKUP($A380,'The List'!$B1:$AH671,26,FALSE)-AVERAGE('The List'!AA2:AA671))/STDEV('The List'!AA2:AA671)</f>
        <v>-0.8805419537411795</v>
      </c>
      <c r="O380" s="55" cm="1">
        <f t="array" ref="O380">(VLOOKUP($A380,'The List'!$B1:$AH671,27,FALSE)-AVERAGE('The List'!AB2:AB671))/STDEV('The List'!AB2:AB671)</f>
        <v>0.11752563392269337</v>
      </c>
      <c r="P380" s="55" cm="1">
        <f t="array" ref="P380">(VLOOKUP($A380,'The List'!$B1:$AH671,28,FALSE)-AVERAGE('The List'!AC2:AC671))/STDEV('The List'!AC2:AC671)</f>
        <v>0.65586843681831264</v>
      </c>
      <c r="Q380" s="55" cm="1">
        <f t="array" ref="Q380">(VLOOKUP($A380,'The List'!$B1:$AH671,29,FALSE)-AVERAGE('The List'!AD2:AD671))/STDEV('The List'!AD2:AD671)</f>
        <v>-1.081829535541279</v>
      </c>
      <c r="R380" s="55" cm="1">
        <f t="array" ref="R380">(VLOOKUP($A380,'The List'!$B1:$AH671,30,FALSE)-AVERAGE('The List'!AE2:AE671))/STDEV('The List'!AE2:AE671)</f>
        <v>-0.26745025867092947</v>
      </c>
      <c r="S380" s="55" cm="1">
        <f t="array" ref="S380">(VLOOKUP($A380,'The List'!$B1:$AH671,31,FALSE)-AVERAGE('The List'!AF2:AF671))/STDEV('The List'!AF2:AF671)</f>
        <v>1.6054925022179896</v>
      </c>
      <c r="T380" s="55" cm="1">
        <f t="array" ref="T380">(VLOOKUP($A380,'The List'!$B1:$AH671,32,FALSE)-AVERAGE('The List'!AG2:AG671))/STDEV('The List'!AG2:AG671)</f>
        <v>0.95550605826078849</v>
      </c>
      <c r="U380" s="55" cm="1">
        <f t="array" ref="U380">(VLOOKUP($A380,'The List'!$B1:$AH671,33,FALSE)-AVERAGE('The List'!AH2:AH671))/STDEV('The List'!AH2:AH671)</f>
        <v>1.4752864503964185</v>
      </c>
      <c r="V380" s="55"/>
      <c r="W380" s="78"/>
      <c r="X380" s="57"/>
      <c r="Y380" s="57"/>
      <c r="Z380" s="57"/>
      <c r="AA380" s="57"/>
      <c r="AB380" s="57"/>
      <c r="AC380" s="60"/>
      <c r="AD380" s="61"/>
      <c r="AE380" s="55"/>
    </row>
    <row r="381" spans="1:31" ht="21.25" customHeight="1" x14ac:dyDescent="0.15">
      <c r="A381" s="10" t="s">
        <v>649</v>
      </c>
      <c r="B381" s="18" t="str" cm="1">
        <f t="array" ref="B381">VLOOKUP(A381,'Player Data'!A1:B673,2,FALSE)</f>
        <v>COL</v>
      </c>
      <c r="C381" s="52" cm="1">
        <f t="array" ref="C381">((E381)*Settings!$C$12)+(F381*Settings!$C$2)+(G381*Settings!$C$3)+(H381*Settings!$C$4)+(I381*Settings!$C$5)+(K381*Settings!$C$9)+(N381*Settings!$C$6)+(J381*Settings!$C$8)+(O381*Settings!$C$7)+(P381*Settings!$C$14)+(Q381*Settings!$C$15)+(R381*Settings!$C$16)+(S381*Settings!$C$17)+(T381*Settings!$C$18)+(U381*Settings!$C$19)+(L381*Settings!$C$10)+(Settings!$C$11*M381)</f>
        <v>-0.9062708225497641</v>
      </c>
      <c r="D381" s="57" cm="1">
        <f t="array" ref="D381">IF(Settings!$E$12="YES",VLOOKUP(A381,'Player Data'!A1:E673,5,FALSE),82)</f>
        <v>83.555000000000007</v>
      </c>
      <c r="E381" s="55" cm="1">
        <f t="array" ref="E381">(VLOOKUP($A381,'The List'!$B1:$AH671,17,FALSE)-AVERAGE('The List'!R2:R671))/STDEV('The List'!R2:R671)</f>
        <v>-1.0713644542192913</v>
      </c>
      <c r="F381" s="55" cm="1">
        <f t="array" ref="F381">(VLOOKUP($A381,'The List'!$B1:$AH671,18,FALSE)-AVERAGE('The List'!S2:S671))/STDEV('The List'!S2:S671)</f>
        <v>1.7565124872850391E-2</v>
      </c>
      <c r="G381" s="55" cm="1">
        <f t="array" ref="G381">(VLOOKUP($A381,'The List'!$B1:$AH671,19,FALSE)-AVERAGE('The List'!T2:T671))/STDEV('The List'!T2:T671)</f>
        <v>-0.76618452890302757</v>
      </c>
      <c r="H381" s="55" cm="1">
        <f t="array" ref="H381">(VLOOKUP($A381,'The List'!$B1:$AH671,20,FALSE)-AVERAGE('The List'!U2:U671))/STDEV('The List'!U2:U671)</f>
        <v>-0.47413276074469263</v>
      </c>
      <c r="I381" s="55" cm="1">
        <f t="array" ref="I381">(VLOOKUP($A381,'The List'!$B1:$AH671,21,FALSE)-AVERAGE('The List'!V2:V671))/STDEV('The List'!V2:V671)</f>
        <v>-0.42325369262268758</v>
      </c>
      <c r="J381" s="55" cm="1">
        <f t="array" ref="J381">(VLOOKUP($A381,'The List'!$B1:$AH671,22,FALSE)-AVERAGE('The List'!W2:W671))/STDEV('The List'!W2:W671)</f>
        <v>-0.73943965758102836</v>
      </c>
      <c r="K381" s="55" cm="1">
        <f t="array" ref="K381">(VLOOKUP($A381,'The List'!$B1:$AH671,23,FALSE)-AVERAGE('The List'!X2:X671))/STDEV('The List'!X2:X671)</f>
        <v>-0.80334773264837611</v>
      </c>
      <c r="L381" s="55" cm="1">
        <f t="array" ref="L381">(VLOOKUP($A381,'The List'!$B1:$AH671,24,FALSE)-AVERAGE('The List'!Y2:Y671))/STDEV('The List'!Y2:Y671)</f>
        <v>1.8057165080005835</v>
      </c>
      <c r="M381" s="55" cm="1">
        <f t="array" ref="M381">(VLOOKUP($A381,'The List'!$B1:$AH671,25,FALSE)-AVERAGE('The List'!Z2:Z671))/STDEV('The List'!Z2:Z671)</f>
        <v>1.3568159678580907</v>
      </c>
      <c r="N381" s="55" cm="1">
        <f t="array" ref="N381">(VLOOKUP($A381,'The List'!$B1:$AH671,26,FALSE)-AVERAGE('The List'!AA2:AA671))/STDEV('The List'!AA2:AA671)</f>
        <v>-3.5950322722350346E-2</v>
      </c>
      <c r="O381" s="55" cm="1">
        <f t="array" ref="O381">(VLOOKUP($A381,'The List'!$B1:$AH671,27,FALSE)-AVERAGE('The List'!AB2:AB671))/STDEV('The List'!AB2:AB671)</f>
        <v>1.7075123777701326</v>
      </c>
      <c r="P381" s="55" cm="1">
        <f t="array" ref="P381">(VLOOKUP($A381,'The List'!$B1:$AH671,28,FALSE)-AVERAGE('The List'!AC2:AC671))/STDEV('The List'!AC2:AC671)</f>
        <v>1.2824457808898742</v>
      </c>
      <c r="Q381" s="55" cm="1">
        <f t="array" ref="Q381">(VLOOKUP($A381,'The List'!$B1:$AH671,29,FALSE)-AVERAGE('The List'!AD2:AD671))/STDEV('The List'!AD2:AD671)</f>
        <v>-0.17754545141604716</v>
      </c>
      <c r="R381" s="55" cm="1">
        <f t="array" ref="R381">(VLOOKUP($A381,'The List'!$B1:$AH671,30,FALSE)-AVERAGE('The List'!AE2:AE671))/STDEV('The List'!AE2:AE671)</f>
        <v>0.23323396405130992</v>
      </c>
      <c r="S381" s="55" cm="1">
        <f t="array" ref="S381">(VLOOKUP($A381,'The List'!$B1:$AH671,31,FALSE)-AVERAGE('The List'!AF2:AF671))/STDEV('The List'!AF2:AF671)</f>
        <v>-0.16038312845267769</v>
      </c>
      <c r="T381" s="55" cm="1">
        <f t="array" ref="T381">(VLOOKUP($A381,'The List'!$B1:$AH671,32,FALSE)-AVERAGE('The List'!AG2:AG671))/STDEV('The List'!AG2:AG671)</f>
        <v>0.18178406319841237</v>
      </c>
      <c r="U381" s="55" cm="1">
        <f t="array" ref="U381">(VLOOKUP($A381,'The List'!$B1:$AH671,33,FALSE)-AVERAGE('The List'!AH2:AH671))/STDEV('The List'!AH2:AH671)</f>
        <v>0.39110852533409329</v>
      </c>
      <c r="V381" s="55"/>
      <c r="W381" s="78"/>
      <c r="X381" s="57"/>
      <c r="Y381" s="57"/>
      <c r="Z381" s="57"/>
      <c r="AA381" s="57"/>
      <c r="AB381" s="57"/>
      <c r="AC381" s="60"/>
      <c r="AD381" s="61"/>
      <c r="AE381" s="55"/>
    </row>
    <row r="382" spans="1:31" ht="21.25" customHeight="1" x14ac:dyDescent="0.15">
      <c r="A382" s="10" t="s">
        <v>259</v>
      </c>
      <c r="B382" s="18" t="str" cm="1">
        <f t="array" ref="B382">VLOOKUP(A382,'Player Data'!A1:B673,2,FALSE)</f>
        <v>S.J</v>
      </c>
      <c r="C382" s="52" cm="1">
        <f t="array" ref="C382">((E382)*Settings!$C$12)+(F382*Settings!$C$2)+(G382*Settings!$C$3)+(H382*Settings!$C$4)+(I382*Settings!$C$5)+(K382*Settings!$C$9)+(N382*Settings!$C$6)+(J382*Settings!$C$8)+(O382*Settings!$C$7)+(P382*Settings!$C$14)+(Q382*Settings!$C$15)+(R382*Settings!$C$16)+(S382*Settings!$C$17)+(T382*Settings!$C$18)+(U382*Settings!$C$19)+(L382*Settings!$C$10)+(Settings!$C$11*M382)</f>
        <v>3.5289338816069371</v>
      </c>
      <c r="D382" s="57" cm="1">
        <f t="array" ref="D382">IF(Settings!$E$12="YES",VLOOKUP(A382,'Player Data'!A1:E673,5,FALSE),82)</f>
        <v>83.105000000000004</v>
      </c>
      <c r="E382" s="55" cm="1">
        <f t="array" ref="E382">(VLOOKUP($A382,'The List'!$B1:$AH671,17,FALSE)-AVERAGE('The List'!R2:R671))/STDEV('The List'!R2:R671)</f>
        <v>1.4617388799897648</v>
      </c>
      <c r="F382" s="55" cm="1">
        <f t="array" ref="F382">(VLOOKUP($A382,'The List'!$B1:$AH671,18,FALSE)-AVERAGE('The List'!S2:S671))/STDEV('The List'!S2:S671)</f>
        <v>-0.84600852117047987</v>
      </c>
      <c r="G382" s="55" cm="1">
        <f t="array" ref="G382">(VLOOKUP($A382,'The List'!$B1:$AH671,19,FALSE)-AVERAGE('The List'!T2:T671))/STDEV('The List'!T2:T671)</f>
        <v>-0.1826680272105986</v>
      </c>
      <c r="H382" s="55" cm="1">
        <f t="array" ref="H382">(VLOOKUP($A382,'The List'!$B1:$AH671,20,FALSE)-AVERAGE('The List'!U2:U671))/STDEV('The List'!U2:U671)</f>
        <v>-0.49025280229490037</v>
      </c>
      <c r="I382" s="55" cm="1">
        <f t="array" ref="I382">(VLOOKUP($A382,'The List'!$B1:$AH671,21,FALSE)-AVERAGE('The List'!V2:V671))/STDEV('The List'!V2:V671)</f>
        <v>0.63321458806120146</v>
      </c>
      <c r="J382" s="55" cm="1">
        <f t="array" ref="J382">(VLOOKUP($A382,'The List'!$B1:$AH671,22,FALSE)-AVERAGE('The List'!W2:W671))/STDEV('The List'!W2:W671)</f>
        <v>-0.73313348747112383</v>
      </c>
      <c r="K382" s="55" cm="1">
        <f t="array" ref="K382">(VLOOKUP($A382,'The List'!$B1:$AH671,23,FALSE)-AVERAGE('The List'!X2:X671))/STDEV('The List'!X2:X671)</f>
        <v>-0.74612510622427353</v>
      </c>
      <c r="L382" s="55" cm="1">
        <f t="array" ref="L382">(VLOOKUP($A382,'The List'!$B1:$AH671,24,FALSE)-AVERAGE('The List'!Y2:Y671))/STDEV('The List'!Y2:Y671)</f>
        <v>0.39034646108724813</v>
      </c>
      <c r="M382" s="55" cm="1">
        <f t="array" ref="M382">(VLOOKUP($A382,'The List'!$B1:$AH671,25,FALSE)-AVERAGE('The List'!Z2:Z671))/STDEV('The List'!Z2:Z671)</f>
        <v>0.86889384341022724</v>
      </c>
      <c r="N382" s="55" cm="1">
        <f t="array" ref="N382">(VLOOKUP($A382,'The List'!$B1:$AH671,26,FALSE)-AVERAGE('The List'!AA2:AA671))/STDEV('The List'!AA2:AA671)</f>
        <v>2.9251281251324732</v>
      </c>
      <c r="O382" s="55" cm="1">
        <f t="array" ref="O382">(VLOOKUP($A382,'The List'!$B1:$AH671,27,FALSE)-AVERAGE('The List'!AB2:AB671))/STDEV('The List'!AB2:AB671)</f>
        <v>1.1307388718855931</v>
      </c>
      <c r="P382" s="55" cm="1">
        <f t="array" ref="P382">(VLOOKUP($A382,'The List'!$B1:$AH671,28,FALSE)-AVERAGE('The List'!AC2:AC671))/STDEV('The List'!AC2:AC671)</f>
        <v>-0.58082256286501099</v>
      </c>
      <c r="Q382" s="55" cm="1">
        <f t="array" ref="Q382">(VLOOKUP($A382,'The List'!$B1:$AH671,29,FALSE)-AVERAGE('The List'!AD2:AD671))/STDEV('The List'!AD2:AD671)</f>
        <v>2.3262153858836254</v>
      </c>
      <c r="R382" s="55" cm="1">
        <f t="array" ref="R382">(VLOOKUP($A382,'The List'!$B1:$AH671,30,FALSE)-AVERAGE('The List'!AE2:AE671))/STDEV('The List'!AE2:AE671)</f>
        <v>-0.87420878639723465</v>
      </c>
      <c r="S382" s="55" cm="1">
        <f t="array" ref="S382">(VLOOKUP($A382,'The List'!$B1:$AH671,31,FALSE)-AVERAGE('The List'!AF2:AF671))/STDEV('The List'!AF2:AF671)</f>
        <v>-0.5939690971349143</v>
      </c>
      <c r="T382" s="55" cm="1">
        <f t="array" ref="T382">(VLOOKUP($A382,'The List'!$B1:$AH671,32,FALSE)-AVERAGE('The List'!AG2:AG671))/STDEV('The List'!AG2:AG671)</f>
        <v>-0.64602208138248207</v>
      </c>
      <c r="U382" s="55" cm="1">
        <f t="array" ref="U382">(VLOOKUP($A382,'The List'!$B1:$AH671,33,FALSE)-AVERAGE('The List'!AH2:AH671))/STDEV('The List'!AH2:AH671)</f>
        <v>-1.2548938914719048</v>
      </c>
      <c r="V382" s="55"/>
      <c r="W382" s="78"/>
      <c r="X382" s="57"/>
      <c r="Y382" s="57"/>
      <c r="Z382" s="57"/>
      <c r="AA382" s="57"/>
      <c r="AB382" s="57"/>
      <c r="AC382" s="60"/>
      <c r="AD382" s="61"/>
      <c r="AE382" s="55"/>
    </row>
    <row r="383" spans="1:31" ht="21.25" customHeight="1" x14ac:dyDescent="0.15">
      <c r="A383" s="10" t="s">
        <v>400</v>
      </c>
      <c r="B383" s="18" t="str" cm="1">
        <f t="array" ref="B383">VLOOKUP(A383,'Player Data'!A1:B673,2,FALSE)</f>
        <v>CHI</v>
      </c>
      <c r="C383" s="52" cm="1">
        <f t="array" ref="C383">((E383)*Settings!$C$12)+(F383*Settings!$C$2)+(G383*Settings!$C$3)+(H383*Settings!$C$4)+(I383*Settings!$C$5)+(K383*Settings!$C$9)+(N383*Settings!$C$6)+(J383*Settings!$C$8)+(O383*Settings!$C$7)+(P383*Settings!$C$14)+(Q383*Settings!$C$15)+(R383*Settings!$C$16)+(S383*Settings!$C$17)+(T383*Settings!$C$18)+(U383*Settings!$C$19)+(L383*Settings!$C$10)+(Settings!$C$11*M383)</f>
        <v>-2.6740209738997649</v>
      </c>
      <c r="D383" s="57" cm="1">
        <f t="array" ref="D383">IF(Settings!$E$12="YES",VLOOKUP(A383,'Player Data'!A1:E673,5,FALSE),82)</f>
        <v>72.41</v>
      </c>
      <c r="E383" s="55" cm="1">
        <f t="array" ref="E383">(VLOOKUP($A383,'The List'!$B1:$AH671,17,FALSE)-AVERAGE('The List'!R2:R671))/STDEV('The List'!R2:R671)</f>
        <v>0.54110547131547293</v>
      </c>
      <c r="F383" s="55" cm="1">
        <f t="array" ref="F383">(VLOOKUP($A383,'The List'!$B1:$AH671,18,FALSE)-AVERAGE('The List'!S2:S671))/STDEV('The List'!S2:S671)</f>
        <v>-0.83288724630749889</v>
      </c>
      <c r="G383" s="55" cm="1">
        <f t="array" ref="G383">(VLOOKUP($A383,'The List'!$B1:$AH671,19,FALSE)-AVERAGE('The List'!T2:T671))/STDEV('The List'!T2:T671)</f>
        <v>-0.4436217161372133</v>
      </c>
      <c r="H383" s="55" cm="1">
        <f t="array" ref="H383">(VLOOKUP($A383,'The List'!$B1:$AH671,20,FALSE)-AVERAGE('The List'!U2:U671))/STDEV('The List'!U2:U671)</f>
        <v>-0.64856967102022089</v>
      </c>
      <c r="I383" s="55" cm="1">
        <f t="array" ref="I383">(VLOOKUP($A383,'The List'!$B1:$AH671,21,FALSE)-AVERAGE('The List'!V2:V671))/STDEV('The List'!V2:V671)</f>
        <v>-0.28283913522748805</v>
      </c>
      <c r="J383" s="55" cm="1">
        <f t="array" ref="J383">(VLOOKUP($A383,'The List'!$B1:$AH671,22,FALSE)-AVERAGE('The List'!W2:W671))/STDEV('The List'!W2:W671)</f>
        <v>-0.70008358783359259</v>
      </c>
      <c r="K383" s="55" cm="1">
        <f t="array" ref="K383">(VLOOKUP($A383,'The List'!$B1:$AH671,23,FALSE)-AVERAGE('The List'!X2:X671))/STDEV('The List'!X2:X671)</f>
        <v>-0.53658928493468783</v>
      </c>
      <c r="L383" s="55" cm="1">
        <f t="array" ref="L383">(VLOOKUP($A383,'The List'!$B1:$AH671,24,FALSE)-AVERAGE('The List'!Y2:Y671))/STDEV('The List'!Y2:Y671)</f>
        <v>-0.51722935327297892</v>
      </c>
      <c r="M383" s="55" cm="1">
        <f t="array" ref="M383">(VLOOKUP($A383,'The List'!$B1:$AH671,25,FALSE)-AVERAGE('The List'!Z2:Z671))/STDEV('The List'!Z2:Z671)</f>
        <v>-0.60845974841089101</v>
      </c>
      <c r="N383" s="55" cm="1">
        <f t="array" ref="N383">(VLOOKUP($A383,'The List'!$B1:$AH671,26,FALSE)-AVERAGE('The List'!AA2:AA671))/STDEV('The List'!AA2:AA671)</f>
        <v>0.69490291350464983</v>
      </c>
      <c r="O383" s="55" cm="1">
        <f t="array" ref="O383">(VLOOKUP($A383,'The List'!$B1:$AH671,27,FALSE)-AVERAGE('The List'!AB2:AB671))/STDEV('The List'!AB2:AB671)</f>
        <v>-0.34443297920439964</v>
      </c>
      <c r="P383" s="55" cm="1">
        <f t="array" ref="P383">(VLOOKUP($A383,'The List'!$B1:$AH671,28,FALSE)-AVERAGE('The List'!AC2:AC671))/STDEV('The List'!AC2:AC671)</f>
        <v>-1.6554692171029743</v>
      </c>
      <c r="Q383" s="55" cm="1">
        <f t="array" ref="Q383">(VLOOKUP($A383,'The List'!$B1:$AH671,29,FALSE)-AVERAGE('The List'!AD2:AD671))/STDEV('The List'!AD2:AD671)</f>
        <v>0.382482712305447</v>
      </c>
      <c r="R383" s="55" cm="1">
        <f t="array" ref="R383">(VLOOKUP($A383,'The List'!$B1:$AH671,30,FALSE)-AVERAGE('The List'!AE2:AE671))/STDEV('The List'!AE2:AE671)</f>
        <v>-0.91795656255117952</v>
      </c>
      <c r="S383" s="55" cm="1">
        <f t="array" ref="S383">(VLOOKUP($A383,'The List'!$B1:$AH671,31,FALSE)-AVERAGE('The List'!AF2:AF671))/STDEV('The List'!AF2:AF671)</f>
        <v>-0.5939690971349143</v>
      </c>
      <c r="T383" s="55" cm="1">
        <f t="array" ref="T383">(VLOOKUP($A383,'The List'!$B1:$AH671,32,FALSE)-AVERAGE('The List'!AG2:AG671))/STDEV('The List'!AG2:AG671)</f>
        <v>-0.64602208138248207</v>
      </c>
      <c r="U383" s="55" cm="1">
        <f t="array" ref="U383">(VLOOKUP($A383,'The List'!$B1:$AH671,33,FALSE)-AVERAGE('The List'!AH2:AH671))/STDEV('The List'!AH2:AH671)</f>
        <v>-1.2548938914719048</v>
      </c>
      <c r="V383" s="55"/>
      <c r="W383" s="78"/>
      <c r="X383" s="57"/>
      <c r="Y383" s="57"/>
      <c r="Z383" s="57"/>
      <c r="AA383" s="57"/>
      <c r="AB383" s="57"/>
      <c r="AC383" s="60"/>
      <c r="AD383" s="61"/>
      <c r="AE383" s="55"/>
    </row>
    <row r="384" spans="1:31" ht="21.25" customHeight="1" x14ac:dyDescent="0.15">
      <c r="A384" s="10" t="s">
        <v>768</v>
      </c>
      <c r="B384" s="18" t="str" cm="1">
        <f t="array" ref="B384">VLOOKUP(A384,'Player Data'!A1:B673,2,FALSE)</f>
        <v>PIT</v>
      </c>
      <c r="C384" s="52" cm="1">
        <f t="array" ref="C384">((E384)*Settings!$C$12)+(F384*Settings!$C$2)+(G384*Settings!$C$3)+(H384*Settings!$C$4)+(I384*Settings!$C$5)+(K384*Settings!$C$9)+(N384*Settings!$C$6)+(J384*Settings!$C$8)+(O384*Settings!$C$7)+(P384*Settings!$C$14)+(Q384*Settings!$C$15)+(R384*Settings!$C$16)+(S384*Settings!$C$17)+(T384*Settings!$C$18)+(U384*Settings!$C$19)+(L384*Settings!$C$10)+(Settings!$C$11*M384)</f>
        <v>-5.6177223332165056</v>
      </c>
      <c r="D384" s="57" cm="1">
        <f t="array" ref="D384">IF(Settings!$E$12="YES",VLOOKUP(A384,'Player Data'!A1:E673,5,FALSE),82)</f>
        <v>55.395000000000003</v>
      </c>
      <c r="E384" s="55" cm="1">
        <f t="array" ref="E384">(VLOOKUP($A384,'The List'!$B1:$AH671,17,FALSE)-AVERAGE('The List'!R2:R671))/STDEV('The List'!R2:R671)</f>
        <v>-1.0534815478652617</v>
      </c>
      <c r="F384" s="55" cm="1">
        <f t="array" ref="F384">(VLOOKUP($A384,'The List'!$B1:$AH671,18,FALSE)-AVERAGE('The List'!S2:S671))/STDEV('The List'!S2:S671)</f>
        <v>-0.68470384175585475</v>
      </c>
      <c r="G384" s="55" cm="1">
        <f t="array" ref="G384">(VLOOKUP($A384,'The List'!$B1:$AH671,19,FALSE)-AVERAGE('The List'!T2:T671))/STDEV('The List'!T2:T671)</f>
        <v>-0.92515407416081319</v>
      </c>
      <c r="H384" s="55" cm="1">
        <f t="array" ref="H384">(VLOOKUP($A384,'The List'!$B1:$AH671,20,FALSE)-AVERAGE('The List'!U2:U671))/STDEV('The List'!U2:U671)</f>
        <v>-0.88570522944037167</v>
      </c>
      <c r="I384" s="55" cm="1">
        <f t="array" ref="I384">(VLOOKUP($A384,'The List'!$B1:$AH671,21,FALSE)-AVERAGE('The List'!V2:V671))/STDEV('The List'!V2:V671)</f>
        <v>-0.86568715682072994</v>
      </c>
      <c r="J384" s="55" cm="1">
        <f t="array" ref="J384">(VLOOKUP($A384,'The List'!$B1:$AH671,22,FALSE)-AVERAGE('The List'!W2:W671))/STDEV('The List'!W2:W671)</f>
        <v>-0.70471286086237306</v>
      </c>
      <c r="K384" s="55" cm="1">
        <f t="array" ref="K384">(VLOOKUP($A384,'The List'!$B1:$AH671,23,FALSE)-AVERAGE('The List'!X2:X671))/STDEV('The List'!X2:X671)</f>
        <v>-0.77439310961995733</v>
      </c>
      <c r="L384" s="55" cm="1">
        <f t="array" ref="L384">(VLOOKUP($A384,'The List'!$B1:$AH671,24,FALSE)-AVERAGE('The List'!Y2:Y671))/STDEV('The List'!Y2:Y671)</f>
        <v>3.0045477543136352</v>
      </c>
      <c r="M384" s="55" cm="1">
        <f t="array" ref="M384">(VLOOKUP($A384,'The List'!$B1:$AH671,25,FALSE)-AVERAGE('The List'!Z2:Z671))/STDEV('The List'!Z2:Z671)</f>
        <v>1.6975585833183517</v>
      </c>
      <c r="N384" s="55" cm="1">
        <f t="array" ref="N384">(VLOOKUP($A384,'The List'!$B1:$AH671,26,FALSE)-AVERAGE('The List'!AA2:AA671))/STDEV('The List'!AA2:AA671)</f>
        <v>-0.95536884000055122</v>
      </c>
      <c r="O384" s="55" cm="1">
        <f t="array" ref="O384">(VLOOKUP($A384,'The List'!$B1:$AH671,27,FALSE)-AVERAGE('The List'!AB2:AB671))/STDEV('The List'!AB2:AB671)</f>
        <v>-0.52906725987308834</v>
      </c>
      <c r="P384" s="55" cm="1">
        <f t="array" ref="P384">(VLOOKUP($A384,'The List'!$B1:$AH671,28,FALSE)-AVERAGE('The List'!AC2:AC671))/STDEV('The List'!AC2:AC671)</f>
        <v>-0.16471492604752688</v>
      </c>
      <c r="Q384" s="55" cm="1">
        <f t="array" ref="Q384">(VLOOKUP($A384,'The List'!$B1:$AH671,29,FALSE)-AVERAGE('The List'!AD2:AD671))/STDEV('The List'!AD2:AD671)</f>
        <v>-1.2477003848110733</v>
      </c>
      <c r="R384" s="55" cm="1">
        <f t="array" ref="R384">(VLOOKUP($A384,'The List'!$B1:$AH671,30,FALSE)-AVERAGE('The List'!AE2:AE671))/STDEV('The List'!AE2:AE671)</f>
        <v>-0.71113325741808708</v>
      </c>
      <c r="S384" s="55" cm="1">
        <f t="array" ref="S384">(VLOOKUP($A384,'The List'!$B1:$AH671,31,FALSE)-AVERAGE('The List'!AF2:AF671))/STDEV('The List'!AF2:AF671)</f>
        <v>-0.5939690971349143</v>
      </c>
      <c r="T384" s="55" cm="1">
        <f t="array" ref="T384">(VLOOKUP($A384,'The List'!$B1:$AH671,32,FALSE)-AVERAGE('The List'!AG2:AG671))/STDEV('The List'!AG2:AG671)</f>
        <v>-0.60390260134933038</v>
      </c>
      <c r="U384" s="55" cm="1">
        <f t="array" ref="U384">(VLOOKUP($A384,'The List'!$B1:$AH671,33,FALSE)-AVERAGE('The List'!AH2:AH671))/STDEV('The List'!AH2:AH671)</f>
        <v>-1.2548938914719048</v>
      </c>
      <c r="V384" s="55"/>
      <c r="W384" s="78"/>
      <c r="X384" s="57"/>
      <c r="Y384" s="57"/>
      <c r="Z384" s="57"/>
      <c r="AA384" s="57"/>
      <c r="AB384" s="57"/>
      <c r="AC384" s="60"/>
      <c r="AD384" s="61"/>
      <c r="AE384" s="55"/>
    </row>
    <row r="385" spans="1:31" ht="21.25" customHeight="1" x14ac:dyDescent="0.15">
      <c r="A385" s="10" t="s">
        <v>684</v>
      </c>
      <c r="B385" s="18" t="str" cm="1">
        <f t="array" ref="B385">VLOOKUP(A385,'Player Data'!A1:B673,2,FALSE)</f>
        <v>UTA</v>
      </c>
      <c r="C385" s="52" cm="1">
        <f t="array" ref="C385">((E385)*Settings!$C$12)+(F385*Settings!$C$2)+(G385*Settings!$C$3)+(H385*Settings!$C$4)+(I385*Settings!$C$5)+(K385*Settings!$C$9)+(N385*Settings!$C$6)+(J385*Settings!$C$8)+(O385*Settings!$C$7)+(P385*Settings!$C$14)+(Q385*Settings!$C$15)+(R385*Settings!$C$16)+(S385*Settings!$C$17)+(T385*Settings!$C$18)+(U385*Settings!$C$19)+(L385*Settings!$C$10)+(Settings!$C$11*M385)</f>
        <v>-0.63313244656736023</v>
      </c>
      <c r="D385" s="57" cm="1">
        <f t="array" ref="D385">IF(Settings!$E$12="YES",VLOOKUP(A385,'Player Data'!A1:E673,5,FALSE),82)</f>
        <v>81.287499999999994</v>
      </c>
      <c r="E385" s="55" cm="1">
        <f t="array" ref="E385">(VLOOKUP($A385,'The List'!$B1:$AH671,17,FALSE)-AVERAGE('The List'!R2:R671))/STDEV('The List'!R2:R671)</f>
        <v>-1.0736655933042261</v>
      </c>
      <c r="F385" s="55" cm="1">
        <f t="array" ref="F385">(VLOOKUP($A385,'The List'!$B1:$AH671,18,FALSE)-AVERAGE('The List'!S2:S671))/STDEV('The List'!S2:S671)</f>
        <v>-0.36931159520940088</v>
      </c>
      <c r="G385" s="55" cm="1">
        <f t="array" ref="G385">(VLOOKUP($A385,'The List'!$B1:$AH671,19,FALSE)-AVERAGE('The List'!T2:T671))/STDEV('The List'!T2:T671)</f>
        <v>-0.58110225092369849</v>
      </c>
      <c r="H385" s="55" cm="1">
        <f t="array" ref="H385">(VLOOKUP($A385,'The List'!$B1:$AH671,20,FALSE)-AVERAGE('The List'!U2:U671))/STDEV('The List'!U2:U671)</f>
        <v>-0.52936576965800586</v>
      </c>
      <c r="I385" s="55" cm="1">
        <f t="array" ref="I385">(VLOOKUP($A385,'The List'!$B1:$AH671,21,FALSE)-AVERAGE('The List'!V2:V671))/STDEV('The List'!V2:V671)</f>
        <v>-0.56802608035064017</v>
      </c>
      <c r="J385" s="55" cm="1">
        <f t="array" ref="J385">(VLOOKUP($A385,'The List'!$B1:$AH671,22,FALSE)-AVERAGE('The List'!W2:W671))/STDEV('The List'!W2:W671)</f>
        <v>-0.70979158553214539</v>
      </c>
      <c r="K385" s="55" cm="1">
        <f t="array" ref="K385">(VLOOKUP($A385,'The List'!$B1:$AH671,23,FALSE)-AVERAGE('The List'!X2:X671))/STDEV('The List'!X2:X671)</f>
        <v>-0.77389832802036385</v>
      </c>
      <c r="L385" s="55" cm="1">
        <f t="array" ref="L385">(VLOOKUP($A385,'The List'!$B1:$AH671,24,FALSE)-AVERAGE('The List'!Y2:Y671))/STDEV('The List'!Y2:Y671)</f>
        <v>0.55341044396582129</v>
      </c>
      <c r="M385" s="55" cm="1">
        <f t="array" ref="M385">(VLOOKUP($A385,'The List'!$B1:$AH671,25,FALSE)-AVERAGE('The List'!Z2:Z671))/STDEV('The List'!Z2:Z671)</f>
        <v>0.60786756244465701</v>
      </c>
      <c r="N385" s="55" cm="1">
        <f t="array" ref="N385">(VLOOKUP($A385,'The List'!$B1:$AH671,26,FALSE)-AVERAGE('The List'!AA2:AA671))/STDEV('The List'!AA2:AA671)</f>
        <v>-0.46530757470230361</v>
      </c>
      <c r="O385" s="55" cm="1">
        <f t="array" ref="O385">(VLOOKUP($A385,'The List'!$B1:$AH671,27,FALSE)-AVERAGE('The List'!AB2:AB671))/STDEV('The List'!AB2:AB671)</f>
        <v>3.3585461719061946</v>
      </c>
      <c r="P385" s="55" cm="1">
        <f t="array" ref="P385">(VLOOKUP($A385,'The List'!$B1:$AH671,28,FALSE)-AVERAGE('The List'!AC2:AC671))/STDEV('The List'!AC2:AC671)</f>
        <v>0.32149452085896879</v>
      </c>
      <c r="Q385" s="55" cm="1">
        <f t="array" ref="Q385">(VLOOKUP($A385,'The List'!$B1:$AH671,29,FALSE)-AVERAGE('The List'!AD2:AD671))/STDEV('The List'!AD2:AD671)</f>
        <v>1.8030188617800778</v>
      </c>
      <c r="R385" s="55" cm="1">
        <f t="array" ref="R385">(VLOOKUP($A385,'The List'!$B1:$AH671,30,FALSE)-AVERAGE('The List'!AE2:AE671))/STDEV('The List'!AE2:AE671)</f>
        <v>-0.32108715619862749</v>
      </c>
      <c r="S385" s="55" cm="1">
        <f t="array" ref="S385">(VLOOKUP($A385,'The List'!$B1:$AH671,31,FALSE)-AVERAGE('The List'!AF2:AF671))/STDEV('The List'!AF2:AF671)</f>
        <v>0.8740764915245306</v>
      </c>
      <c r="T385" s="55" cm="1">
        <f t="array" ref="T385">(VLOOKUP($A385,'The List'!$B1:$AH671,32,FALSE)-AVERAGE('The List'!AG2:AG671))/STDEV('The List'!AG2:AG671)</f>
        <v>0.95493098630403384</v>
      </c>
      <c r="U385" s="55" cm="1">
        <f t="array" ref="U385">(VLOOKUP($A385,'The List'!$B1:$AH671,33,FALSE)-AVERAGE('The List'!AH2:AH671))/STDEV('The List'!AH2:AH671)</f>
        <v>1.0162778549112899</v>
      </c>
      <c r="V385" s="55"/>
      <c r="W385" s="57"/>
      <c r="X385" s="55"/>
      <c r="Y385" s="55"/>
      <c r="Z385" s="55"/>
      <c r="AA385" s="55"/>
      <c r="AB385" s="55"/>
      <c r="AC385" s="55"/>
      <c r="AD385" s="55"/>
      <c r="AE385" s="55"/>
    </row>
    <row r="386" spans="1:31" ht="21.25" customHeight="1" x14ac:dyDescent="0.15">
      <c r="A386" s="10" t="s">
        <v>680</v>
      </c>
      <c r="B386" s="18" t="str" cm="1">
        <f t="array" ref="B386">VLOOKUP(A386,'Player Data'!A1:B673,2,FALSE)</f>
        <v>PIT</v>
      </c>
      <c r="C386" s="52" cm="1">
        <f t="array" ref="C386">((E386)*Settings!$C$12)+(F386*Settings!$C$2)+(G386*Settings!$C$3)+(H386*Settings!$C$4)+(I386*Settings!$C$5)+(K386*Settings!$C$9)+(N386*Settings!$C$6)+(J386*Settings!$C$8)+(O386*Settings!$C$7)+(P386*Settings!$C$14)+(Q386*Settings!$C$15)+(R386*Settings!$C$16)+(S386*Settings!$C$17)+(T386*Settings!$C$18)+(U386*Settings!$C$19)+(L386*Settings!$C$10)+(Settings!$C$11*M386)</f>
        <v>-3.4618159793086178</v>
      </c>
      <c r="D386" s="57" cm="1">
        <f t="array" ref="D386">IF(Settings!$E$12="YES",VLOOKUP(A386,'Player Data'!A1:E673,5,FALSE),82)</f>
        <v>77.844999999999999</v>
      </c>
      <c r="E386" s="55" cm="1">
        <f t="array" ref="E386">(VLOOKUP($A386,'The List'!$B1:$AH671,17,FALSE)-AVERAGE('The List'!R2:R671))/STDEV('The List'!R2:R671)</f>
        <v>-0.91154444254373046</v>
      </c>
      <c r="F386" s="55" cm="1">
        <f t="array" ref="F386">(VLOOKUP($A386,'The List'!$B1:$AH671,18,FALSE)-AVERAGE('The List'!S2:S671))/STDEV('The List'!S2:S671)</f>
        <v>-0.24290109185602507</v>
      </c>
      <c r="G386" s="55" cm="1">
        <f t="array" ref="G386">(VLOOKUP($A386,'The List'!$B1:$AH671,19,FALSE)-AVERAGE('The List'!T2:T671))/STDEV('The List'!T2:T671)</f>
        <v>-0.75234882448769558</v>
      </c>
      <c r="H386" s="55" cm="1">
        <f t="array" ref="H386">(VLOOKUP($A386,'The List'!$B1:$AH671,20,FALSE)-AVERAGE('The List'!U2:U671))/STDEV('The List'!U2:U671)</f>
        <v>-0.5809933700541019</v>
      </c>
      <c r="I386" s="55" cm="1">
        <f t="array" ref="I386">(VLOOKUP($A386,'The List'!$B1:$AH671,21,FALSE)-AVERAGE('The List'!V2:V671))/STDEV('The List'!V2:V671)</f>
        <v>-0.44669386504740721</v>
      </c>
      <c r="J386" s="55" cm="1">
        <f t="array" ref="J386">(VLOOKUP($A386,'The List'!$B1:$AH671,22,FALSE)-AVERAGE('The List'!W2:W671))/STDEV('The List'!W2:W671)</f>
        <v>-0.74372246921340746</v>
      </c>
      <c r="K386" s="55" cm="1">
        <f t="array" ref="K386">(VLOOKUP($A386,'The List'!$B1:$AH671,23,FALSE)-AVERAGE('The List'!X2:X671))/STDEV('The List'!X2:X671)</f>
        <v>-0.80676312491681645</v>
      </c>
      <c r="L386" s="55" cm="1">
        <f t="array" ref="L386">(VLOOKUP($A386,'The List'!$B1:$AH671,24,FALSE)-AVERAGE('The List'!Y2:Y671))/STDEV('The List'!Y2:Y671)</f>
        <v>1.1954943180940973</v>
      </c>
      <c r="M386" s="55" cm="1">
        <f t="array" ref="M386">(VLOOKUP($A386,'The List'!$B1:$AH671,25,FALSE)-AVERAGE('The List'!Z2:Z671))/STDEV('The List'!Z2:Z671)</f>
        <v>0.86764733103172631</v>
      </c>
      <c r="N386" s="55" cm="1">
        <f t="array" ref="N386">(VLOOKUP($A386,'The List'!$B1:$AH671,26,FALSE)-AVERAGE('The List'!AA2:AA671))/STDEV('The List'!AA2:AA671)</f>
        <v>-0.38045468622514916</v>
      </c>
      <c r="O386" s="55" cm="1">
        <f t="array" ref="O386">(VLOOKUP($A386,'The List'!$B1:$AH671,27,FALSE)-AVERAGE('The List'!AB2:AB671))/STDEV('The List'!AB2:AB671)</f>
        <v>1.3049575768094333</v>
      </c>
      <c r="P386" s="55" cm="1">
        <f t="array" ref="P386">(VLOOKUP($A386,'The List'!$B1:$AH671,28,FALSE)-AVERAGE('The List'!AC2:AC671))/STDEV('The List'!AC2:AC671)</f>
        <v>-0.22642681770541506</v>
      </c>
      <c r="Q386" s="55" cm="1">
        <f t="array" ref="Q386">(VLOOKUP($A386,'The List'!$B1:$AH671,29,FALSE)-AVERAGE('The List'!AD2:AD671))/STDEV('The List'!AD2:AD671)</f>
        <v>-0.60622756907011</v>
      </c>
      <c r="R386" s="55" cm="1">
        <f t="array" ref="R386">(VLOOKUP($A386,'The List'!$B1:$AH671,30,FALSE)-AVERAGE('The List'!AE2:AE671))/STDEV('The List'!AE2:AE671)</f>
        <v>-0.3108427973529484</v>
      </c>
      <c r="S386" s="55" cm="1">
        <f t="array" ref="S386">(VLOOKUP($A386,'The List'!$B1:$AH671,31,FALSE)-AVERAGE('The List'!AF2:AF671))/STDEV('The List'!AF2:AF671)</f>
        <v>-0.21884053644667256</v>
      </c>
      <c r="T386" s="55" cm="1">
        <f t="array" ref="T386">(VLOOKUP($A386,'The List'!$B1:$AH671,32,FALSE)-AVERAGE('The List'!AG2:AG671))/STDEV('The List'!AG2:AG671)</f>
        <v>-0.18123257989660976</v>
      </c>
      <c r="U386" s="55" cm="1">
        <f t="array" ref="U386">(VLOOKUP($A386,'The List'!$B1:$AH671,33,FALSE)-AVERAGE('The List'!AH2:AH671))/STDEV('The List'!AH2:AH671)</f>
        <v>0.86991078673896205</v>
      </c>
      <c r="V386" s="55"/>
      <c r="W386" s="78"/>
      <c r="X386" s="57"/>
      <c r="Y386" s="57"/>
      <c r="Z386" s="57"/>
      <c r="AA386" s="57"/>
      <c r="AB386" s="57"/>
      <c r="AC386" s="60"/>
      <c r="AD386" s="61"/>
      <c r="AE386" s="55"/>
    </row>
    <row r="387" spans="1:31" ht="21.25" customHeight="1" x14ac:dyDescent="0.15">
      <c r="A387" s="10" t="s">
        <v>331</v>
      </c>
      <c r="B387" s="18" t="str" cm="1">
        <f t="array" ref="B387">VLOOKUP(A387,'Player Data'!A1:B673,2,FALSE)</f>
        <v>DAL</v>
      </c>
      <c r="C387" s="52" cm="1">
        <f t="array" ref="C387">((E387)*Settings!$C$12)+(F387*Settings!$C$2)+(G387*Settings!$C$3)+(H387*Settings!$C$4)+(I387*Settings!$C$5)+(K387*Settings!$C$9)+(N387*Settings!$C$6)+(J387*Settings!$C$8)+(O387*Settings!$C$7)+(P387*Settings!$C$14)+(Q387*Settings!$C$15)+(R387*Settings!$C$16)+(S387*Settings!$C$17)+(T387*Settings!$C$18)+(U387*Settings!$C$19)+(L387*Settings!$C$10)+(Settings!$C$11*M387)</f>
        <v>1.0738088874285912</v>
      </c>
      <c r="D387" s="57" cm="1">
        <f t="array" ref="D387">IF(Settings!$E$12="YES",VLOOKUP(A387,'Player Data'!A1:E673,5,FALSE),82)</f>
        <v>83.754999999999995</v>
      </c>
      <c r="E387" s="55" cm="1">
        <f t="array" ref="E387">(VLOOKUP($A387,'The List'!$B1:$AH671,17,FALSE)-AVERAGE('The List'!R2:R671))/STDEV('The List'!R2:R671)</f>
        <v>1.4823551920490132</v>
      </c>
      <c r="F387" s="55" cm="1">
        <f t="array" ref="F387">(VLOOKUP($A387,'The List'!$B1:$AH671,18,FALSE)-AVERAGE('The List'!S2:S671))/STDEV('The List'!S2:S671)</f>
        <v>-1.0222442301290318</v>
      </c>
      <c r="G387" s="55" cm="1">
        <f t="array" ref="G387">(VLOOKUP($A387,'The List'!$B1:$AH671,19,FALSE)-AVERAGE('The List'!T2:T671))/STDEV('The List'!T2:T671)</f>
        <v>-8.1789190115407556E-2</v>
      </c>
      <c r="H387" s="55" cm="1">
        <f t="array" ref="H387">(VLOOKUP($A387,'The List'!$B1:$AH671,20,FALSE)-AVERAGE('The List'!U2:U671))/STDEV('The List'!U2:U671)</f>
        <v>-0.50499249658121192</v>
      </c>
      <c r="I387" s="55" cm="1">
        <f t="array" ref="I387">(VLOOKUP($A387,'The List'!$B1:$AH671,21,FALSE)-AVERAGE('The List'!V2:V671))/STDEV('The List'!V2:V671)</f>
        <v>-0.7317091291524972</v>
      </c>
      <c r="J387" s="55" cm="1">
        <f t="array" ref="J387">(VLOOKUP($A387,'The List'!$B1:$AH671,22,FALSE)-AVERAGE('The List'!W2:W671))/STDEV('The List'!W2:W671)</f>
        <v>-0.64678864762081878</v>
      </c>
      <c r="K387" s="55" cm="1">
        <f t="array" ref="K387">(VLOOKUP($A387,'The List'!$B1:$AH671,23,FALSE)-AVERAGE('The List'!X2:X671))/STDEV('The List'!X2:X671)</f>
        <v>-0.69525783203724623</v>
      </c>
      <c r="L387" s="55" cm="1">
        <f t="array" ref="L387">(VLOOKUP($A387,'The List'!$B1:$AH671,24,FALSE)-AVERAGE('The List'!Y2:Y671))/STDEV('The List'!Y2:Y671)</f>
        <v>-0.5421682154669446</v>
      </c>
      <c r="M387" s="55" cm="1">
        <f t="array" ref="M387">(VLOOKUP($A387,'The List'!$B1:$AH671,25,FALSE)-AVERAGE('The List'!Z2:Z671))/STDEV('The List'!Z2:Z671)</f>
        <v>0.42075069170065732</v>
      </c>
      <c r="N387" s="55" cm="1">
        <f t="array" ref="N387">(VLOOKUP($A387,'The List'!$B1:$AH671,26,FALSE)-AVERAGE('The List'!AA2:AA671))/STDEV('The List'!AA2:AA671)</f>
        <v>2.7434085865536009</v>
      </c>
      <c r="O387" s="55" cm="1">
        <f t="array" ref="O387">(VLOOKUP($A387,'The List'!$B1:$AH671,27,FALSE)-AVERAGE('The List'!AB2:AB671))/STDEV('The List'!AB2:AB671)</f>
        <v>-0.73699867294241406</v>
      </c>
      <c r="P387" s="55" cm="1">
        <f t="array" ref="P387">(VLOOKUP($A387,'The List'!$B1:$AH671,28,FALSE)-AVERAGE('The List'!AC2:AC671))/STDEV('The List'!AC2:AC671)</f>
        <v>1.674134006393083</v>
      </c>
      <c r="Q387" s="55" cm="1">
        <f t="array" ref="Q387">(VLOOKUP($A387,'The List'!$B1:$AH671,29,FALSE)-AVERAGE('The List'!AD2:AD671))/STDEV('The List'!AD2:AD671)</f>
        <v>-0.81273332408390997</v>
      </c>
      <c r="R387" s="55" cm="1">
        <f t="array" ref="R387">(VLOOKUP($A387,'The List'!$B1:$AH671,30,FALSE)-AVERAGE('The List'!AE2:AE671))/STDEV('The List'!AE2:AE671)</f>
        <v>-0.9643284480473242</v>
      </c>
      <c r="S387" s="55" cm="1">
        <f t="array" ref="S387">(VLOOKUP($A387,'The List'!$B1:$AH671,31,FALSE)-AVERAGE('The List'!AF2:AF671))/STDEV('The List'!AF2:AF671)</f>
        <v>-0.5939690971349143</v>
      </c>
      <c r="T387" s="55" cm="1">
        <f t="array" ref="T387">(VLOOKUP($A387,'The List'!$B1:$AH671,32,FALSE)-AVERAGE('The List'!AG2:AG671))/STDEV('The List'!AG2:AG671)</f>
        <v>-0.64602208138248207</v>
      </c>
      <c r="U387" s="55" cm="1">
        <f t="array" ref="U387">(VLOOKUP($A387,'The List'!$B1:$AH671,33,FALSE)-AVERAGE('The List'!AH2:AH671))/STDEV('The List'!AH2:AH671)</f>
        <v>-1.2548938914719048</v>
      </c>
      <c r="V387" s="55"/>
      <c r="W387" s="78"/>
      <c r="X387" s="57"/>
      <c r="Y387" s="57"/>
      <c r="Z387" s="57"/>
      <c r="AA387" s="57"/>
      <c r="AB387" s="57"/>
      <c r="AC387" s="60"/>
      <c r="AD387" s="61"/>
      <c r="AE387" s="55"/>
    </row>
    <row r="388" spans="1:31" ht="21.25" customHeight="1" x14ac:dyDescent="0.15">
      <c r="A388" s="10" t="s">
        <v>354</v>
      </c>
      <c r="B388" s="18" t="str" cm="1">
        <f t="array" ref="B388">VLOOKUP(A388,'Player Data'!A1:B673,2,FALSE)</f>
        <v>WSH</v>
      </c>
      <c r="C388" s="52" cm="1">
        <f t="array" ref="C388">((E388)*Settings!$C$12)+(F388*Settings!$C$2)+(G388*Settings!$C$3)+(H388*Settings!$C$4)+(I388*Settings!$C$5)+(K388*Settings!$C$9)+(N388*Settings!$C$6)+(J388*Settings!$C$8)+(O388*Settings!$C$7)+(P388*Settings!$C$14)+(Q388*Settings!$C$15)+(R388*Settings!$C$16)+(S388*Settings!$C$17)+(T388*Settings!$C$18)+(U388*Settings!$C$19)+(L388*Settings!$C$10)+(Settings!$C$11*M388)</f>
        <v>0.12803516352293742</v>
      </c>
      <c r="D388" s="57" cm="1">
        <f t="array" ref="D388">IF(Settings!$E$12="YES",VLOOKUP(A388,'Player Data'!A1:E673,5,FALSE),82)</f>
        <v>82.114999999999995</v>
      </c>
      <c r="E388" s="55" cm="1">
        <f t="array" ref="E388">(VLOOKUP($A388,'The List'!$B1:$AH671,17,FALSE)-AVERAGE('The List'!R2:R671))/STDEV('The List'!R2:R671)</f>
        <v>0.6552225000437204</v>
      </c>
      <c r="F388" s="55" cm="1">
        <f t="array" ref="F388">(VLOOKUP($A388,'The List'!$B1:$AH671,18,FALSE)-AVERAGE('The List'!S2:S671))/STDEV('The List'!S2:S671)</f>
        <v>-0.88130362951343855</v>
      </c>
      <c r="G388" s="55" cm="1">
        <f t="array" ref="G388">(VLOOKUP($A388,'The List'!$B1:$AH671,19,FALSE)-AVERAGE('The List'!T2:T671))/STDEV('The List'!T2:T671)</f>
        <v>-0.22974057850383936</v>
      </c>
      <c r="H388" s="55" cm="1">
        <f t="array" ref="H388">(VLOOKUP($A388,'The List'!$B1:$AH671,20,FALSE)-AVERAGE('The List'!U2:U671))/STDEV('The List'!U2:U671)</f>
        <v>-0.53552086038274538</v>
      </c>
      <c r="I388" s="55" cm="1">
        <f t="array" ref="I388">(VLOOKUP($A388,'The List'!$B1:$AH671,21,FALSE)-AVERAGE('The List'!V2:V671))/STDEV('The List'!V2:V671)</f>
        <v>-0.81228710852739694</v>
      </c>
      <c r="J388" s="55" cm="1">
        <f t="array" ref="J388">(VLOOKUP($A388,'The List'!$B1:$AH671,22,FALSE)-AVERAGE('The List'!W2:W671))/STDEV('The List'!W2:W671)</f>
        <v>-0.7033887233924665</v>
      </c>
      <c r="K388" s="55" cm="1">
        <f t="array" ref="K388">(VLOOKUP($A388,'The List'!$B1:$AH671,23,FALSE)-AVERAGE('The List'!X2:X671))/STDEV('The List'!X2:X671)</f>
        <v>-0.69805565513536227</v>
      </c>
      <c r="L388" s="55" cm="1">
        <f t="array" ref="L388">(VLOOKUP($A388,'The List'!$B1:$AH671,24,FALSE)-AVERAGE('The List'!Y2:Y671))/STDEV('The List'!Y2:Y671)</f>
        <v>-0.52824067009468789</v>
      </c>
      <c r="M388" s="55" cm="1">
        <f t="array" ref="M388">(VLOOKUP($A388,'The List'!$B1:$AH671,25,FALSE)-AVERAGE('The List'!Z2:Z671))/STDEV('The List'!Z2:Z671)</f>
        <v>0.14112372959761682</v>
      </c>
      <c r="N388" s="55" cm="1">
        <f t="array" ref="N388">(VLOOKUP($A388,'The List'!$B1:$AH671,26,FALSE)-AVERAGE('The List'!AA2:AA671))/STDEV('The List'!AA2:AA671)</f>
        <v>2.320750510989896</v>
      </c>
      <c r="O388" s="55" cm="1">
        <f t="array" ref="O388">(VLOOKUP($A388,'The List'!$B1:$AH671,27,FALSE)-AVERAGE('The List'!AB2:AB671))/STDEV('The List'!AB2:AB671)</f>
        <v>0.70196658387229349</v>
      </c>
      <c r="P388" s="55" cm="1">
        <f t="array" ref="P388">(VLOOKUP($A388,'The List'!$B1:$AH671,28,FALSE)-AVERAGE('The List'!AC2:AC671))/STDEV('The List'!AC2:AC671)</f>
        <v>0.59206289739914297</v>
      </c>
      <c r="Q388" s="55" cm="1">
        <f t="array" ref="Q388">(VLOOKUP($A388,'The List'!$B1:$AH671,29,FALSE)-AVERAGE('The List'!AD2:AD671))/STDEV('The List'!AD2:AD671)</f>
        <v>-0.1633912731860645</v>
      </c>
      <c r="R388" s="55" cm="1">
        <f t="array" ref="R388">(VLOOKUP($A388,'The List'!$B1:$AH671,30,FALSE)-AVERAGE('The List'!AE2:AE671))/STDEV('The List'!AE2:AE671)</f>
        <v>-0.87462092557098836</v>
      </c>
      <c r="S388" s="55" cm="1">
        <f t="array" ref="S388">(VLOOKUP($A388,'The List'!$B1:$AH671,31,FALSE)-AVERAGE('The List'!AF2:AF671))/STDEV('The List'!AF2:AF671)</f>
        <v>-0.5939690971349143</v>
      </c>
      <c r="T388" s="55" cm="1">
        <f t="array" ref="T388">(VLOOKUP($A388,'The List'!$B1:$AH671,32,FALSE)-AVERAGE('The List'!AG2:AG671))/STDEV('The List'!AG2:AG671)</f>
        <v>-0.64602208138248207</v>
      </c>
      <c r="U388" s="55" cm="1">
        <f t="array" ref="U388">(VLOOKUP($A388,'The List'!$B1:$AH671,33,FALSE)-AVERAGE('The List'!AH2:AH671))/STDEV('The List'!AH2:AH671)</f>
        <v>-1.2548938914719048</v>
      </c>
      <c r="V388" s="55"/>
      <c r="W388" s="78"/>
      <c r="X388" s="57"/>
      <c r="Y388" s="57"/>
      <c r="Z388" s="57"/>
      <c r="AA388" s="57"/>
      <c r="AB388" s="57"/>
      <c r="AC388" s="60"/>
      <c r="AD388" s="61"/>
      <c r="AE388" s="55"/>
    </row>
    <row r="389" spans="1:31" ht="21.25" customHeight="1" x14ac:dyDescent="0.15">
      <c r="A389" s="10" t="s">
        <v>692</v>
      </c>
      <c r="B389" s="18" t="str" cm="1">
        <f t="array" ref="B389">VLOOKUP(A389,'Player Data'!A1:B673,2,FALSE)</f>
        <v>UTA</v>
      </c>
      <c r="C389" s="52" cm="1">
        <f t="array" ref="C389">((E389)*Settings!$C$12)+(F389*Settings!$C$2)+(G389*Settings!$C$3)+(H389*Settings!$C$4)+(I389*Settings!$C$5)+(K389*Settings!$C$9)+(N389*Settings!$C$6)+(J389*Settings!$C$8)+(O389*Settings!$C$7)+(P389*Settings!$C$14)+(Q389*Settings!$C$15)+(R389*Settings!$C$16)+(S389*Settings!$C$17)+(T389*Settings!$C$18)+(U389*Settings!$C$19)+(L389*Settings!$C$10)+(Settings!$C$11*M389)</f>
        <v>-3.4733159096628223</v>
      </c>
      <c r="D389" s="57" cm="1">
        <f t="array" ref="D389">IF(Settings!$E$12="YES",VLOOKUP(A389,'Player Data'!A1:E673,5,FALSE),82)</f>
        <v>78.709999999999994</v>
      </c>
      <c r="E389" s="55" cm="1">
        <f t="array" ref="E389">(VLOOKUP($A389,'The List'!$B1:$AH671,17,FALSE)-AVERAGE('The List'!R2:R671))/STDEV('The List'!R2:R671)</f>
        <v>-1.4984583644705907</v>
      </c>
      <c r="F389" s="55" cm="1">
        <f t="array" ref="F389">(VLOOKUP($A389,'The List'!$B1:$AH671,18,FALSE)-AVERAGE('The List'!S2:S671))/STDEV('The List'!S2:S671)</f>
        <v>-0.16209632559063641</v>
      </c>
      <c r="G389" s="55" cm="1">
        <f t="array" ref="G389">(VLOOKUP($A389,'The List'!$B1:$AH671,19,FALSE)-AVERAGE('The List'!T2:T671))/STDEV('The List'!T2:T671)</f>
        <v>-0.81666820807795715</v>
      </c>
      <c r="H389" s="55" cm="1">
        <f t="array" ref="H389">(VLOOKUP($A389,'The List'!$B1:$AH671,20,FALSE)-AVERAGE('The List'!U2:U671))/STDEV('The List'!U2:U671)</f>
        <v>-0.58559860581714263</v>
      </c>
      <c r="I389" s="55" cm="1">
        <f t="array" ref="I389">(VLOOKUP($A389,'The List'!$B1:$AH671,21,FALSE)-AVERAGE('The List'!V2:V671))/STDEV('The List'!V2:V671)</f>
        <v>-0.18011929668172524</v>
      </c>
      <c r="J389" s="55" cm="1">
        <f t="array" ref="J389">(VLOOKUP($A389,'The List'!$B1:$AH671,22,FALSE)-AVERAGE('The List'!W2:W671))/STDEV('The List'!W2:W671)</f>
        <v>-0.58240680247933896</v>
      </c>
      <c r="K389" s="55" cm="1">
        <f t="array" ref="K389">(VLOOKUP($A389,'The List'!$B1:$AH671,23,FALSE)-AVERAGE('The List'!X2:X671))/STDEV('The List'!X2:X671)</f>
        <v>-0.69770059188296052</v>
      </c>
      <c r="L389" s="55" cm="1">
        <f t="array" ref="L389">(VLOOKUP($A389,'The List'!$B1:$AH671,24,FALSE)-AVERAGE('The List'!Y2:Y671))/STDEV('The List'!Y2:Y671)</f>
        <v>-0.55843308552317472</v>
      </c>
      <c r="M389" s="55" cm="1">
        <f t="array" ref="M389">(VLOOKUP($A389,'The List'!$B1:$AH671,25,FALSE)-AVERAGE('The List'!Z2:Z671))/STDEV('The List'!Z2:Z671)</f>
        <v>-0.70212539383097117</v>
      </c>
      <c r="N389" s="55" cm="1">
        <f t="array" ref="N389">(VLOOKUP($A389,'The List'!$B1:$AH671,26,FALSE)-AVERAGE('The List'!AA2:AA671))/STDEV('The List'!AA2:AA671)</f>
        <v>-1.1515812328229715</v>
      </c>
      <c r="O389" s="55" cm="1">
        <f t="array" ref="O389">(VLOOKUP($A389,'The List'!$B1:$AH671,27,FALSE)-AVERAGE('The List'!AB2:AB671))/STDEV('The List'!AB2:AB671)</f>
        <v>0.65063793981737261</v>
      </c>
      <c r="P389" s="55" cm="1">
        <f t="array" ref="P389">(VLOOKUP($A389,'The List'!$B1:$AH671,28,FALSE)-AVERAGE('The List'!AC2:AC671))/STDEV('The List'!AC2:AC671)</f>
        <v>0.22769169708507839</v>
      </c>
      <c r="Q389" s="55" cm="1">
        <f t="array" ref="Q389">(VLOOKUP($A389,'The List'!$B1:$AH671,29,FALSE)-AVERAGE('The List'!AD2:AD671))/STDEV('The List'!AD2:AD671)</f>
        <v>-0.69284195169164942</v>
      </c>
      <c r="R389" s="55" cm="1">
        <f t="array" ref="R389">(VLOOKUP($A389,'The List'!$B1:$AH671,30,FALSE)-AVERAGE('The List'!AE2:AE671))/STDEV('The List'!AE2:AE671)</f>
        <v>-0.11177239219738157</v>
      </c>
      <c r="S389" s="55" cm="1">
        <f t="array" ref="S389">(VLOOKUP($A389,'The List'!$B1:$AH671,31,FALSE)-AVERAGE('The List'!AF2:AF671))/STDEV('The List'!AF2:AF671)</f>
        <v>-0.54498905730969549</v>
      </c>
      <c r="T389" s="55" cm="1">
        <f t="array" ref="T389">(VLOOKUP($A389,'The List'!$B1:$AH671,32,FALSE)-AVERAGE('The List'!AG2:AG671))/STDEV('The List'!AG2:AG671)</f>
        <v>-0.57643940321031317</v>
      </c>
      <c r="U389" s="55" cm="1">
        <f t="array" ref="U389">(VLOOKUP($A389,'The List'!$B1:$AH671,33,FALSE)-AVERAGE('The List'!AH2:AH671))/STDEV('The List'!AH2:AH671)</f>
        <v>0.71465303220470322</v>
      </c>
      <c r="V389" s="55"/>
      <c r="W389" s="57"/>
      <c r="X389" s="55"/>
      <c r="Y389" s="55"/>
      <c r="Z389" s="55"/>
      <c r="AA389" s="55"/>
      <c r="AB389" s="55"/>
      <c r="AC389" s="55"/>
      <c r="AD389" s="55"/>
      <c r="AE389" s="55"/>
    </row>
    <row r="390" spans="1:31" ht="21.25" customHeight="1" x14ac:dyDescent="0.15">
      <c r="A390" s="10" t="s">
        <v>696</v>
      </c>
      <c r="B390" s="18" t="str" cm="1">
        <f t="array" ref="B390">VLOOKUP(A390,'Player Data'!A1:B673,2,FALSE)</f>
        <v>NSH</v>
      </c>
      <c r="C390" s="52" cm="1">
        <f t="array" ref="C390">((E390)*Settings!$C$12)+(F390*Settings!$C$2)+(G390*Settings!$C$3)+(H390*Settings!$C$4)+(I390*Settings!$C$5)+(K390*Settings!$C$9)+(N390*Settings!$C$6)+(J390*Settings!$C$8)+(O390*Settings!$C$7)+(P390*Settings!$C$14)+(Q390*Settings!$C$15)+(R390*Settings!$C$16)+(S390*Settings!$C$17)+(T390*Settings!$C$18)+(U390*Settings!$C$19)+(L390*Settings!$C$10)+(Settings!$C$11*M390)</f>
        <v>-4.4724303638569092</v>
      </c>
      <c r="D390" s="57" cm="1">
        <f t="array" ref="D390">IF(Settings!$E$12="YES",VLOOKUP(A390,'Player Data'!A1:E673,5,FALSE),82)</f>
        <v>75.372500000000002</v>
      </c>
      <c r="E390" s="55" cm="1">
        <f t="array" ref="E390">(VLOOKUP($A390,'The List'!$B1:$AH671,17,FALSE)-AVERAGE('The List'!R2:R671))/STDEV('The List'!R2:R671)</f>
        <v>-0.94400944002903109</v>
      </c>
      <c r="F390" s="55" cm="1">
        <f t="array" ref="F390">(VLOOKUP($A390,'The List'!$B1:$AH671,18,FALSE)-AVERAGE('The List'!S2:S671))/STDEV('The List'!S2:S671)</f>
        <v>-0.41628454500727341</v>
      </c>
      <c r="G390" s="55" cm="1">
        <f t="array" ref="G390">(VLOOKUP($A390,'The List'!$B1:$AH671,19,FALSE)-AVERAGE('The List'!T2:T671))/STDEV('The List'!T2:T671)</f>
        <v>-0.70990404489810544</v>
      </c>
      <c r="H390" s="55" cm="1">
        <f t="array" ref="H390">(VLOOKUP($A390,'The List'!$B1:$AH671,20,FALSE)-AVERAGE('The List'!U2:U671))/STDEV('The List'!U2:U671)</f>
        <v>-0.63122229422501919</v>
      </c>
      <c r="I390" s="55" cm="1">
        <f t="array" ref="I390">(VLOOKUP($A390,'The List'!$B1:$AH671,21,FALSE)-AVERAGE('The List'!V2:V671))/STDEV('The List'!V2:V671)</f>
        <v>-0.93340133012436577</v>
      </c>
      <c r="J390" s="55" cm="1">
        <f t="array" ref="J390">(VLOOKUP($A390,'The List'!$B1:$AH671,22,FALSE)-AVERAGE('The List'!W2:W671))/STDEV('The List'!W2:W671)</f>
        <v>-0.6652371135462386</v>
      </c>
      <c r="K390" s="55" cm="1">
        <f t="array" ref="K390">(VLOOKUP($A390,'The List'!$B1:$AH671,23,FALSE)-AVERAGE('The List'!X2:X671))/STDEV('The List'!X2:X671)</f>
        <v>-0.67478640392266298</v>
      </c>
      <c r="L390" s="55" cm="1">
        <f t="array" ref="L390">(VLOOKUP($A390,'The List'!$B1:$AH671,24,FALSE)-AVERAGE('The List'!Y2:Y671))/STDEV('The List'!Y2:Y671)</f>
        <v>0.77074403508566025</v>
      </c>
      <c r="M390" s="55" cm="1">
        <f t="array" ref="M390">(VLOOKUP($A390,'The List'!$B1:$AH671,25,FALSE)-AVERAGE('The List'!Z2:Z671))/STDEV('The List'!Z2:Z671)</f>
        <v>0.9716026892647377</v>
      </c>
      <c r="N390" s="55" cm="1">
        <f t="array" ref="N390">(VLOOKUP($A390,'The List'!$B1:$AH671,26,FALSE)-AVERAGE('The List'!AA2:AA671))/STDEV('The List'!AA2:AA671)</f>
        <v>-0.22934424466995323</v>
      </c>
      <c r="O390" s="55" cm="1">
        <f t="array" ref="O390">(VLOOKUP($A390,'The List'!$B1:$AH671,27,FALSE)-AVERAGE('The List'!AB2:AB671))/STDEV('The List'!AB2:AB671)</f>
        <v>-0.33454207584432921</v>
      </c>
      <c r="P390" s="55" cm="1">
        <f t="array" ref="P390">(VLOOKUP($A390,'The List'!$B1:$AH671,28,FALSE)-AVERAGE('The List'!AC2:AC671))/STDEV('The List'!AC2:AC671)</f>
        <v>-0.80248961234885019</v>
      </c>
      <c r="Q390" s="55" cm="1">
        <f t="array" ref="Q390">(VLOOKUP($A390,'The List'!$B1:$AH671,29,FALSE)-AVERAGE('The List'!AD2:AD671))/STDEV('The List'!AD2:AD671)</f>
        <v>-0.70622018288569743</v>
      </c>
      <c r="R390" s="55" cm="1">
        <f t="array" ref="R390">(VLOOKUP($A390,'The List'!$B1:$AH671,30,FALSE)-AVERAGE('The List'!AE2:AE671))/STDEV('The List'!AE2:AE671)</f>
        <v>-0.50649716584710558</v>
      </c>
      <c r="S390" s="55" cm="1">
        <f t="array" ref="S390">(VLOOKUP($A390,'The List'!$B1:$AH671,31,FALSE)-AVERAGE('The List'!AF2:AF671))/STDEV('The List'!AF2:AF671)</f>
        <v>0.63527311382688401</v>
      </c>
      <c r="T390" s="55" cm="1">
        <f t="array" ref="T390">(VLOOKUP($A390,'The List'!$B1:$AH671,32,FALSE)-AVERAGE('The List'!AG2:AG671))/STDEV('The List'!AG2:AG671)</f>
        <v>0.63540512212868061</v>
      </c>
      <c r="U390" s="55" cm="1">
        <f t="array" ref="U390">(VLOOKUP($A390,'The List'!$B1:$AH671,33,FALSE)-AVERAGE('The List'!AH2:AH671))/STDEV('The List'!AH2:AH671)</f>
        <v>1.0680949350288949</v>
      </c>
      <c r="V390" s="55"/>
      <c r="W390" s="78"/>
      <c r="X390" s="57"/>
      <c r="Y390" s="57"/>
      <c r="Z390" s="57"/>
      <c r="AA390" s="57"/>
      <c r="AB390" s="57"/>
      <c r="AC390" s="60"/>
      <c r="AD390" s="61"/>
      <c r="AE390" s="55"/>
    </row>
    <row r="391" spans="1:31" ht="21.25" customHeight="1" x14ac:dyDescent="0.15">
      <c r="A391" s="10" t="s">
        <v>660</v>
      </c>
      <c r="B391" s="18" t="str" cm="1">
        <f t="array" ref="B391">VLOOKUP(A391,'Player Data'!A1:B673,2,FALSE)</f>
        <v>L.A</v>
      </c>
      <c r="C391" s="52" cm="1">
        <f t="array" ref="C391">((E391)*Settings!$C$12)+(F391*Settings!$C$2)+(G391*Settings!$C$3)+(H391*Settings!$C$4)+(I391*Settings!$C$5)+(K391*Settings!$C$9)+(N391*Settings!$C$6)+(J391*Settings!$C$8)+(O391*Settings!$C$7)+(P391*Settings!$C$14)+(Q391*Settings!$C$15)+(R391*Settings!$C$16)+(S391*Settings!$C$17)+(T391*Settings!$C$18)+(U391*Settings!$C$19)+(L391*Settings!$C$10)+(Settings!$C$11*M391)</f>
        <v>-2.4975367879286186</v>
      </c>
      <c r="D391" s="57" cm="1">
        <f t="array" ref="D391">IF(Settings!$E$12="YES",VLOOKUP(A391,'Player Data'!A1:E673,5,FALSE),82)</f>
        <v>80.56</v>
      </c>
      <c r="E391" s="55" cm="1">
        <f t="array" ref="E391">(VLOOKUP($A391,'The List'!$B1:$AH671,17,FALSE)-AVERAGE('The List'!R2:R671))/STDEV('The List'!R2:R671)</f>
        <v>-0.8325841803519507</v>
      </c>
      <c r="F391" s="55" cm="1">
        <f t="array" ref="F391">(VLOOKUP($A391,'The List'!$B1:$AH671,18,FALSE)-AVERAGE('The List'!S2:S671))/STDEV('The List'!S2:S671)</f>
        <v>-0.18959307036034229</v>
      </c>
      <c r="G391" s="55" cm="1">
        <f t="array" ref="G391">(VLOOKUP($A391,'The List'!$B1:$AH671,19,FALSE)-AVERAGE('The List'!T2:T671))/STDEV('The List'!T2:T671)</f>
        <v>-0.7606273344367267</v>
      </c>
      <c r="H391" s="55" cm="1">
        <f t="array" ref="H391">(VLOOKUP($A391,'The List'!$B1:$AH671,20,FALSE)-AVERAGE('The List'!U2:U671))/STDEV('The List'!U2:U671)</f>
        <v>-0.56254889960455834</v>
      </c>
      <c r="I391" s="55" cm="1">
        <f t="array" ref="I391">(VLOOKUP($A391,'The List'!$B1:$AH671,21,FALSE)-AVERAGE('The List'!V2:V671))/STDEV('The List'!V2:V671)</f>
        <v>-0.2069201660766174</v>
      </c>
      <c r="J391" s="55" cm="1">
        <f t="array" ref="J391">(VLOOKUP($A391,'The List'!$B1:$AH671,22,FALSE)-AVERAGE('The List'!W2:W671))/STDEV('The List'!W2:W671)</f>
        <v>-0.73709644883672898</v>
      </c>
      <c r="K391" s="55" cm="1">
        <f t="array" ref="K391">(VLOOKUP($A391,'The List'!$B1:$AH671,23,FALSE)-AVERAGE('The List'!X2:X671))/STDEV('The List'!X2:X671)</f>
        <v>-0.80112731283710248</v>
      </c>
      <c r="L391" s="55" cm="1">
        <f t="array" ref="L391">(VLOOKUP($A391,'The List'!$B1:$AH671,24,FALSE)-AVERAGE('The List'!Y2:Y671))/STDEV('The List'!Y2:Y671)</f>
        <v>3.0601937647918884</v>
      </c>
      <c r="M391" s="55" cm="1">
        <f t="array" ref="M391">(VLOOKUP($A391,'The List'!$B1:$AH671,25,FALSE)-AVERAGE('The List'!Z2:Z671))/STDEV('The List'!Z2:Z671)</f>
        <v>3.2856459822346213</v>
      </c>
      <c r="N391" s="55" cm="1">
        <f t="array" ref="N391">(VLOOKUP($A391,'The List'!$B1:$AH671,26,FALSE)-AVERAGE('The List'!AA2:AA671))/STDEV('The List'!AA2:AA671)</f>
        <v>-0.33977285285235331</v>
      </c>
      <c r="O391" s="55" cm="1">
        <f t="array" ref="O391">(VLOOKUP($A391,'The List'!$B1:$AH671,27,FALSE)-AVERAGE('The List'!AB2:AB671))/STDEV('The List'!AB2:AB671)</f>
        <v>1.0853338318613586</v>
      </c>
      <c r="P391" s="55" cm="1">
        <f t="array" ref="P391">(VLOOKUP($A391,'The List'!$B1:$AH671,28,FALSE)-AVERAGE('The List'!AC2:AC671))/STDEV('The List'!AC2:AC671)</f>
        <v>-0.49474696925010669</v>
      </c>
      <c r="Q391" s="55" cm="1">
        <f t="array" ref="Q391">(VLOOKUP($A391,'The List'!$B1:$AH671,29,FALSE)-AVERAGE('The List'!AD2:AD671))/STDEV('The List'!AD2:AD671)</f>
        <v>0.29525091788462965</v>
      </c>
      <c r="R391" s="55" cm="1">
        <f t="array" ref="R391">(VLOOKUP($A391,'The List'!$B1:$AH671,30,FALSE)-AVERAGE('The List'!AE2:AE671))/STDEV('The List'!AE2:AE671)</f>
        <v>-0.16672376174696826</v>
      </c>
      <c r="S391" s="55" cm="1">
        <f t="array" ref="S391">(VLOOKUP($A391,'The List'!$B1:$AH671,31,FALSE)-AVERAGE('The List'!AF2:AF671))/STDEV('The List'!AF2:AF671)</f>
        <v>1.4819562751473738</v>
      </c>
      <c r="T391" s="55" cm="1">
        <f t="array" ref="T391">(VLOOKUP($A391,'The List'!$B1:$AH671,32,FALSE)-AVERAGE('The List'!AG2:AG671))/STDEV('The List'!AG2:AG671)</f>
        <v>1.3415758563003732</v>
      </c>
      <c r="U391" s="55" cm="1">
        <f t="array" ref="U391">(VLOOKUP($A391,'The List'!$B1:$AH671,33,FALSE)-AVERAGE('The List'!AH2:AH671))/STDEV('The List'!AH2:AH671)</f>
        <v>1.1657301178349222</v>
      </c>
      <c r="V391" s="55"/>
      <c r="W391" s="78"/>
      <c r="X391" s="57"/>
      <c r="Y391" s="57"/>
      <c r="Z391" s="57"/>
      <c r="AA391" s="57"/>
      <c r="AB391" s="57"/>
      <c r="AC391" s="60"/>
      <c r="AD391" s="61"/>
      <c r="AE391" s="55"/>
    </row>
    <row r="392" spans="1:31" ht="21.25" customHeight="1" x14ac:dyDescent="0.15">
      <c r="A392" s="10" t="s">
        <v>756</v>
      </c>
      <c r="B392" s="18" t="str" cm="1">
        <f t="array" ref="B392">VLOOKUP(A392,'Player Data'!A1:B673,2,FALSE)</f>
        <v>STL</v>
      </c>
      <c r="C392" s="52" cm="1">
        <f t="array" ref="C392">((E392)*Settings!$C$12)+(F392*Settings!$C$2)+(G392*Settings!$C$3)+(H392*Settings!$C$4)+(I392*Settings!$C$5)+(K392*Settings!$C$9)+(N392*Settings!$C$6)+(J392*Settings!$C$8)+(O392*Settings!$C$7)+(P392*Settings!$C$14)+(Q392*Settings!$C$15)+(R392*Settings!$C$16)+(S392*Settings!$C$17)+(T392*Settings!$C$18)+(U392*Settings!$C$19)+(L392*Settings!$C$10)+(Settings!$C$11*M392)</f>
        <v>-5.9639057171416407</v>
      </c>
      <c r="D392" s="57" cm="1">
        <f t="array" ref="D392">IF(Settings!$E$12="YES",VLOOKUP(A392,'Player Data'!A1:E673,5,FALSE),82)</f>
        <v>70.564999999999998</v>
      </c>
      <c r="E392" s="55" cm="1">
        <f t="array" ref="E392">(VLOOKUP($A392,'The List'!$B1:$AH671,17,FALSE)-AVERAGE('The List'!R2:R671))/STDEV('The List'!R2:R671)</f>
        <v>-1.4058421952887918</v>
      </c>
      <c r="F392" s="55" cm="1">
        <f t="array" ref="F392">(VLOOKUP($A392,'The List'!$B1:$AH671,18,FALSE)-AVERAGE('The List'!S2:S671))/STDEV('The List'!S2:S671)</f>
        <v>-0.57170829737463347</v>
      </c>
      <c r="G392" s="55" cm="1">
        <f t="array" ref="G392">(VLOOKUP($A392,'The List'!$B1:$AH671,19,FALSE)-AVERAGE('The List'!T2:T671))/STDEV('The List'!T2:T671)</f>
        <v>-0.71592464304333403</v>
      </c>
      <c r="H392" s="55" cm="1">
        <f t="array" ref="H392">(VLOOKUP($A392,'The List'!$B1:$AH671,20,FALSE)-AVERAGE('The List'!U2:U671))/STDEV('The List'!U2:U671)</f>
        <v>-0.70396735662305521</v>
      </c>
      <c r="I392" s="55" cm="1">
        <f t="array" ref="I392">(VLOOKUP($A392,'The List'!$B1:$AH671,21,FALSE)-AVERAGE('The List'!V2:V671))/STDEV('The List'!V2:V671)</f>
        <v>-0.98213545323930718</v>
      </c>
      <c r="J392" s="55" cm="1">
        <f t="array" ref="J392">(VLOOKUP($A392,'The List'!$B1:$AH671,22,FALSE)-AVERAGE('The List'!W2:W671))/STDEV('The List'!W2:W671)</f>
        <v>-0.59244627855101473</v>
      </c>
      <c r="K392" s="55" cm="1">
        <f t="array" ref="K392">(VLOOKUP($A392,'The List'!$B1:$AH671,23,FALSE)-AVERAGE('The List'!X2:X671))/STDEV('The List'!X2:X671)</f>
        <v>-0.73133679640696536</v>
      </c>
      <c r="L392" s="55" cm="1">
        <f t="array" ref="L392">(VLOOKUP($A392,'The List'!$B1:$AH671,24,FALSE)-AVERAGE('The List'!Y2:Y671))/STDEV('The List'!Y2:Y671)</f>
        <v>-0.55818833611964858</v>
      </c>
      <c r="M392" s="55" cm="1">
        <f t="array" ref="M392">(VLOOKUP($A392,'The List'!$B1:$AH671,25,FALSE)-AVERAGE('The List'!Z2:Z671))/STDEV('The List'!Z2:Z671)</f>
        <v>-0.70016946825392379</v>
      </c>
      <c r="N392" s="55" cm="1">
        <f t="array" ref="N392">(VLOOKUP($A392,'The List'!$B1:$AH671,26,FALSE)-AVERAGE('The List'!AA2:AA671))/STDEV('The List'!AA2:AA671)</f>
        <v>-1.131769432720656</v>
      </c>
      <c r="O392" s="55" cm="1">
        <f t="array" ref="O392">(VLOOKUP($A392,'The List'!$B1:$AH671,27,FALSE)-AVERAGE('The List'!AB2:AB671))/STDEV('The List'!AB2:AB671)</f>
        <v>-0.59405160123259593</v>
      </c>
      <c r="P392" s="55" cm="1">
        <f t="array" ref="P392">(VLOOKUP($A392,'The List'!$B1:$AH671,28,FALSE)-AVERAGE('The List'!AC2:AC671))/STDEV('The List'!AC2:AC671)</f>
        <v>-0.55668657172227831</v>
      </c>
      <c r="Q392" s="55" cm="1">
        <f t="array" ref="Q392">(VLOOKUP($A392,'The List'!$B1:$AH671,29,FALSE)-AVERAGE('The List'!AD2:AD671))/STDEV('The List'!AD2:AD671)</f>
        <v>-1.2743445226344652</v>
      </c>
      <c r="R392" s="55" cm="1">
        <f t="array" ref="R392">(VLOOKUP($A392,'The List'!$B1:$AH671,30,FALSE)-AVERAGE('The List'!AE2:AE671))/STDEV('The List'!AE2:AE671)</f>
        <v>-0.61273297455436826</v>
      </c>
      <c r="S392" s="55" cm="1">
        <f t="array" ref="S392">(VLOOKUP($A392,'The List'!$B1:$AH671,31,FALSE)-AVERAGE('The List'!AF2:AF671))/STDEV('The List'!AF2:AF671)</f>
        <v>-0.5793805029618766</v>
      </c>
      <c r="T392" s="55" cm="1">
        <f t="array" ref="T392">(VLOOKUP($A392,'The List'!$B1:$AH671,32,FALSE)-AVERAGE('The List'!AG2:AG671))/STDEV('The List'!AG2:AG671)</f>
        <v>-0.6241847824475476</v>
      </c>
      <c r="U392" s="55" cm="1">
        <f t="array" ref="U392">(VLOOKUP($A392,'The List'!$B1:$AH671,33,FALSE)-AVERAGE('The List'!AH2:AH671))/STDEV('The List'!AH2:AH671)</f>
        <v>0.65603809904039223</v>
      </c>
      <c r="V392" s="55"/>
      <c r="W392" s="78"/>
      <c r="X392" s="57"/>
      <c r="Y392" s="57"/>
      <c r="Z392" s="57"/>
      <c r="AA392" s="57"/>
      <c r="AB392" s="57"/>
      <c r="AC392" s="60"/>
      <c r="AD392" s="61"/>
      <c r="AE392" s="55"/>
    </row>
    <row r="393" spans="1:31" ht="21.25" customHeight="1" x14ac:dyDescent="0.15">
      <c r="A393" s="10" t="s">
        <v>390</v>
      </c>
      <c r="B393" s="18" t="str" cm="1">
        <f t="array" ref="B393">VLOOKUP(A393,'Player Data'!A1:B673,2,FALSE)</f>
        <v>WSH</v>
      </c>
      <c r="C393" s="52" cm="1">
        <f t="array" ref="C393">((E393)*Settings!$C$12)+(F393*Settings!$C$2)+(G393*Settings!$C$3)+(H393*Settings!$C$4)+(I393*Settings!$C$5)+(K393*Settings!$C$9)+(N393*Settings!$C$6)+(J393*Settings!$C$8)+(O393*Settings!$C$7)+(P393*Settings!$C$14)+(Q393*Settings!$C$15)+(R393*Settings!$C$16)+(S393*Settings!$C$17)+(T393*Settings!$C$18)+(U393*Settings!$C$19)+(L393*Settings!$C$10)+(Settings!$C$11*M393)</f>
        <v>-1.334443278977322</v>
      </c>
      <c r="D393" s="57" cm="1">
        <f t="array" ref="D393">IF(Settings!$E$12="YES",VLOOKUP(A393,'Player Data'!A1:E673,5,FALSE),82)</f>
        <v>81.032499999999999</v>
      </c>
      <c r="E393" s="55" cm="1">
        <f t="array" ref="E393">(VLOOKUP($A393,'The List'!$B1:$AH671,17,FALSE)-AVERAGE('The List'!R2:R671))/STDEV('The List'!R2:R671)</f>
        <v>0.17647104728151075</v>
      </c>
      <c r="F393" s="55" cm="1">
        <f t="array" ref="F393">(VLOOKUP($A393,'The List'!$B1:$AH671,18,FALSE)-AVERAGE('The List'!S2:S671))/STDEV('The List'!S2:S671)</f>
        <v>-0.97930656230872648</v>
      </c>
      <c r="G393" s="55" cm="1">
        <f t="array" ref="G393">(VLOOKUP($A393,'The List'!$B1:$AH671,19,FALSE)-AVERAGE('The List'!T2:T671))/STDEV('The List'!T2:T671)</f>
        <v>-0.20986396810073785</v>
      </c>
      <c r="H393" s="55" cm="1">
        <f t="array" ref="H393">(VLOOKUP($A393,'The List'!$B1:$AH671,20,FALSE)-AVERAGE('The List'!U2:U671))/STDEV('The List'!U2:U671)</f>
        <v>-0.56650034674558669</v>
      </c>
      <c r="I393" s="55" cm="1">
        <f t="array" ref="I393">(VLOOKUP($A393,'The List'!$B1:$AH671,21,FALSE)-AVERAGE('The List'!V2:V671))/STDEV('The List'!V2:V671)</f>
        <v>-0.74538009698086216</v>
      </c>
      <c r="J393" s="55" cm="1">
        <f t="array" ref="J393">(VLOOKUP($A393,'The List'!$B1:$AH671,22,FALSE)-AVERAGE('The List'!W2:W671))/STDEV('The List'!W2:W671)</f>
        <v>-0.70105821525361411</v>
      </c>
      <c r="K393" s="55" cm="1">
        <f t="array" ref="K393">(VLOOKUP($A393,'The List'!$B1:$AH671,23,FALSE)-AVERAGE('The List'!X2:X671))/STDEV('The List'!X2:X671)</f>
        <v>-0.64272883738574105</v>
      </c>
      <c r="L393" s="55" cm="1">
        <f t="array" ref="L393">(VLOOKUP($A393,'The List'!$B1:$AH671,24,FALSE)-AVERAGE('The List'!Y2:Y671))/STDEV('The List'!Y2:Y671)</f>
        <v>-0.50957504087960781</v>
      </c>
      <c r="M393" s="55" cm="1">
        <f t="array" ref="M393">(VLOOKUP($A393,'The List'!$B1:$AH671,25,FALSE)-AVERAGE('The List'!Z2:Z671))/STDEV('The List'!Z2:Z671)</f>
        <v>-0.59255471062287823</v>
      </c>
      <c r="N393" s="55" cm="1">
        <f t="array" ref="N393">(VLOOKUP($A393,'The List'!$B1:$AH671,26,FALSE)-AVERAGE('The List'!AA2:AA671))/STDEV('The List'!AA2:AA671)</f>
        <v>1.4282764038567308</v>
      </c>
      <c r="O393" s="55" cm="1">
        <f t="array" ref="O393">(VLOOKUP($A393,'The List'!$B1:$AH671,27,FALSE)-AVERAGE('The List'!AB2:AB671))/STDEV('The List'!AB2:AB671)</f>
        <v>5.2353361651968862E-2</v>
      </c>
      <c r="P393" s="55" cm="1">
        <f t="array" ref="P393">(VLOOKUP($A393,'The List'!$B1:$AH671,28,FALSE)-AVERAGE('The List'!AC2:AC671))/STDEV('The List'!AC2:AC671)</f>
        <v>0.65122314926970915</v>
      </c>
      <c r="Q393" s="55" cm="1">
        <f t="array" ref="Q393">(VLOOKUP($A393,'The List'!$B1:$AH671,29,FALSE)-AVERAGE('The List'!AD2:AD671))/STDEV('The List'!AD2:AD671)</f>
        <v>-0.8366633673276942</v>
      </c>
      <c r="R393" s="55" cm="1">
        <f t="array" ref="R393">(VLOOKUP($A393,'The List'!$B1:$AH671,30,FALSE)-AVERAGE('The List'!AE2:AE671))/STDEV('The List'!AE2:AE671)</f>
        <v>-0.96634404224056403</v>
      </c>
      <c r="S393" s="55" cm="1">
        <f t="array" ref="S393">(VLOOKUP($A393,'The List'!$B1:$AH671,31,FALSE)-AVERAGE('The List'!AF2:AF671))/STDEV('The List'!AF2:AF671)</f>
        <v>-0.5939690971349143</v>
      </c>
      <c r="T393" s="55" cm="1">
        <f t="array" ref="T393">(VLOOKUP($A393,'The List'!$B1:$AH671,32,FALSE)-AVERAGE('The List'!AG2:AG671))/STDEV('The List'!AG2:AG671)</f>
        <v>-0.64602208138248207</v>
      </c>
      <c r="U393" s="55" cm="1">
        <f t="array" ref="U393">(VLOOKUP($A393,'The List'!$B1:$AH671,33,FALSE)-AVERAGE('The List'!AH2:AH671))/STDEV('The List'!AH2:AH671)</f>
        <v>-1.2548938914719048</v>
      </c>
      <c r="V393" s="55"/>
      <c r="W393" s="78"/>
      <c r="X393" s="57"/>
      <c r="Y393" s="57"/>
      <c r="Z393" s="57"/>
      <c r="AA393" s="57"/>
      <c r="AB393" s="57"/>
      <c r="AC393" s="60"/>
      <c r="AD393" s="61"/>
      <c r="AE393" s="55"/>
    </row>
    <row r="394" spans="1:31" ht="21.25" customHeight="1" x14ac:dyDescent="0.15">
      <c r="A394" s="10" t="s">
        <v>697</v>
      </c>
      <c r="B394" s="18" t="str" cm="1">
        <f t="array" ref="B394">VLOOKUP(A394,'Player Data'!A1:B673,2,FALSE)</f>
        <v>PIT</v>
      </c>
      <c r="C394" s="52" cm="1">
        <f t="array" ref="C394">((E394)*Settings!$C$12)+(F394*Settings!$C$2)+(G394*Settings!$C$3)+(H394*Settings!$C$4)+(I394*Settings!$C$5)+(K394*Settings!$C$9)+(N394*Settings!$C$6)+(J394*Settings!$C$8)+(O394*Settings!$C$7)+(P394*Settings!$C$14)+(Q394*Settings!$C$15)+(R394*Settings!$C$16)+(S394*Settings!$C$17)+(T394*Settings!$C$18)+(U394*Settings!$C$19)+(L394*Settings!$C$10)+(Settings!$C$11*M394)</f>
        <v>-3.808147571715975</v>
      </c>
      <c r="D394" s="57" cm="1">
        <f t="array" ref="D394">IF(Settings!$E$12="YES",VLOOKUP(A394,'Player Data'!A1:E673,5,FALSE),82)</f>
        <v>74.075000000000003</v>
      </c>
      <c r="E394" s="55" cm="1">
        <f t="array" ref="E394">(VLOOKUP($A394,'The List'!$B1:$AH671,17,FALSE)-AVERAGE('The List'!R2:R671))/STDEV('The List'!R2:R671)</f>
        <v>-0.86523122742995828</v>
      </c>
      <c r="F394" s="55" cm="1">
        <f t="array" ref="F394">(VLOOKUP($A394,'The List'!$B1:$AH671,18,FALSE)-AVERAGE('The List'!S2:S671))/STDEV('The List'!S2:S671)</f>
        <v>-0.39382143836127037</v>
      </c>
      <c r="G394" s="55" cm="1">
        <f t="array" ref="G394">(VLOOKUP($A394,'The List'!$B1:$AH671,19,FALSE)-AVERAGE('The List'!T2:T671))/STDEV('The List'!T2:T671)</f>
        <v>-0.77967113679587374</v>
      </c>
      <c r="H394" s="55" cm="1">
        <f t="array" ref="H394">(VLOOKUP($A394,'The List'!$B1:$AH671,20,FALSE)-AVERAGE('The List'!U2:U671))/STDEV('The List'!U2:U671)</f>
        <v>-0.66513903500743088</v>
      </c>
      <c r="I394" s="55" cm="1">
        <f t="array" ref="I394">(VLOOKUP($A394,'The List'!$B1:$AH671,21,FALSE)-AVERAGE('The List'!V2:V671))/STDEV('The List'!V2:V671)</f>
        <v>-0.93510338894259371</v>
      </c>
      <c r="J394" s="55" cm="1">
        <f t="array" ref="J394">(VLOOKUP($A394,'The List'!$B1:$AH671,22,FALSE)-AVERAGE('The List'!W2:W671))/STDEV('The List'!W2:W671)</f>
        <v>-0.73224293840478061</v>
      </c>
      <c r="K394" s="55" cm="1">
        <f t="array" ref="K394">(VLOOKUP($A394,'The List'!$B1:$AH671,23,FALSE)-AVERAGE('The List'!X2:X671))/STDEV('The List'!X2:X671)</f>
        <v>-0.80111286645445368</v>
      </c>
      <c r="L394" s="55" cm="1">
        <f t="array" ref="L394">(VLOOKUP($A394,'The List'!$B1:$AH671,24,FALSE)-AVERAGE('The List'!Y2:Y671))/STDEV('The List'!Y2:Y671)</f>
        <v>0.2644752495554975</v>
      </c>
      <c r="M394" s="55" cm="1">
        <f t="array" ref="M394">(VLOOKUP($A394,'The List'!$B1:$AH671,25,FALSE)-AVERAGE('The List'!Z2:Z671))/STDEV('The List'!Z2:Z671)</f>
        <v>-6.095005341322688E-2</v>
      </c>
      <c r="N394" s="55" cm="1">
        <f t="array" ref="N394">(VLOOKUP($A394,'The List'!$B1:$AH671,26,FALSE)-AVERAGE('The List'!AA2:AA671))/STDEV('The List'!AA2:AA671)</f>
        <v>-0.44020088002210955</v>
      </c>
      <c r="O394" s="55" cm="1">
        <f t="array" ref="O394">(VLOOKUP($A394,'The List'!$B1:$AH671,27,FALSE)-AVERAGE('The List'!AB2:AB671))/STDEV('The List'!AB2:AB671)</f>
        <v>-0.16800290665322037</v>
      </c>
      <c r="P394" s="55" cm="1">
        <f t="array" ref="P394">(VLOOKUP($A394,'The List'!$B1:$AH671,28,FALSE)-AVERAGE('The List'!AC2:AC671))/STDEV('The List'!AC2:AC671)</f>
        <v>-0.25597216193939287</v>
      </c>
      <c r="Q394" s="55" cm="1">
        <f t="array" ref="Q394">(VLOOKUP($A394,'The List'!$B1:$AH671,29,FALSE)-AVERAGE('The List'!AD2:AD671))/STDEV('The List'!AD2:AD671)</f>
        <v>-0.20226569920028106</v>
      </c>
      <c r="R394" s="55" cm="1">
        <f t="array" ref="R394">(VLOOKUP($A394,'The List'!$B1:$AH671,30,FALSE)-AVERAGE('The List'!AE2:AE671))/STDEV('The List'!AE2:AE671)</f>
        <v>-0.44758249612003614</v>
      </c>
      <c r="S394" s="55" cm="1">
        <f t="array" ref="S394">(VLOOKUP($A394,'The List'!$B1:$AH671,31,FALSE)-AVERAGE('The List'!AF2:AF671))/STDEV('The List'!AF2:AF671)</f>
        <v>0.78581325219405762</v>
      </c>
      <c r="T394" s="55" cm="1">
        <f t="array" ref="T394">(VLOOKUP($A394,'The List'!$B1:$AH671,32,FALSE)-AVERAGE('The List'!AG2:AG671))/STDEV('The List'!AG2:AG671)</f>
        <v>0.84417882963511715</v>
      </c>
      <c r="U394" s="55" cm="1">
        <f t="array" ref="U394">(VLOOKUP($A394,'The List'!$B1:$AH671,33,FALSE)-AVERAGE('The List'!AH2:AH671))/STDEV('The List'!AH2:AH671)</f>
        <v>1.0274036008515182</v>
      </c>
      <c r="V394" s="55"/>
      <c r="W394" s="78"/>
      <c r="X394" s="57"/>
      <c r="Y394" s="57"/>
      <c r="Z394" s="57"/>
      <c r="AA394" s="57"/>
      <c r="AB394" s="57"/>
      <c r="AC394" s="60"/>
      <c r="AD394" s="61"/>
      <c r="AE394" s="55"/>
    </row>
    <row r="395" spans="1:31" ht="21.25" customHeight="1" x14ac:dyDescent="0.15">
      <c r="A395" s="10" t="s">
        <v>745</v>
      </c>
      <c r="B395" s="18" t="str" cm="1">
        <f t="array" ref="B395">VLOOKUP(A395,'Player Data'!A1:B673,2,FALSE)</f>
        <v>STL</v>
      </c>
      <c r="C395" s="52" cm="1">
        <f t="array" ref="C395">((E395)*Settings!$C$12)+(F395*Settings!$C$2)+(G395*Settings!$C$3)+(H395*Settings!$C$4)+(I395*Settings!$C$5)+(K395*Settings!$C$9)+(N395*Settings!$C$6)+(J395*Settings!$C$8)+(O395*Settings!$C$7)+(P395*Settings!$C$14)+(Q395*Settings!$C$15)+(R395*Settings!$C$16)+(S395*Settings!$C$17)+(T395*Settings!$C$18)+(U395*Settings!$C$19)+(L395*Settings!$C$10)+(Settings!$C$11*M395)</f>
        <v>-6.0437067154812976</v>
      </c>
      <c r="D395" s="57" cm="1">
        <f t="array" ref="D395">IF(Settings!$E$12="YES",VLOOKUP(A395,'Player Data'!A1:E673,5,FALSE),82)</f>
        <v>63.28</v>
      </c>
      <c r="E395" s="55" cm="1">
        <f t="array" ref="E395">(VLOOKUP($A395,'The List'!$B1:$AH671,17,FALSE)-AVERAGE('The List'!R2:R671))/STDEV('The List'!R2:R671)</f>
        <v>-1.282710232713596</v>
      </c>
      <c r="F395" s="55" cm="1">
        <f t="array" ref="F395">(VLOOKUP($A395,'The List'!$B1:$AH671,18,FALSE)-AVERAGE('The List'!S2:S671))/STDEV('The List'!S2:S671)</f>
        <v>-0.66217126444769814</v>
      </c>
      <c r="G395" s="55" cm="1">
        <f t="array" ref="G395">(VLOOKUP($A395,'The List'!$B1:$AH671,19,FALSE)-AVERAGE('The List'!T2:T671))/STDEV('The List'!T2:T671)</f>
        <v>-0.82262198074480242</v>
      </c>
      <c r="H395" s="55" cm="1">
        <f t="array" ref="H395">(VLOOKUP($A395,'The List'!$B1:$AH671,20,FALSE)-AVERAGE('The List'!U2:U671))/STDEV('The List'!U2:U671)</f>
        <v>-0.81121586948049473</v>
      </c>
      <c r="I395" s="55" cm="1">
        <f t="array" ref="I395">(VLOOKUP($A395,'The List'!$B1:$AH671,21,FALSE)-AVERAGE('The List'!V2:V671))/STDEV('The List'!V2:V671)</f>
        <v>-1.1362103814260065</v>
      </c>
      <c r="J395" s="55" cm="1">
        <f t="array" ref="J395">(VLOOKUP($A395,'The List'!$B1:$AH671,22,FALSE)-AVERAGE('The List'!W2:W671))/STDEV('The List'!W2:W671)</f>
        <v>-0.69798364530202228</v>
      </c>
      <c r="K395" s="55" cm="1">
        <f t="array" ref="K395">(VLOOKUP($A395,'The List'!$B1:$AH671,23,FALSE)-AVERAGE('The List'!X2:X671))/STDEV('The List'!X2:X671)</f>
        <v>-0.76990626117582783</v>
      </c>
      <c r="L395" s="55" cm="1">
        <f t="array" ref="L395">(VLOOKUP($A395,'The List'!$B1:$AH671,24,FALSE)-AVERAGE('The List'!Y2:Y671))/STDEV('The List'!Y2:Y671)</f>
        <v>-0.1534449403234345</v>
      </c>
      <c r="M395" s="55" cm="1">
        <f t="array" ref="M395">(VLOOKUP($A395,'The List'!$B1:$AH671,25,FALSE)-AVERAGE('The List'!Z2:Z671))/STDEV('The List'!Z2:Z671)</f>
        <v>0.82896179016826388</v>
      </c>
      <c r="N395" s="55" cm="1">
        <f t="array" ref="N395">(VLOOKUP($A395,'The List'!$B1:$AH671,26,FALSE)-AVERAGE('The List'!AA2:AA671))/STDEV('The List'!AA2:AA671)</f>
        <v>-0.90479232976473778</v>
      </c>
      <c r="O395" s="55" cm="1">
        <f t="array" ref="O395">(VLOOKUP($A395,'The List'!$B1:$AH671,27,FALSE)-AVERAGE('The List'!AB2:AB671))/STDEV('The List'!AB2:AB671)</f>
        <v>9.4299684054798827E-2</v>
      </c>
      <c r="P395" s="55" cm="1">
        <f t="array" ref="P395">(VLOOKUP($A395,'The List'!$B1:$AH671,28,FALSE)-AVERAGE('The List'!AC2:AC671))/STDEV('The List'!AC2:AC671)</f>
        <v>-0.44938311800665015</v>
      </c>
      <c r="Q395" s="55" cm="1">
        <f t="array" ref="Q395">(VLOOKUP($A395,'The List'!$B1:$AH671,29,FALSE)-AVERAGE('The List'!AD2:AD671))/STDEV('The List'!AD2:AD671)</f>
        <v>-1.2986213799155744</v>
      </c>
      <c r="R395" s="55" cm="1">
        <f t="array" ref="R395">(VLOOKUP($A395,'The List'!$B1:$AH671,30,FALSE)-AVERAGE('The List'!AE2:AE671))/STDEV('The List'!AE2:AE671)</f>
        <v>-0.69424581055620582</v>
      </c>
      <c r="S395" s="55" cm="1">
        <f t="array" ref="S395">(VLOOKUP($A395,'The List'!$B1:$AH671,31,FALSE)-AVERAGE('The List'!AF2:AF671))/STDEV('The List'!AF2:AF671)</f>
        <v>-0.56096243767716958</v>
      </c>
      <c r="T395" s="55" cm="1">
        <f t="array" ref="T395">(VLOOKUP($A395,'The List'!$B1:$AH671,32,FALSE)-AVERAGE('The List'!AG2:AG671))/STDEV('The List'!AG2:AG671)</f>
        <v>-0.55814609916632818</v>
      </c>
      <c r="U395" s="55" cm="1">
        <f t="array" ref="U395">(VLOOKUP($A395,'The List'!$B1:$AH671,33,FALSE)-AVERAGE('The List'!AH2:AH671))/STDEV('The List'!AH2:AH671)</f>
        <v>5.8508334975486118E-2</v>
      </c>
      <c r="V395" s="55"/>
      <c r="W395" s="78"/>
      <c r="X395" s="57"/>
      <c r="Y395" s="57"/>
      <c r="Z395" s="57"/>
      <c r="AA395" s="57"/>
      <c r="AB395" s="57"/>
      <c r="AC395" s="60"/>
      <c r="AD395" s="61"/>
      <c r="AE395" s="55"/>
    </row>
    <row r="396" spans="1:31" ht="21.25" customHeight="1" x14ac:dyDescent="0.15">
      <c r="A396" s="10" t="s">
        <v>699</v>
      </c>
      <c r="B396" s="18" t="str" cm="1">
        <f t="array" ref="B396">VLOOKUP(A396,'Player Data'!A1:B673,2,FALSE)</f>
        <v>T.B</v>
      </c>
      <c r="C396" s="52" cm="1">
        <f t="array" ref="C396">((E396)*Settings!$C$12)+(F396*Settings!$C$2)+(G396*Settings!$C$3)+(H396*Settings!$C$4)+(I396*Settings!$C$5)+(K396*Settings!$C$9)+(N396*Settings!$C$6)+(J396*Settings!$C$8)+(O396*Settings!$C$7)+(P396*Settings!$C$14)+(Q396*Settings!$C$15)+(R396*Settings!$C$16)+(S396*Settings!$C$17)+(T396*Settings!$C$18)+(U396*Settings!$C$19)+(L396*Settings!$C$10)+(Settings!$C$11*M396)</f>
        <v>-2.0929284242386066</v>
      </c>
      <c r="D396" s="57" cm="1">
        <f t="array" ref="D396">IF(Settings!$E$12="YES",VLOOKUP(A396,'Player Data'!A1:E673,5,FALSE),82)</f>
        <v>77.174999999999997</v>
      </c>
      <c r="E396" s="55" cm="1">
        <f t="array" ref="E396">(VLOOKUP($A396,'The List'!$B1:$AH671,17,FALSE)-AVERAGE('The List'!R2:R671))/STDEV('The List'!R2:R671)</f>
        <v>-1.1979530968186078</v>
      </c>
      <c r="F396" s="55" cm="1">
        <f t="array" ref="F396">(VLOOKUP($A396,'The List'!$B1:$AH671,18,FALSE)-AVERAGE('The List'!S2:S671))/STDEV('The List'!S2:S671)</f>
        <v>-0.35282295931587504</v>
      </c>
      <c r="G396" s="55" cm="1">
        <f t="array" ref="G396">(VLOOKUP($A396,'The List'!$B1:$AH671,19,FALSE)-AVERAGE('The List'!T2:T671))/STDEV('The List'!T2:T671)</f>
        <v>-0.74708937019176203</v>
      </c>
      <c r="H396" s="55" cm="1">
        <f t="array" ref="H396">(VLOOKUP($A396,'The List'!$B1:$AH671,20,FALSE)-AVERAGE('The List'!U2:U671))/STDEV('The List'!U2:U671)</f>
        <v>-0.62645514248933809</v>
      </c>
      <c r="I396" s="55" cm="1">
        <f t="array" ref="I396">(VLOOKUP($A396,'The List'!$B1:$AH671,21,FALSE)-AVERAGE('The List'!V2:V671))/STDEV('The List'!V2:V671)</f>
        <v>-0.65635669986194511</v>
      </c>
      <c r="J396" s="55" cm="1">
        <f t="array" ref="J396">(VLOOKUP($A396,'The List'!$B1:$AH671,22,FALSE)-AVERAGE('The List'!W2:W671))/STDEV('The List'!W2:W671)</f>
        <v>-0.73030027763681371</v>
      </c>
      <c r="K396" s="55" cm="1">
        <f t="array" ref="K396">(VLOOKUP($A396,'The List'!$B1:$AH671,23,FALSE)-AVERAGE('The List'!X2:X671))/STDEV('The List'!X2:X671)</f>
        <v>-0.79030935480899567</v>
      </c>
      <c r="L396" s="55" cm="1">
        <f t="array" ref="L396">(VLOOKUP($A396,'The List'!$B1:$AH671,24,FALSE)-AVERAGE('The List'!Y2:Y671))/STDEV('The List'!Y2:Y671)</f>
        <v>-0.44350139499455682</v>
      </c>
      <c r="M396" s="55" cm="1">
        <f t="array" ref="M396">(VLOOKUP($A396,'The List'!$B1:$AH671,25,FALSE)-AVERAGE('The List'!Z2:Z671))/STDEV('The List'!Z2:Z671)</f>
        <v>-0.62117645022709755</v>
      </c>
      <c r="N396" s="55" cm="1">
        <f t="array" ref="N396">(VLOOKUP($A396,'The List'!$B1:$AH671,26,FALSE)-AVERAGE('The List'!AA2:AA671))/STDEV('The List'!AA2:AA671)</f>
        <v>-0.63528493924248008</v>
      </c>
      <c r="O396" s="55" cm="1">
        <f t="array" ref="O396">(VLOOKUP($A396,'The List'!$B1:$AH671,27,FALSE)-AVERAGE('The List'!AB2:AB671))/STDEV('The List'!AB2:AB671)</f>
        <v>-0.40301662191843712</v>
      </c>
      <c r="P396" s="55" cm="1">
        <f t="array" ref="P396">(VLOOKUP($A396,'The List'!$B1:$AH671,28,FALSE)-AVERAGE('The List'!AC2:AC671))/STDEV('The List'!AC2:AC671)</f>
        <v>1.4118502476721169</v>
      </c>
      <c r="Q396" s="55" cm="1">
        <f t="array" ref="Q396">(VLOOKUP($A396,'The List'!$B1:$AH671,29,FALSE)-AVERAGE('The List'!AD2:AD671))/STDEV('The List'!AD2:AD671)</f>
        <v>-0.32291534848966552</v>
      </c>
      <c r="R396" s="55" cm="1">
        <f t="array" ref="R396">(VLOOKUP($A396,'The List'!$B1:$AH671,30,FALSE)-AVERAGE('The List'!AE2:AE671))/STDEV('The List'!AE2:AE671)</f>
        <v>-0.20346988948881473</v>
      </c>
      <c r="S396" s="55" cm="1">
        <f t="array" ref="S396">(VLOOKUP($A396,'The List'!$B1:$AH671,31,FALSE)-AVERAGE('The List'!AF2:AF671))/STDEV('The List'!AF2:AF671)</f>
        <v>-0.35776420142301363</v>
      </c>
      <c r="T396" s="55" cm="1">
        <f t="array" ref="T396">(VLOOKUP($A396,'The List'!$B1:$AH671,32,FALSE)-AVERAGE('The List'!AG2:AG671))/STDEV('The List'!AG2:AG671)</f>
        <v>-0.30780844607736163</v>
      </c>
      <c r="U396" s="55" cm="1">
        <f t="array" ref="U396">(VLOOKUP($A396,'The List'!$B1:$AH671,33,FALSE)-AVERAGE('The List'!AH2:AH671))/STDEV('The List'!AH2:AH671)</f>
        <v>0.70579286330531665</v>
      </c>
      <c r="V396" s="55"/>
      <c r="W396" s="78"/>
      <c r="X396" s="57"/>
      <c r="Y396" s="57"/>
      <c r="Z396" s="57"/>
      <c r="AA396" s="57"/>
      <c r="AB396" s="57"/>
      <c r="AC396" s="60"/>
      <c r="AD396" s="61"/>
      <c r="AE396" s="55"/>
    </row>
    <row r="397" spans="1:31" ht="21.25" customHeight="1" x14ac:dyDescent="0.15">
      <c r="A397" s="10" t="s">
        <v>424</v>
      </c>
      <c r="B397" s="18" t="str" cm="1">
        <f t="array" ref="B397">VLOOKUP(A397,'Player Data'!A1:B673,2,FALSE)</f>
        <v>CGY</v>
      </c>
      <c r="C397" s="52" cm="1">
        <f t="array" ref="C397">((E397)*Settings!$C$12)+(F397*Settings!$C$2)+(G397*Settings!$C$3)+(H397*Settings!$C$4)+(I397*Settings!$C$5)+(K397*Settings!$C$9)+(N397*Settings!$C$6)+(J397*Settings!$C$8)+(O397*Settings!$C$7)+(P397*Settings!$C$14)+(Q397*Settings!$C$15)+(R397*Settings!$C$16)+(S397*Settings!$C$17)+(T397*Settings!$C$18)+(U397*Settings!$C$19)+(L397*Settings!$C$10)+(Settings!$C$11*M397)</f>
        <v>-3.5517050297996962</v>
      </c>
      <c r="D397" s="57" cm="1">
        <f t="array" ref="D397">IF(Settings!$E$12="YES",VLOOKUP(A397,'Player Data'!A1:E673,5,FALSE),82)</f>
        <v>74</v>
      </c>
      <c r="E397" s="55" cm="1">
        <f t="array" ref="E397">(VLOOKUP($A397,'The List'!$B1:$AH671,17,FALSE)-AVERAGE('The List'!R2:R671))/STDEV('The List'!R2:R671)</f>
        <v>0.19195376088845717</v>
      </c>
      <c r="F397" s="55" cm="1">
        <f t="array" ref="F397">(VLOOKUP($A397,'The List'!$B1:$AH671,18,FALSE)-AVERAGE('The List'!S2:S671))/STDEV('The List'!S2:S671)</f>
        <v>-0.62726959247236913</v>
      </c>
      <c r="G397" s="55" cm="1">
        <f t="array" ref="G397">(VLOOKUP($A397,'The List'!$B1:$AH671,19,FALSE)-AVERAGE('The List'!T2:T671))/STDEV('The List'!T2:T671)</f>
        <v>-0.62566304639703818</v>
      </c>
      <c r="H397" s="55" cm="1">
        <f t="array" ref="H397">(VLOOKUP($A397,'The List'!$B1:$AH671,20,FALSE)-AVERAGE('The List'!U2:U671))/STDEV('The List'!U2:U671)</f>
        <v>-0.67184462674995682</v>
      </c>
      <c r="I397" s="55" cm="1">
        <f t="array" ref="I397">(VLOOKUP($A397,'The List'!$B1:$AH671,21,FALSE)-AVERAGE('The List'!V2:V671))/STDEV('The List'!V2:V671)</f>
        <v>-0.53811011454943547</v>
      </c>
      <c r="J397" s="55" cm="1">
        <f t="array" ref="J397">(VLOOKUP($A397,'The List'!$B1:$AH671,22,FALSE)-AVERAGE('The List'!W2:W671))/STDEV('The List'!W2:W671)</f>
        <v>0.28455384845632636</v>
      </c>
      <c r="K397" s="55" cm="1">
        <f t="array" ref="K397">(VLOOKUP($A397,'The List'!$B1:$AH671,23,FALSE)-AVERAGE('The List'!X2:X671))/STDEV('The List'!X2:X671)</f>
        <v>0.14693138610725967</v>
      </c>
      <c r="L397" s="55" cm="1">
        <f t="array" ref="L397">(VLOOKUP($A397,'The List'!$B1:$AH671,24,FALSE)-AVERAGE('The List'!Y2:Y671))/STDEV('The List'!Y2:Y671)</f>
        <v>-0.5532672510761778</v>
      </c>
      <c r="M397" s="55" cm="1">
        <f t="array" ref="M397">(VLOOKUP($A397,'The List'!$B1:$AH671,25,FALSE)-AVERAGE('The List'!Z2:Z671))/STDEV('The List'!Z2:Z671)</f>
        <v>-0.68180676343224444</v>
      </c>
      <c r="N397" s="55" cm="1">
        <f t="array" ref="N397">(VLOOKUP($A397,'The List'!$B1:$AH671,26,FALSE)-AVERAGE('The List'!AA2:AA671))/STDEV('The List'!AA2:AA671)</f>
        <v>0.30944967949641361</v>
      </c>
      <c r="O397" s="55" cm="1">
        <f t="array" ref="O397">(VLOOKUP($A397,'The List'!$B1:$AH671,27,FALSE)-AVERAGE('The List'!AB2:AB671))/STDEV('The List'!AB2:AB671)</f>
        <v>-0.58083108058781496</v>
      </c>
      <c r="P397" s="55" cm="1">
        <f t="array" ref="P397">(VLOOKUP($A397,'The List'!$B1:$AH671,28,FALSE)-AVERAGE('The List'!AC2:AC671))/STDEV('The List'!AC2:AC671)</f>
        <v>-1.7159368019571082</v>
      </c>
      <c r="Q397" s="55" cm="1">
        <f t="array" ref="Q397">(VLOOKUP($A397,'The List'!$B1:$AH671,29,FALSE)-AVERAGE('The List'!AD2:AD671))/STDEV('The List'!AD2:AD671)</f>
        <v>-0.5011065400274185</v>
      </c>
      <c r="R397" s="55" cm="1">
        <f t="array" ref="R397">(VLOOKUP($A397,'The List'!$B1:$AH671,30,FALSE)-AVERAGE('The List'!AE2:AE671))/STDEV('The List'!AE2:AE671)</f>
        <v>-0.66473146306451314</v>
      </c>
      <c r="S397" s="55" cm="1">
        <f t="array" ref="S397">(VLOOKUP($A397,'The List'!$B1:$AH671,31,FALSE)-AVERAGE('The List'!AF2:AF671))/STDEV('The List'!AF2:AF671)</f>
        <v>-0.5939690971349143</v>
      </c>
      <c r="T397" s="55" cm="1">
        <f t="array" ref="T397">(VLOOKUP($A397,'The List'!$B1:$AH671,32,FALSE)-AVERAGE('The List'!AG2:AG671))/STDEV('The List'!AG2:AG671)</f>
        <v>-0.64602208138248207</v>
      </c>
      <c r="U397" s="55" cm="1">
        <f t="array" ref="U397">(VLOOKUP($A397,'The List'!$B1:$AH671,33,FALSE)-AVERAGE('The List'!AH2:AH671))/STDEV('The List'!AH2:AH671)</f>
        <v>-1.2548938914719048</v>
      </c>
      <c r="V397" s="55"/>
      <c r="W397" s="57"/>
      <c r="X397" s="55"/>
      <c r="Y397" s="55"/>
      <c r="Z397" s="55"/>
      <c r="AA397" s="55"/>
      <c r="AB397" s="55"/>
      <c r="AC397" s="55"/>
      <c r="AD397" s="55"/>
      <c r="AE397" s="55"/>
    </row>
    <row r="398" spans="1:31" ht="21.25" customHeight="1" x14ac:dyDescent="0.15">
      <c r="A398" s="10" t="s">
        <v>769</v>
      </c>
      <c r="B398" s="18" t="str" cm="1">
        <f t="array" ref="B398">VLOOKUP(A398,'Player Data'!A1:B673,2,FALSE)</f>
        <v>BOS</v>
      </c>
      <c r="C398" s="52" cm="1">
        <f t="array" ref="C398">((E398)*Settings!$C$12)+(F398*Settings!$C$2)+(G398*Settings!$C$3)+(H398*Settings!$C$4)+(I398*Settings!$C$5)+(K398*Settings!$C$9)+(N398*Settings!$C$6)+(J398*Settings!$C$8)+(O398*Settings!$C$7)+(P398*Settings!$C$14)+(Q398*Settings!$C$15)+(R398*Settings!$C$16)+(S398*Settings!$C$17)+(T398*Settings!$C$18)+(U398*Settings!$C$19)+(L398*Settings!$C$10)+(Settings!$C$11*M398)</f>
        <v>-5.0718922107599216</v>
      </c>
      <c r="D398" s="57" cm="1">
        <f t="array" ref="D398">IF(Settings!$E$12="YES",VLOOKUP(A398,'Player Data'!A1:E673,5,FALSE),82)</f>
        <v>58.695</v>
      </c>
      <c r="E398" s="55" cm="1">
        <f t="array" ref="E398">(VLOOKUP($A398,'The List'!$B1:$AH671,17,FALSE)-AVERAGE('The List'!R2:R671))/STDEV('The List'!R2:R671)</f>
        <v>-1.4078682604798594</v>
      </c>
      <c r="F398" s="55" cm="1">
        <f t="array" ref="F398">(VLOOKUP($A398,'The List'!$B1:$AH671,18,FALSE)-AVERAGE('The List'!S2:S671))/STDEV('The List'!S2:S671)</f>
        <v>-0.46154595977118051</v>
      </c>
      <c r="G398" s="55" cm="1">
        <f t="array" ref="G398">(VLOOKUP($A398,'The List'!$B1:$AH671,19,FALSE)-AVERAGE('The List'!T2:T671))/STDEV('The List'!T2:T671)</f>
        <v>-1.07083635174963</v>
      </c>
      <c r="H398" s="55" cm="1">
        <f t="array" ref="H398">(VLOOKUP($A398,'The List'!$B1:$AH671,20,FALSE)-AVERAGE('The List'!U2:U671))/STDEV('The List'!U2:U671)</f>
        <v>-0.87832831528116262</v>
      </c>
      <c r="I398" s="55" cm="1">
        <f t="array" ref="I398">(VLOOKUP($A398,'The List'!$B1:$AH671,21,FALSE)-AVERAGE('The List'!V2:V671))/STDEV('The List'!V2:V671)</f>
        <v>-0.98268760916480258</v>
      </c>
      <c r="J398" s="55" cm="1">
        <f t="array" ref="J398">(VLOOKUP($A398,'The List'!$B1:$AH671,22,FALSE)-AVERAGE('The List'!W2:W671))/STDEV('The List'!W2:W671)</f>
        <v>-0.60530069250184171</v>
      </c>
      <c r="K398" s="55" cm="1">
        <f t="array" ref="K398">(VLOOKUP($A398,'The List'!$B1:$AH671,23,FALSE)-AVERAGE('The List'!X2:X671))/STDEV('The List'!X2:X671)</f>
        <v>-0.66947823491989944</v>
      </c>
      <c r="L398" s="55" cm="1">
        <f t="array" ref="L398">(VLOOKUP($A398,'The List'!$B1:$AH671,24,FALSE)-AVERAGE('The List'!Y2:Y671))/STDEV('The List'!Y2:Y671)</f>
        <v>0.59500342027674358</v>
      </c>
      <c r="M398" s="55" cm="1">
        <f t="array" ref="M398">(VLOOKUP($A398,'The List'!$B1:$AH671,25,FALSE)-AVERAGE('The List'!Z2:Z671))/STDEV('The List'!Z2:Z671)</f>
        <v>7.1880709534026407E-2</v>
      </c>
      <c r="N398" s="55" cm="1">
        <f t="array" ref="N398">(VLOOKUP($A398,'The List'!$B1:$AH671,26,FALSE)-AVERAGE('The List'!AA2:AA671))/STDEV('The List'!AA2:AA671)</f>
        <v>-0.82535754379339288</v>
      </c>
      <c r="O398" s="55" cm="1">
        <f t="array" ref="O398">(VLOOKUP($A398,'The List'!$B1:$AH671,27,FALSE)-AVERAGE('The List'!AB2:AB671))/STDEV('The List'!AB2:AB671)</f>
        <v>1.5222805449190417</v>
      </c>
      <c r="P398" s="55" cm="1">
        <f t="array" ref="P398">(VLOOKUP($A398,'The List'!$B1:$AH671,28,FALSE)-AVERAGE('The List'!AC2:AC671))/STDEV('The List'!AC2:AC671)</f>
        <v>-0.24721062084140993</v>
      </c>
      <c r="Q398" s="55" cm="1">
        <f t="array" ref="Q398">(VLOOKUP($A398,'The List'!$B1:$AH671,29,FALSE)-AVERAGE('The List'!AD2:AD671))/STDEV('The List'!AD2:AD671)</f>
        <v>-0.81477589051960631</v>
      </c>
      <c r="R398" s="55" cm="1">
        <f t="array" ref="R398">(VLOOKUP($A398,'The List'!$B1:$AH671,30,FALSE)-AVERAGE('The List'!AE2:AE671))/STDEV('The List'!AE2:AE671)</f>
        <v>-0.56786623888995358</v>
      </c>
      <c r="S398" s="55" cm="1">
        <f t="array" ref="S398">(VLOOKUP($A398,'The List'!$B1:$AH671,31,FALSE)-AVERAGE('The List'!AF2:AF671))/STDEV('The List'!AF2:AF671)</f>
        <v>-0.57781672837482023</v>
      </c>
      <c r="T398" s="55" cm="1">
        <f t="array" ref="T398">(VLOOKUP($A398,'The List'!$B1:$AH671,32,FALSE)-AVERAGE('The List'!AG2:AG671))/STDEV('The List'!AG2:AG671)</f>
        <v>-0.61812238287608201</v>
      </c>
      <c r="U398" s="55" cm="1">
        <f t="array" ref="U398">(VLOOKUP($A398,'The List'!$B1:$AH671,33,FALSE)-AVERAGE('The List'!AH2:AH671))/STDEV('The List'!AH2:AH671)</f>
        <v>0.49835312786808361</v>
      </c>
      <c r="V398" s="55"/>
      <c r="W398" s="57"/>
      <c r="X398" s="55"/>
      <c r="Y398" s="55"/>
      <c r="Z398" s="55"/>
      <c r="AA398" s="55"/>
      <c r="AB398" s="55"/>
      <c r="AC398" s="55"/>
      <c r="AD398" s="55"/>
      <c r="AE398" s="55"/>
    </row>
    <row r="399" spans="1:31" ht="21.25" customHeight="1" x14ac:dyDescent="0.15">
      <c r="A399" s="10" t="s">
        <v>687</v>
      </c>
      <c r="B399" s="18" t="str" cm="1">
        <f t="array" ref="B399">VLOOKUP(A399,'Player Data'!A1:B673,2,FALSE)</f>
        <v>WSH</v>
      </c>
      <c r="C399" s="52" cm="1">
        <f t="array" ref="C399">((E399)*Settings!$C$12)+(F399*Settings!$C$2)+(G399*Settings!$C$3)+(H399*Settings!$C$4)+(I399*Settings!$C$5)+(K399*Settings!$C$9)+(N399*Settings!$C$6)+(J399*Settings!$C$8)+(O399*Settings!$C$7)+(P399*Settings!$C$14)+(Q399*Settings!$C$15)+(R399*Settings!$C$16)+(S399*Settings!$C$17)+(T399*Settings!$C$18)+(U399*Settings!$C$19)+(L399*Settings!$C$10)+(Settings!$C$11*M399)</f>
        <v>-2.9094660577820304</v>
      </c>
      <c r="D399" s="57" cm="1">
        <f t="array" ref="D399">IF(Settings!$E$12="YES",VLOOKUP(A399,'Player Data'!A1:E673,5,FALSE),82)</f>
        <v>75.73</v>
      </c>
      <c r="E399" s="55" cm="1">
        <f t="array" ref="E399">(VLOOKUP($A399,'The List'!$B1:$AH671,17,FALSE)-AVERAGE('The List'!R2:R671))/STDEV('The List'!R2:R671)</f>
        <v>-1.528529521123476</v>
      </c>
      <c r="F399" s="55" cm="1">
        <f t="array" ref="F399">(VLOOKUP($A399,'The List'!$B1:$AH671,18,FALSE)-AVERAGE('The List'!S2:S671))/STDEV('The List'!S2:S671)</f>
        <v>-0.2441506368916555</v>
      </c>
      <c r="G399" s="55" cm="1">
        <f t="array" ref="G399">(VLOOKUP($A399,'The List'!$B1:$AH671,19,FALSE)-AVERAGE('The List'!T2:T671))/STDEV('The List'!T2:T671)</f>
        <v>-0.86633983193000075</v>
      </c>
      <c r="H399" s="55" cm="1">
        <f t="array" ref="H399">(VLOOKUP($A399,'The List'!$B1:$AH671,20,FALSE)-AVERAGE('The List'!U2:U671))/STDEV('The List'!U2:U671)</f>
        <v>-0.65324750801053044</v>
      </c>
      <c r="I399" s="55" cm="1">
        <f t="array" ref="I399">(VLOOKUP($A399,'The List'!$B1:$AH671,21,FALSE)-AVERAGE('The List'!V2:V671))/STDEV('The List'!V2:V671)</f>
        <v>-0.5845375324276334</v>
      </c>
      <c r="J399" s="55" cm="1">
        <f t="array" ref="J399">(VLOOKUP($A399,'The List'!$B1:$AH671,22,FALSE)-AVERAGE('The List'!W2:W671))/STDEV('The List'!W2:W671)</f>
        <v>-0.66342870713188107</v>
      </c>
      <c r="K399" s="55" cm="1">
        <f t="array" ref="K399">(VLOOKUP($A399,'The List'!$B1:$AH671,23,FALSE)-AVERAGE('The List'!X2:X671))/STDEV('The List'!X2:X671)</f>
        <v>-0.73980712951503846</v>
      </c>
      <c r="L399" s="55" cm="1">
        <f t="array" ref="L399">(VLOOKUP($A399,'The List'!$B1:$AH671,24,FALSE)-AVERAGE('The List'!Y2:Y671))/STDEV('The List'!Y2:Y671)</f>
        <v>-0.54317880404587837</v>
      </c>
      <c r="M399" s="55" cm="1">
        <f t="array" ref="M399">(VLOOKUP($A399,'The List'!$B1:$AH671,25,FALSE)-AVERAGE('The List'!Z2:Z671))/STDEV('The List'!Z2:Z671)</f>
        <v>-0.68553475011560927</v>
      </c>
      <c r="N399" s="55" cm="1">
        <f t="array" ref="N399">(VLOOKUP($A399,'The List'!$B1:$AH671,26,FALSE)-AVERAGE('The List'!AA2:AA671))/STDEV('The List'!AA2:AA671)</f>
        <v>-0.3676142875133922</v>
      </c>
      <c r="O399" s="55" cm="1">
        <f t="array" ref="O399">(VLOOKUP($A399,'The List'!$B1:$AH671,27,FALSE)-AVERAGE('The List'!AB2:AB671))/STDEV('The List'!AB2:AB671)</f>
        <v>-0.29169698794755672</v>
      </c>
      <c r="P399" s="55" cm="1">
        <f t="array" ref="P399">(VLOOKUP($A399,'The List'!$B1:$AH671,28,FALSE)-AVERAGE('The List'!AC2:AC671))/STDEV('The List'!AC2:AC671)</f>
        <v>0.81618405087018286</v>
      </c>
      <c r="Q399" s="55" cm="1">
        <f t="array" ref="Q399">(VLOOKUP($A399,'The List'!$B1:$AH671,29,FALSE)-AVERAGE('The List'!AD2:AD671))/STDEV('The List'!AD2:AD671)</f>
        <v>-0.92320069037449326</v>
      </c>
      <c r="R399" s="55" cm="1">
        <f t="array" ref="R399">(VLOOKUP($A399,'The List'!$B1:$AH671,30,FALSE)-AVERAGE('The List'!AE2:AE671))/STDEV('The List'!AE2:AE671)</f>
        <v>-0.27829531967619003</v>
      </c>
      <c r="S399" s="55" cm="1">
        <f t="array" ref="S399">(VLOOKUP($A399,'The List'!$B1:$AH671,31,FALSE)-AVERAGE('The List'!AF2:AF671))/STDEV('The List'!AF2:AF671)</f>
        <v>-0.59003604815232424</v>
      </c>
      <c r="T399" s="55" cm="1">
        <f t="array" ref="T399">(VLOOKUP($A399,'The List'!$B1:$AH671,32,FALSE)-AVERAGE('The List'!AG2:AG671))/STDEV('The List'!AG2:AG671)</f>
        <v>-0.6179421878089878</v>
      </c>
      <c r="U399" s="55" cm="1">
        <f t="array" ref="U399">(VLOOKUP($A399,'The List'!$B1:$AH671,33,FALSE)-AVERAGE('The List'!AH2:AH671))/STDEV('The List'!AH2:AH671)</f>
        <v>-0.65820701594371911</v>
      </c>
      <c r="V399" s="55"/>
      <c r="W399" s="78"/>
      <c r="X399" s="57"/>
      <c r="Y399" s="57"/>
      <c r="Z399" s="57"/>
      <c r="AA399" s="57"/>
      <c r="AB399" s="57"/>
      <c r="AC399" s="60"/>
      <c r="AD399" s="61"/>
      <c r="AE399" s="55"/>
    </row>
    <row r="400" spans="1:31" ht="21.25" customHeight="1" x14ac:dyDescent="0.15">
      <c r="A400" s="10" t="s">
        <v>681</v>
      </c>
      <c r="B400" s="18" t="str" cm="1">
        <f t="array" ref="B400">VLOOKUP(A400,'Player Data'!A1:B673,2,FALSE)</f>
        <v>SEA</v>
      </c>
      <c r="C400" s="52" cm="1">
        <f t="array" ref="C400">((E400)*Settings!$C$12)+(F400*Settings!$C$2)+(G400*Settings!$C$3)+(H400*Settings!$C$4)+(I400*Settings!$C$5)+(K400*Settings!$C$9)+(N400*Settings!$C$6)+(J400*Settings!$C$8)+(O400*Settings!$C$7)+(P400*Settings!$C$14)+(Q400*Settings!$C$15)+(R400*Settings!$C$16)+(S400*Settings!$C$17)+(T400*Settings!$C$18)+(U400*Settings!$C$19)+(L400*Settings!$C$10)+(Settings!$C$11*M400)</f>
        <v>-6.0587488273492358</v>
      </c>
      <c r="D400" s="57" cm="1">
        <f t="array" ref="D400">IF(Settings!$E$12="YES",VLOOKUP(A400,'Player Data'!A1:E673,5,FALSE),82)</f>
        <v>80.045000000000002</v>
      </c>
      <c r="E400" s="55" cm="1">
        <f t="array" ref="E400">(VLOOKUP($A400,'The List'!$B1:$AH671,17,FALSE)-AVERAGE('The List'!R2:R671))/STDEV('The List'!R2:R671)</f>
        <v>-0.4679328039769779</v>
      </c>
      <c r="F400" s="55" cm="1">
        <f t="array" ref="F400">(VLOOKUP($A400,'The List'!$B1:$AH671,18,FALSE)-AVERAGE('The List'!S2:S671))/STDEV('The List'!S2:S671)</f>
        <v>-0.5330618888041645</v>
      </c>
      <c r="G400" s="55" cm="1">
        <f t="array" ref="G400">(VLOOKUP($A400,'The List'!$B1:$AH671,19,FALSE)-AVERAGE('The List'!T2:T671))/STDEV('The List'!T2:T671)</f>
        <v>-0.57450680760450634</v>
      </c>
      <c r="H400" s="55" cm="1">
        <f t="array" ref="H400">(VLOOKUP($A400,'The List'!$B1:$AH671,20,FALSE)-AVERAGE('The List'!U2:U671))/STDEV('The List'!U2:U671)</f>
        <v>-0.59786971377849396</v>
      </c>
      <c r="I400" s="55" cm="1">
        <f t="array" ref="I400">(VLOOKUP($A400,'The List'!$B1:$AH671,21,FALSE)-AVERAGE('The List'!V2:V671))/STDEV('The List'!V2:V671)</f>
        <v>-0.71040426862501149</v>
      </c>
      <c r="J400" s="55" cm="1">
        <f t="array" ref="J400">(VLOOKUP($A400,'The List'!$B1:$AH671,22,FALSE)-AVERAGE('The List'!W2:W671))/STDEV('The List'!W2:W671)</f>
        <v>-0.56342492083721951</v>
      </c>
      <c r="K400" s="55" cm="1">
        <f t="array" ref="K400">(VLOOKUP($A400,'The List'!$B1:$AH671,23,FALSE)-AVERAGE('The List'!X2:X671))/STDEV('The List'!X2:X671)</f>
        <v>-0.67493600805171938</v>
      </c>
      <c r="L400" s="55" cm="1">
        <f t="array" ref="L400">(VLOOKUP($A400,'The List'!$B1:$AH671,24,FALSE)-AVERAGE('The List'!Y2:Y671))/STDEV('The List'!Y2:Y671)</f>
        <v>-0.36216050273516337</v>
      </c>
      <c r="M400" s="55" cm="1">
        <f t="array" ref="M400">(VLOOKUP($A400,'The List'!$B1:$AH671,25,FALSE)-AVERAGE('The List'!Z2:Z671))/STDEV('The List'!Z2:Z671)</f>
        <v>-0.47613741244171792</v>
      </c>
      <c r="N400" s="55" cm="1">
        <f t="array" ref="N400">(VLOOKUP($A400,'The List'!$B1:$AH671,26,FALSE)-AVERAGE('The List'!AA2:AA671))/STDEV('The List'!AA2:AA671)</f>
        <v>-0.16708753001902574</v>
      </c>
      <c r="O400" s="55" cm="1">
        <f t="array" ref="O400">(VLOOKUP($A400,'The List'!$B1:$AH671,27,FALSE)-AVERAGE('The List'!AB2:AB671))/STDEV('The List'!AB2:AB671)</f>
        <v>-0.79650708246485746</v>
      </c>
      <c r="P400" s="55" cm="1">
        <f t="array" ref="P400">(VLOOKUP($A400,'The List'!$B1:$AH671,28,FALSE)-AVERAGE('The List'!AC2:AC671))/STDEV('The List'!AC2:AC671)</f>
        <v>-2.1452605784623628</v>
      </c>
      <c r="Q400" s="55" cm="1">
        <f t="array" ref="Q400">(VLOOKUP($A400,'The List'!$B1:$AH671,29,FALSE)-AVERAGE('The List'!AD2:AD671))/STDEV('The List'!AD2:AD671)</f>
        <v>-1.2534917457824459</v>
      </c>
      <c r="R400" s="55" cm="1">
        <f t="array" ref="R400">(VLOOKUP($A400,'The List'!$B1:$AH671,30,FALSE)-AVERAGE('The List'!AE2:AE671))/STDEV('The List'!AE2:AE671)</f>
        <v>-0.6115133845459888</v>
      </c>
      <c r="S400" s="55" cm="1">
        <f t="array" ref="S400">(VLOOKUP($A400,'The List'!$B1:$AH671,31,FALSE)-AVERAGE('The List'!AF2:AF671))/STDEV('The List'!AF2:AF671)</f>
        <v>1.1533211415448985</v>
      </c>
      <c r="T400" s="55" cm="1">
        <f t="array" ref="T400">(VLOOKUP($A400,'The List'!$B1:$AH671,32,FALSE)-AVERAGE('The List'!AG2:AG671))/STDEV('The List'!AG2:AG671)</f>
        <v>1.496779459796755</v>
      </c>
      <c r="U400" s="55" cm="1">
        <f t="array" ref="U400">(VLOOKUP($A400,'The List'!$B1:$AH671,33,FALSE)-AVERAGE('The List'!AH2:AH671))/STDEV('The List'!AH2:AH671)</f>
        <v>0.88164799664371762</v>
      </c>
      <c r="V400" s="55"/>
      <c r="W400" s="78"/>
      <c r="X400" s="57"/>
      <c r="Y400" s="57"/>
      <c r="Z400" s="57"/>
      <c r="AA400" s="57"/>
      <c r="AB400" s="57"/>
      <c r="AC400" s="60"/>
      <c r="AD400" s="61"/>
      <c r="AE400" s="55"/>
    </row>
    <row r="401" spans="1:31" ht="21.25" customHeight="1" x14ac:dyDescent="0.15">
      <c r="A401" s="10" t="s">
        <v>351</v>
      </c>
      <c r="B401" s="18" t="str" cm="1">
        <f t="array" ref="B401">VLOOKUP(A401,'Player Data'!A1:B673,2,FALSE)</f>
        <v>TOR</v>
      </c>
      <c r="C401" s="52" cm="1">
        <f t="array" ref="C401">((E401)*Settings!$C$12)+(F401*Settings!$C$2)+(G401*Settings!$C$3)+(H401*Settings!$C$4)+(I401*Settings!$C$5)+(K401*Settings!$C$9)+(N401*Settings!$C$6)+(J401*Settings!$C$8)+(O401*Settings!$C$7)+(P401*Settings!$C$14)+(Q401*Settings!$C$15)+(R401*Settings!$C$16)+(S401*Settings!$C$17)+(T401*Settings!$C$18)+(U401*Settings!$C$19)+(L401*Settings!$C$10)+(Settings!$C$11*M401)</f>
        <v>1.5187039868158583</v>
      </c>
      <c r="D401" s="57" cm="1">
        <f t="array" ref="D401">IF(Settings!$E$12="YES",VLOOKUP(A401,'Player Data'!A1:E673,5,FALSE),82)</f>
        <v>80.575000000000003</v>
      </c>
      <c r="E401" s="55" cm="1">
        <f t="array" ref="E401">(VLOOKUP($A401,'The List'!$B1:$AH671,17,FALSE)-AVERAGE('The List'!R2:R671))/STDEV('The List'!R2:R671)</f>
        <v>1.401177426097014</v>
      </c>
      <c r="F401" s="55" cm="1">
        <f t="array" ref="F401">(VLOOKUP($A401,'The List'!$B1:$AH671,18,FALSE)-AVERAGE('The List'!S2:S671))/STDEV('The List'!S2:S671)</f>
        <v>-1.0652940765095755</v>
      </c>
      <c r="G401" s="55" cm="1">
        <f t="array" ref="G401">(VLOOKUP($A401,'The List'!$B1:$AH671,19,FALSE)-AVERAGE('The List'!T2:T671))/STDEV('The List'!T2:T671)</f>
        <v>-0.19099233190887424</v>
      </c>
      <c r="H401" s="55" cm="1">
        <f t="array" ref="H401">(VLOOKUP($A401,'The List'!$B1:$AH671,20,FALSE)-AVERAGE('The List'!U2:U671))/STDEV('The List'!U2:U671)</f>
        <v>-0.59278097672764485</v>
      </c>
      <c r="I401" s="55" cm="1">
        <f t="array" ref="I401">(VLOOKUP($A401,'The List'!$B1:$AH671,21,FALSE)-AVERAGE('The List'!V2:V671))/STDEV('The List'!V2:V671)</f>
        <v>-0.93560723898238074</v>
      </c>
      <c r="J401" s="55" cm="1">
        <f t="array" ref="J401">(VLOOKUP($A401,'The List'!$B1:$AH671,22,FALSE)-AVERAGE('The List'!W2:W671))/STDEV('The List'!W2:W671)</f>
        <v>-0.72950639995937872</v>
      </c>
      <c r="K401" s="55" cm="1">
        <f t="array" ref="K401">(VLOOKUP($A401,'The List'!$B1:$AH671,23,FALSE)-AVERAGE('The List'!X2:X671))/STDEV('The List'!X2:X671)</f>
        <v>-0.77470643826418362</v>
      </c>
      <c r="L401" s="55" cm="1">
        <f t="array" ref="L401">(VLOOKUP($A401,'The List'!$B1:$AH671,24,FALSE)-AVERAGE('The List'!Y2:Y671))/STDEV('The List'!Y2:Y671)</f>
        <v>-0.5417656695144546</v>
      </c>
      <c r="M401" s="55" cm="1">
        <f t="array" ref="M401">(VLOOKUP($A401,'The List'!$B1:$AH671,25,FALSE)-AVERAGE('The List'!Z2:Z671))/STDEV('The List'!Z2:Z671)</f>
        <v>-0.16544551402369287</v>
      </c>
      <c r="N401" s="55" cm="1">
        <f t="array" ref="N401">(VLOOKUP($A401,'The List'!$B1:$AH671,26,FALSE)-AVERAGE('The List'!AA2:AA671))/STDEV('The List'!AA2:AA671)</f>
        <v>2.7904074094060474</v>
      </c>
      <c r="O401" s="55" cm="1">
        <f t="array" ref="O401">(VLOOKUP($A401,'The List'!$B1:$AH671,27,FALSE)-AVERAGE('The List'!AB2:AB671))/STDEV('The List'!AB2:AB671)</f>
        <v>0.59821019949018506</v>
      </c>
      <c r="P401" s="55" cm="1">
        <f t="array" ref="P401">(VLOOKUP($A401,'The List'!$B1:$AH671,28,FALSE)-AVERAGE('The List'!AC2:AC671))/STDEV('The List'!AC2:AC671)</f>
        <v>9.0987006731092335E-2</v>
      </c>
      <c r="Q401" s="55" cm="1">
        <f t="array" ref="Q401">(VLOOKUP($A401,'The List'!$B1:$AH671,29,FALSE)-AVERAGE('The List'!AD2:AD671))/STDEV('The List'!AD2:AD671)</f>
        <v>1.6039096563437329</v>
      </c>
      <c r="R401" s="55" cm="1">
        <f t="array" ref="R401">(VLOOKUP($A401,'The List'!$B1:$AH671,30,FALSE)-AVERAGE('The List'!AE2:AE671))/STDEV('The List'!AE2:AE671)</f>
        <v>-1.0720707215598573</v>
      </c>
      <c r="S401" s="55" cm="1">
        <f t="array" ref="S401">(VLOOKUP($A401,'The List'!$B1:$AH671,31,FALSE)-AVERAGE('The List'!AF2:AF671))/STDEV('The List'!AF2:AF671)</f>
        <v>-0.5939690971349143</v>
      </c>
      <c r="T401" s="55" cm="1">
        <f t="array" ref="T401">(VLOOKUP($A401,'The List'!$B1:$AH671,32,FALSE)-AVERAGE('The List'!AG2:AG671))/STDEV('The List'!AG2:AG671)</f>
        <v>-0.64602208138248207</v>
      </c>
      <c r="U401" s="55" cm="1">
        <f t="array" ref="U401">(VLOOKUP($A401,'The List'!$B1:$AH671,33,FALSE)-AVERAGE('The List'!AH2:AH671))/STDEV('The List'!AH2:AH671)</f>
        <v>-1.2548938914719048</v>
      </c>
      <c r="V401" s="55"/>
      <c r="W401" s="78"/>
      <c r="X401" s="57"/>
      <c r="Y401" s="57"/>
      <c r="Z401" s="57"/>
      <c r="AA401" s="57"/>
      <c r="AB401" s="57"/>
      <c r="AC401" s="60"/>
      <c r="AD401" s="61"/>
      <c r="AE401" s="55"/>
    </row>
    <row r="402" spans="1:31" ht="21.25" customHeight="1" x14ac:dyDescent="0.15">
      <c r="A402" s="10" t="s">
        <v>698</v>
      </c>
      <c r="B402" s="18" t="str" cm="1">
        <f t="array" ref="B402">VLOOKUP(A402,'Player Data'!A1:B673,2,FALSE)</f>
        <v>WPG</v>
      </c>
      <c r="C402" s="52" cm="1">
        <f t="array" ref="C402">((E402)*Settings!$C$12)+(F402*Settings!$C$2)+(G402*Settings!$C$3)+(H402*Settings!$C$4)+(I402*Settings!$C$5)+(K402*Settings!$C$9)+(N402*Settings!$C$6)+(J402*Settings!$C$8)+(O402*Settings!$C$7)+(P402*Settings!$C$14)+(Q402*Settings!$C$15)+(R402*Settings!$C$16)+(S402*Settings!$C$17)+(T402*Settings!$C$18)+(U402*Settings!$C$19)+(L402*Settings!$C$10)+(Settings!$C$11*M402)</f>
        <v>-3.2948038565384588</v>
      </c>
      <c r="D402" s="57" cm="1">
        <f t="array" ref="D402">IF(Settings!$E$12="YES",VLOOKUP(A402,'Player Data'!A1:E673,5,FALSE),82)</f>
        <v>79.174999999999997</v>
      </c>
      <c r="E402" s="55" cm="1">
        <f t="array" ref="E402">(VLOOKUP($A402,'The List'!$B1:$AH671,17,FALSE)-AVERAGE('The List'!R2:R671))/STDEV('The List'!R2:R671)</f>
        <v>-1.1897222916785763</v>
      </c>
      <c r="F402" s="55" cm="1">
        <f t="array" ref="F402">(VLOOKUP($A402,'The List'!$B1:$AH671,18,FALSE)-AVERAGE('The List'!S2:S671))/STDEV('The List'!S2:S671)</f>
        <v>-0.45190031719926255</v>
      </c>
      <c r="G402" s="55" cm="1">
        <f t="array" ref="G402">(VLOOKUP($A402,'The List'!$B1:$AH671,19,FALSE)-AVERAGE('The List'!T2:T671))/STDEV('The List'!T2:T671)</f>
        <v>-0.65312647791727385</v>
      </c>
      <c r="H402" s="55" cm="1">
        <f t="array" ref="H402">(VLOOKUP($A402,'The List'!$B1:$AH671,20,FALSE)-AVERAGE('The List'!U2:U671))/STDEV('The List'!U2:U671)</f>
        <v>-0.61131144764177137</v>
      </c>
      <c r="I402" s="55" cm="1">
        <f t="array" ref="I402">(VLOOKUP($A402,'The List'!$B1:$AH671,21,FALSE)-AVERAGE('The List'!V2:V671))/STDEV('The List'!V2:V671)</f>
        <v>-0.68960402271522148</v>
      </c>
      <c r="J402" s="55" cm="1">
        <f t="array" ref="J402">(VLOOKUP($A402,'The List'!$B1:$AH671,22,FALSE)-AVERAGE('The List'!W2:W671))/STDEV('The List'!W2:W671)</f>
        <v>-0.20013262981309041</v>
      </c>
      <c r="K402" s="55" cm="1">
        <f t="array" ref="K402">(VLOOKUP($A402,'The List'!$B1:$AH671,23,FALSE)-AVERAGE('The List'!X2:X671))/STDEV('The List'!X2:X671)</f>
        <v>-0.33011966242390173</v>
      </c>
      <c r="L402" s="55" cm="1">
        <f t="array" ref="L402">(VLOOKUP($A402,'The List'!$B1:$AH671,24,FALSE)-AVERAGE('The List'!Y2:Y671))/STDEV('The List'!Y2:Y671)</f>
        <v>-0.29590837841032186</v>
      </c>
      <c r="M402" s="55" cm="1">
        <f t="array" ref="M402">(VLOOKUP($A402,'The List'!$B1:$AH671,25,FALSE)-AVERAGE('The List'!Z2:Z671))/STDEV('The List'!Z2:Z671)</f>
        <v>-0.50771303478747953</v>
      </c>
      <c r="N402" s="55" cm="1">
        <f t="array" ref="N402">(VLOOKUP($A402,'The List'!$B1:$AH671,26,FALSE)-AVERAGE('The List'!AA2:AA671))/STDEV('The List'!AA2:AA671)</f>
        <v>-0.58261246320522853</v>
      </c>
      <c r="O402" s="55" cm="1">
        <f t="array" ref="O402">(VLOOKUP($A402,'The List'!$B1:$AH671,27,FALSE)-AVERAGE('The List'!AB2:AB671))/STDEV('The List'!AB2:AB671)</f>
        <v>6.8175709286441483E-2</v>
      </c>
      <c r="P402" s="55" cm="1">
        <f t="array" ref="P402">(VLOOKUP($A402,'The List'!$B1:$AH671,28,FALSE)-AVERAGE('The List'!AC2:AC671))/STDEV('The List'!AC2:AC671)</f>
        <v>9.9353078629316735E-2</v>
      </c>
      <c r="Q402" s="55" cm="1">
        <f t="array" ref="Q402">(VLOOKUP($A402,'The List'!$B1:$AH671,29,FALSE)-AVERAGE('The List'!AD2:AD671))/STDEV('The List'!AD2:AD671)</f>
        <v>-0.68679399170688726</v>
      </c>
      <c r="R402" s="55" cm="1">
        <f t="array" ref="R402">(VLOOKUP($A402,'The List'!$B1:$AH671,30,FALSE)-AVERAGE('The List'!AE2:AE671))/STDEV('The List'!AE2:AE671)</f>
        <v>-0.33485712505146781</v>
      </c>
      <c r="S402" s="55" cm="1">
        <f t="array" ref="S402">(VLOOKUP($A402,'The List'!$B1:$AH671,31,FALSE)-AVERAGE('The List'!AF2:AF671))/STDEV('The List'!AF2:AF671)</f>
        <v>0.13043316258388019</v>
      </c>
      <c r="T402" s="55" cm="1">
        <f t="array" ref="T402">(VLOOKUP($A402,'The List'!$B1:$AH671,32,FALSE)-AVERAGE('The List'!AG2:AG671))/STDEV('The List'!AG2:AG671)</f>
        <v>0.42480535678275499</v>
      </c>
      <c r="U402" s="55" cm="1">
        <f t="array" ref="U402">(VLOOKUP($A402,'The List'!$B1:$AH671,33,FALSE)-AVERAGE('The List'!AH2:AH671))/STDEV('The List'!AH2:AH671)</f>
        <v>0.67005367930024518</v>
      </c>
      <c r="V402" s="55"/>
      <c r="W402" s="78"/>
      <c r="X402" s="57"/>
      <c r="Y402" s="57"/>
      <c r="Z402" s="57"/>
      <c r="AA402" s="57"/>
      <c r="AB402" s="57"/>
      <c r="AC402" s="60"/>
      <c r="AD402" s="61"/>
      <c r="AE402" s="55"/>
    </row>
    <row r="403" spans="1:31" ht="21.25" customHeight="1" x14ac:dyDescent="0.15">
      <c r="A403" s="10" t="s">
        <v>437</v>
      </c>
      <c r="B403" s="18" t="str" cm="1">
        <f t="array" ref="B403">VLOOKUP(A403,'Player Data'!A1:B673,2,FALSE)</f>
        <v>ANA</v>
      </c>
      <c r="C403" s="52" cm="1">
        <f t="array" ref="C403">((E403)*Settings!$C$12)+(F403*Settings!$C$2)+(G403*Settings!$C$3)+(H403*Settings!$C$4)+(I403*Settings!$C$5)+(K403*Settings!$C$9)+(N403*Settings!$C$6)+(J403*Settings!$C$8)+(O403*Settings!$C$7)+(P403*Settings!$C$14)+(Q403*Settings!$C$15)+(R403*Settings!$C$16)+(S403*Settings!$C$17)+(T403*Settings!$C$18)+(U403*Settings!$C$19)+(L403*Settings!$C$10)+(Settings!$C$11*M403)</f>
        <v>-2.6336404467990016</v>
      </c>
      <c r="D403" s="57" cm="1">
        <f t="array" ref="D403">IF(Settings!$E$12="YES",VLOOKUP(A403,'Player Data'!A1:E673,5,FALSE),82)</f>
        <v>73.75</v>
      </c>
      <c r="E403" s="55" cm="1">
        <f t="array" ref="E403">(VLOOKUP($A403,'The List'!$B1:$AH671,17,FALSE)-AVERAGE('The List'!R2:R671))/STDEV('The List'!R2:R671)</f>
        <v>0.62526699384859352</v>
      </c>
      <c r="F403" s="55" cm="1">
        <f t="array" ref="F403">(VLOOKUP($A403,'The List'!$B1:$AH671,18,FALSE)-AVERAGE('The List'!S2:S671))/STDEV('The List'!S2:S671)</f>
        <v>-0.91604920567491255</v>
      </c>
      <c r="G403" s="55" cm="1">
        <f t="array" ref="G403">(VLOOKUP($A403,'The List'!$B1:$AH671,19,FALSE)-AVERAGE('The List'!T2:T671))/STDEV('The List'!T2:T671)</f>
        <v>-0.4511101834483634</v>
      </c>
      <c r="H403" s="55" cm="1">
        <f t="array" ref="H403">(VLOOKUP($A403,'The List'!$B1:$AH671,20,FALSE)-AVERAGE('The List'!U2:U671))/STDEV('The List'!U2:U671)</f>
        <v>-0.69017702975552386</v>
      </c>
      <c r="I403" s="55" cm="1">
        <f t="array" ref="I403">(VLOOKUP($A403,'The List'!$B1:$AH671,21,FALSE)-AVERAGE('The List'!V2:V671))/STDEV('The List'!V2:V671)</f>
        <v>-0.92135767582176342</v>
      </c>
      <c r="J403" s="55" cm="1">
        <f t="array" ref="J403">(VLOOKUP($A403,'The List'!$B1:$AH671,22,FALSE)-AVERAGE('The List'!W2:W671))/STDEV('The List'!W2:W671)</f>
        <v>-0.74743838585408018</v>
      </c>
      <c r="K403" s="55" cm="1">
        <f t="array" ref="K403">(VLOOKUP($A403,'The List'!$B1:$AH671,23,FALSE)-AVERAGE('The List'!X2:X671))/STDEV('The List'!X2:X671)</f>
        <v>-0.80393056183015488</v>
      </c>
      <c r="L403" s="55" cm="1">
        <f t="array" ref="L403">(VLOOKUP($A403,'The List'!$B1:$AH671,24,FALSE)-AVERAGE('The List'!Y2:Y671))/STDEV('The List'!Y2:Y671)</f>
        <v>-0.51425703638260412</v>
      </c>
      <c r="M403" s="55" cm="1">
        <f t="array" ref="M403">(VLOOKUP($A403,'The List'!$B1:$AH671,25,FALSE)-AVERAGE('The List'!Z2:Z671))/STDEV('The List'!Z2:Z671)</f>
        <v>1.5893882386279252</v>
      </c>
      <c r="N403" s="55" cm="1">
        <f t="array" ref="N403">(VLOOKUP($A403,'The List'!$B1:$AH671,26,FALSE)-AVERAGE('The List'!AA2:AA671))/STDEV('The List'!AA2:AA671)</f>
        <v>1.1773449252119295</v>
      </c>
      <c r="O403" s="55" cm="1">
        <f t="array" ref="O403">(VLOOKUP($A403,'The List'!$B1:$AH671,27,FALSE)-AVERAGE('The List'!AB2:AB671))/STDEV('The List'!AB2:AB671)</f>
        <v>0.16821128708467253</v>
      </c>
      <c r="P403" s="55" cm="1">
        <f t="array" ref="P403">(VLOOKUP($A403,'The List'!$B1:$AH671,28,FALSE)-AVERAGE('The List'!AC2:AC671))/STDEV('The List'!AC2:AC671)</f>
        <v>-1.1125677274609496</v>
      </c>
      <c r="Q403" s="55" cm="1">
        <f t="array" ref="Q403">(VLOOKUP($A403,'The List'!$B1:$AH671,29,FALSE)-AVERAGE('The List'!AD2:AD671))/STDEV('The List'!AD2:AD671)</f>
        <v>0.39402998222521274</v>
      </c>
      <c r="R403" s="55" cm="1">
        <f t="array" ref="R403">(VLOOKUP($A403,'The List'!$B1:$AH671,30,FALSE)-AVERAGE('The List'!AE2:AE671))/STDEV('The List'!AE2:AE671)</f>
        <v>-0.91758452793554868</v>
      </c>
      <c r="S403" s="55" cm="1">
        <f t="array" ref="S403">(VLOOKUP($A403,'The List'!$B1:$AH671,31,FALSE)-AVERAGE('The List'!AF2:AF671))/STDEV('The List'!AF2:AF671)</f>
        <v>-0.5939690971349143</v>
      </c>
      <c r="T403" s="55" cm="1">
        <f t="array" ref="T403">(VLOOKUP($A403,'The List'!$B1:$AH671,32,FALSE)-AVERAGE('The List'!AG2:AG671))/STDEV('The List'!AG2:AG671)</f>
        <v>-0.64602208138248207</v>
      </c>
      <c r="U403" s="55" cm="1">
        <f t="array" ref="U403">(VLOOKUP($A403,'The List'!$B1:$AH671,33,FALSE)-AVERAGE('The List'!AH2:AH671))/STDEV('The List'!AH2:AH671)</f>
        <v>-1.2548938914719048</v>
      </c>
      <c r="V403" s="55"/>
      <c r="W403" s="78"/>
      <c r="X403" s="57"/>
      <c r="Y403" s="57"/>
      <c r="Z403" s="57"/>
      <c r="AA403" s="57"/>
      <c r="AB403" s="57"/>
      <c r="AC403" s="60"/>
      <c r="AD403" s="61"/>
      <c r="AE403" s="55"/>
    </row>
    <row r="404" spans="1:31" ht="21.25" customHeight="1" x14ac:dyDescent="0.15">
      <c r="A404" s="10" t="s">
        <v>353</v>
      </c>
      <c r="B404" s="18" t="str" cm="1">
        <f t="array" ref="B404">VLOOKUP(A404,'Player Data'!A1:B673,2,FALSE)</f>
        <v>WPG</v>
      </c>
      <c r="C404" s="52" cm="1">
        <f t="array" ref="C404">((E404)*Settings!$C$12)+(F404*Settings!$C$2)+(G404*Settings!$C$3)+(H404*Settings!$C$4)+(I404*Settings!$C$5)+(K404*Settings!$C$9)+(N404*Settings!$C$6)+(J404*Settings!$C$8)+(O404*Settings!$C$7)+(P404*Settings!$C$14)+(Q404*Settings!$C$15)+(R404*Settings!$C$16)+(S404*Settings!$C$17)+(T404*Settings!$C$18)+(U404*Settings!$C$19)+(L404*Settings!$C$10)+(Settings!$C$11*M404)</f>
        <v>-0.25354125258463567</v>
      </c>
      <c r="D404" s="57" cm="1">
        <f t="array" ref="D404">IF(Settings!$E$12="YES",VLOOKUP(A404,'Player Data'!A1:E673,5,FALSE),82)</f>
        <v>77.765000000000001</v>
      </c>
      <c r="E404" s="55" cm="1">
        <f t="array" ref="E404">(VLOOKUP($A404,'The List'!$B1:$AH671,17,FALSE)-AVERAGE('The List'!R2:R671))/STDEV('The List'!R2:R671)</f>
        <v>1.3550858602428042</v>
      </c>
      <c r="F404" s="55" cm="1">
        <f t="array" ref="F404">(VLOOKUP($A404,'The List'!$B1:$AH671,18,FALSE)-AVERAGE('The List'!S2:S671))/STDEV('The List'!S2:S671)</f>
        <v>-0.95440035343163909</v>
      </c>
      <c r="G404" s="55" cm="1">
        <f t="array" ref="G404">(VLOOKUP($A404,'The List'!$B1:$AH671,19,FALSE)-AVERAGE('The List'!T2:T671))/STDEV('The List'!T2:T671)</f>
        <v>-0.34245727407008447</v>
      </c>
      <c r="H404" s="55" cm="1">
        <f t="array" ref="H404">(VLOOKUP($A404,'The List'!$B1:$AH671,20,FALSE)-AVERAGE('The List'!U2:U671))/STDEV('The List'!U2:U671)</f>
        <v>-0.63885049325093513</v>
      </c>
      <c r="I404" s="55" cm="1">
        <f t="array" ref="I404">(VLOOKUP($A404,'The List'!$B1:$AH671,21,FALSE)-AVERAGE('The List'!V2:V671))/STDEV('The List'!V2:V671)</f>
        <v>-0.30450171121687825</v>
      </c>
      <c r="J404" s="55" cm="1">
        <f t="array" ref="J404">(VLOOKUP($A404,'The List'!$B1:$AH671,22,FALSE)-AVERAGE('The List'!W2:W671))/STDEV('The List'!W2:W671)</f>
        <v>-0.74799263371823321</v>
      </c>
      <c r="K404" s="55" cm="1">
        <f t="array" ref="K404">(VLOOKUP($A404,'The List'!$B1:$AH671,23,FALSE)-AVERAGE('The List'!X2:X671))/STDEV('The List'!X2:X671)</f>
        <v>-0.79706182179918361</v>
      </c>
      <c r="L404" s="55" cm="1">
        <f t="array" ref="L404">(VLOOKUP($A404,'The List'!$B1:$AH671,24,FALSE)-AVERAGE('The List'!Y2:Y671))/STDEV('The List'!Y2:Y671)</f>
        <v>-0.51490028823306488</v>
      </c>
      <c r="M404" s="55" cm="1">
        <f t="array" ref="M404">(VLOOKUP($A404,'The List'!$B1:$AH671,25,FALSE)-AVERAGE('The List'!Z2:Z671))/STDEV('The List'!Z2:Z671)</f>
        <v>-0.54157467391899494</v>
      </c>
      <c r="N404" s="55" cm="1">
        <f t="array" ref="N404">(VLOOKUP($A404,'The List'!$B1:$AH671,26,FALSE)-AVERAGE('The List'!AA2:AA671))/STDEV('The List'!AA2:AA671)</f>
        <v>2.0057809018231874</v>
      </c>
      <c r="O404" s="55" cm="1">
        <f t="array" ref="O404">(VLOOKUP($A404,'The List'!$B1:$AH671,27,FALSE)-AVERAGE('The List'!AB2:AB671))/STDEV('The List'!AB2:AB671)</f>
        <v>-0.32216798747769099</v>
      </c>
      <c r="P404" s="55" cm="1">
        <f t="array" ref="P404">(VLOOKUP($A404,'The List'!$B1:$AH671,28,FALSE)-AVERAGE('The List'!AC2:AC671))/STDEV('The List'!AC2:AC671)</f>
        <v>0.43829894003143027</v>
      </c>
      <c r="Q404" s="55" cm="1">
        <f t="array" ref="Q404">(VLOOKUP($A404,'The List'!$B1:$AH671,29,FALSE)-AVERAGE('The List'!AD2:AD671))/STDEV('The List'!AD2:AD671)</f>
        <v>-0.29919993392146765</v>
      </c>
      <c r="R404" s="55" cm="1">
        <f t="array" ref="R404">(VLOOKUP($A404,'The List'!$B1:$AH671,30,FALSE)-AVERAGE('The List'!AE2:AE671))/STDEV('The List'!AE2:AE671)</f>
        <v>-0.88052347587841961</v>
      </c>
      <c r="S404" s="55" cm="1">
        <f t="array" ref="S404">(VLOOKUP($A404,'The List'!$B1:$AH671,31,FALSE)-AVERAGE('The List'!AF2:AF671))/STDEV('The List'!AF2:AF671)</f>
        <v>-0.5939690971349143</v>
      </c>
      <c r="T404" s="55" cm="1">
        <f t="array" ref="T404">(VLOOKUP($A404,'The List'!$B1:$AH671,32,FALSE)-AVERAGE('The List'!AG2:AG671))/STDEV('The List'!AG2:AG671)</f>
        <v>-0.64602208138248207</v>
      </c>
      <c r="U404" s="55" cm="1">
        <f t="array" ref="U404">(VLOOKUP($A404,'The List'!$B1:$AH671,33,FALSE)-AVERAGE('The List'!AH2:AH671))/STDEV('The List'!AH2:AH671)</f>
        <v>-1.2548938914719048</v>
      </c>
      <c r="V404" s="55"/>
      <c r="W404" s="78"/>
      <c r="X404" s="57"/>
      <c r="Y404" s="57"/>
      <c r="Z404" s="57"/>
      <c r="AA404" s="57"/>
      <c r="AB404" s="57"/>
      <c r="AC404" s="60"/>
      <c r="AD404" s="61"/>
      <c r="AE404" s="55"/>
    </row>
    <row r="405" spans="1:31" ht="21.25" customHeight="1" x14ac:dyDescent="0.15">
      <c r="A405" s="10" t="s">
        <v>664</v>
      </c>
      <c r="B405" s="18" t="str" cm="1">
        <f t="array" ref="B405">VLOOKUP(A405,'Player Data'!A1:B673,2,FALSE)</f>
        <v>MTL</v>
      </c>
      <c r="C405" s="52" cm="1">
        <f t="array" ref="C405">((E405)*Settings!$C$12)+(F405*Settings!$C$2)+(G405*Settings!$C$3)+(H405*Settings!$C$4)+(I405*Settings!$C$5)+(K405*Settings!$C$9)+(N405*Settings!$C$6)+(J405*Settings!$C$8)+(O405*Settings!$C$7)+(P405*Settings!$C$14)+(Q405*Settings!$C$15)+(R405*Settings!$C$16)+(S405*Settings!$C$17)+(T405*Settings!$C$18)+(U405*Settings!$C$19)+(L405*Settings!$C$10)+(Settings!$C$11*M405)</f>
        <v>-3.185250688738519</v>
      </c>
      <c r="D405" s="57" cm="1">
        <f t="array" ref="D405">IF(Settings!$E$12="YES",VLOOKUP(A405,'Player Data'!A1:E673,5,FALSE),82)</f>
        <v>82.112499999999997</v>
      </c>
      <c r="E405" s="55" cm="1">
        <f t="array" ref="E405">(VLOOKUP($A405,'The List'!$B1:$AH671,17,FALSE)-AVERAGE('The List'!R2:R671))/STDEV('The List'!R2:R671)</f>
        <v>-0.75259969083721967</v>
      </c>
      <c r="F405" s="55" cm="1">
        <f t="array" ref="F405">(VLOOKUP($A405,'The List'!$B1:$AH671,18,FALSE)-AVERAGE('The List'!S2:S671))/STDEV('The List'!S2:S671)</f>
        <v>-0.76054784670975284</v>
      </c>
      <c r="G405" s="55" cm="1">
        <f t="array" ref="G405">(VLOOKUP($A405,'The List'!$B1:$AH671,19,FALSE)-AVERAGE('The List'!T2:T671))/STDEV('The List'!T2:T671)</f>
        <v>-0.39271766728515195</v>
      </c>
      <c r="H405" s="55" cm="1">
        <f t="array" ref="H405">(VLOOKUP($A405,'The List'!$B1:$AH671,20,FALSE)-AVERAGE('The List'!U2:U671))/STDEV('The List'!U2:U671)</f>
        <v>-0.58445587499806917</v>
      </c>
      <c r="I405" s="55" cm="1">
        <f t="array" ref="I405">(VLOOKUP($A405,'The List'!$B1:$AH671,21,FALSE)-AVERAGE('The List'!V2:V671))/STDEV('The List'!V2:V671)</f>
        <v>-0.55305506511099389</v>
      </c>
      <c r="J405" s="55" cm="1">
        <f t="array" ref="J405">(VLOOKUP($A405,'The List'!$B1:$AH671,22,FALSE)-AVERAGE('The List'!W2:W671))/STDEV('The List'!W2:W671)</f>
        <v>-0.70297128002087661</v>
      </c>
      <c r="K405" s="55" cm="1">
        <f t="array" ref="K405">(VLOOKUP($A405,'The List'!$B1:$AH671,23,FALSE)-AVERAGE('The List'!X2:X671))/STDEV('The List'!X2:X671)</f>
        <v>-0.7704787599094145</v>
      </c>
      <c r="L405" s="55" cm="1">
        <f t="array" ref="L405">(VLOOKUP($A405,'The List'!$B1:$AH671,24,FALSE)-AVERAGE('The List'!Y2:Y671))/STDEV('The List'!Y2:Y671)</f>
        <v>-0.43678224841413882</v>
      </c>
      <c r="M405" s="55" cm="1">
        <f t="array" ref="M405">(VLOOKUP($A405,'The List'!$B1:$AH671,25,FALSE)-AVERAGE('The List'!Z2:Z671))/STDEV('The List'!Z2:Z671)</f>
        <v>0.33806307218071457</v>
      </c>
      <c r="N405" s="55" cm="1">
        <f t="array" ref="N405">(VLOOKUP($A405,'The List'!$B1:$AH671,26,FALSE)-AVERAGE('The List'!AA2:AA671))/STDEV('The List'!AA2:AA671)</f>
        <v>-0.4142288343264533</v>
      </c>
      <c r="O405" s="55" cm="1">
        <f t="array" ref="O405">(VLOOKUP($A405,'The List'!$B1:$AH671,27,FALSE)-AVERAGE('The List'!AB2:AB671))/STDEV('The List'!AB2:AB671)</f>
        <v>-0.37229988914291567</v>
      </c>
      <c r="P405" s="55" cm="1">
        <f t="array" ref="P405">(VLOOKUP($A405,'The List'!$B1:$AH671,28,FALSE)-AVERAGE('The List'!AC2:AC671))/STDEV('The List'!AC2:AC671)</f>
        <v>0.43490678936717619</v>
      </c>
      <c r="Q405" s="55" cm="1">
        <f t="array" ref="Q405">(VLOOKUP($A405,'The List'!$B1:$AH671,29,FALSE)-AVERAGE('The List'!AD2:AD671))/STDEV('The List'!AD2:AD671)</f>
        <v>-0.72912930476392857</v>
      </c>
      <c r="R405" s="55" cm="1">
        <f t="array" ref="R405">(VLOOKUP($A405,'The List'!$B1:$AH671,30,FALSE)-AVERAGE('The List'!AE2:AE671))/STDEV('The List'!AE2:AE671)</f>
        <v>-0.69779702887484796</v>
      </c>
      <c r="S405" s="55" cm="1">
        <f t="array" ref="S405">(VLOOKUP($A405,'The List'!$B1:$AH671,31,FALSE)-AVERAGE('The List'!AF2:AF671))/STDEV('The List'!AF2:AF671)</f>
        <v>1.856122490920092</v>
      </c>
      <c r="T405" s="55" cm="1">
        <f t="array" ref="T405">(VLOOKUP($A405,'The List'!$B1:$AH671,32,FALSE)-AVERAGE('The List'!AG2:AG671))/STDEV('The List'!AG2:AG671)</f>
        <v>1.6651428239125154</v>
      </c>
      <c r="U405" s="55" cm="1">
        <f t="array" ref="U405">(VLOOKUP($A405,'The List'!$B1:$AH671,33,FALSE)-AVERAGE('The List'!AH2:AH671))/STDEV('The List'!AH2:AH671)</f>
        <v>1.1827907585132664</v>
      </c>
      <c r="V405" s="55"/>
      <c r="W405" s="78"/>
      <c r="X405" s="57"/>
      <c r="Y405" s="57"/>
      <c r="Z405" s="57"/>
      <c r="AA405" s="57"/>
      <c r="AB405" s="57"/>
      <c r="AC405" s="60"/>
      <c r="AD405" s="61"/>
      <c r="AE405" s="55"/>
    </row>
    <row r="406" spans="1:31" ht="21.25" customHeight="1" x14ac:dyDescent="0.15">
      <c r="A406" s="10" t="s">
        <v>672</v>
      </c>
      <c r="B406" s="18" t="str" cm="1">
        <f t="array" ref="B406">VLOOKUP(A406,'Player Data'!A1:B673,2,FALSE)</f>
        <v>WPG</v>
      </c>
      <c r="C406" s="52" cm="1">
        <f t="array" ref="C406">((E406)*Settings!$C$12)+(F406*Settings!$C$2)+(G406*Settings!$C$3)+(H406*Settings!$C$4)+(I406*Settings!$C$5)+(K406*Settings!$C$9)+(N406*Settings!$C$6)+(J406*Settings!$C$8)+(O406*Settings!$C$7)+(P406*Settings!$C$14)+(Q406*Settings!$C$15)+(R406*Settings!$C$16)+(S406*Settings!$C$17)+(T406*Settings!$C$18)+(U406*Settings!$C$19)+(L406*Settings!$C$10)+(Settings!$C$11*M406)</f>
        <v>-2.6181987270517548</v>
      </c>
      <c r="D406" s="57" cm="1">
        <f t="array" ref="D406">IF(Settings!$E$12="YES",VLOOKUP(A406,'Player Data'!A1:E673,5,FALSE),82)</f>
        <v>79.712500000000006</v>
      </c>
      <c r="E406" s="55" cm="1">
        <f t="array" ref="E406">(VLOOKUP($A406,'The List'!$B1:$AH671,17,FALSE)-AVERAGE('The List'!R2:R671))/STDEV('The List'!R2:R671)</f>
        <v>-1.0572492978959778</v>
      </c>
      <c r="F406" s="55" cm="1">
        <f t="array" ref="F406">(VLOOKUP($A406,'The List'!$B1:$AH671,18,FALSE)-AVERAGE('The List'!S2:S671))/STDEV('The List'!S2:S671)</f>
        <v>-0.19740986784786435</v>
      </c>
      <c r="G406" s="55" cm="1">
        <f t="array" ref="G406">(VLOOKUP($A406,'The List'!$B1:$AH671,19,FALSE)-AVERAGE('The List'!T2:T671))/STDEV('The List'!T2:T671)</f>
        <v>-0.84530127727388693</v>
      </c>
      <c r="H406" s="55" cm="1">
        <f t="array" ref="H406">(VLOOKUP($A406,'The List'!$B1:$AH671,20,FALSE)-AVERAGE('The List'!U2:U671))/STDEV('The List'!U2:U671)</f>
        <v>-0.61927650572111081</v>
      </c>
      <c r="I406" s="55" cm="1">
        <f t="array" ref="I406">(VLOOKUP($A406,'The List'!$B1:$AH671,21,FALSE)-AVERAGE('The List'!V2:V671))/STDEV('The List'!V2:V671)</f>
        <v>-0.25590193302981007</v>
      </c>
      <c r="J406" s="55" cm="1">
        <f t="array" ref="J406">(VLOOKUP($A406,'The List'!$B1:$AH671,22,FALSE)-AVERAGE('The List'!W2:W671))/STDEV('The List'!W2:W671)</f>
        <v>-0.7416034672287436</v>
      </c>
      <c r="K406" s="55" cm="1">
        <f t="array" ref="K406">(VLOOKUP($A406,'The List'!$B1:$AH671,23,FALSE)-AVERAGE('The List'!X2:X671))/STDEV('The List'!X2:X671)</f>
        <v>-0.80350625382819107</v>
      </c>
      <c r="L406" s="55" cm="1">
        <f t="array" ref="L406">(VLOOKUP($A406,'The List'!$B1:$AH671,24,FALSE)-AVERAGE('The List'!Y2:Y671))/STDEV('The List'!Y2:Y671)</f>
        <v>1.9112226785072854</v>
      </c>
      <c r="M406" s="55" cm="1">
        <f t="array" ref="M406">(VLOOKUP($A406,'The List'!$B1:$AH671,25,FALSE)-AVERAGE('The List'!Z2:Z671))/STDEV('The List'!Z2:Z671)</f>
        <v>0.90354979480394737</v>
      </c>
      <c r="N406" s="55" cm="1">
        <f t="array" ref="N406">(VLOOKUP($A406,'The List'!$B1:$AH671,26,FALSE)-AVERAGE('The List'!AA2:AA671))/STDEV('The List'!AA2:AA671)</f>
        <v>-0.36214379081418208</v>
      </c>
      <c r="O406" s="55" cm="1">
        <f t="array" ref="O406">(VLOOKUP($A406,'The List'!$B1:$AH671,27,FALSE)-AVERAGE('The List'!AB2:AB671))/STDEV('The List'!AB2:AB671)</f>
        <v>1.3912041110317663</v>
      </c>
      <c r="P406" s="55" cm="1">
        <f t="array" ref="P406">(VLOOKUP($A406,'The List'!$B1:$AH671,28,FALSE)-AVERAGE('The List'!AC2:AC671))/STDEV('The List'!AC2:AC671)</f>
        <v>0.11386499294300337</v>
      </c>
      <c r="Q406" s="55" cm="1">
        <f t="array" ref="Q406">(VLOOKUP($A406,'The List'!$B1:$AH671,29,FALSE)-AVERAGE('The List'!AD2:AD671))/STDEV('The List'!AD2:AD671)</f>
        <v>-0.26780059720082361</v>
      </c>
      <c r="R406" s="55" cm="1">
        <f t="array" ref="R406">(VLOOKUP($A406,'The List'!$B1:$AH671,30,FALSE)-AVERAGE('The List'!AE2:AE671))/STDEV('The List'!AE2:AE671)</f>
        <v>-5.8505155290274023E-2</v>
      </c>
      <c r="S406" s="55" cm="1">
        <f t="array" ref="S406">(VLOOKUP($A406,'The List'!$B1:$AH671,31,FALSE)-AVERAGE('The List'!AF2:AF671))/STDEV('The List'!AF2:AF671)</f>
        <v>0.70458321561922466</v>
      </c>
      <c r="T406" s="55" cm="1">
        <f t="array" ref="T406">(VLOOKUP($A406,'The List'!$B1:$AH671,32,FALSE)-AVERAGE('The List'!AG2:AG671))/STDEV('The List'!AG2:AG671)</f>
        <v>0.84451166615492979</v>
      </c>
      <c r="U406" s="55" cm="1">
        <f t="array" ref="U406">(VLOOKUP($A406,'The List'!$B1:$AH671,33,FALSE)-AVERAGE('The List'!AH2:AH671))/STDEV('The List'!AH2:AH671)</f>
        <v>0.95745681056477094</v>
      </c>
      <c r="V406" s="55"/>
      <c r="W406" s="57"/>
      <c r="X406" s="55"/>
      <c r="Y406" s="55"/>
      <c r="Z406" s="55"/>
      <c r="AA406" s="55"/>
      <c r="AB406" s="55"/>
      <c r="AC406" s="55"/>
      <c r="AD406" s="55"/>
      <c r="AE406" s="55"/>
    </row>
    <row r="407" spans="1:31" ht="21.25" customHeight="1" x14ac:dyDescent="0.15">
      <c r="A407" s="10" t="s">
        <v>482</v>
      </c>
      <c r="B407" s="18" t="str" cm="1">
        <f t="array" ref="B407">VLOOKUP(A407,'Player Data'!A1:B673,2,FALSE)</f>
        <v>STL</v>
      </c>
      <c r="C407" s="52" cm="1">
        <f t="array" ref="C407">((E407)*Settings!$C$12)+(F407*Settings!$C$2)+(G407*Settings!$C$3)+(H407*Settings!$C$4)+(I407*Settings!$C$5)+(K407*Settings!$C$9)+(N407*Settings!$C$6)+(J407*Settings!$C$8)+(O407*Settings!$C$7)+(P407*Settings!$C$14)+(Q407*Settings!$C$15)+(R407*Settings!$C$16)+(S407*Settings!$C$17)+(T407*Settings!$C$18)+(U407*Settings!$C$19)+(L407*Settings!$C$10)+(Settings!$C$11*M407)</f>
        <v>-3.0952308651896394</v>
      </c>
      <c r="D407" s="57" cm="1">
        <f t="array" ref="D407">IF(Settings!$E$12="YES",VLOOKUP(A407,'Player Data'!A1:E673,5,FALSE),82)</f>
        <v>70</v>
      </c>
      <c r="E407" s="55" cm="1">
        <f t="array" ref="E407">(VLOOKUP($A407,'The List'!$B1:$AH671,17,FALSE)-AVERAGE('The List'!R2:R671))/STDEV('The List'!R2:R671)</f>
        <v>1.4865962745372182E-2</v>
      </c>
      <c r="F407" s="55" cm="1">
        <f t="array" ref="F407">(VLOOKUP($A407,'The List'!$B1:$AH671,18,FALSE)-AVERAGE('The List'!S2:S671))/STDEV('The List'!S2:S671)</f>
        <v>-0.69953207220284419</v>
      </c>
      <c r="G407" s="55" cm="1">
        <f t="array" ref="G407">(VLOOKUP($A407,'The List'!$B1:$AH671,19,FALSE)-AVERAGE('The List'!T2:T671))/STDEV('The List'!T2:T671)</f>
        <v>-0.70131817478598069</v>
      </c>
      <c r="H407" s="55" cm="1">
        <f t="array" ref="H407">(VLOOKUP($A407,'The List'!$B1:$AH671,20,FALSE)-AVERAGE('The List'!U2:U671))/STDEV('The List'!U2:U671)</f>
        <v>-0.751492593486075</v>
      </c>
      <c r="I407" s="55" cm="1">
        <f t="array" ref="I407">(VLOOKUP($A407,'The List'!$B1:$AH671,21,FALSE)-AVERAGE('The List'!V2:V671))/STDEV('The List'!V2:V671)</f>
        <v>-0.75485126170883754</v>
      </c>
      <c r="J407" s="55" cm="1">
        <f t="array" ref="J407">(VLOOKUP($A407,'The List'!$B1:$AH671,22,FALSE)-AVERAGE('The List'!W2:W671))/STDEV('The List'!W2:W671)</f>
        <v>-0.74719576333574034</v>
      </c>
      <c r="K407" s="55" cm="1">
        <f t="array" ref="K407">(VLOOKUP($A407,'The List'!$B1:$AH671,23,FALSE)-AVERAGE('The List'!X2:X671))/STDEV('The List'!X2:X671)</f>
        <v>-0.80348445993881257</v>
      </c>
      <c r="L407" s="55" cm="1">
        <f t="array" ref="L407">(VLOOKUP($A407,'The List'!$B1:$AH671,24,FALSE)-AVERAGE('The List'!Y2:Y671))/STDEV('The List'!Y2:Y671)</f>
        <v>-0.51763469287375885</v>
      </c>
      <c r="M407" s="55" cm="1">
        <f t="array" ref="M407">(VLOOKUP($A407,'The List'!$B1:$AH671,25,FALSE)-AVERAGE('The List'!Z2:Z671))/STDEV('The List'!Z2:Z671)</f>
        <v>-0.61374685294878095</v>
      </c>
      <c r="N407" s="55" cm="1">
        <f t="array" ref="N407">(VLOOKUP($A407,'The List'!$B1:$AH671,26,FALSE)-AVERAGE('The List'!AA2:AA671))/STDEV('The List'!AA2:AA671)</f>
        <v>0.41879063963131308</v>
      </c>
      <c r="O407" s="55" cm="1">
        <f t="array" ref="O407">(VLOOKUP($A407,'The List'!$B1:$AH671,27,FALSE)-AVERAGE('The List'!AB2:AB671))/STDEV('The List'!AB2:AB671)</f>
        <v>-0.37836505874041826</v>
      </c>
      <c r="P407" s="55" cm="1">
        <f t="array" ref="P407">(VLOOKUP($A407,'The List'!$B1:$AH671,28,FALSE)-AVERAGE('The List'!AC2:AC671))/STDEV('The List'!AC2:AC671)</f>
        <v>-0.21494627732627614</v>
      </c>
      <c r="Q407" s="55" cm="1">
        <f t="array" ref="Q407">(VLOOKUP($A407,'The List'!$B1:$AH671,29,FALSE)-AVERAGE('The List'!AD2:AD671))/STDEV('The List'!AD2:AD671)</f>
        <v>-0.33988925885820181</v>
      </c>
      <c r="R407" s="55" cm="1">
        <f t="array" ref="R407">(VLOOKUP($A407,'The List'!$B1:$AH671,30,FALSE)-AVERAGE('The List'!AE2:AE671))/STDEV('The List'!AE2:AE671)</f>
        <v>-0.72791025352082606</v>
      </c>
      <c r="S407" s="55" cm="1">
        <f t="array" ref="S407">(VLOOKUP($A407,'The List'!$B1:$AH671,31,FALSE)-AVERAGE('The List'!AF2:AF671))/STDEV('The List'!AF2:AF671)</f>
        <v>-0.5939690971349143</v>
      </c>
      <c r="T407" s="55" cm="1">
        <f t="array" ref="T407">(VLOOKUP($A407,'The List'!$B1:$AH671,32,FALSE)-AVERAGE('The List'!AG2:AG671))/STDEV('The List'!AG2:AG671)</f>
        <v>-0.64602208138248207</v>
      </c>
      <c r="U407" s="55" cm="1">
        <f t="array" ref="U407">(VLOOKUP($A407,'The List'!$B1:$AH671,33,FALSE)-AVERAGE('The List'!AH2:AH671))/STDEV('The List'!AH2:AH671)</f>
        <v>-1.2548938914719048</v>
      </c>
      <c r="V407" s="55"/>
      <c r="W407" s="78"/>
      <c r="X407" s="57"/>
      <c r="Y407" s="57"/>
      <c r="Z407" s="57"/>
      <c r="AA407" s="57"/>
      <c r="AB407" s="57"/>
      <c r="AC407" s="60"/>
      <c r="AD407" s="61"/>
      <c r="AE407" s="55"/>
    </row>
    <row r="408" spans="1:31" ht="21.25" customHeight="1" x14ac:dyDescent="0.15">
      <c r="A408" s="10" t="s">
        <v>462</v>
      </c>
      <c r="B408" s="18" t="str" cm="1">
        <f t="array" ref="B408">VLOOKUP(A408,'Player Data'!A1:B673,2,FALSE)</f>
        <v>PIT</v>
      </c>
      <c r="C408" s="52" cm="1">
        <f t="array" ref="C408">((E408)*Settings!$C$12)+(F408*Settings!$C$2)+(G408*Settings!$C$3)+(H408*Settings!$C$4)+(I408*Settings!$C$5)+(K408*Settings!$C$9)+(N408*Settings!$C$6)+(J408*Settings!$C$8)+(O408*Settings!$C$7)+(P408*Settings!$C$14)+(Q408*Settings!$C$15)+(R408*Settings!$C$16)+(S408*Settings!$C$17)+(T408*Settings!$C$18)+(U408*Settings!$C$19)+(L408*Settings!$C$10)+(Settings!$C$11*M408)</f>
        <v>-2.4478041234300423</v>
      </c>
      <c r="D408" s="57" cm="1">
        <f t="array" ref="D408">IF(Settings!$E$12="YES",VLOOKUP(A408,'Player Data'!A1:E673,5,FALSE),82)</f>
        <v>71.944999999999993</v>
      </c>
      <c r="E408" s="55" cm="1">
        <f t="array" ref="E408">(VLOOKUP($A408,'The List'!$B1:$AH671,17,FALSE)-AVERAGE('The List'!R2:R671))/STDEV('The List'!R2:R671)</f>
        <v>0.56932650551245056</v>
      </c>
      <c r="F408" s="55" cm="1">
        <f t="array" ref="F408">(VLOOKUP($A408,'The List'!$B1:$AH671,18,FALSE)-AVERAGE('The List'!S2:S671))/STDEV('The List'!S2:S671)</f>
        <v>-1.0437842029646971</v>
      </c>
      <c r="G408" s="55" cm="1">
        <f t="array" ref="G408">(VLOOKUP($A408,'The List'!$B1:$AH671,19,FALSE)-AVERAGE('The List'!T2:T671))/STDEV('The List'!T2:T671)</f>
        <v>-0.42441280946481064</v>
      </c>
      <c r="H408" s="55" cm="1">
        <f t="array" ref="H408">(VLOOKUP($A408,'The List'!$B1:$AH671,20,FALSE)-AVERAGE('The List'!U2:U671))/STDEV('The List'!U2:U671)</f>
        <v>-0.73005776207323847</v>
      </c>
      <c r="I408" s="55" cm="1">
        <f t="array" ref="I408">(VLOOKUP($A408,'The List'!$B1:$AH671,21,FALSE)-AVERAGE('The List'!V2:V671))/STDEV('The List'!V2:V671)</f>
        <v>-0.926961693340563</v>
      </c>
      <c r="J408" s="55" cm="1">
        <f t="array" ref="J408">(VLOOKUP($A408,'The List'!$B1:$AH671,22,FALSE)-AVERAGE('The List'!W2:W671))/STDEV('The List'!W2:W671)</f>
        <v>-0.74792433145769288</v>
      </c>
      <c r="K408" s="55" cm="1">
        <f t="array" ref="K408">(VLOOKUP($A408,'The List'!$B1:$AH671,23,FALSE)-AVERAGE('The List'!X2:X671))/STDEV('The List'!X2:X671)</f>
        <v>-0.80189111723162698</v>
      </c>
      <c r="L408" s="55" cm="1">
        <f t="array" ref="L408">(VLOOKUP($A408,'The List'!$B1:$AH671,24,FALSE)-AVERAGE('The List'!Y2:Y671))/STDEV('The List'!Y2:Y671)</f>
        <v>-0.46915989571722366</v>
      </c>
      <c r="M408" s="55" cm="1">
        <f t="array" ref="M408">(VLOOKUP($A408,'The List'!$B1:$AH671,25,FALSE)-AVERAGE('The List'!Z2:Z671))/STDEV('The List'!Z2:Z671)</f>
        <v>-0.51592501376796751</v>
      </c>
      <c r="N408" s="55" cm="1">
        <f t="array" ref="N408">(VLOOKUP($A408,'The List'!$B1:$AH671,26,FALSE)-AVERAGE('The List'!AA2:AA671))/STDEV('The List'!AA2:AA671)</f>
        <v>0.98068190225525065</v>
      </c>
      <c r="O408" s="55" cm="1">
        <f t="array" ref="O408">(VLOOKUP($A408,'The List'!$B1:$AH671,27,FALSE)-AVERAGE('The List'!AB2:AB671))/STDEV('The List'!AB2:AB671)</f>
        <v>0.30178757956611513</v>
      </c>
      <c r="P408" s="55" cm="1">
        <f t="array" ref="P408">(VLOOKUP($A408,'The List'!$B1:$AH671,28,FALSE)-AVERAGE('The List'!AC2:AC671))/STDEV('The List'!AC2:AC671)</f>
        <v>0.24099493170018446</v>
      </c>
      <c r="Q408" s="55" cm="1">
        <f t="array" ref="Q408">(VLOOKUP($A408,'The List'!$B1:$AH671,29,FALSE)-AVERAGE('The List'!AD2:AD671))/STDEV('The List'!AD2:AD671)</f>
        <v>-0.47243113438377987</v>
      </c>
      <c r="R408" s="55" cm="1">
        <f t="array" ref="R408">(VLOOKUP($A408,'The List'!$B1:$AH671,30,FALSE)-AVERAGE('The List'!AE2:AE671))/STDEV('The List'!AE2:AE671)</f>
        <v>-1.0364740186995278</v>
      </c>
      <c r="S408" s="55" cm="1">
        <f t="array" ref="S408">(VLOOKUP($A408,'The List'!$B1:$AH671,31,FALSE)-AVERAGE('The List'!AF2:AF671))/STDEV('The List'!AF2:AF671)</f>
        <v>-0.5939690971349143</v>
      </c>
      <c r="T408" s="55" cm="1">
        <f t="array" ref="T408">(VLOOKUP($A408,'The List'!$B1:$AH671,32,FALSE)-AVERAGE('The List'!AG2:AG671))/STDEV('The List'!AG2:AG671)</f>
        <v>-0.64602208138248207</v>
      </c>
      <c r="U408" s="55" cm="1">
        <f t="array" ref="U408">(VLOOKUP($A408,'The List'!$B1:$AH671,33,FALSE)-AVERAGE('The List'!AH2:AH671))/STDEV('The List'!AH2:AH671)</f>
        <v>-1.2548938914719048</v>
      </c>
      <c r="V408" s="55"/>
      <c r="W408" s="57"/>
      <c r="X408" s="55"/>
      <c r="Y408" s="55"/>
      <c r="Z408" s="55"/>
      <c r="AA408" s="55"/>
      <c r="AB408" s="55"/>
      <c r="AC408" s="55"/>
      <c r="AD408" s="55"/>
      <c r="AE408" s="55"/>
    </row>
    <row r="409" spans="1:31" ht="21.25" customHeight="1" x14ac:dyDescent="0.15">
      <c r="A409" s="10" t="s">
        <v>717</v>
      </c>
      <c r="B409" s="18" t="str" cm="1">
        <f t="array" ref="B409">VLOOKUP(A409,'Player Data'!A1:B673,2,FALSE)</f>
        <v>NYR</v>
      </c>
      <c r="C409" s="52" cm="1">
        <f t="array" ref="C409">((E409)*Settings!$C$12)+(F409*Settings!$C$2)+(G409*Settings!$C$3)+(H409*Settings!$C$4)+(I409*Settings!$C$5)+(K409*Settings!$C$9)+(N409*Settings!$C$6)+(J409*Settings!$C$8)+(O409*Settings!$C$7)+(P409*Settings!$C$14)+(Q409*Settings!$C$15)+(R409*Settings!$C$16)+(S409*Settings!$C$17)+(T409*Settings!$C$18)+(U409*Settings!$C$19)+(L409*Settings!$C$10)+(Settings!$C$11*M409)</f>
        <v>-3.7546075297588364</v>
      </c>
      <c r="D409" s="57" cm="1">
        <f t="array" ref="D409">IF(Settings!$E$12="YES",VLOOKUP(A409,'Player Data'!A1:E673,5,FALSE),82)</f>
        <v>77.722499999999997</v>
      </c>
      <c r="E409" s="55" cm="1">
        <f t="array" ref="E409">(VLOOKUP($A409,'The List'!$B1:$AH671,17,FALSE)-AVERAGE('The List'!R2:R671))/STDEV('The List'!R2:R671)</f>
        <v>-1.3600982439045581</v>
      </c>
      <c r="F409" s="55" cm="1">
        <f t="array" ref="F409">(VLOOKUP($A409,'The List'!$B1:$AH671,18,FALSE)-AVERAGE('The List'!S2:S671))/STDEV('The List'!S2:S671)</f>
        <v>-0.44096636660579158</v>
      </c>
      <c r="G409" s="55" cm="1">
        <f t="array" ref="G409">(VLOOKUP($A409,'The List'!$B1:$AH671,19,FALSE)-AVERAGE('The List'!T2:T671))/STDEV('The List'!T2:T671)</f>
        <v>-0.73895465404877414</v>
      </c>
      <c r="H409" s="55" cm="1">
        <f t="array" ref="H409">(VLOOKUP($A409,'The List'!$B1:$AH671,20,FALSE)-AVERAGE('The List'!U2:U671))/STDEV('The List'!U2:U671)</f>
        <v>-0.66044576137556421</v>
      </c>
      <c r="I409" s="55" cm="1">
        <f t="array" ref="I409">(VLOOKUP($A409,'The List'!$B1:$AH671,21,FALSE)-AVERAGE('The List'!V2:V671))/STDEV('The List'!V2:V671)</f>
        <v>-0.84755718407259761</v>
      </c>
      <c r="J409" s="55" cm="1">
        <f t="array" ref="J409">(VLOOKUP($A409,'The List'!$B1:$AH671,22,FALSE)-AVERAGE('The List'!W2:W671))/STDEV('The List'!W2:W671)</f>
        <v>-0.74111188570770059</v>
      </c>
      <c r="K409" s="55" cm="1">
        <f t="array" ref="K409">(VLOOKUP($A409,'The List'!$B1:$AH671,23,FALSE)-AVERAGE('The List'!X2:X671))/STDEV('The List'!X2:X671)</f>
        <v>-0.80467832909197201</v>
      </c>
      <c r="L409" s="55" cm="1">
        <f t="array" ref="L409">(VLOOKUP($A409,'The List'!$B1:$AH671,24,FALSE)-AVERAGE('The List'!Y2:Y671))/STDEV('The List'!Y2:Y671)</f>
        <v>0.27700306747971348</v>
      </c>
      <c r="M409" s="55" cm="1">
        <f t="array" ref="M409">(VLOOKUP($A409,'The List'!$B1:$AH671,25,FALSE)-AVERAGE('The List'!Z2:Z671))/STDEV('The List'!Z2:Z671)</f>
        <v>-0.10878943764678956</v>
      </c>
      <c r="N409" s="55" cm="1">
        <f t="array" ref="N409">(VLOOKUP($A409,'The List'!$B1:$AH671,26,FALSE)-AVERAGE('The List'!AA2:AA671))/STDEV('The List'!AA2:AA671)</f>
        <v>-0.51509727353162205</v>
      </c>
      <c r="O409" s="55" cm="1">
        <f t="array" ref="O409">(VLOOKUP($A409,'The List'!$B1:$AH671,27,FALSE)-AVERAGE('The List'!AB2:AB671))/STDEV('The List'!AB2:AB671)</f>
        <v>2.3667172316289982</v>
      </c>
      <c r="P409" s="55" cm="1">
        <f t="array" ref="P409">(VLOOKUP($A409,'The List'!$B1:$AH671,28,FALSE)-AVERAGE('The List'!AC2:AC671))/STDEV('The List'!AC2:AC671)</f>
        <v>-0.50195385345592347</v>
      </c>
      <c r="Q409" s="55" cm="1">
        <f t="array" ref="Q409">(VLOOKUP($A409,'The List'!$B1:$AH671,29,FALSE)-AVERAGE('The List'!AD2:AD671))/STDEV('The List'!AD2:AD671)</f>
        <v>9.4600131047844677E-2</v>
      </c>
      <c r="R409" s="55" cm="1">
        <f t="array" ref="R409">(VLOOKUP($A409,'The List'!$B1:$AH671,30,FALSE)-AVERAGE('The List'!AE2:AE671))/STDEV('The List'!AE2:AE671)</f>
        <v>-0.41986388471700764</v>
      </c>
      <c r="S409" s="55" cm="1">
        <f t="array" ref="S409">(VLOOKUP($A409,'The List'!$B1:$AH671,31,FALSE)-AVERAGE('The List'!AF2:AF671))/STDEV('The List'!AF2:AF671)</f>
        <v>-0.55422626439371581</v>
      </c>
      <c r="T409" s="55" cm="1">
        <f t="array" ref="T409">(VLOOKUP($A409,'The List'!$B1:$AH671,32,FALSE)-AVERAGE('The List'!AG2:AG671))/STDEV('The List'!AG2:AG671)</f>
        <v>-0.54802802062351519</v>
      </c>
      <c r="U409" s="55" cm="1">
        <f t="array" ref="U409">(VLOOKUP($A409,'The List'!$B1:$AH671,33,FALSE)-AVERAGE('The List'!AH2:AH671))/STDEV('The List'!AH2:AH671)</f>
        <v>0.13166854405281958</v>
      </c>
      <c r="V409" s="55"/>
      <c r="W409" s="78"/>
      <c r="X409" s="57"/>
      <c r="Y409" s="57"/>
      <c r="Z409" s="57"/>
      <c r="AA409" s="57"/>
      <c r="AB409" s="57"/>
      <c r="AC409" s="60"/>
      <c r="AD409" s="61"/>
      <c r="AE409" s="55"/>
    </row>
    <row r="410" spans="1:31" ht="21.25" customHeight="1" x14ac:dyDescent="0.15">
      <c r="A410" s="10" t="s">
        <v>741</v>
      </c>
      <c r="B410" s="18" t="str" cm="1">
        <f t="array" ref="B410">VLOOKUP(A410,'Player Data'!A1:B673,2,FALSE)</f>
        <v>VAN</v>
      </c>
      <c r="C410" s="52" cm="1">
        <f t="array" ref="C410">((E410)*Settings!$C$12)+(F410*Settings!$C$2)+(G410*Settings!$C$3)+(H410*Settings!$C$4)+(I410*Settings!$C$5)+(K410*Settings!$C$9)+(N410*Settings!$C$6)+(J410*Settings!$C$8)+(O410*Settings!$C$7)+(P410*Settings!$C$14)+(Q410*Settings!$C$15)+(R410*Settings!$C$16)+(S410*Settings!$C$17)+(T410*Settings!$C$18)+(U410*Settings!$C$19)+(L410*Settings!$C$10)+(Settings!$C$11*M410)</f>
        <v>-6.4372016320808738</v>
      </c>
      <c r="D410" s="57" cm="1">
        <f t="array" ref="D410">IF(Settings!$E$12="YES",VLOOKUP(A410,'Player Data'!A1:E673,5,FALSE),82)</f>
        <v>70.502499999999998</v>
      </c>
      <c r="E410" s="55" cm="1">
        <f t="array" ref="E410">(VLOOKUP($A410,'The List'!$B1:$AH671,17,FALSE)-AVERAGE('The List'!R2:R671))/STDEV('The List'!R2:R671)</f>
        <v>-1.2448888581481901</v>
      </c>
      <c r="F410" s="55" cm="1">
        <f t="array" ref="F410">(VLOOKUP($A410,'The List'!$B1:$AH671,18,FALSE)-AVERAGE('The List'!S2:S671))/STDEV('The List'!S2:S671)</f>
        <v>-0.18996521732291274</v>
      </c>
      <c r="G410" s="55" cm="1">
        <f t="array" ref="G410">(VLOOKUP($A410,'The List'!$B1:$AH671,19,FALSE)-AVERAGE('The List'!T2:T671))/STDEV('The List'!T2:T671)</f>
        <v>-1.0655037190987287</v>
      </c>
      <c r="H410" s="55" cm="1">
        <f t="array" ref="H410">(VLOOKUP($A410,'The List'!$B1:$AH671,20,FALSE)-AVERAGE('The List'!U2:U671))/STDEV('The List'!U2:U671)</f>
        <v>-0.75447964984887728</v>
      </c>
      <c r="I410" s="55" cm="1">
        <f t="array" ref="I410">(VLOOKUP($A410,'The List'!$B1:$AH671,21,FALSE)-AVERAGE('The List'!V2:V671))/STDEV('The List'!V2:V671)</f>
        <v>-0.96414058648097534</v>
      </c>
      <c r="J410" s="55" cm="1">
        <f t="array" ref="J410">(VLOOKUP($A410,'The List'!$B1:$AH671,22,FALSE)-AVERAGE('The List'!W2:W671))/STDEV('The List'!W2:W671)</f>
        <v>-0.70862717845947931</v>
      </c>
      <c r="K410" s="55" cm="1">
        <f t="array" ref="K410">(VLOOKUP($A410,'The List'!$B1:$AH671,23,FALSE)-AVERAGE('The List'!X2:X671))/STDEV('The List'!X2:X671)</f>
        <v>-0.75839640742320358</v>
      </c>
      <c r="L410" s="55" cm="1">
        <f t="array" ref="L410">(VLOOKUP($A410,'The List'!$B1:$AH671,24,FALSE)-AVERAGE('The List'!Y2:Y671))/STDEV('The List'!Y2:Y671)</f>
        <v>-6.9353226513326857E-2</v>
      </c>
      <c r="M410" s="55" cm="1">
        <f t="array" ref="M410">(VLOOKUP($A410,'The List'!$B1:$AH671,25,FALSE)-AVERAGE('The List'!Z2:Z671))/STDEV('The List'!Z2:Z671)</f>
        <v>-0.21669517929530388</v>
      </c>
      <c r="N410" s="55" cm="1">
        <f t="array" ref="N410">(VLOOKUP($A410,'The List'!$B1:$AH671,26,FALSE)-AVERAGE('The List'!AA2:AA671))/STDEV('The List'!AA2:AA671)</f>
        <v>-0.63472156126460333</v>
      </c>
      <c r="O410" s="55" cm="1">
        <f t="array" ref="O410">(VLOOKUP($A410,'The List'!$B1:$AH671,27,FALSE)-AVERAGE('The List'!AB2:AB671))/STDEV('The List'!AB2:AB671)</f>
        <v>-0.71766449430270585</v>
      </c>
      <c r="P410" s="55" cm="1">
        <f t="array" ref="P410">(VLOOKUP($A410,'The List'!$B1:$AH671,28,FALSE)-AVERAGE('The List'!AC2:AC671))/STDEV('The List'!AC2:AC671)</f>
        <v>-2.0273318070140212</v>
      </c>
      <c r="Q410" s="55" cm="1">
        <f t="array" ref="Q410">(VLOOKUP($A410,'The List'!$B1:$AH671,29,FALSE)-AVERAGE('The List'!AD2:AD671))/STDEV('The List'!AD2:AD671)</f>
        <v>-0.79714233347642949</v>
      </c>
      <c r="R410" s="55" cm="1">
        <f t="array" ref="R410">(VLOOKUP($A410,'The List'!$B1:$AH671,30,FALSE)-AVERAGE('The List'!AE2:AE671))/STDEV('The List'!AE2:AE671)</f>
        <v>-0.4184088661893855</v>
      </c>
      <c r="S410" s="55" cm="1">
        <f t="array" ref="S410">(VLOOKUP($A410,'The List'!$B1:$AH671,31,FALSE)-AVERAGE('The List'!AF2:AF671))/STDEV('The List'!AF2:AF671)</f>
        <v>4.7086410042493421E-2</v>
      </c>
      <c r="T410" s="55" cm="1">
        <f t="array" ref="T410">(VLOOKUP($A410,'The List'!$B1:$AH671,32,FALSE)-AVERAGE('The List'!AG2:AG671))/STDEV('The List'!AG2:AG671)</f>
        <v>0.28792570951056656</v>
      </c>
      <c r="U410" s="55" cm="1">
        <f t="array" ref="U410">(VLOOKUP($A410,'The List'!$B1:$AH671,33,FALSE)-AVERAGE('The List'!AH2:AH671))/STDEV('The List'!AH2:AH671)</f>
        <v>0.68633619909331212</v>
      </c>
      <c r="V410" s="55"/>
      <c r="W410" s="57"/>
      <c r="X410" s="55"/>
      <c r="Y410" s="55"/>
      <c r="Z410" s="55"/>
      <c r="AA410" s="55"/>
      <c r="AB410" s="55"/>
      <c r="AC410" s="55"/>
      <c r="AD410" s="55"/>
      <c r="AE410" s="55"/>
    </row>
    <row r="411" spans="1:31" ht="21.25" customHeight="1" x14ac:dyDescent="0.15">
      <c r="A411" s="10" t="s">
        <v>683</v>
      </c>
      <c r="B411" s="18" t="str" cm="1">
        <f t="array" ref="B411">VLOOKUP(A411,'Player Data'!A1:B673,2,FALSE)</f>
        <v>WPG</v>
      </c>
      <c r="C411" s="52" cm="1">
        <f t="array" ref="C411">((E411)*Settings!$C$12)+(F411*Settings!$C$2)+(G411*Settings!$C$3)+(H411*Settings!$C$4)+(I411*Settings!$C$5)+(K411*Settings!$C$9)+(N411*Settings!$C$6)+(J411*Settings!$C$8)+(O411*Settings!$C$7)+(P411*Settings!$C$14)+(Q411*Settings!$C$15)+(R411*Settings!$C$16)+(S411*Settings!$C$17)+(T411*Settings!$C$18)+(U411*Settings!$C$19)+(L411*Settings!$C$10)+(Settings!$C$11*M411)</f>
        <v>-3.1064323276929557</v>
      </c>
      <c r="D411" s="57" cm="1">
        <f t="array" ref="D411">IF(Settings!$E$12="YES",VLOOKUP(A411,'Player Data'!A1:E673,5,FALSE),82)</f>
        <v>79.802499999999995</v>
      </c>
      <c r="E411" s="55" cm="1">
        <f t="array" ref="E411">(VLOOKUP($A411,'The List'!$B1:$AH671,17,FALSE)-AVERAGE('The List'!R2:R671))/STDEV('The List'!R2:R671)</f>
        <v>-1.0853967701215574</v>
      </c>
      <c r="F411" s="55" cm="1">
        <f t="array" ref="F411">(VLOOKUP($A411,'The List'!$B1:$AH671,18,FALSE)-AVERAGE('The List'!S2:S671))/STDEV('The List'!S2:S671)</f>
        <v>-0.33124758355361172</v>
      </c>
      <c r="G411" s="55" cm="1">
        <f t="array" ref="G411">(VLOOKUP($A411,'The List'!$B1:$AH671,19,FALSE)-AVERAGE('The List'!T2:T671))/STDEV('The List'!T2:T671)</f>
        <v>-0.78470075441124998</v>
      </c>
      <c r="H411" s="55" cm="1">
        <f t="array" ref="H411">(VLOOKUP($A411,'The List'!$B1:$AH671,20,FALSE)-AVERAGE('The List'!U2:U671))/STDEV('The List'!U2:U671)</f>
        <v>-0.64053997975064836</v>
      </c>
      <c r="I411" s="55" cm="1">
        <f t="array" ref="I411">(VLOOKUP($A411,'The List'!$B1:$AH671,21,FALSE)-AVERAGE('The List'!V2:V671))/STDEV('The List'!V2:V671)</f>
        <v>-0.23323222107029679</v>
      </c>
      <c r="J411" s="55" cm="1">
        <f t="array" ref="J411">(VLOOKUP($A411,'The List'!$B1:$AH671,22,FALSE)-AVERAGE('The List'!W2:W671))/STDEV('The List'!W2:W671)</f>
        <v>-0.38056590497305187</v>
      </c>
      <c r="K411" s="55" cm="1">
        <f t="array" ref="K411">(VLOOKUP($A411,'The List'!$B1:$AH671,23,FALSE)-AVERAGE('The List'!X2:X671))/STDEV('The List'!X2:X671)</f>
        <v>-0.42305487745244219</v>
      </c>
      <c r="L411" s="55" cm="1">
        <f t="array" ref="L411">(VLOOKUP($A411,'The List'!$B1:$AH671,24,FALSE)-AVERAGE('The List'!Y2:Y671))/STDEV('The List'!Y2:Y671)</f>
        <v>-0.56439317207141426</v>
      </c>
      <c r="M411" s="55" cm="1">
        <f t="array" ref="M411">(VLOOKUP($A411,'The List'!$B1:$AH671,25,FALSE)-AVERAGE('The List'!Z2:Z671))/STDEV('The List'!Z2:Z671)</f>
        <v>-0.7062763244500756</v>
      </c>
      <c r="N411" s="55" cm="1">
        <f t="array" ref="N411">(VLOOKUP($A411,'The List'!$B1:$AH671,26,FALSE)-AVERAGE('The List'!AA2:AA671))/STDEV('The List'!AA2:AA671)</f>
        <v>-0.87145737459114447</v>
      </c>
      <c r="O411" s="55" cm="1">
        <f t="array" ref="O411">(VLOOKUP($A411,'The List'!$B1:$AH671,27,FALSE)-AVERAGE('The List'!AB2:AB671))/STDEV('The List'!AB2:AB671)</f>
        <v>0.25803291040693405</v>
      </c>
      <c r="P411" s="55" cm="1">
        <f t="array" ref="P411">(VLOOKUP($A411,'The List'!$B1:$AH671,28,FALSE)-AVERAGE('The List'!AC2:AC671))/STDEV('The List'!AC2:AC671)</f>
        <v>0.17858791104897651</v>
      </c>
      <c r="Q411" s="55" cm="1">
        <f t="array" ref="Q411">(VLOOKUP($A411,'The List'!$B1:$AH671,29,FALSE)-AVERAGE('The List'!AD2:AD671))/STDEV('The List'!AD2:AD671)</f>
        <v>-0.64132742766318707</v>
      </c>
      <c r="R411" s="55" cm="1">
        <f t="array" ref="R411">(VLOOKUP($A411,'The List'!$B1:$AH671,30,FALSE)-AVERAGE('The List'!AE2:AE671))/STDEV('The List'!AE2:AE671)</f>
        <v>-0.20383994666608604</v>
      </c>
      <c r="S411" s="55" cm="1">
        <f t="array" ref="S411">(VLOOKUP($A411,'The List'!$B1:$AH671,31,FALSE)-AVERAGE('The List'!AF2:AF671))/STDEV('The List'!AF2:AF671)</f>
        <v>-0.54906959194767646</v>
      </c>
      <c r="T411" s="55" cm="1">
        <f t="array" ref="T411">(VLOOKUP($A411,'The List'!$B1:$AH671,32,FALSE)-AVERAGE('The List'!AG2:AG671))/STDEV('The List'!AG2:AG671)</f>
        <v>-0.58478045899153186</v>
      </c>
      <c r="U411" s="55" cm="1">
        <f t="array" ref="U411">(VLOOKUP($A411,'The List'!$B1:$AH671,33,FALSE)-AVERAGE('The List'!AH2:AH671))/STDEV('The List'!AH2:AH671)</f>
        <v>0.76059905386272086</v>
      </c>
      <c r="V411" s="55"/>
      <c r="W411" s="78"/>
      <c r="X411" s="57"/>
      <c r="Y411" s="57"/>
      <c r="Z411" s="57"/>
      <c r="AA411" s="57"/>
      <c r="AB411" s="57"/>
      <c r="AC411" s="60"/>
      <c r="AD411" s="61"/>
      <c r="AE411" s="55"/>
    </row>
    <row r="412" spans="1:31" ht="21.25" customHeight="1" x14ac:dyDescent="0.15">
      <c r="A412" s="10" t="s">
        <v>430</v>
      </c>
      <c r="B412" s="18" t="str" cm="1">
        <f t="array" ref="B412">VLOOKUP(A412,'Player Data'!A1:B673,2,FALSE)</f>
        <v>MTL</v>
      </c>
      <c r="C412" s="52" cm="1">
        <f t="array" ref="C412">((E412)*Settings!$C$12)+(F412*Settings!$C$2)+(G412*Settings!$C$3)+(H412*Settings!$C$4)+(I412*Settings!$C$5)+(K412*Settings!$C$9)+(N412*Settings!$C$6)+(J412*Settings!$C$8)+(O412*Settings!$C$7)+(P412*Settings!$C$14)+(Q412*Settings!$C$15)+(R412*Settings!$C$16)+(S412*Settings!$C$17)+(T412*Settings!$C$18)+(U412*Settings!$C$19)+(L412*Settings!$C$10)+(Settings!$C$11*M412)</f>
        <v>-0.41637259859938025</v>
      </c>
      <c r="D412" s="57" cm="1">
        <f t="array" ref="D412">IF(Settings!$E$12="YES",VLOOKUP(A412,'Player Data'!A1:E673,5,FALSE),82)</f>
        <v>71.484999999999999</v>
      </c>
      <c r="E412" s="55" cm="1">
        <f t="array" ref="E412">(VLOOKUP($A412,'The List'!$B1:$AH671,17,FALSE)-AVERAGE('The List'!R2:R671))/STDEV('The List'!R2:R671)</f>
        <v>0.4472653650239084</v>
      </c>
      <c r="F412" s="55" cm="1">
        <f t="array" ref="F412">(VLOOKUP($A412,'The List'!$B1:$AH671,18,FALSE)-AVERAGE('The List'!S2:S671))/STDEV('The List'!S2:S671)</f>
        <v>-0.85152206045576029</v>
      </c>
      <c r="G412" s="55" cm="1">
        <f t="array" ref="G412">(VLOOKUP($A412,'The List'!$B1:$AH671,19,FALSE)-AVERAGE('The List'!T2:T671))/STDEV('The List'!T2:T671)</f>
        <v>-0.58675032556214568</v>
      </c>
      <c r="H412" s="55" cm="1">
        <f t="array" ref="H412">(VLOOKUP($A412,'The List'!$B1:$AH671,20,FALSE)-AVERAGE('The List'!U2:U671))/STDEV('The List'!U2:U671)</f>
        <v>-0.74686467254556577</v>
      </c>
      <c r="I412" s="55" cm="1">
        <f t="array" ref="I412">(VLOOKUP($A412,'The List'!$B1:$AH671,21,FALSE)-AVERAGE('The List'!V2:V671))/STDEV('The List'!V2:V671)</f>
        <v>-0.82752855000043091</v>
      </c>
      <c r="J412" s="55" cm="1">
        <f t="array" ref="J412">(VLOOKUP($A412,'The List'!$B1:$AH671,22,FALSE)-AVERAGE('The List'!W2:W671))/STDEV('The List'!W2:W671)</f>
        <v>-0.7495167475076715</v>
      </c>
      <c r="K412" s="55" cm="1">
        <f t="array" ref="K412">(VLOOKUP($A412,'The List'!$B1:$AH671,23,FALSE)-AVERAGE('The List'!X2:X671))/STDEV('The List'!X2:X671)</f>
        <v>-0.80948106461603198</v>
      </c>
      <c r="L412" s="55" cm="1">
        <f t="array" ref="L412">(VLOOKUP($A412,'The List'!$B1:$AH671,24,FALSE)-AVERAGE('The List'!Y2:Y671))/STDEV('The List'!Y2:Y671)</f>
        <v>-0.52721822932259665</v>
      </c>
      <c r="M412" s="55" cm="1">
        <f t="array" ref="M412">(VLOOKUP($A412,'The List'!$B1:$AH671,25,FALSE)-AVERAGE('The List'!Z2:Z671))/STDEV('The List'!Z2:Z671)</f>
        <v>-0.18961643011953305</v>
      </c>
      <c r="N412" s="55" cm="1">
        <f t="array" ref="N412">(VLOOKUP($A412,'The List'!$B1:$AH671,26,FALSE)-AVERAGE('The List'!AA2:AA671))/STDEV('The List'!AA2:AA671)</f>
        <v>1.3930106683794057</v>
      </c>
      <c r="O412" s="55" cm="1">
        <f t="array" ref="O412">(VLOOKUP($A412,'The List'!$B1:$AH671,27,FALSE)-AVERAGE('The List'!AB2:AB671))/STDEV('The List'!AB2:AB671)</f>
        <v>0.54595182925266994</v>
      </c>
      <c r="P412" s="55" cm="1">
        <f t="array" ref="P412">(VLOOKUP($A412,'The List'!$B1:$AH671,28,FALSE)-AVERAGE('The List'!AC2:AC671))/STDEV('The List'!AC2:AC671)</f>
        <v>0.13379902346126982</v>
      </c>
      <c r="Q412" s="55" cm="1">
        <f t="array" ref="Q412">(VLOOKUP($A412,'The List'!$B1:$AH671,29,FALSE)-AVERAGE('The List'!AD2:AD671))/STDEV('The List'!AD2:AD671)</f>
        <v>1.1320997101943133</v>
      </c>
      <c r="R412" s="55" cm="1">
        <f t="array" ref="R412">(VLOOKUP($A412,'The List'!$B1:$AH671,30,FALSE)-AVERAGE('The List'!AE2:AE671))/STDEV('The List'!AE2:AE671)</f>
        <v>-0.7924477120714859</v>
      </c>
      <c r="S412" s="55" cm="1">
        <f t="array" ref="S412">(VLOOKUP($A412,'The List'!$B1:$AH671,31,FALSE)-AVERAGE('The List'!AF2:AF671))/STDEV('The List'!AF2:AF671)</f>
        <v>-0.5939690971349143</v>
      </c>
      <c r="T412" s="55" cm="1">
        <f t="array" ref="T412">(VLOOKUP($A412,'The List'!$B1:$AH671,32,FALSE)-AVERAGE('The List'!AG2:AG671))/STDEV('The List'!AG2:AG671)</f>
        <v>-0.64602208138248207</v>
      </c>
      <c r="U412" s="55" cm="1">
        <f t="array" ref="U412">(VLOOKUP($A412,'The List'!$B1:$AH671,33,FALSE)-AVERAGE('The List'!AH2:AH671))/STDEV('The List'!AH2:AH671)</f>
        <v>-1.2548938914719048</v>
      </c>
      <c r="V412" s="55"/>
      <c r="W412" s="78"/>
      <c r="X412" s="57"/>
      <c r="Y412" s="57"/>
      <c r="Z412" s="57"/>
      <c r="AA412" s="57"/>
      <c r="AB412" s="57"/>
      <c r="AC412" s="60"/>
      <c r="AD412" s="61"/>
      <c r="AE412" s="55"/>
    </row>
    <row r="413" spans="1:31" ht="21.25" customHeight="1" x14ac:dyDescent="0.15">
      <c r="A413" s="10" t="s">
        <v>716</v>
      </c>
      <c r="B413" s="18" t="str" cm="1">
        <f t="array" ref="B413">VLOOKUP(A413,'Player Data'!A1:B673,2,FALSE)</f>
        <v>CGY</v>
      </c>
      <c r="C413" s="52" cm="1">
        <f t="array" ref="C413">((E413)*Settings!$C$12)+(F413*Settings!$C$2)+(G413*Settings!$C$3)+(H413*Settings!$C$4)+(I413*Settings!$C$5)+(K413*Settings!$C$9)+(N413*Settings!$C$6)+(J413*Settings!$C$8)+(O413*Settings!$C$7)+(P413*Settings!$C$14)+(Q413*Settings!$C$15)+(R413*Settings!$C$16)+(S413*Settings!$C$17)+(T413*Settings!$C$18)+(U413*Settings!$C$19)+(L413*Settings!$C$10)+(Settings!$C$11*M413)</f>
        <v>-3.3333013587965263</v>
      </c>
      <c r="D413" s="57" cm="1">
        <f t="array" ref="D413">IF(Settings!$E$12="YES",VLOOKUP(A413,'Player Data'!A1:E673,5,FALSE),82)</f>
        <v>68.885000000000005</v>
      </c>
      <c r="E413" s="55" cm="1">
        <f t="array" ref="E413">(VLOOKUP($A413,'The List'!$B1:$AH671,17,FALSE)-AVERAGE('The List'!R2:R671))/STDEV('The List'!R2:R671)</f>
        <v>-1.2948125506199168</v>
      </c>
      <c r="F413" s="55" cm="1">
        <f t="array" ref="F413">(VLOOKUP($A413,'The List'!$B1:$AH671,18,FALSE)-AVERAGE('The List'!S2:S671))/STDEV('The List'!S2:S671)</f>
        <v>-0.56297039979107788</v>
      </c>
      <c r="G413" s="55" cm="1">
        <f t="array" ref="G413">(VLOOKUP($A413,'The List'!$B1:$AH671,19,FALSE)-AVERAGE('The List'!T2:T671))/STDEV('The List'!T2:T671)</f>
        <v>-0.84502131397957791</v>
      </c>
      <c r="H413" s="55" cm="1">
        <f t="array" ref="H413">(VLOOKUP($A413,'The List'!$B1:$AH671,20,FALSE)-AVERAGE('The List'!U2:U671))/STDEV('The List'!U2:U671)</f>
        <v>-0.78129166615528345</v>
      </c>
      <c r="I413" s="55" cm="1">
        <f t="array" ref="I413">(VLOOKUP($A413,'The List'!$B1:$AH671,21,FALSE)-AVERAGE('The List'!V2:V671))/STDEV('The List'!V2:V671)</f>
        <v>-0.74137780502630024</v>
      </c>
      <c r="J413" s="55" cm="1">
        <f t="array" ref="J413">(VLOOKUP($A413,'The List'!$B1:$AH671,22,FALSE)-AVERAGE('The List'!W2:W671))/STDEV('The List'!W2:W671)</f>
        <v>-0.66727316720229013</v>
      </c>
      <c r="K413" s="55" cm="1">
        <f t="array" ref="K413">(VLOOKUP($A413,'The List'!$B1:$AH671,23,FALSE)-AVERAGE('The List'!X2:X671))/STDEV('The List'!X2:X671)</f>
        <v>-0.74753457537093349</v>
      </c>
      <c r="L413" s="55" cm="1">
        <f t="array" ref="L413">(VLOOKUP($A413,'The List'!$B1:$AH671,24,FALSE)-AVERAGE('The List'!Y2:Y671))/STDEV('The List'!Y2:Y671)</f>
        <v>-0.5643406517793309</v>
      </c>
      <c r="M413" s="55" cm="1">
        <f t="array" ref="M413">(VLOOKUP($A413,'The List'!$B1:$AH671,25,FALSE)-AVERAGE('The List'!Z2:Z671))/STDEV('The List'!Z2:Z671)</f>
        <v>-0.70623643202174313</v>
      </c>
      <c r="N413" s="55" cm="1">
        <f t="array" ref="N413">(VLOOKUP($A413,'The List'!$B1:$AH671,26,FALSE)-AVERAGE('The List'!AA2:AA671))/STDEV('The List'!AA2:AA671)</f>
        <v>-0.42582923138267087</v>
      </c>
      <c r="O413" s="55" cm="1">
        <f t="array" ref="O413">(VLOOKUP($A413,'The List'!$B1:$AH671,27,FALSE)-AVERAGE('The List'!AB2:AB671))/STDEV('The List'!AB2:AB671)</f>
        <v>3.3297500580481518</v>
      </c>
      <c r="P413" s="55" cm="1">
        <f t="array" ref="P413">(VLOOKUP($A413,'The List'!$B1:$AH671,28,FALSE)-AVERAGE('The List'!AC2:AC671))/STDEV('The List'!AC2:AC671)</f>
        <v>-1.6164878837085788</v>
      </c>
      <c r="Q413" s="55" cm="1">
        <f t="array" ref="Q413">(VLOOKUP($A413,'The List'!$B1:$AH671,29,FALSE)-AVERAGE('The List'!AD2:AD671))/STDEV('The List'!AD2:AD671)</f>
        <v>1.6059198504626135</v>
      </c>
      <c r="R413" s="55" cm="1">
        <f t="array" ref="R413">(VLOOKUP($A413,'The List'!$B1:$AH671,30,FALSE)-AVERAGE('The List'!AE2:AE671))/STDEV('The List'!AE2:AE671)</f>
        <v>-0.60696102104832961</v>
      </c>
      <c r="S413" s="55" cm="1">
        <f t="array" ref="S413">(VLOOKUP($A413,'The List'!$B1:$AH671,31,FALSE)-AVERAGE('The List'!AF2:AF671))/STDEV('The List'!AF2:AF671)</f>
        <v>-0.53754282471668502</v>
      </c>
      <c r="T413" s="55" cm="1">
        <f t="array" ref="T413">(VLOOKUP($A413,'The List'!$B1:$AH671,32,FALSE)-AVERAGE('The List'!AG2:AG671))/STDEV('The List'!AG2:AG671)</f>
        <v>-0.52050442857210921</v>
      </c>
      <c r="U413" s="55" cm="1">
        <f t="array" ref="U413">(VLOOKUP($A413,'The List'!$B1:$AH671,33,FALSE)-AVERAGE('The List'!AH2:AH671))/STDEV('The List'!AH2:AH671)</f>
        <v>0.23336118025704783</v>
      </c>
      <c r="V413" s="55"/>
      <c r="W413" s="78"/>
      <c r="X413" s="57"/>
      <c r="Y413" s="57"/>
      <c r="Z413" s="57"/>
      <c r="AA413" s="57"/>
      <c r="AB413" s="57"/>
      <c r="AC413" s="60"/>
      <c r="AD413" s="61"/>
      <c r="AE413" s="55"/>
    </row>
    <row r="414" spans="1:31" ht="21.25" customHeight="1" x14ac:dyDescent="0.15">
      <c r="A414" s="10" t="s">
        <v>387</v>
      </c>
      <c r="B414" s="18" t="str" cm="1">
        <f t="array" ref="B414">VLOOKUP(A414,'Player Data'!A1:B673,2,FALSE)</f>
        <v>NYR</v>
      </c>
      <c r="C414" s="52" cm="1">
        <f t="array" ref="C414">((E414)*Settings!$C$12)+(F414*Settings!$C$2)+(G414*Settings!$C$3)+(H414*Settings!$C$4)+(I414*Settings!$C$5)+(K414*Settings!$C$9)+(N414*Settings!$C$6)+(J414*Settings!$C$8)+(O414*Settings!$C$7)+(P414*Settings!$C$14)+(Q414*Settings!$C$15)+(R414*Settings!$C$16)+(S414*Settings!$C$17)+(T414*Settings!$C$18)+(U414*Settings!$C$19)+(L414*Settings!$C$10)+(Settings!$C$11*M414)</f>
        <v>0.14063279560282727</v>
      </c>
      <c r="D414" s="57" cm="1">
        <f t="array" ref="D414">IF(Settings!$E$12="YES",VLOOKUP(A414,'Player Data'!A1:E673,5,FALSE),82)</f>
        <v>83.48</v>
      </c>
      <c r="E414" s="55" cm="1">
        <f t="array" ref="E414">(VLOOKUP($A414,'The List'!$B1:$AH671,17,FALSE)-AVERAGE('The List'!R2:R671))/STDEV('The List'!R2:R671)</f>
        <v>1.0546674115934802</v>
      </c>
      <c r="F414" s="55" cm="1">
        <f t="array" ref="F414">(VLOOKUP($A414,'The List'!$B1:$AH671,18,FALSE)-AVERAGE('The List'!S2:S671))/STDEV('The List'!S2:S671)</f>
        <v>-1.0134201088521615</v>
      </c>
      <c r="G414" s="55" cm="1">
        <f t="array" ref="G414">(VLOOKUP($A414,'The List'!$B1:$AH671,19,FALSE)-AVERAGE('The List'!T2:T671))/STDEV('The List'!T2:T671)</f>
        <v>-0.23360835678913877</v>
      </c>
      <c r="H414" s="55" cm="1">
        <f t="array" ref="H414">(VLOOKUP($A414,'The List'!$B1:$AH671,20,FALSE)-AVERAGE('The List'!U2:U671))/STDEV('The List'!U2:U671)</f>
        <v>-0.59657088041977502</v>
      </c>
      <c r="I414" s="55" cm="1">
        <f t="array" ref="I414">(VLOOKUP($A414,'The List'!$B1:$AH671,21,FALSE)-AVERAGE('The List'!V2:V671))/STDEV('The List'!V2:V671)</f>
        <v>-0.94048598590586885</v>
      </c>
      <c r="J414" s="55" cm="1">
        <f t="array" ref="J414">(VLOOKUP($A414,'The List'!$B1:$AH671,22,FALSE)-AVERAGE('The List'!W2:W671))/STDEV('The List'!W2:W671)</f>
        <v>-0.74858189554183452</v>
      </c>
      <c r="K414" s="55" cm="1">
        <f t="array" ref="K414">(VLOOKUP($A414,'The List'!$B1:$AH671,23,FALSE)-AVERAGE('The List'!X2:X671))/STDEV('The List'!X2:X671)</f>
        <v>-0.80664567409784405</v>
      </c>
      <c r="L414" s="55" cm="1">
        <f t="array" ref="L414">(VLOOKUP($A414,'The List'!$B1:$AH671,24,FALSE)-AVERAGE('The List'!Y2:Y671))/STDEV('The List'!Y2:Y671)</f>
        <v>-0.52460674534242091</v>
      </c>
      <c r="M414" s="55" cm="1">
        <f t="array" ref="M414">(VLOOKUP($A414,'The List'!$B1:$AH671,25,FALSE)-AVERAGE('The List'!Z2:Z671))/STDEV('The List'!Z2:Z671)</f>
        <v>-0.56811963455869041</v>
      </c>
      <c r="N414" s="55" cm="1">
        <f t="array" ref="N414">(VLOOKUP($A414,'The List'!$B1:$AH671,26,FALSE)-AVERAGE('The List'!AA2:AA671))/STDEV('The List'!AA2:AA671)</f>
        <v>1.9466110058147541</v>
      </c>
      <c r="O414" s="55" cm="1">
        <f t="array" ref="O414">(VLOOKUP($A414,'The List'!$B1:$AH671,27,FALSE)-AVERAGE('The List'!AB2:AB671))/STDEV('The List'!AB2:AB671)</f>
        <v>-9.4118671820277056E-2</v>
      </c>
      <c r="P414" s="55" cm="1">
        <f t="array" ref="P414">(VLOOKUP($A414,'The List'!$B1:$AH671,28,FALSE)-AVERAGE('The List'!AC2:AC671))/STDEV('The List'!AC2:AC671)</f>
        <v>-5.5153320976079813E-2</v>
      </c>
      <c r="Q414" s="55" cm="1">
        <f t="array" ref="Q414">(VLOOKUP($A414,'The List'!$B1:$AH671,29,FALSE)-AVERAGE('The List'!AD2:AD671))/STDEV('The List'!AD2:AD671)</f>
        <v>1.2433352364091663</v>
      </c>
      <c r="R414" s="55" cm="1">
        <f t="array" ref="R414">(VLOOKUP($A414,'The List'!$B1:$AH671,30,FALSE)-AVERAGE('The List'!AE2:AE671))/STDEV('The List'!AE2:AE671)</f>
        <v>-0.98187377033670431</v>
      </c>
      <c r="S414" s="55" cm="1">
        <f t="array" ref="S414">(VLOOKUP($A414,'The List'!$B1:$AH671,31,FALSE)-AVERAGE('The List'!AF2:AF671))/STDEV('The List'!AF2:AF671)</f>
        <v>-0.5939690971349143</v>
      </c>
      <c r="T414" s="55" cm="1">
        <f t="array" ref="T414">(VLOOKUP($A414,'The List'!$B1:$AH671,32,FALSE)-AVERAGE('The List'!AG2:AG671))/STDEV('The List'!AG2:AG671)</f>
        <v>-0.64602208138248207</v>
      </c>
      <c r="U414" s="55" cm="1">
        <f t="array" ref="U414">(VLOOKUP($A414,'The List'!$B1:$AH671,33,FALSE)-AVERAGE('The List'!AH2:AH671))/STDEV('The List'!AH2:AH671)</f>
        <v>-1.2548938914719048</v>
      </c>
      <c r="V414" s="55"/>
      <c r="W414" s="78"/>
      <c r="X414" s="57"/>
      <c r="Y414" s="57"/>
      <c r="Z414" s="57"/>
      <c r="AA414" s="57"/>
      <c r="AB414" s="57"/>
      <c r="AC414" s="60"/>
      <c r="AD414" s="61"/>
      <c r="AE414" s="55"/>
    </row>
    <row r="415" spans="1:31" ht="21.25" customHeight="1" x14ac:dyDescent="0.15">
      <c r="A415" s="10" t="s">
        <v>470</v>
      </c>
      <c r="B415" s="18" t="str" cm="1">
        <f t="array" ref="B415">VLOOKUP(A415,'Player Data'!A1:B673,2,FALSE)</f>
        <v>PIT</v>
      </c>
      <c r="C415" s="52" cm="1">
        <f t="array" ref="C415">((E415)*Settings!$C$12)+(F415*Settings!$C$2)+(G415*Settings!$C$3)+(H415*Settings!$C$4)+(I415*Settings!$C$5)+(K415*Settings!$C$9)+(N415*Settings!$C$6)+(J415*Settings!$C$8)+(O415*Settings!$C$7)+(P415*Settings!$C$14)+(Q415*Settings!$C$15)+(R415*Settings!$C$16)+(S415*Settings!$C$17)+(T415*Settings!$C$18)+(U415*Settings!$C$19)+(L415*Settings!$C$10)+(Settings!$C$11*M415)</f>
        <v>-3.2492753116802024</v>
      </c>
      <c r="D415" s="57" cm="1">
        <f t="array" ref="D415">IF(Settings!$E$12="YES",VLOOKUP(A415,'Player Data'!A1:E673,5,FALSE),82)</f>
        <v>76.587500000000006</v>
      </c>
      <c r="E415" s="55" cm="1">
        <f t="array" ref="E415">(VLOOKUP($A415,'The List'!$B1:$AH671,17,FALSE)-AVERAGE('The List'!R2:R671))/STDEV('The List'!R2:R671)</f>
        <v>0.39839717960942039</v>
      </c>
      <c r="F415" s="55" cm="1">
        <f t="array" ref="F415">(VLOOKUP($A415,'The List'!$B1:$AH671,18,FALSE)-AVERAGE('The List'!S2:S671))/STDEV('The List'!S2:S671)</f>
        <v>-1.0579855173980537</v>
      </c>
      <c r="G415" s="55" cm="1">
        <f t="array" ref="G415">(VLOOKUP($A415,'The List'!$B1:$AH671,19,FALSE)-AVERAGE('The List'!T2:T671))/STDEV('The List'!T2:T671)</f>
        <v>-0.3453477411361261</v>
      </c>
      <c r="H415" s="55" cm="1">
        <f t="array" ref="H415">(VLOOKUP($A415,'The List'!$B1:$AH671,20,FALSE)-AVERAGE('The List'!U2:U671))/STDEV('The List'!U2:U671)</f>
        <v>-0.68662706570965759</v>
      </c>
      <c r="I415" s="55" cm="1">
        <f t="array" ref="I415">(VLOOKUP($A415,'The List'!$B1:$AH671,21,FALSE)-AVERAGE('The List'!V2:V671))/STDEV('The List'!V2:V671)</f>
        <v>-0.98902926732796581</v>
      </c>
      <c r="J415" s="55" cm="1">
        <f t="array" ref="J415">(VLOOKUP($A415,'The List'!$B1:$AH671,22,FALSE)-AVERAGE('The List'!W2:W671))/STDEV('The List'!W2:W671)</f>
        <v>-0.74941773609276208</v>
      </c>
      <c r="K415" s="55" cm="1">
        <f t="array" ref="K415">(VLOOKUP($A415,'The List'!$B1:$AH671,23,FALSE)-AVERAGE('The List'!X2:X671))/STDEV('The List'!X2:X671)</f>
        <v>-0.80496499920416253</v>
      </c>
      <c r="L415" s="55" cm="1">
        <f t="array" ref="L415">(VLOOKUP($A415,'The List'!$B1:$AH671,24,FALSE)-AVERAGE('The List'!Y2:Y671))/STDEV('The List'!Y2:Y671)</f>
        <v>-0.52647492674996821</v>
      </c>
      <c r="M415" s="55" cm="1">
        <f t="array" ref="M415">(VLOOKUP($A415,'The List'!$B1:$AH671,25,FALSE)-AVERAGE('The List'!Z2:Z671))/STDEV('The List'!Z2:Z671)</f>
        <v>-0.61554829873698969</v>
      </c>
      <c r="N415" s="55" cm="1">
        <f t="array" ref="N415">(VLOOKUP($A415,'The List'!$B1:$AH671,26,FALSE)-AVERAGE('The List'!AA2:AA671))/STDEV('The List'!AA2:AA671)</f>
        <v>0.7319781305793529</v>
      </c>
      <c r="O415" s="55" cm="1">
        <f t="array" ref="O415">(VLOOKUP($A415,'The List'!$B1:$AH671,27,FALSE)-AVERAGE('The List'!AB2:AB671))/STDEV('The List'!AB2:AB671)</f>
        <v>-0.76148851161025122</v>
      </c>
      <c r="P415" s="55" cm="1">
        <f t="array" ref="P415">(VLOOKUP($A415,'The List'!$B1:$AH671,28,FALSE)-AVERAGE('The List'!AC2:AC671))/STDEV('The List'!AC2:AC671)</f>
        <v>-5.9213643430127749E-2</v>
      </c>
      <c r="Q415" s="55" cm="1">
        <f t="array" ref="Q415">(VLOOKUP($A415,'The List'!$B1:$AH671,29,FALSE)-AVERAGE('The List'!AD2:AD671))/STDEV('The List'!AD2:AD671)</f>
        <v>-0.72471227376311964</v>
      </c>
      <c r="R415" s="55" cm="1">
        <f t="array" ref="R415">(VLOOKUP($A415,'The List'!$B1:$AH671,30,FALSE)-AVERAGE('The List'!AE2:AE671))/STDEV('The List'!AE2:AE671)</f>
        <v>-1.0493409614456894</v>
      </c>
      <c r="S415" s="55" cm="1">
        <f t="array" ref="S415">(VLOOKUP($A415,'The List'!$B1:$AH671,31,FALSE)-AVERAGE('The List'!AF2:AF671))/STDEV('The List'!AF2:AF671)</f>
        <v>-0.5939690971349143</v>
      </c>
      <c r="T415" s="55" cm="1">
        <f t="array" ref="T415">(VLOOKUP($A415,'The List'!$B1:$AH671,32,FALSE)-AVERAGE('The List'!AG2:AG671))/STDEV('The List'!AG2:AG671)</f>
        <v>-0.64602208138248207</v>
      </c>
      <c r="U415" s="55" cm="1">
        <f t="array" ref="U415">(VLOOKUP($A415,'The List'!$B1:$AH671,33,FALSE)-AVERAGE('The List'!AH2:AH671))/STDEV('The List'!AH2:AH671)</f>
        <v>-1.2548938914719048</v>
      </c>
      <c r="V415" s="55"/>
      <c r="W415" s="78"/>
      <c r="X415" s="57"/>
      <c r="Y415" s="57"/>
      <c r="Z415" s="57"/>
      <c r="AA415" s="57"/>
      <c r="AB415" s="57"/>
      <c r="AC415" s="60"/>
      <c r="AD415" s="61"/>
      <c r="AE415" s="55"/>
    </row>
    <row r="416" spans="1:31" ht="21.25" customHeight="1" x14ac:dyDescent="0.15">
      <c r="A416" s="10" t="s">
        <v>396</v>
      </c>
      <c r="B416" s="18" t="str" cm="1">
        <f t="array" ref="B416">VLOOKUP(A416,'Player Data'!A1:B673,2,FALSE)</f>
        <v>OTT</v>
      </c>
      <c r="C416" s="52" cm="1">
        <f t="array" ref="C416">((E416)*Settings!$C$12)+(F416*Settings!$C$2)+(G416*Settings!$C$3)+(H416*Settings!$C$4)+(I416*Settings!$C$5)+(K416*Settings!$C$9)+(N416*Settings!$C$6)+(J416*Settings!$C$8)+(O416*Settings!$C$7)+(P416*Settings!$C$14)+(Q416*Settings!$C$15)+(R416*Settings!$C$16)+(S416*Settings!$C$17)+(T416*Settings!$C$18)+(U416*Settings!$C$19)+(L416*Settings!$C$10)+(Settings!$C$11*M416)</f>
        <v>0.35834857926197417</v>
      </c>
      <c r="D416" s="57" cm="1">
        <f t="array" ref="D416">IF(Settings!$E$12="YES",VLOOKUP(A416,'Player Data'!A1:E673,5,FALSE),82)</f>
        <v>78.977500000000006</v>
      </c>
      <c r="E416" s="55" cm="1">
        <f t="array" ref="E416">(VLOOKUP($A416,'The List'!$B1:$AH671,17,FALSE)-AVERAGE('The List'!R2:R671))/STDEV('The List'!R2:R671)</f>
        <v>1.043452121388367</v>
      </c>
      <c r="F416" s="55" cm="1">
        <f t="array" ref="F416">(VLOOKUP($A416,'The List'!$B1:$AH671,18,FALSE)-AVERAGE('The List'!S2:S671))/STDEV('The List'!S2:S671)</f>
        <v>-1.061364465496357</v>
      </c>
      <c r="G416" s="55" cm="1">
        <f t="array" ref="G416">(VLOOKUP($A416,'The List'!$B1:$AH671,19,FALSE)-AVERAGE('The List'!T2:T671))/STDEV('The List'!T2:T671)</f>
        <v>-0.29620252820807041</v>
      </c>
      <c r="H416" s="55" cm="1">
        <f t="array" ref="H416">(VLOOKUP($A416,'The List'!$B1:$AH671,20,FALSE)-AVERAGE('The List'!U2:U671))/STDEV('The List'!U2:U671)</f>
        <v>-0.65721415194750776</v>
      </c>
      <c r="I416" s="55" cm="1">
        <f t="array" ref="I416">(VLOOKUP($A416,'The List'!$B1:$AH671,21,FALSE)-AVERAGE('The List'!V2:V671))/STDEV('The List'!V2:V671)</f>
        <v>-0.76384574183955578</v>
      </c>
      <c r="J416" s="55" cm="1">
        <f t="array" ref="J416">(VLOOKUP($A416,'The List'!$B1:$AH671,22,FALSE)-AVERAGE('The List'!W2:W671))/STDEV('The List'!W2:W671)</f>
        <v>-0.7469810979400282</v>
      </c>
      <c r="K416" s="55" cm="1">
        <f t="array" ref="K416">(VLOOKUP($A416,'The List'!$B1:$AH671,23,FALSE)-AVERAGE('The List'!X2:X671))/STDEV('The List'!X2:X671)</f>
        <v>-0.79132274807091252</v>
      </c>
      <c r="L416" s="55" cm="1">
        <f t="array" ref="L416">(VLOOKUP($A416,'The List'!$B1:$AH671,24,FALSE)-AVERAGE('The List'!Y2:Y671))/STDEV('The List'!Y2:Y671)</f>
        <v>-0.53620660906735862</v>
      </c>
      <c r="M416" s="55" cm="1">
        <f t="array" ref="M416">(VLOOKUP($A416,'The List'!$B1:$AH671,25,FALSE)-AVERAGE('The List'!Z2:Z671))/STDEV('The List'!Z2:Z671)</f>
        <v>7.5807947336777965E-3</v>
      </c>
      <c r="N416" s="55" cm="1">
        <f t="array" ref="N416">(VLOOKUP($A416,'The List'!$B1:$AH671,26,FALSE)-AVERAGE('The List'!AA2:AA671))/STDEV('The List'!AA2:AA671)</f>
        <v>1.6527030264189666</v>
      </c>
      <c r="O416" s="55" cm="1">
        <f t="array" ref="O416">(VLOOKUP($A416,'The List'!$B1:$AH671,27,FALSE)-AVERAGE('The List'!AB2:AB671))/STDEV('The List'!AB2:AB671)</f>
        <v>-0.22594567326983808</v>
      </c>
      <c r="P416" s="55" cm="1">
        <f t="array" ref="P416">(VLOOKUP($A416,'The List'!$B1:$AH671,28,FALSE)-AVERAGE('The List'!AC2:AC671))/STDEV('The List'!AC2:AC671)</f>
        <v>0.52422562688956897</v>
      </c>
      <c r="Q416" s="55" cm="1">
        <f t="array" ref="Q416">(VLOOKUP($A416,'The List'!$B1:$AH671,29,FALSE)-AVERAGE('The List'!AD2:AD671))/STDEV('The List'!AD2:AD671)</f>
        <v>1.0941554095683343</v>
      </c>
      <c r="R416" s="55" cm="1">
        <f t="array" ref="R416">(VLOOKUP($A416,'The List'!$B1:$AH671,30,FALSE)-AVERAGE('The List'!AE2:AE671))/STDEV('The List'!AE2:AE671)</f>
        <v>-0.98967624490562411</v>
      </c>
      <c r="S416" s="55" cm="1">
        <f t="array" ref="S416">(VLOOKUP($A416,'The List'!$B1:$AH671,31,FALSE)-AVERAGE('The List'!AF2:AF671))/STDEV('The List'!AF2:AF671)</f>
        <v>-0.5939690971349143</v>
      </c>
      <c r="T416" s="55" cm="1">
        <f t="array" ref="T416">(VLOOKUP($A416,'The List'!$B1:$AH671,32,FALSE)-AVERAGE('The List'!AG2:AG671))/STDEV('The List'!AG2:AG671)</f>
        <v>-0.64602208138248207</v>
      </c>
      <c r="U416" s="55" cm="1">
        <f t="array" ref="U416">(VLOOKUP($A416,'The List'!$B1:$AH671,33,FALSE)-AVERAGE('The List'!AH2:AH671))/STDEV('The List'!AH2:AH671)</f>
        <v>-1.2548938914719048</v>
      </c>
      <c r="V416" s="55"/>
      <c r="W416" s="78"/>
      <c r="X416" s="57"/>
      <c r="Y416" s="57"/>
      <c r="Z416" s="57"/>
      <c r="AA416" s="57"/>
      <c r="AB416" s="57"/>
      <c r="AC416" s="60"/>
      <c r="AD416" s="61"/>
      <c r="AE416" s="55"/>
    </row>
    <row r="417" spans="1:31" ht="21.25" customHeight="1" x14ac:dyDescent="0.15">
      <c r="A417" s="10" t="s">
        <v>710</v>
      </c>
      <c r="B417" s="18" t="str" cm="1">
        <f t="array" ref="B417">VLOOKUP(A417,'Player Data'!A1:B673,2,FALSE)</f>
        <v>L.A</v>
      </c>
      <c r="C417" s="52" cm="1">
        <f t="array" ref="C417">((E417)*Settings!$C$12)+(F417*Settings!$C$2)+(G417*Settings!$C$3)+(H417*Settings!$C$4)+(I417*Settings!$C$5)+(K417*Settings!$C$9)+(N417*Settings!$C$6)+(J417*Settings!$C$8)+(O417*Settings!$C$7)+(P417*Settings!$C$14)+(Q417*Settings!$C$15)+(R417*Settings!$C$16)+(S417*Settings!$C$17)+(T417*Settings!$C$18)+(U417*Settings!$C$19)+(L417*Settings!$C$10)+(Settings!$C$11*M417)</f>
        <v>-2.4375964216287547</v>
      </c>
      <c r="D417" s="57" cm="1">
        <f t="array" ref="D417">IF(Settings!$E$12="YES",VLOOKUP(A417,'Player Data'!A1:E673,5,FALSE),82)</f>
        <v>79.317499999999995</v>
      </c>
      <c r="E417" s="55" cm="1">
        <f t="array" ref="E417">(VLOOKUP($A417,'The List'!$B1:$AH671,17,FALSE)-AVERAGE('The List'!R2:R671))/STDEV('The List'!R2:R671)</f>
        <v>-1.4785399754625865</v>
      </c>
      <c r="F417" s="55" cm="1">
        <f t="array" ref="F417">(VLOOKUP($A417,'The List'!$B1:$AH671,18,FALSE)-AVERAGE('The List'!S2:S671))/STDEV('The List'!S2:S671)</f>
        <v>-0.17960890388520018</v>
      </c>
      <c r="G417" s="55" cm="1">
        <f t="array" ref="G417">(VLOOKUP($A417,'The List'!$B1:$AH671,19,FALSE)-AVERAGE('The List'!T2:T671))/STDEV('The List'!T2:T671)</f>
        <v>-0.91571908804580737</v>
      </c>
      <c r="H417" s="55" cm="1">
        <f t="array" ref="H417">(VLOOKUP($A417,'The List'!$B1:$AH671,20,FALSE)-AVERAGE('The List'!U2:U671))/STDEV('The List'!U2:U671)</f>
        <v>-0.65567103653221748</v>
      </c>
      <c r="I417" s="55" cm="1">
        <f t="array" ref="I417">(VLOOKUP($A417,'The List'!$B1:$AH671,21,FALSE)-AVERAGE('The List'!V2:V671))/STDEV('The List'!V2:V671)</f>
        <v>-0.61855030657574728</v>
      </c>
      <c r="J417" s="55" cm="1">
        <f t="array" ref="J417">(VLOOKUP($A417,'The List'!$B1:$AH671,22,FALSE)-AVERAGE('The List'!W2:W671))/STDEV('The List'!W2:W671)</f>
        <v>-0.32697594990000411</v>
      </c>
      <c r="K417" s="55" cm="1">
        <f t="array" ref="K417">(VLOOKUP($A417,'The List'!$B1:$AH671,23,FALSE)-AVERAGE('The List'!X2:X671))/STDEV('The List'!X2:X671)</f>
        <v>-0.48476077415515367</v>
      </c>
      <c r="L417" s="55" cm="1">
        <f t="array" ref="L417">(VLOOKUP($A417,'The List'!$B1:$AH671,24,FALSE)-AVERAGE('The List'!Y2:Y671))/STDEV('The List'!Y2:Y671)</f>
        <v>-0.56569022661034529</v>
      </c>
      <c r="M417" s="55" cm="1">
        <f t="array" ref="M417">(VLOOKUP($A417,'The List'!$B1:$AH671,25,FALSE)-AVERAGE('The List'!Z2:Z671))/STDEV('The List'!Z2:Z671)</f>
        <v>-0.70756870995144849</v>
      </c>
      <c r="N417" s="55" cm="1">
        <f t="array" ref="N417">(VLOOKUP($A417,'The List'!$B1:$AH671,26,FALSE)-AVERAGE('The List'!AA2:AA671))/STDEV('The List'!AA2:AA671)</f>
        <v>-1.0212979354720595</v>
      </c>
      <c r="O417" s="55" cm="1">
        <f t="array" ref="O417">(VLOOKUP($A417,'The List'!$B1:$AH671,27,FALSE)-AVERAGE('The List'!AB2:AB671))/STDEV('The List'!AB2:AB671)</f>
        <v>-0.81857794950952545</v>
      </c>
      <c r="P417" s="55" cm="1">
        <f t="array" ref="P417">(VLOOKUP($A417,'The List'!$B1:$AH671,28,FALSE)-AVERAGE('The List'!AC2:AC671))/STDEV('The List'!AC2:AC671)</f>
        <v>-8.6425455458531156E-2</v>
      </c>
      <c r="Q417" s="55" cm="1">
        <f t="array" ref="Q417">(VLOOKUP($A417,'The List'!$B1:$AH671,29,FALSE)-AVERAGE('The List'!AD2:AD671))/STDEV('The List'!AD2:AD671)</f>
        <v>0.86876604196374441</v>
      </c>
      <c r="R417" s="55" cm="1">
        <f t="array" ref="R417">(VLOOKUP($A417,'The List'!$B1:$AH671,30,FALSE)-AVERAGE('The List'!AE2:AE671))/STDEV('The List'!AE2:AE671)</f>
        <v>-0.15686806640127449</v>
      </c>
      <c r="S417" s="55" cm="1">
        <f t="array" ref="S417">(VLOOKUP($A417,'The List'!$B1:$AH671,31,FALSE)-AVERAGE('The List'!AF2:AF671))/STDEV('The List'!AF2:AF671)</f>
        <v>-0.55986901166819958</v>
      </c>
      <c r="T417" s="55" cm="1">
        <f t="array" ref="T417">(VLOOKUP($A417,'The List'!$B1:$AH671,32,FALSE)-AVERAGE('The List'!AG2:AG671))/STDEV('The List'!AG2:AG671)</f>
        <v>-0.5574040274929094</v>
      </c>
      <c r="U417" s="55" cm="1">
        <f t="array" ref="U417">(VLOOKUP($A417,'The List'!$B1:$AH671,33,FALSE)-AVERAGE('The List'!AH2:AH671))/STDEV('The List'!AH2:AH671)</f>
        <v>8.1311093622622801E-2</v>
      </c>
      <c r="V417" s="55"/>
      <c r="W417" s="78"/>
      <c r="X417" s="57"/>
      <c r="Y417" s="57"/>
      <c r="Z417" s="57"/>
      <c r="AA417" s="57"/>
      <c r="AB417" s="57"/>
      <c r="AC417" s="60"/>
      <c r="AD417" s="61"/>
      <c r="AE417" s="55"/>
    </row>
    <row r="418" spans="1:31" ht="21.25" customHeight="1" x14ac:dyDescent="0.15">
      <c r="A418" s="10" t="s">
        <v>767</v>
      </c>
      <c r="B418" s="18" t="str" cm="1">
        <f t="array" ref="B418">VLOOKUP(A418,'Player Data'!A1:B673,2,FALSE)</f>
        <v>EDM</v>
      </c>
      <c r="C418" s="52" cm="1">
        <f t="array" ref="C418">((E418)*Settings!$C$12)+(F418*Settings!$C$2)+(G418*Settings!$C$3)+(H418*Settings!$C$4)+(I418*Settings!$C$5)+(K418*Settings!$C$9)+(N418*Settings!$C$6)+(J418*Settings!$C$8)+(O418*Settings!$C$7)+(P418*Settings!$C$14)+(Q418*Settings!$C$15)+(R418*Settings!$C$16)+(S418*Settings!$C$17)+(T418*Settings!$C$18)+(U418*Settings!$C$19)+(L418*Settings!$C$10)+(Settings!$C$11*M418)</f>
        <v>-4.7135227675051485</v>
      </c>
      <c r="D418" s="57" cm="1">
        <f t="array" ref="D418">IF(Settings!$E$12="YES",VLOOKUP(A418,'Player Data'!A1:E673,5,FALSE),82)</f>
        <v>59.96</v>
      </c>
      <c r="E418" s="55" cm="1">
        <f t="array" ref="E418">(VLOOKUP($A418,'The List'!$B1:$AH671,17,FALSE)-AVERAGE('The List'!R2:R671))/STDEV('The List'!R2:R671)</f>
        <v>-1.1367643844131916</v>
      </c>
      <c r="F418" s="55" cm="1">
        <f t="array" ref="F418">(VLOOKUP($A418,'The List'!$B1:$AH671,18,FALSE)-AVERAGE('The List'!S2:S671))/STDEV('The List'!S2:S671)</f>
        <v>-0.6092239190171046</v>
      </c>
      <c r="G418" s="55" cm="1">
        <f t="array" ref="G418">(VLOOKUP($A418,'The List'!$B1:$AH671,19,FALSE)-AVERAGE('The List'!T2:T671))/STDEV('The List'!T2:T671)</f>
        <v>-1.0014745166536938</v>
      </c>
      <c r="H418" s="55" cm="1">
        <f t="array" ref="H418">(VLOOKUP($A418,'The List'!$B1:$AH671,20,FALSE)-AVERAGE('The List'!U2:U671))/STDEV('The List'!U2:U671)</f>
        <v>-0.90022158514808093</v>
      </c>
      <c r="I418" s="55" cm="1">
        <f t="array" ref="I418">(VLOOKUP($A418,'The List'!$B1:$AH671,21,FALSE)-AVERAGE('The List'!V2:V671))/STDEV('The List'!V2:V671)</f>
        <v>-1.3292909543292752</v>
      </c>
      <c r="J418" s="55" cm="1">
        <f t="array" ref="J418">(VLOOKUP($A418,'The List'!$B1:$AH671,22,FALSE)-AVERAGE('The List'!W2:W671))/STDEV('The List'!W2:W671)</f>
        <v>-0.74589804925544212</v>
      </c>
      <c r="K418" s="55" cm="1">
        <f t="array" ref="K418">(VLOOKUP($A418,'The List'!$B1:$AH671,23,FALSE)-AVERAGE('The List'!X2:X671))/STDEV('The List'!X2:X671)</f>
        <v>-0.80849195509073257</v>
      </c>
      <c r="L418" s="55" cm="1">
        <f t="array" ref="L418">(VLOOKUP($A418,'The List'!$B1:$AH671,24,FALSE)-AVERAGE('The List'!Y2:Y671))/STDEV('The List'!Y2:Y671)</f>
        <v>-0.28893127767665205</v>
      </c>
      <c r="M418" s="55" cm="1">
        <f t="array" ref="M418">(VLOOKUP($A418,'The List'!$B1:$AH671,25,FALSE)-AVERAGE('The List'!Z2:Z671))/STDEV('The List'!Z2:Z671)</f>
        <v>-0.43303953391201344</v>
      </c>
      <c r="N418" s="55" cm="1">
        <f t="array" ref="N418">(VLOOKUP($A418,'The List'!$B1:$AH671,26,FALSE)-AVERAGE('The List'!AA2:AA671))/STDEV('The List'!AA2:AA671)</f>
        <v>-0.73797803155472885</v>
      </c>
      <c r="O418" s="55" cm="1">
        <f t="array" ref="O418">(VLOOKUP($A418,'The List'!$B1:$AH671,27,FALSE)-AVERAGE('The List'!AB2:AB671))/STDEV('The List'!AB2:AB671)</f>
        <v>-0.31758132043034204</v>
      </c>
      <c r="P418" s="55" cm="1">
        <f t="array" ref="P418">(VLOOKUP($A418,'The List'!$B1:$AH671,28,FALSE)-AVERAGE('The List'!AC2:AC671))/STDEV('The List'!AC2:AC671)</f>
        <v>0.79111443459167019</v>
      </c>
      <c r="Q418" s="55" cm="1">
        <f t="array" ref="Q418">(VLOOKUP($A418,'The List'!$B1:$AH671,29,FALSE)-AVERAGE('The List'!AD2:AD671))/STDEV('The List'!AD2:AD671)</f>
        <v>-1.0181778254512839</v>
      </c>
      <c r="R418" s="55" cm="1">
        <f t="array" ref="R418">(VLOOKUP($A418,'The List'!$B1:$AH671,30,FALSE)-AVERAGE('The List'!AE2:AE671))/STDEV('The List'!AE2:AE671)</f>
        <v>-0.4972587345325778</v>
      </c>
      <c r="S418" s="55" cm="1">
        <f t="array" ref="S418">(VLOOKUP($A418,'The List'!$B1:$AH671,31,FALSE)-AVERAGE('The List'!AF2:AF671))/STDEV('The List'!AF2:AF671)</f>
        <v>0.16617826462787702</v>
      </c>
      <c r="T418" s="55" cm="1">
        <f t="array" ref="T418">(VLOOKUP($A418,'The List'!$B1:$AH671,32,FALSE)-AVERAGE('The List'!AG2:AG671))/STDEV('The List'!AG2:AG671)</f>
        <v>0.22346000231136473</v>
      </c>
      <c r="U418" s="55" cm="1">
        <f t="array" ref="U418">(VLOOKUP($A418,'The List'!$B1:$AH671,33,FALSE)-AVERAGE('The List'!AH2:AH671))/STDEV('The List'!AH2:AH671)</f>
        <v>0.96147236565806471</v>
      </c>
      <c r="V418" s="55"/>
      <c r="W418" s="78"/>
      <c r="X418" s="57"/>
      <c r="Y418" s="57"/>
      <c r="Z418" s="57"/>
      <c r="AA418" s="57"/>
      <c r="AB418" s="57"/>
      <c r="AC418" s="60"/>
      <c r="AD418" s="61"/>
      <c r="AE418" s="55"/>
    </row>
    <row r="419" spans="1:31" ht="21.25" customHeight="1" x14ac:dyDescent="0.15">
      <c r="A419" s="10" t="s">
        <v>405</v>
      </c>
      <c r="B419" s="18" t="str" cm="1">
        <f t="array" ref="B419">VLOOKUP(A419,'Player Data'!A1:B673,2,FALSE)</f>
        <v>S.J</v>
      </c>
      <c r="C419" s="52" cm="1">
        <f t="array" ref="C419">((E419)*Settings!$C$12)+(F419*Settings!$C$2)+(G419*Settings!$C$3)+(H419*Settings!$C$4)+(I419*Settings!$C$5)+(K419*Settings!$C$9)+(N419*Settings!$C$6)+(J419*Settings!$C$8)+(O419*Settings!$C$7)+(P419*Settings!$C$14)+(Q419*Settings!$C$15)+(R419*Settings!$C$16)+(S419*Settings!$C$17)+(T419*Settings!$C$18)+(U419*Settings!$C$19)+(L419*Settings!$C$10)+(Settings!$C$11*M419)</f>
        <v>0.64861355252489927</v>
      </c>
      <c r="D419" s="57" cm="1">
        <f t="array" ref="D419">IF(Settings!$E$12="YES",VLOOKUP(A419,'Player Data'!A1:E673,5,FALSE),82)</f>
        <v>73.81</v>
      </c>
      <c r="E419" s="55" cm="1">
        <f t="array" ref="E419">(VLOOKUP($A419,'The List'!$B1:$AH671,17,FALSE)-AVERAGE('The List'!R2:R671))/STDEV('The List'!R2:R671)</f>
        <v>0.43699278744650422</v>
      </c>
      <c r="F419" s="55" cm="1">
        <f t="array" ref="F419">(VLOOKUP($A419,'The List'!$B1:$AH671,18,FALSE)-AVERAGE('The List'!S2:S671))/STDEV('The List'!S2:S671)</f>
        <v>-0.92181767218769495</v>
      </c>
      <c r="G419" s="55" cm="1">
        <f t="array" ref="G419">(VLOOKUP($A419,'The List'!$B1:$AH671,19,FALSE)-AVERAGE('The List'!T2:T671))/STDEV('The List'!T2:T671)</f>
        <v>-0.5093274913219652</v>
      </c>
      <c r="H419" s="55" cm="1">
        <f t="array" ref="H419">(VLOOKUP($A419,'The List'!$B1:$AH671,20,FALSE)-AVERAGE('The List'!U2:U671))/STDEV('The List'!U2:U671)</f>
        <v>-0.72935475222977009</v>
      </c>
      <c r="I419" s="55" cm="1">
        <f t="array" ref="I419">(VLOOKUP($A419,'The List'!$B1:$AH671,21,FALSE)-AVERAGE('The List'!V2:V671))/STDEV('The List'!V2:V671)</f>
        <v>-0.1992991286913631</v>
      </c>
      <c r="J419" s="55" cm="1">
        <f t="array" ref="J419">(VLOOKUP($A419,'The List'!$B1:$AH671,22,FALSE)-AVERAGE('The List'!W2:W671))/STDEV('The List'!W2:W671)</f>
        <v>-0.75028027711928513</v>
      </c>
      <c r="K419" s="55" cm="1">
        <f t="array" ref="K419">(VLOOKUP($A419,'The List'!$B1:$AH671,23,FALSE)-AVERAGE('The List'!X2:X671))/STDEV('The List'!X2:X671)</f>
        <v>-0.81188371572578188</v>
      </c>
      <c r="L419" s="55" cm="1">
        <f t="array" ref="L419">(VLOOKUP($A419,'The List'!$B1:$AH671,24,FALSE)-AVERAGE('The List'!Y2:Y671))/STDEV('The List'!Y2:Y671)</f>
        <v>-0.48161481818939822</v>
      </c>
      <c r="M419" s="55" cm="1">
        <f t="array" ref="M419">(VLOOKUP($A419,'The List'!$B1:$AH671,25,FALSE)-AVERAGE('The List'!Z2:Z671))/STDEV('The List'!Z2:Z671)</f>
        <v>-0.34416308190857003</v>
      </c>
      <c r="N419" s="55" cm="1">
        <f t="array" ref="N419">(VLOOKUP($A419,'The List'!$B1:$AH671,26,FALSE)-AVERAGE('The List'!AA2:AA671))/STDEV('The List'!AA2:AA671)</f>
        <v>0.80331757697545814</v>
      </c>
      <c r="O419" s="55" cm="1">
        <f t="array" ref="O419">(VLOOKUP($A419,'The List'!$B1:$AH671,27,FALSE)-AVERAGE('The List'!AB2:AB671))/STDEV('The List'!AB2:AB671)</f>
        <v>-0.15997709055683598</v>
      </c>
      <c r="P419" s="55" cm="1">
        <f t="array" ref="P419">(VLOOKUP($A419,'The List'!$B1:$AH671,28,FALSE)-AVERAGE('The List'!AC2:AC671))/STDEV('The List'!AC2:AC671)</f>
        <v>-0.38324643683868714</v>
      </c>
      <c r="Q419" s="55" cm="1">
        <f t="array" ref="Q419">(VLOOKUP($A419,'The List'!$B1:$AH671,29,FALSE)-AVERAGE('The List'!AD2:AD671))/STDEV('The List'!AD2:AD671)</f>
        <v>2.6708704203149329</v>
      </c>
      <c r="R419" s="55" cm="1">
        <f t="array" ref="R419">(VLOOKUP($A419,'The List'!$B1:$AH671,30,FALSE)-AVERAGE('The List'!AE2:AE671))/STDEV('The List'!AE2:AE671)</f>
        <v>-0.94045139789841192</v>
      </c>
      <c r="S419" s="55" cm="1">
        <f t="array" ref="S419">(VLOOKUP($A419,'The List'!$B1:$AH671,31,FALSE)-AVERAGE('The List'!AF2:AF671))/STDEV('The List'!AF2:AF671)</f>
        <v>-0.5939690971349143</v>
      </c>
      <c r="T419" s="55" cm="1">
        <f t="array" ref="T419">(VLOOKUP($A419,'The List'!$B1:$AH671,32,FALSE)-AVERAGE('The List'!AG2:AG671))/STDEV('The List'!AG2:AG671)</f>
        <v>-0.64602208138248207</v>
      </c>
      <c r="U419" s="55" cm="1">
        <f t="array" ref="U419">(VLOOKUP($A419,'The List'!$B1:$AH671,33,FALSE)-AVERAGE('The List'!AH2:AH671))/STDEV('The List'!AH2:AH671)</f>
        <v>-1.2548938914719048</v>
      </c>
      <c r="V419" s="55"/>
      <c r="W419" s="78"/>
      <c r="X419" s="57"/>
      <c r="Y419" s="57"/>
      <c r="Z419" s="57"/>
      <c r="AA419" s="57"/>
      <c r="AB419" s="57"/>
      <c r="AC419" s="60"/>
      <c r="AD419" s="61"/>
      <c r="AE419" s="55"/>
    </row>
    <row r="420" spans="1:31" ht="21.25" customHeight="1" x14ac:dyDescent="0.15">
      <c r="A420" s="10" t="s">
        <v>721</v>
      </c>
      <c r="B420" s="18" t="str" cm="1">
        <f t="array" ref="B420">VLOOKUP(A420,'Player Data'!A1:B673,2,FALSE)</f>
        <v>OTT</v>
      </c>
      <c r="C420" s="52" cm="1">
        <f t="array" ref="C420">((E420)*Settings!$C$12)+(F420*Settings!$C$2)+(G420*Settings!$C$3)+(H420*Settings!$C$4)+(I420*Settings!$C$5)+(K420*Settings!$C$9)+(N420*Settings!$C$6)+(J420*Settings!$C$8)+(O420*Settings!$C$7)+(P420*Settings!$C$14)+(Q420*Settings!$C$15)+(R420*Settings!$C$16)+(S420*Settings!$C$17)+(T420*Settings!$C$18)+(U420*Settings!$C$19)+(L420*Settings!$C$10)+(Settings!$C$11*M420)</f>
        <v>-4.9107477202721466</v>
      </c>
      <c r="D420" s="57" cm="1">
        <f t="array" ref="D420">IF(Settings!$E$12="YES",VLOOKUP(A420,'Player Data'!A1:E673,5,FALSE),82)</f>
        <v>79.075000000000003</v>
      </c>
      <c r="E420" s="55" cm="1">
        <f t="array" ref="E420">(VLOOKUP($A420,'The List'!$B1:$AH671,17,FALSE)-AVERAGE('The List'!R2:R671))/STDEV('The List'!R2:R671)</f>
        <v>-1.319507483368622</v>
      </c>
      <c r="F420" s="55" cm="1">
        <f t="array" ref="F420">(VLOOKUP($A420,'The List'!$B1:$AH671,18,FALSE)-AVERAGE('The List'!S2:S671))/STDEV('The List'!S2:S671)</f>
        <v>-0.64129883283625033</v>
      </c>
      <c r="G420" s="55" cm="1">
        <f t="array" ref="G420">(VLOOKUP($A420,'The List'!$B1:$AH671,19,FALSE)-AVERAGE('The List'!T2:T671))/STDEV('The List'!T2:T671)</f>
        <v>-0.6059058960391811</v>
      </c>
      <c r="H420" s="55" cm="1">
        <f t="array" ref="H420">(VLOOKUP($A420,'The List'!$B1:$AH671,20,FALSE)-AVERAGE('The List'!U2:U671))/STDEV('The List'!U2:U671)</f>
        <v>-0.66564195222536515</v>
      </c>
      <c r="I420" s="55" cm="1">
        <f t="array" ref="I420">(VLOOKUP($A420,'The List'!$B1:$AH671,21,FALSE)-AVERAGE('The List'!V2:V671))/STDEV('The List'!V2:V671)</f>
        <v>-0.89323966640619656</v>
      </c>
      <c r="J420" s="55" cm="1">
        <f t="array" ref="J420">(VLOOKUP($A420,'The List'!$B1:$AH671,22,FALSE)-AVERAGE('The List'!W2:W671))/STDEV('The List'!W2:W671)</f>
        <v>-0.50628233197890937</v>
      </c>
      <c r="K420" s="55" cm="1">
        <f t="array" ref="K420">(VLOOKUP($A420,'The List'!$B1:$AH671,23,FALSE)-AVERAGE('The List'!X2:X671))/STDEV('The List'!X2:X671)</f>
        <v>-0.49273415104502205</v>
      </c>
      <c r="L420" s="55" cm="1">
        <f t="array" ref="L420">(VLOOKUP($A420,'The List'!$B1:$AH671,24,FALSE)-AVERAGE('The List'!Y2:Y671))/STDEV('The List'!Y2:Y671)</f>
        <v>-0.54852062988296035</v>
      </c>
      <c r="M420" s="55" cm="1">
        <f t="array" ref="M420">(VLOOKUP($A420,'The List'!$B1:$AH671,25,FALSE)-AVERAGE('The List'!Z2:Z671))/STDEV('The List'!Z2:Z671)</f>
        <v>-0.68987409655249365</v>
      </c>
      <c r="N420" s="55" cm="1">
        <f t="array" ref="N420">(VLOOKUP($A420,'The List'!$B1:$AH671,26,FALSE)-AVERAGE('The List'!AA2:AA671))/STDEV('The List'!AA2:AA671)</f>
        <v>-0.91280497124343685</v>
      </c>
      <c r="O420" s="55" cm="1">
        <f t="array" ref="O420">(VLOOKUP($A420,'The List'!$B1:$AH671,27,FALSE)-AVERAGE('The List'!AB2:AB671))/STDEV('The List'!AB2:AB671)</f>
        <v>-1.1028331457164897</v>
      </c>
      <c r="P420" s="55" cm="1">
        <f t="array" ref="P420">(VLOOKUP($A420,'The List'!$B1:$AH671,28,FALSE)-AVERAGE('The List'!AC2:AC671))/STDEV('The List'!AC2:AC671)</f>
        <v>-7.624082760227277E-2</v>
      </c>
      <c r="Q420" s="55" cm="1">
        <f t="array" ref="Q420">(VLOOKUP($A420,'The List'!$B1:$AH671,29,FALSE)-AVERAGE('The List'!AD2:AD671))/STDEV('The List'!AD2:AD671)</f>
        <v>-1.2885233750997864</v>
      </c>
      <c r="R420" s="55" cm="1">
        <f t="array" ref="R420">(VLOOKUP($A420,'The List'!$B1:$AH671,30,FALSE)-AVERAGE('The List'!AE2:AE671))/STDEV('The List'!AE2:AE671)</f>
        <v>-0.52403507704031282</v>
      </c>
      <c r="S420" s="55" cm="1">
        <f t="array" ref="S420">(VLOOKUP($A420,'The List'!$B1:$AH671,31,FALSE)-AVERAGE('The List'!AF2:AF671))/STDEV('The List'!AF2:AF671)</f>
        <v>-0.57843636053082037</v>
      </c>
      <c r="T420" s="55" cm="1">
        <f t="array" ref="T420">(VLOOKUP($A420,'The List'!$B1:$AH671,32,FALSE)-AVERAGE('The List'!AG2:AG671))/STDEV('The List'!AG2:AG671)</f>
        <v>-0.62601237960568179</v>
      </c>
      <c r="U420" s="55" cm="1">
        <f t="array" ref="U420">(VLOOKUP($A420,'The List'!$B1:$AH671,33,FALSE)-AVERAGE('The List'!AH2:AH671))/STDEV('The List'!AH2:AH671)</f>
        <v>0.82547308615045911</v>
      </c>
      <c r="V420" s="55"/>
      <c r="W420" s="78"/>
      <c r="X420" s="57"/>
      <c r="Y420" s="57"/>
      <c r="Z420" s="57"/>
      <c r="AA420" s="57"/>
      <c r="AB420" s="57"/>
      <c r="AC420" s="60"/>
      <c r="AD420" s="61"/>
      <c r="AE420" s="55"/>
    </row>
    <row r="421" spans="1:31" ht="21.25" customHeight="1" x14ac:dyDescent="0.15">
      <c r="A421" s="10" t="s">
        <v>323</v>
      </c>
      <c r="B421" s="18" t="str" cm="1">
        <f t="array" ref="B421">VLOOKUP(A421,'Player Data'!A1:B673,2,FALSE)</f>
        <v>STL</v>
      </c>
      <c r="C421" s="52" cm="1">
        <f t="array" ref="C421">((E421)*Settings!$C$12)+(F421*Settings!$C$2)+(G421*Settings!$C$3)+(H421*Settings!$C$4)+(I421*Settings!$C$5)+(K421*Settings!$C$9)+(N421*Settings!$C$6)+(J421*Settings!$C$8)+(O421*Settings!$C$7)+(P421*Settings!$C$14)+(Q421*Settings!$C$15)+(R421*Settings!$C$16)+(S421*Settings!$C$17)+(T421*Settings!$C$18)+(U421*Settings!$C$19)+(L421*Settings!$C$10)+(Settings!$C$11*M421)</f>
        <v>-0.63298831935189792</v>
      </c>
      <c r="D421" s="57" cm="1">
        <f t="array" ref="D421">IF(Settings!$E$12="YES",VLOOKUP(A421,'Player Data'!A1:E673,5,FALSE),82)</f>
        <v>80.667500000000004</v>
      </c>
      <c r="E421" s="55" cm="1">
        <f t="array" ref="E421">(VLOOKUP($A421,'The List'!$B1:$AH671,17,FALSE)-AVERAGE('The List'!R2:R671))/STDEV('The List'!R2:R671)</f>
        <v>1.3910561737913265</v>
      </c>
      <c r="F421" s="55" cm="1">
        <f t="array" ref="F421">(VLOOKUP($A421,'The List'!$B1:$AH671,18,FALSE)-AVERAGE('The List'!S2:S671))/STDEV('The List'!S2:S671)</f>
        <v>-0.6668438889953926</v>
      </c>
      <c r="G421" s="55" cm="1">
        <f t="array" ref="G421">(VLOOKUP($A421,'The List'!$B1:$AH671,19,FALSE)-AVERAGE('The List'!T2:T671))/STDEV('The List'!T2:T671)</f>
        <v>-0.56040819073570258</v>
      </c>
      <c r="H421" s="55" cm="1">
        <f t="array" ref="H421">(VLOOKUP($A421,'The List'!$B1:$AH671,20,FALSE)-AVERAGE('The List'!U2:U671))/STDEV('The List'!U2:U671)</f>
        <v>-0.64835792146673232</v>
      </c>
      <c r="I421" s="55" cm="1">
        <f t="array" ref="I421">(VLOOKUP($A421,'The List'!$B1:$AH671,21,FALSE)-AVERAGE('The List'!V2:V671))/STDEV('The List'!V2:V671)</f>
        <v>-0.21431091000463068</v>
      </c>
      <c r="J421" s="55" cm="1">
        <f t="array" ref="J421">(VLOOKUP($A421,'The List'!$B1:$AH671,22,FALSE)-AVERAGE('The List'!W2:W671))/STDEV('The List'!W2:W671)</f>
        <v>-0.74927354260793666</v>
      </c>
      <c r="K421" s="55" cm="1">
        <f t="array" ref="K421">(VLOOKUP($A421,'The List'!$B1:$AH671,23,FALSE)-AVERAGE('The List'!X2:X671))/STDEV('The List'!X2:X671)</f>
        <v>-0.80662381666244132</v>
      </c>
      <c r="L421" s="55" cm="1">
        <f t="array" ref="L421">(VLOOKUP($A421,'The List'!$B1:$AH671,24,FALSE)-AVERAGE('The List'!Y2:Y671))/STDEV('The List'!Y2:Y671)</f>
        <v>-0.26957888516782624</v>
      </c>
      <c r="M421" s="55" cm="1">
        <f t="array" ref="M421">(VLOOKUP($A421,'The List'!$B1:$AH671,25,FALSE)-AVERAGE('The List'!Z2:Z671))/STDEV('The List'!Z2:Z671)</f>
        <v>6.3296562852622848E-2</v>
      </c>
      <c r="N421" s="55" cm="1">
        <f t="array" ref="N421">(VLOOKUP($A421,'The List'!$B1:$AH671,26,FALSE)-AVERAGE('The List'!AA2:AA671))/STDEV('The List'!AA2:AA671)</f>
        <v>2.7452271448157846</v>
      </c>
      <c r="O421" s="55" cm="1">
        <f t="array" ref="O421">(VLOOKUP($A421,'The List'!$B1:$AH671,27,FALSE)-AVERAGE('The List'!AB2:AB671))/STDEV('The List'!AB2:AB671)</f>
        <v>0.22275359470796452</v>
      </c>
      <c r="P421" s="55" cm="1">
        <f t="array" ref="P421">(VLOOKUP($A421,'The List'!$B1:$AH671,28,FALSE)-AVERAGE('The List'!AC2:AC671))/STDEV('The List'!AC2:AC671)</f>
        <v>-0.4458776497314712</v>
      </c>
      <c r="Q421" s="55" cm="1">
        <f t="array" ref="Q421">(VLOOKUP($A421,'The List'!$B1:$AH671,29,FALSE)-AVERAGE('The List'!AD2:AD671))/STDEV('The List'!AD2:AD671)</f>
        <v>-0.68415100803804385</v>
      </c>
      <c r="R421" s="55" cm="1">
        <f t="array" ref="R421">(VLOOKUP($A421,'The List'!$B1:$AH671,30,FALSE)-AVERAGE('The List'!AE2:AE671))/STDEV('The List'!AE2:AE671)</f>
        <v>-0.69845613982991628</v>
      </c>
      <c r="S421" s="55" cm="1">
        <f t="array" ref="S421">(VLOOKUP($A421,'The List'!$B1:$AH671,31,FALSE)-AVERAGE('The List'!AF2:AF671))/STDEV('The List'!AF2:AF671)</f>
        <v>-0.5939690971349143</v>
      </c>
      <c r="T421" s="55" cm="1">
        <f t="array" ref="T421">(VLOOKUP($A421,'The List'!$B1:$AH671,32,FALSE)-AVERAGE('The List'!AG2:AG671))/STDEV('The List'!AG2:AG671)</f>
        <v>-0.64602208138248207</v>
      </c>
      <c r="U421" s="55" cm="1">
        <f t="array" ref="U421">(VLOOKUP($A421,'The List'!$B1:$AH671,33,FALSE)-AVERAGE('The List'!AH2:AH671))/STDEV('The List'!AH2:AH671)</f>
        <v>-1.2548938914719048</v>
      </c>
      <c r="V421" s="55"/>
      <c r="W421" s="78"/>
      <c r="X421" s="57"/>
      <c r="Y421" s="57"/>
      <c r="Z421" s="57"/>
      <c r="AA421" s="57"/>
      <c r="AB421" s="57"/>
      <c r="AC421" s="60"/>
      <c r="AD421" s="61"/>
      <c r="AE421" s="55"/>
    </row>
    <row r="422" spans="1:31" ht="21.25" customHeight="1" x14ac:dyDescent="0.15">
      <c r="A422" s="10" t="s">
        <v>360</v>
      </c>
      <c r="B422" s="18" t="str" cm="1">
        <f t="array" ref="B422">VLOOKUP(A422,'Player Data'!A1:B673,2,FALSE)</f>
        <v>WSH</v>
      </c>
      <c r="C422" s="52" cm="1">
        <f t="array" ref="C422">((E422)*Settings!$C$12)+(F422*Settings!$C$2)+(G422*Settings!$C$3)+(H422*Settings!$C$4)+(I422*Settings!$C$5)+(K422*Settings!$C$9)+(N422*Settings!$C$6)+(J422*Settings!$C$8)+(O422*Settings!$C$7)+(P422*Settings!$C$14)+(Q422*Settings!$C$15)+(R422*Settings!$C$16)+(S422*Settings!$C$17)+(T422*Settings!$C$18)+(U422*Settings!$C$19)+(L422*Settings!$C$10)+(Settings!$C$11*M422)</f>
        <v>-0.16829324905157012</v>
      </c>
      <c r="D422" s="57" cm="1">
        <f t="array" ref="D422">IF(Settings!$E$12="YES",VLOOKUP(A422,'Player Data'!A1:E673,5,FALSE),82)</f>
        <v>81.61</v>
      </c>
      <c r="E422" s="55" cm="1">
        <f t="array" ref="E422">(VLOOKUP($A422,'The List'!$B1:$AH671,17,FALSE)-AVERAGE('The List'!R2:R671))/STDEV('The List'!R2:R671)</f>
        <v>0.94383271867168805</v>
      </c>
      <c r="F422" s="55" cm="1">
        <f t="array" ref="F422">(VLOOKUP($A422,'The List'!$B1:$AH671,18,FALSE)-AVERAGE('The List'!S2:S671))/STDEV('The List'!S2:S671)</f>
        <v>-1.0352685856881878</v>
      </c>
      <c r="G422" s="55" cm="1">
        <f t="array" ref="G422">(VLOOKUP($A422,'The List'!$B1:$AH671,19,FALSE)-AVERAGE('The List'!T2:T671))/STDEV('The List'!T2:T671)</f>
        <v>-0.28632685031065819</v>
      </c>
      <c r="H422" s="55" cm="1">
        <f t="array" ref="H422">(VLOOKUP($A422,'The List'!$B1:$AH671,20,FALSE)-AVERAGE('The List'!U2:U671))/STDEV('The List'!U2:U671)</f>
        <v>-0.63942422847762892</v>
      </c>
      <c r="I422" s="55" cm="1">
        <f t="array" ref="I422">(VLOOKUP($A422,'The List'!$B1:$AH671,21,FALSE)-AVERAGE('The List'!V2:V671))/STDEV('The List'!V2:V671)</f>
        <v>-0.47622527759518729</v>
      </c>
      <c r="J422" s="55" cm="1">
        <f t="array" ref="J422">(VLOOKUP($A422,'The List'!$B1:$AH671,22,FALSE)-AVERAGE('The List'!W2:W671))/STDEV('The List'!W2:W671)</f>
        <v>-0.74850040716328392</v>
      </c>
      <c r="K422" s="55" cm="1">
        <f t="array" ref="K422">(VLOOKUP($A422,'The List'!$B1:$AH671,23,FALSE)-AVERAGE('The List'!X2:X671))/STDEV('The List'!X2:X671)</f>
        <v>-0.80340409245573818</v>
      </c>
      <c r="L422" s="55" cm="1">
        <f t="array" ref="L422">(VLOOKUP($A422,'The List'!$B1:$AH671,24,FALSE)-AVERAGE('The List'!Y2:Y671))/STDEV('The List'!Y2:Y671)</f>
        <v>-0.52827062411817216</v>
      </c>
      <c r="M422" s="55" cm="1">
        <f t="array" ref="M422">(VLOOKUP($A422,'The List'!$B1:$AH671,25,FALSE)-AVERAGE('The List'!Z2:Z671))/STDEV('The List'!Z2:Z671)</f>
        <v>-0.39765941135196881</v>
      </c>
      <c r="N422" s="55" cm="1">
        <f t="array" ref="N422">(VLOOKUP($A422,'The List'!$B1:$AH671,26,FALSE)-AVERAGE('The List'!AA2:AA671))/STDEV('The List'!AA2:AA671)</f>
        <v>2.0983597204924078</v>
      </c>
      <c r="O422" s="55" cm="1">
        <f t="array" ref="O422">(VLOOKUP($A422,'The List'!$B1:$AH671,27,FALSE)-AVERAGE('The List'!AB2:AB671))/STDEV('The List'!AB2:AB671)</f>
        <v>0.61943567140752709</v>
      </c>
      <c r="P422" s="55" cm="1">
        <f t="array" ref="P422">(VLOOKUP($A422,'The List'!$B1:$AH671,28,FALSE)-AVERAGE('The List'!AC2:AC671))/STDEV('The List'!AC2:AC671)</f>
        <v>0.825058181073965</v>
      </c>
      <c r="Q422" s="55" cm="1">
        <f t="array" ref="Q422">(VLOOKUP($A422,'The List'!$B1:$AH671,29,FALSE)-AVERAGE('The List'!AD2:AD671))/STDEV('The List'!AD2:AD671)</f>
        <v>-0.49048634456817136</v>
      </c>
      <c r="R422" s="55" cm="1">
        <f t="array" ref="R422">(VLOOKUP($A422,'The List'!$B1:$AH671,30,FALSE)-AVERAGE('The List'!AE2:AE671))/STDEV('The List'!AE2:AE671)</f>
        <v>-1.0187201401092056</v>
      </c>
      <c r="S422" s="55" cm="1">
        <f t="array" ref="S422">(VLOOKUP($A422,'The List'!$B1:$AH671,31,FALSE)-AVERAGE('The List'!AF2:AF671))/STDEV('The List'!AF2:AF671)</f>
        <v>-0.5939690971349143</v>
      </c>
      <c r="T422" s="55" cm="1">
        <f t="array" ref="T422">(VLOOKUP($A422,'The List'!$B1:$AH671,32,FALSE)-AVERAGE('The List'!AG2:AG671))/STDEV('The List'!AG2:AG671)</f>
        <v>-0.64602208138248207</v>
      </c>
      <c r="U422" s="55" cm="1">
        <f t="array" ref="U422">(VLOOKUP($A422,'The List'!$B1:$AH671,33,FALSE)-AVERAGE('The List'!AH2:AH671))/STDEV('The List'!AH2:AH671)</f>
        <v>-1.2548938914719048</v>
      </c>
      <c r="V422" s="55"/>
      <c r="W422" s="57"/>
      <c r="X422" s="55"/>
      <c r="Y422" s="55"/>
      <c r="Z422" s="55"/>
      <c r="AA422" s="55"/>
      <c r="AB422" s="55"/>
      <c r="AC422" s="55"/>
      <c r="AD422" s="55"/>
      <c r="AE422" s="55"/>
    </row>
    <row r="423" spans="1:31" ht="21.25" customHeight="1" x14ac:dyDescent="0.15">
      <c r="A423" s="10" t="s">
        <v>329</v>
      </c>
      <c r="B423" s="18" t="str" cm="1">
        <f t="array" ref="B423">VLOOKUP(A423,'Player Data'!A1:B673,2,FALSE)</f>
        <v>CAR</v>
      </c>
      <c r="C423" s="52" cm="1">
        <f t="array" ref="C423">((E423)*Settings!$C$12)+(F423*Settings!$C$2)+(G423*Settings!$C$3)+(H423*Settings!$C$4)+(I423*Settings!$C$5)+(K423*Settings!$C$9)+(N423*Settings!$C$6)+(J423*Settings!$C$8)+(O423*Settings!$C$7)+(P423*Settings!$C$14)+(Q423*Settings!$C$15)+(R423*Settings!$C$16)+(S423*Settings!$C$17)+(T423*Settings!$C$18)+(U423*Settings!$C$19)+(L423*Settings!$C$10)+(Settings!$C$11*M423)</f>
        <v>2.8255359505237925</v>
      </c>
      <c r="D423" s="57" cm="1">
        <f t="array" ref="D423">IF(Settings!$E$12="YES",VLOOKUP(A423,'Player Data'!A1:E673,5,FALSE),82)</f>
        <v>83.752499999999998</v>
      </c>
      <c r="E423" s="55" cm="1">
        <f t="array" ref="E423">(VLOOKUP($A423,'The List'!$B1:$AH671,17,FALSE)-AVERAGE('The List'!R2:R671))/STDEV('The List'!R2:R671)</f>
        <v>0.83896866561206729</v>
      </c>
      <c r="F423" s="55" cm="1">
        <f t="array" ref="F423">(VLOOKUP($A423,'The List'!$B1:$AH671,18,FALSE)-AVERAGE('The List'!S2:S671))/STDEV('The List'!S2:S671)</f>
        <v>-0.76230660985976606</v>
      </c>
      <c r="G423" s="55" cm="1">
        <f t="array" ref="G423">(VLOOKUP($A423,'The List'!$B1:$AH671,19,FALSE)-AVERAGE('The List'!T2:T671))/STDEV('The List'!T2:T671)</f>
        <v>-0.43761608586618161</v>
      </c>
      <c r="H423" s="55" cm="1">
        <f t="array" ref="H423">(VLOOKUP($A423,'The List'!$B1:$AH671,20,FALSE)-AVERAGE('The List'!U2:U671))/STDEV('The List'!U2:U671)</f>
        <v>-0.61347706825027737</v>
      </c>
      <c r="I423" s="55" cm="1">
        <f t="array" ref="I423">(VLOOKUP($A423,'The List'!$B1:$AH671,21,FALSE)-AVERAGE('The List'!V2:V671))/STDEV('The List'!V2:V671)</f>
        <v>0.47517665756041516</v>
      </c>
      <c r="J423" s="55" cm="1">
        <f t="array" ref="J423">(VLOOKUP($A423,'The List'!$B1:$AH671,22,FALSE)-AVERAGE('The List'!W2:W671))/STDEV('The List'!W2:W671)</f>
        <v>-0.74602204151873541</v>
      </c>
      <c r="K423" s="55" cm="1">
        <f t="array" ref="K423">(VLOOKUP($A423,'The List'!$B1:$AH671,23,FALSE)-AVERAGE('The List'!X2:X671))/STDEV('The List'!X2:X671)</f>
        <v>-0.7825283964144093</v>
      </c>
      <c r="L423" s="55" cm="1">
        <f t="array" ref="L423">(VLOOKUP($A423,'The List'!$B1:$AH671,24,FALSE)-AVERAGE('The List'!Y2:Y671))/STDEV('The List'!Y2:Y671)</f>
        <v>-0.1621613699738047</v>
      </c>
      <c r="M423" s="55" cm="1">
        <f t="array" ref="M423">(VLOOKUP($A423,'The List'!$B1:$AH671,25,FALSE)-AVERAGE('The List'!Z2:Z671))/STDEV('The List'!Z2:Z671)</f>
        <v>-0.24826503161532218</v>
      </c>
      <c r="N423" s="55" cm="1">
        <f t="array" ref="N423">(VLOOKUP($A423,'The List'!$B1:$AH671,26,FALSE)-AVERAGE('The List'!AA2:AA671))/STDEV('The List'!AA2:AA671)</f>
        <v>1.4385285642540102</v>
      </c>
      <c r="O423" s="55" cm="1">
        <f t="array" ref="O423">(VLOOKUP($A423,'The List'!$B1:$AH671,27,FALSE)-AVERAGE('The List'!AB2:AB671))/STDEV('The List'!AB2:AB671)</f>
        <v>0.678038851151749</v>
      </c>
      <c r="P423" s="55" cm="1">
        <f t="array" ref="P423">(VLOOKUP($A423,'The List'!$B1:$AH671,28,FALSE)-AVERAGE('The List'!AC2:AC671))/STDEV('The List'!AC2:AC671)</f>
        <v>1.3452620840208456</v>
      </c>
      <c r="Q423" s="55" cm="1">
        <f t="array" ref="Q423">(VLOOKUP($A423,'The List'!$B1:$AH671,29,FALSE)-AVERAGE('The List'!AD2:AD671))/STDEV('The List'!AD2:AD671)</f>
        <v>1.5490197368288783</v>
      </c>
      <c r="R423" s="55" cm="1">
        <f t="array" ref="R423">(VLOOKUP($A423,'The List'!$B1:$AH671,30,FALSE)-AVERAGE('The List'!AE2:AE671))/STDEV('The List'!AE2:AE671)</f>
        <v>-0.67970554578810838</v>
      </c>
      <c r="S423" s="55" cm="1">
        <f t="array" ref="S423">(VLOOKUP($A423,'The List'!$B1:$AH671,31,FALSE)-AVERAGE('The List'!AF2:AF671))/STDEV('The List'!AF2:AF671)</f>
        <v>-0.5939690971349143</v>
      </c>
      <c r="T423" s="55" cm="1">
        <f t="array" ref="T423">(VLOOKUP($A423,'The List'!$B1:$AH671,32,FALSE)-AVERAGE('The List'!AG2:AG671))/STDEV('The List'!AG2:AG671)</f>
        <v>-0.64602208138248207</v>
      </c>
      <c r="U423" s="55" cm="1">
        <f t="array" ref="U423">(VLOOKUP($A423,'The List'!$B1:$AH671,33,FALSE)-AVERAGE('The List'!AH2:AH671))/STDEV('The List'!AH2:AH671)</f>
        <v>-1.2548938914719048</v>
      </c>
      <c r="V423" s="55"/>
      <c r="W423" s="78"/>
      <c r="X423" s="57"/>
      <c r="Y423" s="57"/>
      <c r="Z423" s="57"/>
      <c r="AA423" s="57"/>
      <c r="AB423" s="57"/>
      <c r="AC423" s="60"/>
      <c r="AD423" s="61"/>
      <c r="AE423" s="55"/>
    </row>
    <row r="424" spans="1:31" ht="21.25" customHeight="1" x14ac:dyDescent="0.15">
      <c r="A424" s="10" t="s">
        <v>757</v>
      </c>
      <c r="B424" s="18" t="str" cm="1">
        <f t="array" ref="B424">VLOOKUP(A424,'Player Data'!A1:B673,2,FALSE)</f>
        <v>T.B</v>
      </c>
      <c r="C424" s="52" cm="1">
        <f t="array" ref="C424">((E424)*Settings!$C$12)+(F424*Settings!$C$2)+(G424*Settings!$C$3)+(H424*Settings!$C$4)+(I424*Settings!$C$5)+(K424*Settings!$C$9)+(N424*Settings!$C$6)+(J424*Settings!$C$8)+(O424*Settings!$C$7)+(P424*Settings!$C$14)+(Q424*Settings!$C$15)+(R424*Settings!$C$16)+(S424*Settings!$C$17)+(T424*Settings!$C$18)+(U424*Settings!$C$19)+(L424*Settings!$C$10)+(Settings!$C$11*M424)</f>
        <v>-4.2666800511111056</v>
      </c>
      <c r="D424" s="57" cm="1">
        <f t="array" ref="D424">IF(Settings!$E$12="YES",VLOOKUP(A424,'Player Data'!A1:E673,5,FALSE),82)</f>
        <v>62.935000000000002</v>
      </c>
      <c r="E424" s="55" cm="1">
        <f t="array" ref="E424">(VLOOKUP($A424,'The List'!$B1:$AH671,17,FALSE)-AVERAGE('The List'!R2:R671))/STDEV('The List'!R2:R671)</f>
        <v>-1.3970391375358084</v>
      </c>
      <c r="F424" s="55" cm="1">
        <f t="array" ref="F424">(VLOOKUP($A424,'The List'!$B1:$AH671,18,FALSE)-AVERAGE('The List'!S2:S671))/STDEV('The List'!S2:S671)</f>
        <v>-0.53420004359139461</v>
      </c>
      <c r="G424" s="55" cm="1">
        <f t="array" ref="G424">(VLOOKUP($A424,'The List'!$B1:$AH671,19,FALSE)-AVERAGE('The List'!T2:T671))/STDEV('The List'!T2:T671)</f>
        <v>-1.0150376590423584</v>
      </c>
      <c r="H424" s="55" cm="1">
        <f t="array" ref="H424">(VLOOKUP($A424,'The List'!$B1:$AH671,20,FALSE)-AVERAGE('The List'!U2:U671))/STDEV('The List'!U2:U671)</f>
        <v>-0.87546626861247989</v>
      </c>
      <c r="I424" s="55" cm="1">
        <f t="array" ref="I424">(VLOOKUP($A424,'The List'!$B1:$AH671,21,FALSE)-AVERAGE('The List'!V2:V671))/STDEV('The List'!V2:V671)</f>
        <v>-1.060670476989741</v>
      </c>
      <c r="J424" s="55" cm="1">
        <f t="array" ref="J424">(VLOOKUP($A424,'The List'!$B1:$AH671,22,FALSE)-AVERAGE('The List'!W2:W671))/STDEV('The List'!W2:W671)</f>
        <v>-0.59587261581527673</v>
      </c>
      <c r="K424" s="55" cm="1">
        <f t="array" ref="K424">(VLOOKUP($A424,'The List'!$B1:$AH671,23,FALSE)-AVERAGE('The List'!X2:X671))/STDEV('The List'!X2:X671)</f>
        <v>-0.68706876180014087</v>
      </c>
      <c r="L424" s="55" cm="1">
        <f t="array" ref="L424">(VLOOKUP($A424,'The List'!$B1:$AH671,24,FALSE)-AVERAGE('The List'!Y2:Y671))/STDEV('The List'!Y2:Y671)</f>
        <v>-0.56569022661034529</v>
      </c>
      <c r="M424" s="55" cm="1">
        <f t="array" ref="M424">(VLOOKUP($A424,'The List'!$B1:$AH671,25,FALSE)-AVERAGE('The List'!Z2:Z671))/STDEV('The List'!Z2:Z671)</f>
        <v>-0.70756870995144849</v>
      </c>
      <c r="N424" s="55" cm="1">
        <f t="array" ref="N424">(VLOOKUP($A424,'The List'!$B1:$AH671,26,FALSE)-AVERAGE('The List'!AA2:AA671))/STDEV('The List'!AA2:AA671)</f>
        <v>-0.87807253284505205</v>
      </c>
      <c r="O424" s="55" cm="1">
        <f t="array" ref="O424">(VLOOKUP($A424,'The List'!$B1:$AH671,27,FALSE)-AVERAGE('The List'!AB2:AB671))/STDEV('The List'!AB2:AB671)</f>
        <v>0.77982317069770857</v>
      </c>
      <c r="P424" s="55" cm="1">
        <f t="array" ref="P424">(VLOOKUP($A424,'The List'!$B1:$AH671,28,FALSE)-AVERAGE('The List'!AC2:AC671))/STDEV('The List'!AC2:AC671)</f>
        <v>0.77081807413968506</v>
      </c>
      <c r="Q424" s="55" cm="1">
        <f t="array" ref="Q424">(VLOOKUP($A424,'The List'!$B1:$AH671,29,FALSE)-AVERAGE('The List'!AD2:AD671))/STDEV('The List'!AD2:AD671)</f>
        <v>-0.86244865098210299</v>
      </c>
      <c r="R424" s="55" cm="1">
        <f t="array" ref="R424">(VLOOKUP($A424,'The List'!$B1:$AH671,30,FALSE)-AVERAGE('The List'!AE2:AE671))/STDEV('The List'!AE2:AE671)</f>
        <v>-0.40466654370946054</v>
      </c>
      <c r="S424" s="55" cm="1">
        <f t="array" ref="S424">(VLOOKUP($A424,'The List'!$B1:$AH671,31,FALSE)-AVERAGE('The List'!AF2:AF671))/STDEV('The List'!AF2:AF671)</f>
        <v>-2.2557860640346913E-2</v>
      </c>
      <c r="T424" s="55" cm="1">
        <f t="array" ref="T424">(VLOOKUP($A424,'The List'!$B1:$AH671,32,FALSE)-AVERAGE('The List'!AG2:AG671))/STDEV('The List'!AG2:AG671)</f>
        <v>0.16208783101954274</v>
      </c>
      <c r="U424" s="55" cm="1">
        <f t="array" ref="U424">(VLOOKUP($A424,'The List'!$B1:$AH671,33,FALSE)-AVERAGE('The List'!AH2:AH671))/STDEV('The List'!AH2:AH671)</f>
        <v>0.71973590043835123</v>
      </c>
      <c r="V424" s="55"/>
      <c r="W424" s="57"/>
      <c r="X424" s="55"/>
      <c r="Y424" s="55"/>
      <c r="Z424" s="55"/>
      <c r="AA424" s="55"/>
      <c r="AB424" s="55"/>
      <c r="AC424" s="55"/>
      <c r="AD424" s="55"/>
      <c r="AE424" s="55"/>
    </row>
    <row r="425" spans="1:31" ht="21.25" customHeight="1" x14ac:dyDescent="0.15">
      <c r="A425" s="10" t="s">
        <v>302</v>
      </c>
      <c r="B425" s="18" t="str" cm="1">
        <f t="array" ref="B425">VLOOKUP(A425,'Player Data'!A1:B673,2,FALSE)</f>
        <v>S.J</v>
      </c>
      <c r="C425" s="52" cm="1">
        <f t="array" ref="C425">((E425)*Settings!$C$12)+(F425*Settings!$C$2)+(G425*Settings!$C$3)+(H425*Settings!$C$4)+(I425*Settings!$C$5)+(K425*Settings!$C$9)+(N425*Settings!$C$6)+(J425*Settings!$C$8)+(O425*Settings!$C$7)+(P425*Settings!$C$14)+(Q425*Settings!$C$15)+(R425*Settings!$C$16)+(S425*Settings!$C$17)+(T425*Settings!$C$18)+(U425*Settings!$C$19)+(L425*Settings!$C$10)+(Settings!$C$11*M425)</f>
        <v>1.2985981812927823</v>
      </c>
      <c r="D425" s="57" cm="1">
        <f t="array" ref="D425">IF(Settings!$E$12="YES",VLOOKUP(A425,'Player Data'!A1:E673,5,FALSE),82)</f>
        <v>81.864999999999995</v>
      </c>
      <c r="E425" s="55" cm="1">
        <f t="array" ref="E425">(VLOOKUP($A425,'The List'!$B1:$AH671,17,FALSE)-AVERAGE('The List'!R2:R671))/STDEV('The List'!R2:R671)</f>
        <v>1.4834768019853835</v>
      </c>
      <c r="F425" s="55" cm="1">
        <f t="array" ref="F425">(VLOOKUP($A425,'The List'!$B1:$AH671,18,FALSE)-AVERAGE('The List'!S2:S671))/STDEV('The List'!S2:S671)</f>
        <v>-1.0284890574643373</v>
      </c>
      <c r="G425" s="55" cm="1">
        <f t="array" ref="G425">(VLOOKUP($A425,'The List'!$B1:$AH671,19,FALSE)-AVERAGE('The List'!T2:T671))/STDEV('The List'!T2:T671)</f>
        <v>-0.29516121310378357</v>
      </c>
      <c r="H425" s="55" cm="1">
        <f t="array" ref="H425">(VLOOKUP($A425,'The List'!$B1:$AH671,20,FALSE)-AVERAGE('The List'!U2:U671))/STDEV('The List'!U2:U671)</f>
        <v>-0.64197306684866418</v>
      </c>
      <c r="I425" s="55" cm="1">
        <f t="array" ref="I425">(VLOOKUP($A425,'The List'!$B1:$AH671,21,FALSE)-AVERAGE('The List'!V2:V671))/STDEV('The List'!V2:V671)</f>
        <v>0.16771886599291708</v>
      </c>
      <c r="J425" s="55" cm="1">
        <f t="array" ref="J425">(VLOOKUP($A425,'The List'!$B1:$AH671,22,FALSE)-AVERAGE('The List'!W2:W671))/STDEV('The List'!W2:W671)</f>
        <v>-0.7456477722203122</v>
      </c>
      <c r="K425" s="55" cm="1">
        <f t="array" ref="K425">(VLOOKUP($A425,'The List'!$B1:$AH671,23,FALSE)-AVERAGE('The List'!X2:X671))/STDEV('The List'!X2:X671)</f>
        <v>-0.77268199140745708</v>
      </c>
      <c r="L425" s="55" cm="1">
        <f t="array" ref="L425">(VLOOKUP($A425,'The List'!$B1:$AH671,24,FALSE)-AVERAGE('The List'!Y2:Y671))/STDEV('The List'!Y2:Y671)</f>
        <v>-0.53822771773507483</v>
      </c>
      <c r="M425" s="55" cm="1">
        <f t="array" ref="M425">(VLOOKUP($A425,'The List'!$B1:$AH671,25,FALSE)-AVERAGE('The List'!Z2:Z671))/STDEV('The List'!Z2:Z671)</f>
        <v>9.4329893487321098E-2</v>
      </c>
      <c r="N425" s="55" cm="1">
        <f t="array" ref="N425">(VLOOKUP($A425,'The List'!$B1:$AH671,26,FALSE)-AVERAGE('The List'!AA2:AA671))/STDEV('The List'!AA2:AA671)</f>
        <v>2.7341141872086259</v>
      </c>
      <c r="O425" s="55" cm="1">
        <f t="array" ref="O425">(VLOOKUP($A425,'The List'!$B1:$AH671,27,FALSE)-AVERAGE('The List'!AB2:AB671))/STDEV('The List'!AB2:AB671)</f>
        <v>1.2069175971967636</v>
      </c>
      <c r="P425" s="55" cm="1">
        <f t="array" ref="P425">(VLOOKUP($A425,'The List'!$B1:$AH671,28,FALSE)-AVERAGE('The List'!AC2:AC671))/STDEV('The List'!AC2:AC671)</f>
        <v>-0.94734181805487838</v>
      </c>
      <c r="Q425" s="55" cm="1">
        <f t="array" ref="Q425">(VLOOKUP($A425,'The List'!$B1:$AH671,29,FALSE)-AVERAGE('The List'!AD2:AD671))/STDEV('The List'!AD2:AD671)</f>
        <v>1.4404392081216955</v>
      </c>
      <c r="R425" s="55" cm="1">
        <f t="array" ref="R425">(VLOOKUP($A425,'The List'!$B1:$AH671,30,FALSE)-AVERAGE('The List'!AE2:AE671))/STDEV('The List'!AE2:AE671)</f>
        <v>-1.0336616639198373</v>
      </c>
      <c r="S425" s="55" cm="1">
        <f t="array" ref="S425">(VLOOKUP($A425,'The List'!$B1:$AH671,31,FALSE)-AVERAGE('The List'!AF2:AF671))/STDEV('The List'!AF2:AF671)</f>
        <v>-0.5939690971349143</v>
      </c>
      <c r="T425" s="55" cm="1">
        <f t="array" ref="T425">(VLOOKUP($A425,'The List'!$B1:$AH671,32,FALSE)-AVERAGE('The List'!AG2:AG671))/STDEV('The List'!AG2:AG671)</f>
        <v>-0.64602193726249546</v>
      </c>
      <c r="U425" s="55" cm="1">
        <f t="array" ref="U425">(VLOOKUP($A425,'The List'!$B1:$AH671,33,FALSE)-AVERAGE('The List'!AH2:AH671))/STDEV('The List'!AH2:AH671)</f>
        <v>-1.2548938914719048</v>
      </c>
      <c r="V425" s="55"/>
      <c r="W425" s="57"/>
      <c r="X425" s="55"/>
      <c r="Y425" s="55"/>
      <c r="Z425" s="55"/>
      <c r="AA425" s="55"/>
      <c r="AB425" s="55"/>
      <c r="AC425" s="55"/>
      <c r="AD425" s="55"/>
      <c r="AE425" s="55"/>
    </row>
    <row r="426" spans="1:31" ht="21.25" customHeight="1" x14ac:dyDescent="0.15">
      <c r="A426" s="10" t="s">
        <v>479</v>
      </c>
      <c r="B426" s="18" t="str" cm="1">
        <f t="array" ref="B426">VLOOKUP(A426,'Player Data'!A1:B673,2,FALSE)</f>
        <v>SEA</v>
      </c>
      <c r="C426" s="52" cm="1">
        <f t="array" ref="C426">((E426)*Settings!$C$12)+(F426*Settings!$C$2)+(G426*Settings!$C$3)+(H426*Settings!$C$4)+(I426*Settings!$C$5)+(K426*Settings!$C$9)+(N426*Settings!$C$6)+(J426*Settings!$C$8)+(O426*Settings!$C$7)+(P426*Settings!$C$14)+(Q426*Settings!$C$15)+(R426*Settings!$C$16)+(S426*Settings!$C$17)+(T426*Settings!$C$18)+(U426*Settings!$C$19)+(L426*Settings!$C$10)+(Settings!$C$11*M426)</f>
        <v>-3.4740831452437129</v>
      </c>
      <c r="D426" s="57" cm="1">
        <f t="array" ref="D426">IF(Settings!$E$12="YES",VLOOKUP(A426,'Player Data'!A1:E673,5,FALSE),82)</f>
        <v>75.53</v>
      </c>
      <c r="E426" s="55" cm="1">
        <f t="array" ref="E426">(VLOOKUP($A426,'The List'!$B1:$AH671,17,FALSE)-AVERAGE('The List'!R2:R671))/STDEV('The List'!R2:R671)</f>
        <v>0.35928756817780133</v>
      </c>
      <c r="F426" s="55" cm="1">
        <f t="array" ref="F426">(VLOOKUP($A426,'The List'!$B1:$AH671,18,FALSE)-AVERAGE('The List'!S2:S671))/STDEV('The List'!S2:S671)</f>
        <v>-0.69767257510551073</v>
      </c>
      <c r="G426" s="55" cm="1">
        <f t="array" ref="G426">(VLOOKUP($A426,'The List'!$B1:$AH671,19,FALSE)-AVERAGE('The List'!T2:T671))/STDEV('The List'!T2:T671)</f>
        <v>-0.6575916849129948</v>
      </c>
      <c r="H426" s="55" cm="1">
        <f t="array" ref="H426">(VLOOKUP($A426,'The List'!$B1:$AH671,20,FALSE)-AVERAGE('The List'!U2:U671))/STDEV('The List'!U2:U671)</f>
        <v>-0.72316384374434184</v>
      </c>
      <c r="I426" s="55" cm="1">
        <f t="array" ref="I426">(VLOOKUP($A426,'The List'!$B1:$AH671,21,FALSE)-AVERAGE('The List'!V2:V671))/STDEV('The List'!V2:V671)</f>
        <v>-1.1268202318718969</v>
      </c>
      <c r="J426" s="55" cm="1">
        <f t="array" ref="J426">(VLOOKUP($A426,'The List'!$B1:$AH671,22,FALSE)-AVERAGE('The List'!W2:W671))/STDEV('The List'!W2:W671)</f>
        <v>-0.73840261692174314</v>
      </c>
      <c r="K426" s="55" cm="1">
        <f t="array" ref="K426">(VLOOKUP($A426,'The List'!$B1:$AH671,23,FALSE)-AVERAGE('The List'!X2:X671))/STDEV('The List'!X2:X671)</f>
        <v>-0.67229919653748804</v>
      </c>
      <c r="L426" s="55" cm="1">
        <f t="array" ref="L426">(VLOOKUP($A426,'The List'!$B1:$AH671,24,FALSE)-AVERAGE('The List'!Y2:Y671))/STDEV('The List'!Y2:Y671)</f>
        <v>0.67706056040722562</v>
      </c>
      <c r="M426" s="55" cm="1">
        <f t="array" ref="M426">(VLOOKUP($A426,'The List'!$B1:$AH671,25,FALSE)-AVERAGE('The List'!Z2:Z671))/STDEV('The List'!Z2:Z671)</f>
        <v>0.13492380841417256</v>
      </c>
      <c r="N426" s="55" cm="1">
        <f t="array" ref="N426">(VLOOKUP($A426,'The List'!$B1:$AH671,26,FALSE)-AVERAGE('The List'!AA2:AA671))/STDEV('The List'!AA2:AA671)</f>
        <v>0.78654460503177503</v>
      </c>
      <c r="O426" s="55" cm="1">
        <f t="array" ref="O426">(VLOOKUP($A426,'The List'!$B1:$AH671,27,FALSE)-AVERAGE('The List'!AB2:AB671))/STDEV('The List'!AB2:AB671)</f>
        <v>-0.1064247507481187</v>
      </c>
      <c r="P426" s="55" cm="1">
        <f t="array" ref="P426">(VLOOKUP($A426,'The List'!$B1:$AH671,28,FALSE)-AVERAGE('The List'!AC2:AC671))/STDEV('The List'!AC2:AC671)</f>
        <v>-1.4972581952733426</v>
      </c>
      <c r="Q426" s="55" cm="1">
        <f t="array" ref="Q426">(VLOOKUP($A426,'The List'!$B1:$AH671,29,FALSE)-AVERAGE('The List'!AD2:AD671))/STDEV('The List'!AD2:AD671)</f>
        <v>0.39101413342574565</v>
      </c>
      <c r="R426" s="55" cm="1">
        <f t="array" ref="R426">(VLOOKUP($A426,'The List'!$B1:$AH671,30,FALSE)-AVERAGE('The List'!AE2:AE671))/STDEV('The List'!AE2:AE671)</f>
        <v>-0.75323820506023609</v>
      </c>
      <c r="S426" s="55" cm="1">
        <f t="array" ref="S426">(VLOOKUP($A426,'The List'!$B1:$AH671,31,FALSE)-AVERAGE('The List'!AF2:AF671))/STDEV('The List'!AF2:AF671)</f>
        <v>-0.5939690971349143</v>
      </c>
      <c r="T426" s="55" cm="1">
        <f t="array" ref="T426">(VLOOKUP($A426,'The List'!$B1:$AH671,32,FALSE)-AVERAGE('The List'!AG2:AG671))/STDEV('The List'!AG2:AG671)</f>
        <v>-0.64602208138248207</v>
      </c>
      <c r="U426" s="55" cm="1">
        <f t="array" ref="U426">(VLOOKUP($A426,'The List'!$B1:$AH671,33,FALSE)-AVERAGE('The List'!AH2:AH671))/STDEV('The List'!AH2:AH671)</f>
        <v>-1.2548938914719048</v>
      </c>
      <c r="V426" s="55"/>
      <c r="W426" s="78"/>
      <c r="X426" s="57"/>
      <c r="Y426" s="57"/>
      <c r="Z426" s="57"/>
      <c r="AA426" s="57"/>
      <c r="AB426" s="57"/>
      <c r="AC426" s="60"/>
      <c r="AD426" s="61"/>
      <c r="AE426" s="55"/>
    </row>
    <row r="427" spans="1:31" ht="21.25" customHeight="1" x14ac:dyDescent="0.15">
      <c r="A427" s="10" t="s">
        <v>385</v>
      </c>
      <c r="B427" s="18" t="str" cm="1">
        <f t="array" ref="B427">VLOOKUP(A427,'Player Data'!A1:B673,2,FALSE)</f>
        <v>MIN</v>
      </c>
      <c r="C427" s="52" cm="1">
        <f t="array" ref="C427">((E427)*Settings!$C$12)+(F427*Settings!$C$2)+(G427*Settings!$C$3)+(H427*Settings!$C$4)+(I427*Settings!$C$5)+(K427*Settings!$C$9)+(N427*Settings!$C$6)+(J427*Settings!$C$8)+(O427*Settings!$C$7)+(P427*Settings!$C$14)+(Q427*Settings!$C$15)+(R427*Settings!$C$16)+(S427*Settings!$C$17)+(T427*Settings!$C$18)+(U427*Settings!$C$19)+(L427*Settings!$C$10)+(Settings!$C$11*M427)</f>
        <v>-0.62918790397418867</v>
      </c>
      <c r="D427" s="57" cm="1">
        <f t="array" ref="D427">IF(Settings!$E$12="YES",VLOOKUP(A427,'Player Data'!A1:E673,5,FALSE),82)</f>
        <v>74.08</v>
      </c>
      <c r="E427" s="55" cm="1">
        <f t="array" ref="E427">(VLOOKUP($A427,'The List'!$B1:$AH671,17,FALSE)-AVERAGE('The List'!R2:R671))/STDEV('The List'!R2:R671)</f>
        <v>1.01178965606713</v>
      </c>
      <c r="F427" s="55" cm="1">
        <f t="array" ref="F427">(VLOOKUP($A427,'The List'!$B1:$AH671,18,FALSE)-AVERAGE('The List'!S2:S671))/STDEV('The List'!S2:S671)</f>
        <v>-1.0127723269930651</v>
      </c>
      <c r="G427" s="55" cm="1">
        <f t="array" ref="G427">(VLOOKUP($A427,'The List'!$B1:$AH671,19,FALSE)-AVERAGE('The List'!T2:T671))/STDEV('The List'!T2:T671)</f>
        <v>-0.46432211682571345</v>
      </c>
      <c r="H427" s="55" cm="1">
        <f t="array" ref="H427">(VLOOKUP($A427,'The List'!$B1:$AH671,20,FALSE)-AVERAGE('The List'!U2:U671))/STDEV('The List'!U2:U671)</f>
        <v>-0.74140121099373568</v>
      </c>
      <c r="I427" s="55" cm="1">
        <f t="array" ref="I427">(VLOOKUP($A427,'The List'!$B1:$AH671,21,FALSE)-AVERAGE('The List'!V2:V671))/STDEV('The List'!V2:V671)</f>
        <v>-0.67712898611135264</v>
      </c>
      <c r="J427" s="55" cm="1">
        <f t="array" ref="J427">(VLOOKUP($A427,'The List'!$B1:$AH671,22,FALSE)-AVERAGE('The List'!W2:W671))/STDEV('The List'!W2:W671)</f>
        <v>-0.74927633486036305</v>
      </c>
      <c r="K427" s="55" cm="1">
        <f t="array" ref="K427">(VLOOKUP($A427,'The List'!$B1:$AH671,23,FALSE)-AVERAGE('The List'!X2:X671))/STDEV('The List'!X2:X671)</f>
        <v>-0.80138807573405901</v>
      </c>
      <c r="L427" s="55" cm="1">
        <f t="array" ref="L427">(VLOOKUP($A427,'The List'!$B1:$AH671,24,FALSE)-AVERAGE('The List'!Y2:Y671))/STDEV('The List'!Y2:Y671)</f>
        <v>-0.53333218556627704</v>
      </c>
      <c r="M427" s="55" cm="1">
        <f t="array" ref="M427">(VLOOKUP($A427,'The List'!$B1:$AH671,25,FALSE)-AVERAGE('The List'!Z2:Z671))/STDEV('The List'!Z2:Z671)</f>
        <v>-0.25035719793779626</v>
      </c>
      <c r="N427" s="55" cm="1">
        <f t="array" ref="N427">(VLOOKUP($A427,'The List'!$B1:$AH671,26,FALSE)-AVERAGE('The List'!AA2:AA671))/STDEV('The List'!AA2:AA671)</f>
        <v>2.0666228437853591</v>
      </c>
      <c r="O427" s="55" cm="1">
        <f t="array" ref="O427">(VLOOKUP($A427,'The List'!$B1:$AH671,27,FALSE)-AVERAGE('The List'!AB2:AB671))/STDEV('The List'!AB2:AB671)</f>
        <v>-1.0821100021655712</v>
      </c>
      <c r="P427" s="55" cm="1">
        <f t="array" ref="P427">(VLOOKUP($A427,'The List'!$B1:$AH671,28,FALSE)-AVERAGE('The List'!AC2:AC671))/STDEV('The List'!AC2:AC671)</f>
        <v>0.90420962813086569</v>
      </c>
      <c r="Q427" s="55" cm="1">
        <f t="array" ref="Q427">(VLOOKUP($A427,'The List'!$B1:$AH671,29,FALSE)-AVERAGE('The List'!AD2:AD671))/STDEV('The List'!AD2:AD671)</f>
        <v>-0.64440887022622362</v>
      </c>
      <c r="R427" s="55" cm="1">
        <f t="array" ref="R427">(VLOOKUP($A427,'The List'!$B1:$AH671,30,FALSE)-AVERAGE('The List'!AE2:AE671))/STDEV('The List'!AE2:AE671)</f>
        <v>-0.9682903269355968</v>
      </c>
      <c r="S427" s="55" cm="1">
        <f t="array" ref="S427">(VLOOKUP($A427,'The List'!$B1:$AH671,31,FALSE)-AVERAGE('The List'!AF2:AF671))/STDEV('The List'!AF2:AF671)</f>
        <v>-0.5939690971349143</v>
      </c>
      <c r="T427" s="55" cm="1">
        <f t="array" ref="T427">(VLOOKUP($A427,'The List'!$B1:$AH671,32,FALSE)-AVERAGE('The List'!AG2:AG671))/STDEV('The List'!AG2:AG671)</f>
        <v>-0.64602208138248207</v>
      </c>
      <c r="U427" s="55" cm="1">
        <f t="array" ref="U427">(VLOOKUP($A427,'The List'!$B1:$AH671,33,FALSE)-AVERAGE('The List'!AH2:AH671))/STDEV('The List'!AH2:AH671)</f>
        <v>-1.2548938914719048</v>
      </c>
      <c r="V427" s="55"/>
      <c r="W427" s="78"/>
      <c r="X427" s="57"/>
      <c r="Y427" s="57"/>
      <c r="Z427" s="57"/>
      <c r="AA427" s="57"/>
      <c r="AB427" s="57"/>
      <c r="AC427" s="60"/>
      <c r="AD427" s="61"/>
      <c r="AE427" s="55"/>
    </row>
    <row r="428" spans="1:31" ht="21.25" customHeight="1" x14ac:dyDescent="0.15">
      <c r="A428" s="10" t="s">
        <v>759</v>
      </c>
      <c r="B428" s="18" t="str" cm="1">
        <f t="array" ref="B428">VLOOKUP(A428,'Player Data'!A1:B673,2,FALSE)</f>
        <v>N.J</v>
      </c>
      <c r="C428" s="52" cm="1">
        <f t="array" ref="C428">((E428)*Settings!$C$12)+(F428*Settings!$C$2)+(G428*Settings!$C$3)+(H428*Settings!$C$4)+(I428*Settings!$C$5)+(K428*Settings!$C$9)+(N428*Settings!$C$6)+(J428*Settings!$C$8)+(O428*Settings!$C$7)+(P428*Settings!$C$14)+(Q428*Settings!$C$15)+(R428*Settings!$C$16)+(S428*Settings!$C$17)+(T428*Settings!$C$18)+(U428*Settings!$C$19)+(L428*Settings!$C$10)+(Settings!$C$11*M428)</f>
        <v>-5.0973641452195189</v>
      </c>
      <c r="D428" s="57" cm="1">
        <f t="array" ref="D428">IF(Settings!$E$12="YES",VLOOKUP(A428,'Player Data'!A1:E673,5,FALSE),82)</f>
        <v>63.695</v>
      </c>
      <c r="E428" s="55" cm="1">
        <f t="array" ref="E428">(VLOOKUP($A428,'The List'!$B1:$AH671,17,FALSE)-AVERAGE('The List'!R2:R671))/STDEV('The List'!R2:R671)</f>
        <v>-1.4485506693560031</v>
      </c>
      <c r="F428" s="55" cm="1">
        <f t="array" ref="F428">(VLOOKUP($A428,'The List'!$B1:$AH671,18,FALSE)-AVERAGE('The List'!S2:S671))/STDEV('The List'!S2:S671)</f>
        <v>-0.74640987673074177</v>
      </c>
      <c r="G428" s="55" cm="1">
        <f t="array" ref="G428">(VLOOKUP($A428,'The List'!$B1:$AH671,19,FALSE)-AVERAGE('The List'!T2:T671))/STDEV('The List'!T2:T671)</f>
        <v>-0.85679550261490234</v>
      </c>
      <c r="H428" s="55" cm="1">
        <f t="array" ref="H428">(VLOOKUP($A428,'The List'!$B1:$AH671,20,FALSE)-AVERAGE('The List'!U2:U671))/STDEV('The List'!U2:U671)</f>
        <v>-0.87008567416033966</v>
      </c>
      <c r="I428" s="55" cm="1">
        <f t="array" ref="I428">(VLOOKUP($A428,'The List'!$B1:$AH671,21,FALSE)-AVERAGE('The List'!V2:V671))/STDEV('The List'!V2:V671)</f>
        <v>-0.77492570347393175</v>
      </c>
      <c r="J428" s="55" cm="1">
        <f t="array" ref="J428">(VLOOKUP($A428,'The List'!$B1:$AH671,22,FALSE)-AVERAGE('The List'!W2:W671))/STDEV('The List'!W2:W671)</f>
        <v>-0.74201711577238216</v>
      </c>
      <c r="K428" s="55" cm="1">
        <f t="array" ref="K428">(VLOOKUP($A428,'The List'!$B1:$AH671,23,FALSE)-AVERAGE('The List'!X2:X671))/STDEV('The List'!X2:X671)</f>
        <v>-0.805584265330342</v>
      </c>
      <c r="L428" s="55" cm="1">
        <f t="array" ref="L428">(VLOOKUP($A428,'The List'!$B1:$AH671,24,FALSE)-AVERAGE('The List'!Y2:Y671))/STDEV('The List'!Y2:Y671)</f>
        <v>-0.56569022661034529</v>
      </c>
      <c r="M428" s="55" cm="1">
        <f t="array" ref="M428">(VLOOKUP($A428,'The List'!$B1:$AH671,25,FALSE)-AVERAGE('The List'!Z2:Z671))/STDEV('The List'!Z2:Z671)</f>
        <v>-0.70756870995144849</v>
      </c>
      <c r="N428" s="55" cm="1">
        <f t="array" ref="N428">(VLOOKUP($A428,'The List'!$B1:$AH671,26,FALSE)-AVERAGE('The List'!AA2:AA671))/STDEV('The List'!AA2:AA671)</f>
        <v>-0.86848420642201207</v>
      </c>
      <c r="O428" s="55" cm="1">
        <f t="array" ref="O428">(VLOOKUP($A428,'The List'!$B1:$AH671,27,FALSE)-AVERAGE('The List'!AB2:AB671))/STDEV('The List'!AB2:AB671)</f>
        <v>-0.52698656915994924</v>
      </c>
      <c r="P428" s="55" cm="1">
        <f t="array" ref="P428">(VLOOKUP($A428,'The List'!$B1:$AH671,28,FALSE)-AVERAGE('The List'!AC2:AC671))/STDEV('The List'!AC2:AC671)</f>
        <v>-0.1278750021999886</v>
      </c>
      <c r="Q428" s="55" cm="1">
        <f t="array" ref="Q428">(VLOOKUP($A428,'The List'!$B1:$AH671,29,FALSE)-AVERAGE('The List'!AD2:AD671))/STDEV('The List'!AD2:AD671)</f>
        <v>-0.91728958844760011</v>
      </c>
      <c r="R428" s="55" cm="1">
        <f t="array" ref="R428">(VLOOKUP($A428,'The List'!$B1:$AH671,30,FALSE)-AVERAGE('The List'!AE2:AE671))/STDEV('The List'!AE2:AE671)</f>
        <v>-0.74955581896350099</v>
      </c>
      <c r="S428" s="55" cm="1">
        <f t="array" ref="S428">(VLOOKUP($A428,'The List'!$B1:$AH671,31,FALSE)-AVERAGE('The List'!AF2:AF671))/STDEV('The List'!AF2:AF671)</f>
        <v>-0.5939690971349143</v>
      </c>
      <c r="T428" s="55" cm="1">
        <f t="array" ref="T428">(VLOOKUP($A428,'The List'!$B1:$AH671,32,FALSE)-AVERAGE('The List'!AG2:AG671))/STDEV('The List'!AG2:AG671)</f>
        <v>-0.60061660008612061</v>
      </c>
      <c r="U428" s="55" cm="1">
        <f t="array" ref="U428">(VLOOKUP($A428,'The List'!$B1:$AH671,33,FALSE)-AVERAGE('The List'!AH2:AH671))/STDEV('The List'!AH2:AH671)</f>
        <v>-1.2548938914719048</v>
      </c>
      <c r="V428" s="55"/>
      <c r="W428" s="57"/>
      <c r="X428" s="55"/>
      <c r="Y428" s="55"/>
      <c r="Z428" s="55"/>
      <c r="AA428" s="55"/>
      <c r="AB428" s="55"/>
      <c r="AC428" s="55"/>
      <c r="AD428" s="55"/>
      <c r="AE428" s="55"/>
    </row>
    <row r="429" spans="1:31" ht="21.25" customHeight="1" x14ac:dyDescent="0.15">
      <c r="A429" s="10" t="s">
        <v>733</v>
      </c>
      <c r="B429" s="18" t="str" cm="1">
        <f t="array" ref="B429">VLOOKUP(A429,'Player Data'!A1:B673,2,FALSE)</f>
        <v>UTA</v>
      </c>
      <c r="C429" s="52" cm="1">
        <f t="array" ref="C429">((E429)*Settings!$C$12)+(F429*Settings!$C$2)+(G429*Settings!$C$3)+(H429*Settings!$C$4)+(I429*Settings!$C$5)+(K429*Settings!$C$9)+(N429*Settings!$C$6)+(J429*Settings!$C$8)+(O429*Settings!$C$7)+(P429*Settings!$C$14)+(Q429*Settings!$C$15)+(R429*Settings!$C$16)+(S429*Settings!$C$17)+(T429*Settings!$C$18)+(U429*Settings!$C$19)+(L429*Settings!$C$10)+(Settings!$C$11*M429)</f>
        <v>-4.1856389345107781</v>
      </c>
      <c r="D429" s="57" cm="1">
        <f t="array" ref="D429">IF(Settings!$E$12="YES",VLOOKUP(A429,'Player Data'!A1:E673,5,FALSE),82)</f>
        <v>62.034999999999997</v>
      </c>
      <c r="E429" s="55" cm="1">
        <f t="array" ref="E429">(VLOOKUP($A429,'The List'!$B1:$AH671,17,FALSE)-AVERAGE('The List'!R2:R671))/STDEV('The List'!R2:R671)</f>
        <v>-1.1243874484278551</v>
      </c>
      <c r="F429" s="55" cm="1">
        <f t="array" ref="F429">(VLOOKUP($A429,'The List'!$B1:$AH671,18,FALSE)-AVERAGE('The List'!S2:S671))/STDEV('The List'!S2:S671)</f>
        <v>-0.57240654940239322</v>
      </c>
      <c r="G429" s="55" cm="1">
        <f t="array" ref="G429">(VLOOKUP($A429,'The List'!$B1:$AH671,19,FALSE)-AVERAGE('The List'!T2:T671))/STDEV('The List'!T2:T671)</f>
        <v>-1.0165943432821407</v>
      </c>
      <c r="H429" s="55" cm="1">
        <f t="array" ref="H429">(VLOOKUP($A429,'The List'!$B1:$AH671,20,FALSE)-AVERAGE('The List'!U2:U671))/STDEV('The List'!U2:U671)</f>
        <v>-0.89339681029275841</v>
      </c>
      <c r="I429" s="55" cm="1">
        <f t="array" ref="I429">(VLOOKUP($A429,'The List'!$B1:$AH671,21,FALSE)-AVERAGE('The List'!V2:V671))/STDEV('The List'!V2:V671)</f>
        <v>-0.70623024076468111</v>
      </c>
      <c r="J429" s="55" cm="1">
        <f t="array" ref="J429">(VLOOKUP($A429,'The List'!$B1:$AH671,22,FALSE)-AVERAGE('The List'!W2:W671))/STDEV('The List'!W2:W671)</f>
        <v>-0.37574382653294119</v>
      </c>
      <c r="K429" s="55" cm="1">
        <f t="array" ref="K429">(VLOOKUP($A429,'The List'!$B1:$AH671,23,FALSE)-AVERAGE('The List'!X2:X671))/STDEV('The List'!X2:X671)</f>
        <v>-0.43965797452970379</v>
      </c>
      <c r="L429" s="55" cm="1">
        <f t="array" ref="L429">(VLOOKUP($A429,'The List'!$B1:$AH671,24,FALSE)-AVERAGE('The List'!Y2:Y671))/STDEV('The List'!Y2:Y671)</f>
        <v>-0.1128945942514637</v>
      </c>
      <c r="M429" s="55" cm="1">
        <f t="array" ref="M429">(VLOOKUP($A429,'The List'!$B1:$AH671,25,FALSE)-AVERAGE('The List'!Z2:Z671))/STDEV('The List'!Z2:Z671)</f>
        <v>-0.26026390506382052</v>
      </c>
      <c r="N429" s="55" cm="1">
        <f t="array" ref="N429">(VLOOKUP($A429,'The List'!$B1:$AH671,26,FALSE)-AVERAGE('The List'!AA2:AA671))/STDEV('The List'!AA2:AA671)</f>
        <v>-0.69796614107462385</v>
      </c>
      <c r="O429" s="55" cm="1">
        <f t="array" ref="O429">(VLOOKUP($A429,'The List'!$B1:$AH671,27,FALSE)-AVERAGE('The List'!AB2:AB671))/STDEV('The List'!AB2:AB671)</f>
        <v>-0.4995708250233199</v>
      </c>
      <c r="P429" s="55" cm="1">
        <f t="array" ref="P429">(VLOOKUP($A429,'The List'!$B1:$AH671,28,FALSE)-AVERAGE('The List'!AC2:AC671))/STDEV('The List'!AC2:AC671)</f>
        <v>0.24797585659226301</v>
      </c>
      <c r="Q429" s="55" cm="1">
        <f t="array" ref="Q429">(VLOOKUP($A429,'The List'!$B1:$AH671,29,FALSE)-AVERAGE('The List'!AD2:AD671))/STDEV('The List'!AD2:AD671)</f>
        <v>-1.0007595420494981</v>
      </c>
      <c r="R429" s="55" cm="1">
        <f t="array" ref="R429">(VLOOKUP($A429,'The List'!$B1:$AH671,30,FALSE)-AVERAGE('The List'!AE2:AE671))/STDEV('The List'!AE2:AE671)</f>
        <v>-0.5262398579515557</v>
      </c>
      <c r="S429" s="55" cm="1">
        <f t="array" ref="S429">(VLOOKUP($A429,'The List'!$B1:$AH671,31,FALSE)-AVERAGE('The List'!AF2:AF671))/STDEV('The List'!AF2:AF671)</f>
        <v>-0.5222748804940075</v>
      </c>
      <c r="T429" s="55" cm="1">
        <f t="array" ref="T429">(VLOOKUP($A429,'The List'!$B1:$AH671,32,FALSE)-AVERAGE('The List'!AG2:AG671))/STDEV('The List'!AG2:AG671)</f>
        <v>-0.4933207826738869</v>
      </c>
      <c r="U429" s="55" cm="1">
        <f t="array" ref="U429">(VLOOKUP($A429,'The List'!$B1:$AH671,33,FALSE)-AVERAGE('The List'!AH2:AH671))/STDEV('The List'!AH2:AH671)</f>
        <v>0.27740870605004825</v>
      </c>
      <c r="V429" s="55"/>
      <c r="W429" s="78"/>
      <c r="X429" s="57"/>
      <c r="Y429" s="57"/>
      <c r="Z429" s="57"/>
      <c r="AA429" s="57"/>
      <c r="AB429" s="57"/>
      <c r="AC429" s="60"/>
      <c r="AD429" s="61"/>
      <c r="AE429" s="55"/>
    </row>
    <row r="430" spans="1:31" ht="21.25" customHeight="1" x14ac:dyDescent="0.15">
      <c r="A430" s="10" t="s">
        <v>752</v>
      </c>
      <c r="B430" s="18" t="str" cm="1">
        <f t="array" ref="B430">VLOOKUP(A430,'Player Data'!A1:B673,2,FALSE)</f>
        <v>TOR</v>
      </c>
      <c r="C430" s="52" cm="1">
        <f t="array" ref="C430">((E430)*Settings!$C$12)+(F430*Settings!$C$2)+(G430*Settings!$C$3)+(H430*Settings!$C$4)+(I430*Settings!$C$5)+(K430*Settings!$C$9)+(N430*Settings!$C$6)+(J430*Settings!$C$8)+(O430*Settings!$C$7)+(P430*Settings!$C$14)+(Q430*Settings!$C$15)+(R430*Settings!$C$16)+(S430*Settings!$C$17)+(T430*Settings!$C$18)+(U430*Settings!$C$19)+(L430*Settings!$C$10)+(Settings!$C$11*M430)</f>
        <v>-3.3088232891530733</v>
      </c>
      <c r="D430" s="57" cm="1">
        <f t="array" ref="D430">IF(Settings!$E$12="YES",VLOOKUP(A430,'Player Data'!A1:E673,5,FALSE),82)</f>
        <v>73.900000000000006</v>
      </c>
      <c r="E430" s="55" cm="1">
        <f t="array" ref="E430">(VLOOKUP($A430,'The List'!$B1:$AH671,17,FALSE)-AVERAGE('The List'!R2:R671))/STDEV('The List'!R2:R671)</f>
        <v>-1.3583067715743364</v>
      </c>
      <c r="F430" s="55" cm="1">
        <f t="array" ref="F430">(VLOOKUP($A430,'The List'!$B1:$AH671,18,FALSE)-AVERAGE('The List'!S2:S671))/STDEV('The List'!S2:S671)</f>
        <v>-0.31601418869264297</v>
      </c>
      <c r="G430" s="55" cm="1">
        <f t="array" ref="G430">(VLOOKUP($A430,'The List'!$B1:$AH671,19,FALSE)-AVERAGE('The List'!T2:T671))/STDEV('The List'!T2:T671)</f>
        <v>-0.96718289185898643</v>
      </c>
      <c r="H430" s="55" cm="1">
        <f t="array" ref="H430">(VLOOKUP($A430,'The List'!$B1:$AH671,20,FALSE)-AVERAGE('The List'!U2:U671))/STDEV('The List'!U2:U671)</f>
        <v>-0.74856155509231947</v>
      </c>
      <c r="I430" s="55" cm="1">
        <f t="array" ref="I430">(VLOOKUP($A430,'The List'!$B1:$AH671,21,FALSE)-AVERAGE('The List'!V2:V671))/STDEV('The List'!V2:V671)</f>
        <v>-1.0290538695053022</v>
      </c>
      <c r="J430" s="55" cm="1">
        <f t="array" ref="J430">(VLOOKUP($A430,'The List'!$B1:$AH671,22,FALSE)-AVERAGE('The List'!W2:W671))/STDEV('The List'!W2:W671)</f>
        <v>-0.73657279201059445</v>
      </c>
      <c r="K430" s="55" cm="1">
        <f t="array" ref="K430">(VLOOKUP($A430,'The List'!$B1:$AH671,23,FALSE)-AVERAGE('The List'!X2:X671))/STDEV('The List'!X2:X671)</f>
        <v>-0.80262194687392019</v>
      </c>
      <c r="L430" s="55" cm="1">
        <f t="array" ref="L430">(VLOOKUP($A430,'The List'!$B1:$AH671,24,FALSE)-AVERAGE('The List'!Y2:Y671))/STDEV('The List'!Y2:Y671)</f>
        <v>5.5309153003843821E-2</v>
      </c>
      <c r="M430" s="55" cm="1">
        <f t="array" ref="M430">(VLOOKUP($A430,'The List'!$B1:$AH671,25,FALSE)-AVERAGE('The List'!Z2:Z671))/STDEV('The List'!Z2:Z671)</f>
        <v>-0.26773922668345607</v>
      </c>
      <c r="N430" s="55" cm="1">
        <f t="array" ref="N430">(VLOOKUP($A430,'The List'!$B1:$AH671,26,FALSE)-AVERAGE('The List'!AA2:AA671))/STDEV('The List'!AA2:AA671)</f>
        <v>-0.62386640651972347</v>
      </c>
      <c r="O430" s="55" cm="1">
        <f t="array" ref="O430">(VLOOKUP($A430,'The List'!$B1:$AH671,27,FALSE)-AVERAGE('The List'!AB2:AB671))/STDEV('The List'!AB2:AB671)</f>
        <v>2.7440706421168048</v>
      </c>
      <c r="P430" s="55" cm="1">
        <f t="array" ref="P430">(VLOOKUP($A430,'The List'!$B1:$AH671,28,FALSE)-AVERAGE('The List'!AC2:AC671))/STDEV('The List'!AC2:AC671)</f>
        <v>5.9298120272566555E-2</v>
      </c>
      <c r="Q430" s="55" cm="1">
        <f t="array" ref="Q430">(VLOOKUP($A430,'The List'!$B1:$AH671,29,FALSE)-AVERAGE('The List'!AD2:AD671))/STDEV('The List'!AD2:AD671)</f>
        <v>0.3706178940249345</v>
      </c>
      <c r="R430" s="55" cm="1">
        <f t="array" ref="R430">(VLOOKUP($A430,'The List'!$B1:$AH671,30,FALSE)-AVERAGE('The List'!AE2:AE671))/STDEV('The List'!AE2:AE671)</f>
        <v>-0.43264992080759379</v>
      </c>
      <c r="S430" s="55" cm="1">
        <f t="array" ref="S430">(VLOOKUP($A430,'The List'!$B1:$AH671,31,FALSE)-AVERAGE('The List'!AF2:AF671))/STDEV('The List'!AF2:AF671)</f>
        <v>-0.51312933631222046</v>
      </c>
      <c r="T430" s="55" cm="1">
        <f t="array" ref="T430">(VLOOKUP($A430,'The List'!$B1:$AH671,32,FALSE)-AVERAGE('The List'!AG2:AG671))/STDEV('The List'!AG2:AG671)</f>
        <v>-0.52300474868725555</v>
      </c>
      <c r="U430" s="55" cm="1">
        <f t="array" ref="U430">(VLOOKUP($A430,'The List'!$B1:$AH671,33,FALSE)-AVERAGE('The List'!AH2:AH671))/STDEV('The List'!AH2:AH671)</f>
        <v>0.63766665016293689</v>
      </c>
      <c r="V430" s="55"/>
      <c r="W430" s="57"/>
      <c r="X430" s="55"/>
      <c r="Y430" s="55"/>
      <c r="Z430" s="55"/>
      <c r="AA430" s="55"/>
      <c r="AB430" s="55"/>
      <c r="AC430" s="55"/>
      <c r="AD430" s="55"/>
      <c r="AE430" s="55"/>
    </row>
    <row r="431" spans="1:31" ht="21.25" customHeight="1" x14ac:dyDescent="0.15">
      <c r="A431" s="10" t="s">
        <v>358</v>
      </c>
      <c r="B431" s="18" t="str" cm="1">
        <f t="array" ref="B431">VLOOKUP(A431,'Player Data'!A1:B673,2,FALSE)</f>
        <v>COL</v>
      </c>
      <c r="C431" s="52" cm="1">
        <f t="array" ref="C431">((E431)*Settings!$C$12)+(F431*Settings!$C$2)+(G431*Settings!$C$3)+(H431*Settings!$C$4)+(I431*Settings!$C$5)+(K431*Settings!$C$9)+(N431*Settings!$C$6)+(J431*Settings!$C$8)+(O431*Settings!$C$7)+(P431*Settings!$C$14)+(Q431*Settings!$C$15)+(R431*Settings!$C$16)+(S431*Settings!$C$17)+(T431*Settings!$C$18)+(U431*Settings!$C$19)+(L431*Settings!$C$10)+(Settings!$C$11*M431)</f>
        <v>0.80025197559024053</v>
      </c>
      <c r="D431" s="57" cm="1">
        <f t="array" ref="D431">IF(Settings!$E$12="YES",VLOOKUP(A431,'Player Data'!A1:E673,5,FALSE),82)</f>
        <v>84.03</v>
      </c>
      <c r="E431" s="55" cm="1">
        <f t="array" ref="E431">(VLOOKUP($A431,'The List'!$B1:$AH671,17,FALSE)-AVERAGE('The List'!R2:R671))/STDEV('The List'!R2:R671)</f>
        <v>0.41705557137633936</v>
      </c>
      <c r="F431" s="55" cm="1">
        <f t="array" ref="F431">(VLOOKUP($A431,'The List'!$B1:$AH671,18,FALSE)-AVERAGE('The List'!S2:S671))/STDEV('The List'!S2:S671)</f>
        <v>-0.84532466027843389</v>
      </c>
      <c r="G431" s="55" cm="1">
        <f t="array" ref="G431">(VLOOKUP($A431,'The List'!$B1:$AH671,19,FALSE)-AVERAGE('The List'!T2:T671))/STDEV('The List'!T2:T671)</f>
        <v>-0.40210381534968642</v>
      </c>
      <c r="H431" s="55" cm="1">
        <f t="array" ref="H431">(VLOOKUP($A431,'The List'!$B1:$AH671,20,FALSE)-AVERAGE('The List'!U2:U671))/STDEV('The List'!U2:U671)</f>
        <v>-0.62797334059144394</v>
      </c>
      <c r="I431" s="55" cm="1">
        <f t="array" ref="I431">(VLOOKUP($A431,'The List'!$B1:$AH671,21,FALSE)-AVERAGE('The List'!V2:V671))/STDEV('The List'!V2:V671)</f>
        <v>0.35397804174062042</v>
      </c>
      <c r="J431" s="55" cm="1">
        <f t="array" ref="J431">(VLOOKUP($A431,'The List'!$B1:$AH671,22,FALSE)-AVERAGE('The List'!W2:W671))/STDEV('The List'!W2:W671)</f>
        <v>-0.69185956560310147</v>
      </c>
      <c r="K431" s="55" cm="1">
        <f t="array" ref="K431">(VLOOKUP($A431,'The List'!$B1:$AH671,23,FALSE)-AVERAGE('The List'!X2:X671))/STDEV('The List'!X2:X671)</f>
        <v>-0.65076637807389048</v>
      </c>
      <c r="L431" s="55" cm="1">
        <f t="array" ref="L431">(VLOOKUP($A431,'The List'!$B1:$AH671,24,FALSE)-AVERAGE('The List'!Y2:Y671))/STDEV('The List'!Y2:Y671)</f>
        <v>-0.54754127483478798</v>
      </c>
      <c r="M431" s="55" cm="1">
        <f t="array" ref="M431">(VLOOKUP($A431,'The List'!$B1:$AH671,25,FALSE)-AVERAGE('The List'!Z2:Z671))/STDEV('The List'!Z2:Z671)</f>
        <v>-0.61637970074635917</v>
      </c>
      <c r="N431" s="55" cm="1">
        <f t="array" ref="N431">(VLOOKUP($A431,'The List'!$B1:$AH671,26,FALSE)-AVERAGE('The List'!AA2:AA671))/STDEV('The List'!AA2:AA671)</f>
        <v>0.84284851472868449</v>
      </c>
      <c r="O431" s="55" cm="1">
        <f t="array" ref="O431">(VLOOKUP($A431,'The List'!$B1:$AH671,27,FALSE)-AVERAGE('The List'!AB2:AB671))/STDEV('The List'!AB2:AB671)</f>
        <v>-1.0081535985095926</v>
      </c>
      <c r="P431" s="55" cm="1">
        <f t="array" ref="P431">(VLOOKUP($A431,'The List'!$B1:$AH671,28,FALSE)-AVERAGE('The List'!AC2:AC671))/STDEV('The List'!AC2:AC671)</f>
        <v>1.8180845046793401</v>
      </c>
      <c r="Q431" s="55" cm="1">
        <f t="array" ref="Q431">(VLOOKUP($A431,'The List'!$B1:$AH671,29,FALSE)-AVERAGE('The List'!AD2:AD671))/STDEV('The List'!AD2:AD671)</f>
        <v>-0.31646423185639383</v>
      </c>
      <c r="R431" s="55" cm="1">
        <f t="array" ref="R431">(VLOOKUP($A431,'The List'!$B1:$AH671,30,FALSE)-AVERAGE('The List'!AE2:AE671))/STDEV('The List'!AE2:AE671)</f>
        <v>-0.74000312455035266</v>
      </c>
      <c r="S431" s="55" cm="1">
        <f t="array" ref="S431">(VLOOKUP($A431,'The List'!$B1:$AH671,31,FALSE)-AVERAGE('The List'!AF2:AF671))/STDEV('The List'!AF2:AF671)</f>
        <v>-0.59396909713490875</v>
      </c>
      <c r="T431" s="55" cm="1">
        <f t="array" ref="T431">(VLOOKUP($A431,'The List'!$B1:$AH671,32,FALSE)-AVERAGE('The List'!AG2:AG671))/STDEV('The List'!AG2:AG671)</f>
        <v>-0.64602194883533692</v>
      </c>
      <c r="U431" s="55" cm="1">
        <f t="array" ref="U431">(VLOOKUP($A431,'The List'!$B1:$AH671,33,FALSE)-AVERAGE('The List'!AH2:AH671))/STDEV('The List'!AH2:AH671)</f>
        <v>-1.2548936860055773</v>
      </c>
      <c r="V431" s="55"/>
      <c r="W431" s="78"/>
      <c r="X431" s="57"/>
      <c r="Y431" s="57"/>
      <c r="Z431" s="57"/>
      <c r="AA431" s="57"/>
      <c r="AB431" s="57"/>
      <c r="AC431" s="60"/>
      <c r="AD431" s="61"/>
      <c r="AE431" s="55"/>
    </row>
    <row r="432" spans="1:31" ht="21.25" customHeight="1" x14ac:dyDescent="0.15">
      <c r="A432" s="10" t="s">
        <v>370</v>
      </c>
      <c r="B432" s="18" t="str" cm="1">
        <f t="array" ref="B432">VLOOKUP(A432,'Player Data'!A1:B673,2,FALSE)</f>
        <v>CHI</v>
      </c>
      <c r="C432" s="52" cm="1">
        <f t="array" ref="C432">((E432)*Settings!$C$12)+(F432*Settings!$C$2)+(G432*Settings!$C$3)+(H432*Settings!$C$4)+(I432*Settings!$C$5)+(K432*Settings!$C$9)+(N432*Settings!$C$6)+(J432*Settings!$C$8)+(O432*Settings!$C$7)+(P432*Settings!$C$14)+(Q432*Settings!$C$15)+(R432*Settings!$C$16)+(S432*Settings!$C$17)+(T432*Settings!$C$18)+(U432*Settings!$C$19)+(L432*Settings!$C$10)+(Settings!$C$11*M432)</f>
        <v>-3.8711760178168415</v>
      </c>
      <c r="D432" s="57" cm="1">
        <f t="array" ref="D432">IF(Settings!$E$12="YES",VLOOKUP(A432,'Player Data'!A1:E673,5,FALSE),82)</f>
        <v>83.252499999999998</v>
      </c>
      <c r="E432" s="55" cm="1">
        <f t="array" ref="E432">(VLOOKUP($A432,'The List'!$B1:$AH671,17,FALSE)-AVERAGE('The List'!R2:R671))/STDEV('The List'!R2:R671)</f>
        <v>1.3391451083746762</v>
      </c>
      <c r="F432" s="55" cm="1">
        <f t="array" ref="F432">(VLOOKUP($A432,'The List'!$B1:$AH671,18,FALSE)-AVERAGE('The List'!S2:S671))/STDEV('The List'!S2:S671)</f>
        <v>-1.013550387503763</v>
      </c>
      <c r="G432" s="55" cm="1">
        <f t="array" ref="G432">(VLOOKUP($A432,'The List'!$B1:$AH671,19,FALSE)-AVERAGE('The List'!T2:T671))/STDEV('The List'!T2:T671)</f>
        <v>-0.30590853293113285</v>
      </c>
      <c r="H432" s="55" cm="1">
        <f t="array" ref="H432">(VLOOKUP($A432,'The List'!$B1:$AH671,20,FALSE)-AVERAGE('The List'!U2:U671))/STDEV('The List'!U2:U671)</f>
        <v>-0.64210511139694548</v>
      </c>
      <c r="I432" s="55" cm="1">
        <f t="array" ref="I432">(VLOOKUP($A432,'The List'!$B1:$AH671,21,FALSE)-AVERAGE('The List'!V2:V671))/STDEV('The List'!V2:V671)</f>
        <v>-0.54114391429563458</v>
      </c>
      <c r="J432" s="55" cm="1">
        <f t="array" ref="J432">(VLOOKUP($A432,'The List'!$B1:$AH671,22,FALSE)-AVERAGE('The List'!W2:W671))/STDEV('The List'!W2:W671)</f>
        <v>-0.74401487807254596</v>
      </c>
      <c r="K432" s="55" cm="1">
        <f t="array" ref="K432">(VLOOKUP($A432,'The List'!$B1:$AH671,23,FALSE)-AVERAGE('The List'!X2:X671))/STDEV('The List'!X2:X671)</f>
        <v>-0.7843359618210568</v>
      </c>
      <c r="L432" s="55" cm="1">
        <f t="array" ref="L432">(VLOOKUP($A432,'The List'!$B1:$AH671,24,FALSE)-AVERAGE('The List'!Y2:Y671))/STDEV('The List'!Y2:Y671)</f>
        <v>-0.51604106649245451</v>
      </c>
      <c r="M432" s="55" cm="1">
        <f t="array" ref="M432">(VLOOKUP($A432,'The List'!$B1:$AH671,25,FALSE)-AVERAGE('The List'!Z2:Z671))/STDEV('The List'!Z2:Z671)</f>
        <v>4.5979727555455097E-2</v>
      </c>
      <c r="N432" s="55" cm="1">
        <f t="array" ref="N432">(VLOOKUP($A432,'The List'!$B1:$AH671,26,FALSE)-AVERAGE('The List'!AA2:AA671))/STDEV('The List'!AA2:AA671)</f>
        <v>1.9033019372383679</v>
      </c>
      <c r="O432" s="55" cm="1">
        <f t="array" ref="O432">(VLOOKUP($A432,'The List'!$B1:$AH671,27,FALSE)-AVERAGE('The List'!AB2:AB671))/STDEV('The List'!AB2:AB671)</f>
        <v>-0.75611369309809673</v>
      </c>
      <c r="P432" s="55" cm="1">
        <f t="array" ref="P432">(VLOOKUP($A432,'The List'!$B1:$AH671,28,FALSE)-AVERAGE('The List'!AC2:AC671))/STDEV('The List'!AC2:AC671)</f>
        <v>-2.5592785314380921</v>
      </c>
      <c r="Q432" s="55" cm="1">
        <f t="array" ref="Q432">(VLOOKUP($A432,'The List'!$B1:$AH671,29,FALSE)-AVERAGE('The List'!AD2:AD671))/STDEV('The List'!AD2:AD671)</f>
        <v>-0.5702606270655306</v>
      </c>
      <c r="R432" s="55" cm="1">
        <f t="array" ref="R432">(VLOOKUP($A432,'The List'!$B1:$AH671,30,FALSE)-AVERAGE('The List'!AE2:AE671))/STDEV('The List'!AE2:AE671)</f>
        <v>-1.0572908763656037</v>
      </c>
      <c r="S432" s="55" cm="1">
        <f t="array" ref="S432">(VLOOKUP($A432,'The List'!$B1:$AH671,31,FALSE)-AVERAGE('The List'!AF2:AF671))/STDEV('The List'!AF2:AF671)</f>
        <v>-0.5939690971349143</v>
      </c>
      <c r="T432" s="55" cm="1">
        <f t="array" ref="T432">(VLOOKUP($A432,'The List'!$B1:$AH671,32,FALSE)-AVERAGE('The List'!AG2:AG671))/STDEV('The List'!AG2:AG671)</f>
        <v>-0.64602208138248207</v>
      </c>
      <c r="U432" s="55" cm="1">
        <f t="array" ref="U432">(VLOOKUP($A432,'The List'!$B1:$AH671,33,FALSE)-AVERAGE('The List'!AH2:AH671))/STDEV('The List'!AH2:AH671)</f>
        <v>-1.2548938914719048</v>
      </c>
      <c r="V432" s="55"/>
      <c r="W432" s="57"/>
      <c r="X432" s="55"/>
      <c r="Y432" s="55"/>
      <c r="Z432" s="55"/>
      <c r="AA432" s="55"/>
      <c r="AB432" s="55"/>
      <c r="AC432" s="55"/>
      <c r="AD432" s="55"/>
      <c r="AE432" s="55"/>
    </row>
    <row r="433" spans="1:31" ht="21.25" customHeight="1" x14ac:dyDescent="0.15">
      <c r="A433" s="10" t="s">
        <v>722</v>
      </c>
      <c r="B433" s="18" t="str" cm="1">
        <f t="array" ref="B433">VLOOKUP(A433,'Player Data'!A1:B673,2,FALSE)</f>
        <v>S.J</v>
      </c>
      <c r="C433" s="52" cm="1">
        <f t="array" ref="C433">((E433)*Settings!$C$12)+(F433*Settings!$C$2)+(G433*Settings!$C$3)+(H433*Settings!$C$4)+(I433*Settings!$C$5)+(K433*Settings!$C$9)+(N433*Settings!$C$6)+(J433*Settings!$C$8)+(O433*Settings!$C$7)+(P433*Settings!$C$14)+(Q433*Settings!$C$15)+(R433*Settings!$C$16)+(S433*Settings!$C$17)+(T433*Settings!$C$18)+(U433*Settings!$C$19)+(L433*Settings!$C$10)+(Settings!$C$11*M433)</f>
        <v>-4.9675128032231193</v>
      </c>
      <c r="D433" s="57" cm="1">
        <f t="array" ref="D433">IF(Settings!$E$12="YES",VLOOKUP(A433,'Player Data'!A1:E673,5,FALSE),82)</f>
        <v>73.052499999999995</v>
      </c>
      <c r="E433" s="55" cm="1">
        <f t="array" ref="E433">(VLOOKUP($A433,'The List'!$B1:$AH671,17,FALSE)-AVERAGE('The List'!R2:R671))/STDEV('The List'!R2:R671)</f>
        <v>-1.6463399879918474</v>
      </c>
      <c r="F433" s="55" cm="1">
        <f t="array" ref="F433">(VLOOKUP($A433,'The List'!$B1:$AH671,18,FALSE)-AVERAGE('The List'!S2:S671))/STDEV('The List'!S2:S671)</f>
        <v>-4.1404964319897375E-2</v>
      </c>
      <c r="G433" s="55" cm="1">
        <f t="array" ref="G433">(VLOOKUP($A433,'The List'!$B1:$AH671,19,FALSE)-AVERAGE('The List'!T2:T671))/STDEV('The List'!T2:T671)</f>
        <v>-1.1905196656384982</v>
      </c>
      <c r="H433" s="55" cm="1">
        <f t="array" ref="H433">(VLOOKUP($A433,'The List'!$B1:$AH671,20,FALSE)-AVERAGE('The List'!U2:U671))/STDEV('The List'!U2:U671)</f>
        <v>-0.7672010677754868</v>
      </c>
      <c r="I433" s="55" cm="1">
        <f t="array" ref="I433">(VLOOKUP($A433,'The List'!$B1:$AH671,21,FALSE)-AVERAGE('The List'!V2:V671))/STDEV('The List'!V2:V671)</f>
        <v>-0.67373358898609692</v>
      </c>
      <c r="J433" s="55" cm="1">
        <f t="array" ref="J433">(VLOOKUP($A433,'The List'!$B1:$AH671,22,FALSE)-AVERAGE('The List'!W2:W671))/STDEV('The List'!W2:W671)</f>
        <v>-0.72333488528154255</v>
      </c>
      <c r="K433" s="55" cm="1">
        <f t="array" ref="K433">(VLOOKUP($A433,'The List'!$B1:$AH671,23,FALSE)-AVERAGE('The List'!X2:X671))/STDEV('The List'!X2:X671)</f>
        <v>-0.79530820378294231</v>
      </c>
      <c r="L433" s="55" cm="1">
        <f t="array" ref="L433">(VLOOKUP($A433,'The List'!$B1:$AH671,24,FALSE)-AVERAGE('The List'!Y2:Y671))/STDEV('The List'!Y2:Y671)</f>
        <v>-0.55737291942478584</v>
      </c>
      <c r="M433" s="55" cm="1">
        <f t="array" ref="M433">(VLOOKUP($A433,'The List'!$B1:$AH671,25,FALSE)-AVERAGE('The List'!Z2:Z671))/STDEV('The List'!Z2:Z671)</f>
        <v>-0.69948364203883673</v>
      </c>
      <c r="N433" s="55" cm="1">
        <f t="array" ref="N433">(VLOOKUP($A433,'The List'!$B1:$AH671,26,FALSE)-AVERAGE('The List'!AA2:AA671))/STDEV('The List'!AA2:AA671)</f>
        <v>-0.76307504450209951</v>
      </c>
      <c r="O433" s="55" cm="1">
        <f t="array" ref="O433">(VLOOKUP($A433,'The List'!$B1:$AH671,27,FALSE)-AVERAGE('The List'!AB2:AB671))/STDEV('The List'!AB2:AB671)</f>
        <v>-0.31144131624373339</v>
      </c>
      <c r="P433" s="55" cm="1">
        <f t="array" ref="P433">(VLOOKUP($A433,'The List'!$B1:$AH671,28,FALSE)-AVERAGE('The List'!AC2:AC671))/STDEV('The List'!AC2:AC671)</f>
        <v>-0.45322370143876201</v>
      </c>
      <c r="Q433" s="55" cm="1">
        <f t="array" ref="Q433">(VLOOKUP($A433,'The List'!$B1:$AH671,29,FALSE)-AVERAGE('The List'!AD2:AD671))/STDEV('The List'!AD2:AD671)</f>
        <v>-1.0502476345548228</v>
      </c>
      <c r="R433" s="55" cm="1">
        <f t="array" ref="R433">(VLOOKUP($A433,'The List'!$B1:$AH671,30,FALSE)-AVERAGE('The List'!AE2:AE671))/STDEV('The List'!AE2:AE671)</f>
        <v>-0.17114009200155422</v>
      </c>
      <c r="S433" s="55" cm="1">
        <f t="array" ref="S433">(VLOOKUP($A433,'The List'!$B1:$AH671,31,FALSE)-AVERAGE('The List'!AF2:AF671))/STDEV('The List'!AF2:AF671)</f>
        <v>-0.59285295821514317</v>
      </c>
      <c r="T433" s="55" cm="1">
        <f t="array" ref="T433">(VLOOKUP($A433,'The List'!$B1:$AH671,32,FALSE)-AVERAGE('The List'!AG2:AG671))/STDEV('The List'!AG2:AG671)</f>
        <v>-0.64477137310328103</v>
      </c>
      <c r="U433" s="55" cm="1">
        <f t="array" ref="U433">(VLOOKUP($A433,'The List'!$B1:$AH671,33,FALSE)-AVERAGE('The List'!AH2:AH671))/STDEV('The List'!AH2:AH671)</f>
        <v>0.98506753269669423</v>
      </c>
      <c r="V433" s="55"/>
      <c r="W433" s="57"/>
      <c r="X433" s="55"/>
      <c r="Y433" s="55"/>
      <c r="Z433" s="55"/>
      <c r="AA433" s="55"/>
      <c r="AB433" s="55"/>
      <c r="AC433" s="55"/>
      <c r="AD433" s="55"/>
      <c r="AE433" s="55"/>
    </row>
    <row r="434" spans="1:31" ht="21.25" customHeight="1" x14ac:dyDescent="0.15">
      <c r="A434" s="10" t="s">
        <v>747</v>
      </c>
      <c r="B434" s="18" t="str" cm="1">
        <f t="array" ref="B434">VLOOKUP(A434,'Player Data'!A1:B673,2,FALSE)</f>
        <v>L.A</v>
      </c>
      <c r="C434" s="52" cm="1">
        <f t="array" ref="C434">((E434)*Settings!$C$12)+(F434*Settings!$C$2)+(G434*Settings!$C$3)+(H434*Settings!$C$4)+(I434*Settings!$C$5)+(K434*Settings!$C$9)+(N434*Settings!$C$6)+(J434*Settings!$C$8)+(O434*Settings!$C$7)+(P434*Settings!$C$14)+(Q434*Settings!$C$15)+(R434*Settings!$C$16)+(S434*Settings!$C$17)+(T434*Settings!$C$18)+(U434*Settings!$C$19)+(L434*Settings!$C$10)+(Settings!$C$11*M434)</f>
        <v>-4.7150831152317316</v>
      </c>
      <c r="D434" s="57" cm="1">
        <f t="array" ref="D434">IF(Settings!$E$12="YES",VLOOKUP(A434,'Player Data'!A1:E673,5,FALSE),82)</f>
        <v>72.355000000000004</v>
      </c>
      <c r="E434" s="55" cm="1">
        <f t="array" ref="E434">(VLOOKUP($A434,'The List'!$B1:$AH671,17,FALSE)-AVERAGE('The List'!R2:R671))/STDEV('The List'!R2:R671)</f>
        <v>-1.58794917136476</v>
      </c>
      <c r="F434" s="55" cm="1">
        <f t="array" ref="F434">(VLOOKUP($A434,'The List'!$B1:$AH671,18,FALSE)-AVERAGE('The List'!S2:S671))/STDEV('The List'!S2:S671)</f>
        <v>-0.75203723077927531</v>
      </c>
      <c r="G434" s="55" cm="1">
        <f t="array" ref="G434">(VLOOKUP($A434,'The List'!$B1:$AH671,19,FALSE)-AVERAGE('The List'!T2:T671))/STDEV('The List'!T2:T671)</f>
        <v>-0.70542889434417821</v>
      </c>
      <c r="H434" s="55" cm="1">
        <f t="array" ref="H434">(VLOOKUP($A434,'The List'!$B1:$AH671,20,FALSE)-AVERAGE('The List'!U2:U671))/STDEV('The List'!U2:U671)</f>
        <v>-0.77737361108962499</v>
      </c>
      <c r="I434" s="55" cm="1">
        <f t="array" ref="I434">(VLOOKUP($A434,'The List'!$B1:$AH671,21,FALSE)-AVERAGE('The List'!V2:V671))/STDEV('The List'!V2:V671)</f>
        <v>-0.87380809501641055</v>
      </c>
      <c r="J434" s="55" cm="1">
        <f t="array" ref="J434">(VLOOKUP($A434,'The List'!$B1:$AH671,22,FALSE)-AVERAGE('The List'!W2:W671))/STDEV('The List'!W2:W671)</f>
        <v>-0.69241234993779155</v>
      </c>
      <c r="K434" s="55" cm="1">
        <f t="array" ref="K434">(VLOOKUP($A434,'The List'!$B1:$AH671,23,FALSE)-AVERAGE('The List'!X2:X671))/STDEV('The List'!X2:X671)</f>
        <v>-0.77551839902591846</v>
      </c>
      <c r="L434" s="55" cm="1">
        <f t="array" ref="L434">(VLOOKUP($A434,'The List'!$B1:$AH671,24,FALSE)-AVERAGE('The List'!Y2:Y671))/STDEV('The List'!Y2:Y671)</f>
        <v>-0.55605509784405349</v>
      </c>
      <c r="M434" s="55" cm="1">
        <f t="array" ref="M434">(VLOOKUP($A434,'The List'!$B1:$AH671,25,FALSE)-AVERAGE('The List'!Z2:Z671))/STDEV('The List'!Z2:Z671)</f>
        <v>-0.69812299188889693</v>
      </c>
      <c r="N434" s="55" cm="1">
        <f t="array" ref="N434">(VLOOKUP($A434,'The List'!$B1:$AH671,26,FALSE)-AVERAGE('The List'!AA2:AA671))/STDEV('The List'!AA2:AA671)</f>
        <v>-0.70452386492536478</v>
      </c>
      <c r="O434" s="55" cm="1">
        <f t="array" ref="O434">(VLOOKUP($A434,'The List'!$B1:$AH671,27,FALSE)-AVERAGE('The List'!AB2:AB671))/STDEV('The List'!AB2:AB671)</f>
        <v>-0.43359540378481687</v>
      </c>
      <c r="P434" s="55" cm="1">
        <f t="array" ref="P434">(VLOOKUP($A434,'The List'!$B1:$AH671,28,FALSE)-AVERAGE('The List'!AC2:AC671))/STDEV('The List'!AC2:AC671)</f>
        <v>-0.1024747871760987</v>
      </c>
      <c r="Q434" s="55" cm="1">
        <f t="array" ref="Q434">(VLOOKUP($A434,'The List'!$B1:$AH671,29,FALSE)-AVERAGE('The List'!AD2:AD671))/STDEV('The List'!AD2:AD671)</f>
        <v>-0.80129184396448605</v>
      </c>
      <c r="R434" s="55" cm="1">
        <f t="array" ref="R434">(VLOOKUP($A434,'The List'!$B1:$AH671,30,FALSE)-AVERAGE('The List'!AE2:AE671))/STDEV('The List'!AE2:AE671)</f>
        <v>-0.72193067940564937</v>
      </c>
      <c r="S434" s="55" cm="1">
        <f t="array" ref="S434">(VLOOKUP($A434,'The List'!$B1:$AH671,31,FALSE)-AVERAGE('The List'!AF2:AF671))/STDEV('The List'!AF2:AF671)</f>
        <v>0.47572253263138786</v>
      </c>
      <c r="T434" s="55" cm="1">
        <f t="array" ref="T434">(VLOOKUP($A434,'The List'!$B1:$AH671,32,FALSE)-AVERAGE('The List'!AG2:AG671))/STDEV('The List'!AG2:AG671)</f>
        <v>0.51403431591461024</v>
      </c>
      <c r="U434" s="55" cm="1">
        <f t="array" ref="U434">(VLOOKUP($A434,'The List'!$B1:$AH671,33,FALSE)-AVERAGE('The List'!AH2:AH671))/STDEV('The List'!AH2:AH671)</f>
        <v>1.0226771042309926</v>
      </c>
      <c r="V434" s="55"/>
      <c r="W434" s="78"/>
      <c r="X434" s="57"/>
      <c r="Y434" s="57"/>
      <c r="Z434" s="57"/>
      <c r="AA434" s="57"/>
      <c r="AB434" s="57"/>
      <c r="AC434" s="60"/>
      <c r="AD434" s="61"/>
      <c r="AE434" s="55"/>
    </row>
    <row r="435" spans="1:31" ht="21.25" customHeight="1" x14ac:dyDescent="0.15">
      <c r="A435" s="10" t="s">
        <v>460</v>
      </c>
      <c r="B435" s="18" t="str" cm="1">
        <f t="array" ref="B435">VLOOKUP(A435,'Player Data'!A1:B673,2,FALSE)</f>
        <v>BUF</v>
      </c>
      <c r="C435" s="52" cm="1">
        <f t="array" ref="C435">((E435)*Settings!$C$12)+(F435*Settings!$C$2)+(G435*Settings!$C$3)+(H435*Settings!$C$4)+(I435*Settings!$C$5)+(K435*Settings!$C$9)+(N435*Settings!$C$6)+(J435*Settings!$C$8)+(O435*Settings!$C$7)+(P435*Settings!$C$14)+(Q435*Settings!$C$15)+(R435*Settings!$C$16)+(S435*Settings!$C$17)+(T435*Settings!$C$18)+(U435*Settings!$C$19)+(L435*Settings!$C$10)+(Settings!$C$11*M435)</f>
        <v>-2.1162871544093278</v>
      </c>
      <c r="D435" s="57" cm="1">
        <f t="array" ref="D435">IF(Settings!$E$12="YES",VLOOKUP(A435,'Player Data'!A1:E673,5,FALSE),82)</f>
        <v>70.644999999999996</v>
      </c>
      <c r="E435" s="55" cm="1">
        <f t="array" ref="E435">(VLOOKUP($A435,'The List'!$B1:$AH671,17,FALSE)-AVERAGE('The List'!R2:R671))/STDEV('The List'!R2:R671)</f>
        <v>0.13339134955853571</v>
      </c>
      <c r="F435" s="55" cm="1">
        <f t="array" ref="F435">(VLOOKUP($A435,'The List'!$B1:$AH671,18,FALSE)-AVERAGE('The List'!S2:S671))/STDEV('The List'!S2:S671)</f>
        <v>-0.81997453281748922</v>
      </c>
      <c r="G435" s="55" cm="1">
        <f t="array" ref="G435">(VLOOKUP($A435,'The List'!$B1:$AH671,19,FALSE)-AVERAGE('The List'!T2:T671))/STDEV('The List'!T2:T671)</f>
        <v>-0.7005419112591702</v>
      </c>
      <c r="H435" s="55" cm="1">
        <f t="array" ref="H435">(VLOOKUP($A435,'The List'!$B1:$AH671,20,FALSE)-AVERAGE('The List'!U2:U671))/STDEV('The List'!U2:U671)</f>
        <v>-0.80444202757656769</v>
      </c>
      <c r="I435" s="55" cm="1">
        <f t="array" ref="I435">(VLOOKUP($A435,'The List'!$B1:$AH671,21,FALSE)-AVERAGE('The List'!V2:V671))/STDEV('The List'!V2:V671)</f>
        <v>-0.61722072295381658</v>
      </c>
      <c r="J435" s="55" cm="1">
        <f t="array" ref="J435">(VLOOKUP($A435,'The List'!$B1:$AH671,22,FALSE)-AVERAGE('The List'!W2:W671))/STDEV('The List'!W2:W671)</f>
        <v>-0.74775864191129759</v>
      </c>
      <c r="K435" s="55" cm="1">
        <f t="array" ref="K435">(VLOOKUP($A435,'The List'!$B1:$AH671,23,FALSE)-AVERAGE('The List'!X2:X671))/STDEV('The List'!X2:X671)</f>
        <v>-0.80470138314273354</v>
      </c>
      <c r="L435" s="55" cm="1">
        <f t="array" ref="L435">(VLOOKUP($A435,'The List'!$B1:$AH671,24,FALSE)-AVERAGE('The List'!Y2:Y671))/STDEV('The List'!Y2:Y671)</f>
        <v>0.67602834783459764</v>
      </c>
      <c r="M435" s="55" cm="1">
        <f t="array" ref="M435">(VLOOKUP($A435,'The List'!$B1:$AH671,25,FALSE)-AVERAGE('The List'!Z2:Z671))/STDEV('The List'!Z2:Z671)</f>
        <v>0.89248087804626375</v>
      </c>
      <c r="N435" s="55" cm="1">
        <f t="array" ref="N435">(VLOOKUP($A435,'The List'!$B1:$AH671,26,FALSE)-AVERAGE('The List'!AA2:AA671))/STDEV('The List'!AA2:AA671)</f>
        <v>0.74805868597423864</v>
      </c>
      <c r="O435" s="55" cm="1">
        <f t="array" ref="O435">(VLOOKUP($A435,'The List'!$B1:$AH671,27,FALSE)-AVERAGE('The List'!AB2:AB671))/STDEV('The List'!AB2:AB671)</f>
        <v>0.45464625205215398</v>
      </c>
      <c r="P435" s="55" cm="1">
        <f t="array" ref="P435">(VLOOKUP($A435,'The List'!$B1:$AH671,28,FALSE)-AVERAGE('The List'!AC2:AC671))/STDEV('The List'!AC2:AC671)</f>
        <v>-0.22057987731734216</v>
      </c>
      <c r="Q435" s="55" cm="1">
        <f t="array" ref="Q435">(VLOOKUP($A435,'The List'!$B1:$AH671,29,FALSE)-AVERAGE('The List'!AD2:AD671))/STDEV('The List'!AD2:AD671)</f>
        <v>0.29867258710698563</v>
      </c>
      <c r="R435" s="55" cm="1">
        <f t="array" ref="R435">(VLOOKUP($A435,'The List'!$B1:$AH671,30,FALSE)-AVERAGE('The List'!AE2:AE671))/STDEV('The List'!AE2:AE671)</f>
        <v>-0.81377478568146289</v>
      </c>
      <c r="S435" s="55" cm="1">
        <f t="array" ref="S435">(VLOOKUP($A435,'The List'!$B1:$AH671,31,FALSE)-AVERAGE('The List'!AF2:AF671))/STDEV('The List'!AF2:AF671)</f>
        <v>-0.5939690971349143</v>
      </c>
      <c r="T435" s="55" cm="1">
        <f t="array" ref="T435">(VLOOKUP($A435,'The List'!$B1:$AH671,32,FALSE)-AVERAGE('The List'!AG2:AG671))/STDEV('The List'!AG2:AG671)</f>
        <v>-0.64602208138248207</v>
      </c>
      <c r="U435" s="55" cm="1">
        <f t="array" ref="U435">(VLOOKUP($A435,'The List'!$B1:$AH671,33,FALSE)-AVERAGE('The List'!AH2:AH671))/STDEV('The List'!AH2:AH671)</f>
        <v>-1.2548938914719048</v>
      </c>
      <c r="V435" s="55"/>
      <c r="W435" s="78"/>
      <c r="X435" s="57"/>
      <c r="Y435" s="57"/>
      <c r="Z435" s="57"/>
      <c r="AA435" s="57"/>
      <c r="AB435" s="57"/>
      <c r="AC435" s="60"/>
      <c r="AD435" s="61"/>
      <c r="AE435" s="55"/>
    </row>
    <row r="436" spans="1:31" ht="21.25" customHeight="1" x14ac:dyDescent="0.15">
      <c r="A436" s="10" t="s">
        <v>742</v>
      </c>
      <c r="B436" s="18" t="str" cm="1">
        <f t="array" ref="B436">VLOOKUP(A436,'Player Data'!A1:B673,2,FALSE)</f>
        <v>PIT</v>
      </c>
      <c r="C436" s="52" cm="1">
        <f t="array" ref="C436">((E436)*Settings!$C$12)+(F436*Settings!$C$2)+(G436*Settings!$C$3)+(H436*Settings!$C$4)+(I436*Settings!$C$5)+(K436*Settings!$C$9)+(N436*Settings!$C$6)+(J436*Settings!$C$8)+(O436*Settings!$C$7)+(P436*Settings!$C$14)+(Q436*Settings!$C$15)+(R436*Settings!$C$16)+(S436*Settings!$C$17)+(T436*Settings!$C$18)+(U436*Settings!$C$19)+(L436*Settings!$C$10)+(Settings!$C$11*M436)</f>
        <v>-5.6387488524273319</v>
      </c>
      <c r="D436" s="57" cm="1">
        <f t="array" ref="D436">IF(Settings!$E$12="YES",VLOOKUP(A436,'Player Data'!A1:E673,5,FALSE),82)</f>
        <v>71.947500000000005</v>
      </c>
      <c r="E436" s="55" cm="1">
        <f t="array" ref="E436">(VLOOKUP($A436,'The List'!$B1:$AH671,17,FALSE)-AVERAGE('The List'!R2:R671))/STDEV('The List'!R2:R671)</f>
        <v>-1.7448413254459405</v>
      </c>
      <c r="F436" s="55" cm="1">
        <f t="array" ref="F436">(VLOOKUP($A436,'The List'!$B1:$AH671,18,FALSE)-AVERAGE('The List'!S2:S671))/STDEV('The List'!S2:S671)</f>
        <v>-0.84557937246302983</v>
      </c>
      <c r="G436" s="55" cm="1">
        <f t="array" ref="G436">(VLOOKUP($A436,'The List'!$B1:$AH671,19,FALSE)-AVERAGE('The List'!T2:T671))/STDEV('The List'!T2:T671)</f>
        <v>-0.65854921220383933</v>
      </c>
      <c r="H436" s="55" cm="1">
        <f t="array" ref="H436">(VLOOKUP($A436,'The List'!$B1:$AH671,20,FALSE)-AVERAGE('The List'!U2:U671))/STDEV('The List'!U2:U671)</f>
        <v>-0.78938915188007519</v>
      </c>
      <c r="I436" s="55" cm="1">
        <f t="array" ref="I436">(VLOOKUP($A436,'The List'!$B1:$AH671,21,FALSE)-AVERAGE('The List'!V2:V671))/STDEV('The List'!V2:V671)</f>
        <v>-1.1156125543206892</v>
      </c>
      <c r="J436" s="55" cm="1">
        <f t="array" ref="J436">(VLOOKUP($A436,'The List'!$B1:$AH671,22,FALSE)-AVERAGE('The List'!W2:W671))/STDEV('The List'!W2:W671)</f>
        <v>-0.74346303732725127</v>
      </c>
      <c r="K436" s="55" cm="1">
        <f t="array" ref="K436">(VLOOKUP($A436,'The List'!$B1:$AH671,23,FALSE)-AVERAGE('The List'!X2:X671))/STDEV('The List'!X2:X671)</f>
        <v>-0.80411935407210888</v>
      </c>
      <c r="L436" s="55" cm="1">
        <f t="array" ref="L436">(VLOOKUP($A436,'The List'!$B1:$AH671,24,FALSE)-AVERAGE('The List'!Y2:Y671))/STDEV('The List'!Y2:Y671)</f>
        <v>-0.56055067630951794</v>
      </c>
      <c r="M436" s="55" cm="1">
        <f t="array" ref="M436">(VLOOKUP($A436,'The List'!$B1:$AH671,25,FALSE)-AVERAGE('The List'!Z2:Z671))/STDEV('The List'!Z2:Z671)</f>
        <v>-0.70251340249423821</v>
      </c>
      <c r="N436" s="55" cm="1">
        <f t="array" ref="N436">(VLOOKUP($A436,'The List'!$B1:$AH671,26,FALSE)-AVERAGE('The List'!AA2:AA671))/STDEV('The List'!AA2:AA671)</f>
        <v>-0.89742095704627167</v>
      </c>
      <c r="O436" s="55" cm="1">
        <f t="array" ref="O436">(VLOOKUP($A436,'The List'!$B1:$AH671,27,FALSE)-AVERAGE('The List'!AB2:AB671))/STDEV('The List'!AB2:AB671)</f>
        <v>-0.46193904363309635</v>
      </c>
      <c r="P436" s="55" cm="1">
        <f t="array" ref="P436">(VLOOKUP($A436,'The List'!$B1:$AH671,28,FALSE)-AVERAGE('The List'!AC2:AC671))/STDEV('The List'!AC2:AC671)</f>
        <v>-0.19293016527706017</v>
      </c>
      <c r="Q436" s="55" cm="1">
        <f t="array" ref="Q436">(VLOOKUP($A436,'The List'!$B1:$AH671,29,FALSE)-AVERAGE('The List'!AD2:AD671))/STDEV('The List'!AD2:AD671)</f>
        <v>-1.1245372370443323</v>
      </c>
      <c r="R436" s="55" cm="1">
        <f t="array" ref="R436">(VLOOKUP($A436,'The List'!$B1:$AH671,30,FALSE)-AVERAGE('The List'!AE2:AE671))/STDEV('The List'!AE2:AE671)</f>
        <v>-0.85689273993511395</v>
      </c>
      <c r="S436" s="55" cm="1">
        <f t="array" ref="S436">(VLOOKUP($A436,'The List'!$B1:$AH671,31,FALSE)-AVERAGE('The List'!AF2:AF671))/STDEV('The List'!AF2:AF671)</f>
        <v>3.0814288282155673E-2</v>
      </c>
      <c r="T436" s="55" cm="1">
        <f t="array" ref="T436">(VLOOKUP($A436,'The List'!$B1:$AH671,32,FALSE)-AVERAGE('The List'!AG2:AG671))/STDEV('The List'!AG2:AG671)</f>
        <v>0.38804814898270235</v>
      </c>
      <c r="U436" s="55" cm="1">
        <f t="array" ref="U436">(VLOOKUP($A436,'The List'!$B1:$AH671,33,FALSE)-AVERAGE('The List'!AH2:AH671))/STDEV('The List'!AH2:AH671)</f>
        <v>0.5448884656884756</v>
      </c>
      <c r="V436" s="55"/>
      <c r="W436" s="78"/>
      <c r="X436" s="57"/>
      <c r="Y436" s="57"/>
      <c r="Z436" s="57"/>
      <c r="AA436" s="57"/>
      <c r="AB436" s="57"/>
      <c r="AC436" s="60"/>
      <c r="AD436" s="61"/>
      <c r="AE436" s="55"/>
    </row>
    <row r="437" spans="1:31" ht="21.25" customHeight="1" x14ac:dyDescent="0.15">
      <c r="A437" s="10" t="s">
        <v>730</v>
      </c>
      <c r="B437" s="18" t="str" cm="1">
        <f t="array" ref="B437">VLOOKUP(A437,'Player Data'!A1:B673,2,FALSE)</f>
        <v>EDM</v>
      </c>
      <c r="C437" s="52" cm="1">
        <f t="array" ref="C437">((E437)*Settings!$C$12)+(F437*Settings!$C$2)+(G437*Settings!$C$3)+(H437*Settings!$C$4)+(I437*Settings!$C$5)+(K437*Settings!$C$9)+(N437*Settings!$C$6)+(J437*Settings!$C$8)+(O437*Settings!$C$7)+(P437*Settings!$C$14)+(Q437*Settings!$C$15)+(R437*Settings!$C$16)+(S437*Settings!$C$17)+(T437*Settings!$C$18)+(U437*Settings!$C$19)+(L437*Settings!$C$10)+(Settings!$C$11*M437)</f>
        <v>-4.2609000135624964</v>
      </c>
      <c r="D437" s="57" cm="1">
        <f t="array" ref="D437">IF(Settings!$E$12="YES",VLOOKUP(A437,'Player Data'!A1:E673,5,FALSE),82)</f>
        <v>73.790000000000006</v>
      </c>
      <c r="E437" s="55" cm="1">
        <f t="array" ref="E437">(VLOOKUP($A437,'The List'!$B1:$AH671,17,FALSE)-AVERAGE('The List'!R2:R671))/STDEV('The List'!R2:R671)</f>
        <v>-1.2498453722832923</v>
      </c>
      <c r="F437" s="55" cm="1">
        <f t="array" ref="F437">(VLOOKUP($A437,'The List'!$B1:$AH671,18,FALSE)-AVERAGE('The List'!S2:S671))/STDEV('The List'!S2:S671)</f>
        <v>-0.53664407425660998</v>
      </c>
      <c r="G437" s="55" cm="1">
        <f t="array" ref="G437">(VLOOKUP($A437,'The List'!$B1:$AH671,19,FALSE)-AVERAGE('The List'!T2:T671))/STDEV('The List'!T2:T671)</f>
        <v>-0.84306091053680265</v>
      </c>
      <c r="H437" s="55" cm="1">
        <f t="array" ref="H437">(VLOOKUP($A437,'The List'!$B1:$AH671,20,FALSE)-AVERAGE('The List'!U2:U671))/STDEV('The List'!U2:U671)</f>
        <v>-0.76837816478261423</v>
      </c>
      <c r="I437" s="55" cm="1">
        <f t="array" ref="I437">(VLOOKUP($A437,'The List'!$B1:$AH671,21,FALSE)-AVERAGE('The List'!V2:V671))/STDEV('The List'!V2:V671)</f>
        <v>-0.67182973898263687</v>
      </c>
      <c r="J437" s="55" cm="1">
        <f t="array" ref="J437">(VLOOKUP($A437,'The List'!$B1:$AH671,22,FALSE)-AVERAGE('The List'!W2:W671))/STDEV('The List'!W2:W671)</f>
        <v>-0.70346432823175831</v>
      </c>
      <c r="K437" s="55" cm="1">
        <f t="array" ref="K437">(VLOOKUP($A437,'The List'!$B1:$AH671,23,FALSE)-AVERAGE('The List'!X2:X671))/STDEV('The List'!X2:X671)</f>
        <v>-0.77355682633875555</v>
      </c>
      <c r="L437" s="55" cm="1">
        <f t="array" ref="L437">(VLOOKUP($A437,'The List'!$B1:$AH671,24,FALSE)-AVERAGE('The List'!Y2:Y671))/STDEV('The List'!Y2:Y671)</f>
        <v>-9.9139701841382266E-3</v>
      </c>
      <c r="M437" s="55" cm="1">
        <f t="array" ref="M437">(VLOOKUP($A437,'The List'!$B1:$AH671,25,FALSE)-AVERAGE('The List'!Z2:Z671))/STDEV('The List'!Z2:Z671)</f>
        <v>-8.7866949316947926E-2</v>
      </c>
      <c r="N437" s="55" cm="1">
        <f t="array" ref="N437">(VLOOKUP($A437,'The List'!$B1:$AH671,26,FALSE)-AVERAGE('The List'!AA2:AA671))/STDEV('The List'!AA2:AA671)</f>
        <v>-0.98204415543656154</v>
      </c>
      <c r="O437" s="55" cm="1">
        <f t="array" ref="O437">(VLOOKUP($A437,'The List'!$B1:$AH671,27,FALSE)-AVERAGE('The List'!AB2:AB671))/STDEV('The List'!AB2:AB671)</f>
        <v>0.38016344087235238</v>
      </c>
      <c r="P437" s="55" cm="1">
        <f t="array" ref="P437">(VLOOKUP($A437,'The List'!$B1:$AH671,28,FALSE)-AVERAGE('The List'!AC2:AC671))/STDEV('The List'!AC2:AC671)</f>
        <v>0.5865065065263334</v>
      </c>
      <c r="Q437" s="55" cm="1">
        <f t="array" ref="Q437">(VLOOKUP($A437,'The List'!$B1:$AH671,29,FALSE)-AVERAGE('The List'!AD2:AD671))/STDEV('The List'!AD2:AD671)</f>
        <v>-1.0402708145374633</v>
      </c>
      <c r="R437" s="55" cm="1">
        <f t="array" ref="R437">(VLOOKUP($A437,'The List'!$B1:$AH671,30,FALSE)-AVERAGE('The List'!AE2:AE671))/STDEV('The List'!AE2:AE671)</f>
        <v>-0.41764044145074442</v>
      </c>
      <c r="S437" s="55" cm="1">
        <f t="array" ref="S437">(VLOOKUP($A437,'The List'!$B1:$AH671,31,FALSE)-AVERAGE('The List'!AF2:AF671))/STDEV('The List'!AF2:AF671)</f>
        <v>-0.56015064257066094</v>
      </c>
      <c r="T437" s="55" cm="1">
        <f t="array" ref="T437">(VLOOKUP($A437,'The List'!$B1:$AH671,32,FALSE)-AVERAGE('The List'!AG2:AG671))/STDEV('The List'!AG2:AG671)</f>
        <v>-0.54288849551837604</v>
      </c>
      <c r="U437" s="55" cm="1">
        <f t="array" ref="U437">(VLOOKUP($A437,'The List'!$B1:$AH671,33,FALSE)-AVERAGE('The List'!AH2:AH671))/STDEV('The List'!AH2:AH671)</f>
        <v>-6.5105750369233037E-2</v>
      </c>
      <c r="V437" s="55"/>
      <c r="W437" s="57"/>
      <c r="X437" s="55"/>
      <c r="Y437" s="55"/>
      <c r="Z437" s="55"/>
      <c r="AA437" s="55"/>
      <c r="AB437" s="55"/>
      <c r="AC437" s="55"/>
      <c r="AD437" s="55"/>
      <c r="AE437" s="55"/>
    </row>
    <row r="438" spans="1:31" ht="21.25" customHeight="1" x14ac:dyDescent="0.15">
      <c r="A438" s="10" t="s">
        <v>771</v>
      </c>
      <c r="B438" s="18" t="str" cm="1">
        <f t="array" ref="B438">VLOOKUP(A438,'Player Data'!A1:B673,2,FALSE)</f>
        <v>EDM</v>
      </c>
      <c r="C438" s="52" cm="1">
        <f t="array" ref="C438">((E438)*Settings!$C$12)+(F438*Settings!$C$2)+(G438*Settings!$C$3)+(H438*Settings!$C$4)+(I438*Settings!$C$5)+(K438*Settings!$C$9)+(N438*Settings!$C$6)+(J438*Settings!$C$8)+(O438*Settings!$C$7)+(P438*Settings!$C$14)+(Q438*Settings!$C$15)+(R438*Settings!$C$16)+(S438*Settings!$C$17)+(T438*Settings!$C$18)+(U438*Settings!$C$19)+(L438*Settings!$C$10)+(Settings!$C$11*M438)</f>
        <v>-4.4807367168439072</v>
      </c>
      <c r="D438" s="57" cm="1">
        <f t="array" ref="D438">IF(Settings!$E$12="YES",VLOOKUP(A438,'Player Data'!A1:E673,5,FALSE),82)</f>
        <v>62.034999999999997</v>
      </c>
      <c r="E438" s="55" cm="1">
        <f t="array" ref="E438">(VLOOKUP($A438,'The List'!$B1:$AH671,17,FALSE)-AVERAGE('The List'!R2:R671))/STDEV('The List'!R2:R671)</f>
        <v>-1.2882219665401247</v>
      </c>
      <c r="F438" s="55" cm="1">
        <f t="array" ref="F438">(VLOOKUP($A438,'The List'!$B1:$AH671,18,FALSE)-AVERAGE('The List'!S2:S671))/STDEV('The List'!S2:S671)</f>
        <v>-0.67509642130118519</v>
      </c>
      <c r="G438" s="55" cm="1">
        <f t="array" ref="G438">(VLOOKUP($A438,'The List'!$B1:$AH671,19,FALSE)-AVERAGE('The List'!T2:T671))/STDEV('The List'!T2:T671)</f>
        <v>-0.97038185504663022</v>
      </c>
      <c r="H438" s="55" cm="1">
        <f t="array" ref="H438">(VLOOKUP($A438,'The List'!$B1:$AH671,20,FALSE)-AVERAGE('The List'!U2:U671))/STDEV('The List'!U2:U671)</f>
        <v>-0.90989066143064068</v>
      </c>
      <c r="I438" s="55" cm="1">
        <f t="array" ref="I438">(VLOOKUP($A438,'The List'!$B1:$AH671,21,FALSE)-AVERAGE('The List'!V2:V671))/STDEV('The List'!V2:V671)</f>
        <v>-0.7269428046704185</v>
      </c>
      <c r="J438" s="55" cm="1">
        <f t="array" ref="J438">(VLOOKUP($A438,'The List'!$B1:$AH671,22,FALSE)-AVERAGE('The List'!W2:W671))/STDEV('The List'!W2:W671)</f>
        <v>-0.59357721079321912</v>
      </c>
      <c r="K438" s="55" cm="1">
        <f t="array" ref="K438">(VLOOKUP($A438,'The List'!$B1:$AH671,23,FALSE)-AVERAGE('The List'!X2:X671))/STDEV('The List'!X2:X671)</f>
        <v>-0.67458543235995361</v>
      </c>
      <c r="L438" s="55" cm="1">
        <f t="array" ref="L438">(VLOOKUP($A438,'The List'!$B1:$AH671,24,FALSE)-AVERAGE('The List'!Y2:Y671))/STDEV('The List'!Y2:Y671)</f>
        <v>-0.56569022661034529</v>
      </c>
      <c r="M438" s="55" cm="1">
        <f t="array" ref="M438">(VLOOKUP($A438,'The List'!$B1:$AH671,25,FALSE)-AVERAGE('The List'!Z2:Z671))/STDEV('The List'!Z2:Z671)</f>
        <v>-0.70756870995144849</v>
      </c>
      <c r="N438" s="55" cm="1">
        <f t="array" ref="N438">(VLOOKUP($A438,'The List'!$B1:$AH671,26,FALSE)-AVERAGE('The List'!AA2:AA671))/STDEV('The List'!AA2:AA671)</f>
        <v>-1.125065514698526</v>
      </c>
      <c r="O438" s="55" cm="1">
        <f t="array" ref="O438">(VLOOKUP($A438,'The List'!$B1:$AH671,27,FALSE)-AVERAGE('The List'!AB2:AB671))/STDEV('The List'!AB2:AB671)</f>
        <v>-0.6483608724761335</v>
      </c>
      <c r="P438" s="55" cm="1">
        <f t="array" ref="P438">(VLOOKUP($A438,'The List'!$B1:$AH671,28,FALSE)-AVERAGE('The List'!AC2:AC671))/STDEV('The List'!AC2:AC671)</f>
        <v>0.52826576119364332</v>
      </c>
      <c r="Q438" s="55" cm="1">
        <f t="array" ref="Q438">(VLOOKUP($A438,'The List'!$B1:$AH671,29,FALSE)-AVERAGE('The List'!AD2:AD671))/STDEV('The List'!AD2:AD671)</f>
        <v>-0.83693044996083721</v>
      </c>
      <c r="R438" s="55" cm="1">
        <f t="array" ref="R438">(VLOOKUP($A438,'The List'!$B1:$AH671,30,FALSE)-AVERAGE('The List'!AE2:AE671))/STDEV('The List'!AE2:AE671)</f>
        <v>-0.56951923894939493</v>
      </c>
      <c r="S438" s="55" cm="1">
        <f t="array" ref="S438">(VLOOKUP($A438,'The List'!$B1:$AH671,31,FALSE)-AVERAGE('The List'!AF2:AF671))/STDEV('The List'!AF2:AF671)</f>
        <v>-0.5939690971349143</v>
      </c>
      <c r="T438" s="55" cm="1">
        <f t="array" ref="T438">(VLOOKUP($A438,'The List'!$B1:$AH671,32,FALSE)-AVERAGE('The List'!AG2:AG671))/STDEV('The List'!AG2:AG671)</f>
        <v>-0.64602208138248207</v>
      </c>
      <c r="U438" s="55" cm="1">
        <f t="array" ref="U438">(VLOOKUP($A438,'The List'!$B1:$AH671,33,FALSE)-AVERAGE('The List'!AH2:AH671))/STDEV('The List'!AH2:AH671)</f>
        <v>-1.2548938914719048</v>
      </c>
      <c r="V438" s="55"/>
      <c r="W438" s="78"/>
      <c r="X438" s="57"/>
      <c r="Y438" s="57"/>
      <c r="Z438" s="57"/>
      <c r="AA438" s="57"/>
      <c r="AB438" s="57"/>
      <c r="AC438" s="60"/>
      <c r="AD438" s="61"/>
      <c r="AE438" s="55"/>
    </row>
    <row r="439" spans="1:31" ht="21.25" customHeight="1" x14ac:dyDescent="0.15">
      <c r="A439" s="10" t="s">
        <v>402</v>
      </c>
      <c r="B439" s="18" t="str" cm="1">
        <f t="array" ref="B439">VLOOKUP(A439,'Player Data'!A1:B673,2,FALSE)</f>
        <v>L.A</v>
      </c>
      <c r="C439" s="52" cm="1">
        <f t="array" ref="C439">((E439)*Settings!$C$12)+(F439*Settings!$C$2)+(G439*Settings!$C$3)+(H439*Settings!$C$4)+(I439*Settings!$C$5)+(K439*Settings!$C$9)+(N439*Settings!$C$6)+(J439*Settings!$C$8)+(O439*Settings!$C$7)+(P439*Settings!$C$14)+(Q439*Settings!$C$15)+(R439*Settings!$C$16)+(S439*Settings!$C$17)+(T439*Settings!$C$18)+(U439*Settings!$C$19)+(L439*Settings!$C$10)+(Settings!$C$11*M439)</f>
        <v>-1.7525353945431037</v>
      </c>
      <c r="D439" s="57" cm="1">
        <f t="array" ref="D439">IF(Settings!$E$12="YES",VLOOKUP(A439,'Player Data'!A1:E673,5,FALSE),82)</f>
        <v>82.1875</v>
      </c>
      <c r="E439" s="55" cm="1">
        <f t="array" ref="E439">(VLOOKUP($A439,'The List'!$B1:$AH671,17,FALSE)-AVERAGE('The List'!R2:R671))/STDEV('The List'!R2:R671)</f>
        <v>0.98867018773252102</v>
      </c>
      <c r="F439" s="55" cm="1">
        <f t="array" ref="F439">(VLOOKUP($A439,'The List'!$B1:$AH671,18,FALSE)-AVERAGE('The List'!S2:S671))/STDEV('The List'!S2:S671)</f>
        <v>-0.94176689193862084</v>
      </c>
      <c r="G439" s="55" cm="1">
        <f t="array" ref="G439">(VLOOKUP($A439,'The List'!$B1:$AH671,19,FALSE)-AVERAGE('The List'!T2:T671))/STDEV('The List'!T2:T671)</f>
        <v>-0.39944970354812587</v>
      </c>
      <c r="H439" s="55" cm="1">
        <f t="array" ref="H439">(VLOOKUP($A439,'The List'!$B1:$AH671,20,FALSE)-AVERAGE('The List'!U2:U671))/STDEV('The List'!U2:U671)</f>
        <v>-0.66909323852643765</v>
      </c>
      <c r="I439" s="55" cm="1">
        <f t="array" ref="I439">(VLOOKUP($A439,'The List'!$B1:$AH671,21,FALSE)-AVERAGE('The List'!V2:V671))/STDEV('The List'!V2:V671)</f>
        <v>-0.88975820745626621</v>
      </c>
      <c r="J439" s="55" cm="1">
        <f t="array" ref="J439">(VLOOKUP($A439,'The List'!$B1:$AH671,22,FALSE)-AVERAGE('The List'!W2:W671))/STDEV('The List'!W2:W671)</f>
        <v>-0.74797298936952739</v>
      </c>
      <c r="K439" s="55" cm="1">
        <f t="array" ref="K439">(VLOOKUP($A439,'The List'!$B1:$AH671,23,FALSE)-AVERAGE('The List'!X2:X671))/STDEV('The List'!X2:X671)</f>
        <v>-0.80476959650011237</v>
      </c>
      <c r="L439" s="55" cm="1">
        <f t="array" ref="L439">(VLOOKUP($A439,'The List'!$B1:$AH671,24,FALSE)-AVERAGE('The List'!Y2:Y671))/STDEV('The List'!Y2:Y671)</f>
        <v>-0.5307127328775425</v>
      </c>
      <c r="M439" s="55" cm="1">
        <f t="array" ref="M439">(VLOOKUP($A439,'The List'!$B1:$AH671,25,FALSE)-AVERAGE('The List'!Z2:Z671))/STDEV('The List'!Z2:Z671)</f>
        <v>-0.58730974133537783</v>
      </c>
      <c r="N439" s="55" cm="1">
        <f t="array" ref="N439">(VLOOKUP($A439,'The List'!$B1:$AH671,26,FALSE)-AVERAGE('The List'!AA2:AA671))/STDEV('The List'!AA2:AA671)</f>
        <v>1.7574346764477029</v>
      </c>
      <c r="O439" s="55" cm="1">
        <f t="array" ref="O439">(VLOOKUP($A439,'The List'!$B1:$AH671,27,FALSE)-AVERAGE('The List'!AB2:AB671))/STDEV('The List'!AB2:AB671)</f>
        <v>0.48258239725711038</v>
      </c>
      <c r="P439" s="55" cm="1">
        <f t="array" ref="P439">(VLOOKUP($A439,'The List'!$B1:$AH671,28,FALSE)-AVERAGE('The List'!AC2:AC671))/STDEV('The List'!AC2:AC671)</f>
        <v>-4.2006563124391223E-2</v>
      </c>
      <c r="Q439" s="55" cm="1">
        <f t="array" ref="Q439">(VLOOKUP($A439,'The List'!$B1:$AH671,29,FALSE)-AVERAGE('The List'!AD2:AD671))/STDEV('The List'!AD2:AD671)</f>
        <v>-0.43221910842328981</v>
      </c>
      <c r="R439" s="55" cm="1">
        <f t="array" ref="R439">(VLOOKUP($A439,'The List'!$B1:$AH671,30,FALSE)-AVERAGE('The List'!AE2:AE671))/STDEV('The List'!AE2:AE671)</f>
        <v>-0.90921899667121697</v>
      </c>
      <c r="S439" s="55" cm="1">
        <f t="array" ref="S439">(VLOOKUP($A439,'The List'!$B1:$AH671,31,FALSE)-AVERAGE('The List'!AF2:AF671))/STDEV('The List'!AF2:AF671)</f>
        <v>-0.5939690971349143</v>
      </c>
      <c r="T439" s="55" cm="1">
        <f t="array" ref="T439">(VLOOKUP($A439,'The List'!$B1:$AH671,32,FALSE)-AVERAGE('The List'!AG2:AG671))/STDEV('The List'!AG2:AG671)</f>
        <v>-0.64602208138248207</v>
      </c>
      <c r="U439" s="55" cm="1">
        <f t="array" ref="U439">(VLOOKUP($A439,'The List'!$B1:$AH671,33,FALSE)-AVERAGE('The List'!AH2:AH671))/STDEV('The List'!AH2:AH671)</f>
        <v>-1.2548938914719048</v>
      </c>
      <c r="V439" s="55"/>
      <c r="W439" s="57"/>
      <c r="X439" s="55"/>
      <c r="Y439" s="55"/>
      <c r="Z439" s="55"/>
      <c r="AA439" s="55"/>
      <c r="AB439" s="55"/>
      <c r="AC439" s="55"/>
      <c r="AD439" s="55"/>
      <c r="AE439" s="55"/>
    </row>
    <row r="440" spans="1:31" ht="21.25" customHeight="1" x14ac:dyDescent="0.15">
      <c r="A440" s="10" t="s">
        <v>671</v>
      </c>
      <c r="B440" s="18" t="str" cm="1">
        <f t="array" ref="B440">VLOOKUP(A440,'Player Data'!A1:B673,2,FALSE)</f>
        <v>BOS</v>
      </c>
      <c r="C440" s="52" cm="1">
        <f t="array" ref="C440">((E440)*Settings!$C$12)+(F440*Settings!$C$2)+(G440*Settings!$C$3)+(H440*Settings!$C$4)+(I440*Settings!$C$5)+(K440*Settings!$C$9)+(N440*Settings!$C$6)+(J440*Settings!$C$8)+(O440*Settings!$C$7)+(P440*Settings!$C$14)+(Q440*Settings!$C$15)+(R440*Settings!$C$16)+(S440*Settings!$C$17)+(T440*Settings!$C$18)+(U440*Settings!$C$19)+(L440*Settings!$C$10)+(Settings!$C$11*M440)</f>
        <v>-1.4709474636170294</v>
      </c>
      <c r="D440" s="57" cm="1">
        <f t="array" ref="D440">IF(Settings!$E$12="YES",VLOOKUP(A440,'Player Data'!A1:E673,5,FALSE),82)</f>
        <v>78.627499999999998</v>
      </c>
      <c r="E440" s="55" cm="1">
        <f t="array" ref="E440">(VLOOKUP($A440,'The List'!$B1:$AH671,17,FALSE)-AVERAGE('The List'!R2:R671))/STDEV('The List'!R2:R671)</f>
        <v>-1.3262375678550296</v>
      </c>
      <c r="F440" s="55" cm="1">
        <f t="array" ref="F440">(VLOOKUP($A440,'The List'!$B1:$AH671,18,FALSE)-AVERAGE('The List'!S2:S671))/STDEV('The List'!S2:S671)</f>
        <v>-0.35025304671101787</v>
      </c>
      <c r="G440" s="55" cm="1">
        <f t="array" ref="G440">(VLOOKUP($A440,'The List'!$B1:$AH671,19,FALSE)-AVERAGE('The List'!T2:T671))/STDEV('The List'!T2:T671)</f>
        <v>-0.89489233385874312</v>
      </c>
      <c r="H440" s="55" cm="1">
        <f t="array" ref="H440">(VLOOKUP($A440,'The List'!$B1:$AH671,20,FALSE)-AVERAGE('The List'!U2:U671))/STDEV('The List'!U2:U671)</f>
        <v>-0.71828221217323995</v>
      </c>
      <c r="I440" s="55" cm="1">
        <f t="array" ref="I440">(VLOOKUP($A440,'The List'!$B1:$AH671,21,FALSE)-AVERAGE('The List'!V2:V671))/STDEV('The List'!V2:V671)</f>
        <v>0.34905592122710533</v>
      </c>
      <c r="J440" s="55" cm="1">
        <f t="array" ref="J440">(VLOOKUP($A440,'The List'!$B1:$AH671,22,FALSE)-AVERAGE('The List'!W2:W671))/STDEV('The List'!W2:W671)</f>
        <v>-0.70670510717013546</v>
      </c>
      <c r="K440" s="55" cm="1">
        <f t="array" ref="K440">(VLOOKUP($A440,'The List'!$B1:$AH671,23,FALSE)-AVERAGE('The List'!X2:X671))/STDEV('The List'!X2:X671)</f>
        <v>-0.76628805945928147</v>
      </c>
      <c r="L440" s="55" cm="1">
        <f t="array" ref="L440">(VLOOKUP($A440,'The List'!$B1:$AH671,24,FALSE)-AVERAGE('The List'!Y2:Y671))/STDEV('The List'!Y2:Y671)</f>
        <v>-0.53306865330924535</v>
      </c>
      <c r="M440" s="55" cm="1">
        <f t="array" ref="M440">(VLOOKUP($A440,'The List'!$B1:$AH671,25,FALSE)-AVERAGE('The List'!Z2:Z671))/STDEV('The List'!Z2:Z671)</f>
        <v>-0.67575944721436365</v>
      </c>
      <c r="N440" s="55" cm="1">
        <f t="array" ref="N440">(VLOOKUP($A440,'The List'!$B1:$AH671,26,FALSE)-AVERAGE('The List'!AA2:AA671))/STDEV('The List'!AA2:AA671)</f>
        <v>-0.82983912329026055</v>
      </c>
      <c r="O440" s="55" cm="1">
        <f t="array" ref="O440">(VLOOKUP($A440,'The List'!$B1:$AH671,27,FALSE)-AVERAGE('The List'!AB2:AB671))/STDEV('The List'!AB2:AB671)</f>
        <v>0.22733428536305056</v>
      </c>
      <c r="P440" s="55" cm="1">
        <f t="array" ref="P440">(VLOOKUP($A440,'The List'!$B1:$AH671,28,FALSE)-AVERAGE('The List'!AC2:AC671))/STDEV('The List'!AC2:AC671)</f>
        <v>-0.38252235166931803</v>
      </c>
      <c r="Q440" s="55" cm="1">
        <f t="array" ref="Q440">(VLOOKUP($A440,'The List'!$B1:$AH671,29,FALSE)-AVERAGE('The List'!AD2:AD671))/STDEV('The List'!AD2:AD671)</f>
        <v>1.4037915301444861</v>
      </c>
      <c r="R440" s="55" cm="1">
        <f t="array" ref="R440">(VLOOKUP($A440,'The List'!$B1:$AH671,30,FALSE)-AVERAGE('The List'!AE2:AE671))/STDEV('The List'!AE2:AE671)</f>
        <v>-0.47423960581323876</v>
      </c>
      <c r="S440" s="55" cm="1">
        <f t="array" ref="S440">(VLOOKUP($A440,'The List'!$B1:$AH671,31,FALSE)-AVERAGE('The List'!AF2:AF671))/STDEV('The List'!AF2:AF671)</f>
        <v>-0.57010297227705942</v>
      </c>
      <c r="T440" s="55" cm="1">
        <f t="array" ref="T440">(VLOOKUP($A440,'The List'!$B1:$AH671,32,FALSE)-AVERAGE('The List'!AG2:AG671))/STDEV('The List'!AG2:AG671)</f>
        <v>-0.61196231617742392</v>
      </c>
      <c r="U440" s="55" cm="1">
        <f t="array" ref="U440">(VLOOKUP($A440,'The List'!$B1:$AH671,33,FALSE)-AVERAGE('The List'!AH2:AH671))/STDEV('The List'!AH2:AH671)</f>
        <v>0.70952841033101088</v>
      </c>
      <c r="V440" s="55"/>
      <c r="W440" s="78"/>
      <c r="X440" s="57"/>
      <c r="Y440" s="57"/>
      <c r="Z440" s="57"/>
      <c r="AA440" s="57"/>
      <c r="AB440" s="57"/>
      <c r="AC440" s="60"/>
      <c r="AD440" s="61"/>
      <c r="AE440" s="55"/>
    </row>
    <row r="441" spans="1:31" ht="21.25" customHeight="1" x14ac:dyDescent="0.15">
      <c r="A441" s="10" t="s">
        <v>762</v>
      </c>
      <c r="B441" s="18" t="str" cm="1">
        <f t="array" ref="B441">VLOOKUP(A441,'Player Data'!A1:B673,2,FALSE)</f>
        <v>PIT</v>
      </c>
      <c r="C441" s="52" cm="1">
        <f t="array" ref="C441">((E441)*Settings!$C$12)+(F441*Settings!$C$2)+(G441*Settings!$C$3)+(H441*Settings!$C$4)+(I441*Settings!$C$5)+(K441*Settings!$C$9)+(N441*Settings!$C$6)+(J441*Settings!$C$8)+(O441*Settings!$C$7)+(P441*Settings!$C$14)+(Q441*Settings!$C$15)+(R441*Settings!$C$16)+(S441*Settings!$C$17)+(T441*Settings!$C$18)+(U441*Settings!$C$19)+(L441*Settings!$C$10)+(Settings!$C$11*M441)</f>
        <v>-5.0496152625293593</v>
      </c>
      <c r="D441" s="57" cm="1">
        <f t="array" ref="D441">IF(Settings!$E$12="YES",VLOOKUP(A441,'Player Data'!A1:E673,5,FALSE),82)</f>
        <v>68.347499999999997</v>
      </c>
      <c r="E441" s="55" cm="1">
        <f t="array" ref="E441">(VLOOKUP($A441,'The List'!$B1:$AH671,17,FALSE)-AVERAGE('The List'!R2:R671))/STDEV('The List'!R2:R671)</f>
        <v>-1.5132832186362228</v>
      </c>
      <c r="F441" s="55" cm="1">
        <f t="array" ref="F441">(VLOOKUP($A441,'The List'!$B1:$AH671,18,FALSE)-AVERAGE('The List'!S2:S671))/STDEV('The List'!S2:S671)</f>
        <v>-0.53863556480372021</v>
      </c>
      <c r="G441" s="55" cm="1">
        <f t="array" ref="G441">(VLOOKUP($A441,'The List'!$B1:$AH671,19,FALSE)-AVERAGE('The List'!T2:T671))/STDEV('The List'!T2:T671)</f>
        <v>-0.96452434941122889</v>
      </c>
      <c r="H441" s="55" cm="1">
        <f t="array" ref="H441">(VLOOKUP($A441,'The List'!$B1:$AH671,20,FALSE)-AVERAGE('The List'!U2:U671))/STDEV('The List'!U2:U671)</f>
        <v>-0.84566160775200117</v>
      </c>
      <c r="I441" s="55" cm="1">
        <f t="array" ref="I441">(VLOOKUP($A441,'The List'!$B1:$AH671,21,FALSE)-AVERAGE('The List'!V2:V671))/STDEV('The List'!V2:V671)</f>
        <v>-0.80514389916546503</v>
      </c>
      <c r="J441" s="55" cm="1">
        <f t="array" ref="J441">(VLOOKUP($A441,'The List'!$B1:$AH671,22,FALSE)-AVERAGE('The List'!W2:W671))/STDEV('The List'!W2:W671)</f>
        <v>-0.73242347079586934</v>
      </c>
      <c r="K441" s="55" cm="1">
        <f t="array" ref="K441">(VLOOKUP($A441,'The List'!$B1:$AH671,23,FALSE)-AVERAGE('The List'!X2:X671))/STDEV('The List'!X2:X671)</f>
        <v>-0.79761668194118818</v>
      </c>
      <c r="L441" s="55" cm="1">
        <f t="array" ref="L441">(VLOOKUP($A441,'The List'!$B1:$AH671,24,FALSE)-AVERAGE('The List'!Y2:Y671))/STDEV('The List'!Y2:Y671)</f>
        <v>-0.49384369891414037</v>
      </c>
      <c r="M441" s="55" cm="1">
        <f t="array" ref="M441">(VLOOKUP($A441,'The List'!$B1:$AH671,25,FALSE)-AVERAGE('The List'!Z2:Z671))/STDEV('The List'!Z2:Z671)</f>
        <v>-0.63667108025360353</v>
      </c>
      <c r="N441" s="55" cm="1">
        <f t="array" ref="N441">(VLOOKUP($A441,'The List'!$B1:$AH671,26,FALSE)-AVERAGE('The List'!AA2:AA671))/STDEV('The List'!AA2:AA671)</f>
        <v>-1.0092713341620045</v>
      </c>
      <c r="O441" s="55" cm="1">
        <f t="array" ref="O441">(VLOOKUP($A441,'The List'!$B1:$AH671,27,FALSE)-AVERAGE('The List'!AB2:AB671))/STDEV('The List'!AB2:AB671)</f>
        <v>0.49689487388772857</v>
      </c>
      <c r="P441" s="55" cm="1">
        <f t="array" ref="P441">(VLOOKUP($A441,'The List'!$B1:$AH671,28,FALSE)-AVERAGE('The List'!AC2:AC671))/STDEV('The List'!AC2:AC671)</f>
        <v>-7.2304784263748506E-2</v>
      </c>
      <c r="Q441" s="55" cm="1">
        <f t="array" ref="Q441">(VLOOKUP($A441,'The List'!$B1:$AH671,29,FALSE)-AVERAGE('The List'!AD2:AD671))/STDEV('The List'!AD2:AD671)</f>
        <v>-0.86211864878200484</v>
      </c>
      <c r="R441" s="55" cm="1">
        <f t="array" ref="R441">(VLOOKUP($A441,'The List'!$B1:$AH671,30,FALSE)-AVERAGE('The List'!AE2:AE671))/STDEV('The List'!AE2:AE671)</f>
        <v>-0.57878972221974379</v>
      </c>
      <c r="S441" s="55" cm="1">
        <f t="array" ref="S441">(VLOOKUP($A441,'The List'!$B1:$AH671,31,FALSE)-AVERAGE('The List'!AF2:AF671))/STDEV('The List'!AF2:AF671)</f>
        <v>-0.57520832771471542</v>
      </c>
      <c r="T441" s="55" cm="1">
        <f t="array" ref="T441">(VLOOKUP($A441,'The List'!$B1:$AH671,32,FALSE)-AVERAGE('The List'!AG2:AG671))/STDEV('The List'!AG2:AG671)</f>
        <v>-0.6075661156625487</v>
      </c>
      <c r="U441" s="55" cm="1">
        <f t="array" ref="U441">(VLOOKUP($A441,'The List'!$B1:$AH671,33,FALSE)-AVERAGE('The List'!AH2:AH671))/STDEV('The List'!AH2:AH671)</f>
        <v>0.31680870983556653</v>
      </c>
      <c r="V441" s="55"/>
      <c r="W441" s="78"/>
      <c r="X441" s="57"/>
      <c r="Y441" s="57"/>
      <c r="Z441" s="57"/>
      <c r="AA441" s="57"/>
      <c r="AB441" s="57"/>
      <c r="AC441" s="60"/>
      <c r="AD441" s="61"/>
      <c r="AE441" s="55"/>
    </row>
    <row r="442" spans="1:31" ht="21.25" customHeight="1" x14ac:dyDescent="0.15">
      <c r="A442" s="10" t="s">
        <v>410</v>
      </c>
      <c r="B442" s="18" t="str" cm="1">
        <f t="array" ref="B442">VLOOKUP(A442,'Player Data'!A1:B673,2,FALSE)</f>
        <v>CGY</v>
      </c>
      <c r="C442" s="52" cm="1">
        <f t="array" ref="C442">((E442)*Settings!$C$12)+(F442*Settings!$C$2)+(G442*Settings!$C$3)+(H442*Settings!$C$4)+(I442*Settings!$C$5)+(K442*Settings!$C$9)+(N442*Settings!$C$6)+(J442*Settings!$C$8)+(O442*Settings!$C$7)+(P442*Settings!$C$14)+(Q442*Settings!$C$15)+(R442*Settings!$C$16)+(S442*Settings!$C$17)+(T442*Settings!$C$18)+(U442*Settings!$C$19)+(L442*Settings!$C$10)+(Settings!$C$11*M442)</f>
        <v>-2.1981649768718095</v>
      </c>
      <c r="D442" s="57" cm="1">
        <f t="array" ref="D442">IF(Settings!$E$12="YES",VLOOKUP(A442,'Player Data'!A1:E673,5,FALSE),82)</f>
        <v>81.727500000000006</v>
      </c>
      <c r="E442" s="55" cm="1">
        <f t="array" ref="E442">(VLOOKUP($A442,'The List'!$B1:$AH671,17,FALSE)-AVERAGE('The List'!R2:R671))/STDEV('The List'!R2:R671)</f>
        <v>1.4143803367621175</v>
      </c>
      <c r="F442" s="55" cm="1">
        <f t="array" ref="F442">(VLOOKUP($A442,'The List'!$B1:$AH671,18,FALSE)-AVERAGE('The List'!S2:S671))/STDEV('The List'!S2:S671)</f>
        <v>-0.98899079209591534</v>
      </c>
      <c r="G442" s="55" cm="1">
        <f t="array" ref="G442">(VLOOKUP($A442,'The List'!$B1:$AH671,19,FALSE)-AVERAGE('The List'!T2:T671))/STDEV('The List'!T2:T671)</f>
        <v>-0.39787023646097175</v>
      </c>
      <c r="H442" s="55" cm="1">
        <f t="array" ref="H442">(VLOOKUP($A442,'The List'!$B1:$AH671,20,FALSE)-AVERAGE('The List'!U2:U671))/STDEV('The List'!U2:U671)</f>
        <v>-0.68905197928872886</v>
      </c>
      <c r="I442" s="55" cm="1">
        <f t="array" ref="I442">(VLOOKUP($A442,'The List'!$B1:$AH671,21,FALSE)-AVERAGE('The List'!V2:V671))/STDEV('The List'!V2:V671)</f>
        <v>-0.83114222725028108</v>
      </c>
      <c r="J442" s="55" cm="1">
        <f t="array" ref="J442">(VLOOKUP($A442,'The List'!$B1:$AH671,22,FALSE)-AVERAGE('The List'!W2:W671))/STDEV('The List'!W2:W671)</f>
        <v>-0.68440010151407249</v>
      </c>
      <c r="K442" s="55" cm="1">
        <f t="array" ref="K442">(VLOOKUP($A442,'The List'!$B1:$AH671,23,FALSE)-AVERAGE('The List'!X2:X671))/STDEV('The List'!X2:X671)</f>
        <v>-0.72964063283894798</v>
      </c>
      <c r="L442" s="55" cm="1">
        <f t="array" ref="L442">(VLOOKUP($A442,'The List'!$B1:$AH671,24,FALSE)-AVERAGE('The List'!Y2:Y671))/STDEV('The List'!Y2:Y671)</f>
        <v>-0.51564270632941944</v>
      </c>
      <c r="M442" s="55" cm="1">
        <f t="array" ref="M442">(VLOOKUP($A442,'The List'!$B1:$AH671,25,FALSE)-AVERAGE('The List'!Z2:Z671))/STDEV('The List'!Z2:Z671)</f>
        <v>0.11282596494165553</v>
      </c>
      <c r="N442" s="55" cm="1">
        <f t="array" ref="N442">(VLOOKUP($A442,'The List'!$B1:$AH671,26,FALSE)-AVERAGE('The List'!AA2:AA671))/STDEV('The List'!AA2:AA671)</f>
        <v>1.4745263904136514</v>
      </c>
      <c r="O442" s="55" cm="1">
        <f t="array" ref="O442">(VLOOKUP($A442,'The List'!$B1:$AH671,27,FALSE)-AVERAGE('The List'!AB2:AB671))/STDEV('The List'!AB2:AB671)</f>
        <v>0.65834409344075584</v>
      </c>
      <c r="P442" s="55" cm="1">
        <f t="array" ref="P442">(VLOOKUP($A442,'The List'!$B1:$AH671,28,FALSE)-AVERAGE('The List'!AC2:AC671))/STDEV('The List'!AC2:AC671)</f>
        <v>-2.1621564798089645</v>
      </c>
      <c r="Q442" s="55" cm="1">
        <f t="array" ref="Q442">(VLOOKUP($A442,'The List'!$B1:$AH671,29,FALSE)-AVERAGE('The List'!AD2:AD671))/STDEV('The List'!AD2:AD671)</f>
        <v>1.4371090011696195</v>
      </c>
      <c r="R442" s="55" cm="1">
        <f t="array" ref="R442">(VLOOKUP($A442,'The List'!$B1:$AH671,30,FALSE)-AVERAGE('The List'!AE2:AE671))/STDEV('The List'!AE2:AE671)</f>
        <v>-0.9897245573394915</v>
      </c>
      <c r="S442" s="55" cm="1">
        <f t="array" ref="S442">(VLOOKUP($A442,'The List'!$B1:$AH671,31,FALSE)-AVERAGE('The List'!AF2:AF671))/STDEV('The List'!AF2:AF671)</f>
        <v>-0.5939690971349143</v>
      </c>
      <c r="T442" s="55" cm="1">
        <f t="array" ref="T442">(VLOOKUP($A442,'The List'!$B1:$AH671,32,FALSE)-AVERAGE('The List'!AG2:AG671))/STDEV('The List'!AG2:AG671)</f>
        <v>-0.64602208138248207</v>
      </c>
      <c r="U442" s="55" cm="1">
        <f t="array" ref="U442">(VLOOKUP($A442,'The List'!$B1:$AH671,33,FALSE)-AVERAGE('The List'!AH2:AH671))/STDEV('The List'!AH2:AH671)</f>
        <v>-1.2548938914719048</v>
      </c>
      <c r="V442" s="55"/>
      <c r="W442" s="78"/>
      <c r="X442" s="57"/>
      <c r="Y442" s="57"/>
      <c r="Z442" s="57"/>
      <c r="AA442" s="57"/>
      <c r="AB442" s="57"/>
      <c r="AC442" s="60"/>
      <c r="AD442" s="61"/>
      <c r="AE442" s="55"/>
    </row>
    <row r="443" spans="1:31" ht="21.25" customHeight="1" x14ac:dyDescent="0.15">
      <c r="A443" s="10" t="s">
        <v>689</v>
      </c>
      <c r="B443" s="18" t="str" cm="1">
        <f t="array" ref="B443">VLOOKUP(A443,'Player Data'!A1:B673,2,FALSE)</f>
        <v>MTL</v>
      </c>
      <c r="C443" s="52" cm="1">
        <f t="array" ref="C443">((E443)*Settings!$C$12)+(F443*Settings!$C$2)+(G443*Settings!$C$3)+(H443*Settings!$C$4)+(I443*Settings!$C$5)+(K443*Settings!$C$9)+(N443*Settings!$C$6)+(J443*Settings!$C$8)+(O443*Settings!$C$7)+(P443*Settings!$C$14)+(Q443*Settings!$C$15)+(R443*Settings!$C$16)+(S443*Settings!$C$17)+(T443*Settings!$C$18)+(U443*Settings!$C$19)+(L443*Settings!$C$10)+(Settings!$C$11*M443)</f>
        <v>-0.61832640106400616</v>
      </c>
      <c r="D443" s="57" cm="1">
        <f t="array" ref="D443">IF(Settings!$E$12="YES",VLOOKUP(A443,'Player Data'!A1:E673,5,FALSE),82)</f>
        <v>81.717500000000001</v>
      </c>
      <c r="E443" s="55" cm="1">
        <f t="array" ref="E443">(VLOOKUP($A443,'The List'!$B1:$AH671,17,FALSE)-AVERAGE('The List'!R2:R671))/STDEV('The List'!R2:R671)</f>
        <v>-0.93542222223147264</v>
      </c>
      <c r="F443" s="55" cm="1">
        <f t="array" ref="F443">(VLOOKUP($A443,'The List'!$B1:$AH671,18,FALSE)-AVERAGE('The List'!S2:S671))/STDEV('The List'!S2:S671)</f>
        <v>-0.16624903215740816</v>
      </c>
      <c r="G443" s="55" cm="1">
        <f t="array" ref="G443">(VLOOKUP($A443,'The List'!$B1:$AH671,19,FALSE)-AVERAGE('The List'!T2:T671))/STDEV('The List'!T2:T671)</f>
        <v>-0.98305954495422121</v>
      </c>
      <c r="H443" s="55" cm="1">
        <f t="array" ref="H443">(VLOOKUP($A443,'The List'!$B1:$AH671,20,FALSE)-AVERAGE('The List'!U2:U671))/STDEV('The List'!U2:U671)</f>
        <v>-0.69210034402240317</v>
      </c>
      <c r="I443" s="55" cm="1">
        <f t="array" ref="I443">(VLOOKUP($A443,'The List'!$B1:$AH671,21,FALSE)-AVERAGE('The List'!V2:V671))/STDEV('The List'!V2:V671)</f>
        <v>-0.49361044656541081</v>
      </c>
      <c r="J443" s="55" cm="1">
        <f t="array" ref="J443">(VLOOKUP($A443,'The List'!$B1:$AH671,22,FALSE)-AVERAGE('The List'!W2:W671))/STDEV('The List'!W2:W671)</f>
        <v>-0.74071478403343205</v>
      </c>
      <c r="K443" s="55" cm="1">
        <f t="array" ref="K443">(VLOOKUP($A443,'The List'!$B1:$AH671,23,FALSE)-AVERAGE('The List'!X2:X671))/STDEV('The List'!X2:X671)</f>
        <v>-0.80106142404574088</v>
      </c>
      <c r="L443" s="55" cm="1">
        <f t="array" ref="L443">(VLOOKUP($A443,'The List'!$B1:$AH671,24,FALSE)-AVERAGE('The List'!Y2:Y671))/STDEV('The List'!Y2:Y671)</f>
        <v>2.1741194337559704</v>
      </c>
      <c r="M443" s="55" cm="1">
        <f t="array" ref="M443">(VLOOKUP($A443,'The List'!$B1:$AH671,25,FALSE)-AVERAGE('The List'!Z2:Z671))/STDEV('The List'!Z2:Z671)</f>
        <v>1.6248735143444952</v>
      </c>
      <c r="N443" s="55" cm="1">
        <f t="array" ref="N443">(VLOOKUP($A443,'The List'!$B1:$AH671,26,FALSE)-AVERAGE('The List'!AA2:AA671))/STDEV('The List'!AA2:AA671)</f>
        <v>-0.50554534587998234</v>
      </c>
      <c r="O443" s="55" cm="1">
        <f t="array" ref="O443">(VLOOKUP($A443,'The List'!$B1:$AH671,27,FALSE)-AVERAGE('The List'!AB2:AB671))/STDEV('The List'!AB2:AB671)</f>
        <v>1.2120004854426747</v>
      </c>
      <c r="P443" s="55" cm="1">
        <f t="array" ref="P443">(VLOOKUP($A443,'The List'!$B1:$AH671,28,FALSE)-AVERAGE('The List'!AC2:AC671))/STDEV('The List'!AC2:AC671)</f>
        <v>6.7546573724234921E-2</v>
      </c>
      <c r="Q443" s="55" cm="1">
        <f t="array" ref="Q443">(VLOOKUP($A443,'The List'!$B1:$AH671,29,FALSE)-AVERAGE('The List'!AD2:AD671))/STDEV('The List'!AD2:AD671)</f>
        <v>2.2636528188145224</v>
      </c>
      <c r="R443" s="55" cm="1">
        <f t="array" ref="R443">(VLOOKUP($A443,'The List'!$B1:$AH671,30,FALSE)-AVERAGE('The List'!AE2:AE671))/STDEV('The List'!AE2:AE671)</f>
        <v>-7.9481283081455814E-2</v>
      </c>
      <c r="S443" s="55" cm="1">
        <f t="array" ref="S443">(VLOOKUP($A443,'The List'!$B1:$AH671,31,FALSE)-AVERAGE('The List'!AF2:AF671))/STDEV('The List'!AF2:AF671)</f>
        <v>-0.49116471978296278</v>
      </c>
      <c r="T443" s="55" cm="1">
        <f t="array" ref="T443">(VLOOKUP($A443,'The List'!$B1:$AH671,32,FALSE)-AVERAGE('The List'!AG2:AG671))/STDEV('The List'!AG2:AG671)</f>
        <v>-0.57389872312611412</v>
      </c>
      <c r="U443" s="55" cm="1">
        <f t="array" ref="U443">(VLOOKUP($A443,'The List'!$B1:$AH671,33,FALSE)-AVERAGE('The List'!AH2:AH671))/STDEV('The List'!AH2:AH671)</f>
        <v>1.5163762477606122</v>
      </c>
      <c r="V443" s="55"/>
      <c r="W443" s="57"/>
      <c r="X443" s="55"/>
      <c r="Y443" s="55"/>
      <c r="Z443" s="55"/>
      <c r="AA443" s="55"/>
      <c r="AB443" s="55"/>
      <c r="AC443" s="55"/>
      <c r="AD443" s="55"/>
      <c r="AE443" s="55"/>
    </row>
    <row r="444" spans="1:31" ht="21.25" customHeight="1" x14ac:dyDescent="0.15">
      <c r="A444" s="10" t="s">
        <v>744</v>
      </c>
      <c r="B444" s="18" t="str" cm="1">
        <f t="array" ref="B444">VLOOKUP(A444,'Player Data'!A1:B673,2,FALSE)</f>
        <v>NYI</v>
      </c>
      <c r="C444" s="52" cm="1">
        <f t="array" ref="C444">((E444)*Settings!$C$12)+(F444*Settings!$C$2)+(G444*Settings!$C$3)+(H444*Settings!$C$4)+(I444*Settings!$C$5)+(K444*Settings!$C$9)+(N444*Settings!$C$6)+(J444*Settings!$C$8)+(O444*Settings!$C$7)+(P444*Settings!$C$14)+(Q444*Settings!$C$15)+(R444*Settings!$C$16)+(S444*Settings!$C$17)+(T444*Settings!$C$18)+(U444*Settings!$C$19)+(L444*Settings!$C$10)+(Settings!$C$11*M444)</f>
        <v>-5.7662821296815263</v>
      </c>
      <c r="D444" s="57" cm="1">
        <f t="array" ref="D444">IF(Settings!$E$12="YES",VLOOKUP(A444,'Player Data'!A1:E673,5,FALSE),82)</f>
        <v>74.355000000000004</v>
      </c>
      <c r="E444" s="55" cm="1">
        <f t="array" ref="E444">(VLOOKUP($A444,'The List'!$B1:$AH671,17,FALSE)-AVERAGE('The List'!R2:R671))/STDEV('The List'!R2:R671)</f>
        <v>-1.5346629197849024</v>
      </c>
      <c r="F444" s="55" cm="1">
        <f t="array" ref="F444">(VLOOKUP($A444,'The List'!$B1:$AH671,18,FALSE)-AVERAGE('The List'!S2:S671))/STDEV('The List'!S2:S671)</f>
        <v>-0.43594641060828454</v>
      </c>
      <c r="G444" s="55" cm="1">
        <f t="array" ref="G444">(VLOOKUP($A444,'The List'!$B1:$AH671,19,FALSE)-AVERAGE('The List'!T2:T671))/STDEV('The List'!T2:T671)</f>
        <v>-0.93063042314372757</v>
      </c>
      <c r="H444" s="55" cm="1">
        <f t="array" ref="H444">(VLOOKUP($A444,'The List'!$B1:$AH671,20,FALSE)-AVERAGE('The List'!U2:U671))/STDEV('The List'!U2:U671)</f>
        <v>-0.7787815631443934</v>
      </c>
      <c r="I444" s="55" cm="1">
        <f t="array" ref="I444">(VLOOKUP($A444,'The List'!$B1:$AH671,21,FALSE)-AVERAGE('The List'!V2:V671))/STDEV('The List'!V2:V671)</f>
        <v>-0.93853970605611425</v>
      </c>
      <c r="J444" s="55" cm="1">
        <f t="array" ref="J444">(VLOOKUP($A444,'The List'!$B1:$AH671,22,FALSE)-AVERAGE('The List'!W2:W671))/STDEV('The List'!W2:W671)</f>
        <v>-0.41302882722181994</v>
      </c>
      <c r="K444" s="55" cm="1">
        <f t="array" ref="K444">(VLOOKUP($A444,'The List'!$B1:$AH671,23,FALSE)-AVERAGE('The List'!X2:X671))/STDEV('The List'!X2:X671)</f>
        <v>-0.60320199685998188</v>
      </c>
      <c r="L444" s="55" cm="1">
        <f t="array" ref="L444">(VLOOKUP($A444,'The List'!$B1:$AH671,24,FALSE)-AVERAGE('The List'!Y2:Y671))/STDEV('The List'!Y2:Y671)</f>
        <v>-0.56331654602185444</v>
      </c>
      <c r="M444" s="55" cm="1">
        <f t="array" ref="M444">(VLOOKUP($A444,'The List'!$B1:$AH671,25,FALSE)-AVERAGE('The List'!Z2:Z671))/STDEV('The List'!Z2:Z671)</f>
        <v>-0.7052172705969515</v>
      </c>
      <c r="N444" s="55" cm="1">
        <f t="array" ref="N444">(VLOOKUP($A444,'The List'!$B1:$AH671,26,FALSE)-AVERAGE('The List'!AA2:AA671))/STDEV('The List'!AA2:AA671)</f>
        <v>-0.66742253405096297</v>
      </c>
      <c r="O444" s="55" cm="1">
        <f t="array" ref="O444">(VLOOKUP($A444,'The List'!$B1:$AH671,27,FALSE)-AVERAGE('The List'!AB2:AB671))/STDEV('The List'!AB2:AB671)</f>
        <v>-1.0681042920560828</v>
      </c>
      <c r="P444" s="55" cm="1">
        <f t="array" ref="P444">(VLOOKUP($A444,'The List'!$B1:$AH671,28,FALSE)-AVERAGE('The List'!AC2:AC671))/STDEV('The List'!AC2:AC671)</f>
        <v>-0.94825936896882024</v>
      </c>
      <c r="Q444" s="55" cm="1">
        <f t="array" ref="Q444">(VLOOKUP($A444,'The List'!$B1:$AH671,29,FALSE)-AVERAGE('The List'!AD2:AD671))/STDEV('The List'!AD2:AD671)</f>
        <v>-1.2422816899936346</v>
      </c>
      <c r="R444" s="55" cm="1">
        <f t="array" ref="R444">(VLOOKUP($A444,'The List'!$B1:$AH671,30,FALSE)-AVERAGE('The List'!AE2:AE671))/STDEV('The List'!AE2:AE671)</f>
        <v>-0.47958828252180069</v>
      </c>
      <c r="S444" s="55" cm="1">
        <f t="array" ref="S444">(VLOOKUP($A444,'The List'!$B1:$AH671,31,FALSE)-AVERAGE('The List'!AF2:AF671))/STDEV('The List'!AF2:AF671)</f>
        <v>-0.57584512534934029</v>
      </c>
      <c r="T444" s="55" cm="1">
        <f t="array" ref="T444">(VLOOKUP($A444,'The List'!$B1:$AH671,32,FALSE)-AVERAGE('The List'!AG2:AG671))/STDEV('The List'!AG2:AG671)</f>
        <v>-0.59702469885031195</v>
      </c>
      <c r="U444" s="55" cm="1">
        <f t="array" ref="U444">(VLOOKUP($A444,'The List'!$B1:$AH671,33,FALSE)-AVERAGE('The List'!AH2:AH671))/STDEV('The List'!AH2:AH671)</f>
        <v>4.4188652112257726E-2</v>
      </c>
      <c r="V444" s="55"/>
      <c r="W444" s="78"/>
      <c r="X444" s="57"/>
      <c r="Y444" s="57"/>
      <c r="Z444" s="57"/>
      <c r="AA444" s="57"/>
      <c r="AB444" s="57"/>
      <c r="AC444" s="60"/>
      <c r="AD444" s="61"/>
      <c r="AE444" s="55"/>
    </row>
    <row r="445" spans="1:31" ht="21.25" customHeight="1" x14ac:dyDescent="0.15">
      <c r="A445" s="10" t="s">
        <v>739</v>
      </c>
      <c r="B445" s="18" t="str" cm="1">
        <f t="array" ref="B445">VLOOKUP(A445,'Player Data'!A1:B673,2,FALSE)</f>
        <v>CGY</v>
      </c>
      <c r="C445" s="52" cm="1">
        <f t="array" ref="C445">((E445)*Settings!$C$12)+(F445*Settings!$C$2)+(G445*Settings!$C$3)+(H445*Settings!$C$4)+(I445*Settings!$C$5)+(K445*Settings!$C$9)+(N445*Settings!$C$6)+(J445*Settings!$C$8)+(O445*Settings!$C$7)+(P445*Settings!$C$14)+(Q445*Settings!$C$15)+(R445*Settings!$C$16)+(S445*Settings!$C$17)+(T445*Settings!$C$18)+(U445*Settings!$C$19)+(L445*Settings!$C$10)+(Settings!$C$11*M445)</f>
        <v>-4.2724494710469898</v>
      </c>
      <c r="D445" s="57" cm="1">
        <f t="array" ref="D445">IF(Settings!$E$12="YES",VLOOKUP(A445,'Player Data'!A1:E673,5,FALSE),82)</f>
        <v>71.342500000000001</v>
      </c>
      <c r="E445" s="55" cm="1">
        <f t="array" ref="E445">(VLOOKUP($A445,'The List'!$B1:$AH671,17,FALSE)-AVERAGE('The List'!R2:R671))/STDEV('The List'!R2:R671)</f>
        <v>-1.2783493706537588</v>
      </c>
      <c r="F445" s="55" cm="1">
        <f t="array" ref="F445">(VLOOKUP($A445,'The List'!$B1:$AH671,18,FALSE)-AVERAGE('The List'!S2:S671))/STDEV('The List'!S2:S671)</f>
        <v>-0.83277931975371422</v>
      </c>
      <c r="G445" s="55" cm="1">
        <f t="array" ref="G445">(VLOOKUP($A445,'The List'!$B1:$AH671,19,FALSE)-AVERAGE('The List'!T2:T671))/STDEV('The List'!T2:T671)</f>
        <v>-0.72189139886029019</v>
      </c>
      <c r="H445" s="55" cm="1">
        <f t="array" ref="H445">(VLOOKUP($A445,'The List'!$B1:$AH671,20,FALSE)-AVERAGE('The List'!U2:U671))/STDEV('The List'!U2:U671)</f>
        <v>-0.82355194800630371</v>
      </c>
      <c r="I445" s="55" cm="1">
        <f t="array" ref="I445">(VLOOKUP($A445,'The List'!$B1:$AH671,21,FALSE)-AVERAGE('The List'!V2:V671))/STDEV('The List'!V2:V671)</f>
        <v>-0.64404223929345072</v>
      </c>
      <c r="J445" s="55" cm="1">
        <f t="array" ref="J445">(VLOOKUP($A445,'The List'!$B1:$AH671,22,FALSE)-AVERAGE('The List'!W2:W671))/STDEV('The List'!W2:W671)</f>
        <v>-0.73604448783741916</v>
      </c>
      <c r="K445" s="55" cm="1">
        <f t="array" ref="K445">(VLOOKUP($A445,'The List'!$B1:$AH671,23,FALSE)-AVERAGE('The List'!X2:X671))/STDEV('The List'!X2:X671)</f>
        <v>-0.79618212094700935</v>
      </c>
      <c r="L445" s="55" cm="1">
        <f t="array" ref="L445">(VLOOKUP($A445,'The List'!$B1:$AH671,24,FALSE)-AVERAGE('The List'!Y2:Y671))/STDEV('The List'!Y2:Y671)</f>
        <v>-0.18506669840485157</v>
      </c>
      <c r="M445" s="55" cm="1">
        <f t="array" ref="M445">(VLOOKUP($A445,'The List'!$B1:$AH671,25,FALSE)-AVERAGE('The List'!Z2:Z671))/STDEV('The List'!Z2:Z671)</f>
        <v>-0.32818404659181388</v>
      </c>
      <c r="N445" s="55" cm="1">
        <f t="array" ref="N445">(VLOOKUP($A445,'The List'!$B1:$AH671,26,FALSE)-AVERAGE('The List'!AA2:AA671))/STDEV('The List'!AA2:AA671)</f>
        <v>-0.96555789296512629</v>
      </c>
      <c r="O445" s="55" cm="1">
        <f t="array" ref="O445">(VLOOKUP($A445,'The List'!$B1:$AH671,27,FALSE)-AVERAGE('The List'!AB2:AB671))/STDEV('The List'!AB2:AB671)</f>
        <v>2.8631077328596213</v>
      </c>
      <c r="P445" s="55" cm="1">
        <f t="array" ref="P445">(VLOOKUP($A445,'The List'!$B1:$AH671,28,FALSE)-AVERAGE('The List'!AC2:AC671))/STDEV('The List'!AC2:AC671)</f>
        <v>-1.5050579004478806</v>
      </c>
      <c r="Q445" s="55" cm="1">
        <f t="array" ref="Q445">(VLOOKUP($A445,'The List'!$B1:$AH671,29,FALSE)-AVERAGE('The List'!AD2:AD671))/STDEV('The List'!AD2:AD671)</f>
        <v>1.1930614012204805</v>
      </c>
      <c r="R445" s="55" cm="1">
        <f t="array" ref="R445">(VLOOKUP($A445,'The List'!$B1:$AH671,30,FALSE)-AVERAGE('The List'!AE2:AE671))/STDEV('The List'!AE2:AE671)</f>
        <v>-0.8493743378594697</v>
      </c>
      <c r="S445" s="55" cm="1">
        <f t="array" ref="S445">(VLOOKUP($A445,'The List'!$B1:$AH671,31,FALSE)-AVERAGE('The List'!AF2:AF671))/STDEV('The List'!AF2:AF671)</f>
        <v>-0.36784896557063135</v>
      </c>
      <c r="T445" s="55" cm="1">
        <f t="array" ref="T445">(VLOOKUP($A445,'The List'!$B1:$AH671,32,FALSE)-AVERAGE('The List'!AG2:AG671))/STDEV('The List'!AG2:AG671)</f>
        <v>-0.32392775307932326</v>
      </c>
      <c r="U445" s="55" cm="1">
        <f t="array" ref="U445">(VLOOKUP($A445,'The List'!$B1:$AH671,33,FALSE)-AVERAGE('The List'!AH2:AH671))/STDEV('The List'!AH2:AH671)</f>
        <v>0.71164211027413471</v>
      </c>
      <c r="V445" s="55"/>
      <c r="W445" s="78"/>
      <c r="X445" s="57"/>
      <c r="Y445" s="57"/>
      <c r="Z445" s="57"/>
      <c r="AA445" s="57"/>
      <c r="AB445" s="57"/>
      <c r="AC445" s="60"/>
      <c r="AD445" s="61"/>
      <c r="AE445" s="55"/>
    </row>
    <row r="446" spans="1:31" ht="21.25" customHeight="1" x14ac:dyDescent="0.15">
      <c r="A446" s="10" t="s">
        <v>729</v>
      </c>
      <c r="B446" s="18" t="str" cm="1">
        <f t="array" ref="B446">VLOOKUP(A446,'Player Data'!A1:B673,2,FALSE)</f>
        <v>CHI</v>
      </c>
      <c r="C446" s="52" cm="1">
        <f t="array" ref="C446">((E446)*Settings!$C$12)+(F446*Settings!$C$2)+(G446*Settings!$C$3)+(H446*Settings!$C$4)+(I446*Settings!$C$5)+(K446*Settings!$C$9)+(N446*Settings!$C$6)+(J446*Settings!$C$8)+(O446*Settings!$C$7)+(P446*Settings!$C$14)+(Q446*Settings!$C$15)+(R446*Settings!$C$16)+(S446*Settings!$C$17)+(T446*Settings!$C$18)+(U446*Settings!$C$19)+(L446*Settings!$C$10)+(Settings!$C$11*M446)</f>
        <v>-6.028730439311019</v>
      </c>
      <c r="D446" s="57" cm="1">
        <f t="array" ref="D446">IF(Settings!$E$12="YES",VLOOKUP(A446,'Player Data'!A1:E673,5,FALSE),82)</f>
        <v>79.642499999999998</v>
      </c>
      <c r="E446" s="55" cm="1">
        <f t="array" ref="E446">(VLOOKUP($A446,'The List'!$B1:$AH671,17,FALSE)-AVERAGE('The List'!R2:R671))/STDEV('The List'!R2:R671)</f>
        <v>-1.3818878878303522</v>
      </c>
      <c r="F446" s="55" cm="1">
        <f t="array" ref="F446">(VLOOKUP($A446,'The List'!$B1:$AH671,18,FALSE)-AVERAGE('The List'!S2:S671))/STDEV('The List'!S2:S671)</f>
        <v>-0.38394984051222647</v>
      </c>
      <c r="G446" s="55" cm="1">
        <f t="array" ref="G446">(VLOOKUP($A446,'The List'!$B1:$AH671,19,FALSE)-AVERAGE('The List'!T2:T671))/STDEV('The List'!T2:T671)</f>
        <v>-0.89087630633174286</v>
      </c>
      <c r="H446" s="55" cm="1">
        <f t="array" ref="H446">(VLOOKUP($A446,'The List'!$B1:$AH671,20,FALSE)-AVERAGE('The List'!U2:U671))/STDEV('The List'!U2:U671)</f>
        <v>-0.73070668644894798</v>
      </c>
      <c r="I446" s="55" cm="1">
        <f t="array" ref="I446">(VLOOKUP($A446,'The List'!$B1:$AH671,21,FALSE)-AVERAGE('The List'!V2:V671))/STDEV('The List'!V2:V671)</f>
        <v>-0.89799918689099034</v>
      </c>
      <c r="J446" s="55" cm="1">
        <f t="array" ref="J446">(VLOOKUP($A446,'The List'!$B1:$AH671,22,FALSE)-AVERAGE('The List'!W2:W671))/STDEV('The List'!W2:W671)</f>
        <v>-0.74171970604931681</v>
      </c>
      <c r="K446" s="55" cm="1">
        <f t="array" ref="K446">(VLOOKUP($A446,'The List'!$B1:$AH671,23,FALSE)-AVERAGE('The List'!X2:X671))/STDEV('The List'!X2:X671)</f>
        <v>-0.80097290390072795</v>
      </c>
      <c r="L446" s="55" cm="1">
        <f t="array" ref="L446">(VLOOKUP($A446,'The List'!$B1:$AH671,24,FALSE)-AVERAGE('The List'!Y2:Y671))/STDEV('The List'!Y2:Y671)</f>
        <v>1.4767126877536663</v>
      </c>
      <c r="M446" s="55" cm="1">
        <f t="array" ref="M446">(VLOOKUP($A446,'The List'!$B1:$AH671,25,FALSE)-AVERAGE('The List'!Z2:Z671))/STDEV('The List'!Z2:Z671)</f>
        <v>0.68340166154365423</v>
      </c>
      <c r="N446" s="55" cm="1">
        <f t="array" ref="N446">(VLOOKUP($A446,'The List'!$B1:$AH671,26,FALSE)-AVERAGE('The List'!AA2:AA671))/STDEV('The List'!AA2:AA671)</f>
        <v>-0.76004055381852997</v>
      </c>
      <c r="O446" s="55" cm="1">
        <f t="array" ref="O446">(VLOOKUP($A446,'The List'!$B1:$AH671,27,FALSE)-AVERAGE('The List'!AB2:AB671))/STDEV('The List'!AB2:AB671)</f>
        <v>-0.14824746366075636</v>
      </c>
      <c r="P446" s="55" cm="1">
        <f t="array" ref="P446">(VLOOKUP($A446,'The List'!$B1:$AH671,28,FALSE)-AVERAGE('The List'!AC2:AC671))/STDEV('The List'!AC2:AC671)</f>
        <v>-1.7063082330879447</v>
      </c>
      <c r="Q446" s="55" cm="1">
        <f t="array" ref="Q446">(VLOOKUP($A446,'The List'!$B1:$AH671,29,FALSE)-AVERAGE('The List'!AD2:AD671))/STDEV('The List'!AD2:AD671)</f>
        <v>-0.58858341476885756</v>
      </c>
      <c r="R446" s="55" cm="1">
        <f t="array" ref="R446">(VLOOKUP($A446,'The List'!$B1:$AH671,30,FALSE)-AVERAGE('The List'!AE2:AE671))/STDEV('The List'!AE2:AE671)</f>
        <v>-0.57171889078304583</v>
      </c>
      <c r="S446" s="55" cm="1">
        <f t="array" ref="S446">(VLOOKUP($A446,'The List'!$B1:$AH671,31,FALSE)-AVERAGE('The List'!AF2:AF671))/STDEV('The List'!AF2:AF671)</f>
        <v>-0.57499191721104415</v>
      </c>
      <c r="T446" s="55" cm="1">
        <f t="array" ref="T446">(VLOOKUP($A446,'The List'!$B1:$AH671,32,FALSE)-AVERAGE('The List'!AG2:AG671))/STDEV('The List'!AG2:AG671)</f>
        <v>-0.61900660197847923</v>
      </c>
      <c r="U446" s="55" cm="1">
        <f t="array" ref="U446">(VLOOKUP($A446,'The List'!$B1:$AH671,33,FALSE)-AVERAGE('The List'!AH2:AH671))/STDEV('The List'!AH2:AH671)</f>
        <v>0.71232317240766196</v>
      </c>
      <c r="V446" s="55"/>
      <c r="W446" s="78"/>
      <c r="X446" s="57"/>
      <c r="Y446" s="57"/>
      <c r="Z446" s="57"/>
      <c r="AA446" s="57"/>
      <c r="AB446" s="57"/>
      <c r="AC446" s="60"/>
      <c r="AD446" s="61"/>
      <c r="AE446" s="55"/>
    </row>
    <row r="447" spans="1:31" ht="21.25" customHeight="1" x14ac:dyDescent="0.15">
      <c r="A447" s="10" t="s">
        <v>743</v>
      </c>
      <c r="B447" s="18" t="str" cm="1">
        <f t="array" ref="B447">VLOOKUP(A447,'Player Data'!A1:B673,2,FALSE)</f>
        <v>COL</v>
      </c>
      <c r="C447" s="52" cm="1">
        <f t="array" ref="C447">((E447)*Settings!$C$12)+(F447*Settings!$C$2)+(G447*Settings!$C$3)+(H447*Settings!$C$4)+(I447*Settings!$C$5)+(K447*Settings!$C$9)+(N447*Settings!$C$6)+(J447*Settings!$C$8)+(O447*Settings!$C$7)+(P447*Settings!$C$14)+(Q447*Settings!$C$15)+(R447*Settings!$C$16)+(S447*Settings!$C$17)+(T447*Settings!$C$18)+(U447*Settings!$C$19)+(L447*Settings!$C$10)+(Settings!$C$11*M447)</f>
        <v>-2.0911910991275029</v>
      </c>
      <c r="D447" s="57" cm="1">
        <f t="array" ref="D447">IF(Settings!$E$12="YES",VLOOKUP(A447,'Player Data'!A1:E673,5,FALSE),82)</f>
        <v>69.162499999999994</v>
      </c>
      <c r="E447" s="55" cm="1">
        <f t="array" ref="E447">(VLOOKUP($A447,'The List'!$B1:$AH671,17,FALSE)-AVERAGE('The List'!R2:R671))/STDEV('The List'!R2:R671)</f>
        <v>-0.98820196498958601</v>
      </c>
      <c r="F447" s="55" cm="1">
        <f t="array" ref="F447">(VLOOKUP($A447,'The List'!$B1:$AH671,18,FALSE)-AVERAGE('The List'!S2:S671))/STDEV('The List'!S2:S671)</f>
        <v>-0.52988695669384389</v>
      </c>
      <c r="G447" s="55" cm="1">
        <f t="array" ref="G447">(VLOOKUP($A447,'The List'!$B1:$AH671,19,FALSE)-AVERAGE('The List'!T2:T671))/STDEV('The List'!T2:T671)</f>
        <v>-0.99014691036446079</v>
      </c>
      <c r="H447" s="55" cm="1">
        <f t="array" ref="H447">(VLOOKUP($A447,'The List'!$B1:$AH671,20,FALSE)-AVERAGE('The List'!U2:U671))/STDEV('The List'!U2:U671)</f>
        <v>-0.85789649624168907</v>
      </c>
      <c r="I447" s="55" cm="1">
        <f t="array" ref="I447">(VLOOKUP($A447,'The List'!$B1:$AH671,21,FALSE)-AVERAGE('The List'!V2:V671))/STDEV('The List'!V2:V671)</f>
        <v>-0.7275753524693771</v>
      </c>
      <c r="J447" s="55" cm="1">
        <f t="array" ref="J447">(VLOOKUP($A447,'The List'!$B1:$AH671,22,FALSE)-AVERAGE('The List'!W2:W671))/STDEV('The List'!W2:W671)</f>
        <v>-0.64470877156990203</v>
      </c>
      <c r="K447" s="55" cm="1">
        <f t="array" ref="K447">(VLOOKUP($A447,'The List'!$B1:$AH671,23,FALSE)-AVERAGE('The List'!X2:X671))/STDEV('The List'!X2:X671)</f>
        <v>-0.65338307703808352</v>
      </c>
      <c r="L447" s="55" cm="1">
        <f t="array" ref="L447">(VLOOKUP($A447,'The List'!$B1:$AH671,24,FALSE)-AVERAGE('The List'!Y2:Y671))/STDEV('The List'!Y2:Y671)</f>
        <v>-0.14122285058716588</v>
      </c>
      <c r="M447" s="55" cm="1">
        <f t="array" ref="M447">(VLOOKUP($A447,'The List'!$B1:$AH671,25,FALSE)-AVERAGE('The List'!Z2:Z671))/STDEV('The List'!Z2:Z671)</f>
        <v>-0.28396232545588324</v>
      </c>
      <c r="N447" s="55" cm="1">
        <f t="array" ref="N447">(VLOOKUP($A447,'The List'!$B1:$AH671,26,FALSE)-AVERAGE('The List'!AA2:AA671))/STDEV('The List'!AA2:AA671)</f>
        <v>-0.69356234394121374</v>
      </c>
      <c r="O447" s="55" cm="1">
        <f t="array" ref="O447">(VLOOKUP($A447,'The List'!$B1:$AH671,27,FALSE)-AVERAGE('The List'!AB2:AB671))/STDEV('The List'!AB2:AB671)</f>
        <v>1.8277858795168422</v>
      </c>
      <c r="P447" s="55" cm="1">
        <f t="array" ref="P447">(VLOOKUP($A447,'The List'!$B1:$AH671,28,FALSE)-AVERAGE('The List'!AC2:AC671))/STDEV('The List'!AC2:AC671)</f>
        <v>1.1540349307245177</v>
      </c>
      <c r="Q447" s="55" cm="1">
        <f t="array" ref="Q447">(VLOOKUP($A447,'The List'!$B1:$AH671,29,FALSE)-AVERAGE('The List'!AD2:AD671))/STDEV('The List'!AD2:AD671)</f>
        <v>0.34932861065495846</v>
      </c>
      <c r="R447" s="55" cm="1">
        <f t="array" ref="R447">(VLOOKUP($A447,'The List'!$B1:$AH671,30,FALSE)-AVERAGE('The List'!AE2:AE671))/STDEV('The List'!AE2:AE671)</f>
        <v>-0.38422689732564602</v>
      </c>
      <c r="S447" s="55" cm="1">
        <f t="array" ref="S447">(VLOOKUP($A447,'The List'!$B1:$AH671,31,FALSE)-AVERAGE('The List'!AF2:AF671))/STDEV('The List'!AF2:AF671)</f>
        <v>-0.58361180691908154</v>
      </c>
      <c r="T447" s="55" cm="1">
        <f t="array" ref="T447">(VLOOKUP($A447,'The List'!$B1:$AH671,32,FALSE)-AVERAGE('The List'!AG2:AG671))/STDEV('The List'!AG2:AG671)</f>
        <v>-0.58370765586715834</v>
      </c>
      <c r="U447" s="55" cm="1">
        <f t="array" ref="U447">(VLOOKUP($A447,'The List'!$B1:$AH671,33,FALSE)-AVERAGE('The List'!AH2:AH671))/STDEV('The List'!AH2:AH671)</f>
        <v>-0.56358275724388507</v>
      </c>
      <c r="V447" s="55"/>
      <c r="W447" s="57"/>
      <c r="X447" s="55"/>
      <c r="Y447" s="55"/>
      <c r="Z447" s="55"/>
      <c r="AA447" s="55"/>
      <c r="AB447" s="55"/>
      <c r="AC447" s="55"/>
      <c r="AD447" s="55"/>
      <c r="AE447" s="55"/>
    </row>
    <row r="448" spans="1:31" ht="21.25" customHeight="1" x14ac:dyDescent="0.15">
      <c r="A448" s="10" t="s">
        <v>691</v>
      </c>
      <c r="B448" s="18" t="str" cm="1">
        <f t="array" ref="B448">VLOOKUP(A448,'Player Data'!A1:B673,2,FALSE)</f>
        <v>EDM</v>
      </c>
      <c r="C448" s="52" cm="1">
        <f t="array" ref="C448">((E448)*Settings!$C$12)+(F448*Settings!$C$2)+(G448*Settings!$C$3)+(H448*Settings!$C$4)+(I448*Settings!$C$5)+(K448*Settings!$C$9)+(N448*Settings!$C$6)+(J448*Settings!$C$8)+(O448*Settings!$C$7)+(P448*Settings!$C$14)+(Q448*Settings!$C$15)+(R448*Settings!$C$16)+(S448*Settings!$C$17)+(T448*Settings!$C$18)+(U448*Settings!$C$19)+(L448*Settings!$C$10)+(Settings!$C$11*M448)</f>
        <v>-2.8265198205379307</v>
      </c>
      <c r="D448" s="57" cm="1">
        <f t="array" ref="D448">IF(Settings!$E$12="YES",VLOOKUP(A448,'Player Data'!A1:E673,5,FALSE),82)</f>
        <v>77.672499999999999</v>
      </c>
      <c r="E448" s="55" cm="1">
        <f t="array" ref="E448">(VLOOKUP($A448,'The List'!$B1:$AH671,17,FALSE)-AVERAGE('The List'!R2:R671))/STDEV('The List'!R2:R671)</f>
        <v>-0.84799422802134361</v>
      </c>
      <c r="F448" s="55" cm="1">
        <f t="array" ref="F448">(VLOOKUP($A448,'The List'!$B1:$AH671,18,FALSE)-AVERAGE('The List'!S2:S671))/STDEV('The List'!S2:S671)</f>
        <v>-0.41242519572436437</v>
      </c>
      <c r="G448" s="55" cm="1">
        <f t="array" ref="G448">(VLOOKUP($A448,'The List'!$B1:$AH671,19,FALSE)-AVERAGE('The List'!T2:T671))/STDEV('The List'!T2:T671)</f>
        <v>-0.91819421260552347</v>
      </c>
      <c r="H448" s="55" cm="1">
        <f t="array" ref="H448">(VLOOKUP($A448,'The List'!$B1:$AH671,20,FALSE)-AVERAGE('The List'!U2:U671))/STDEV('The List'!U2:U671)</f>
        <v>-0.76052340097802307</v>
      </c>
      <c r="I448" s="55" cm="1">
        <f t="array" ref="I448">(VLOOKUP($A448,'The List'!$B1:$AH671,21,FALSE)-AVERAGE('The List'!V2:V671))/STDEV('The List'!V2:V671)</f>
        <v>-0.82146459131838723</v>
      </c>
      <c r="J448" s="55" cm="1">
        <f t="array" ref="J448">(VLOOKUP($A448,'The List'!$B1:$AH671,22,FALSE)-AVERAGE('The List'!W2:W671))/STDEV('The List'!W2:W671)</f>
        <v>-0.72179568424313922</v>
      </c>
      <c r="K448" s="55" cm="1">
        <f t="array" ref="K448">(VLOOKUP($A448,'The List'!$B1:$AH671,23,FALSE)-AVERAGE('The List'!X2:X671))/STDEV('The List'!X2:X671)</f>
        <v>-0.79538583583430644</v>
      </c>
      <c r="L448" s="55" cm="1">
        <f t="array" ref="L448">(VLOOKUP($A448,'The List'!$B1:$AH671,24,FALSE)-AVERAGE('The List'!Y2:Y671))/STDEV('The List'!Y2:Y671)</f>
        <v>0.60989446388497015</v>
      </c>
      <c r="M448" s="55" cm="1">
        <f t="array" ref="M448">(VLOOKUP($A448,'The List'!$B1:$AH671,25,FALSE)-AVERAGE('The List'!Z2:Z671))/STDEV('The List'!Z2:Z671)</f>
        <v>0.66793338369286959</v>
      </c>
      <c r="N448" s="55" cm="1">
        <f t="array" ref="N448">(VLOOKUP($A448,'The List'!$B1:$AH671,26,FALSE)-AVERAGE('The List'!AA2:AA671))/STDEV('The List'!AA2:AA671)</f>
        <v>-0.23935789906205576</v>
      </c>
      <c r="O448" s="55" cm="1">
        <f t="array" ref="O448">(VLOOKUP($A448,'The List'!$B1:$AH671,27,FALSE)-AVERAGE('The List'!AB2:AB671))/STDEV('The List'!AB2:AB671)</f>
        <v>0.30840518792435784</v>
      </c>
      <c r="P448" s="55" cm="1">
        <f t="array" ref="P448">(VLOOKUP($A448,'The List'!$B1:$AH671,28,FALSE)-AVERAGE('The List'!AC2:AC671))/STDEV('The List'!AC2:AC671)</f>
        <v>0.85902298542098032</v>
      </c>
      <c r="Q448" s="55" cm="1">
        <f t="array" ref="Q448">(VLOOKUP($A448,'The List'!$B1:$AH671,29,FALSE)-AVERAGE('The List'!AD2:AD671))/STDEV('The List'!AD2:AD671)</f>
        <v>-0.49871507141427324</v>
      </c>
      <c r="R448" s="55" cm="1">
        <f t="array" ref="R448">(VLOOKUP($A448,'The List'!$B1:$AH671,30,FALSE)-AVERAGE('The List'!AE2:AE671))/STDEV('The List'!AE2:AE671)</f>
        <v>-0.28137540657896892</v>
      </c>
      <c r="S448" s="55" cm="1">
        <f t="array" ref="S448">(VLOOKUP($A448,'The List'!$B1:$AH671,31,FALSE)-AVERAGE('The List'!AF2:AF671))/STDEV('The List'!AF2:AF671)</f>
        <v>1.6726048572133427</v>
      </c>
      <c r="T448" s="55" cm="1">
        <f t="array" ref="T448">(VLOOKUP($A448,'The List'!$B1:$AH671,32,FALSE)-AVERAGE('The List'!AG2:AG671))/STDEV('The List'!AG2:AG671)</f>
        <v>1.8097861412938732</v>
      </c>
      <c r="U448" s="55" cm="1">
        <f t="array" ref="U448">(VLOOKUP($A448,'The List'!$B1:$AH671,33,FALSE)-AVERAGE('The List'!AH2:AH671))/STDEV('The List'!AH2:AH671)</f>
        <v>1.0237247837258998</v>
      </c>
      <c r="V448" s="55"/>
      <c r="W448" s="78"/>
      <c r="X448" s="57"/>
      <c r="Y448" s="57"/>
      <c r="Z448" s="57"/>
      <c r="AA448" s="57"/>
      <c r="AB448" s="57"/>
      <c r="AC448" s="60"/>
      <c r="AD448" s="61"/>
      <c r="AE448" s="55"/>
    </row>
    <row r="449" spans="1:31" ht="21.25" customHeight="1" x14ac:dyDescent="0.15">
      <c r="A449" s="10" t="s">
        <v>457</v>
      </c>
      <c r="B449" s="18" t="str" cm="1">
        <f t="array" ref="B449">VLOOKUP(A449,'Player Data'!A1:B673,2,FALSE)</f>
        <v>PHI</v>
      </c>
      <c r="C449" s="52" cm="1">
        <f t="array" ref="C449">((E449)*Settings!$C$12)+(F449*Settings!$C$2)+(G449*Settings!$C$3)+(H449*Settings!$C$4)+(I449*Settings!$C$5)+(K449*Settings!$C$9)+(N449*Settings!$C$6)+(J449*Settings!$C$8)+(O449*Settings!$C$7)+(P449*Settings!$C$14)+(Q449*Settings!$C$15)+(R449*Settings!$C$16)+(S449*Settings!$C$17)+(T449*Settings!$C$18)+(U449*Settings!$C$19)+(L449*Settings!$C$10)+(Settings!$C$11*M449)</f>
        <v>-2.4367263100477707</v>
      </c>
      <c r="D449" s="57" cm="1">
        <f t="array" ref="D449">IF(Settings!$E$12="YES",VLOOKUP(A449,'Player Data'!A1:E673,5,FALSE),82)</f>
        <v>69.572500000000005</v>
      </c>
      <c r="E449" s="55" cm="1">
        <f t="array" ref="E449">(VLOOKUP($A449,'The List'!$B1:$AH671,17,FALSE)-AVERAGE('The List'!R2:R671))/STDEV('The List'!R2:R671)</f>
        <v>1.1002691836013749</v>
      </c>
      <c r="F449" s="55" cm="1">
        <f t="array" ref="F449">(VLOOKUP($A449,'The List'!$B1:$AH671,18,FALSE)-AVERAGE('The List'!S2:S671))/STDEV('The List'!S2:S671)</f>
        <v>-1.1525048788803431</v>
      </c>
      <c r="G449" s="55" cm="1">
        <f t="array" ref="G449">(VLOOKUP($A449,'The List'!$B1:$AH671,19,FALSE)-AVERAGE('The List'!T2:T671))/STDEV('The List'!T2:T671)</f>
        <v>-0.54499170535835928</v>
      </c>
      <c r="H449" s="55" cm="1">
        <f t="array" ref="H449">(VLOOKUP($A449,'The List'!$B1:$AH671,20,FALSE)-AVERAGE('The List'!U2:U671))/STDEV('The List'!U2:U671)</f>
        <v>-0.85413825001058152</v>
      </c>
      <c r="I449" s="55" cm="1">
        <f t="array" ref="I449">(VLOOKUP($A449,'The List'!$B1:$AH671,21,FALSE)-AVERAGE('The List'!V2:V671))/STDEV('The List'!V2:V671)</f>
        <v>-0.65781519269836208</v>
      </c>
      <c r="J449" s="55" cm="1">
        <f t="array" ref="J449">(VLOOKUP($A449,'The List'!$B1:$AH671,22,FALSE)-AVERAGE('The List'!W2:W671))/STDEV('The List'!W2:W671)</f>
        <v>-0.73797134421169952</v>
      </c>
      <c r="K449" s="55" cm="1">
        <f t="array" ref="K449">(VLOOKUP($A449,'The List'!$B1:$AH671,23,FALSE)-AVERAGE('The List'!X2:X671))/STDEV('The List'!X2:X671)</f>
        <v>-0.68534441719309014</v>
      </c>
      <c r="L449" s="55" cm="1">
        <f t="array" ref="L449">(VLOOKUP($A449,'The List'!$B1:$AH671,24,FALSE)-AVERAGE('The List'!Y2:Y671))/STDEV('The List'!Y2:Y671)</f>
        <v>-0.54069761391474347</v>
      </c>
      <c r="M449" s="55" cm="1">
        <f t="array" ref="M449">(VLOOKUP($A449,'The List'!$B1:$AH671,25,FALSE)-AVERAGE('The List'!Z2:Z671))/STDEV('The List'!Z2:Z671)</f>
        <v>6.0127089017515525E-2</v>
      </c>
      <c r="N449" s="55" cm="1">
        <f t="array" ref="N449">(VLOOKUP($A449,'The List'!$B1:$AH671,26,FALSE)-AVERAGE('The List'!AA2:AA671))/STDEV('The List'!AA2:AA671)</f>
        <v>1.0683345546756899</v>
      </c>
      <c r="O449" s="55" cm="1">
        <f t="array" ref="O449">(VLOOKUP($A449,'The List'!$B1:$AH671,27,FALSE)-AVERAGE('The List'!AB2:AB671))/STDEV('The List'!AB2:AB671)</f>
        <v>-2.1736527115847289E-2</v>
      </c>
      <c r="P449" s="55" cm="1">
        <f t="array" ref="P449">(VLOOKUP($A449,'The List'!$B1:$AH671,28,FALSE)-AVERAGE('The List'!AC2:AC671))/STDEV('The List'!AC2:AC671)</f>
        <v>9.6421529177614929E-2</v>
      </c>
      <c r="Q449" s="55" cm="1">
        <f t="array" ref="Q449">(VLOOKUP($A449,'The List'!$B1:$AH671,29,FALSE)-AVERAGE('The List'!AD2:AD671))/STDEV('The List'!AD2:AD671)</f>
        <v>-0.56082619977092096</v>
      </c>
      <c r="R449" s="55" cm="1">
        <f t="array" ref="R449">(VLOOKUP($A449,'The List'!$B1:$AH671,30,FALSE)-AVERAGE('The List'!AE2:AE671))/STDEV('The List'!AE2:AE671)</f>
        <v>-1.1171485659943114</v>
      </c>
      <c r="S449" s="55" cm="1">
        <f t="array" ref="S449">(VLOOKUP($A449,'The List'!$B1:$AH671,31,FALSE)-AVERAGE('The List'!AF2:AF671))/STDEV('The List'!AF2:AF671)</f>
        <v>-0.5939690971349143</v>
      </c>
      <c r="T449" s="55" cm="1">
        <f t="array" ref="T449">(VLOOKUP($A449,'The List'!$B1:$AH671,32,FALSE)-AVERAGE('The List'!AG2:AG671))/STDEV('The List'!AG2:AG671)</f>
        <v>-0.64602208138248207</v>
      </c>
      <c r="U449" s="55" cm="1">
        <f t="array" ref="U449">(VLOOKUP($A449,'The List'!$B1:$AH671,33,FALSE)-AVERAGE('The List'!AH2:AH671))/STDEV('The List'!AH2:AH671)</f>
        <v>-1.2548938914719048</v>
      </c>
      <c r="V449" s="55"/>
      <c r="W449" s="78"/>
      <c r="X449" s="57"/>
      <c r="Y449" s="57"/>
      <c r="Z449" s="57"/>
      <c r="AA449" s="57"/>
      <c r="AB449" s="57"/>
      <c r="AC449" s="60"/>
      <c r="AD449" s="61"/>
      <c r="AE449" s="55"/>
    </row>
    <row r="450" spans="1:31" ht="21.25" customHeight="1" x14ac:dyDescent="0.15">
      <c r="A450" s="10" t="s">
        <v>764</v>
      </c>
      <c r="B450" s="18" t="str" cm="1">
        <f t="array" ref="B450">VLOOKUP(A450,'Player Data'!A1:B673,2,FALSE)</f>
        <v>VGK</v>
      </c>
      <c r="C450" s="52" cm="1">
        <f t="array" ref="C450">((E450)*Settings!$C$12)+(F450*Settings!$C$2)+(G450*Settings!$C$3)+(H450*Settings!$C$4)+(I450*Settings!$C$5)+(K450*Settings!$C$9)+(N450*Settings!$C$6)+(J450*Settings!$C$8)+(O450*Settings!$C$7)+(P450*Settings!$C$14)+(Q450*Settings!$C$15)+(R450*Settings!$C$16)+(S450*Settings!$C$17)+(T450*Settings!$C$18)+(U450*Settings!$C$19)+(L450*Settings!$C$10)+(Settings!$C$11*M450)</f>
        <v>-4.9259587891896555</v>
      </c>
      <c r="D450" s="57" cm="1">
        <f t="array" ref="D450">IF(Settings!$E$12="YES",VLOOKUP(A450,'Player Data'!A1:E673,5,FALSE),82)</f>
        <v>70.457499999999996</v>
      </c>
      <c r="E450" s="55" cm="1">
        <f t="array" ref="E450">(VLOOKUP($A450,'The List'!$B1:$AH671,17,FALSE)-AVERAGE('The List'!R2:R671))/STDEV('The List'!R2:R671)</f>
        <v>-1.6397505915830353</v>
      </c>
      <c r="F450" s="55" cm="1">
        <f t="array" ref="F450">(VLOOKUP($A450,'The List'!$B1:$AH671,18,FALSE)-AVERAGE('The List'!S2:S671))/STDEV('The List'!S2:S671)</f>
        <v>-0.63611679963670498</v>
      </c>
      <c r="G450" s="55" cm="1">
        <f t="array" ref="G450">(VLOOKUP($A450,'The List'!$B1:$AH671,19,FALSE)-AVERAGE('The List'!T2:T671))/STDEV('The List'!T2:T671)</f>
        <v>-0.89859096992786958</v>
      </c>
      <c r="H450" s="55" cm="1">
        <f t="array" ref="H450">(VLOOKUP($A450,'The List'!$B1:$AH671,20,FALSE)-AVERAGE('The List'!U2:U671))/STDEV('The List'!U2:U671)</f>
        <v>-0.84744016342622097</v>
      </c>
      <c r="I450" s="55" cm="1">
        <f t="array" ref="I450">(VLOOKUP($A450,'The List'!$B1:$AH671,21,FALSE)-AVERAGE('The List'!V2:V671))/STDEV('The List'!V2:V671)</f>
        <v>-0.82603010171376534</v>
      </c>
      <c r="J450" s="55" cm="1">
        <f t="array" ref="J450">(VLOOKUP($A450,'The List'!$B1:$AH671,22,FALSE)-AVERAGE('The List'!W2:W671))/STDEV('The List'!W2:W671)</f>
        <v>-0.7382152176064517</v>
      </c>
      <c r="K450" s="55" cm="1">
        <f t="array" ref="K450">(VLOOKUP($A450,'The List'!$B1:$AH671,23,FALSE)-AVERAGE('The List'!X2:X671))/STDEV('The List'!X2:X671)</f>
        <v>-0.80282165582745013</v>
      </c>
      <c r="L450" s="55" cm="1">
        <f t="array" ref="L450">(VLOOKUP($A450,'The List'!$B1:$AH671,24,FALSE)-AVERAGE('The List'!Y2:Y671))/STDEV('The List'!Y2:Y671)</f>
        <v>-0.51367744440403429</v>
      </c>
      <c r="M450" s="55" cm="1">
        <f t="array" ref="M450">(VLOOKUP($A450,'The List'!$B1:$AH671,25,FALSE)-AVERAGE('The List'!Z2:Z671))/STDEV('The List'!Z2:Z671)</f>
        <v>-0.65649517445721894</v>
      </c>
      <c r="N450" s="55" cm="1">
        <f t="array" ref="N450">(VLOOKUP($A450,'The List'!$B1:$AH671,26,FALSE)-AVERAGE('The List'!AA2:AA671))/STDEV('The List'!AA2:AA671)</f>
        <v>-1.0005645519985735</v>
      </c>
      <c r="O450" s="55" cm="1">
        <f t="array" ref="O450">(VLOOKUP($A450,'The List'!$B1:$AH671,27,FALSE)-AVERAGE('The List'!AB2:AB671))/STDEV('The List'!AB2:AB671)</f>
        <v>-0.32633187985268969</v>
      </c>
      <c r="P450" s="55" cm="1">
        <f t="array" ref="P450">(VLOOKUP($A450,'The List'!$B1:$AH671,28,FALSE)-AVERAGE('The List'!AC2:AC671))/STDEV('The List'!AC2:AC671)</f>
        <v>0.4659239699254723</v>
      </c>
      <c r="Q450" s="55" cm="1">
        <f t="array" ref="Q450">(VLOOKUP($A450,'The List'!$B1:$AH671,29,FALSE)-AVERAGE('The List'!AD2:AD671))/STDEV('The List'!AD2:AD671)</f>
        <v>-1.227758680010764</v>
      </c>
      <c r="R450" s="55" cm="1">
        <f t="array" ref="R450">(VLOOKUP($A450,'The List'!$B1:$AH671,30,FALSE)-AVERAGE('The List'!AE2:AE671))/STDEV('The List'!AE2:AE671)</f>
        <v>-0.45677308228891883</v>
      </c>
      <c r="S450" s="55" cm="1">
        <f t="array" ref="S450">(VLOOKUP($A450,'The List'!$B1:$AH671,31,FALSE)-AVERAGE('The List'!AF2:AF671))/STDEV('The List'!AF2:AF671)</f>
        <v>-0.56295320295138174</v>
      </c>
      <c r="T450" s="55" cm="1">
        <f t="array" ref="T450">(VLOOKUP($A450,'The List'!$B1:$AH671,32,FALSE)-AVERAGE('The List'!AG2:AG671))/STDEV('The List'!AG2:AG671)</f>
        <v>-0.54869385518903036</v>
      </c>
      <c r="U450" s="55" cm="1">
        <f t="array" ref="U450">(VLOOKUP($A450,'The List'!$B1:$AH671,33,FALSE)-AVERAGE('The List'!AH2:AH671))/STDEV('The List'!AH2:AH671)</f>
        <v>-9.0126598328788818E-2</v>
      </c>
      <c r="V450" s="55"/>
      <c r="W450" s="78"/>
      <c r="X450" s="57"/>
      <c r="Y450" s="57"/>
      <c r="Z450" s="57"/>
      <c r="AA450" s="57"/>
      <c r="AB450" s="57"/>
      <c r="AC450" s="60"/>
      <c r="AD450" s="61"/>
      <c r="AE450" s="55"/>
    </row>
    <row r="451" spans="1:31" ht="21.25" customHeight="1" x14ac:dyDescent="0.15">
      <c r="A451" s="10" t="s">
        <v>503</v>
      </c>
      <c r="B451" s="18" t="str" cm="1">
        <f t="array" ref="B451">VLOOKUP(A451,'Player Data'!A1:B673,2,FALSE)</f>
        <v>NSH</v>
      </c>
      <c r="C451" s="52" cm="1">
        <f t="array" ref="C451">((E451)*Settings!$C$12)+(F451*Settings!$C$2)+(G451*Settings!$C$3)+(H451*Settings!$C$4)+(I451*Settings!$C$5)+(K451*Settings!$C$9)+(N451*Settings!$C$6)+(J451*Settings!$C$8)+(O451*Settings!$C$7)+(P451*Settings!$C$14)+(Q451*Settings!$C$15)+(R451*Settings!$C$16)+(S451*Settings!$C$17)+(T451*Settings!$C$18)+(U451*Settings!$C$19)+(L451*Settings!$C$10)+(Settings!$C$11*M451)</f>
        <v>-3.4974670541777693</v>
      </c>
      <c r="D451" s="57" cm="1">
        <f t="array" ref="D451">IF(Settings!$E$12="YES",VLOOKUP(A451,'Player Data'!A1:E673,5,FALSE),82)</f>
        <v>74.069999999999993</v>
      </c>
      <c r="E451" s="55" cm="1">
        <f t="array" ref="E451">(VLOOKUP($A451,'The List'!$B1:$AH671,17,FALSE)-AVERAGE('The List'!R2:R671))/STDEV('The List'!R2:R671)</f>
        <v>0.16688482321885731</v>
      </c>
      <c r="F451" s="55" cm="1">
        <f t="array" ref="F451">(VLOOKUP($A451,'The List'!$B1:$AH671,18,FALSE)-AVERAGE('The List'!S2:S671))/STDEV('The List'!S2:S671)</f>
        <v>-1.1043364187216245</v>
      </c>
      <c r="G451" s="55" cm="1">
        <f t="array" ref="G451">(VLOOKUP($A451,'The List'!$B1:$AH671,19,FALSE)-AVERAGE('The List'!T2:T671))/STDEV('The List'!T2:T671)</f>
        <v>-0.50525643931617092</v>
      </c>
      <c r="H451" s="55" cm="1">
        <f t="array" ref="H451">(VLOOKUP($A451,'The List'!$B1:$AH671,20,FALSE)-AVERAGE('The List'!U2:U671))/STDEV('The List'!U2:U671)</f>
        <v>-0.80777367945494194</v>
      </c>
      <c r="I451" s="55" cm="1">
        <f t="array" ref="I451">(VLOOKUP($A451,'The List'!$B1:$AH671,21,FALSE)-AVERAGE('The List'!V2:V671))/STDEV('The List'!V2:V671)</f>
        <v>-0.80825966272836935</v>
      </c>
      <c r="J451" s="55" cm="1">
        <f t="array" ref="J451">(VLOOKUP($A451,'The List'!$B1:$AH671,22,FALSE)-AVERAGE('The List'!W2:W671))/STDEV('The List'!W2:W671)</f>
        <v>-0.74844602947334493</v>
      </c>
      <c r="K451" s="55" cm="1">
        <f t="array" ref="K451">(VLOOKUP($A451,'The List'!$B1:$AH671,23,FALSE)-AVERAGE('The List'!X2:X671))/STDEV('The List'!X2:X671)</f>
        <v>-0.80651716991117051</v>
      </c>
      <c r="L451" s="55" cm="1">
        <f t="array" ref="L451">(VLOOKUP($A451,'The List'!$B1:$AH671,24,FALSE)-AVERAGE('The List'!Y2:Y671))/STDEV('The List'!Y2:Y671)</f>
        <v>-0.4784019737499241</v>
      </c>
      <c r="M451" s="55" cm="1">
        <f t="array" ref="M451">(VLOOKUP($A451,'The List'!$B1:$AH671,25,FALSE)-AVERAGE('The List'!Z2:Z671))/STDEV('The List'!Z2:Z671)</f>
        <v>-0.5291936547781646</v>
      </c>
      <c r="N451" s="55" cm="1">
        <f t="array" ref="N451">(VLOOKUP($A451,'The List'!$B1:$AH671,26,FALSE)-AVERAGE('The List'!AA2:AA671))/STDEV('The List'!AA2:AA671)</f>
        <v>0.27715788601270813</v>
      </c>
      <c r="O451" s="55" cm="1">
        <f t="array" ref="O451">(VLOOKUP($A451,'The List'!$B1:$AH671,27,FALSE)-AVERAGE('The List'!AB2:AB671))/STDEV('The List'!AB2:AB671)</f>
        <v>-0.61358795659671084</v>
      </c>
      <c r="P451" s="55" cm="1">
        <f t="array" ref="P451">(VLOOKUP($A451,'The List'!$B1:$AH671,28,FALSE)-AVERAGE('The List'!AC2:AC671))/STDEV('The List'!AC2:AC671)</f>
        <v>-0.65732135470486042</v>
      </c>
      <c r="Q451" s="55" cm="1">
        <f t="array" ref="Q451">(VLOOKUP($A451,'The List'!$B1:$AH671,29,FALSE)-AVERAGE('The List'!AD2:AD671))/STDEV('The List'!AD2:AD671)</f>
        <v>0.10706610519171798</v>
      </c>
      <c r="R451" s="55" cm="1">
        <f t="array" ref="R451">(VLOOKUP($A451,'The List'!$B1:$AH671,30,FALSE)-AVERAGE('The List'!AE2:AE671))/STDEV('The List'!AE2:AE671)</f>
        <v>-1.1021130632015785</v>
      </c>
      <c r="S451" s="55" cm="1">
        <f t="array" ref="S451">(VLOOKUP($A451,'The List'!$B1:$AH671,31,FALSE)-AVERAGE('The List'!AF2:AF671))/STDEV('The List'!AF2:AF671)</f>
        <v>-0.5939690971349143</v>
      </c>
      <c r="T451" s="55" cm="1">
        <f t="array" ref="T451">(VLOOKUP($A451,'The List'!$B1:$AH671,32,FALSE)-AVERAGE('The List'!AG2:AG671))/STDEV('The List'!AG2:AG671)</f>
        <v>-0.64602208138248207</v>
      </c>
      <c r="U451" s="55" cm="1">
        <f t="array" ref="U451">(VLOOKUP($A451,'The List'!$B1:$AH671,33,FALSE)-AVERAGE('The List'!AH2:AH671))/STDEV('The List'!AH2:AH671)</f>
        <v>-1.2548938914719048</v>
      </c>
      <c r="V451" s="55"/>
      <c r="W451" s="78"/>
      <c r="X451" s="57"/>
      <c r="Y451" s="57"/>
      <c r="Z451" s="57"/>
      <c r="AA451" s="57"/>
      <c r="AB451" s="57"/>
      <c r="AC451" s="60"/>
      <c r="AD451" s="61"/>
      <c r="AE451" s="55"/>
    </row>
    <row r="452" spans="1:31" ht="21.25" customHeight="1" x14ac:dyDescent="0.15">
      <c r="A452" s="10" t="s">
        <v>382</v>
      </c>
      <c r="B452" s="18" t="str" cm="1">
        <f t="array" ref="B452">VLOOKUP(A452,'Player Data'!A1:B673,2,FALSE)</f>
        <v>NYI</v>
      </c>
      <c r="C452" s="52" cm="1">
        <f t="array" ref="C452">((E452)*Settings!$C$12)+(F452*Settings!$C$2)+(G452*Settings!$C$3)+(H452*Settings!$C$4)+(I452*Settings!$C$5)+(K452*Settings!$C$9)+(N452*Settings!$C$6)+(J452*Settings!$C$8)+(O452*Settings!$C$7)+(P452*Settings!$C$14)+(Q452*Settings!$C$15)+(R452*Settings!$C$16)+(S452*Settings!$C$17)+(T452*Settings!$C$18)+(U452*Settings!$C$19)+(L452*Settings!$C$10)+(Settings!$C$11*M452)</f>
        <v>-2.5051712781080728</v>
      </c>
      <c r="D452" s="57" cm="1">
        <f t="array" ref="D452">IF(Settings!$E$12="YES",VLOOKUP(A452,'Player Data'!A1:E673,5,FALSE),82)</f>
        <v>79.465000000000003</v>
      </c>
      <c r="E452" s="55" cm="1">
        <f t="array" ref="E452">(VLOOKUP($A452,'The List'!$B1:$AH671,17,FALSE)-AVERAGE('The List'!R2:R671))/STDEV('The List'!R2:R671)</f>
        <v>1.0112564057268831</v>
      </c>
      <c r="F452" s="55" cm="1">
        <f t="array" ref="F452">(VLOOKUP($A452,'The List'!$B1:$AH671,18,FALSE)-AVERAGE('The List'!S2:S671))/STDEV('The List'!S2:S671)</f>
        <v>-1.1445052031600251</v>
      </c>
      <c r="G452" s="55" cm="1">
        <f t="array" ref="G452">(VLOOKUP($A452,'The List'!$B1:$AH671,19,FALSE)-AVERAGE('The List'!T2:T671))/STDEV('The List'!T2:T671)</f>
        <v>-0.38469720009552416</v>
      </c>
      <c r="H452" s="55" cm="1">
        <f t="array" ref="H452">(VLOOKUP($A452,'The List'!$B1:$AH671,20,FALSE)-AVERAGE('The List'!U2:U671))/STDEV('The List'!U2:U671)</f>
        <v>-0.74976457018035925</v>
      </c>
      <c r="I452" s="55" cm="1">
        <f t="array" ref="I452">(VLOOKUP($A452,'The List'!$B1:$AH671,21,FALSE)-AVERAGE('The List'!V2:V671))/STDEV('The List'!V2:V671)</f>
        <v>-0.75200536672712515</v>
      </c>
      <c r="J452" s="55" cm="1">
        <f t="array" ref="J452">(VLOOKUP($A452,'The List'!$B1:$AH671,22,FALSE)-AVERAGE('The List'!W2:W671))/STDEV('The List'!W2:W671)</f>
        <v>-0.7428034258850259</v>
      </c>
      <c r="K452" s="55" cm="1">
        <f t="array" ref="K452">(VLOOKUP($A452,'The List'!$B1:$AH671,23,FALSE)-AVERAGE('The List'!X2:X671))/STDEV('The List'!X2:X671)</f>
        <v>-0.79661311366533216</v>
      </c>
      <c r="L452" s="55" cm="1">
        <f t="array" ref="L452">(VLOOKUP($A452,'The List'!$B1:$AH671,24,FALSE)-AVERAGE('The List'!Y2:Y671))/STDEV('The List'!Y2:Y671)</f>
        <v>-0.54112484816549955</v>
      </c>
      <c r="M452" s="55" cm="1">
        <f t="array" ref="M452">(VLOOKUP($A452,'The List'!$B1:$AH671,25,FALSE)-AVERAGE('The List'!Z2:Z671))/STDEV('The List'!Z2:Z671)</f>
        <v>0.49049923691255959</v>
      </c>
      <c r="N452" s="55" cm="1">
        <f t="array" ref="N452">(VLOOKUP($A452,'The List'!$B1:$AH671,26,FALSE)-AVERAGE('The List'!AA2:AA671))/STDEV('The List'!AA2:AA671)</f>
        <v>2.2923796967314565</v>
      </c>
      <c r="O452" s="55" cm="1">
        <f t="array" ref="O452">(VLOOKUP($A452,'The List'!$B1:$AH671,27,FALSE)-AVERAGE('The List'!AB2:AB671))/STDEV('The List'!AB2:AB671)</f>
        <v>-0.29400761332160924</v>
      </c>
      <c r="P452" s="55" cm="1">
        <f t="array" ref="P452">(VLOOKUP($A452,'The List'!$B1:$AH671,28,FALSE)-AVERAGE('The List'!AC2:AC671))/STDEV('The List'!AC2:AC671)</f>
        <v>-0.85837743750679585</v>
      </c>
      <c r="Q452" s="55" cm="1">
        <f t="array" ref="Q452">(VLOOKUP($A452,'The List'!$B1:$AH671,29,FALSE)-AVERAGE('The List'!AD2:AD671))/STDEV('The List'!AD2:AD671)</f>
        <v>-0.86135265368472713</v>
      </c>
      <c r="R452" s="55" cm="1">
        <f t="array" ref="R452">(VLOOKUP($A452,'The List'!$B1:$AH671,30,FALSE)-AVERAGE('The List'!AE2:AE671))/STDEV('The List'!AE2:AE671)</f>
        <v>-1.1262378415271272</v>
      </c>
      <c r="S452" s="55" cm="1">
        <f t="array" ref="S452">(VLOOKUP($A452,'The List'!$B1:$AH671,31,FALSE)-AVERAGE('The List'!AF2:AF671))/STDEV('The List'!AF2:AF671)</f>
        <v>-0.5939690971349143</v>
      </c>
      <c r="T452" s="55" cm="1">
        <f t="array" ref="T452">(VLOOKUP($A452,'The List'!$B1:$AH671,32,FALSE)-AVERAGE('The List'!AG2:AG671))/STDEV('The List'!AG2:AG671)</f>
        <v>-0.64602208138248207</v>
      </c>
      <c r="U452" s="55" cm="1">
        <f t="array" ref="U452">(VLOOKUP($A452,'The List'!$B1:$AH671,33,FALSE)-AVERAGE('The List'!AH2:AH671))/STDEV('The List'!AH2:AH671)</f>
        <v>-1.2548938914719048</v>
      </c>
      <c r="V452" s="55"/>
      <c r="W452" s="78"/>
      <c r="X452" s="57"/>
      <c r="Y452" s="57"/>
      <c r="Z452" s="57"/>
      <c r="AA452" s="57"/>
      <c r="AB452" s="57"/>
      <c r="AC452" s="60"/>
      <c r="AD452" s="61"/>
      <c r="AE452" s="55"/>
    </row>
    <row r="453" spans="1:31" ht="21.25" customHeight="1" x14ac:dyDescent="0.15">
      <c r="A453" s="10" t="s">
        <v>734</v>
      </c>
      <c r="B453" s="18" t="str" cm="1">
        <f t="array" ref="B453">VLOOKUP(A453,'Player Data'!A1:B673,2,FALSE)</f>
        <v>CAR</v>
      </c>
      <c r="C453" s="52" cm="1">
        <f t="array" ref="C453">((E453)*Settings!$C$12)+(F453*Settings!$C$2)+(G453*Settings!$C$3)+(H453*Settings!$C$4)+(I453*Settings!$C$5)+(K453*Settings!$C$9)+(N453*Settings!$C$6)+(J453*Settings!$C$8)+(O453*Settings!$C$7)+(P453*Settings!$C$14)+(Q453*Settings!$C$15)+(R453*Settings!$C$16)+(S453*Settings!$C$17)+(T453*Settings!$C$18)+(U453*Settings!$C$19)+(L453*Settings!$C$10)+(Settings!$C$11*M453)</f>
        <v>-3.9996917108585679</v>
      </c>
      <c r="D453" s="57" cm="1">
        <f t="array" ref="D453">IF(Settings!$E$12="YES",VLOOKUP(A453,'Player Data'!A1:E673,5,FALSE),82)</f>
        <v>77.867500000000007</v>
      </c>
      <c r="E453" s="55" cm="1">
        <f t="array" ref="E453">(VLOOKUP($A453,'The List'!$B1:$AH671,17,FALSE)-AVERAGE('The List'!R2:R671))/STDEV('The List'!R2:R671)</f>
        <v>-1.4417183719722388</v>
      </c>
      <c r="F453" s="55" cm="1">
        <f t="array" ref="F453">(VLOOKUP($A453,'The List'!$B1:$AH671,18,FALSE)-AVERAGE('The List'!S2:S671))/STDEV('The List'!S2:S671)</f>
        <v>-0.34508715214993524</v>
      </c>
      <c r="G453" s="55" cm="1">
        <f t="array" ref="G453">(VLOOKUP($A453,'The List'!$B1:$AH671,19,FALSE)-AVERAGE('The List'!T2:T671))/STDEV('The List'!T2:T671)</f>
        <v>-0.98445981160720153</v>
      </c>
      <c r="H453" s="55" cm="1">
        <f t="array" ref="H453">(VLOOKUP($A453,'The List'!$B1:$AH671,20,FALSE)-AVERAGE('The List'!U2:U671))/STDEV('The List'!U2:U671)</f>
        <v>-0.77232768787426642</v>
      </c>
      <c r="I453" s="55" cm="1">
        <f t="array" ref="I453">(VLOOKUP($A453,'The List'!$B1:$AH671,21,FALSE)-AVERAGE('The List'!V2:V671))/STDEV('The List'!V2:V671)</f>
        <v>-0.57041777132193672</v>
      </c>
      <c r="J453" s="55" cm="1">
        <f t="array" ref="J453">(VLOOKUP($A453,'The List'!$B1:$AH671,22,FALSE)-AVERAGE('The List'!W2:W671))/STDEV('The List'!W2:W671)</f>
        <v>-0.74019612358653797</v>
      </c>
      <c r="K453" s="55" cm="1">
        <f t="array" ref="K453">(VLOOKUP($A453,'The List'!$B1:$AH671,23,FALSE)-AVERAGE('The List'!X2:X671))/STDEV('The List'!X2:X671)</f>
        <v>-0.80396688265804095</v>
      </c>
      <c r="L453" s="55" cm="1">
        <f t="array" ref="L453">(VLOOKUP($A453,'The List'!$B1:$AH671,24,FALSE)-AVERAGE('The List'!Y2:Y671))/STDEV('The List'!Y2:Y671)</f>
        <v>-0.37537659276936491</v>
      </c>
      <c r="M453" s="55" cm="1">
        <f t="array" ref="M453">(VLOOKUP($A453,'The List'!$B1:$AH671,25,FALSE)-AVERAGE('The List'!Z2:Z671))/STDEV('The List'!Z2:Z671)</f>
        <v>1.6847925821870741E-2</v>
      </c>
      <c r="N453" s="55" cm="1">
        <f t="array" ref="N453">(VLOOKUP($A453,'The List'!$B1:$AH671,26,FALSE)-AVERAGE('The List'!AA2:AA671))/STDEV('The List'!AA2:AA671)</f>
        <v>-1.1486575023170731</v>
      </c>
      <c r="O453" s="55" cm="1">
        <f t="array" ref="O453">(VLOOKUP($A453,'The List'!$B1:$AH671,27,FALSE)-AVERAGE('The List'!AB2:AB671))/STDEV('The List'!AB2:AB671)</f>
        <v>0.4599333963600119</v>
      </c>
      <c r="P453" s="55" cm="1">
        <f t="array" ref="P453">(VLOOKUP($A453,'The List'!$B1:$AH671,28,FALSE)-AVERAGE('The List'!AC2:AC671))/STDEV('The List'!AC2:AC671)</f>
        <v>1.2455340815518761</v>
      </c>
      <c r="Q453" s="55" cm="1">
        <f t="array" ref="Q453">(VLOOKUP($A453,'The List'!$B1:$AH671,29,FALSE)-AVERAGE('The List'!AD2:AD671))/STDEV('The List'!AD2:AD671)</f>
        <v>-1.392636672356256</v>
      </c>
      <c r="R453" s="55" cm="1">
        <f t="array" ref="R453">(VLOOKUP($A453,'The List'!$B1:$AH671,30,FALSE)-AVERAGE('The List'!AE2:AE671))/STDEV('The List'!AE2:AE671)</f>
        <v>-0.23197479355684597</v>
      </c>
      <c r="S453" s="55" cm="1">
        <f t="array" ref="S453">(VLOOKUP($A453,'The List'!$B1:$AH671,31,FALSE)-AVERAGE('The List'!AF2:AF671))/STDEV('The List'!AF2:AF671)</f>
        <v>-0.5772253599742333</v>
      </c>
      <c r="T453" s="55" cm="1">
        <f t="array" ref="T453">(VLOOKUP($A453,'The List'!$B1:$AH671,32,FALSE)-AVERAGE('The List'!AG2:AG671))/STDEV('The List'!AG2:AG671)</f>
        <v>-0.57693997033029654</v>
      </c>
      <c r="U453" s="55" cm="1">
        <f t="array" ref="U453">(VLOOKUP($A453,'The List'!$B1:$AH671,33,FALSE)-AVERAGE('The List'!AH2:AH671))/STDEV('The List'!AH2:AH671)</f>
        <v>-0.31178808944733172</v>
      </c>
      <c r="V453" s="55"/>
      <c r="W453" s="57"/>
      <c r="X453" s="55"/>
      <c r="Y453" s="55"/>
      <c r="Z453" s="55"/>
      <c r="AA453" s="55"/>
      <c r="AB453" s="55"/>
      <c r="AC453" s="55"/>
      <c r="AD453" s="55"/>
      <c r="AE453" s="55"/>
    </row>
    <row r="454" spans="1:31" ht="21.25" customHeight="1" x14ac:dyDescent="0.15">
      <c r="A454" s="10" t="s">
        <v>436</v>
      </c>
      <c r="B454" s="18" t="str" cm="1">
        <f t="array" ref="B454">VLOOKUP(A454,'Player Data'!A1:B673,2,FALSE)</f>
        <v>NSH</v>
      </c>
      <c r="C454" s="52" cm="1">
        <f t="array" ref="C454">((E454)*Settings!$C$12)+(F454*Settings!$C$2)+(G454*Settings!$C$3)+(H454*Settings!$C$4)+(I454*Settings!$C$5)+(K454*Settings!$C$9)+(N454*Settings!$C$6)+(J454*Settings!$C$8)+(O454*Settings!$C$7)+(P454*Settings!$C$14)+(Q454*Settings!$C$15)+(R454*Settings!$C$16)+(S454*Settings!$C$17)+(T454*Settings!$C$18)+(U454*Settings!$C$19)+(L454*Settings!$C$10)+(Settings!$C$11*M454)</f>
        <v>-3.6145240207147014</v>
      </c>
      <c r="D454" s="57" cm="1">
        <f t="array" ref="D454">IF(Settings!$E$12="YES",VLOOKUP(A454,'Player Data'!A1:E673,5,FALSE),82)</f>
        <v>81.897499999999994</v>
      </c>
      <c r="E454" s="55" cm="1">
        <f t="array" ref="E454">(VLOOKUP($A454,'The List'!$B1:$AH671,17,FALSE)-AVERAGE('The List'!R2:R671))/STDEV('The List'!R2:R671)</f>
        <v>0.61518406388593427</v>
      </c>
      <c r="F454" s="55" cm="1">
        <f t="array" ref="F454">(VLOOKUP($A454,'The List'!$B1:$AH671,18,FALSE)-AVERAGE('The List'!S2:S671))/STDEV('The List'!S2:S671)</f>
        <v>-0.95028794123699079</v>
      </c>
      <c r="G454" s="55" cm="1">
        <f t="array" ref="G454">(VLOOKUP($A454,'The List'!$B1:$AH671,19,FALSE)-AVERAGE('The List'!T2:T671))/STDEV('The List'!T2:T671)</f>
        <v>-0.48736713490572714</v>
      </c>
      <c r="H454" s="55" cm="1">
        <f t="array" ref="H454">(VLOOKUP($A454,'The List'!$B1:$AH671,20,FALSE)-AVERAGE('The List'!U2:U671))/STDEV('The List'!U2:U671)</f>
        <v>-0.72817344301099785</v>
      </c>
      <c r="I454" s="55" cm="1">
        <f t="array" ref="I454">(VLOOKUP($A454,'The List'!$B1:$AH671,21,FALSE)-AVERAGE('The List'!V2:V671))/STDEV('The List'!V2:V671)</f>
        <v>-0.77878304204146209</v>
      </c>
      <c r="J454" s="55" cm="1">
        <f t="array" ref="J454">(VLOOKUP($A454,'The List'!$B1:$AH671,22,FALSE)-AVERAGE('The List'!W2:W671))/STDEV('The List'!W2:W671)</f>
        <v>-0.74585364956385192</v>
      </c>
      <c r="K454" s="55" cm="1">
        <f t="array" ref="K454">(VLOOKUP($A454,'The List'!$B1:$AH671,23,FALSE)-AVERAGE('The List'!X2:X671))/STDEV('The List'!X2:X671)</f>
        <v>-0.79930013305276626</v>
      </c>
      <c r="L454" s="55" cm="1">
        <f t="array" ref="L454">(VLOOKUP($A454,'The List'!$B1:$AH671,24,FALSE)-AVERAGE('The List'!Y2:Y671))/STDEV('The List'!Y2:Y671)</f>
        <v>-0.50084193934080301</v>
      </c>
      <c r="M454" s="55" cm="1">
        <f t="array" ref="M454">(VLOOKUP($A454,'The List'!$B1:$AH671,25,FALSE)-AVERAGE('The List'!Z2:Z671))/STDEV('The List'!Z2:Z671)</f>
        <v>1.2131615791106216</v>
      </c>
      <c r="N454" s="55" cm="1">
        <f t="array" ref="N454">(VLOOKUP($A454,'The List'!$B1:$AH671,26,FALSE)-AVERAGE('The List'!AA2:AA671))/STDEV('The List'!AA2:AA671)</f>
        <v>1.1162982283136553</v>
      </c>
      <c r="O454" s="55" cm="1">
        <f t="array" ref="O454">(VLOOKUP($A454,'The List'!$B1:$AH671,27,FALSE)-AVERAGE('The List'!AB2:AB671))/STDEV('The List'!AB2:AB671)</f>
        <v>-0.58664430069589202</v>
      </c>
      <c r="P454" s="55" cm="1">
        <f t="array" ref="P454">(VLOOKUP($A454,'The List'!$B1:$AH671,28,FALSE)-AVERAGE('The List'!AC2:AC671))/STDEV('The List'!AC2:AC671)</f>
        <v>-1.1125210313337726</v>
      </c>
      <c r="Q454" s="55" cm="1">
        <f t="array" ref="Q454">(VLOOKUP($A454,'The List'!$B1:$AH671,29,FALSE)-AVERAGE('The List'!AD2:AD671))/STDEV('The List'!AD2:AD671)</f>
        <v>-0.60256296645763807</v>
      </c>
      <c r="R454" s="55" cm="1">
        <f t="array" ref="R454">(VLOOKUP($A454,'The List'!$B1:$AH671,30,FALSE)-AVERAGE('The List'!AE2:AE671))/STDEV('The List'!AE2:AE671)</f>
        <v>-0.96876014947752953</v>
      </c>
      <c r="S454" s="55" cm="1">
        <f t="array" ref="S454">(VLOOKUP($A454,'The List'!$B1:$AH671,31,FALSE)-AVERAGE('The List'!AF2:AF671))/STDEV('The List'!AF2:AF671)</f>
        <v>-0.5939690971349143</v>
      </c>
      <c r="T454" s="55" cm="1">
        <f t="array" ref="T454">(VLOOKUP($A454,'The List'!$B1:$AH671,32,FALSE)-AVERAGE('The List'!AG2:AG671))/STDEV('The List'!AG2:AG671)</f>
        <v>-0.64602208138248207</v>
      </c>
      <c r="U454" s="55" cm="1">
        <f t="array" ref="U454">(VLOOKUP($A454,'The List'!$B1:$AH671,33,FALSE)-AVERAGE('The List'!AH2:AH671))/STDEV('The List'!AH2:AH671)</f>
        <v>-1.2548938914719048</v>
      </c>
      <c r="V454" s="55"/>
      <c r="W454" s="78"/>
      <c r="X454" s="57"/>
      <c r="Y454" s="57"/>
      <c r="Z454" s="57"/>
      <c r="AA454" s="57"/>
      <c r="AB454" s="57"/>
      <c r="AC454" s="60"/>
      <c r="AD454" s="61"/>
      <c r="AE454" s="55"/>
    </row>
    <row r="455" spans="1:31" ht="21.25" customHeight="1" x14ac:dyDescent="0.15">
      <c r="A455" s="10" t="s">
        <v>714</v>
      </c>
      <c r="B455" s="18" t="str" cm="1">
        <f t="array" ref="B455">VLOOKUP(A455,'Player Data'!A1:B673,2,FALSE)</f>
        <v>L.A</v>
      </c>
      <c r="C455" s="52" cm="1">
        <f t="array" ref="C455">((E455)*Settings!$C$12)+(F455*Settings!$C$2)+(G455*Settings!$C$3)+(H455*Settings!$C$4)+(I455*Settings!$C$5)+(K455*Settings!$C$9)+(N455*Settings!$C$6)+(J455*Settings!$C$8)+(O455*Settings!$C$7)+(P455*Settings!$C$14)+(Q455*Settings!$C$15)+(R455*Settings!$C$16)+(S455*Settings!$C$17)+(T455*Settings!$C$18)+(U455*Settings!$C$19)+(L455*Settings!$C$10)+(Settings!$C$11*M455)</f>
        <v>-4.6019503837009399</v>
      </c>
      <c r="D455" s="57" cm="1">
        <f t="array" ref="D455">IF(Settings!$E$12="YES",VLOOKUP(A455,'Player Data'!A1:E673,5,FALSE),82)</f>
        <v>79.63</v>
      </c>
      <c r="E455" s="55" cm="1">
        <f t="array" ref="E455">(VLOOKUP($A455,'The List'!$B1:$AH671,17,FALSE)-AVERAGE('The List'!R2:R671))/STDEV('The List'!R2:R671)</f>
        <v>-1.3886915612657655</v>
      </c>
      <c r="F455" s="55" cm="1">
        <f t="array" ref="F455">(VLOOKUP($A455,'The List'!$B1:$AH671,18,FALSE)-AVERAGE('The List'!S2:S671))/STDEV('The List'!S2:S671)</f>
        <v>-0.44985784464524853</v>
      </c>
      <c r="G455" s="55" cm="1">
        <f t="array" ref="G455">(VLOOKUP($A455,'The List'!$B1:$AH671,19,FALSE)-AVERAGE('The List'!T2:T671))/STDEV('The List'!T2:T671)</f>
        <v>-0.88261773690289902</v>
      </c>
      <c r="H455" s="55" cm="1">
        <f t="array" ref="H455">(VLOOKUP($A455,'The List'!$B1:$AH671,20,FALSE)-AVERAGE('The List'!U2:U671))/STDEV('The List'!U2:U671)</f>
        <v>-0.75475403758519155</v>
      </c>
      <c r="I455" s="55" cm="1">
        <f t="array" ref="I455">(VLOOKUP($A455,'The List'!$B1:$AH671,21,FALSE)-AVERAGE('The List'!V2:V671))/STDEV('The List'!V2:V671)</f>
        <v>-0.65353088990471198</v>
      </c>
      <c r="J455" s="55" cm="1">
        <f t="array" ref="J455">(VLOOKUP($A455,'The List'!$B1:$AH671,22,FALSE)-AVERAGE('The List'!W2:W671))/STDEV('The List'!W2:W671)</f>
        <v>-0.73993209485126665</v>
      </c>
      <c r="K455" s="55" cm="1">
        <f t="array" ref="K455">(VLOOKUP($A455,'The List'!$B1:$AH671,23,FALSE)-AVERAGE('The List'!X2:X671))/STDEV('The List'!X2:X671)</f>
        <v>-0.80239631533667444</v>
      </c>
      <c r="L455" s="55" cm="1">
        <f t="array" ref="L455">(VLOOKUP($A455,'The List'!$B1:$AH671,24,FALSE)-AVERAGE('The List'!Y2:Y671))/STDEV('The List'!Y2:Y671)</f>
        <v>1.7113731197787827</v>
      </c>
      <c r="M455" s="55" cm="1">
        <f t="array" ref="M455">(VLOOKUP($A455,'The List'!$B1:$AH671,25,FALSE)-AVERAGE('The List'!Z2:Z671))/STDEV('The List'!Z2:Z671)</f>
        <v>0.96764794356994255</v>
      </c>
      <c r="N455" s="55" cm="1">
        <f t="array" ref="N455">(VLOOKUP($A455,'The List'!$B1:$AH671,26,FALSE)-AVERAGE('The List'!AA2:AA671))/STDEV('The List'!AA2:AA671)</f>
        <v>-0.67140009568623549</v>
      </c>
      <c r="O455" s="55" cm="1">
        <f t="array" ref="O455">(VLOOKUP($A455,'The List'!$B1:$AH671,27,FALSE)-AVERAGE('The List'!AB2:AB671))/STDEV('The List'!AB2:AB671)</f>
        <v>-0.10317392437938493</v>
      </c>
      <c r="P455" s="55" cm="1">
        <f t="array" ref="P455">(VLOOKUP($A455,'The List'!$B1:$AH671,28,FALSE)-AVERAGE('The List'!AC2:AC671))/STDEV('The List'!AC2:AC671)</f>
        <v>-0.47928235323868412</v>
      </c>
      <c r="Q455" s="55" cm="1">
        <f t="array" ref="Q455">(VLOOKUP($A455,'The List'!$B1:$AH671,29,FALSE)-AVERAGE('The List'!AD2:AD671))/STDEV('The List'!AD2:AD671)</f>
        <v>-0.6628651479864861</v>
      </c>
      <c r="R455" s="55" cm="1">
        <f t="array" ref="R455">(VLOOKUP($A455,'The List'!$B1:$AH671,30,FALSE)-AVERAGE('The List'!AE2:AE671))/STDEV('The List'!AE2:AE671)</f>
        <v>-0.4236395825072477</v>
      </c>
      <c r="S455" s="55" cm="1">
        <f t="array" ref="S455">(VLOOKUP($A455,'The List'!$B1:$AH671,31,FALSE)-AVERAGE('The List'!AF2:AF671))/STDEV('The List'!AF2:AF671)</f>
        <v>-0.50310208327645656</v>
      </c>
      <c r="T455" s="55" cm="1">
        <f t="array" ref="T455">(VLOOKUP($A455,'The List'!$B1:$AH671,32,FALSE)-AVERAGE('The List'!AG2:AG671))/STDEV('The List'!AG2:AG671)</f>
        <v>-0.4178919117070436</v>
      </c>
      <c r="U455" s="55" cm="1">
        <f t="array" ref="U455">(VLOOKUP($A455,'The List'!$B1:$AH671,33,FALSE)-AVERAGE('The List'!AH2:AH671))/STDEV('The List'!AH2:AH671)</f>
        <v>0.11426064956414397</v>
      </c>
      <c r="V455" s="55"/>
      <c r="W455" s="57"/>
      <c r="X455" s="57"/>
      <c r="Y455" s="57"/>
      <c r="Z455" s="57"/>
      <c r="AA455" s="57"/>
      <c r="AB455" s="57"/>
      <c r="AC455" s="60"/>
      <c r="AD455" s="61"/>
      <c r="AE455" s="55"/>
    </row>
    <row r="456" spans="1:31" ht="21.25" customHeight="1" x14ac:dyDescent="0.15">
      <c r="A456" s="10" t="s">
        <v>750</v>
      </c>
      <c r="B456" s="18" t="str" cm="1">
        <f t="array" ref="B456">VLOOKUP(A456,'Player Data'!A1:B673,2,FALSE)</f>
        <v>VAN</v>
      </c>
      <c r="C456" s="52" cm="1">
        <f t="array" ref="C456">((E456)*Settings!$C$12)+(F456*Settings!$C$2)+(G456*Settings!$C$3)+(H456*Settings!$C$4)+(I456*Settings!$C$5)+(K456*Settings!$C$9)+(N456*Settings!$C$6)+(J456*Settings!$C$8)+(O456*Settings!$C$7)+(P456*Settings!$C$14)+(Q456*Settings!$C$15)+(R456*Settings!$C$16)+(S456*Settings!$C$17)+(T456*Settings!$C$18)+(U456*Settings!$C$19)+(L456*Settings!$C$10)+(Settings!$C$11*M456)</f>
        <v>-6.8442772556933305</v>
      </c>
      <c r="D456" s="57" cm="1">
        <f t="array" ref="D456">IF(Settings!$E$12="YES",VLOOKUP(A456,'Player Data'!A1:E673,5,FALSE),82)</f>
        <v>71.252499999999998</v>
      </c>
      <c r="E456" s="55" cm="1">
        <f t="array" ref="E456">(VLOOKUP($A456,'The List'!$B1:$AH671,17,FALSE)-AVERAGE('The List'!R2:R671))/STDEV('The List'!R2:R671)</f>
        <v>-1.1668057289414517</v>
      </c>
      <c r="F456" s="55" cm="1">
        <f t="array" ref="F456">(VLOOKUP($A456,'The List'!$B1:$AH671,18,FALSE)-AVERAGE('The List'!S2:S671))/STDEV('The List'!S2:S671)</f>
        <v>-0.59149907278615277</v>
      </c>
      <c r="G456" s="55" cm="1">
        <f t="array" ref="G456">(VLOOKUP($A456,'The List'!$B1:$AH671,19,FALSE)-AVERAGE('The List'!T2:T671))/STDEV('The List'!T2:T671)</f>
        <v>-0.93382821236967195</v>
      </c>
      <c r="H456" s="55" cm="1">
        <f t="array" ref="H456">(VLOOKUP($A456,'The List'!$B1:$AH671,20,FALSE)-AVERAGE('The List'!U2:U671))/STDEV('The List'!U2:U671)</f>
        <v>-0.84980828811045406</v>
      </c>
      <c r="I456" s="55" cm="1">
        <f t="array" ref="I456">(VLOOKUP($A456,'The List'!$B1:$AH671,21,FALSE)-AVERAGE('The List'!V2:V671))/STDEV('The List'!V2:V671)</f>
        <v>-0.9457143355918195</v>
      </c>
      <c r="J456" s="55" cm="1">
        <f t="array" ref="J456">(VLOOKUP($A456,'The List'!$B1:$AH671,22,FALSE)-AVERAGE('The List'!W2:W671))/STDEV('The List'!W2:W671)</f>
        <v>-0.7404514696916481</v>
      </c>
      <c r="K456" s="55" cm="1">
        <f t="array" ref="K456">(VLOOKUP($A456,'The List'!$B1:$AH671,23,FALSE)-AVERAGE('The List'!X2:X671))/STDEV('The List'!X2:X671)</f>
        <v>-0.80128522993503082</v>
      </c>
      <c r="L456" s="55" cm="1">
        <f t="array" ref="L456">(VLOOKUP($A456,'The List'!$B1:$AH671,24,FALSE)-AVERAGE('The List'!Y2:Y671))/STDEV('The List'!Y2:Y671)</f>
        <v>-1.3216999847088658E-2</v>
      </c>
      <c r="M456" s="55" cm="1">
        <f t="array" ref="M456">(VLOOKUP($A456,'The List'!$B1:$AH671,25,FALSE)-AVERAGE('The List'!Z2:Z671))/STDEV('The List'!Z2:Z671)</f>
        <v>-9.4530877030001167E-2</v>
      </c>
      <c r="N456" s="55" cm="1">
        <f t="array" ref="N456">(VLOOKUP($A456,'The List'!$B1:$AH671,26,FALSE)-AVERAGE('The List'!AA2:AA671))/STDEV('The List'!AA2:AA671)</f>
        <v>-1.0453874221753774</v>
      </c>
      <c r="O456" s="55" cm="1">
        <f t="array" ref="O456">(VLOOKUP($A456,'The List'!$B1:$AH671,27,FALSE)-AVERAGE('The List'!AB2:AB671))/STDEV('The List'!AB2:AB671)</f>
        <v>1.4846219819002551</v>
      </c>
      <c r="P456" s="55" cm="1">
        <f t="array" ref="P456">(VLOOKUP($A456,'The List'!$B1:$AH671,28,FALSE)-AVERAGE('The List'!AC2:AC671))/STDEV('The List'!AC2:AC671)</f>
        <v>-1.9510134394441829</v>
      </c>
      <c r="Q456" s="55" cm="1">
        <f t="array" ref="Q456">(VLOOKUP($A456,'The List'!$B1:$AH671,29,FALSE)-AVERAGE('The List'!AD2:AD671))/STDEV('The List'!AD2:AD671)</f>
        <v>-0.57554954339109543</v>
      </c>
      <c r="R456" s="55" cm="1">
        <f t="array" ref="R456">(VLOOKUP($A456,'The List'!$B1:$AH671,30,FALSE)-AVERAGE('The List'!AE2:AE671))/STDEV('The List'!AE2:AE671)</f>
        <v>-0.72934542194756824</v>
      </c>
      <c r="S456" s="55" cm="1">
        <f t="array" ref="S456">(VLOOKUP($A456,'The List'!$B1:$AH671,31,FALSE)-AVERAGE('The List'!AF2:AF671))/STDEV('The List'!AF2:AF671)</f>
        <v>1.8477198888959023</v>
      </c>
      <c r="T456" s="55" cm="1">
        <f t="array" ref="T456">(VLOOKUP($A456,'The List'!$B1:$AH671,32,FALSE)-AVERAGE('The List'!AG2:AG671))/STDEV('The List'!AG2:AG671)</f>
        <v>1.120996741383582</v>
      </c>
      <c r="U456" s="55" cm="1">
        <f t="array" ref="U456">(VLOOKUP($A456,'The List'!$B1:$AH671,33,FALSE)-AVERAGE('The List'!AH2:AH671))/STDEV('The List'!AH2:AH671)</f>
        <v>1.4820918197222455</v>
      </c>
      <c r="V456" s="55"/>
      <c r="W456" s="57"/>
      <c r="X456" s="55"/>
      <c r="Y456" s="55"/>
      <c r="Z456" s="55"/>
      <c r="AA456" s="55"/>
      <c r="AB456" s="55"/>
      <c r="AC456" s="55"/>
      <c r="AD456" s="55"/>
      <c r="AE456" s="55"/>
    </row>
    <row r="457" spans="1:31" ht="21.25" customHeight="1" x14ac:dyDescent="0.15">
      <c r="A457" s="10" t="s">
        <v>526</v>
      </c>
      <c r="B457" s="18" t="str" cm="1">
        <f t="array" ref="B457">VLOOKUP(A457,'Player Data'!A1:B673,2,FALSE)</f>
        <v>EDM</v>
      </c>
      <c r="C457" s="52" cm="1">
        <f t="array" ref="C457">((E457)*Settings!$C$12)+(F457*Settings!$C$2)+(G457*Settings!$C$3)+(H457*Settings!$C$4)+(I457*Settings!$C$5)+(K457*Settings!$C$9)+(N457*Settings!$C$6)+(J457*Settings!$C$8)+(O457*Settings!$C$7)+(P457*Settings!$C$14)+(Q457*Settings!$C$15)+(R457*Settings!$C$16)+(S457*Settings!$C$17)+(T457*Settings!$C$18)+(U457*Settings!$C$19)+(L457*Settings!$C$10)+(Settings!$C$11*M457)</f>
        <v>-3.043722904249742</v>
      </c>
      <c r="D457" s="57" cm="1">
        <f t="array" ref="D457">IF(Settings!$E$12="YES",VLOOKUP(A457,'Player Data'!A1:E673,5,FALSE),82)</f>
        <v>72.662499999999994</v>
      </c>
      <c r="E457" s="55" cm="1">
        <f t="array" ref="E457">(VLOOKUP($A457,'The List'!$B1:$AH671,17,FALSE)-AVERAGE('The List'!R2:R671))/STDEV('The List'!R2:R671)</f>
        <v>0.176808886872101</v>
      </c>
      <c r="F457" s="55" cm="1">
        <f t="array" ref="F457">(VLOOKUP($A457,'The List'!$B1:$AH671,18,FALSE)-AVERAGE('The List'!S2:S671))/STDEV('The List'!S2:S671)</f>
        <v>-1.0341311181662702</v>
      </c>
      <c r="G457" s="55" cm="1">
        <f t="array" ref="G457">(VLOOKUP($A457,'The List'!$B1:$AH671,19,FALSE)-AVERAGE('The List'!T2:T671))/STDEV('The List'!T2:T671)</f>
        <v>-0.60519081438028377</v>
      </c>
      <c r="H457" s="55" cm="1">
        <f t="array" ref="H457">(VLOOKUP($A457,'The List'!$B1:$AH671,20,FALSE)-AVERAGE('The List'!U2:U671))/STDEV('The List'!U2:U671)</f>
        <v>-0.83948330923147618</v>
      </c>
      <c r="I457" s="55" cm="1">
        <f t="array" ref="I457">(VLOOKUP($A457,'The List'!$B1:$AH671,21,FALSE)-AVERAGE('The List'!V2:V671))/STDEV('The List'!V2:V671)</f>
        <v>-1.2314491667402045</v>
      </c>
      <c r="J457" s="55" cm="1">
        <f t="array" ref="J457">(VLOOKUP($A457,'The List'!$B1:$AH671,22,FALSE)-AVERAGE('The List'!W2:W671))/STDEV('The List'!W2:W671)</f>
        <v>-0.74367486779571679</v>
      </c>
      <c r="K457" s="55" cm="1">
        <f t="array" ref="K457">(VLOOKUP($A457,'The List'!$B1:$AH671,23,FALSE)-AVERAGE('The List'!X2:X671))/STDEV('The List'!X2:X671)</f>
        <v>-0.77830825629049727</v>
      </c>
      <c r="L457" s="55" cm="1">
        <f t="array" ref="L457">(VLOOKUP($A457,'The List'!$B1:$AH671,24,FALSE)-AVERAGE('The List'!Y2:Y671))/STDEV('The List'!Y2:Y671)</f>
        <v>-0.53043989061719654</v>
      </c>
      <c r="M457" s="55" cm="1">
        <f t="array" ref="M457">(VLOOKUP($A457,'The List'!$B1:$AH671,25,FALSE)-AVERAGE('The List'!Z2:Z671))/STDEV('The List'!Z2:Z671)</f>
        <v>-0.57502969707192797</v>
      </c>
      <c r="N457" s="55" cm="1">
        <f t="array" ref="N457">(VLOOKUP($A457,'The List'!$B1:$AH671,26,FALSE)-AVERAGE('The List'!AA2:AA671))/STDEV('The List'!AA2:AA671)</f>
        <v>0.5442205280002651</v>
      </c>
      <c r="O457" s="55" cm="1">
        <f t="array" ref="O457">(VLOOKUP($A457,'The List'!$B1:$AH671,27,FALSE)-AVERAGE('The List'!AB2:AB671))/STDEV('The List'!AB2:AB671)</f>
        <v>-0.80047653609945046</v>
      </c>
      <c r="P457" s="55" cm="1">
        <f t="array" ref="P457">(VLOOKUP($A457,'The List'!$B1:$AH671,28,FALSE)-AVERAGE('The List'!AC2:AC671))/STDEV('The List'!AC2:AC671)</f>
        <v>1.0523662924379664</v>
      </c>
      <c r="Q457" s="55" cm="1">
        <f t="array" ref="Q457">(VLOOKUP($A457,'The List'!$B1:$AH671,29,FALSE)-AVERAGE('The List'!AD2:AD671))/STDEV('The List'!AD2:AD671)</f>
        <v>-0.99123036911071738</v>
      </c>
      <c r="R457" s="55" cm="1">
        <f t="array" ref="R457">(VLOOKUP($A457,'The List'!$B1:$AH671,30,FALSE)-AVERAGE('The List'!AE2:AE671))/STDEV('The List'!AE2:AE671)</f>
        <v>-0.9633714139696179</v>
      </c>
      <c r="S457" s="55" cm="1">
        <f t="array" ref="S457">(VLOOKUP($A457,'The List'!$B1:$AH671,31,FALSE)-AVERAGE('The List'!AF2:AF671))/STDEV('The List'!AF2:AF671)</f>
        <v>-0.5939690971349143</v>
      </c>
      <c r="T457" s="55" cm="1">
        <f t="array" ref="T457">(VLOOKUP($A457,'The List'!$B1:$AH671,32,FALSE)-AVERAGE('The List'!AG2:AG671))/STDEV('The List'!AG2:AG671)</f>
        <v>-0.64602208138248207</v>
      </c>
      <c r="U457" s="55" cm="1">
        <f t="array" ref="U457">(VLOOKUP($A457,'The List'!$B1:$AH671,33,FALSE)-AVERAGE('The List'!AH2:AH671))/STDEV('The List'!AH2:AH671)</f>
        <v>-1.2548938914719048</v>
      </c>
      <c r="V457" s="55"/>
      <c r="W457" s="57"/>
      <c r="X457" s="55"/>
      <c r="Y457" s="55"/>
      <c r="Z457" s="55"/>
      <c r="AA457" s="55"/>
      <c r="AB457" s="55"/>
      <c r="AC457" s="55"/>
      <c r="AD457" s="55"/>
      <c r="AE457" s="55"/>
    </row>
    <row r="458" spans="1:31" ht="21.25" customHeight="1" x14ac:dyDescent="0.15">
      <c r="A458" s="10" t="s">
        <v>392</v>
      </c>
      <c r="B458" s="18" t="str" cm="1">
        <f t="array" ref="B458">VLOOKUP(A458,'Player Data'!A1:B673,2,FALSE)</f>
        <v>NYI</v>
      </c>
      <c r="C458" s="52" cm="1">
        <f t="array" ref="C458">((E458)*Settings!$C$12)+(F458*Settings!$C$2)+(G458*Settings!$C$3)+(H458*Settings!$C$4)+(I458*Settings!$C$5)+(K458*Settings!$C$9)+(N458*Settings!$C$6)+(J458*Settings!$C$8)+(O458*Settings!$C$7)+(P458*Settings!$C$14)+(Q458*Settings!$C$15)+(R458*Settings!$C$16)+(S458*Settings!$C$17)+(T458*Settings!$C$18)+(U458*Settings!$C$19)+(L458*Settings!$C$10)+(Settings!$C$11*M458)</f>
        <v>-2.7330035922063463</v>
      </c>
      <c r="D458" s="57" cm="1">
        <f t="array" ref="D458">IF(Settings!$E$12="YES",VLOOKUP(A458,'Player Data'!A1:E673,5,FALSE),82)</f>
        <v>75.775000000000006</v>
      </c>
      <c r="E458" s="55" cm="1">
        <f t="array" ref="E458">(VLOOKUP($A458,'The List'!$B1:$AH671,17,FALSE)-AVERAGE('The List'!R2:R671))/STDEV('The List'!R2:R671)</f>
        <v>0.54526332520068854</v>
      </c>
      <c r="F458" s="55" cm="1">
        <f t="array" ref="F458">(VLOOKUP($A458,'The List'!$B1:$AH671,18,FALSE)-AVERAGE('The List'!S2:S671))/STDEV('The List'!S2:S671)</f>
        <v>-0.92652110218303918</v>
      </c>
      <c r="G458" s="55" cm="1">
        <f t="array" ref="G458">(VLOOKUP($A458,'The List'!$B1:$AH671,19,FALSE)-AVERAGE('The List'!T2:T671))/STDEV('The List'!T2:T671)</f>
        <v>-0.63375131591778022</v>
      </c>
      <c r="H458" s="55" cm="1">
        <f t="array" ref="H458">(VLOOKUP($A458,'The List'!$B1:$AH671,20,FALSE)-AVERAGE('The List'!U2:U671))/STDEV('The List'!U2:U671)</f>
        <v>-0.80970349073169412</v>
      </c>
      <c r="I458" s="55" cm="1">
        <f t="array" ref="I458">(VLOOKUP($A458,'The List'!$B1:$AH671,21,FALSE)-AVERAGE('The List'!V2:V671))/STDEV('The List'!V2:V671)</f>
        <v>-0.53333370803917957</v>
      </c>
      <c r="J458" s="55" cm="1">
        <f t="array" ref="J458">(VLOOKUP($A458,'The List'!$B1:$AH671,22,FALSE)-AVERAGE('The List'!W2:W671))/STDEV('The List'!W2:W671)</f>
        <v>-0.74785961798007583</v>
      </c>
      <c r="K458" s="55" cm="1">
        <f t="array" ref="K458">(VLOOKUP($A458,'The List'!$B1:$AH671,23,FALSE)-AVERAGE('The List'!X2:X671))/STDEV('The List'!X2:X671)</f>
        <v>-0.80470802057502455</v>
      </c>
      <c r="L458" s="55" cm="1">
        <f t="array" ref="L458">(VLOOKUP($A458,'The List'!$B1:$AH671,24,FALSE)-AVERAGE('The List'!Y2:Y671))/STDEV('The List'!Y2:Y671)</f>
        <v>-0.52848909572360181</v>
      </c>
      <c r="M458" s="55" cm="1">
        <f t="array" ref="M458">(VLOOKUP($A458,'The List'!$B1:$AH671,25,FALSE)-AVERAGE('The List'!Z2:Z671))/STDEV('The List'!Z2:Z671)</f>
        <v>-0.19392295565777323</v>
      </c>
      <c r="N458" s="55" cm="1">
        <f t="array" ref="N458">(VLOOKUP($A458,'The List'!$B1:$AH671,26,FALSE)-AVERAGE('The List'!AA2:AA671))/STDEV('The List'!AA2:AA671)</f>
        <v>1.9292151987573125</v>
      </c>
      <c r="O458" s="55" cm="1">
        <f t="array" ref="O458">(VLOOKUP($A458,'The List'!$B1:$AH671,27,FALSE)-AVERAGE('The List'!AB2:AB671))/STDEV('The List'!AB2:AB671)</f>
        <v>0.66811152094234061</v>
      </c>
      <c r="P458" s="55" cm="1">
        <f t="array" ref="P458">(VLOOKUP($A458,'The List'!$B1:$AH671,28,FALSE)-AVERAGE('The List'!AC2:AC671))/STDEV('The List'!AC2:AC671)</f>
        <v>-1.1210859281618273</v>
      </c>
      <c r="Q458" s="55" cm="1">
        <f t="array" ref="Q458">(VLOOKUP($A458,'The List'!$B1:$AH671,29,FALSE)-AVERAGE('The List'!AD2:AD671))/STDEV('The List'!AD2:AD671)</f>
        <v>-0.64281871608680774</v>
      </c>
      <c r="R458" s="55" cm="1">
        <f t="array" ref="R458">(VLOOKUP($A458,'The List'!$B1:$AH671,30,FALSE)-AVERAGE('The List'!AE2:AE671))/STDEV('The List'!AE2:AE671)</f>
        <v>-0.92729976574755535</v>
      </c>
      <c r="S458" s="55" cm="1">
        <f t="array" ref="S458">(VLOOKUP($A458,'The List'!$B1:$AH671,31,FALSE)-AVERAGE('The List'!AF2:AF671))/STDEV('The List'!AF2:AF671)</f>
        <v>-0.5939690971349143</v>
      </c>
      <c r="T458" s="55" cm="1">
        <f t="array" ref="T458">(VLOOKUP($A458,'The List'!$B1:$AH671,32,FALSE)-AVERAGE('The List'!AG2:AG671))/STDEV('The List'!AG2:AG671)</f>
        <v>-0.64602208138248207</v>
      </c>
      <c r="U458" s="55" cm="1">
        <f t="array" ref="U458">(VLOOKUP($A458,'The List'!$B1:$AH671,33,FALSE)-AVERAGE('The List'!AH2:AH671))/STDEV('The List'!AH2:AH671)</f>
        <v>-1.2548938914719048</v>
      </c>
      <c r="V458" s="55"/>
      <c r="W458" s="57"/>
      <c r="X458" s="55"/>
      <c r="Y458" s="55"/>
      <c r="Z458" s="55"/>
      <c r="AA458" s="55"/>
      <c r="AB458" s="55"/>
      <c r="AC458" s="55"/>
      <c r="AD458" s="55"/>
      <c r="AE458" s="55"/>
    </row>
    <row r="459" spans="1:31" ht="21.25" customHeight="1" x14ac:dyDescent="0.15">
      <c r="A459" s="10" t="s">
        <v>753</v>
      </c>
      <c r="B459" s="18" t="str" cm="1">
        <f t="array" ref="B459">VLOOKUP(A459,'Player Data'!A1:B673,2,FALSE)</f>
        <v>EDM</v>
      </c>
      <c r="C459" s="52" cm="1">
        <f t="array" ref="C459">((E459)*Settings!$C$12)+(F459*Settings!$C$2)+(G459*Settings!$C$3)+(H459*Settings!$C$4)+(I459*Settings!$C$5)+(K459*Settings!$C$9)+(N459*Settings!$C$6)+(J459*Settings!$C$8)+(O459*Settings!$C$7)+(P459*Settings!$C$14)+(Q459*Settings!$C$15)+(R459*Settings!$C$16)+(S459*Settings!$C$17)+(T459*Settings!$C$18)+(U459*Settings!$C$19)+(L459*Settings!$C$10)+(Settings!$C$11*M459)</f>
        <v>-2.6572056070193151</v>
      </c>
      <c r="D459" s="57" cm="1">
        <f t="array" ref="D459">IF(Settings!$E$12="YES",VLOOKUP(A459,'Player Data'!A1:E673,5,FALSE),82)</f>
        <v>75.314999999999998</v>
      </c>
      <c r="E459" s="55" cm="1">
        <f t="array" ref="E459">(VLOOKUP($A459,'The List'!$B1:$AH671,17,FALSE)-AVERAGE('The List'!R2:R671))/STDEV('The List'!R2:R671)</f>
        <v>-1.3998604410061846</v>
      </c>
      <c r="F459" s="55" cm="1">
        <f t="array" ref="F459">(VLOOKUP($A459,'The List'!$B1:$AH671,18,FALSE)-AVERAGE('The List'!S2:S671))/STDEV('The List'!S2:S671)</f>
        <v>-0.64909711788669688</v>
      </c>
      <c r="G459" s="55" cm="1">
        <f t="array" ref="G459">(VLOOKUP($A459,'The List'!$B1:$AH671,19,FALSE)-AVERAGE('The List'!T2:T671))/STDEV('The List'!T2:T671)</f>
        <v>-0.83971818946756038</v>
      </c>
      <c r="H459" s="55" cm="1">
        <f t="array" ref="H459">(VLOOKUP($A459,'The List'!$B1:$AH671,20,FALSE)-AVERAGE('The List'!U2:U671))/STDEV('The List'!U2:U671)</f>
        <v>-0.81616858010565629</v>
      </c>
      <c r="I459" s="55" cm="1">
        <f t="array" ref="I459">(VLOOKUP($A459,'The List'!$B1:$AH671,21,FALSE)-AVERAGE('The List'!V2:V671))/STDEV('The List'!V2:V671)</f>
        <v>-0.88460352361896122</v>
      </c>
      <c r="J459" s="55" cm="1">
        <f t="array" ref="J459">(VLOOKUP($A459,'The List'!$B1:$AH671,22,FALSE)-AVERAGE('The List'!W2:W671))/STDEV('The List'!W2:W671)</f>
        <v>-0.54672947986168374</v>
      </c>
      <c r="K459" s="55" cm="1">
        <f t="array" ref="K459">(VLOOKUP($A459,'The List'!$B1:$AH671,23,FALSE)-AVERAGE('The List'!X2:X671))/STDEV('The List'!X2:X671)</f>
        <v>-0.65190439652702181</v>
      </c>
      <c r="L459" s="55" cm="1">
        <f t="array" ref="L459">(VLOOKUP($A459,'The List'!$B1:$AH671,24,FALSE)-AVERAGE('The List'!Y2:Y671))/STDEV('The List'!Y2:Y671)</f>
        <v>-0.3308838907229355</v>
      </c>
      <c r="M459" s="55" cm="1">
        <f t="array" ref="M459">(VLOOKUP($A459,'The List'!$B1:$AH671,25,FALSE)-AVERAGE('The List'!Z2:Z671))/STDEV('The List'!Z2:Z671)</f>
        <v>-0.47852815498734069</v>
      </c>
      <c r="N459" s="55" cm="1">
        <f t="array" ref="N459">(VLOOKUP($A459,'The List'!$B1:$AH671,26,FALSE)-AVERAGE('The List'!AA2:AA671))/STDEV('The List'!AA2:AA671)</f>
        <v>-0.70468261327590553</v>
      </c>
      <c r="O459" s="55" cm="1">
        <f t="array" ref="O459">(VLOOKUP($A459,'The List'!$B1:$AH671,27,FALSE)-AVERAGE('The List'!AB2:AB671))/STDEV('The List'!AB2:AB671)</f>
        <v>3.0021996752715485</v>
      </c>
      <c r="P459" s="55" cm="1">
        <f t="array" ref="P459">(VLOOKUP($A459,'The List'!$B1:$AH671,28,FALSE)-AVERAGE('The List'!AC2:AC671))/STDEV('The List'!AC2:AC671)</f>
        <v>0.71982853406760527</v>
      </c>
      <c r="Q459" s="55" cm="1">
        <f t="array" ref="Q459">(VLOOKUP($A459,'The List'!$B1:$AH671,29,FALSE)-AVERAGE('The List'!AD2:AD671))/STDEV('The List'!AD2:AD671)</f>
        <v>0.3529716996892257</v>
      </c>
      <c r="R459" s="55" cm="1">
        <f t="array" ref="R459">(VLOOKUP($A459,'The List'!$B1:$AH671,30,FALSE)-AVERAGE('The List'!AE2:AE671))/STDEV('The List'!AE2:AE671)</f>
        <v>-0.54099864668291653</v>
      </c>
      <c r="S459" s="55" cm="1">
        <f t="array" ref="S459">(VLOOKUP($A459,'The List'!$B1:$AH671,31,FALSE)-AVERAGE('The List'!AF2:AF671))/STDEV('The List'!AF2:AF671)</f>
        <v>-0.42584447713167561</v>
      </c>
      <c r="T459" s="55" cm="1">
        <f t="array" ref="T459">(VLOOKUP($A459,'The List'!$B1:$AH671,32,FALSE)-AVERAGE('The List'!AG2:AG671))/STDEV('The List'!AG2:AG671)</f>
        <v>-0.40237284574298743</v>
      </c>
      <c r="U459" s="55" cm="1">
        <f t="array" ref="U459">(VLOOKUP($A459,'The List'!$B1:$AH671,33,FALSE)-AVERAGE('The List'!AH2:AH671))/STDEV('The List'!AH2:AH671)</f>
        <v>0.69226035394816499</v>
      </c>
      <c r="V459" s="55"/>
      <c r="W459" s="57"/>
      <c r="X459" s="57"/>
      <c r="Y459" s="57"/>
      <c r="Z459" s="57"/>
      <c r="AA459" s="57"/>
      <c r="AB459" s="57"/>
      <c r="AC459" s="60"/>
      <c r="AD459" s="61"/>
      <c r="AE459" s="55"/>
    </row>
    <row r="460" spans="1:31" ht="21.25" customHeight="1" x14ac:dyDescent="0.15">
      <c r="A460" s="10" t="s">
        <v>732</v>
      </c>
      <c r="B460" s="18" t="str" cm="1">
        <f t="array" ref="B460">VLOOKUP(A460,'Player Data'!A1:B673,2,FALSE)</f>
        <v>NYR</v>
      </c>
      <c r="C460" s="52" cm="1">
        <f t="array" ref="C460">((E460)*Settings!$C$12)+(F460*Settings!$C$2)+(G460*Settings!$C$3)+(H460*Settings!$C$4)+(I460*Settings!$C$5)+(K460*Settings!$C$9)+(N460*Settings!$C$6)+(J460*Settings!$C$8)+(O460*Settings!$C$7)+(P460*Settings!$C$14)+(Q460*Settings!$C$15)+(R460*Settings!$C$16)+(S460*Settings!$C$17)+(T460*Settings!$C$18)+(U460*Settings!$C$19)+(L460*Settings!$C$10)+(Settings!$C$11*M460)</f>
        <v>-5.0824872624234443</v>
      </c>
      <c r="D460" s="57" cm="1">
        <f t="array" ref="D460">IF(Settings!$E$12="YES",VLOOKUP(A460,'Player Data'!A1:E673,5,FALSE),82)</f>
        <v>80.37</v>
      </c>
      <c r="E460" s="55" cm="1">
        <f t="array" ref="E460">(VLOOKUP($A460,'The List'!$B1:$AH671,17,FALSE)-AVERAGE('The List'!R2:R671))/STDEV('The List'!R2:R671)</f>
        <v>-1.4224846131465889</v>
      </c>
      <c r="F460" s="55" cm="1">
        <f t="array" ref="F460">(VLOOKUP($A460,'The List'!$B1:$AH671,18,FALSE)-AVERAGE('The List'!S2:S671))/STDEV('The List'!S2:S671)</f>
        <v>-0.59047182827631772</v>
      </c>
      <c r="G460" s="55" cm="1">
        <f t="array" ref="G460">(VLOOKUP($A460,'The List'!$B1:$AH671,19,FALSE)-AVERAGE('The List'!T2:T671))/STDEV('The List'!T2:T671)</f>
        <v>-0.7933420776913046</v>
      </c>
      <c r="H460" s="55" cm="1">
        <f t="array" ref="H460">(VLOOKUP($A460,'The List'!$B1:$AH671,20,FALSE)-AVERAGE('The List'!U2:U671))/STDEV('The List'!U2:U671)</f>
        <v>-0.76098748487850487</v>
      </c>
      <c r="I460" s="55" cm="1">
        <f t="array" ref="I460">(VLOOKUP($A460,'The List'!$B1:$AH671,21,FALSE)-AVERAGE('The List'!V2:V671))/STDEV('The List'!V2:V671)</f>
        <v>-0.9224104647074115</v>
      </c>
      <c r="J460" s="55" cm="1">
        <f t="array" ref="J460">(VLOOKUP($A460,'The List'!$B1:$AH671,22,FALSE)-AVERAGE('The List'!W2:W671))/STDEV('The List'!W2:W671)</f>
        <v>-0.71384225333202433</v>
      </c>
      <c r="K460" s="55" cm="1">
        <f t="array" ref="K460">(VLOOKUP($A460,'The List'!$B1:$AH671,23,FALSE)-AVERAGE('The List'!X2:X671))/STDEV('The List'!X2:X671)</f>
        <v>-0.76066233274583372</v>
      </c>
      <c r="L460" s="55" cm="1">
        <f t="array" ref="L460">(VLOOKUP($A460,'The List'!$B1:$AH671,24,FALSE)-AVERAGE('The List'!Y2:Y671))/STDEV('The List'!Y2:Y671)</f>
        <v>0.15948191613248508</v>
      </c>
      <c r="M460" s="55" cm="1">
        <f t="array" ref="M460">(VLOOKUP($A460,'The List'!$B1:$AH671,25,FALSE)-AVERAGE('The List'!Z2:Z671))/STDEV('The List'!Z2:Z671)</f>
        <v>-0.22179639862642248</v>
      </c>
      <c r="N460" s="55" cm="1">
        <f t="array" ref="N460">(VLOOKUP($A460,'The List'!$B1:$AH671,26,FALSE)-AVERAGE('The List'!AA2:AA671))/STDEV('The List'!AA2:AA671)</f>
        <v>-0.6607623534374365</v>
      </c>
      <c r="O460" s="55" cm="1">
        <f t="array" ref="O460">(VLOOKUP($A460,'The List'!$B1:$AH671,27,FALSE)-AVERAGE('The List'!AB2:AB671))/STDEV('The List'!AB2:AB671)</f>
        <v>-0.36147307958598351</v>
      </c>
      <c r="P460" s="55" cm="1">
        <f t="array" ref="P460">(VLOOKUP($A460,'The List'!$B1:$AH671,28,FALSE)-AVERAGE('The List'!AC2:AC671))/STDEV('The List'!AC2:AC671)</f>
        <v>-0.30450339818359767</v>
      </c>
      <c r="Q460" s="55" cm="1">
        <f t="array" ref="Q460">(VLOOKUP($A460,'The List'!$B1:$AH671,29,FALSE)-AVERAGE('The List'!AD2:AD671))/STDEV('The List'!AD2:AD671)</f>
        <v>-1.0503348073815424</v>
      </c>
      <c r="R460" s="55" cm="1">
        <f t="array" ref="R460">(VLOOKUP($A460,'The List'!$B1:$AH671,30,FALSE)-AVERAGE('The List'!AE2:AE671))/STDEV('The List'!AE2:AE671)</f>
        <v>-0.56664176598869553</v>
      </c>
      <c r="S460" s="55" cm="1">
        <f t="array" ref="S460">(VLOOKUP($A460,'The List'!$B1:$AH671,31,FALSE)-AVERAGE('The List'!AF2:AF671))/STDEV('The List'!AF2:AF671)</f>
        <v>-0.56210005704679566</v>
      </c>
      <c r="T460" s="55" cm="1">
        <f t="array" ref="T460">(VLOOKUP($A460,'The List'!$B1:$AH671,32,FALSE)-AVERAGE('The List'!AG2:AG671))/STDEV('The List'!AG2:AG671)</f>
        <v>-0.55815430238843333</v>
      </c>
      <c r="U460" s="55" cm="1">
        <f t="array" ref="U460">(VLOOKUP($A460,'The List'!$B1:$AH671,33,FALSE)-AVERAGE('The List'!AH2:AH671))/STDEV('The List'!AH2:AH671)</f>
        <v>2.5938584224644609E-2</v>
      </c>
      <c r="V460" s="55"/>
      <c r="W460" s="78"/>
      <c r="X460" s="57"/>
      <c r="Y460" s="57"/>
      <c r="Z460" s="57"/>
      <c r="AA460" s="57"/>
      <c r="AB460" s="57"/>
      <c r="AC460" s="60"/>
      <c r="AD460" s="61"/>
      <c r="AE460" s="55"/>
    </row>
    <row r="461" spans="1:31" ht="21.25" customHeight="1" x14ac:dyDescent="0.15">
      <c r="A461" s="10" t="s">
        <v>700</v>
      </c>
      <c r="B461" s="18" t="str" cm="1">
        <f t="array" ref="B461">VLOOKUP(A461,'Player Data'!A1:B673,2,FALSE)</f>
        <v>DET</v>
      </c>
      <c r="C461" s="52" cm="1">
        <f t="array" ref="C461">((E461)*Settings!$C$12)+(F461*Settings!$C$2)+(G461*Settings!$C$3)+(H461*Settings!$C$4)+(I461*Settings!$C$5)+(K461*Settings!$C$9)+(N461*Settings!$C$6)+(J461*Settings!$C$8)+(O461*Settings!$C$7)+(P461*Settings!$C$14)+(Q461*Settings!$C$15)+(R461*Settings!$C$16)+(S461*Settings!$C$17)+(T461*Settings!$C$18)+(U461*Settings!$C$19)+(L461*Settings!$C$10)+(Settings!$C$11*M461)</f>
        <v>-3.9532696549331638</v>
      </c>
      <c r="D461" s="57" cm="1">
        <f t="array" ref="D461">IF(Settings!$E$12="YES",VLOOKUP(A461,'Player Data'!A1:E673,5,FALSE),82)</f>
        <v>79.447500000000005</v>
      </c>
      <c r="E461" s="55" cm="1">
        <f t="array" ref="E461">(VLOOKUP($A461,'The List'!$B1:$AH671,17,FALSE)-AVERAGE('The List'!R2:R671))/STDEV('The List'!R2:R671)</f>
        <v>-1.0964520421849546</v>
      </c>
      <c r="F461" s="55" cm="1">
        <f t="array" ref="F461">(VLOOKUP($A461,'The List'!$B1:$AH671,18,FALSE)-AVERAGE('The List'!S2:S671))/STDEV('The List'!S2:S671)</f>
        <v>-0.4829966526459622</v>
      </c>
      <c r="G461" s="55" cm="1">
        <f t="array" ref="G461">(VLOOKUP($A461,'The List'!$B1:$AH671,19,FALSE)-AVERAGE('The List'!T2:T671))/STDEV('The List'!T2:T671)</f>
        <v>-0.89266116862302891</v>
      </c>
      <c r="H461" s="55" cm="1">
        <f t="array" ref="H461">(VLOOKUP($A461,'The List'!$B1:$AH671,20,FALSE)-AVERAGE('The List'!U2:U671))/STDEV('The List'!U2:U671)</f>
        <v>-0.77577427135608257</v>
      </c>
      <c r="I461" s="55" cm="1">
        <f t="array" ref="I461">(VLOOKUP($A461,'The List'!$B1:$AH671,21,FALSE)-AVERAGE('The List'!V2:V671))/STDEV('The List'!V2:V671)</f>
        <v>-0.70428290828020035</v>
      </c>
      <c r="J461" s="55" cm="1">
        <f t="array" ref="J461">(VLOOKUP($A461,'The List'!$B1:$AH671,22,FALSE)-AVERAGE('The List'!W2:W671))/STDEV('The List'!W2:W671)</f>
        <v>-0.66983964139381835</v>
      </c>
      <c r="K461" s="55" cm="1">
        <f t="array" ref="K461">(VLOOKUP($A461,'The List'!$B1:$AH671,23,FALSE)-AVERAGE('The List'!X2:X671))/STDEV('The List'!X2:X671)</f>
        <v>-0.74933827340838333</v>
      </c>
      <c r="L461" s="55" cm="1">
        <f t="array" ref="L461">(VLOOKUP($A461,'The List'!$B1:$AH671,24,FALSE)-AVERAGE('The List'!Y2:Y671))/STDEV('The List'!Y2:Y671)</f>
        <v>0.63119272577905483</v>
      </c>
      <c r="M461" s="55" cm="1">
        <f t="array" ref="M461">(VLOOKUP($A461,'The List'!$B1:$AH671,25,FALSE)-AVERAGE('The List'!Z2:Z671))/STDEV('The List'!Z2:Z671)</f>
        <v>0.52028103113102164</v>
      </c>
      <c r="N461" s="55" cm="1">
        <f t="array" ref="N461">(VLOOKUP($A461,'The List'!$B1:$AH671,26,FALSE)-AVERAGE('The List'!AA2:AA671))/STDEV('The List'!AA2:AA671)</f>
        <v>0.10509493950346162</v>
      </c>
      <c r="O461" s="55" cm="1">
        <f t="array" ref="O461">(VLOOKUP($A461,'The List'!$B1:$AH671,27,FALSE)-AVERAGE('The List'!AB2:AB671))/STDEV('The List'!AB2:AB671)</f>
        <v>0.38563815997497447</v>
      </c>
      <c r="P461" s="55" cm="1">
        <f t="array" ref="P461">(VLOOKUP($A461,'The List'!$B1:$AH671,28,FALSE)-AVERAGE('The List'!AC2:AC671))/STDEV('The List'!AC2:AC671)</f>
        <v>-0.61290204243790525</v>
      </c>
      <c r="Q461" s="55" cm="1">
        <f t="array" ref="Q461">(VLOOKUP($A461,'The List'!$B1:$AH671,29,FALSE)-AVERAGE('The List'!AD2:AD671))/STDEV('The List'!AD2:AD671)</f>
        <v>-0.61618354904114547</v>
      </c>
      <c r="R461" s="55" cm="1">
        <f t="array" ref="R461">(VLOOKUP($A461,'The List'!$B1:$AH671,30,FALSE)-AVERAGE('The List'!AE2:AE671))/STDEV('The List'!AE2:AE671)</f>
        <v>-0.46332471409155762</v>
      </c>
      <c r="S461" s="55" cm="1">
        <f t="array" ref="S461">(VLOOKUP($A461,'The List'!$B1:$AH671,31,FALSE)-AVERAGE('The List'!AF2:AF671))/STDEV('The List'!AF2:AF671)</f>
        <v>3.2443876627191129E-2</v>
      </c>
      <c r="T461" s="55" cm="1">
        <f t="array" ref="T461">(VLOOKUP($A461,'The List'!$B1:$AH671,32,FALSE)-AVERAGE('The List'!AG2:AG671))/STDEV('The List'!AG2:AG671)</f>
        <v>0.10987770388019391</v>
      </c>
      <c r="U461" s="55" cm="1">
        <f t="array" ref="U461">(VLOOKUP($A461,'The List'!$B1:$AH671,33,FALSE)-AVERAGE('The List'!AH2:AH671))/STDEV('The List'!AH2:AH671)</f>
        <v>0.90012487450875622</v>
      </c>
      <c r="V461" s="55"/>
      <c r="W461" s="78"/>
      <c r="X461" s="57"/>
      <c r="Y461" s="57"/>
      <c r="Z461" s="57"/>
      <c r="AA461" s="57"/>
      <c r="AB461" s="57"/>
      <c r="AC461" s="60"/>
      <c r="AD461" s="61"/>
      <c r="AE461" s="55"/>
    </row>
    <row r="462" spans="1:31" ht="21.25" customHeight="1" x14ac:dyDescent="0.15">
      <c r="A462" s="10" t="s">
        <v>464</v>
      </c>
      <c r="B462" s="18" t="str" cm="1">
        <f t="array" ref="B462">VLOOKUP(A462,'Player Data'!A1:B673,2,FALSE)</f>
        <v>NYR</v>
      </c>
      <c r="C462" s="52" cm="1">
        <f t="array" ref="C462">((E462)*Settings!$C$12)+(F462*Settings!$C$2)+(G462*Settings!$C$3)+(H462*Settings!$C$4)+(I462*Settings!$C$5)+(K462*Settings!$C$9)+(N462*Settings!$C$6)+(J462*Settings!$C$8)+(O462*Settings!$C$7)+(P462*Settings!$C$14)+(Q462*Settings!$C$15)+(R462*Settings!$C$16)+(S462*Settings!$C$17)+(T462*Settings!$C$18)+(U462*Settings!$C$19)+(L462*Settings!$C$10)+(Settings!$C$11*M462)</f>
        <v>-2.0033746863174375</v>
      </c>
      <c r="D462" s="57" cm="1">
        <f t="array" ref="D462">IF(Settings!$E$12="YES",VLOOKUP(A462,'Player Data'!A1:E673,5,FALSE),82)</f>
        <v>79.88</v>
      </c>
      <c r="E462" s="55" cm="1">
        <f t="array" ref="E462">(VLOOKUP($A462,'The List'!$B1:$AH671,17,FALSE)-AVERAGE('The List'!R2:R671))/STDEV('The List'!R2:R671)</f>
        <v>0.14865182820998882</v>
      </c>
      <c r="F462" s="55" cm="1">
        <f t="array" ref="F462">(VLOOKUP($A462,'The List'!$B1:$AH671,18,FALSE)-AVERAGE('The List'!S2:S671))/STDEV('The List'!S2:S671)</f>
        <v>-0.79652983880556283</v>
      </c>
      <c r="G462" s="55" cm="1">
        <f t="array" ref="G462">(VLOOKUP($A462,'The List'!$B1:$AH671,19,FALSE)-AVERAGE('The List'!T2:T671))/STDEV('The List'!T2:T671)</f>
        <v>-0.66442101290876743</v>
      </c>
      <c r="H462" s="55" cm="1">
        <f t="array" ref="H462">(VLOOKUP($A462,'The List'!$B1:$AH671,20,FALSE)-AVERAGE('The List'!U2:U671))/STDEV('The List'!U2:U671)</f>
        <v>-0.77132027243682744</v>
      </c>
      <c r="I462" s="55" cm="1">
        <f t="array" ref="I462">(VLOOKUP($A462,'The List'!$B1:$AH671,21,FALSE)-AVERAGE('The List'!V2:V671))/STDEV('The List'!V2:V671)</f>
        <v>-0.69904090740807623</v>
      </c>
      <c r="J462" s="55" cm="1">
        <f t="array" ref="J462">(VLOOKUP($A462,'The List'!$B1:$AH671,22,FALSE)-AVERAGE('The List'!W2:W671))/STDEV('The List'!W2:W671)</f>
        <v>-0.74422023758675238</v>
      </c>
      <c r="K462" s="55" cm="1">
        <f t="array" ref="K462">(VLOOKUP($A462,'The List'!$B1:$AH671,23,FALSE)-AVERAGE('The List'!X2:X671))/STDEV('The List'!X2:X671)</f>
        <v>-0.79501459682092557</v>
      </c>
      <c r="L462" s="55" cm="1">
        <f t="array" ref="L462">(VLOOKUP($A462,'The List'!$B1:$AH671,24,FALSE)-AVERAGE('The List'!Y2:Y671))/STDEV('The List'!Y2:Y671)</f>
        <v>-0.4888619149900601</v>
      </c>
      <c r="M462" s="55" cm="1">
        <f t="array" ref="M462">(VLOOKUP($A462,'The List'!$B1:$AH671,25,FALSE)-AVERAGE('The List'!Z2:Z671))/STDEV('The List'!Z2:Z671)</f>
        <v>-0.54912937678901863</v>
      </c>
      <c r="N462" s="55" cm="1">
        <f t="array" ref="N462">(VLOOKUP($A462,'The List'!$B1:$AH671,26,FALSE)-AVERAGE('The List'!AA2:AA671))/STDEV('The List'!AA2:AA671)</f>
        <v>0.76399364577787687</v>
      </c>
      <c r="O462" s="55" cm="1">
        <f t="array" ref="O462">(VLOOKUP($A462,'The List'!$B1:$AH671,27,FALSE)-AVERAGE('The List'!AB2:AB671))/STDEV('The List'!AB2:AB671)</f>
        <v>0.478568898309498</v>
      </c>
      <c r="P462" s="55" cm="1">
        <f t="array" ref="P462">(VLOOKUP($A462,'The List'!$B1:$AH671,28,FALSE)-AVERAGE('The List'!AC2:AC671))/STDEV('The List'!AC2:AC671)</f>
        <v>-0.24678148655510784</v>
      </c>
      <c r="Q462" s="55" cm="1">
        <f t="array" ref="Q462">(VLOOKUP($A462,'The List'!$B1:$AH671,29,FALSE)-AVERAGE('The List'!AD2:AD671))/STDEV('The List'!AD2:AD671)</f>
        <v>0.43441951040312532</v>
      </c>
      <c r="R462" s="55" cm="1">
        <f t="array" ref="R462">(VLOOKUP($A462,'The List'!$B1:$AH671,30,FALSE)-AVERAGE('The List'!AE2:AE671))/STDEV('The List'!AE2:AE671)</f>
        <v>-0.76894045037518877</v>
      </c>
      <c r="S462" s="55" cm="1">
        <f t="array" ref="S462">(VLOOKUP($A462,'The List'!$B1:$AH671,31,FALSE)-AVERAGE('The List'!AF2:AF671))/STDEV('The List'!AF2:AF671)</f>
        <v>-0.5939690971349143</v>
      </c>
      <c r="T462" s="55" cm="1">
        <f t="array" ref="T462">(VLOOKUP($A462,'The List'!$B1:$AH671,32,FALSE)-AVERAGE('The List'!AG2:AG671))/STDEV('The List'!AG2:AG671)</f>
        <v>-0.64602208138248207</v>
      </c>
      <c r="U462" s="55" cm="1">
        <f t="array" ref="U462">(VLOOKUP($A462,'The List'!$B1:$AH671,33,FALSE)-AVERAGE('The List'!AH2:AH671))/STDEV('The List'!AH2:AH671)</f>
        <v>-1.2548938914719048</v>
      </c>
      <c r="V462" s="55"/>
      <c r="W462" s="78"/>
      <c r="X462" s="57"/>
      <c r="Y462" s="57"/>
      <c r="Z462" s="57"/>
      <c r="AA462" s="57"/>
      <c r="AB462" s="57"/>
      <c r="AC462" s="60"/>
      <c r="AD462" s="61"/>
      <c r="AE462" s="55"/>
    </row>
    <row r="463" spans="1:31" ht="21.25" customHeight="1" x14ac:dyDescent="0.15">
      <c r="A463" s="10" t="s">
        <v>551</v>
      </c>
      <c r="B463" s="18" t="str" cm="1">
        <f t="array" ref="B463">VLOOKUP(A463,'Player Data'!A1:B673,2,FALSE)</f>
        <v>CGY</v>
      </c>
      <c r="C463" s="52" cm="1">
        <f t="array" ref="C463">((E463)*Settings!$C$12)+(F463*Settings!$C$2)+(G463*Settings!$C$3)+(H463*Settings!$C$4)+(I463*Settings!$C$5)+(K463*Settings!$C$9)+(N463*Settings!$C$6)+(J463*Settings!$C$8)+(O463*Settings!$C$7)+(P463*Settings!$C$14)+(Q463*Settings!$C$15)+(R463*Settings!$C$16)+(S463*Settings!$C$17)+(T463*Settings!$C$18)+(U463*Settings!$C$19)+(L463*Settings!$C$10)+(Settings!$C$11*M463)</f>
        <v>-5.6406281449927427</v>
      </c>
      <c r="D463" s="57" cm="1">
        <f t="array" ref="D463">IF(Settings!$E$12="YES",VLOOKUP(A463,'Player Data'!A1:E673,5,FALSE),82)</f>
        <v>64.11</v>
      </c>
      <c r="E463" s="55" cm="1">
        <f t="array" ref="E463">(VLOOKUP($A463,'The List'!$B1:$AH671,17,FALSE)-AVERAGE('The List'!R2:R671))/STDEV('The List'!R2:R671)</f>
        <v>8.2963259003521143E-3</v>
      </c>
      <c r="F463" s="55" cm="1">
        <f t="array" ref="F463">(VLOOKUP($A463,'The List'!$B1:$AH671,18,FALSE)-AVERAGE('The List'!S2:S671))/STDEV('The List'!S2:S671)</f>
        <v>-0.98923258884214615</v>
      </c>
      <c r="G463" s="55" cm="1">
        <f t="array" ref="G463">(VLOOKUP($A463,'The List'!$B1:$AH671,19,FALSE)-AVERAGE('The List'!T2:T671))/STDEV('The List'!T2:T671)</f>
        <v>-0.80547200851188572</v>
      </c>
      <c r="H463" s="55" cm="1">
        <f t="array" ref="H463">(VLOOKUP($A463,'The List'!$B1:$AH671,20,FALSE)-AVERAGE('The List'!U2:U671))/STDEV('The List'!U2:U671)</f>
        <v>-0.94553862243288023</v>
      </c>
      <c r="I463" s="55" cm="1">
        <f t="array" ref="I463">(VLOOKUP($A463,'The List'!$B1:$AH671,21,FALSE)-AVERAGE('The List'!V2:V671))/STDEV('The List'!V2:V671)</f>
        <v>-1.0239807227631406</v>
      </c>
      <c r="J463" s="55" cm="1">
        <f t="array" ref="J463">(VLOOKUP($A463,'The List'!$B1:$AH671,22,FALSE)-AVERAGE('The List'!W2:W671))/STDEV('The List'!W2:W671)</f>
        <v>-0.65465790014797509</v>
      </c>
      <c r="K463" s="55" cm="1">
        <f t="array" ref="K463">(VLOOKUP($A463,'The List'!$B1:$AH671,23,FALSE)-AVERAGE('The List'!X2:X671))/STDEV('The List'!X2:X671)</f>
        <v>-0.49946509291437807</v>
      </c>
      <c r="L463" s="55" cm="1">
        <f t="array" ref="L463">(VLOOKUP($A463,'The List'!$B1:$AH671,24,FALSE)-AVERAGE('The List'!Y2:Y671))/STDEV('The List'!Y2:Y671)</f>
        <v>-0.48982892676909601</v>
      </c>
      <c r="M463" s="55" cm="1">
        <f t="array" ref="M463">(VLOOKUP($A463,'The List'!$B1:$AH671,25,FALSE)-AVERAGE('The List'!Z2:Z671))/STDEV('The List'!Z2:Z671)</f>
        <v>-0.55220778837269191</v>
      </c>
      <c r="N463" s="55" cm="1">
        <f t="array" ref="N463">(VLOOKUP($A463,'The List'!$B1:$AH671,26,FALSE)-AVERAGE('The List'!AA2:AA671))/STDEV('The List'!AA2:AA671)</f>
        <v>-5.3800322200879165E-2</v>
      </c>
      <c r="O463" s="55" cm="1">
        <f t="array" ref="O463">(VLOOKUP($A463,'The List'!$B1:$AH671,27,FALSE)-AVERAGE('The List'!AB2:AB671))/STDEV('The List'!AB2:AB671)</f>
        <v>-0.55545007753659703</v>
      </c>
      <c r="P463" s="55" cm="1">
        <f t="array" ref="P463">(VLOOKUP($A463,'The List'!$B1:$AH671,28,FALSE)-AVERAGE('The List'!AC2:AC671))/STDEV('The List'!AC2:AC671)</f>
        <v>-1.3464247758908394</v>
      </c>
      <c r="Q463" s="55" cm="1">
        <f t="array" ref="Q463">(VLOOKUP($A463,'The List'!$B1:$AH671,29,FALSE)-AVERAGE('The List'!AD2:AD671))/STDEV('The List'!AD2:AD671)</f>
        <v>-0.92225263386947343</v>
      </c>
      <c r="R463" s="55" cm="1">
        <f t="array" ref="R463">(VLOOKUP($A463,'The List'!$B1:$AH671,30,FALSE)-AVERAGE('The List'!AE2:AE671))/STDEV('The List'!AE2:AE671)</f>
        <v>-0.98994180275619659</v>
      </c>
      <c r="S463" s="55" cm="1">
        <f t="array" ref="S463">(VLOOKUP($A463,'The List'!$B1:$AH671,31,FALSE)-AVERAGE('The List'!AF2:AF671))/STDEV('The List'!AF2:AF671)</f>
        <v>-0.5939690971349143</v>
      </c>
      <c r="T463" s="55" cm="1">
        <f t="array" ref="T463">(VLOOKUP($A463,'The List'!$B1:$AH671,32,FALSE)-AVERAGE('The List'!AG2:AG671))/STDEV('The List'!AG2:AG671)</f>
        <v>-0.64602208138248207</v>
      </c>
      <c r="U463" s="55" cm="1">
        <f t="array" ref="U463">(VLOOKUP($A463,'The List'!$B1:$AH671,33,FALSE)-AVERAGE('The List'!AH2:AH671))/STDEV('The List'!AH2:AH671)</f>
        <v>-1.2548938914719048</v>
      </c>
      <c r="V463" s="55"/>
      <c r="W463" s="78"/>
      <c r="X463" s="57"/>
      <c r="Y463" s="57"/>
      <c r="Z463" s="57"/>
      <c r="AA463" s="57"/>
      <c r="AB463" s="57"/>
      <c r="AC463" s="60"/>
      <c r="AD463" s="61"/>
      <c r="AE463" s="55"/>
    </row>
    <row r="464" spans="1:31" ht="21.25" customHeight="1" x14ac:dyDescent="0.15">
      <c r="A464" s="10" t="s">
        <v>746</v>
      </c>
      <c r="B464" s="18" t="str" cm="1">
        <f t="array" ref="B464">VLOOKUP(A464,'Player Data'!A1:B673,2,FALSE)</f>
        <v>WPG</v>
      </c>
      <c r="C464" s="52" cm="1">
        <f t="array" ref="C464">((E464)*Settings!$C$12)+(F464*Settings!$C$2)+(G464*Settings!$C$3)+(H464*Settings!$C$4)+(I464*Settings!$C$5)+(K464*Settings!$C$9)+(N464*Settings!$C$6)+(J464*Settings!$C$8)+(O464*Settings!$C$7)+(P464*Settings!$C$14)+(Q464*Settings!$C$15)+(R464*Settings!$C$16)+(S464*Settings!$C$17)+(T464*Settings!$C$18)+(U464*Settings!$C$19)+(L464*Settings!$C$10)+(Settings!$C$11*M464)</f>
        <v>-5.0720713794304668</v>
      </c>
      <c r="D464" s="57" cm="1">
        <f t="array" ref="D464">IF(Settings!$E$12="YES",VLOOKUP(A464,'Player Data'!A1:E673,5,FALSE),82)</f>
        <v>72.652500000000003</v>
      </c>
      <c r="E464" s="55" cm="1">
        <f t="array" ref="E464">(VLOOKUP($A464,'The List'!$B1:$AH671,17,FALSE)-AVERAGE('The List'!R2:R671))/STDEV('The List'!R2:R671)</f>
        <v>-1.3935173972074775</v>
      </c>
      <c r="F464" s="55" cm="1">
        <f t="array" ref="F464">(VLOOKUP($A464,'The List'!$B1:$AH671,18,FALSE)-AVERAGE('The List'!S2:S671))/STDEV('The List'!S2:S671)</f>
        <v>-0.49429266017070789</v>
      </c>
      <c r="G464" s="55" cm="1">
        <f t="array" ref="G464">(VLOOKUP($A464,'The List'!$B1:$AH671,19,FALSE)-AVERAGE('The List'!T2:T671))/STDEV('The List'!T2:T671)</f>
        <v>-1.0055019742051765</v>
      </c>
      <c r="H464" s="55" cm="1">
        <f t="array" ref="H464">(VLOOKUP($A464,'The List'!$B1:$AH671,20,FALSE)-AVERAGE('The List'!U2:U671))/STDEV('The List'!U2:U671)</f>
        <v>-0.85176233527607181</v>
      </c>
      <c r="I464" s="55" cm="1">
        <f t="array" ref="I464">(VLOOKUP($A464,'The List'!$B1:$AH671,21,FALSE)-AVERAGE('The List'!V2:V671))/STDEV('The List'!V2:V671)</f>
        <v>-0.53948147607890617</v>
      </c>
      <c r="J464" s="55" cm="1">
        <f t="array" ref="J464">(VLOOKUP($A464,'The List'!$B1:$AH671,22,FALSE)-AVERAGE('The List'!W2:W671))/STDEV('The List'!W2:W671)</f>
        <v>-0.74787486620621968</v>
      </c>
      <c r="K464" s="55" cm="1">
        <f t="array" ref="K464">(VLOOKUP($A464,'The List'!$B1:$AH671,23,FALSE)-AVERAGE('The List'!X2:X671))/STDEV('The List'!X2:X671)</f>
        <v>-0.81007795006967853</v>
      </c>
      <c r="L464" s="55" cm="1">
        <f t="array" ref="L464">(VLOOKUP($A464,'The List'!$B1:$AH671,24,FALSE)-AVERAGE('The List'!Y2:Y671))/STDEV('The List'!Y2:Y671)</f>
        <v>0.69948467667915692</v>
      </c>
      <c r="M464" s="55" cm="1">
        <f t="array" ref="M464">(VLOOKUP($A464,'The List'!$B1:$AH671,25,FALSE)-AVERAGE('The List'!Z2:Z671))/STDEV('The List'!Z2:Z671)</f>
        <v>0.1467176128041553</v>
      </c>
      <c r="N464" s="55" cm="1">
        <f t="array" ref="N464">(VLOOKUP($A464,'The List'!$B1:$AH671,26,FALSE)-AVERAGE('The List'!AA2:AA671))/STDEV('The List'!AA2:AA671)</f>
        <v>-0.95275584120622625</v>
      </c>
      <c r="O464" s="55" cm="1">
        <f t="array" ref="O464">(VLOOKUP($A464,'The List'!$B1:$AH671,27,FALSE)-AVERAGE('The List'!AB2:AB671))/STDEV('The List'!AB2:AB671)</f>
        <v>2.1884758029252285</v>
      </c>
      <c r="P464" s="55" cm="1">
        <f t="array" ref="P464">(VLOOKUP($A464,'The List'!$B1:$AH671,28,FALSE)-AVERAGE('The List'!AC2:AC671))/STDEV('The List'!AC2:AC671)</f>
        <v>8.8956299005306366E-3</v>
      </c>
      <c r="Q464" s="55" cm="1">
        <f t="array" ref="Q464">(VLOOKUP($A464,'The List'!$B1:$AH671,29,FALSE)-AVERAGE('The List'!AD2:AD671))/STDEV('The List'!AD2:AD671)</f>
        <v>-1.2788571076003024</v>
      </c>
      <c r="R464" s="55" cm="1">
        <f t="array" ref="R464">(VLOOKUP($A464,'The List'!$B1:$AH671,30,FALSE)-AVERAGE('The List'!AE2:AE671))/STDEV('The List'!AE2:AE671)</f>
        <v>-0.38089110201527149</v>
      </c>
      <c r="S464" s="55" cm="1">
        <f t="array" ref="S464">(VLOOKUP($A464,'The List'!$B1:$AH671,31,FALSE)-AVERAGE('The List'!AF2:AF671))/STDEV('The List'!AF2:AF671)</f>
        <v>-0.5939690971349143</v>
      </c>
      <c r="T464" s="55" cm="1">
        <f t="array" ref="T464">(VLOOKUP($A464,'The List'!$B1:$AH671,32,FALSE)-AVERAGE('The List'!AG2:AG671))/STDEV('The List'!AG2:AG671)</f>
        <v>-0.63428797484834765</v>
      </c>
      <c r="U464" s="55" cm="1">
        <f t="array" ref="U464">(VLOOKUP($A464,'The List'!$B1:$AH671,33,FALSE)-AVERAGE('The List'!AH2:AH671))/STDEV('The List'!AH2:AH671)</f>
        <v>-1.2548938914719048</v>
      </c>
      <c r="V464" s="55"/>
      <c r="W464" s="57"/>
      <c r="X464" s="55"/>
      <c r="Y464" s="55"/>
      <c r="Z464" s="55"/>
      <c r="AA464" s="55"/>
      <c r="AB464" s="55"/>
      <c r="AC464" s="55"/>
      <c r="AD464" s="55"/>
      <c r="AE464" s="55"/>
    </row>
    <row r="465" spans="1:31" ht="21.25" customHeight="1" x14ac:dyDescent="0.15">
      <c r="A465" s="10" t="s">
        <v>481</v>
      </c>
      <c r="B465" s="18" t="str" cm="1">
        <f t="array" ref="B465">VLOOKUP(A465,'Player Data'!A1:B673,2,FALSE)</f>
        <v>CHI</v>
      </c>
      <c r="C465" s="52" cm="1">
        <f t="array" ref="C465">((E465)*Settings!$C$12)+(F465*Settings!$C$2)+(G465*Settings!$C$3)+(H465*Settings!$C$4)+(I465*Settings!$C$5)+(K465*Settings!$C$9)+(N465*Settings!$C$6)+(J465*Settings!$C$8)+(O465*Settings!$C$7)+(P465*Settings!$C$14)+(Q465*Settings!$C$15)+(R465*Settings!$C$16)+(S465*Settings!$C$17)+(T465*Settings!$C$18)+(U465*Settings!$C$19)+(L465*Settings!$C$10)+(Settings!$C$11*M465)</f>
        <v>-4.2617787434954444</v>
      </c>
      <c r="D465" s="57" cm="1">
        <f t="array" ref="D465">IF(Settings!$E$12="YES",VLOOKUP(A465,'Player Data'!A1:E673,5,FALSE),82)</f>
        <v>74.704999999999998</v>
      </c>
      <c r="E465" s="55" cm="1">
        <f t="array" ref="E465">(VLOOKUP($A465,'The List'!$B1:$AH671,17,FALSE)-AVERAGE('The List'!R2:R671))/STDEV('The List'!R2:R671)</f>
        <v>0.79221394994631755</v>
      </c>
      <c r="F465" s="55" cm="1">
        <f t="array" ref="F465">(VLOOKUP($A465,'The List'!$B1:$AH671,18,FALSE)-AVERAGE('The List'!S2:S671))/STDEV('The List'!S2:S671)</f>
        <v>-0.78343027031573298</v>
      </c>
      <c r="G465" s="55" cm="1">
        <f t="array" ref="G465">(VLOOKUP($A465,'The List'!$B1:$AH671,19,FALSE)-AVERAGE('The List'!T2:T671))/STDEV('The List'!T2:T671)</f>
        <v>-0.76748861792658074</v>
      </c>
      <c r="H465" s="55" cm="1">
        <f t="array" ref="H465">(VLOOKUP($A465,'The List'!$B1:$AH671,20,FALSE)-AVERAGE('The List'!U2:U671))/STDEV('The List'!U2:U671)</f>
        <v>-0.830337258394508</v>
      </c>
      <c r="I465" s="55" cm="1">
        <f t="array" ref="I465">(VLOOKUP($A465,'The List'!$B1:$AH671,21,FALSE)-AVERAGE('The List'!V2:V671))/STDEV('The List'!V2:V671)</f>
        <v>-0.76261492498030736</v>
      </c>
      <c r="J465" s="55" cm="1">
        <f t="array" ref="J465">(VLOOKUP($A465,'The List'!$B1:$AH671,22,FALSE)-AVERAGE('The List'!W2:W671))/STDEV('The List'!W2:W671)</f>
        <v>-0.74755547980144921</v>
      </c>
      <c r="K465" s="55" cm="1">
        <f t="array" ref="K465">(VLOOKUP($A465,'The List'!$B1:$AH671,23,FALSE)-AVERAGE('The List'!X2:X671))/STDEV('The List'!X2:X671)</f>
        <v>-0.80428909550775607</v>
      </c>
      <c r="L465" s="55" cm="1">
        <f t="array" ref="L465">(VLOOKUP($A465,'The List'!$B1:$AH671,24,FALSE)-AVERAGE('The List'!Y2:Y671))/STDEV('The List'!Y2:Y671)</f>
        <v>-0.50885145135794563</v>
      </c>
      <c r="M465" s="55" cm="1">
        <f t="array" ref="M465">(VLOOKUP($A465,'The List'!$B1:$AH671,25,FALSE)-AVERAGE('The List'!Z2:Z671))/STDEV('The List'!Z2:Z671)</f>
        <v>-0.5292914224586549</v>
      </c>
      <c r="N465" s="55" cm="1">
        <f t="array" ref="N465">(VLOOKUP($A465,'The List'!$B1:$AH671,26,FALSE)-AVERAGE('The List'!AA2:AA671))/STDEV('The List'!AA2:AA671)</f>
        <v>0.70797968631789721</v>
      </c>
      <c r="O465" s="55" cm="1">
        <f t="array" ref="O465">(VLOOKUP($A465,'The List'!$B1:$AH671,27,FALSE)-AVERAGE('The List'!AB2:AB671))/STDEV('The List'!AB2:AB671)</f>
        <v>-0.61080544862257369</v>
      </c>
      <c r="P465" s="55" cm="1">
        <f t="array" ref="P465">(VLOOKUP($A465,'The List'!$B1:$AH671,28,FALSE)-AVERAGE('The List'!AC2:AC671))/STDEV('The List'!AC2:AC671)</f>
        <v>-1.9319321608505649</v>
      </c>
      <c r="Q465" s="55" cm="1">
        <f t="array" ref="Q465">(VLOOKUP($A465,'The List'!$B1:$AH671,29,FALSE)-AVERAGE('The List'!AD2:AD671))/STDEV('The List'!AD2:AD671)</f>
        <v>7.9996639767600727E-2</v>
      </c>
      <c r="R465" s="55" cm="1">
        <f t="array" ref="R465">(VLOOKUP($A465,'The List'!$B1:$AH671,30,FALSE)-AVERAGE('The List'!AE2:AE671))/STDEV('The List'!AE2:AE671)</f>
        <v>-0.87981345395957689</v>
      </c>
      <c r="S465" s="55" cm="1">
        <f t="array" ref="S465">(VLOOKUP($A465,'The List'!$B1:$AH671,31,FALSE)-AVERAGE('The List'!AF2:AF671))/STDEV('The List'!AF2:AF671)</f>
        <v>-0.5939690971349143</v>
      </c>
      <c r="T465" s="55" cm="1">
        <f t="array" ref="T465">(VLOOKUP($A465,'The List'!$B1:$AH671,32,FALSE)-AVERAGE('The List'!AG2:AG671))/STDEV('The List'!AG2:AG671)</f>
        <v>-0.64602208138248207</v>
      </c>
      <c r="U465" s="55" cm="1">
        <f t="array" ref="U465">(VLOOKUP($A465,'The List'!$B1:$AH671,33,FALSE)-AVERAGE('The List'!AH2:AH671))/STDEV('The List'!AH2:AH671)</f>
        <v>-1.2548938914719048</v>
      </c>
      <c r="V465" s="55"/>
      <c r="W465" s="78"/>
      <c r="X465" s="57"/>
      <c r="Y465" s="57"/>
      <c r="Z465" s="57"/>
      <c r="AA465" s="57"/>
      <c r="AB465" s="57"/>
      <c r="AC465" s="60"/>
      <c r="AD465" s="61"/>
      <c r="AE465" s="55"/>
    </row>
    <row r="466" spans="1:31" ht="21.25" customHeight="1" x14ac:dyDescent="0.15">
      <c r="A466" s="10" t="s">
        <v>416</v>
      </c>
      <c r="B466" s="18" t="str" cm="1">
        <f t="array" ref="B466">VLOOKUP(A466,'Player Data'!A1:B673,2,FALSE)</f>
        <v>BOS</v>
      </c>
      <c r="C466" s="52" cm="1">
        <f t="array" ref="C466">((E466)*Settings!$C$12)+(F466*Settings!$C$2)+(G466*Settings!$C$3)+(H466*Settings!$C$4)+(I466*Settings!$C$5)+(K466*Settings!$C$9)+(N466*Settings!$C$6)+(J466*Settings!$C$8)+(O466*Settings!$C$7)+(P466*Settings!$C$14)+(Q466*Settings!$C$15)+(R466*Settings!$C$16)+(S466*Settings!$C$17)+(T466*Settings!$C$18)+(U466*Settings!$C$19)+(L466*Settings!$C$10)+(Settings!$C$11*M466)</f>
        <v>3.1514149192997332</v>
      </c>
      <c r="D466" s="57" cm="1">
        <f t="array" ref="D466">IF(Settings!$E$12="YES",VLOOKUP(A466,'Player Data'!A1:E673,5,FALSE),82)</f>
        <v>83.015000000000001</v>
      </c>
      <c r="E466" s="55" cm="1">
        <f t="array" ref="E466">(VLOOKUP($A466,'The List'!$B1:$AH671,17,FALSE)-AVERAGE('The List'!R2:R671))/STDEV('The List'!R2:R671)</f>
        <v>0.9711706975790575</v>
      </c>
      <c r="F466" s="55" cm="1">
        <f t="array" ref="F466">(VLOOKUP($A466,'The List'!$B1:$AH671,18,FALSE)-AVERAGE('The List'!S2:S671))/STDEV('The List'!S2:S671)</f>
        <v>-1.1119833549211748</v>
      </c>
      <c r="G466" s="55" cm="1">
        <f t="array" ref="G466">(VLOOKUP($A466,'The List'!$B1:$AH671,19,FALSE)-AVERAGE('The List'!T2:T671))/STDEV('The List'!T2:T671)</f>
        <v>-0.40194264183207712</v>
      </c>
      <c r="H466" s="55" cm="1">
        <f t="array" ref="H466">(VLOOKUP($A466,'The List'!$B1:$AH671,20,FALSE)-AVERAGE('The List'!U2:U671))/STDEV('The List'!U2:U671)</f>
        <v>-0.74618262540109015</v>
      </c>
      <c r="I466" s="55" cm="1">
        <f t="array" ref="I466">(VLOOKUP($A466,'The List'!$B1:$AH671,21,FALSE)-AVERAGE('The List'!V2:V671))/STDEV('The List'!V2:V671)</f>
        <v>-0.52081889969854667</v>
      </c>
      <c r="J466" s="55" cm="1">
        <f t="array" ref="J466">(VLOOKUP($A466,'The List'!$B1:$AH671,22,FALSE)-AVERAGE('The List'!W2:W671))/STDEV('The List'!W2:W671)</f>
        <v>-0.7490870376071036</v>
      </c>
      <c r="K466" s="55" cm="1">
        <f t="array" ref="K466">(VLOOKUP($A466,'The List'!$B1:$AH671,23,FALSE)-AVERAGE('The List'!X2:X671))/STDEV('The List'!X2:X671)</f>
        <v>-0.80656586412910036</v>
      </c>
      <c r="L466" s="55" cm="1">
        <f t="array" ref="L466">(VLOOKUP($A466,'The List'!$B1:$AH671,24,FALSE)-AVERAGE('The List'!Y2:Y671))/STDEV('The List'!Y2:Y671)</f>
        <v>-0.54202728245600351</v>
      </c>
      <c r="M466" s="55" cm="1">
        <f t="array" ref="M466">(VLOOKUP($A466,'The List'!$B1:$AH671,25,FALSE)-AVERAGE('The List'!Z2:Z671))/STDEV('The List'!Z2:Z671)</f>
        <v>-0.4399389522082558</v>
      </c>
      <c r="N466" s="55" cm="1">
        <f t="array" ref="N466">(VLOOKUP($A466,'The List'!$B1:$AH671,26,FALSE)-AVERAGE('The List'!AA2:AA671))/STDEV('The List'!AA2:AA671)</f>
        <v>1.1807330652853909</v>
      </c>
      <c r="O466" s="55" cm="1">
        <f t="array" ref="O466">(VLOOKUP($A466,'The List'!$B1:$AH671,27,FALSE)-AVERAGE('The List'!AB2:AB671))/STDEV('The List'!AB2:AB671)</f>
        <v>1.9597932595635315</v>
      </c>
      <c r="P466" s="55" cm="1">
        <f t="array" ref="P466">(VLOOKUP($A466,'The List'!$B1:$AH671,28,FALSE)-AVERAGE('The List'!AC2:AC671))/STDEV('The List'!AC2:AC671)</f>
        <v>-0.50900141645123431</v>
      </c>
      <c r="Q466" s="55" cm="1">
        <f t="array" ref="Q466">(VLOOKUP($A466,'The List'!$B1:$AH671,29,FALSE)-AVERAGE('The List'!AD2:AD671))/STDEV('The List'!AD2:AD671)</f>
        <v>5.3209940310464754</v>
      </c>
      <c r="R466" s="55" cm="1">
        <f t="array" ref="R466">(VLOOKUP($A466,'The List'!$B1:$AH671,30,FALSE)-AVERAGE('The List'!AE2:AE671))/STDEV('The List'!AE2:AE671)</f>
        <v>-1.1150552885840819</v>
      </c>
      <c r="S466" s="55" cm="1">
        <f t="array" ref="S466">(VLOOKUP($A466,'The List'!$B1:$AH671,31,FALSE)-AVERAGE('The List'!AF2:AF671))/STDEV('The List'!AF2:AF671)</f>
        <v>-0.5939690971349143</v>
      </c>
      <c r="T466" s="55" cm="1">
        <f t="array" ref="T466">(VLOOKUP($A466,'The List'!$B1:$AH671,32,FALSE)-AVERAGE('The List'!AG2:AG671))/STDEV('The List'!AG2:AG671)</f>
        <v>-0.64602208138248207</v>
      </c>
      <c r="U466" s="55" cm="1">
        <f t="array" ref="U466">(VLOOKUP($A466,'The List'!$B1:$AH671,33,FALSE)-AVERAGE('The List'!AH2:AH671))/STDEV('The List'!AH2:AH671)</f>
        <v>-1.2548938914719048</v>
      </c>
      <c r="V466" s="55"/>
      <c r="W466" s="57"/>
      <c r="X466" s="57"/>
      <c r="Y466" s="57"/>
      <c r="Z466" s="57"/>
      <c r="AA466" s="57"/>
      <c r="AB466" s="57"/>
      <c r="AC466" s="60"/>
      <c r="AD466" s="61"/>
      <c r="AE466" s="55"/>
    </row>
    <row r="467" spans="1:31" ht="21.25" customHeight="1" x14ac:dyDescent="0.15">
      <c r="A467" s="10" t="s">
        <v>782</v>
      </c>
      <c r="B467" s="18" t="str" cm="1">
        <f t="array" ref="B467">VLOOKUP(A467,'Player Data'!A1:B673,2,FALSE)</f>
        <v>SEA</v>
      </c>
      <c r="C467" s="52" cm="1">
        <f t="array" ref="C467">((E467)*Settings!$C$12)+(F467*Settings!$C$2)+(G467*Settings!$C$3)+(H467*Settings!$C$4)+(I467*Settings!$C$5)+(K467*Settings!$C$9)+(N467*Settings!$C$6)+(J467*Settings!$C$8)+(O467*Settings!$C$7)+(P467*Settings!$C$14)+(Q467*Settings!$C$15)+(R467*Settings!$C$16)+(S467*Settings!$C$17)+(T467*Settings!$C$18)+(U467*Settings!$C$19)+(L467*Settings!$C$10)+(Settings!$C$11*M467)</f>
        <v>-6.9089615386896623</v>
      </c>
      <c r="D467" s="57" cm="1">
        <f t="array" ref="D467">IF(Settings!$E$12="YES",VLOOKUP(A467,'Player Data'!A1:E673,5,FALSE),82)</f>
        <v>62.63</v>
      </c>
      <c r="E467" s="55" cm="1">
        <f t="array" ref="E467">(VLOOKUP($A467,'The List'!$B1:$AH671,17,FALSE)-AVERAGE('The List'!R2:R671))/STDEV('The List'!R2:R671)</f>
        <v>-1.2364932444360504</v>
      </c>
      <c r="F467" s="55" cm="1">
        <f t="array" ref="F467">(VLOOKUP($A467,'The List'!$B1:$AH671,18,FALSE)-AVERAGE('The List'!S2:S671))/STDEV('The List'!S2:S671)</f>
        <v>-0.67731752828403258</v>
      </c>
      <c r="G467" s="55" cm="1">
        <f t="array" ref="G467">(VLOOKUP($A467,'The List'!$B1:$AH671,19,FALSE)-AVERAGE('The List'!T2:T671))/STDEV('The List'!T2:T671)</f>
        <v>-1.0630525672404663</v>
      </c>
      <c r="H467" s="55" cm="1">
        <f t="array" ref="H467">(VLOOKUP($A467,'The List'!$B1:$AH671,20,FALSE)-AVERAGE('The List'!U2:U671))/STDEV('The List'!U2:U671)</f>
        <v>-0.9691655071113453</v>
      </c>
      <c r="I467" s="55" cm="1">
        <f t="array" ref="I467">(VLOOKUP($A467,'The List'!$B1:$AH671,21,FALSE)-AVERAGE('The List'!V2:V671))/STDEV('The List'!V2:V671)</f>
        <v>-0.98416652725532239</v>
      </c>
      <c r="J467" s="55" cm="1">
        <f t="array" ref="J467">(VLOOKUP($A467,'The List'!$B1:$AH671,22,FALSE)-AVERAGE('The List'!W2:W671))/STDEV('The List'!W2:W671)</f>
        <v>-0.73719896496500426</v>
      </c>
      <c r="K467" s="55" cm="1">
        <f t="array" ref="K467">(VLOOKUP($A467,'The List'!$B1:$AH671,23,FALSE)-AVERAGE('The List'!X2:X671))/STDEV('The List'!X2:X671)</f>
        <v>-0.80155104873382799</v>
      </c>
      <c r="L467" s="55" cm="1">
        <f t="array" ref="L467">(VLOOKUP($A467,'The List'!$B1:$AH671,24,FALSE)-AVERAGE('The List'!Y2:Y671))/STDEV('The List'!Y2:Y671)</f>
        <v>-0.22774710162062034</v>
      </c>
      <c r="M467" s="55" cm="1">
        <f t="array" ref="M467">(VLOOKUP($A467,'The List'!$B1:$AH671,25,FALSE)-AVERAGE('The List'!Z2:Z671))/STDEV('The List'!Z2:Z671)</f>
        <v>-0.33269958358096191</v>
      </c>
      <c r="N467" s="55" cm="1">
        <f t="array" ref="N467">(VLOOKUP($A467,'The List'!$B1:$AH671,26,FALSE)-AVERAGE('The List'!AA2:AA671))/STDEV('The List'!AA2:AA671)</f>
        <v>-1.102487039808983</v>
      </c>
      <c r="O467" s="55" cm="1">
        <f t="array" ref="O467">(VLOOKUP($A467,'The List'!$B1:$AH671,27,FALSE)-AVERAGE('The List'!AB2:AB671))/STDEV('The List'!AB2:AB671)</f>
        <v>-3.083694852661267E-2</v>
      </c>
      <c r="P467" s="55" cm="1">
        <f t="array" ref="P467">(VLOOKUP($A467,'The List'!$B1:$AH671,28,FALSE)-AVERAGE('The List'!AC2:AC671))/STDEV('The List'!AC2:AC671)</f>
        <v>-1.3308277315629309</v>
      </c>
      <c r="Q467" s="55" cm="1">
        <f t="array" ref="Q467">(VLOOKUP($A467,'The List'!$B1:$AH671,29,FALSE)-AVERAGE('The List'!AD2:AD671))/STDEV('The List'!AD2:AD671)</f>
        <v>-0.94955909580409859</v>
      </c>
      <c r="R467" s="55" cm="1">
        <f t="array" ref="R467">(VLOOKUP($A467,'The List'!$B1:$AH671,30,FALSE)-AVERAGE('The List'!AE2:AE671))/STDEV('The List'!AE2:AE671)</f>
        <v>-0.73571312560061675</v>
      </c>
      <c r="S467" s="55" cm="1">
        <f t="array" ref="S467">(VLOOKUP($A467,'The List'!$B1:$AH671,31,FALSE)-AVERAGE('The List'!AF2:AF671))/STDEV('The List'!AF2:AF671)</f>
        <v>0.43068010783800503</v>
      </c>
      <c r="T467" s="55" cm="1">
        <f t="array" ref="T467">(VLOOKUP($A467,'The List'!$B1:$AH671,32,FALSE)-AVERAGE('The List'!AG2:AG671))/STDEV('The List'!AG2:AG671)</f>
        <v>0.32485202214396608</v>
      </c>
      <c r="U467" s="55" cm="1">
        <f t="array" ref="U467">(VLOOKUP($A467,'The List'!$B1:$AH671,33,FALSE)-AVERAGE('The List'!AH2:AH671))/STDEV('The List'!AH2:AH671)</f>
        <v>1.1776776854800373</v>
      </c>
      <c r="V467" s="55"/>
      <c r="W467" s="57"/>
      <c r="X467" s="55"/>
      <c r="Y467" s="55"/>
      <c r="Z467" s="55"/>
      <c r="AA467" s="55"/>
      <c r="AB467" s="55"/>
      <c r="AC467" s="55"/>
      <c r="AD467" s="55"/>
      <c r="AE467" s="55"/>
    </row>
    <row r="468" spans="1:31" ht="21.25" customHeight="1" x14ac:dyDescent="0.15">
      <c r="A468" s="10" t="s">
        <v>693</v>
      </c>
      <c r="B468" s="18" t="str" cm="1">
        <f t="array" ref="B468">VLOOKUP(A468,'Player Data'!A1:B673,2,FALSE)</f>
        <v>BOS</v>
      </c>
      <c r="C468" s="52" cm="1">
        <f t="array" ref="C468">((E468)*Settings!$C$12)+(F468*Settings!$C$2)+(G468*Settings!$C$3)+(H468*Settings!$C$4)+(I468*Settings!$C$5)+(K468*Settings!$C$9)+(N468*Settings!$C$6)+(J468*Settings!$C$8)+(O468*Settings!$C$7)+(P468*Settings!$C$14)+(Q468*Settings!$C$15)+(R468*Settings!$C$16)+(S468*Settings!$C$17)+(T468*Settings!$C$18)+(U468*Settings!$C$19)+(L468*Settings!$C$10)+(Settings!$C$11*M468)</f>
        <v>0.25767262728070772</v>
      </c>
      <c r="D468" s="57" cm="1">
        <f t="array" ref="D468">IF(Settings!$E$12="YES",VLOOKUP(A468,'Player Data'!A1:E673,5,FALSE),82)</f>
        <v>79.242500000000007</v>
      </c>
      <c r="E468" s="55" cm="1">
        <f t="array" ref="E468">(VLOOKUP($A468,'The List'!$B1:$AH671,17,FALSE)-AVERAGE('The List'!R2:R671))/STDEV('The List'!R2:R671)</f>
        <v>-1.1808181622585456</v>
      </c>
      <c r="F468" s="55" cm="1">
        <f t="array" ref="F468">(VLOOKUP($A468,'The List'!$B1:$AH671,18,FALSE)-AVERAGE('The List'!S2:S671))/STDEV('The List'!S2:S671)</f>
        <v>-0.41679298347975713</v>
      </c>
      <c r="G468" s="55" cm="1">
        <f t="array" ref="G468">(VLOOKUP($A468,'The List'!$B1:$AH671,19,FALSE)-AVERAGE('The List'!T2:T671))/STDEV('The List'!T2:T671)</f>
        <v>-0.96220933030610611</v>
      </c>
      <c r="H468" s="55" cm="1">
        <f t="array" ref="H468">(VLOOKUP($A468,'The List'!$B1:$AH671,20,FALSE)-AVERAGE('The List'!U2:U671))/STDEV('The List'!U2:U671)</f>
        <v>-0.79014657010119482</v>
      </c>
      <c r="I468" s="55" cm="1">
        <f t="array" ref="I468">(VLOOKUP($A468,'The List'!$B1:$AH671,21,FALSE)-AVERAGE('The List'!V2:V671))/STDEV('The List'!V2:V671)</f>
        <v>-0.51553116514567165</v>
      </c>
      <c r="J468" s="55" cm="1">
        <f t="array" ref="J468">(VLOOKUP($A468,'The List'!$B1:$AH671,22,FALSE)-AVERAGE('The List'!W2:W671))/STDEV('The List'!W2:W671)</f>
        <v>-0.74016148849062935</v>
      </c>
      <c r="K468" s="55" cm="1">
        <f t="array" ref="K468">(VLOOKUP($A468,'The List'!$B1:$AH671,23,FALSE)-AVERAGE('The List'!X2:X671))/STDEV('The List'!X2:X671)</f>
        <v>-0.79864891508822966</v>
      </c>
      <c r="L468" s="55" cm="1">
        <f t="array" ref="L468">(VLOOKUP($A468,'The List'!$B1:$AH671,24,FALSE)-AVERAGE('The List'!Y2:Y671))/STDEV('The List'!Y2:Y671)</f>
        <v>0.91496840617855701</v>
      </c>
      <c r="M468" s="55" cm="1">
        <f t="array" ref="M468">(VLOOKUP($A468,'The List'!$B1:$AH671,25,FALSE)-AVERAGE('The List'!Z2:Z671))/STDEV('The List'!Z2:Z671)</f>
        <v>0.31286800708565526</v>
      </c>
      <c r="N468" s="55" cm="1">
        <f t="array" ref="N468">(VLOOKUP($A468,'The List'!$B1:$AH671,26,FALSE)-AVERAGE('The List'!AA2:AA671))/STDEV('The List'!AA2:AA671)</f>
        <v>-0.15986586530820074</v>
      </c>
      <c r="O468" s="55" cm="1">
        <f t="array" ref="O468">(VLOOKUP($A468,'The List'!$B1:$AH671,27,FALSE)-AVERAGE('The List'!AB2:AB671))/STDEV('The List'!AB2:AB671)</f>
        <v>2.5001595103122369</v>
      </c>
      <c r="P468" s="55" cm="1">
        <f t="array" ref="P468">(VLOOKUP($A468,'The List'!$B1:$AH671,28,FALSE)-AVERAGE('The List'!AC2:AC671))/STDEV('The List'!AC2:AC671)</f>
        <v>-0.58999987651702757</v>
      </c>
      <c r="Q468" s="55" cm="1">
        <f t="array" ref="Q468">(VLOOKUP($A468,'The List'!$B1:$AH671,29,FALSE)-AVERAGE('The List'!AD2:AD671))/STDEV('The List'!AD2:AD671)</f>
        <v>3.7007207631257004</v>
      </c>
      <c r="R468" s="55" cm="1">
        <f t="array" ref="R468">(VLOOKUP($A468,'The List'!$B1:$AH671,30,FALSE)-AVERAGE('The List'!AE2:AE671))/STDEV('The List'!AE2:AE671)</f>
        <v>-0.53021720648424231</v>
      </c>
      <c r="S468" s="55" cm="1">
        <f t="array" ref="S468">(VLOOKUP($A468,'The List'!$B1:$AH671,31,FALSE)-AVERAGE('The List'!AF2:AF671))/STDEV('The List'!AF2:AF671)</f>
        <v>0.91278621831738993</v>
      </c>
      <c r="T468" s="55" cm="1">
        <f t="array" ref="T468">(VLOOKUP($A468,'The List'!$B1:$AH671,32,FALSE)-AVERAGE('The List'!AG2:AG671))/STDEV('The List'!AG2:AG671)</f>
        <v>0.52259008774686622</v>
      </c>
      <c r="U468" s="55" cm="1">
        <f t="array" ref="U468">(VLOOKUP($A468,'The List'!$B1:$AH671,33,FALSE)-AVERAGE('The List'!AH2:AH671))/STDEV('The List'!AH2:AH671)</f>
        <v>1.4049209364382944</v>
      </c>
      <c r="V468" s="55"/>
      <c r="W468" s="57"/>
      <c r="X468" s="57"/>
      <c r="Y468" s="57"/>
      <c r="Z468" s="57"/>
      <c r="AA468" s="57"/>
      <c r="AB468" s="57"/>
      <c r="AC468" s="60"/>
      <c r="AD468" s="61"/>
      <c r="AE468" s="55"/>
    </row>
    <row r="469" spans="1:31" ht="21.25" customHeight="1" x14ac:dyDescent="0.15">
      <c r="A469" s="10" t="s">
        <v>397</v>
      </c>
      <c r="B469" s="18" t="str" cm="1">
        <f t="array" ref="B469">VLOOKUP(A469,'Player Data'!A1:B673,2,FALSE)</f>
        <v>MTL</v>
      </c>
      <c r="C469" s="52" cm="1">
        <f t="array" ref="C469">((E469)*Settings!$C$12)+(F469*Settings!$C$2)+(G469*Settings!$C$3)+(H469*Settings!$C$4)+(I469*Settings!$C$5)+(K469*Settings!$C$9)+(N469*Settings!$C$6)+(J469*Settings!$C$8)+(O469*Settings!$C$7)+(P469*Settings!$C$14)+(Q469*Settings!$C$15)+(R469*Settings!$C$16)+(S469*Settings!$C$17)+(T469*Settings!$C$18)+(U469*Settings!$C$19)+(L469*Settings!$C$10)+(Settings!$C$11*M469)</f>
        <v>-4.5904706231772008E-2</v>
      </c>
      <c r="D469" s="57" cm="1">
        <f t="array" ref="D469">IF(Settings!$E$12="YES",VLOOKUP(A469,'Player Data'!A1:E673,5,FALSE),82)</f>
        <v>81.12</v>
      </c>
      <c r="E469" s="55" cm="1">
        <f t="array" ref="E469">(VLOOKUP($A469,'The List'!$B1:$AH671,17,FALSE)-AVERAGE('The List'!R2:R671))/STDEV('The List'!R2:R671)</f>
        <v>0.56789470678266563</v>
      </c>
      <c r="F469" s="55" cm="1">
        <f t="array" ref="F469">(VLOOKUP($A469,'The List'!$B1:$AH671,18,FALSE)-AVERAGE('The List'!S2:S671))/STDEV('The List'!S2:S671)</f>
        <v>-1.0147117824322871</v>
      </c>
      <c r="G469" s="55" cm="1">
        <f t="array" ref="G469">(VLOOKUP($A469,'The List'!$B1:$AH671,19,FALSE)-AVERAGE('The List'!T2:T671))/STDEV('The List'!T2:T671)</f>
        <v>-0.50977023194940996</v>
      </c>
      <c r="H469" s="55" cm="1">
        <f t="array" ref="H469">(VLOOKUP($A469,'The List'!$B1:$AH671,20,FALSE)-AVERAGE('The List'!U2:U671))/STDEV('The List'!U2:U671)</f>
        <v>-0.77084832970789952</v>
      </c>
      <c r="I469" s="55" cm="1">
        <f t="array" ref="I469">(VLOOKUP($A469,'The List'!$B1:$AH671,21,FALSE)-AVERAGE('The List'!V2:V671))/STDEV('The List'!V2:V671)</f>
        <v>-1.0739100046369141</v>
      </c>
      <c r="J469" s="55" cm="1">
        <f t="array" ref="J469">(VLOOKUP($A469,'The List'!$B1:$AH671,22,FALSE)-AVERAGE('The List'!W2:W671))/STDEV('The List'!W2:W671)</f>
        <v>-0.74958603704645632</v>
      </c>
      <c r="K469" s="55" cm="1">
        <f t="array" ref="K469">(VLOOKUP($A469,'The List'!$B1:$AH671,23,FALSE)-AVERAGE('The List'!X2:X671))/STDEV('The List'!X2:X671)</f>
        <v>-0.8076927840206185</v>
      </c>
      <c r="L469" s="55" cm="1">
        <f t="array" ref="L469">(VLOOKUP($A469,'The List'!$B1:$AH671,24,FALSE)-AVERAGE('The List'!Y2:Y671))/STDEV('The List'!Y2:Y671)</f>
        <v>-0.25828014381428049</v>
      </c>
      <c r="M469" s="55" cm="1">
        <f t="array" ref="M469">(VLOOKUP($A469,'The List'!$B1:$AH671,25,FALSE)-AVERAGE('The List'!Z2:Z671))/STDEV('The List'!Z2:Z671)</f>
        <v>-4.1727739952881641E-2</v>
      </c>
      <c r="N469" s="55" cm="1">
        <f t="array" ref="N469">(VLOOKUP($A469,'The List'!$B1:$AH671,26,FALSE)-AVERAGE('The List'!AA2:AA671))/STDEV('The List'!AA2:AA671)</f>
        <v>2.4478725860672155</v>
      </c>
      <c r="O469" s="55" cm="1">
        <f t="array" ref="O469">(VLOOKUP($A469,'The List'!$B1:$AH671,27,FALSE)-AVERAGE('The List'!AB2:AB671))/STDEV('The List'!AB2:AB671)</f>
        <v>-0.51215715948873886</v>
      </c>
      <c r="P469" s="55" cm="1">
        <f t="array" ref="P469">(VLOOKUP($A469,'The List'!$B1:$AH671,28,FALSE)-AVERAGE('The List'!AC2:AC671))/STDEV('The List'!AC2:AC671)</f>
        <v>0.3245575906673478</v>
      </c>
      <c r="Q469" s="55" cm="1">
        <f t="array" ref="Q469">(VLOOKUP($A469,'The List'!$B1:$AH671,29,FALSE)-AVERAGE('The List'!AD2:AD671))/STDEV('The List'!AD2:AD671)</f>
        <v>0.58774992007289439</v>
      </c>
      <c r="R469" s="55" cm="1">
        <f t="array" ref="R469">(VLOOKUP($A469,'The List'!$B1:$AH671,30,FALSE)-AVERAGE('The List'!AE2:AE671))/STDEV('The List'!AE2:AE671)</f>
        <v>-0.96223229211601646</v>
      </c>
      <c r="S469" s="55" cm="1">
        <f t="array" ref="S469">(VLOOKUP($A469,'The List'!$B1:$AH671,31,FALSE)-AVERAGE('The List'!AF2:AF671))/STDEV('The List'!AF2:AF671)</f>
        <v>-0.5939690971349143</v>
      </c>
      <c r="T469" s="55" cm="1">
        <f t="array" ref="T469">(VLOOKUP($A469,'The List'!$B1:$AH671,32,FALSE)-AVERAGE('The List'!AG2:AG671))/STDEV('The List'!AG2:AG671)</f>
        <v>-0.64602208138248207</v>
      </c>
      <c r="U469" s="55" cm="1">
        <f t="array" ref="U469">(VLOOKUP($A469,'The List'!$B1:$AH671,33,FALSE)-AVERAGE('The List'!AH2:AH671))/STDEV('The List'!AH2:AH671)</f>
        <v>-1.2548938914719048</v>
      </c>
      <c r="V469" s="55"/>
      <c r="W469" s="78"/>
      <c r="X469" s="57"/>
      <c r="Y469" s="57"/>
      <c r="Z469" s="57"/>
      <c r="AA469" s="57"/>
      <c r="AB469" s="57"/>
      <c r="AC469" s="60"/>
      <c r="AD469" s="61"/>
      <c r="AE469" s="55"/>
    </row>
    <row r="470" spans="1:31" ht="21.25" customHeight="1" x14ac:dyDescent="0.15">
      <c r="A470" s="10" t="s">
        <v>703</v>
      </c>
      <c r="B470" s="18" t="str" cm="1">
        <f t="array" ref="B470">VLOOKUP(A470,'Player Data'!A1:B673,2,FALSE)</f>
        <v>WSH</v>
      </c>
      <c r="C470" s="52" cm="1">
        <f t="array" ref="C470">((E470)*Settings!$C$12)+(F470*Settings!$C$2)+(G470*Settings!$C$3)+(H470*Settings!$C$4)+(I470*Settings!$C$5)+(K470*Settings!$C$9)+(N470*Settings!$C$6)+(J470*Settings!$C$8)+(O470*Settings!$C$7)+(P470*Settings!$C$14)+(Q470*Settings!$C$15)+(R470*Settings!$C$16)+(S470*Settings!$C$17)+(T470*Settings!$C$18)+(U470*Settings!$C$19)+(L470*Settings!$C$10)+(Settings!$C$11*M470)</f>
        <v>-3.3693293839398408</v>
      </c>
      <c r="D470" s="57" cm="1">
        <f t="array" ref="D470">IF(Settings!$E$12="YES",VLOOKUP(A470,'Player Data'!A1:E673,5,FALSE),82)</f>
        <v>81.692499999999995</v>
      </c>
      <c r="E470" s="55" cm="1">
        <f t="array" ref="E470">(VLOOKUP($A470,'The List'!$B1:$AH671,17,FALSE)-AVERAGE('The List'!R2:R671))/STDEV('The List'!R2:R671)</f>
        <v>-1.2478859421319666</v>
      </c>
      <c r="F470" s="55" cm="1">
        <f t="array" ref="F470">(VLOOKUP($A470,'The List'!$B1:$AH671,18,FALSE)-AVERAGE('The List'!S2:S671))/STDEV('The List'!S2:S671)</f>
        <v>-0.37710799936110917</v>
      </c>
      <c r="G470" s="55" cm="1">
        <f t="array" ref="G470">(VLOOKUP($A470,'The List'!$B1:$AH671,19,FALSE)-AVERAGE('The List'!T2:T671))/STDEV('The List'!T2:T671)</f>
        <v>-0.95904447674573334</v>
      </c>
      <c r="H470" s="55" cm="1">
        <f t="array" ref="H470">(VLOOKUP($A470,'The List'!$B1:$AH671,20,FALSE)-AVERAGE('The List'!U2:U671))/STDEV('The List'!U2:U671)</f>
        <v>-0.77054852974332222</v>
      </c>
      <c r="I470" s="55" cm="1">
        <f t="array" ref="I470">(VLOOKUP($A470,'The List'!$B1:$AH671,21,FALSE)-AVERAGE('The List'!V2:V671))/STDEV('The List'!V2:V671)</f>
        <v>-0.2479506020835853</v>
      </c>
      <c r="J470" s="55" cm="1">
        <f t="array" ref="J470">(VLOOKUP($A470,'The List'!$B1:$AH671,22,FALSE)-AVERAGE('The List'!W2:W671))/STDEV('The List'!W2:W671)</f>
        <v>-0.73194660586935634</v>
      </c>
      <c r="K470" s="55" cm="1">
        <f t="array" ref="K470">(VLOOKUP($A470,'The List'!$B1:$AH671,23,FALSE)-AVERAGE('The List'!X2:X671))/STDEV('The List'!X2:X671)</f>
        <v>-0.79931432820449955</v>
      </c>
      <c r="L470" s="55" cm="1">
        <f t="array" ref="L470">(VLOOKUP($A470,'The List'!$B1:$AH671,24,FALSE)-AVERAGE('The List'!Y2:Y671))/STDEV('The List'!Y2:Y671)</f>
        <v>0.46574439891746816</v>
      </c>
      <c r="M470" s="55" cm="1">
        <f t="array" ref="M470">(VLOOKUP($A470,'The List'!$B1:$AH671,25,FALSE)-AVERAGE('The List'!Z2:Z671))/STDEV('The List'!Z2:Z671)</f>
        <v>0.82395289894865453</v>
      </c>
      <c r="N470" s="55" cm="1">
        <f t="array" ref="N470">(VLOOKUP($A470,'The List'!$B1:$AH671,26,FALSE)-AVERAGE('The List'!AA2:AA671))/STDEV('The List'!AA2:AA671)</f>
        <v>-0.64291277178735085</v>
      </c>
      <c r="O470" s="55" cm="1">
        <f t="array" ref="O470">(VLOOKUP($A470,'The List'!$B1:$AH671,27,FALSE)-AVERAGE('The List'!AB2:AB671))/STDEV('The List'!AB2:AB671)</f>
        <v>4.8892102856264753E-2</v>
      </c>
      <c r="P470" s="55" cm="1">
        <f t="array" ref="P470">(VLOOKUP($A470,'The List'!$B1:$AH671,28,FALSE)-AVERAGE('The List'!AC2:AC671))/STDEV('The List'!AC2:AC671)</f>
        <v>0.62640495563885334</v>
      </c>
      <c r="Q470" s="55" cm="1">
        <f t="array" ref="Q470">(VLOOKUP($A470,'The List'!$B1:$AH671,29,FALSE)-AVERAGE('The List'!AD2:AD671))/STDEV('The List'!AD2:AD671)</f>
        <v>-0.96940416139641572</v>
      </c>
      <c r="R470" s="55" cm="1">
        <f t="array" ref="R470">(VLOOKUP($A470,'The List'!$B1:$AH671,30,FALSE)-AVERAGE('The List'!AE2:AE671))/STDEV('The List'!AE2:AE671)</f>
        <v>-0.40273306171130441</v>
      </c>
      <c r="S470" s="55" cm="1">
        <f t="array" ref="S470">(VLOOKUP($A470,'The List'!$B1:$AH671,31,FALSE)-AVERAGE('The List'!AF2:AF671))/STDEV('The List'!AF2:AF671)</f>
        <v>-0.44546826299765069</v>
      </c>
      <c r="T470" s="55" cm="1">
        <f t="array" ref="T470">(VLOOKUP($A470,'The List'!$B1:$AH671,32,FALSE)-AVERAGE('The List'!AG2:AG671))/STDEV('The List'!AG2:AG671)</f>
        <v>-0.48240329798613496</v>
      </c>
      <c r="U470" s="55" cm="1">
        <f t="array" ref="U470">(VLOOKUP($A470,'The List'!$B1:$AH671,33,FALSE)-AVERAGE('The List'!AH2:AH671))/STDEV('The List'!AH2:AH671)</f>
        <v>1.004464543975554</v>
      </c>
      <c r="V470" s="55"/>
      <c r="W470" s="57"/>
      <c r="X470" s="55"/>
      <c r="Y470" s="55"/>
      <c r="Z470" s="55"/>
      <c r="AA470" s="55"/>
      <c r="AB470" s="55"/>
      <c r="AC470" s="55"/>
      <c r="AD470" s="55"/>
      <c r="AE470" s="55"/>
    </row>
    <row r="471" spans="1:31" ht="21.25" customHeight="1" x14ac:dyDescent="0.15">
      <c r="A471" s="10" t="s">
        <v>720</v>
      </c>
      <c r="B471" s="18" t="str" cm="1">
        <f t="array" ref="B471">VLOOKUP(A471,'Player Data'!A1:B673,2,FALSE)</f>
        <v>DET</v>
      </c>
      <c r="C471" s="52" cm="1">
        <f t="array" ref="C471">((E471)*Settings!$C$12)+(F471*Settings!$C$2)+(G471*Settings!$C$3)+(H471*Settings!$C$4)+(I471*Settings!$C$5)+(K471*Settings!$C$9)+(N471*Settings!$C$6)+(J471*Settings!$C$8)+(O471*Settings!$C$7)+(P471*Settings!$C$14)+(Q471*Settings!$C$15)+(R471*Settings!$C$16)+(S471*Settings!$C$17)+(T471*Settings!$C$18)+(U471*Settings!$C$19)+(L471*Settings!$C$10)+(Settings!$C$11*M471)</f>
        <v>-3.6901113275943898</v>
      </c>
      <c r="D471" s="57" cm="1">
        <f t="array" ref="D471">IF(Settings!$E$12="YES",VLOOKUP(A471,'Player Data'!A1:E673,5,FALSE),82)</f>
        <v>83.73</v>
      </c>
      <c r="E471" s="55" cm="1">
        <f t="array" ref="E471">(VLOOKUP($A471,'The List'!$B1:$AH671,17,FALSE)-AVERAGE('The List'!R2:R671))/STDEV('The List'!R2:R671)</f>
        <v>-1.3605248952437679</v>
      </c>
      <c r="F471" s="55" cm="1">
        <f t="array" ref="F471">(VLOOKUP($A471,'The List'!$B1:$AH671,18,FALSE)-AVERAGE('The List'!S2:S671))/STDEV('The List'!S2:S671)</f>
        <v>-0.58818857071101882</v>
      </c>
      <c r="G471" s="55" cm="1">
        <f t="array" ref="G471">(VLOOKUP($A471,'The List'!$B1:$AH671,19,FALSE)-AVERAGE('The List'!T2:T671))/STDEV('The List'!T2:T671)</f>
        <v>-0.77796464499673668</v>
      </c>
      <c r="H471" s="55" cm="1">
        <f t="array" ref="H471">(VLOOKUP($A471,'The List'!$B1:$AH671,20,FALSE)-AVERAGE('The List'!U2:U671))/STDEV('The List'!U2:U671)</f>
        <v>-0.75030212916657235</v>
      </c>
      <c r="I471" s="55" cm="1">
        <f t="array" ref="I471">(VLOOKUP($A471,'The List'!$B1:$AH671,21,FALSE)-AVERAGE('The List'!V2:V671))/STDEV('The List'!V2:V671)</f>
        <v>-0.90205439262640297</v>
      </c>
      <c r="J471" s="55" cm="1">
        <f t="array" ref="J471">(VLOOKUP($A471,'The List'!$B1:$AH671,22,FALSE)-AVERAGE('The List'!W2:W671))/STDEV('The List'!W2:W671)</f>
        <v>-0.73161960760353995</v>
      </c>
      <c r="K471" s="55" cm="1">
        <f t="array" ref="K471">(VLOOKUP($A471,'The List'!$B1:$AH671,23,FALSE)-AVERAGE('The List'!X2:X671))/STDEV('The List'!X2:X671)</f>
        <v>-0.79669882276998749</v>
      </c>
      <c r="L471" s="55" cm="1">
        <f t="array" ref="L471">(VLOOKUP($A471,'The List'!$B1:$AH671,24,FALSE)-AVERAGE('The List'!Y2:Y671))/STDEV('The List'!Y2:Y671)</f>
        <v>-6.7901637207799209E-2</v>
      </c>
      <c r="M471" s="55" cm="1">
        <f t="array" ref="M471">(VLOOKUP($A471,'The List'!$B1:$AH671,25,FALSE)-AVERAGE('The List'!Z2:Z671))/STDEV('The List'!Z2:Z671)</f>
        <v>0.7263020913603313</v>
      </c>
      <c r="N471" s="55" cm="1">
        <f t="array" ref="N471">(VLOOKUP($A471,'The List'!$B1:$AH671,26,FALSE)-AVERAGE('The List'!AA2:AA671))/STDEV('The List'!AA2:AA671)</f>
        <v>-0.50747405752959707</v>
      </c>
      <c r="O471" s="55" cm="1">
        <f t="array" ref="O471">(VLOOKUP($A471,'The List'!$B1:$AH671,27,FALSE)-AVERAGE('The List'!AB2:AB671))/STDEV('The List'!AB2:AB671)</f>
        <v>3.1444238225452388</v>
      </c>
      <c r="P471" s="55" cm="1">
        <f t="array" ref="P471">(VLOOKUP($A471,'The List'!$B1:$AH671,28,FALSE)-AVERAGE('The List'!AC2:AC671))/STDEV('The List'!AC2:AC671)</f>
        <v>-0.85347379525532019</v>
      </c>
      <c r="Q471" s="55" cm="1">
        <f t="array" ref="Q471">(VLOOKUP($A471,'The List'!$B1:$AH671,29,FALSE)-AVERAGE('The List'!AD2:AD671))/STDEV('The List'!AD2:AD671)</f>
        <v>0.73574295629467379</v>
      </c>
      <c r="R471" s="55" cm="1">
        <f t="array" ref="R471">(VLOOKUP($A471,'The List'!$B1:$AH671,30,FALSE)-AVERAGE('The List'!AE2:AE671))/STDEV('The List'!AE2:AE671)</f>
        <v>-0.56633726905637582</v>
      </c>
      <c r="S471" s="55" cm="1">
        <f t="array" ref="S471">(VLOOKUP($A471,'The List'!$B1:$AH671,31,FALSE)-AVERAGE('The List'!AF2:AF671))/STDEV('The List'!AF2:AF671)</f>
        <v>-0.54627693951093148</v>
      </c>
      <c r="T471" s="55" cm="1">
        <f t="array" ref="T471">(VLOOKUP($A471,'The List'!$B1:$AH671,32,FALSE)-AVERAGE('The List'!AG2:AG671))/STDEV('The List'!AG2:AG671)</f>
        <v>-0.55726077521960726</v>
      </c>
      <c r="U471" s="55" cm="1">
        <f t="array" ref="U471">(VLOOKUP($A471,'The List'!$B1:$AH671,33,FALSE)-AVERAGE('The List'!AH2:AH671))/STDEV('The List'!AH2:AH671)</f>
        <v>0.41815420507281642</v>
      </c>
      <c r="V471" s="55"/>
      <c r="W471" s="78"/>
      <c r="X471" s="57"/>
      <c r="Y471" s="57"/>
      <c r="Z471" s="57"/>
      <c r="AA471" s="57"/>
      <c r="AB471" s="57"/>
      <c r="AC471" s="60"/>
      <c r="AD471" s="61"/>
      <c r="AE471" s="55"/>
    </row>
    <row r="472" spans="1:31" ht="21.25" customHeight="1" x14ac:dyDescent="0.15">
      <c r="A472" s="10" t="s">
        <v>731</v>
      </c>
      <c r="B472" s="18" t="str" cm="1">
        <f t="array" ref="B472">VLOOKUP(A472,'Player Data'!A1:B673,2,FALSE)</f>
        <v>MIN</v>
      </c>
      <c r="C472" s="52" cm="1">
        <f t="array" ref="C472">((E472)*Settings!$C$12)+(F472*Settings!$C$2)+(G472*Settings!$C$3)+(H472*Settings!$C$4)+(I472*Settings!$C$5)+(K472*Settings!$C$9)+(N472*Settings!$C$6)+(J472*Settings!$C$8)+(O472*Settings!$C$7)+(P472*Settings!$C$14)+(Q472*Settings!$C$15)+(R472*Settings!$C$16)+(S472*Settings!$C$17)+(T472*Settings!$C$18)+(U472*Settings!$C$19)+(L472*Settings!$C$10)+(Settings!$C$11*M472)</f>
        <v>-1.1673729368055854</v>
      </c>
      <c r="D472" s="57" cm="1">
        <f t="array" ref="D472">IF(Settings!$E$12="YES",VLOOKUP(A472,'Player Data'!A1:E673,5,FALSE),82)</f>
        <v>76.027500000000003</v>
      </c>
      <c r="E472" s="55" cm="1">
        <f t="array" ref="E472">(VLOOKUP($A472,'The List'!$B1:$AH671,17,FALSE)-AVERAGE('The List'!R2:R671))/STDEV('The List'!R2:R671)</f>
        <v>-1.0824344946698625</v>
      </c>
      <c r="F472" s="55" cm="1">
        <f t="array" ref="F472">(VLOOKUP($A472,'The List'!$B1:$AH671,18,FALSE)-AVERAGE('The List'!S2:S671))/STDEV('The List'!S2:S671)</f>
        <v>-0.48518533789036705</v>
      </c>
      <c r="G472" s="55" cm="1">
        <f t="array" ref="G472">(VLOOKUP($A472,'The List'!$B1:$AH671,19,FALSE)-AVERAGE('The List'!T2:T671))/STDEV('The List'!T2:T671)</f>
        <v>-0.98523514078787522</v>
      </c>
      <c r="H472" s="55" cm="1">
        <f t="array" ref="H472">(VLOOKUP($A472,'The List'!$B1:$AH671,20,FALSE)-AVERAGE('The List'!U2:U671))/STDEV('The List'!U2:U671)</f>
        <v>-0.83497388324910626</v>
      </c>
      <c r="I472" s="55" cm="1">
        <f t="array" ref="I472">(VLOOKUP($A472,'The List'!$B1:$AH671,21,FALSE)-AVERAGE('The List'!V2:V671))/STDEV('The List'!V2:V671)</f>
        <v>-0.83868052209298483</v>
      </c>
      <c r="J472" s="55" cm="1">
        <f t="array" ref="J472">(VLOOKUP($A472,'The List'!$B1:$AH671,22,FALSE)-AVERAGE('The List'!W2:W671))/STDEV('The List'!W2:W671)</f>
        <v>-0.7250682946300171</v>
      </c>
      <c r="K472" s="55" cm="1">
        <f t="array" ref="K472">(VLOOKUP($A472,'The List'!$B1:$AH671,23,FALSE)-AVERAGE('The List'!X2:X671))/STDEV('The List'!X2:X671)</f>
        <v>-0.79980354876782789</v>
      </c>
      <c r="L472" s="55" cm="1">
        <f t="array" ref="L472">(VLOOKUP($A472,'The List'!$B1:$AH671,24,FALSE)-AVERAGE('The List'!Y2:Y671))/STDEV('The List'!Y2:Y671)</f>
        <v>-0.39632334759626631</v>
      </c>
      <c r="M472" s="55" cm="1">
        <f t="array" ref="M472">(VLOOKUP($A472,'The List'!$B1:$AH671,25,FALSE)-AVERAGE('The List'!Z2:Z671))/STDEV('The List'!Z2:Z671)</f>
        <v>-0.37282828191337286</v>
      </c>
      <c r="N472" s="55" cm="1">
        <f t="array" ref="N472">(VLOOKUP($A472,'The List'!$B1:$AH671,26,FALSE)-AVERAGE('The List'!AA2:AA671))/STDEV('The List'!AA2:AA671)</f>
        <v>-0.26490600302665612</v>
      </c>
      <c r="O472" s="55" cm="1">
        <f t="array" ref="O472">(VLOOKUP($A472,'The List'!$B1:$AH671,27,FALSE)-AVERAGE('The List'!AB2:AB671))/STDEV('The List'!AB2:AB671)</f>
        <v>2.6887728189413882</v>
      </c>
      <c r="P472" s="55" cm="1">
        <f t="array" ref="P472">(VLOOKUP($A472,'The List'!$B1:$AH671,28,FALSE)-AVERAGE('The List'!AC2:AC671))/STDEV('The List'!AC2:AC671)</f>
        <v>0.3691586322148675</v>
      </c>
      <c r="Q472" s="55" cm="1">
        <f t="array" ref="Q472">(VLOOKUP($A472,'The List'!$B1:$AH671,29,FALSE)-AVERAGE('The List'!AD2:AD671))/STDEV('The List'!AD2:AD671)</f>
        <v>1.8372789835452581</v>
      </c>
      <c r="R472" s="55" cm="1">
        <f t="array" ref="R472">(VLOOKUP($A472,'The List'!$B1:$AH671,30,FALSE)-AVERAGE('The List'!AE2:AE671))/STDEV('The List'!AE2:AE671)</f>
        <v>-0.43127001751075067</v>
      </c>
      <c r="S472" s="55" cm="1">
        <f t="array" ref="S472">(VLOOKUP($A472,'The List'!$B1:$AH671,31,FALSE)-AVERAGE('The List'!AF2:AF671))/STDEV('The List'!AF2:AF671)</f>
        <v>-0.54825451584268359</v>
      </c>
      <c r="T472" s="55" cm="1">
        <f t="array" ref="T472">(VLOOKUP($A472,'The List'!$B1:$AH671,32,FALSE)-AVERAGE('The List'!AG2:AG671))/STDEV('The List'!AG2:AG671)</f>
        <v>-0.57321971679056649</v>
      </c>
      <c r="U472" s="55" cm="1">
        <f t="array" ref="U472">(VLOOKUP($A472,'The List'!$B1:$AH671,33,FALSE)-AVERAGE('The List'!AH2:AH671))/STDEV('The List'!AH2:AH671)</f>
        <v>0.58724670890937225</v>
      </c>
      <c r="V472" s="55"/>
      <c r="W472" s="78"/>
      <c r="X472" s="57"/>
      <c r="Y472" s="57"/>
      <c r="Z472" s="57"/>
      <c r="AA472" s="57"/>
      <c r="AB472" s="57"/>
      <c r="AC472" s="60"/>
      <c r="AD472" s="61"/>
      <c r="AE472" s="55"/>
    </row>
    <row r="473" spans="1:31" ht="21.25" customHeight="1" x14ac:dyDescent="0.15">
      <c r="A473" s="10" t="s">
        <v>761</v>
      </c>
      <c r="B473" s="18" t="str" cm="1">
        <f t="array" ref="B473">VLOOKUP(A473,'Player Data'!A1:B673,2,FALSE)</f>
        <v>MIN</v>
      </c>
      <c r="C473" s="52" cm="1">
        <f t="array" ref="C473">((E473)*Settings!$C$12)+(F473*Settings!$C$2)+(G473*Settings!$C$3)+(H473*Settings!$C$4)+(I473*Settings!$C$5)+(K473*Settings!$C$9)+(N473*Settings!$C$6)+(J473*Settings!$C$8)+(O473*Settings!$C$7)+(P473*Settings!$C$14)+(Q473*Settings!$C$15)+(R473*Settings!$C$16)+(S473*Settings!$C$17)+(T473*Settings!$C$18)+(U473*Settings!$C$19)+(L473*Settings!$C$10)+(Settings!$C$11*M473)</f>
        <v>-3.2187080948407853</v>
      </c>
      <c r="D473" s="57" cm="1">
        <f t="array" ref="D473">IF(Settings!$E$12="YES",VLOOKUP(A473,'Player Data'!A1:E673,5,FALSE),82)</f>
        <v>77.709999999999994</v>
      </c>
      <c r="E473" s="55" cm="1">
        <f t="array" ref="E473">(VLOOKUP($A473,'The List'!$B1:$AH671,17,FALSE)-AVERAGE('The List'!R2:R671))/STDEV('The List'!R2:R671)</f>
        <v>-1.5028868962104689</v>
      </c>
      <c r="F473" s="55" cm="1">
        <f t="array" ref="F473">(VLOOKUP($A473,'The List'!$B1:$AH671,18,FALSE)-AVERAGE('The List'!S2:S671))/STDEV('The List'!S2:S671)</f>
        <v>-0.61893687365153716</v>
      </c>
      <c r="G473" s="55" cm="1">
        <f t="array" ref="G473">(VLOOKUP($A473,'The List'!$B1:$AH671,19,FALSE)-AVERAGE('The List'!T2:T671))/STDEV('The List'!T2:T671)</f>
        <v>-0.86218779200143247</v>
      </c>
      <c r="H473" s="55" cm="1">
        <f t="array" ref="H473">(VLOOKUP($A473,'The List'!$B1:$AH671,20,FALSE)-AVERAGE('The List'!U2:U671))/STDEV('The List'!U2:U671)</f>
        <v>-0.81692039721708243</v>
      </c>
      <c r="I473" s="55" cm="1">
        <f t="array" ref="I473">(VLOOKUP($A473,'The List'!$B1:$AH671,21,FALSE)-AVERAGE('The List'!V2:V671))/STDEV('The List'!V2:V671)</f>
        <v>-0.93901453147645486</v>
      </c>
      <c r="J473" s="55" cm="1">
        <f t="array" ref="J473">(VLOOKUP($A473,'The List'!$B1:$AH671,22,FALSE)-AVERAGE('The List'!W2:W671))/STDEV('The List'!W2:W671)</f>
        <v>-0.63788413465005078</v>
      </c>
      <c r="K473" s="55" cm="1">
        <f t="array" ref="K473">(VLOOKUP($A473,'The List'!$B1:$AH671,23,FALSE)-AVERAGE('The List'!X2:X671))/STDEV('The List'!X2:X671)</f>
        <v>-0.71141502035705173</v>
      </c>
      <c r="L473" s="55" cm="1">
        <f t="array" ref="L473">(VLOOKUP($A473,'The List'!$B1:$AH671,24,FALSE)-AVERAGE('The List'!Y2:Y671))/STDEV('The List'!Y2:Y671)</f>
        <v>-0.25996298374324528</v>
      </c>
      <c r="M473" s="55" cm="1">
        <f t="array" ref="M473">(VLOOKUP($A473,'The List'!$B1:$AH671,25,FALSE)-AVERAGE('The List'!Z2:Z671))/STDEV('The List'!Z2:Z671)</f>
        <v>-0.34248420424194753</v>
      </c>
      <c r="N473" s="55" cm="1">
        <f t="array" ref="N473">(VLOOKUP($A473,'The List'!$B1:$AH671,26,FALSE)-AVERAGE('The List'!AA2:AA671))/STDEV('The List'!AA2:AA671)</f>
        <v>-0.72036060107080702</v>
      </c>
      <c r="O473" s="55" cm="1">
        <f t="array" ref="O473">(VLOOKUP($A473,'The List'!$B1:$AH671,27,FALSE)-AVERAGE('The List'!AB2:AB671))/STDEV('The List'!AB2:AB671)</f>
        <v>1.4956481597262354</v>
      </c>
      <c r="P473" s="55" cm="1">
        <f t="array" ref="P473">(VLOOKUP($A473,'The List'!$B1:$AH671,28,FALSE)-AVERAGE('The List'!AC2:AC671))/STDEV('The List'!AC2:AC671)</f>
        <v>0.35911992958786843</v>
      </c>
      <c r="Q473" s="55" cm="1">
        <f t="array" ref="Q473">(VLOOKUP($A473,'The List'!$B1:$AH671,29,FALSE)-AVERAGE('The List'!AD2:AD671))/STDEV('The List'!AD2:AD671)</f>
        <v>0.27408679412862913</v>
      </c>
      <c r="R473" s="55" cm="1">
        <f t="array" ref="R473">(VLOOKUP($A473,'The List'!$B1:$AH671,30,FALSE)-AVERAGE('The List'!AE2:AE671))/STDEV('The List'!AE2:AE671)</f>
        <v>-0.56741304719894325</v>
      </c>
      <c r="S473" s="55" cm="1">
        <f t="array" ref="S473">(VLOOKUP($A473,'The List'!$B1:$AH671,31,FALSE)-AVERAGE('The List'!AF2:AF671))/STDEV('The List'!AF2:AF671)</f>
        <v>0.5020910638658993</v>
      </c>
      <c r="T473" s="55" cm="1">
        <f t="array" ref="T473">(VLOOKUP($A473,'The List'!$B1:$AH671,32,FALSE)-AVERAGE('The List'!AG2:AG671))/STDEV('The List'!AG2:AG671)</f>
        <v>0.52728970129201691</v>
      </c>
      <c r="U473" s="55" cm="1">
        <f t="array" ref="U473">(VLOOKUP($A473,'The List'!$B1:$AH671,33,FALSE)-AVERAGE('The List'!AH2:AH671))/STDEV('The List'!AH2:AH671)</f>
        <v>1.0376049510289773</v>
      </c>
      <c r="V473" s="55"/>
      <c r="W473" s="78"/>
      <c r="X473" s="57"/>
      <c r="Y473" s="57"/>
      <c r="Z473" s="57"/>
      <c r="AA473" s="57"/>
      <c r="AB473" s="57"/>
      <c r="AC473" s="60"/>
      <c r="AD473" s="61"/>
      <c r="AE473" s="55"/>
    </row>
    <row r="474" spans="1:31" ht="21.25" customHeight="1" x14ac:dyDescent="0.15">
      <c r="A474" s="10" t="s">
        <v>516</v>
      </c>
      <c r="B474" s="18" t="str" cm="1">
        <f t="array" ref="B474">VLOOKUP(A474,'Player Data'!A1:B673,2,FALSE)</f>
        <v>UTA</v>
      </c>
      <c r="C474" s="52" cm="1">
        <f t="array" ref="C474">((E474)*Settings!$C$12)+(F474*Settings!$C$2)+(G474*Settings!$C$3)+(H474*Settings!$C$4)+(I474*Settings!$C$5)+(K474*Settings!$C$9)+(N474*Settings!$C$6)+(J474*Settings!$C$8)+(O474*Settings!$C$7)+(P474*Settings!$C$14)+(Q474*Settings!$C$15)+(R474*Settings!$C$16)+(S474*Settings!$C$17)+(T474*Settings!$C$18)+(U474*Settings!$C$19)+(L474*Settings!$C$10)+(Settings!$C$11*M474)</f>
        <v>-1.4334046858568252</v>
      </c>
      <c r="D474" s="57" cm="1">
        <f t="array" ref="D474">IF(Settings!$E$12="YES",VLOOKUP(A474,'Player Data'!A1:E673,5,FALSE),82)</f>
        <v>72</v>
      </c>
      <c r="E474" s="55" cm="1">
        <f t="array" ref="E474">(VLOOKUP($A474,'The List'!$B1:$AH671,17,FALSE)-AVERAGE('The List'!R2:R671))/STDEV('The List'!R2:R671)</f>
        <v>-0.34276467543890571</v>
      </c>
      <c r="F474" s="55" cm="1">
        <f t="array" ref="F474">(VLOOKUP($A474,'The List'!$B1:$AH671,18,FALSE)-AVERAGE('The List'!S2:S671))/STDEV('The List'!S2:S671)</f>
        <v>-0.94050486098868036</v>
      </c>
      <c r="G474" s="55" cm="1">
        <f t="array" ref="G474">(VLOOKUP($A474,'The List'!$B1:$AH671,19,FALSE)-AVERAGE('The List'!T2:T671))/STDEV('The List'!T2:T671)</f>
        <v>-0.73375266482963353</v>
      </c>
      <c r="H474" s="55" cm="1">
        <f t="array" ref="H474">(VLOOKUP($A474,'The List'!$B1:$AH671,20,FALSE)-AVERAGE('The List'!U2:U671))/STDEV('The List'!U2:U671)</f>
        <v>-0.87880810095201389</v>
      </c>
      <c r="I474" s="55" cm="1">
        <f t="array" ref="I474">(VLOOKUP($A474,'The List'!$B1:$AH671,21,FALSE)-AVERAGE('The List'!V2:V671))/STDEV('The List'!V2:V671)</f>
        <v>-0.90897469691968802</v>
      </c>
      <c r="J474" s="55" cm="1">
        <f t="array" ref="J474">(VLOOKUP($A474,'The List'!$B1:$AH671,22,FALSE)-AVERAGE('The List'!W2:W671))/STDEV('The List'!W2:W671)</f>
        <v>-0.75045101335583209</v>
      </c>
      <c r="K474" s="55" cm="1">
        <f t="array" ref="K474">(VLOOKUP($A474,'The List'!$B1:$AH671,23,FALSE)-AVERAGE('The List'!X2:X671))/STDEV('The List'!X2:X671)</f>
        <v>-0.81212462699776278</v>
      </c>
      <c r="L474" s="55" cm="1">
        <f t="array" ref="L474">(VLOOKUP($A474,'The List'!$B1:$AH671,24,FALSE)-AVERAGE('The List'!Y2:Y671))/STDEV('The List'!Y2:Y671)</f>
        <v>-0.56569022661034529</v>
      </c>
      <c r="M474" s="55" cm="1">
        <f t="array" ref="M474">(VLOOKUP($A474,'The List'!$B1:$AH671,25,FALSE)-AVERAGE('The List'!Z2:Z671))/STDEV('The List'!Z2:Z671)</f>
        <v>-0.70756870995144849</v>
      </c>
      <c r="N474" s="55" cm="1">
        <f t="array" ref="N474">(VLOOKUP($A474,'The List'!$B1:$AH671,26,FALSE)-AVERAGE('The List'!AA2:AA671))/STDEV('The List'!AA2:AA671)</f>
        <v>0.52278549565548194</v>
      </c>
      <c r="O474" s="55" cm="1">
        <f t="array" ref="O474">(VLOOKUP($A474,'The List'!$B1:$AH671,27,FALSE)-AVERAGE('The List'!AB2:AB671))/STDEV('The List'!AB2:AB671)</f>
        <v>4.521107223746345E-2</v>
      </c>
      <c r="P474" s="55" cm="1">
        <f t="array" ref="P474">(VLOOKUP($A474,'The List'!$B1:$AH671,28,FALSE)-AVERAGE('The List'!AC2:AC671))/STDEV('The List'!AC2:AC671)</f>
        <v>0.15940630121642582</v>
      </c>
      <c r="Q474" s="55" cm="1">
        <f t="array" ref="Q474">(VLOOKUP($A474,'The List'!$B1:$AH671,29,FALSE)-AVERAGE('The List'!AD2:AD671))/STDEV('The List'!AD2:AD671)</f>
        <v>1.2797603670070321</v>
      </c>
      <c r="R474" s="55" cm="1">
        <f t="array" ref="R474">(VLOOKUP($A474,'The List'!$B1:$AH671,30,FALSE)-AVERAGE('The List'!AE2:AE671))/STDEV('The List'!AE2:AE671)</f>
        <v>-0.89806772257125911</v>
      </c>
      <c r="S474" s="55" cm="1">
        <f t="array" ref="S474">(VLOOKUP($A474,'The List'!$B1:$AH671,31,FALSE)-AVERAGE('The List'!AF2:AF671))/STDEV('The List'!AF2:AF671)</f>
        <v>-0.5939690971349143</v>
      </c>
      <c r="T474" s="55" cm="1">
        <f t="array" ref="T474">(VLOOKUP($A474,'The List'!$B1:$AH671,32,FALSE)-AVERAGE('The List'!AG2:AG671))/STDEV('The List'!AG2:AG671)</f>
        <v>-0.64602208138248207</v>
      </c>
      <c r="U474" s="55" cm="1">
        <f t="array" ref="U474">(VLOOKUP($A474,'The List'!$B1:$AH671,33,FALSE)-AVERAGE('The List'!AH2:AH671))/STDEV('The List'!AH2:AH671)</f>
        <v>-1.2548938914719048</v>
      </c>
      <c r="V474" s="55"/>
      <c r="W474" s="78"/>
      <c r="X474" s="57"/>
      <c r="Y474" s="57"/>
      <c r="Z474" s="57"/>
      <c r="AA474" s="57"/>
      <c r="AB474" s="57"/>
      <c r="AC474" s="60"/>
      <c r="AD474" s="61"/>
      <c r="AE474" s="55"/>
    </row>
    <row r="475" spans="1:31" ht="21.25" customHeight="1" x14ac:dyDescent="0.15">
      <c r="A475" s="10" t="s">
        <v>528</v>
      </c>
      <c r="B475" s="18" t="str" cm="1">
        <f t="array" ref="B475">VLOOKUP(A475,'Player Data'!A1:B673,2,FALSE)</f>
        <v>DAL</v>
      </c>
      <c r="C475" s="52" cm="1">
        <f t="array" ref="C475">((E475)*Settings!$C$12)+(F475*Settings!$C$2)+(G475*Settings!$C$3)+(H475*Settings!$C$4)+(I475*Settings!$C$5)+(K475*Settings!$C$9)+(N475*Settings!$C$6)+(J475*Settings!$C$8)+(O475*Settings!$C$7)+(P475*Settings!$C$14)+(Q475*Settings!$C$15)+(R475*Settings!$C$16)+(S475*Settings!$C$17)+(T475*Settings!$C$18)+(U475*Settings!$C$19)+(L475*Settings!$C$10)+(Settings!$C$11*M475)</f>
        <v>-2.5542877833648934</v>
      </c>
      <c r="D475" s="57" cm="1">
        <f t="array" ref="D475">IF(Settings!$E$12="YES",VLOOKUP(A475,'Player Data'!A1:E673,5,FALSE),82)</f>
        <v>70.492500000000007</v>
      </c>
      <c r="E475" s="55" cm="1">
        <f t="array" ref="E475">(VLOOKUP($A475,'The List'!$B1:$AH671,17,FALSE)-AVERAGE('The List'!R2:R671))/STDEV('The List'!R2:R671)</f>
        <v>-0.10304080432135636</v>
      </c>
      <c r="F475" s="55" cm="1">
        <f t="array" ref="F475">(VLOOKUP($A475,'The List'!$B1:$AH671,18,FALSE)-AVERAGE('The List'!S2:S671))/STDEV('The List'!S2:S671)</f>
        <v>-1.0690576182216645</v>
      </c>
      <c r="G475" s="55" cm="1">
        <f t="array" ref="G475">(VLOOKUP($A475,'The List'!$B1:$AH671,19,FALSE)-AVERAGE('The List'!T2:T671))/STDEV('The List'!T2:T671)</f>
        <v>-0.67454409817685457</v>
      </c>
      <c r="H475" s="55" cm="1">
        <f t="array" ref="H475">(VLOOKUP($A475,'The List'!$B1:$AH671,20,FALSE)-AVERAGE('The List'!U2:U671))/STDEV('The List'!U2:U671)</f>
        <v>-0.89860228698145028</v>
      </c>
      <c r="I475" s="55" cm="1">
        <f t="array" ref="I475">(VLOOKUP($A475,'The List'!$B1:$AH671,21,FALSE)-AVERAGE('The List'!V2:V671))/STDEV('The List'!V2:V671)</f>
        <v>-0.89586539209696336</v>
      </c>
      <c r="J475" s="55" cm="1">
        <f t="array" ref="J475">(VLOOKUP($A475,'The List'!$B1:$AH671,22,FALSE)-AVERAGE('The List'!W2:W671))/STDEV('The List'!W2:W671)</f>
        <v>-0.74889713161542826</v>
      </c>
      <c r="K475" s="55" cm="1">
        <f t="array" ref="K475">(VLOOKUP($A475,'The List'!$B1:$AH671,23,FALSE)-AVERAGE('The List'!X2:X671))/STDEV('The List'!X2:X671)</f>
        <v>-0.80345083759741964</v>
      </c>
      <c r="L475" s="55" cm="1">
        <f t="array" ref="L475">(VLOOKUP($A475,'The List'!$B1:$AH671,24,FALSE)-AVERAGE('The List'!Y2:Y671))/STDEV('The List'!Y2:Y671)</f>
        <v>-0.55482250390051824</v>
      </c>
      <c r="M475" s="55" cm="1">
        <f t="array" ref="M475">(VLOOKUP($A475,'The List'!$B1:$AH671,25,FALSE)-AVERAGE('The List'!Z2:Z671))/STDEV('The List'!Z2:Z671)</f>
        <v>-0.68522530062790366</v>
      </c>
      <c r="N475" s="55" cm="1">
        <f t="array" ref="N475">(VLOOKUP($A475,'The List'!$B1:$AH671,26,FALSE)-AVERAGE('The List'!AA2:AA671))/STDEV('The List'!AA2:AA671)</f>
        <v>0.21308380447293665</v>
      </c>
      <c r="O475" s="55" cm="1">
        <f t="array" ref="O475">(VLOOKUP($A475,'The List'!$B1:$AH671,27,FALSE)-AVERAGE('The List'!AB2:AB671))/STDEV('The List'!AB2:AB671)</f>
        <v>-0.67669573268379923</v>
      </c>
      <c r="P475" s="55" cm="1">
        <f t="array" ref="P475">(VLOOKUP($A475,'The List'!$B1:$AH671,28,FALSE)-AVERAGE('The List'!AC2:AC671))/STDEV('The List'!AC2:AC671)</f>
        <v>1.0674426270035164</v>
      </c>
      <c r="Q475" s="55" cm="1">
        <f t="array" ref="Q475">(VLOOKUP($A475,'The List'!$B1:$AH671,29,FALSE)-AVERAGE('The List'!AD2:AD671))/STDEV('The List'!AD2:AD671)</f>
        <v>-0.39189626874844463</v>
      </c>
      <c r="R475" s="55" cm="1">
        <f t="array" ref="R475">(VLOOKUP($A475,'The List'!$B1:$AH671,30,FALSE)-AVERAGE('The List'!AE2:AE671))/STDEV('The List'!AE2:AE671)</f>
        <v>-1.0138038241886718</v>
      </c>
      <c r="S475" s="55" cm="1">
        <f t="array" ref="S475">(VLOOKUP($A475,'The List'!$B1:$AH671,31,FALSE)-AVERAGE('The List'!AF2:AF671))/STDEV('The List'!AF2:AF671)</f>
        <v>-0.5939690971349143</v>
      </c>
      <c r="T475" s="55" cm="1">
        <f t="array" ref="T475">(VLOOKUP($A475,'The List'!$B1:$AH671,32,FALSE)-AVERAGE('The List'!AG2:AG671))/STDEV('The List'!AG2:AG671)</f>
        <v>-0.64602208138248207</v>
      </c>
      <c r="U475" s="55" cm="1">
        <f t="array" ref="U475">(VLOOKUP($A475,'The List'!$B1:$AH671,33,FALSE)-AVERAGE('The List'!AH2:AH671))/STDEV('The List'!AH2:AH671)</f>
        <v>-1.2548938914719048</v>
      </c>
      <c r="V475" s="55"/>
      <c r="W475" s="57"/>
      <c r="X475" s="55"/>
      <c r="Y475" s="55"/>
      <c r="Z475" s="55"/>
      <c r="AA475" s="55"/>
      <c r="AB475" s="55"/>
      <c r="AC475" s="55"/>
      <c r="AD475" s="55"/>
      <c r="AE475" s="55"/>
    </row>
    <row r="476" spans="1:31" ht="21.25" customHeight="1" x14ac:dyDescent="0.15">
      <c r="A476" s="10" t="s">
        <v>435</v>
      </c>
      <c r="B476" s="18" t="str" cm="1">
        <f t="array" ref="B476">VLOOKUP(A476,'Player Data'!A1:B673,2,FALSE)</f>
        <v>MIN</v>
      </c>
      <c r="C476" s="52" cm="1">
        <f t="array" ref="C476">((E476)*Settings!$C$12)+(F476*Settings!$C$2)+(G476*Settings!$C$3)+(H476*Settings!$C$4)+(I476*Settings!$C$5)+(K476*Settings!$C$9)+(N476*Settings!$C$6)+(J476*Settings!$C$8)+(O476*Settings!$C$7)+(P476*Settings!$C$14)+(Q476*Settings!$C$15)+(R476*Settings!$C$16)+(S476*Settings!$C$17)+(T476*Settings!$C$18)+(U476*Settings!$C$19)+(L476*Settings!$C$10)+(Settings!$C$11*M476)</f>
        <v>-1.9519565867347746</v>
      </c>
      <c r="D476" s="57" cm="1">
        <f t="array" ref="D476">IF(Settings!$E$12="YES",VLOOKUP(A476,'Player Data'!A1:E673,5,FALSE),82)</f>
        <v>74.697500000000005</v>
      </c>
      <c r="E476" s="55" cm="1">
        <f t="array" ref="E476">(VLOOKUP($A476,'The List'!$B1:$AH671,17,FALSE)-AVERAGE('The List'!R2:R671))/STDEV('The List'!R2:R671)</f>
        <v>0.61796146601738566</v>
      </c>
      <c r="F476" s="55" cm="1">
        <f t="array" ref="F476">(VLOOKUP($A476,'The List'!$B1:$AH671,18,FALSE)-AVERAGE('The List'!S2:S671))/STDEV('The List'!S2:S671)</f>
        <v>-1.0905895857169565</v>
      </c>
      <c r="G476" s="55" cm="1">
        <f t="array" ref="G476">(VLOOKUP($A476,'The List'!$B1:$AH671,19,FALSE)-AVERAGE('The List'!T2:T671))/STDEV('The List'!T2:T671)</f>
        <v>-0.5873519704701271</v>
      </c>
      <c r="H476" s="55" cm="1">
        <f t="array" ref="H476">(VLOOKUP($A476,'The List'!$B1:$AH671,20,FALSE)-AVERAGE('The List'!U2:U671))/STDEV('The List'!U2:U671)</f>
        <v>-0.85331216446344693</v>
      </c>
      <c r="I476" s="55" cm="1">
        <f t="array" ref="I476">(VLOOKUP($A476,'The List'!$B1:$AH671,21,FALSE)-AVERAGE('The List'!V2:V671))/STDEV('The List'!V2:V671)</f>
        <v>-0.8446792152156255</v>
      </c>
      <c r="J476" s="55" cm="1">
        <f t="array" ref="J476">(VLOOKUP($A476,'The List'!$B1:$AH671,22,FALSE)-AVERAGE('The List'!W2:W671))/STDEV('The List'!W2:W671)</f>
        <v>-0.62904510633565369</v>
      </c>
      <c r="K476" s="55" cm="1">
        <f t="array" ref="K476">(VLOOKUP($A476,'The List'!$B1:$AH671,23,FALSE)-AVERAGE('The List'!X2:X671))/STDEV('The List'!X2:X671)</f>
        <v>-0.46537505486734337</v>
      </c>
      <c r="L476" s="55" cm="1">
        <f t="array" ref="L476">(VLOOKUP($A476,'The List'!$B1:$AH671,24,FALSE)-AVERAGE('The List'!Y2:Y671))/STDEV('The List'!Y2:Y671)</f>
        <v>-0.54612625911392332</v>
      </c>
      <c r="M476" s="55" cm="1">
        <f t="array" ref="M476">(VLOOKUP($A476,'The List'!$B1:$AH671,25,FALSE)-AVERAGE('The List'!Z2:Z671))/STDEV('The List'!Z2:Z671)</f>
        <v>-0.58457187836629154</v>
      </c>
      <c r="N476" s="55" cm="1">
        <f t="array" ref="N476">(VLOOKUP($A476,'The List'!$B1:$AH671,26,FALSE)-AVERAGE('The List'!AA2:AA671))/STDEV('The List'!AA2:AA671)</f>
        <v>1.5694127334317662</v>
      </c>
      <c r="O476" s="55" cm="1">
        <f t="array" ref="O476">(VLOOKUP($A476,'The List'!$B1:$AH671,27,FALSE)-AVERAGE('The List'!AB2:AB671))/STDEV('The List'!AB2:AB671)</f>
        <v>-0.19346554703322819</v>
      </c>
      <c r="P476" s="55" cm="1">
        <f t="array" ref="P476">(VLOOKUP($A476,'The List'!$B1:$AH671,28,FALSE)-AVERAGE('The List'!AC2:AC671))/STDEV('The List'!AC2:AC671)</f>
        <v>0.52643205264810899</v>
      </c>
      <c r="Q476" s="55" cm="1">
        <f t="array" ref="Q476">(VLOOKUP($A476,'The List'!$B1:$AH671,29,FALSE)-AVERAGE('The List'!AD2:AD671))/STDEV('The List'!AD2:AD671)</f>
        <v>-1.0598055465445972</v>
      </c>
      <c r="R476" s="55" cm="1">
        <f t="array" ref="R476">(VLOOKUP($A476,'The List'!$B1:$AH671,30,FALSE)-AVERAGE('The List'!AE2:AE671))/STDEV('The List'!AE2:AE671)</f>
        <v>-1.0474989678264037</v>
      </c>
      <c r="S476" s="55" cm="1">
        <f t="array" ref="S476">(VLOOKUP($A476,'The List'!$B1:$AH671,31,FALSE)-AVERAGE('The List'!AF2:AF671))/STDEV('The List'!AF2:AF671)</f>
        <v>-0.5939690971349143</v>
      </c>
      <c r="T476" s="55" cm="1">
        <f t="array" ref="T476">(VLOOKUP($A476,'The List'!$B1:$AH671,32,FALSE)-AVERAGE('The List'!AG2:AG671))/STDEV('The List'!AG2:AG671)</f>
        <v>-0.64602208138248207</v>
      </c>
      <c r="U476" s="55" cm="1">
        <f t="array" ref="U476">(VLOOKUP($A476,'The List'!$B1:$AH671,33,FALSE)-AVERAGE('The List'!AH2:AH671))/STDEV('The List'!AH2:AH671)</f>
        <v>-1.2548938914719048</v>
      </c>
      <c r="V476" s="55"/>
      <c r="W476" s="78"/>
      <c r="X476" s="57"/>
      <c r="Y476" s="57"/>
      <c r="Z476" s="57"/>
      <c r="AA476" s="57"/>
      <c r="AB476" s="57"/>
      <c r="AC476" s="60"/>
      <c r="AD476" s="61"/>
      <c r="AE476" s="55"/>
    </row>
    <row r="477" spans="1:31" ht="21.25" customHeight="1" x14ac:dyDescent="0.15">
      <c r="A477" s="10" t="s">
        <v>780</v>
      </c>
      <c r="B477" s="18" t="str" cm="1">
        <f t="array" ref="B477">VLOOKUP(A477,'Player Data'!A1:B673,2,FALSE)</f>
        <v>PHI</v>
      </c>
      <c r="C477" s="52" cm="1">
        <f t="array" ref="C477">((E477)*Settings!$C$12)+(F477*Settings!$C$2)+(G477*Settings!$C$3)+(H477*Settings!$C$4)+(I477*Settings!$C$5)+(K477*Settings!$C$9)+(N477*Settings!$C$6)+(J477*Settings!$C$8)+(O477*Settings!$C$7)+(P477*Settings!$C$14)+(Q477*Settings!$C$15)+(R477*Settings!$C$16)+(S477*Settings!$C$17)+(T477*Settings!$C$18)+(U477*Settings!$C$19)+(L477*Settings!$C$10)+(Settings!$C$11*M477)</f>
        <v>-5.5228479031111783</v>
      </c>
      <c r="D477" s="57" cm="1">
        <f t="array" ref="D477">IF(Settings!$E$12="YES",VLOOKUP(A477,'Player Data'!A1:E673,5,FALSE),82)</f>
        <v>72.825000000000003</v>
      </c>
      <c r="E477" s="55" cm="1">
        <f t="array" ref="E477">(VLOOKUP($A477,'The List'!$B1:$AH671,17,FALSE)-AVERAGE('The List'!R2:R671))/STDEV('The List'!R2:R671)</f>
        <v>-1.5904870735566266</v>
      </c>
      <c r="F477" s="55" cm="1">
        <f t="array" ref="F477">(VLOOKUP($A477,'The List'!$B1:$AH671,18,FALSE)-AVERAGE('The List'!S2:S671))/STDEV('The List'!S2:S671)</f>
        <v>-0.77635568142236999</v>
      </c>
      <c r="G477" s="55" cm="1">
        <f t="array" ref="G477">(VLOOKUP($A477,'The List'!$B1:$AH671,19,FALSE)-AVERAGE('The List'!T2:T671))/STDEV('The List'!T2:T671)</f>
        <v>-0.84213777618005814</v>
      </c>
      <c r="H477" s="55" cm="1">
        <f t="array" ref="H477">(VLOOKUP($A477,'The List'!$B1:$AH671,20,FALSE)-AVERAGE('The List'!U2:U671))/STDEV('The List'!U2:U671)</f>
        <v>-0.87415234372131589</v>
      </c>
      <c r="I477" s="55" cm="1">
        <f t="array" ref="I477">(VLOOKUP($A477,'The List'!$B1:$AH671,21,FALSE)-AVERAGE('The List'!V2:V671))/STDEV('The List'!V2:V671)</f>
        <v>-1.3308702977737643</v>
      </c>
      <c r="J477" s="55" cm="1">
        <f t="array" ref="J477">(VLOOKUP($A477,'The List'!$B1:$AH671,22,FALSE)-AVERAGE('The List'!W2:W671))/STDEV('The List'!W2:W671)</f>
        <v>-0.70797406934352847</v>
      </c>
      <c r="K477" s="55" cm="1">
        <f t="array" ref="K477">(VLOOKUP($A477,'The List'!$B1:$AH671,23,FALSE)-AVERAGE('The List'!X2:X671))/STDEV('The List'!X2:X671)</f>
        <v>-0.77724865576936075</v>
      </c>
      <c r="L477" s="55" cm="1">
        <f t="array" ref="L477">(VLOOKUP($A477,'The List'!$B1:$AH671,24,FALSE)-AVERAGE('The List'!Y2:Y671))/STDEV('The List'!Y2:Y671)</f>
        <v>-0.56177788241216076</v>
      </c>
      <c r="M477" s="55" cm="1">
        <f t="array" ref="M477">(VLOOKUP($A477,'The List'!$B1:$AH671,25,FALSE)-AVERAGE('The List'!Z2:Z671))/STDEV('The List'!Z2:Z671)</f>
        <v>-0.70369535569683273</v>
      </c>
      <c r="N477" s="55" cm="1">
        <f t="array" ref="N477">(VLOOKUP($A477,'The List'!$B1:$AH671,26,FALSE)-AVERAGE('The List'!AA2:AA671))/STDEV('The List'!AA2:AA671)</f>
        <v>-1.0130638859387717</v>
      </c>
      <c r="O477" s="55" cm="1">
        <f t="array" ref="O477">(VLOOKUP($A477,'The List'!$B1:$AH671,27,FALSE)-AVERAGE('The List'!AB2:AB671))/STDEV('The List'!AB2:AB671)</f>
        <v>0.50911038719186275</v>
      </c>
      <c r="P477" s="55" cm="1">
        <f t="array" ref="P477">(VLOOKUP($A477,'The List'!$B1:$AH671,28,FALSE)-AVERAGE('The List'!AC2:AC671))/STDEV('The List'!AC2:AC671)</f>
        <v>-0.24289320072387982</v>
      </c>
      <c r="Q477" s="55" cm="1">
        <f t="array" ref="Q477">(VLOOKUP($A477,'The List'!$B1:$AH671,29,FALSE)-AVERAGE('The List'!AD2:AD671))/STDEV('The List'!AD2:AD671)</f>
        <v>-0.540278405302973</v>
      </c>
      <c r="R477" s="55" cm="1">
        <f t="array" ref="R477">(VLOOKUP($A477,'The List'!$B1:$AH671,30,FALSE)-AVERAGE('The List'!AE2:AE671))/STDEV('The List'!AE2:AE671)</f>
        <v>-0.74567304856730343</v>
      </c>
      <c r="S477" s="55" cm="1">
        <f t="array" ref="S477">(VLOOKUP($A477,'The List'!$B1:$AH671,31,FALSE)-AVERAGE('The List'!AF2:AF671))/STDEV('The List'!AF2:AF671)</f>
        <v>-0.56867381583209775</v>
      </c>
      <c r="T477" s="55" cm="1">
        <f t="array" ref="T477">(VLOOKUP($A477,'The List'!$B1:$AH671,32,FALSE)-AVERAGE('The List'!AG2:AG671))/STDEV('The List'!AG2:AG671)</f>
        <v>-0.63402522999563071</v>
      </c>
      <c r="U477" s="55" cm="1">
        <f t="array" ref="U477">(VLOOKUP($A477,'The List'!$B1:$AH671,33,FALSE)-AVERAGE('The List'!AH2:AH671))/STDEV('The List'!AH2:AH671)</f>
        <v>1.9255920126041766</v>
      </c>
      <c r="V477" s="55"/>
      <c r="W477" s="78"/>
      <c r="X477" s="57"/>
      <c r="Y477" s="57"/>
      <c r="Z477" s="57"/>
      <c r="AA477" s="57"/>
      <c r="AB477" s="57"/>
      <c r="AC477" s="60"/>
      <c r="AD477" s="61"/>
      <c r="AE477" s="55"/>
    </row>
    <row r="478" spans="1:31" ht="21.25" customHeight="1" x14ac:dyDescent="0.15">
      <c r="A478" s="10" t="s">
        <v>712</v>
      </c>
      <c r="B478" s="18" t="str" cm="1">
        <f t="array" ref="B478">VLOOKUP(A478,'Player Data'!A1:B673,2,FALSE)</f>
        <v>MIN</v>
      </c>
      <c r="C478" s="52" cm="1">
        <f t="array" ref="C478">((E478)*Settings!$C$12)+(F478*Settings!$C$2)+(G478*Settings!$C$3)+(H478*Settings!$C$4)+(I478*Settings!$C$5)+(K478*Settings!$C$9)+(N478*Settings!$C$6)+(J478*Settings!$C$8)+(O478*Settings!$C$7)+(P478*Settings!$C$14)+(Q478*Settings!$C$15)+(R478*Settings!$C$16)+(S478*Settings!$C$17)+(T478*Settings!$C$18)+(U478*Settings!$C$19)+(L478*Settings!$C$10)+(Settings!$C$11*M478)</f>
        <v>-2.7036632467316317</v>
      </c>
      <c r="D478" s="57" cm="1">
        <f t="array" ref="D478">IF(Settings!$E$12="YES",VLOOKUP(A478,'Player Data'!A1:E673,5,FALSE),82)</f>
        <v>82.605000000000004</v>
      </c>
      <c r="E478" s="55" cm="1">
        <f t="array" ref="E478">(VLOOKUP($A478,'The List'!$B1:$AH671,17,FALSE)-AVERAGE('The List'!R2:R671))/STDEV('The List'!R2:R671)</f>
        <v>-1.1215460116022715</v>
      </c>
      <c r="F478" s="55" cm="1">
        <f t="array" ref="F478">(VLOOKUP($A478,'The List'!$B1:$AH671,18,FALSE)-AVERAGE('The List'!S2:S671))/STDEV('The List'!S2:S671)</f>
        <v>-0.58844571232098142</v>
      </c>
      <c r="G478" s="55" cm="1">
        <f t="array" ref="G478">(VLOOKUP($A478,'The List'!$B1:$AH671,19,FALSE)-AVERAGE('The List'!T2:T671))/STDEV('The List'!T2:T671)</f>
        <v>-0.81372178524979699</v>
      </c>
      <c r="H478" s="55" cm="1">
        <f t="array" ref="H478">(VLOOKUP($A478,'The List'!$B1:$AH671,20,FALSE)-AVERAGE('The List'!U2:U671))/STDEV('The List'!U2:U671)</f>
        <v>-0.77290726978855584</v>
      </c>
      <c r="I478" s="55" cm="1">
        <f t="array" ref="I478">(VLOOKUP($A478,'The List'!$B1:$AH671,21,FALSE)-AVERAGE('The List'!V2:V671))/STDEV('The List'!V2:V671)</f>
        <v>-0.53318767782851173</v>
      </c>
      <c r="J478" s="55" cm="1">
        <f t="array" ref="J478">(VLOOKUP($A478,'The List'!$B1:$AH671,22,FALSE)-AVERAGE('The List'!W2:W671))/STDEV('The List'!W2:W671)</f>
        <v>-0.73951070174399891</v>
      </c>
      <c r="K478" s="55" cm="1">
        <f t="array" ref="K478">(VLOOKUP($A478,'The List'!$B1:$AH671,23,FALSE)-AVERAGE('The List'!X2:X671))/STDEV('The List'!X2:X671)</f>
        <v>-0.80345452648611049</v>
      </c>
      <c r="L478" s="55" cm="1">
        <f t="array" ref="L478">(VLOOKUP($A478,'The List'!$B1:$AH671,24,FALSE)-AVERAGE('The List'!Y2:Y671))/STDEV('The List'!Y2:Y671)</f>
        <v>-2.5640031079153885E-3</v>
      </c>
      <c r="M478" s="55" cm="1">
        <f t="array" ref="M478">(VLOOKUP($A478,'The List'!$B1:$AH671,25,FALSE)-AVERAGE('The List'!Z2:Z671))/STDEV('The List'!Z2:Z671)</f>
        <v>-0.1609518748275596</v>
      </c>
      <c r="N478" s="55" cm="1">
        <f t="array" ref="N478">(VLOOKUP($A478,'The List'!$B1:$AH671,26,FALSE)-AVERAGE('The List'!AA2:AA671))/STDEV('The List'!AA2:AA671)</f>
        <v>-0.67063520093268747</v>
      </c>
      <c r="O478" s="55" cm="1">
        <f t="array" ref="O478">(VLOOKUP($A478,'The List'!$B1:$AH671,27,FALSE)-AVERAGE('The List'!AB2:AB671))/STDEV('The List'!AB2:AB671)</f>
        <v>4.6942362857464772</v>
      </c>
      <c r="P478" s="55" cm="1">
        <f t="array" ref="P478">(VLOOKUP($A478,'The List'!$B1:$AH671,28,FALSE)-AVERAGE('The List'!AC2:AC671))/STDEV('The List'!AC2:AC671)</f>
        <v>0.55791897492814368</v>
      </c>
      <c r="Q478" s="55" cm="1">
        <f t="array" ref="Q478">(VLOOKUP($A478,'The List'!$B1:$AH671,29,FALSE)-AVERAGE('The List'!AD2:AD671))/STDEV('The List'!AD2:AD671)</f>
        <v>0.14786268115831322</v>
      </c>
      <c r="R478" s="55" cm="1">
        <f t="array" ref="R478">(VLOOKUP($A478,'The List'!$B1:$AH671,30,FALSE)-AVERAGE('The List'!AE2:AE671))/STDEV('The List'!AE2:AE671)</f>
        <v>-0.53637670014969796</v>
      </c>
      <c r="S478" s="55" cm="1">
        <f t="array" ref="S478">(VLOOKUP($A478,'The List'!$B1:$AH671,31,FALSE)-AVERAGE('The List'!AF2:AF671))/STDEV('The List'!AF2:AF671)</f>
        <v>-0.35550981079548388</v>
      </c>
      <c r="T478" s="55" cm="1">
        <f t="array" ref="T478">(VLOOKUP($A478,'The List'!$B1:$AH671,32,FALSE)-AVERAGE('The List'!AG2:AG671))/STDEV('The List'!AG2:AG671)</f>
        <v>-0.29155474759208599</v>
      </c>
      <c r="U478" s="55" cm="1">
        <f t="array" ref="U478">(VLOOKUP($A478,'The List'!$B1:$AH671,33,FALSE)-AVERAGE('The List'!AH2:AH671))/STDEV('The List'!AH2:AH671)</f>
        <v>0.6638159570822133</v>
      </c>
      <c r="V478" s="55"/>
      <c r="W478" s="78"/>
      <c r="X478" s="57"/>
      <c r="Y478" s="57"/>
      <c r="Z478" s="57"/>
      <c r="AA478" s="57"/>
      <c r="AB478" s="57"/>
      <c r="AC478" s="60"/>
      <c r="AD478" s="61"/>
      <c r="AE478" s="55"/>
    </row>
    <row r="479" spans="1:31" ht="21.25" customHeight="1" x14ac:dyDescent="0.15">
      <c r="A479" s="10" t="s">
        <v>394</v>
      </c>
      <c r="B479" s="18" t="str" cm="1">
        <f t="array" ref="B479">VLOOKUP(A479,'Player Data'!A1:B673,2,FALSE)</f>
        <v>NYR</v>
      </c>
      <c r="C479" s="52" cm="1">
        <f t="array" ref="C479">((E479)*Settings!$C$12)+(F479*Settings!$C$2)+(G479*Settings!$C$3)+(H479*Settings!$C$4)+(I479*Settings!$C$5)+(K479*Settings!$C$9)+(N479*Settings!$C$6)+(J479*Settings!$C$8)+(O479*Settings!$C$7)+(P479*Settings!$C$14)+(Q479*Settings!$C$15)+(R479*Settings!$C$16)+(S479*Settings!$C$17)+(T479*Settings!$C$18)+(U479*Settings!$C$19)+(L479*Settings!$C$10)+(Settings!$C$11*M479)</f>
        <v>-2.3583386476075616</v>
      </c>
      <c r="D479" s="57" cm="1">
        <f t="array" ref="D479">IF(Settings!$E$12="YES",VLOOKUP(A479,'Player Data'!A1:E673,5,FALSE),82)</f>
        <v>83.754999999999995</v>
      </c>
      <c r="E479" s="55" cm="1">
        <f t="array" ref="E479">(VLOOKUP($A479,'The List'!$B1:$AH671,17,FALSE)-AVERAGE('The List'!R2:R671))/STDEV('The List'!R2:R671)</f>
        <v>0.27240840466385535</v>
      </c>
      <c r="F479" s="55" cm="1">
        <f t="array" ref="F479">(VLOOKUP($A479,'The List'!$B1:$AH671,18,FALSE)-AVERAGE('The List'!S2:S671))/STDEV('The List'!S2:S671)</f>
        <v>-0.94172300468397352</v>
      </c>
      <c r="G479" s="55" cm="1">
        <f t="array" ref="G479">(VLOOKUP($A479,'The List'!$B1:$AH671,19,FALSE)-AVERAGE('The List'!T2:T671))/STDEV('The List'!T2:T671)</f>
        <v>-0.55079565939406883</v>
      </c>
      <c r="H479" s="55" cm="1">
        <f t="array" ref="H479">(VLOOKUP($A479,'The List'!$B1:$AH671,20,FALSE)-AVERAGE('The List'!U2:U671))/STDEV('The List'!U2:U671)</f>
        <v>-0.76426957408849061</v>
      </c>
      <c r="I479" s="55" cm="1">
        <f t="array" ref="I479">(VLOOKUP($A479,'The List'!$B1:$AH671,21,FALSE)-AVERAGE('The List'!V2:V671))/STDEV('The List'!V2:V671)</f>
        <v>-0.53940463357962232</v>
      </c>
      <c r="J479" s="55" cm="1">
        <f t="array" ref="J479">(VLOOKUP($A479,'The List'!$B1:$AH671,22,FALSE)-AVERAGE('The List'!W2:W671))/STDEV('The List'!W2:W671)</f>
        <v>-0.73765832818709376</v>
      </c>
      <c r="K479" s="55" cm="1">
        <f t="array" ref="K479">(VLOOKUP($A479,'The List'!$B1:$AH671,23,FALSE)-AVERAGE('The List'!X2:X671))/STDEV('The List'!X2:X671)</f>
        <v>-0.78046158183005965</v>
      </c>
      <c r="L479" s="55" cm="1">
        <f t="array" ref="L479">(VLOOKUP($A479,'The List'!$B1:$AH671,24,FALSE)-AVERAGE('The List'!Y2:Y671))/STDEV('The List'!Y2:Y671)</f>
        <v>0.43477010958349488</v>
      </c>
      <c r="M479" s="55" cm="1">
        <f t="array" ref="M479">(VLOOKUP($A479,'The List'!$B1:$AH671,25,FALSE)-AVERAGE('The List'!Z2:Z671))/STDEV('The List'!Z2:Z671)</f>
        <v>0.33575829588487432</v>
      </c>
      <c r="N479" s="55" cm="1">
        <f t="array" ref="N479">(VLOOKUP($A479,'The List'!$B1:$AH671,26,FALSE)-AVERAGE('The List'!AA2:AA671))/STDEV('The List'!AA2:AA671)</f>
        <v>1.7113607322823707</v>
      </c>
      <c r="O479" s="55" cm="1">
        <f t="array" ref="O479">(VLOOKUP($A479,'The List'!$B1:$AH671,27,FALSE)-AVERAGE('The List'!AB2:AB671))/STDEV('The List'!AB2:AB671)</f>
        <v>1.0628404273190122</v>
      </c>
      <c r="P479" s="55" cm="1">
        <f t="array" ref="P479">(VLOOKUP($A479,'The List'!$B1:$AH671,28,FALSE)-AVERAGE('The List'!AC2:AC671))/STDEV('The List'!AC2:AC671)</f>
        <v>-0.61830757900879918</v>
      </c>
      <c r="Q479" s="55" cm="1">
        <f t="array" ref="Q479">(VLOOKUP($A479,'The List'!$B1:$AH671,29,FALSE)-AVERAGE('The List'!AD2:AD671))/STDEV('The List'!AD2:AD671)</f>
        <v>-0.63900692139340898</v>
      </c>
      <c r="R479" s="55" cm="1">
        <f t="array" ref="R479">(VLOOKUP($A479,'The List'!$B1:$AH671,30,FALSE)-AVERAGE('The List'!AE2:AE671))/STDEV('The List'!AE2:AE671)</f>
        <v>-0.91148470945869042</v>
      </c>
      <c r="S479" s="55" cm="1">
        <f t="array" ref="S479">(VLOOKUP($A479,'The List'!$B1:$AH671,31,FALSE)-AVERAGE('The List'!AF2:AF671))/STDEV('The List'!AF2:AF671)</f>
        <v>-0.5939690971349143</v>
      </c>
      <c r="T479" s="55" cm="1">
        <f t="array" ref="T479">(VLOOKUP($A479,'The List'!$B1:$AH671,32,FALSE)-AVERAGE('The List'!AG2:AG671))/STDEV('The List'!AG2:AG671)</f>
        <v>-0.64602208138248207</v>
      </c>
      <c r="U479" s="55" cm="1">
        <f t="array" ref="U479">(VLOOKUP($A479,'The List'!$B1:$AH671,33,FALSE)-AVERAGE('The List'!AH2:AH671))/STDEV('The List'!AH2:AH671)</f>
        <v>-1.2548938914719048</v>
      </c>
      <c r="V479" s="55"/>
      <c r="W479" s="78"/>
      <c r="X479" s="57"/>
      <c r="Y479" s="57"/>
      <c r="Z479" s="57"/>
      <c r="AA479" s="57"/>
      <c r="AB479" s="57"/>
      <c r="AC479" s="60"/>
      <c r="AD479" s="61"/>
      <c r="AE479" s="55"/>
    </row>
    <row r="480" spans="1:31" ht="21.25" customHeight="1" x14ac:dyDescent="0.15">
      <c r="A480" s="10" t="s">
        <v>727</v>
      </c>
      <c r="B480" s="18" t="str" cm="1">
        <f t="array" ref="B480">VLOOKUP(A480,'Player Data'!A1:B673,2,FALSE)</f>
        <v>CAR</v>
      </c>
      <c r="C480" s="52" cm="1">
        <f t="array" ref="C480">((E480)*Settings!$C$12)+(F480*Settings!$C$2)+(G480*Settings!$C$3)+(H480*Settings!$C$4)+(I480*Settings!$C$5)+(K480*Settings!$C$9)+(N480*Settings!$C$6)+(J480*Settings!$C$8)+(O480*Settings!$C$7)+(P480*Settings!$C$14)+(Q480*Settings!$C$15)+(R480*Settings!$C$16)+(S480*Settings!$C$17)+(T480*Settings!$C$18)+(U480*Settings!$C$19)+(L480*Settings!$C$10)+(Settings!$C$11*M480)</f>
        <v>-3.3630020078380296</v>
      </c>
      <c r="D480" s="57" cm="1">
        <f t="array" ref="D480">IF(Settings!$E$12="YES",VLOOKUP(A480,'Player Data'!A1:E673,5,FALSE),82)</f>
        <v>73.52</v>
      </c>
      <c r="E480" s="55" cm="1">
        <f t="array" ref="E480">(VLOOKUP($A480,'The List'!$B1:$AH671,17,FALSE)-AVERAGE('The List'!R2:R671))/STDEV('The List'!R2:R671)</f>
        <v>-1.5460800934637988</v>
      </c>
      <c r="F480" s="55" cm="1">
        <f t="array" ref="F480">(VLOOKUP($A480,'The List'!$B1:$AH671,18,FALSE)-AVERAGE('The List'!S2:S671))/STDEV('The List'!S2:S671)</f>
        <v>-0.32766853637002219</v>
      </c>
      <c r="G480" s="55" cm="1">
        <f t="array" ref="G480">(VLOOKUP($A480,'The List'!$B1:$AH671,19,FALSE)-AVERAGE('The List'!T2:T671))/STDEV('The List'!T2:T671)</f>
        <v>-1.162024189825497</v>
      </c>
      <c r="H480" s="55" cm="1">
        <f t="array" ref="H480">(VLOOKUP($A480,'The List'!$B1:$AH671,20,FALSE)-AVERAGE('The List'!U2:U671))/STDEV('The List'!U2:U671)</f>
        <v>-0.87628648363195194</v>
      </c>
      <c r="I480" s="55" cm="1">
        <f t="array" ref="I480">(VLOOKUP($A480,'The List'!$B1:$AH671,21,FALSE)-AVERAGE('The List'!V2:V671))/STDEV('The List'!V2:V671)</f>
        <v>-0.96643769452497941</v>
      </c>
      <c r="J480" s="55" cm="1">
        <f t="array" ref="J480">(VLOOKUP($A480,'The List'!$B1:$AH671,22,FALSE)-AVERAGE('The List'!W2:W671))/STDEV('The List'!W2:W671)</f>
        <v>-0.73561826153658816</v>
      </c>
      <c r="K480" s="55" cm="1">
        <f t="array" ref="K480">(VLOOKUP($A480,'The List'!$B1:$AH671,23,FALSE)-AVERAGE('The List'!X2:X671))/STDEV('The List'!X2:X671)</f>
        <v>-0.78346146493874624</v>
      </c>
      <c r="L480" s="55" cm="1">
        <f t="array" ref="L480">(VLOOKUP($A480,'The List'!$B1:$AH671,24,FALSE)-AVERAGE('The List'!Y2:Y671))/STDEV('The List'!Y2:Y671)</f>
        <v>-0.41564890788650605</v>
      </c>
      <c r="M480" s="55" cm="1">
        <f t="array" ref="M480">(VLOOKUP($A480,'The List'!$B1:$AH671,25,FALSE)-AVERAGE('The List'!Z2:Z671))/STDEV('The List'!Z2:Z671)</f>
        <v>-0.56179719465013322</v>
      </c>
      <c r="N480" s="55" cm="1">
        <f t="array" ref="N480">(VLOOKUP($A480,'The List'!$B1:$AH671,26,FALSE)-AVERAGE('The List'!AA2:AA671))/STDEV('The List'!AA2:AA671)</f>
        <v>-0.52491020418315792</v>
      </c>
      <c r="O480" s="55" cm="1">
        <f t="array" ref="O480">(VLOOKUP($A480,'The List'!$B1:$AH671,27,FALSE)-AVERAGE('The List'!AB2:AB671))/STDEV('The List'!AB2:AB671)</f>
        <v>-0.51407098219208824</v>
      </c>
      <c r="P480" s="55" cm="1">
        <f t="array" ref="P480">(VLOOKUP($A480,'The List'!$B1:$AH671,28,FALSE)-AVERAGE('The List'!AC2:AC671))/STDEV('The List'!AC2:AC671)</f>
        <v>1.3290744510589709</v>
      </c>
      <c r="Q480" s="55" cm="1">
        <f t="array" ref="Q480">(VLOOKUP($A480,'The List'!$B1:$AH671,29,FALSE)-AVERAGE('The List'!AD2:AD671))/STDEV('The List'!AD2:AD671)</f>
        <v>-0.92757436905459745</v>
      </c>
      <c r="R480" s="55" cm="1">
        <f t="array" ref="R480">(VLOOKUP($A480,'The List'!$B1:$AH671,30,FALSE)-AVERAGE('The List'!AE2:AE671))/STDEV('The List'!AE2:AE671)</f>
        <v>-0.21328235291954536</v>
      </c>
      <c r="S480" s="55" cm="1">
        <f t="array" ref="S480">(VLOOKUP($A480,'The List'!$B1:$AH671,31,FALSE)-AVERAGE('The List'!AF2:AF671))/STDEV('The List'!AF2:AF671)</f>
        <v>1.0208565462983414</v>
      </c>
      <c r="T480" s="55" cm="1">
        <f t="array" ref="T480">(VLOOKUP($A480,'The List'!$B1:$AH671,32,FALSE)-AVERAGE('The List'!AG2:AG671))/STDEV('The List'!AG2:AG671)</f>
        <v>1.0085125814209801</v>
      </c>
      <c r="U480" s="55" cm="1">
        <f t="array" ref="U480">(VLOOKUP($A480,'The List'!$B1:$AH671,33,FALSE)-AVERAGE('The List'!AH2:AH671))/STDEV('The List'!AH2:AH671)</f>
        <v>1.0879533082238535</v>
      </c>
      <c r="V480" s="55"/>
      <c r="W480" s="57"/>
      <c r="X480" s="55"/>
      <c r="Y480" s="55"/>
      <c r="Z480" s="55"/>
      <c r="AA480" s="55"/>
      <c r="AB480" s="55"/>
      <c r="AC480" s="55"/>
      <c r="AD480" s="55"/>
      <c r="AE480" s="55"/>
    </row>
    <row r="481" spans="1:31" ht="21.25" customHeight="1" x14ac:dyDescent="0.15">
      <c r="A481" s="10" t="s">
        <v>770</v>
      </c>
      <c r="B481" s="18" t="str" cm="1">
        <f t="array" ref="B481">VLOOKUP(A481,'Player Data'!A1:B673,2,FALSE)</f>
        <v>CAR</v>
      </c>
      <c r="C481" s="52" cm="1">
        <f t="array" ref="C481">((E481)*Settings!$C$12)+(F481*Settings!$C$2)+(G481*Settings!$C$3)+(H481*Settings!$C$4)+(I481*Settings!$C$5)+(K481*Settings!$C$9)+(N481*Settings!$C$6)+(J481*Settings!$C$8)+(O481*Settings!$C$7)+(P481*Settings!$C$14)+(Q481*Settings!$C$15)+(R481*Settings!$C$16)+(S481*Settings!$C$17)+(T481*Settings!$C$18)+(U481*Settings!$C$19)+(L481*Settings!$C$10)+(Settings!$C$11*M481)</f>
        <v>-3.9232622769721752</v>
      </c>
      <c r="D481" s="57" cm="1">
        <f t="array" ref="D481">IF(Settings!$E$12="YES",VLOOKUP(A481,'Player Data'!A1:E673,5,FALSE),82)</f>
        <v>72.237499999999997</v>
      </c>
      <c r="E481" s="55" cm="1">
        <f t="array" ref="E481">(VLOOKUP($A481,'The List'!$B1:$AH671,17,FALSE)-AVERAGE('The List'!R2:R671))/STDEV('The List'!R2:R671)</f>
        <v>-1.5892979740853552</v>
      </c>
      <c r="F481" s="55" cm="1">
        <f t="array" ref="F481">(VLOOKUP($A481,'The List'!$B1:$AH671,18,FALSE)-AVERAGE('The List'!S2:S671))/STDEV('The List'!S2:S671)</f>
        <v>-0.6583375653880621</v>
      </c>
      <c r="G481" s="55" cm="1">
        <f t="array" ref="G481">(VLOOKUP($A481,'The List'!$B1:$AH671,19,FALSE)-AVERAGE('The List'!T2:T671))/STDEV('The List'!T2:T671)</f>
        <v>-0.95019005498232101</v>
      </c>
      <c r="H481" s="55" cm="1">
        <f t="array" ref="H481">(VLOOKUP($A481,'The List'!$B1:$AH671,20,FALSE)-AVERAGE('The List'!U2:U671))/STDEV('The List'!U2:U671)</f>
        <v>-0.88975458596004242</v>
      </c>
      <c r="I481" s="55" cm="1">
        <f t="array" ref="I481">(VLOOKUP($A481,'The List'!$B1:$AH671,21,FALSE)-AVERAGE('The List'!V2:V671))/STDEV('The List'!V2:V671)</f>
        <v>-0.74251626748868338</v>
      </c>
      <c r="J481" s="55" cm="1">
        <f t="array" ref="J481">(VLOOKUP($A481,'The List'!$B1:$AH671,22,FALSE)-AVERAGE('The List'!W2:W671))/STDEV('The List'!W2:W671)</f>
        <v>-0.74418602418981539</v>
      </c>
      <c r="K481" s="55" cm="1">
        <f t="array" ref="K481">(VLOOKUP($A481,'The List'!$B1:$AH671,23,FALSE)-AVERAGE('The List'!X2:X671))/STDEV('The List'!X2:X671)</f>
        <v>-0.80721071167212932</v>
      </c>
      <c r="L481" s="55" cm="1">
        <f t="array" ref="L481">(VLOOKUP($A481,'The List'!$B1:$AH671,24,FALSE)-AVERAGE('The List'!Y2:Y671))/STDEV('The List'!Y2:Y671)</f>
        <v>-0.53087505088017484</v>
      </c>
      <c r="M481" s="55" cm="1">
        <f t="array" ref="M481">(VLOOKUP($A481,'The List'!$B1:$AH671,25,FALSE)-AVERAGE('The List'!Z2:Z671))/STDEV('The List'!Z2:Z671)</f>
        <v>-0.67365994926356842</v>
      </c>
      <c r="N481" s="55" cm="1">
        <f t="array" ref="N481">(VLOOKUP($A481,'The List'!$B1:$AH671,26,FALSE)-AVERAGE('The List'!AA2:AA671))/STDEV('The List'!AA2:AA671)</f>
        <v>-1.085926374320336</v>
      </c>
      <c r="O481" s="55" cm="1">
        <f t="array" ref="O481">(VLOOKUP($A481,'The List'!$B1:$AH671,27,FALSE)-AVERAGE('The List'!AB2:AB671))/STDEV('The List'!AB2:AB671)</f>
        <v>1.8140450522381426</v>
      </c>
      <c r="P481" s="55" cm="1">
        <f t="array" ref="P481">(VLOOKUP($A481,'The List'!$B1:$AH671,28,FALSE)-AVERAGE('The List'!AC2:AC671))/STDEV('The List'!AC2:AC671)</f>
        <v>1.1670593806821339</v>
      </c>
      <c r="Q481" s="55" cm="1">
        <f t="array" ref="Q481">(VLOOKUP($A481,'The List'!$B1:$AH671,29,FALSE)-AVERAGE('The List'!AD2:AD671))/STDEV('The List'!AD2:AD671)</f>
        <v>-0.8461406838027774</v>
      </c>
      <c r="R481" s="55" cm="1">
        <f t="array" ref="R481">(VLOOKUP($A481,'The List'!$B1:$AH671,30,FALSE)-AVERAGE('The List'!AE2:AE671))/STDEV('The List'!AE2:AE671)</f>
        <v>-0.56813323622804657</v>
      </c>
      <c r="S481" s="55" cm="1">
        <f t="array" ref="S481">(VLOOKUP($A481,'The List'!$B1:$AH671,31,FALSE)-AVERAGE('The List'!AF2:AF671))/STDEV('The List'!AF2:AF671)</f>
        <v>-0.55363566334822678</v>
      </c>
      <c r="T481" s="55" cm="1">
        <f t="array" ref="T481">(VLOOKUP($A481,'The List'!$B1:$AH671,32,FALSE)-AVERAGE('The List'!AG2:AG671))/STDEV('The List'!AG2:AG671)</f>
        <v>-0.59166558050290707</v>
      </c>
      <c r="U481" s="55" cm="1">
        <f t="array" ref="U481">(VLOOKUP($A481,'The List'!$B1:$AH671,33,FALSE)-AVERAGE('The List'!AH2:AH671))/STDEV('The List'!AH2:AH671)</f>
        <v>0.77420970535009337</v>
      </c>
      <c r="V481" s="55"/>
      <c r="W481" s="78"/>
      <c r="X481" s="57"/>
      <c r="Y481" s="57"/>
      <c r="Z481" s="57"/>
      <c r="AA481" s="57"/>
      <c r="AB481" s="57"/>
      <c r="AC481" s="60"/>
      <c r="AD481" s="61"/>
      <c r="AE481" s="55"/>
    </row>
    <row r="482" spans="1:31" ht="21.25" customHeight="1" x14ac:dyDescent="0.15">
      <c r="A482" s="10" t="s">
        <v>740</v>
      </c>
      <c r="B482" s="18" t="str" cm="1">
        <f t="array" ref="B482">VLOOKUP(A482,'Player Data'!A1:B673,2,FALSE)</f>
        <v>COL</v>
      </c>
      <c r="C482" s="52" cm="1">
        <f t="array" ref="C482">((E482)*Settings!$C$12)+(F482*Settings!$C$2)+(G482*Settings!$C$3)+(H482*Settings!$C$4)+(I482*Settings!$C$5)+(K482*Settings!$C$9)+(N482*Settings!$C$6)+(J482*Settings!$C$8)+(O482*Settings!$C$7)+(P482*Settings!$C$14)+(Q482*Settings!$C$15)+(R482*Settings!$C$16)+(S482*Settings!$C$17)+(T482*Settings!$C$18)+(U482*Settings!$C$19)+(L482*Settings!$C$10)+(Settings!$C$11*M482)</f>
        <v>-4.1932149532060867</v>
      </c>
      <c r="D482" s="57" cm="1">
        <f t="array" ref="D482">IF(Settings!$E$12="YES",VLOOKUP(A482,'Player Data'!A1:E673,5,FALSE),82)</f>
        <v>74.575000000000003</v>
      </c>
      <c r="E482" s="55" cm="1">
        <f t="array" ref="E482">(VLOOKUP($A482,'The List'!$B1:$AH671,17,FALSE)-AVERAGE('The List'!R2:R671))/STDEV('The List'!R2:R671)</f>
        <v>-1.5355277264600926</v>
      </c>
      <c r="F482" s="55" cm="1">
        <f t="array" ref="F482">(VLOOKUP($A482,'The List'!$B1:$AH671,18,FALSE)-AVERAGE('The List'!S2:S671))/STDEV('The List'!S2:S671)</f>
        <v>-0.76484727464397584</v>
      </c>
      <c r="G482" s="55" cm="1">
        <f t="array" ref="G482">(VLOOKUP($A482,'The List'!$B1:$AH671,19,FALSE)-AVERAGE('The List'!T2:T671))/STDEV('The List'!T2:T671)</f>
        <v>-0.83907869477624664</v>
      </c>
      <c r="H482" s="55" cm="1">
        <f t="array" ref="H482">(VLOOKUP($A482,'The List'!$B1:$AH671,20,FALSE)-AVERAGE('The List'!U2:U671))/STDEV('The List'!U2:U671)</f>
        <v>-0.86712216792343977</v>
      </c>
      <c r="I482" s="55" cm="1">
        <f t="array" ref="I482">(VLOOKUP($A482,'The List'!$B1:$AH671,21,FALSE)-AVERAGE('The List'!V2:V671))/STDEV('The List'!V2:V671)</f>
        <v>-0.96097922419453152</v>
      </c>
      <c r="J482" s="55" cm="1">
        <f t="array" ref="J482">(VLOOKUP($A482,'The List'!$B1:$AH671,22,FALSE)-AVERAGE('The List'!W2:W671))/STDEV('The List'!W2:W671)</f>
        <v>-0.65541560548505917</v>
      </c>
      <c r="K482" s="55" cm="1">
        <f t="array" ref="K482">(VLOOKUP($A482,'The List'!$B1:$AH671,23,FALSE)-AVERAGE('The List'!X2:X671))/STDEV('The List'!X2:X671)</f>
        <v>-0.72794955245430804</v>
      </c>
      <c r="L482" s="55" cm="1">
        <f t="array" ref="L482">(VLOOKUP($A482,'The List'!$B1:$AH671,24,FALSE)-AVERAGE('The List'!Y2:Y671))/STDEV('The List'!Y2:Y671)</f>
        <v>6.028247606634808E-3</v>
      </c>
      <c r="M482" s="55" cm="1">
        <f t="array" ref="M482">(VLOOKUP($A482,'The List'!$B1:$AH671,25,FALSE)-AVERAGE('The List'!Z2:Z671))/STDEV('The List'!Z2:Z671)</f>
        <v>-0.32125180794330432</v>
      </c>
      <c r="N482" s="55" cm="1">
        <f t="array" ref="N482">(VLOOKUP($A482,'The List'!$B1:$AH671,26,FALSE)-AVERAGE('The List'!AA2:AA671))/STDEV('The List'!AA2:AA671)</f>
        <v>-0.86788222519157232</v>
      </c>
      <c r="O482" s="55" cm="1">
        <f t="array" ref="O482">(VLOOKUP($A482,'The List'!$B1:$AH671,27,FALSE)-AVERAGE('The List'!AB2:AB671))/STDEV('The List'!AB2:AB671)</f>
        <v>-0.43375356933139092</v>
      </c>
      <c r="P482" s="55" cm="1">
        <f t="array" ref="P482">(VLOOKUP($A482,'The List'!$B1:$AH671,28,FALSE)-AVERAGE('The List'!AC2:AC671))/STDEV('The List'!AC2:AC671)</f>
        <v>0.86977756036352394</v>
      </c>
      <c r="Q482" s="55" cm="1">
        <f t="array" ref="Q482">(VLOOKUP($A482,'The List'!$B1:$AH671,29,FALSE)-AVERAGE('The List'!AD2:AD671))/STDEV('The List'!AD2:AD671)</f>
        <v>-0.90225554230897631</v>
      </c>
      <c r="R482" s="55" cm="1">
        <f t="array" ref="R482">(VLOOKUP($A482,'The List'!$B1:$AH671,30,FALSE)-AVERAGE('The List'!AE2:AE671))/STDEV('The List'!AE2:AE671)</f>
        <v>-0.64923420151875078</v>
      </c>
      <c r="S482" s="55" cm="1">
        <f t="array" ref="S482">(VLOOKUP($A482,'The List'!$B1:$AH671,31,FALSE)-AVERAGE('The List'!AF2:AF671))/STDEV('The List'!AF2:AF671)</f>
        <v>0.39209261909966153</v>
      </c>
      <c r="T482" s="55" cm="1">
        <f t="array" ref="T482">(VLOOKUP($A482,'The List'!$B1:$AH671,32,FALSE)-AVERAGE('The List'!AG2:AG671))/STDEV('The List'!AG2:AG671)</f>
        <v>0.91087021416536584</v>
      </c>
      <c r="U482" s="55" cm="1">
        <f t="array" ref="U482">(VLOOKUP($A482,'The List'!$B1:$AH671,33,FALSE)-AVERAGE('The List'!AH2:AH671))/STDEV('The List'!AH2:AH671)</f>
        <v>0.59675196555249943</v>
      </c>
      <c r="V482" s="55"/>
      <c r="W482" s="78"/>
      <c r="X482" s="57"/>
      <c r="Y482" s="57"/>
      <c r="Z482" s="57"/>
      <c r="AA482" s="57"/>
      <c r="AB482" s="57"/>
      <c r="AC482" s="60"/>
      <c r="AD482" s="61"/>
      <c r="AE482" s="55"/>
    </row>
    <row r="483" spans="1:31" ht="21.25" customHeight="1" x14ac:dyDescent="0.15">
      <c r="A483" s="10" t="s">
        <v>557</v>
      </c>
      <c r="B483" s="18" t="str" cm="1">
        <f t="array" ref="B483">VLOOKUP(A483,'Player Data'!A1:B673,2,FALSE)</f>
        <v>STL</v>
      </c>
      <c r="C483" s="52" cm="1">
        <f t="array" ref="C483">((E483)*Settings!$C$12)+(F483*Settings!$C$2)+(G483*Settings!$C$3)+(H483*Settings!$C$4)+(I483*Settings!$C$5)+(K483*Settings!$C$9)+(N483*Settings!$C$6)+(J483*Settings!$C$8)+(O483*Settings!$C$7)+(P483*Settings!$C$14)+(Q483*Settings!$C$15)+(R483*Settings!$C$16)+(S483*Settings!$C$17)+(T483*Settings!$C$18)+(U483*Settings!$C$19)+(L483*Settings!$C$10)+(Settings!$C$11*M483)</f>
        <v>-4.0543697204036775</v>
      </c>
      <c r="D483" s="57" cm="1">
        <f t="array" ref="D483">IF(Settings!$E$12="YES",VLOOKUP(A483,'Player Data'!A1:E673,5,FALSE),82)</f>
        <v>62.954999999999998</v>
      </c>
      <c r="E483" s="55" cm="1">
        <f t="array" ref="E483">(VLOOKUP($A483,'The List'!$B1:$AH671,17,FALSE)-AVERAGE('The List'!R2:R671))/STDEV('The List'!R2:R671)</f>
        <v>-0.10569460847454656</v>
      </c>
      <c r="F483" s="55" cm="1">
        <f t="array" ref="F483">(VLOOKUP($A483,'The List'!$B1:$AH671,18,FALSE)-AVERAGE('The List'!S2:S671))/STDEV('The List'!S2:S671)</f>
        <v>-0.87792545962719526</v>
      </c>
      <c r="G483" s="55" cm="1">
        <f t="array" ref="G483">(VLOOKUP($A483,'The List'!$B1:$AH671,19,FALSE)-AVERAGE('The List'!T2:T671))/STDEV('The List'!T2:T671)</f>
        <v>-0.95740019604551108</v>
      </c>
      <c r="H483" s="55" cm="1">
        <f t="array" ref="H483">(VLOOKUP($A483,'The List'!$B1:$AH671,20,FALSE)-AVERAGE('The List'!U2:U671))/STDEV('The List'!U2:U671)</f>
        <v>-0.99171609854024723</v>
      </c>
      <c r="I483" s="55" cm="1">
        <f t="array" ref="I483">(VLOOKUP($A483,'The List'!$B1:$AH671,21,FALSE)-AVERAGE('The List'!V2:V671))/STDEV('The List'!V2:V671)</f>
        <v>-0.92548889211736796</v>
      </c>
      <c r="J483" s="55" cm="1">
        <f t="array" ref="J483">(VLOOKUP($A483,'The List'!$B1:$AH671,22,FALSE)-AVERAGE('The List'!W2:W671))/STDEV('The List'!W2:W671)</f>
        <v>-0.72991264602818018</v>
      </c>
      <c r="K483" s="55" cm="1">
        <f t="array" ref="K483">(VLOOKUP($A483,'The List'!$B1:$AH671,23,FALSE)-AVERAGE('The List'!X2:X671))/STDEV('The List'!X2:X671)</f>
        <v>-0.72536571643606929</v>
      </c>
      <c r="L483" s="55" cm="1">
        <f t="array" ref="L483">(VLOOKUP($A483,'The List'!$B1:$AH671,24,FALSE)-AVERAGE('The List'!Y2:Y671))/STDEV('The List'!Y2:Y671)</f>
        <v>-0.53510550339168628</v>
      </c>
      <c r="M483" s="55" cm="1">
        <f t="array" ref="M483">(VLOOKUP($A483,'The List'!$B1:$AH671,25,FALSE)-AVERAGE('The List'!Z2:Z671))/STDEV('The List'!Z2:Z671)</f>
        <v>-0.64413956616169055</v>
      </c>
      <c r="N483" s="55" cm="1">
        <f t="array" ref="N483">(VLOOKUP($A483,'The List'!$B1:$AH671,26,FALSE)-AVERAGE('The List'!AA2:AA671))/STDEV('The List'!AA2:AA671)</f>
        <v>-7.7220856489231743E-2</v>
      </c>
      <c r="O483" s="55" cm="1">
        <f t="array" ref="O483">(VLOOKUP($A483,'The List'!$B1:$AH671,27,FALSE)-AVERAGE('The List'!AB2:AB671))/STDEV('The List'!AB2:AB671)</f>
        <v>-0.10467649468467193</v>
      </c>
      <c r="P483" s="55" cm="1">
        <f t="array" ref="P483">(VLOOKUP($A483,'The List'!$B1:$AH671,28,FALSE)-AVERAGE('The List'!AC2:AC671))/STDEV('The List'!AC2:AC671)</f>
        <v>-0.87083226037081163</v>
      </c>
      <c r="Q483" s="55" cm="1">
        <f t="array" ref="Q483">(VLOOKUP($A483,'The List'!$B1:$AH671,29,FALSE)-AVERAGE('The List'!AD2:AD671))/STDEV('The List'!AD2:AD671)</f>
        <v>0.37986366068250982</v>
      </c>
      <c r="R483" s="55" cm="1">
        <f t="array" ref="R483">(VLOOKUP($A483,'The List'!$B1:$AH671,30,FALSE)-AVERAGE('The List'!AE2:AE671))/STDEV('The List'!AE2:AE671)</f>
        <v>-0.88865394127969422</v>
      </c>
      <c r="S483" s="55" cm="1">
        <f t="array" ref="S483">(VLOOKUP($A483,'The List'!$B1:$AH671,31,FALSE)-AVERAGE('The List'!AF2:AF671))/STDEV('The List'!AF2:AF671)</f>
        <v>-0.5939690971349143</v>
      </c>
      <c r="T483" s="55" cm="1">
        <f t="array" ref="T483">(VLOOKUP($A483,'The List'!$B1:$AH671,32,FALSE)-AVERAGE('The List'!AG2:AG671))/STDEV('The List'!AG2:AG671)</f>
        <v>-0.64602208138248207</v>
      </c>
      <c r="U483" s="55" cm="1">
        <f t="array" ref="U483">(VLOOKUP($A483,'The List'!$B1:$AH671,33,FALSE)-AVERAGE('The List'!AH2:AH671))/STDEV('The List'!AH2:AH671)</f>
        <v>-1.2548938914719048</v>
      </c>
      <c r="V483" s="55"/>
      <c r="W483" s="78"/>
      <c r="X483" s="57"/>
      <c r="Y483" s="57"/>
      <c r="Z483" s="57"/>
      <c r="AA483" s="57"/>
      <c r="AB483" s="57"/>
      <c r="AC483" s="60"/>
      <c r="AD483" s="61"/>
      <c r="AE483" s="55"/>
    </row>
    <row r="484" spans="1:31" ht="21.25" customHeight="1" x14ac:dyDescent="0.15">
      <c r="A484" s="10" t="s">
        <v>420</v>
      </c>
      <c r="B484" s="18" t="str" cm="1">
        <f t="array" ref="B484">VLOOKUP(A484,'Player Data'!A1:B673,2,FALSE)</f>
        <v>BOS</v>
      </c>
      <c r="C484" s="52" cm="1">
        <f t="array" ref="C484">((E484)*Settings!$C$12)+(F484*Settings!$C$2)+(G484*Settings!$C$3)+(H484*Settings!$C$4)+(I484*Settings!$C$5)+(K484*Settings!$C$9)+(N484*Settings!$C$6)+(J484*Settings!$C$8)+(O484*Settings!$C$7)+(P484*Settings!$C$14)+(Q484*Settings!$C$15)+(R484*Settings!$C$16)+(S484*Settings!$C$17)+(T484*Settings!$C$18)+(U484*Settings!$C$19)+(L484*Settings!$C$10)+(Settings!$C$11*M484)</f>
        <v>-1.286359088337059</v>
      </c>
      <c r="D484" s="57" cm="1">
        <f t="array" ref="D484">IF(Settings!$E$12="YES",VLOOKUP(A484,'Player Data'!A1:E673,5,FALSE),82)</f>
        <v>83.0625</v>
      </c>
      <c r="E484" s="55" cm="1">
        <f t="array" ref="E484">(VLOOKUP($A484,'The List'!$B1:$AH671,17,FALSE)-AVERAGE('The List'!R2:R671))/STDEV('The List'!R2:R671)</f>
        <v>0.60210400633933125</v>
      </c>
      <c r="F484" s="55" cm="1">
        <f t="array" ref="F484">(VLOOKUP($A484,'The List'!$B1:$AH671,18,FALSE)-AVERAGE('The List'!S2:S671))/STDEV('The List'!S2:S671)</f>
        <v>-0.89387018023360409</v>
      </c>
      <c r="G484" s="55" cm="1">
        <f t="array" ref="G484">(VLOOKUP($A484,'The List'!$B1:$AH671,19,FALSE)-AVERAGE('The List'!T2:T671))/STDEV('The List'!T2:T671)</f>
        <v>-0.61130011361247072</v>
      </c>
      <c r="H484" s="55" cm="1">
        <f t="array" ref="H484">(VLOOKUP($A484,'The List'!$B1:$AH671,20,FALSE)-AVERAGE('The List'!U2:U671))/STDEV('The List'!U2:U671)</f>
        <v>-0.78109529918210263</v>
      </c>
      <c r="I484" s="55" cm="1">
        <f t="array" ref="I484">(VLOOKUP($A484,'The List'!$B1:$AH671,21,FALSE)-AVERAGE('The List'!V2:V671))/STDEV('The List'!V2:V671)</f>
        <v>-0.67400087688175547</v>
      </c>
      <c r="J484" s="55" cm="1">
        <f t="array" ref="J484">(VLOOKUP($A484,'The List'!$B1:$AH671,22,FALSE)-AVERAGE('The List'!W2:W671))/STDEV('The List'!W2:W671)</f>
        <v>-0.74858455440881688</v>
      </c>
      <c r="K484" s="55" cm="1">
        <f t="array" ref="K484">(VLOOKUP($A484,'The List'!$B1:$AH671,23,FALSE)-AVERAGE('The List'!X2:X671))/STDEV('The List'!X2:X671)</f>
        <v>-0.80680464934601936</v>
      </c>
      <c r="L484" s="55" cm="1">
        <f t="array" ref="L484">(VLOOKUP($A484,'The List'!$B1:$AH671,24,FALSE)-AVERAGE('The List'!Y2:Y671))/STDEV('The List'!Y2:Y671)</f>
        <v>5.8529465279856217E-3</v>
      </c>
      <c r="M484" s="55" cm="1">
        <f t="array" ref="M484">(VLOOKUP($A484,'The List'!$B1:$AH671,25,FALSE)-AVERAGE('The List'!Z2:Z671))/STDEV('The List'!Z2:Z671)</f>
        <v>-0.24091218529760405</v>
      </c>
      <c r="N484" s="55" cm="1">
        <f t="array" ref="N484">(VLOOKUP($A484,'The List'!$B1:$AH671,26,FALSE)-AVERAGE('The List'!AA2:AA671))/STDEV('The List'!AA2:AA671)</f>
        <v>1.460629197469639</v>
      </c>
      <c r="O484" s="55" cm="1">
        <f t="array" ref="O484">(VLOOKUP($A484,'The List'!$B1:$AH671,27,FALSE)-AVERAGE('The List'!AB2:AB671))/STDEV('The List'!AB2:AB671)</f>
        <v>0.75015832805822535</v>
      </c>
      <c r="P484" s="55" cm="1">
        <f t="array" ref="P484">(VLOOKUP($A484,'The List'!$B1:$AH671,28,FALSE)-AVERAGE('The List'!AC2:AC671))/STDEV('The List'!AC2:AC671)</f>
        <v>-0.73411599702275177</v>
      </c>
      <c r="Q484" s="55" cm="1">
        <f t="array" ref="Q484">(VLOOKUP($A484,'The List'!$B1:$AH671,29,FALSE)-AVERAGE('The List'!AD2:AD671))/STDEV('The List'!AD2:AD671)</f>
        <v>0.97310353128990335</v>
      </c>
      <c r="R484" s="55" cm="1">
        <f t="array" ref="R484">(VLOOKUP($A484,'The List'!$B1:$AH671,30,FALSE)-AVERAGE('The List'!AE2:AE671))/STDEV('The List'!AE2:AE671)</f>
        <v>-0.93156469952356324</v>
      </c>
      <c r="S484" s="55" cm="1">
        <f t="array" ref="S484">(VLOOKUP($A484,'The List'!$B1:$AH671,31,FALSE)-AVERAGE('The List'!AF2:AF671))/STDEV('The List'!AF2:AF671)</f>
        <v>-0.5939690971349143</v>
      </c>
      <c r="T484" s="55" cm="1">
        <f t="array" ref="T484">(VLOOKUP($A484,'The List'!$B1:$AH671,32,FALSE)-AVERAGE('The List'!AG2:AG671))/STDEV('The List'!AG2:AG671)</f>
        <v>-0.64602208138248207</v>
      </c>
      <c r="U484" s="55" cm="1">
        <f t="array" ref="U484">(VLOOKUP($A484,'The List'!$B1:$AH671,33,FALSE)-AVERAGE('The List'!AH2:AH671))/STDEV('The List'!AH2:AH671)</f>
        <v>-1.2548938914719048</v>
      </c>
      <c r="V484" s="55"/>
      <c r="W484" s="78"/>
      <c r="X484" s="57"/>
      <c r="Y484" s="57"/>
      <c r="Z484" s="57"/>
      <c r="AA484" s="57"/>
      <c r="AB484" s="57"/>
      <c r="AC484" s="60"/>
      <c r="AD484" s="61"/>
      <c r="AE484" s="55"/>
    </row>
    <row r="485" spans="1:31" ht="21.25" customHeight="1" x14ac:dyDescent="0.15">
      <c r="A485" s="10" t="s">
        <v>748</v>
      </c>
      <c r="B485" s="18" t="str" cm="1">
        <f t="array" ref="B485">VLOOKUP(A485,'Player Data'!A1:B673,2,FALSE)</f>
        <v>N.J</v>
      </c>
      <c r="C485" s="52" cm="1">
        <f t="array" ref="C485">((E485)*Settings!$C$12)+(F485*Settings!$C$2)+(G485*Settings!$C$3)+(H485*Settings!$C$4)+(I485*Settings!$C$5)+(K485*Settings!$C$9)+(N485*Settings!$C$6)+(J485*Settings!$C$8)+(O485*Settings!$C$7)+(P485*Settings!$C$14)+(Q485*Settings!$C$15)+(R485*Settings!$C$16)+(S485*Settings!$C$17)+(T485*Settings!$C$18)+(U485*Settings!$C$19)+(L485*Settings!$C$10)+(Settings!$C$11*M485)</f>
        <v>-4.0451090685673234</v>
      </c>
      <c r="D485" s="57" cm="1">
        <f t="array" ref="D485">IF(Settings!$E$12="YES",VLOOKUP(A485,'Player Data'!A1:E673,5,FALSE),82)</f>
        <v>75.569999999999993</v>
      </c>
      <c r="E485" s="55" cm="1">
        <f t="array" ref="E485">(VLOOKUP($A485,'The List'!$B1:$AH671,17,FALSE)-AVERAGE('The List'!R2:R671))/STDEV('The List'!R2:R671)</f>
        <v>-1.6319487622184914</v>
      </c>
      <c r="F485" s="55" cm="1">
        <f t="array" ref="F485">(VLOOKUP($A485,'The List'!$B1:$AH671,18,FALSE)-AVERAGE('The List'!S2:S671))/STDEV('The List'!S2:S671)</f>
        <v>-0.55264228197878429</v>
      </c>
      <c r="G485" s="55" cm="1">
        <f t="array" ref="G485">(VLOOKUP($A485,'The List'!$B1:$AH671,19,FALSE)-AVERAGE('The List'!T2:T671))/STDEV('The List'!T2:T671)</f>
        <v>-0.979901351466822</v>
      </c>
      <c r="H485" s="55" cm="1">
        <f t="array" ref="H485">(VLOOKUP($A485,'The List'!$B1:$AH671,20,FALSE)-AVERAGE('The List'!U2:U671))/STDEV('The List'!U2:U671)</f>
        <v>-0.86154813659899521</v>
      </c>
      <c r="I485" s="55" cm="1">
        <f t="array" ref="I485">(VLOOKUP($A485,'The List'!$B1:$AH671,21,FALSE)-AVERAGE('The List'!V2:V671))/STDEV('The List'!V2:V671)</f>
        <v>-0.69542996128293133</v>
      </c>
      <c r="J485" s="55" cm="1">
        <f t="array" ref="J485">(VLOOKUP($A485,'The List'!$B1:$AH671,22,FALSE)-AVERAGE('The List'!W2:W671))/STDEV('The List'!W2:W671)</f>
        <v>-0.45824021534004444</v>
      </c>
      <c r="K485" s="55" cm="1">
        <f t="array" ref="K485">(VLOOKUP($A485,'The List'!$B1:$AH671,23,FALSE)-AVERAGE('The List'!X2:X671))/STDEV('The List'!X2:X671)</f>
        <v>-0.60615552713707876</v>
      </c>
      <c r="L485" s="55" cm="1">
        <f t="array" ref="L485">(VLOOKUP($A485,'The List'!$B1:$AH671,24,FALSE)-AVERAGE('The List'!Y2:Y671))/STDEV('The List'!Y2:Y671)</f>
        <v>-0.53204482836973344</v>
      </c>
      <c r="M485" s="55" cm="1">
        <f t="array" ref="M485">(VLOOKUP($A485,'The List'!$B1:$AH671,25,FALSE)-AVERAGE('The List'!Z2:Z671))/STDEV('The List'!Z2:Z671)</f>
        <v>-0.67504451209826799</v>
      </c>
      <c r="N485" s="55" cm="1">
        <f t="array" ref="N485">(VLOOKUP($A485,'The List'!$B1:$AH671,26,FALSE)-AVERAGE('The List'!AA2:AA671))/STDEV('The List'!AA2:AA671)</f>
        <v>-0.99895248241119694</v>
      </c>
      <c r="O485" s="55" cm="1">
        <f t="array" ref="O485">(VLOOKUP($A485,'The List'!$B1:$AH671,27,FALSE)-AVERAGE('The List'!AB2:AB671))/STDEV('The List'!AB2:AB671)</f>
        <v>0.11960260292553343</v>
      </c>
      <c r="P485" s="55" cm="1">
        <f t="array" ref="P485">(VLOOKUP($A485,'The List'!$B1:$AH671,28,FALSE)-AVERAGE('The List'!AC2:AC671))/STDEV('The List'!AC2:AC671)</f>
        <v>-0.12974818804481916</v>
      </c>
      <c r="Q485" s="55" cm="1">
        <f t="array" ref="Q485">(VLOOKUP($A485,'The List'!$B1:$AH671,29,FALSE)-AVERAGE('The List'!AD2:AD671))/STDEV('The List'!AD2:AD671)</f>
        <v>-8.2279276245691257E-2</v>
      </c>
      <c r="R485" s="55" cm="1">
        <f t="array" ref="R485">(VLOOKUP($A485,'The List'!$B1:$AH671,30,FALSE)-AVERAGE('The List'!AE2:AE671))/STDEV('The List'!AE2:AE671)</f>
        <v>-0.56857192965156267</v>
      </c>
      <c r="S485" s="55" cm="1">
        <f t="array" ref="S485">(VLOOKUP($A485,'The List'!$B1:$AH671,31,FALSE)-AVERAGE('The List'!AF2:AF671))/STDEV('The List'!AF2:AF671)</f>
        <v>-0.44788376686532622</v>
      </c>
      <c r="T485" s="55" cm="1">
        <f t="array" ref="T485">(VLOOKUP($A485,'The List'!$B1:$AH671,32,FALSE)-AVERAGE('The List'!AG2:AG671))/STDEV('The List'!AG2:AG671)</f>
        <v>-0.47256294018363498</v>
      </c>
      <c r="U485" s="55" cm="1">
        <f t="array" ref="U485">(VLOOKUP($A485,'The List'!$B1:$AH671,33,FALSE)-AVERAGE('The List'!AH2:AH671))/STDEV('The List'!AH2:AH671)</f>
        <v>0.91861898803100617</v>
      </c>
      <c r="V485" s="55"/>
      <c r="W485" s="78"/>
      <c r="X485" s="57"/>
      <c r="Y485" s="57"/>
      <c r="Z485" s="57"/>
      <c r="AA485" s="57"/>
      <c r="AB485" s="57"/>
      <c r="AC485" s="60"/>
      <c r="AD485" s="61"/>
      <c r="AE485" s="55"/>
    </row>
    <row r="486" spans="1:31" ht="21.25" customHeight="1" x14ac:dyDescent="0.15">
      <c r="A486" s="10" t="s">
        <v>725</v>
      </c>
      <c r="B486" s="18" t="str" cm="1">
        <f t="array" ref="B486">VLOOKUP(A486,'Player Data'!A1:B673,2,FALSE)</f>
        <v>BOS</v>
      </c>
      <c r="C486" s="52" cm="1">
        <f t="array" ref="C486">((E486)*Settings!$C$12)+(F486*Settings!$C$2)+(G486*Settings!$C$3)+(H486*Settings!$C$4)+(I486*Settings!$C$5)+(K486*Settings!$C$9)+(N486*Settings!$C$6)+(J486*Settings!$C$8)+(O486*Settings!$C$7)+(P486*Settings!$C$14)+(Q486*Settings!$C$15)+(R486*Settings!$C$16)+(S486*Settings!$C$17)+(T486*Settings!$C$18)+(U486*Settings!$C$19)+(L486*Settings!$C$10)+(Settings!$C$11*M486)</f>
        <v>-1.9019807645745574</v>
      </c>
      <c r="D486" s="57" cm="1">
        <f t="array" ref="D486">IF(Settings!$E$12="YES",VLOOKUP(A486,'Player Data'!A1:E673,5,FALSE),82)</f>
        <v>78.38</v>
      </c>
      <c r="E486" s="55" cm="1">
        <f t="array" ref="E486">(VLOOKUP($A486,'The List'!$B1:$AH671,17,FALSE)-AVERAGE('The List'!R2:R671))/STDEV('The List'!R2:R671)</f>
        <v>-1.2656502011154074</v>
      </c>
      <c r="F486" s="55" cm="1">
        <f t="array" ref="F486">(VLOOKUP($A486,'The List'!$B1:$AH671,18,FALSE)-AVERAGE('The List'!S2:S671))/STDEV('The List'!S2:S671)</f>
        <v>-0.65513572061343683</v>
      </c>
      <c r="G486" s="55" cm="1">
        <f t="array" ref="G486">(VLOOKUP($A486,'The List'!$B1:$AH671,19,FALSE)-AVERAGE('The List'!T2:T671))/STDEV('The List'!T2:T671)</f>
        <v>-0.87011198285980229</v>
      </c>
      <c r="H486" s="55" cm="1">
        <f t="array" ref="H486">(VLOOKUP($A486,'The List'!$B1:$AH671,20,FALSE)-AVERAGE('The List'!U2:U671))/STDEV('The List'!U2:U671)</f>
        <v>-0.83796531239292882</v>
      </c>
      <c r="I486" s="55" cm="1">
        <f t="array" ref="I486">(VLOOKUP($A486,'The List'!$B1:$AH671,21,FALSE)-AVERAGE('The List'!V2:V671))/STDEV('The List'!V2:V671)</f>
        <v>-0.87726940894592009</v>
      </c>
      <c r="J486" s="55" cm="1">
        <f t="array" ref="J486">(VLOOKUP($A486,'The List'!$B1:$AH671,22,FALSE)-AVERAGE('The List'!W2:W671))/STDEV('The List'!W2:W671)</f>
        <v>-0.73783841360147995</v>
      </c>
      <c r="K486" s="55" cm="1">
        <f t="array" ref="K486">(VLOOKUP($A486,'The List'!$B1:$AH671,23,FALSE)-AVERAGE('The List'!X2:X671))/STDEV('The List'!X2:X671)</f>
        <v>-0.79806121243596895</v>
      </c>
      <c r="L486" s="55" cm="1">
        <f t="array" ref="L486">(VLOOKUP($A486,'The List'!$B1:$AH671,24,FALSE)-AVERAGE('The List'!Y2:Y671))/STDEV('The List'!Y2:Y671)</f>
        <v>-0.27173901246250043</v>
      </c>
      <c r="M486" s="55" cm="1">
        <f t="array" ref="M486">(VLOOKUP($A486,'The List'!$B1:$AH671,25,FALSE)-AVERAGE('The List'!Z2:Z671))/STDEV('The List'!Z2:Z671)</f>
        <v>-0.41916421258932451</v>
      </c>
      <c r="N486" s="55" cm="1">
        <f t="array" ref="N486">(VLOOKUP($A486,'The List'!$B1:$AH671,26,FALSE)-AVERAGE('The List'!AA2:AA671))/STDEV('The List'!AA2:AA671)</f>
        <v>-0.29868195317676799</v>
      </c>
      <c r="O486" s="55" cm="1">
        <f t="array" ref="O486">(VLOOKUP($A486,'The List'!$B1:$AH671,27,FALSE)-AVERAGE('The List'!AB2:AB671))/STDEV('The List'!AB2:AB671)</f>
        <v>2.7151862574109389</v>
      </c>
      <c r="P486" s="55" cm="1">
        <f t="array" ref="P486">(VLOOKUP($A486,'The List'!$B1:$AH671,28,FALSE)-AVERAGE('The List'!AC2:AC671))/STDEV('The List'!AC2:AC671)</f>
        <v>-0.67884536524178274</v>
      </c>
      <c r="Q486" s="55" cm="1">
        <f t="array" ref="Q486">(VLOOKUP($A486,'The List'!$B1:$AH671,29,FALSE)-AVERAGE('The List'!AD2:AD671))/STDEV('The List'!AD2:AD671)</f>
        <v>2.2761248786991208</v>
      </c>
      <c r="R486" s="55" cm="1">
        <f t="array" ref="R486">(VLOOKUP($A486,'The List'!$B1:$AH671,30,FALSE)-AVERAGE('The List'!AE2:AE671))/STDEV('The List'!AE2:AE671)</f>
        <v>-0.73072618214607254</v>
      </c>
      <c r="S486" s="55" cm="1">
        <f t="array" ref="S486">(VLOOKUP($A486,'The List'!$B1:$AH671,31,FALSE)-AVERAGE('The List'!AF2:AF671))/STDEV('The List'!AF2:AF671)</f>
        <v>-0.54100790204229665</v>
      </c>
      <c r="T486" s="55" cm="1">
        <f t="array" ref="T486">(VLOOKUP($A486,'The List'!$B1:$AH671,32,FALSE)-AVERAGE('The List'!AG2:AG671))/STDEV('The List'!AG2:AG671)</f>
        <v>-0.57055041312096355</v>
      </c>
      <c r="U486" s="55" cm="1">
        <f t="array" ref="U486">(VLOOKUP($A486,'The List'!$B1:$AH671,33,FALSE)-AVERAGE('The List'!AH2:AH671))/STDEV('The List'!AH2:AH671)</f>
        <v>0.71116971794501072</v>
      </c>
      <c r="V486" s="55"/>
      <c r="W486" s="78"/>
      <c r="X486" s="57"/>
      <c r="Y486" s="57"/>
      <c r="Z486" s="57"/>
      <c r="AA486" s="57"/>
      <c r="AB486" s="57"/>
      <c r="AC486" s="60"/>
      <c r="AD486" s="61"/>
      <c r="AE486" s="55"/>
    </row>
    <row r="487" spans="1:31" ht="21.25" customHeight="1" x14ac:dyDescent="0.15">
      <c r="A487" s="10" t="s">
        <v>736</v>
      </c>
      <c r="B487" s="18" t="str" cm="1">
        <f t="array" ref="B487">VLOOKUP(A487,'Player Data'!A1:B673,2,FALSE)</f>
        <v>DET</v>
      </c>
      <c r="C487" s="52" cm="1">
        <f t="array" ref="C487">((E487)*Settings!$C$12)+(F487*Settings!$C$2)+(G487*Settings!$C$3)+(H487*Settings!$C$4)+(I487*Settings!$C$5)+(K487*Settings!$C$9)+(N487*Settings!$C$6)+(J487*Settings!$C$8)+(O487*Settings!$C$7)+(P487*Settings!$C$14)+(Q487*Settings!$C$15)+(R487*Settings!$C$16)+(S487*Settings!$C$17)+(T487*Settings!$C$18)+(U487*Settings!$C$19)+(L487*Settings!$C$10)+(Settings!$C$11*M487)</f>
        <v>-5.0997960193076119</v>
      </c>
      <c r="D487" s="57" cm="1">
        <f t="array" ref="D487">IF(Settings!$E$12="YES",VLOOKUP(A487,'Player Data'!A1:E673,5,FALSE),82)</f>
        <v>79.5</v>
      </c>
      <c r="E487" s="55" cm="1">
        <f t="array" ref="E487">(VLOOKUP($A487,'The List'!$B1:$AH671,17,FALSE)-AVERAGE('The List'!R2:R671))/STDEV('The List'!R2:R671)</f>
        <v>-1.095715933263399</v>
      </c>
      <c r="F487" s="55" cm="1">
        <f t="array" ref="F487">(VLOOKUP($A487,'The List'!$B1:$AH671,18,FALSE)-AVERAGE('The List'!S2:S671))/STDEV('The List'!S2:S671)</f>
        <v>-0.60932916015017402</v>
      </c>
      <c r="G487" s="55" cm="1">
        <f t="array" ref="G487">(VLOOKUP($A487,'The List'!$B1:$AH671,19,FALSE)-AVERAGE('The List'!T2:T671))/STDEV('The List'!T2:T671)</f>
        <v>-0.88472070500730216</v>
      </c>
      <c r="H487" s="55" cm="1">
        <f t="array" ref="H487">(VLOOKUP($A487,'The List'!$B1:$AH671,20,FALSE)-AVERAGE('The List'!U2:U671))/STDEV('The List'!U2:U671)</f>
        <v>-0.8268307470820665</v>
      </c>
      <c r="I487" s="55" cm="1">
        <f t="array" ref="I487">(VLOOKUP($A487,'The List'!$B1:$AH671,21,FALSE)-AVERAGE('The List'!V2:V671))/STDEV('The List'!V2:V671)</f>
        <v>-0.77031120366752392</v>
      </c>
      <c r="J487" s="55" cm="1">
        <f t="array" ref="J487">(VLOOKUP($A487,'The List'!$B1:$AH671,22,FALSE)-AVERAGE('The List'!W2:W671))/STDEV('The List'!W2:W671)</f>
        <v>-0.73293769549687637</v>
      </c>
      <c r="K487" s="55" cm="1">
        <f t="array" ref="K487">(VLOOKUP($A487,'The List'!$B1:$AH671,23,FALSE)-AVERAGE('The List'!X2:X671))/STDEV('The List'!X2:X671)</f>
        <v>-0.79891884515214928</v>
      </c>
      <c r="L487" s="55" cm="1">
        <f t="array" ref="L487">(VLOOKUP($A487,'The List'!$B1:$AH671,24,FALSE)-AVERAGE('The List'!Y2:Y671))/STDEV('The List'!Y2:Y671)</f>
        <v>-1.7313531404738427E-2</v>
      </c>
      <c r="M487" s="55" cm="1">
        <f t="array" ref="M487">(VLOOKUP($A487,'The List'!$B1:$AH671,25,FALSE)-AVERAGE('The List'!Z2:Z671))/STDEV('The List'!Z2:Z671)</f>
        <v>0.32017025419424117</v>
      </c>
      <c r="N487" s="55" cm="1">
        <f t="array" ref="N487">(VLOOKUP($A487,'The List'!$B1:$AH671,26,FALSE)-AVERAGE('The List'!AA2:AA671))/STDEV('The List'!AA2:AA671)</f>
        <v>-0.73729908848291559</v>
      </c>
      <c r="O487" s="55" cm="1">
        <f t="array" ref="O487">(VLOOKUP($A487,'The List'!$B1:$AH671,27,FALSE)-AVERAGE('The List'!AB2:AB671))/STDEV('The List'!AB2:AB671)</f>
        <v>0.20799303564695196</v>
      </c>
      <c r="P487" s="55" cm="1">
        <f t="array" ref="P487">(VLOOKUP($A487,'The List'!$B1:$AH671,28,FALSE)-AVERAGE('The List'!AC2:AC671))/STDEV('The List'!AC2:AC671)</f>
        <v>-0.63498207321704547</v>
      </c>
      <c r="Q487" s="55" cm="1">
        <f t="array" ref="Q487">(VLOOKUP($A487,'The List'!$B1:$AH671,29,FALSE)-AVERAGE('The List'!AD2:AD671))/STDEV('The List'!AD2:AD671)</f>
        <v>-0.66423494363050162</v>
      </c>
      <c r="R487" s="55" cm="1">
        <f t="array" ref="R487">(VLOOKUP($A487,'The List'!$B1:$AH671,30,FALSE)-AVERAGE('The List'!AE2:AE671))/STDEV('The List'!AE2:AE671)</f>
        <v>-0.58703986837815159</v>
      </c>
      <c r="S487" s="55" cm="1">
        <f t="array" ref="S487">(VLOOKUP($A487,'The List'!$B1:$AH671,31,FALSE)-AVERAGE('The List'!AF2:AF671))/STDEV('The List'!AF2:AF671)</f>
        <v>-0.55039638168423821</v>
      </c>
      <c r="T487" s="55" cm="1">
        <f t="array" ref="T487">(VLOOKUP($A487,'The List'!$B1:$AH671,32,FALSE)-AVERAGE('The List'!AG2:AG671))/STDEV('The List'!AG2:AG671)</f>
        <v>-0.58040115511252666</v>
      </c>
      <c r="U487" s="55" cm="1">
        <f t="array" ref="U487">(VLOOKUP($A487,'The List'!$B1:$AH671,33,FALSE)-AVERAGE('The List'!AH2:AH671))/STDEV('The List'!AH2:AH671)</f>
        <v>0.64924844244686797</v>
      </c>
      <c r="V487" s="55"/>
      <c r="W487" s="78"/>
      <c r="X487" s="57"/>
      <c r="Y487" s="57"/>
      <c r="Z487" s="57"/>
      <c r="AA487" s="57"/>
      <c r="AB487" s="57"/>
      <c r="AC487" s="60"/>
      <c r="AD487" s="61"/>
      <c r="AE487" s="55"/>
    </row>
    <row r="488" spans="1:31" ht="21.25" customHeight="1" x14ac:dyDescent="0.15">
      <c r="A488" s="10" t="s">
        <v>754</v>
      </c>
      <c r="B488" s="18" t="str" cm="1">
        <f t="array" ref="B488">VLOOKUP(A488,'Player Data'!A1:B673,2,FALSE)</f>
        <v>OTT</v>
      </c>
      <c r="C488" s="52" cm="1">
        <f t="array" ref="C488">((E488)*Settings!$C$12)+(F488*Settings!$C$2)+(G488*Settings!$C$3)+(H488*Settings!$C$4)+(I488*Settings!$C$5)+(K488*Settings!$C$9)+(N488*Settings!$C$6)+(J488*Settings!$C$8)+(O488*Settings!$C$7)+(P488*Settings!$C$14)+(Q488*Settings!$C$15)+(R488*Settings!$C$16)+(S488*Settings!$C$17)+(T488*Settings!$C$18)+(U488*Settings!$C$19)+(L488*Settings!$C$10)+(Settings!$C$11*M488)</f>
        <v>-2.4326064463309924</v>
      </c>
      <c r="D488" s="57" cm="1">
        <f t="array" ref="D488">IF(Settings!$E$12="YES",VLOOKUP(A488,'Player Data'!A1:E673,5,FALSE),82)</f>
        <v>78.152500000000003</v>
      </c>
      <c r="E488" s="55" cm="1">
        <f t="array" ref="E488">(VLOOKUP($A488,'The List'!$B1:$AH671,17,FALSE)-AVERAGE('The List'!R2:R671))/STDEV('The List'!R2:R671)</f>
        <v>-1.5512558891708905</v>
      </c>
      <c r="F488" s="55" cm="1">
        <f t="array" ref="F488">(VLOOKUP($A488,'The List'!$B1:$AH671,18,FALSE)-AVERAGE('The List'!S2:S671))/STDEV('The List'!S2:S671)</f>
        <v>-0.65648414582446801</v>
      </c>
      <c r="G488" s="55" cm="1">
        <f t="array" ref="G488">(VLOOKUP($A488,'The List'!$B1:$AH671,19,FALSE)-AVERAGE('The List'!T2:T671))/STDEV('The List'!T2:T671)</f>
        <v>-0.87597113451507835</v>
      </c>
      <c r="H488" s="55" cm="1">
        <f t="array" ref="H488">(VLOOKUP($A488,'The List'!$B1:$AH671,20,FALSE)-AVERAGE('The List'!U2:U671))/STDEV('The List'!U2:U671)</f>
        <v>-0.84224895479132356</v>
      </c>
      <c r="I488" s="55" cm="1">
        <f t="array" ref="I488">(VLOOKUP($A488,'The List'!$B1:$AH671,21,FALSE)-AVERAGE('The List'!V2:V671))/STDEV('The List'!V2:V671)</f>
        <v>-0.78535926589936267</v>
      </c>
      <c r="J488" s="55" cm="1">
        <f t="array" ref="J488">(VLOOKUP($A488,'The List'!$B1:$AH671,22,FALSE)-AVERAGE('The List'!W2:W671))/STDEV('The List'!W2:W671)</f>
        <v>-0.74112152962325084</v>
      </c>
      <c r="K488" s="55" cm="1">
        <f t="array" ref="K488">(VLOOKUP($A488,'The List'!$B1:$AH671,23,FALSE)-AVERAGE('The List'!X2:X671))/STDEV('The List'!X2:X671)</f>
        <v>-0.80444325979317488</v>
      </c>
      <c r="L488" s="55" cm="1">
        <f t="array" ref="L488">(VLOOKUP($A488,'The List'!$B1:$AH671,24,FALSE)-AVERAGE('The List'!Y2:Y671))/STDEV('The List'!Y2:Y671)</f>
        <v>-0.56146710892227625</v>
      </c>
      <c r="M488" s="55" cm="1">
        <f t="array" ref="M488">(VLOOKUP($A488,'The List'!$B1:$AH671,25,FALSE)-AVERAGE('The List'!Z2:Z671))/STDEV('The List'!Z2:Z671)</f>
        <v>-0.70327035891784595</v>
      </c>
      <c r="N488" s="55" cm="1">
        <f t="array" ref="N488">(VLOOKUP($A488,'The List'!$B1:$AH671,26,FALSE)-AVERAGE('The List'!AA2:AA671))/STDEV('The List'!AA2:AA671)</f>
        <v>-0.6766870918078437</v>
      </c>
      <c r="O488" s="55" cm="1">
        <f t="array" ref="O488">(VLOOKUP($A488,'The List'!$B1:$AH671,27,FALSE)-AVERAGE('The List'!AB2:AB671))/STDEV('The List'!AB2:AB671)</f>
        <v>1.1864258355609028</v>
      </c>
      <c r="P488" s="55" cm="1">
        <f t="array" ref="P488">(VLOOKUP($A488,'The List'!$B1:$AH671,28,FALSE)-AVERAGE('The List'!AC2:AC671))/STDEV('The List'!AC2:AC671)</f>
        <v>0.43143326418437589</v>
      </c>
      <c r="Q488" s="55" cm="1">
        <f t="array" ref="Q488">(VLOOKUP($A488,'The List'!$B1:$AH671,29,FALSE)-AVERAGE('The List'!AD2:AD671))/STDEV('The List'!AD2:AD671)</f>
        <v>0.93490518732455929</v>
      </c>
      <c r="R488" s="55" cm="1">
        <f t="array" ref="R488">(VLOOKUP($A488,'The List'!$B1:$AH671,30,FALSE)-AVERAGE('The List'!AE2:AE671))/STDEV('The List'!AE2:AE671)</f>
        <v>-0.54086793915630615</v>
      </c>
      <c r="S488" s="55" cm="1">
        <f t="array" ref="S488">(VLOOKUP($A488,'The List'!$B1:$AH671,31,FALSE)-AVERAGE('The List'!AF2:AF671))/STDEV('The List'!AF2:AF671)</f>
        <v>-0.5461980524482295</v>
      </c>
      <c r="T488" s="55" cm="1">
        <f t="array" ref="T488">(VLOOKUP($A488,'The List'!$B1:$AH671,32,FALSE)-AVERAGE('The List'!AG2:AG671))/STDEV('The List'!AG2:AG671)</f>
        <v>-0.56928871300359918</v>
      </c>
      <c r="U488" s="55" cm="1">
        <f t="array" ref="U488">(VLOOKUP($A488,'The List'!$B1:$AH671,33,FALSE)-AVERAGE('The List'!AH2:AH671))/STDEV('The List'!AH2:AH671)</f>
        <v>0.57777665845509896</v>
      </c>
      <c r="V488" s="55"/>
      <c r="W488" s="78"/>
      <c r="X488" s="57"/>
      <c r="Y488" s="57"/>
      <c r="Z488" s="57"/>
      <c r="AA488" s="57"/>
      <c r="AB488" s="57"/>
      <c r="AC488" s="60"/>
      <c r="AD488" s="61"/>
      <c r="AE488" s="55"/>
    </row>
    <row r="489" spans="1:31" ht="21.25" customHeight="1" x14ac:dyDescent="0.15">
      <c r="A489" s="10" t="s">
        <v>751</v>
      </c>
      <c r="B489" s="18" t="str" cm="1">
        <f t="array" ref="B489">VLOOKUP(A489,'Player Data'!A1:B673,2,FALSE)</f>
        <v>CBJ</v>
      </c>
      <c r="C489" s="52" cm="1">
        <f t="array" ref="C489">((E489)*Settings!$C$12)+(F489*Settings!$C$2)+(G489*Settings!$C$3)+(H489*Settings!$C$4)+(I489*Settings!$C$5)+(K489*Settings!$C$9)+(N489*Settings!$C$6)+(J489*Settings!$C$8)+(O489*Settings!$C$7)+(P489*Settings!$C$14)+(Q489*Settings!$C$15)+(R489*Settings!$C$16)+(S489*Settings!$C$17)+(T489*Settings!$C$18)+(U489*Settings!$C$19)+(L489*Settings!$C$10)+(Settings!$C$11*M489)</f>
        <v>-3.5452516762644608</v>
      </c>
      <c r="D489" s="57" cm="1">
        <f t="array" ref="D489">IF(Settings!$E$12="YES",VLOOKUP(A489,'Player Data'!A1:E673,5,FALSE),82)</f>
        <v>72.072500000000005</v>
      </c>
      <c r="E489" s="55" cm="1">
        <f t="array" ref="E489">(VLOOKUP($A489,'The List'!$B1:$AH671,17,FALSE)-AVERAGE('The List'!R2:R671))/STDEV('The List'!R2:R671)</f>
        <v>-1.3888462620875648</v>
      </c>
      <c r="F489" s="55" cm="1">
        <f t="array" ref="F489">(VLOOKUP($A489,'The List'!$B1:$AH671,18,FALSE)-AVERAGE('The List'!S2:S671))/STDEV('The List'!S2:S671)</f>
        <v>-0.6032071933100186</v>
      </c>
      <c r="G489" s="55" cm="1">
        <f t="array" ref="G489">(VLOOKUP($A489,'The List'!$B1:$AH671,19,FALSE)-AVERAGE('The List'!T2:T671))/STDEV('The List'!T2:T671)</f>
        <v>-1.0173134220513149</v>
      </c>
      <c r="H489" s="55" cm="1">
        <f t="array" ref="H489">(VLOOKUP($A489,'The List'!$B1:$AH671,20,FALSE)-AVERAGE('The List'!U2:U671))/STDEV('The List'!U2:U671)</f>
        <v>-0.90751468272867775</v>
      </c>
      <c r="I489" s="55" cm="1">
        <f t="array" ref="I489">(VLOOKUP($A489,'The List'!$B1:$AH671,21,FALSE)-AVERAGE('The List'!V2:V671))/STDEV('The List'!V2:V671)</f>
        <v>-0.46922204569261172</v>
      </c>
      <c r="J489" s="55" cm="1">
        <f t="array" ref="J489">(VLOOKUP($A489,'The List'!$B1:$AH671,22,FALSE)-AVERAGE('The List'!W2:W671))/STDEV('The List'!W2:W671)</f>
        <v>-0.73928929048003478</v>
      </c>
      <c r="K489" s="55" cm="1">
        <f t="array" ref="K489">(VLOOKUP($A489,'The List'!$B1:$AH671,23,FALSE)-AVERAGE('The List'!X2:X671))/STDEV('The List'!X2:X671)</f>
        <v>-0.80470512734157085</v>
      </c>
      <c r="L489" s="55" cm="1">
        <f t="array" ref="L489">(VLOOKUP($A489,'The List'!$B1:$AH671,24,FALSE)-AVERAGE('The List'!Y2:Y671))/STDEV('The List'!Y2:Y671)</f>
        <v>2.1078652794936101E-3</v>
      </c>
      <c r="M489" s="55" cm="1">
        <f t="array" ref="M489">(VLOOKUP($A489,'The List'!$B1:$AH671,25,FALSE)-AVERAGE('The List'!Z2:Z671))/STDEV('The List'!Z2:Z671)</f>
        <v>0.34280756198116324</v>
      </c>
      <c r="N489" s="55" cm="1">
        <f t="array" ref="N489">(VLOOKUP($A489,'The List'!$B1:$AH671,26,FALSE)-AVERAGE('The List'!AA2:AA671))/STDEV('The List'!AA2:AA671)</f>
        <v>-0.92746932394228465</v>
      </c>
      <c r="O489" s="55" cm="1">
        <f t="array" ref="O489">(VLOOKUP($A489,'The List'!$B1:$AH671,27,FALSE)-AVERAGE('The List'!AB2:AB671))/STDEV('The List'!AB2:AB671)</f>
        <v>6.7112733943141073E-2</v>
      </c>
      <c r="P489" s="55" cm="1">
        <f t="array" ref="P489">(VLOOKUP($A489,'The List'!$B1:$AH671,28,FALSE)-AVERAGE('The List'!AC2:AC671))/STDEV('The List'!AC2:AC671)</f>
        <v>-0.1573116159651673</v>
      </c>
      <c r="Q489" s="55" cm="1">
        <f t="array" ref="Q489">(VLOOKUP($A489,'The List'!$B1:$AH671,29,FALSE)-AVERAGE('The List'!AD2:AD671))/STDEV('The List'!AD2:AD671)</f>
        <v>0.43397705203850673</v>
      </c>
      <c r="R489" s="55" cm="1">
        <f t="array" ref="R489">(VLOOKUP($A489,'The List'!$B1:$AH671,30,FALSE)-AVERAGE('The List'!AE2:AE671))/STDEV('The List'!AE2:AE671)</f>
        <v>-0.55976833905397316</v>
      </c>
      <c r="S489" s="55" cm="1">
        <f t="array" ref="S489">(VLOOKUP($A489,'The List'!$B1:$AH671,31,FALSE)-AVERAGE('The List'!AF2:AF671))/STDEV('The List'!AF2:AF671)</f>
        <v>-0.56276216046717653</v>
      </c>
      <c r="T489" s="55" cm="1">
        <f t="array" ref="T489">(VLOOKUP($A489,'The List'!$B1:$AH671,32,FALSE)-AVERAGE('The List'!AG2:AG671))/STDEV('The List'!AG2:AG671)</f>
        <v>-0.56343870877785329</v>
      </c>
      <c r="U489" s="55" cm="1">
        <f t="array" ref="U489">(VLOOKUP($A489,'The List'!$B1:$AH671,33,FALSE)-AVERAGE('The List'!AH2:AH671))/STDEV('The List'!AH2:AH671)</f>
        <v>6.4190729199023591E-2</v>
      </c>
      <c r="V489" s="55"/>
      <c r="W489" s="78"/>
      <c r="X489" s="57"/>
      <c r="Y489" s="57"/>
      <c r="Z489" s="57"/>
      <c r="AA489" s="57"/>
      <c r="AB489" s="57"/>
      <c r="AC489" s="60"/>
      <c r="AD489" s="61"/>
      <c r="AE489" s="55"/>
    </row>
    <row r="490" spans="1:31" ht="21.25" customHeight="1" x14ac:dyDescent="0.15">
      <c r="A490" s="10" t="s">
        <v>376</v>
      </c>
      <c r="B490" s="18" t="str" cm="1">
        <f t="array" ref="B490">VLOOKUP(A490,'Player Data'!A1:B673,2,FALSE)</f>
        <v>SEA</v>
      </c>
      <c r="C490" s="52" cm="1">
        <f t="array" ref="C490">((E490)*Settings!$C$12)+(F490*Settings!$C$2)+(G490*Settings!$C$3)+(H490*Settings!$C$4)+(I490*Settings!$C$5)+(K490*Settings!$C$9)+(N490*Settings!$C$6)+(J490*Settings!$C$8)+(O490*Settings!$C$7)+(P490*Settings!$C$14)+(Q490*Settings!$C$15)+(R490*Settings!$C$16)+(S490*Settings!$C$17)+(T490*Settings!$C$18)+(U490*Settings!$C$19)+(L490*Settings!$C$10)+(Settings!$C$11*M490)</f>
        <v>-2.0441128533344757</v>
      </c>
      <c r="D490" s="57" cm="1">
        <f t="array" ref="D490">IF(Settings!$E$12="YES",VLOOKUP(A490,'Player Data'!A1:E673,5,FALSE),82)</f>
        <v>83.93</v>
      </c>
      <c r="E490" s="55" cm="1">
        <f t="array" ref="E490">(VLOOKUP($A490,'The List'!$B1:$AH671,17,FALSE)-AVERAGE('The List'!R2:R671))/STDEV('The List'!R2:R671)</f>
        <v>1.0237417827645336</v>
      </c>
      <c r="F490" s="55" cm="1">
        <f t="array" ref="F490">(VLOOKUP($A490,'The List'!$B1:$AH671,18,FALSE)-AVERAGE('The List'!S2:S671))/STDEV('The List'!S2:S671)</f>
        <v>-1.0137780917981083</v>
      </c>
      <c r="G490" s="55" cm="1">
        <f t="array" ref="G490">(VLOOKUP($A490,'The List'!$B1:$AH671,19,FALSE)-AVERAGE('The List'!T2:T671))/STDEV('The List'!T2:T671)</f>
        <v>-0.53659352713683584</v>
      </c>
      <c r="H490" s="55" cm="1">
        <f t="array" ref="H490">(VLOOKUP($A490,'The List'!$B1:$AH671,20,FALSE)-AVERAGE('The List'!U2:U671))/STDEV('The List'!U2:U671)</f>
        <v>-0.78730578257667472</v>
      </c>
      <c r="I490" s="55" cm="1">
        <f t="array" ref="I490">(VLOOKUP($A490,'The List'!$B1:$AH671,21,FALSE)-AVERAGE('The List'!V2:V671))/STDEV('The List'!V2:V671)</f>
        <v>-0.52642567932829432</v>
      </c>
      <c r="J490" s="55" cm="1">
        <f t="array" ref="J490">(VLOOKUP($A490,'The List'!$B1:$AH671,22,FALSE)-AVERAGE('The List'!W2:W671))/STDEV('The List'!W2:W671)</f>
        <v>-0.74845719944352451</v>
      </c>
      <c r="K490" s="55" cm="1">
        <f t="array" ref="K490">(VLOOKUP($A490,'The List'!$B1:$AH671,23,FALSE)-AVERAGE('The List'!X2:X671))/STDEV('The List'!X2:X671)</f>
        <v>-0.80456814084047101</v>
      </c>
      <c r="L490" s="55" cm="1">
        <f t="array" ref="L490">(VLOOKUP($A490,'The List'!$B1:$AH671,24,FALSE)-AVERAGE('The List'!Y2:Y671))/STDEV('The List'!Y2:Y671)</f>
        <v>-0.54175752105559105</v>
      </c>
      <c r="M490" s="55" cm="1">
        <f t="array" ref="M490">(VLOOKUP($A490,'The List'!$B1:$AH671,25,FALSE)-AVERAGE('The List'!Z2:Z671))/STDEV('The List'!Z2:Z671)</f>
        <v>-0.45362858978677273</v>
      </c>
      <c r="N490" s="55" cm="1">
        <f t="array" ref="N490">(VLOOKUP($A490,'The List'!$B1:$AH671,26,FALSE)-AVERAGE('The List'!AA2:AA671))/STDEV('The List'!AA2:AA671)</f>
        <v>2.3013107580538494</v>
      </c>
      <c r="O490" s="55" cm="1">
        <f t="array" ref="O490">(VLOOKUP($A490,'The List'!$B1:$AH671,27,FALSE)-AVERAGE('The List'!AB2:AB671))/STDEV('The List'!AB2:AB671)</f>
        <v>0.38884580004506741</v>
      </c>
      <c r="P490" s="55" cm="1">
        <f t="array" ref="P490">(VLOOKUP($A490,'The List'!$B1:$AH671,28,FALSE)-AVERAGE('The List'!AC2:AC671))/STDEV('The List'!AC2:AC671)</f>
        <v>-2.015560711713047</v>
      </c>
      <c r="Q490" s="55" cm="1">
        <f t="array" ref="Q490">(VLOOKUP($A490,'The List'!$B1:$AH671,29,FALSE)-AVERAGE('The List'!AD2:AD671))/STDEV('The List'!AD2:AD671)</f>
        <v>0.55150253942843142</v>
      </c>
      <c r="R490" s="55" cm="1">
        <f t="array" ref="R490">(VLOOKUP($A490,'The List'!$B1:$AH671,30,FALSE)-AVERAGE('The List'!AE2:AE671))/STDEV('The List'!AE2:AE671)</f>
        <v>-1.0253954909779142</v>
      </c>
      <c r="S490" s="55" cm="1">
        <f t="array" ref="S490">(VLOOKUP($A490,'The List'!$B1:$AH671,31,FALSE)-AVERAGE('The List'!AF2:AF671))/STDEV('The List'!AF2:AF671)</f>
        <v>-0.5939690971349143</v>
      </c>
      <c r="T490" s="55" cm="1">
        <f t="array" ref="T490">(VLOOKUP($A490,'The List'!$B1:$AH671,32,FALSE)-AVERAGE('The List'!AG2:AG671))/STDEV('The List'!AG2:AG671)</f>
        <v>-0.64602208138248207</v>
      </c>
      <c r="U490" s="55" cm="1">
        <f t="array" ref="U490">(VLOOKUP($A490,'The List'!$B1:$AH671,33,FALSE)-AVERAGE('The List'!AH2:AH671))/STDEV('The List'!AH2:AH671)</f>
        <v>-1.2548938914719048</v>
      </c>
      <c r="V490" s="55"/>
      <c r="W490" s="78"/>
      <c r="X490" s="57"/>
      <c r="Y490" s="57"/>
      <c r="Z490" s="57"/>
      <c r="AA490" s="57"/>
      <c r="AB490" s="57"/>
      <c r="AC490" s="60"/>
      <c r="AD490" s="61"/>
      <c r="AE490" s="55"/>
    </row>
    <row r="491" spans="1:31" ht="21.25" customHeight="1" x14ac:dyDescent="0.15">
      <c r="A491" s="10" t="s">
        <v>766</v>
      </c>
      <c r="B491" s="18" t="str" cm="1">
        <f t="array" ref="B491">VLOOKUP(A491,'Player Data'!A1:B673,2,FALSE)</f>
        <v>CGY</v>
      </c>
      <c r="C491" s="52" cm="1">
        <f t="array" ref="C491">((E491)*Settings!$C$12)+(F491*Settings!$C$2)+(G491*Settings!$C$3)+(H491*Settings!$C$4)+(I491*Settings!$C$5)+(K491*Settings!$C$9)+(N491*Settings!$C$6)+(J491*Settings!$C$8)+(O491*Settings!$C$7)+(P491*Settings!$C$14)+(Q491*Settings!$C$15)+(R491*Settings!$C$16)+(S491*Settings!$C$17)+(T491*Settings!$C$18)+(U491*Settings!$C$19)+(L491*Settings!$C$10)+(Settings!$C$11*M491)</f>
        <v>-6.7907108660043427</v>
      </c>
      <c r="D491" s="57" cm="1">
        <f t="array" ref="D491">IF(Settings!$E$12="YES",VLOOKUP(A491,'Player Data'!A1:E673,5,FALSE),82)</f>
        <v>75.584999999999994</v>
      </c>
      <c r="E491" s="55" cm="1">
        <f t="array" ref="E491">(VLOOKUP($A491,'The List'!$B1:$AH671,17,FALSE)-AVERAGE('The List'!R2:R671))/STDEV('The List'!R2:R671)</f>
        <v>-1.6484896132872267</v>
      </c>
      <c r="F491" s="55" cm="1">
        <f t="array" ref="F491">(VLOOKUP($A491,'The List'!$B1:$AH671,18,FALSE)-AVERAGE('The List'!S2:S671))/STDEV('The List'!S2:S671)</f>
        <v>-0.76543684238171017</v>
      </c>
      <c r="G491" s="55" cm="1">
        <f t="array" ref="G491">(VLOOKUP($A491,'The List'!$B1:$AH671,19,FALSE)-AVERAGE('The List'!T2:T671))/STDEV('The List'!T2:T671)</f>
        <v>-0.85164781174735571</v>
      </c>
      <c r="H491" s="55" cm="1">
        <f t="array" ref="H491">(VLOOKUP($A491,'The List'!$B1:$AH671,20,FALSE)-AVERAGE('The List'!U2:U671))/STDEV('The List'!U2:U671)</f>
        <v>-0.87528965453524965</v>
      </c>
      <c r="I491" s="55" cm="1">
        <f t="array" ref="I491">(VLOOKUP($A491,'The List'!$B1:$AH671,21,FALSE)-AVERAGE('The List'!V2:V671))/STDEV('The List'!V2:V671)</f>
        <v>-0.83869757781104248</v>
      </c>
      <c r="J491" s="55" cm="1">
        <f t="array" ref="J491">(VLOOKUP($A491,'The List'!$B1:$AH671,22,FALSE)-AVERAGE('The List'!W2:W671))/STDEV('The List'!W2:W671)</f>
        <v>-0.72650882183755483</v>
      </c>
      <c r="K491" s="55" cm="1">
        <f t="array" ref="K491">(VLOOKUP($A491,'The List'!$B1:$AH671,23,FALSE)-AVERAGE('The List'!X2:X671))/STDEV('The List'!X2:X671)</f>
        <v>-0.78976371114987409</v>
      </c>
      <c r="L491" s="55" cm="1">
        <f t="array" ref="L491">(VLOOKUP($A491,'The List'!$B1:$AH671,24,FALSE)-AVERAGE('The List'!Y2:Y671))/STDEV('The List'!Y2:Y671)</f>
        <v>-0.5652040852804846</v>
      </c>
      <c r="M491" s="55" cm="1">
        <f t="array" ref="M491">(VLOOKUP($A491,'The List'!$B1:$AH671,25,FALSE)-AVERAGE('The List'!Z2:Z671))/STDEV('The List'!Z2:Z671)</f>
        <v>-0.7070902429047683</v>
      </c>
      <c r="N491" s="55" cm="1">
        <f t="array" ref="N491">(VLOOKUP($A491,'The List'!$B1:$AH671,26,FALSE)-AVERAGE('The List'!AA2:AA671))/STDEV('The List'!AA2:AA671)</f>
        <v>-1.0051788336489398</v>
      </c>
      <c r="O491" s="55" cm="1">
        <f t="array" ref="O491">(VLOOKUP($A491,'The List'!$B1:$AH671,27,FALSE)-AVERAGE('The List'!AB2:AB671))/STDEV('The List'!AB2:AB671)</f>
        <v>0.77842126800718914</v>
      </c>
      <c r="P491" s="55" cm="1">
        <f t="array" ref="P491">(VLOOKUP($A491,'The List'!$B1:$AH671,28,FALSE)-AVERAGE('The List'!AC2:AC671))/STDEV('The List'!AC2:AC671)</f>
        <v>-1.66653515133135</v>
      </c>
      <c r="Q491" s="55" cm="1">
        <f t="array" ref="Q491">(VLOOKUP($A491,'The List'!$B1:$AH671,29,FALSE)-AVERAGE('The List'!AD2:AD671))/STDEV('The List'!AD2:AD671)</f>
        <v>-0.87345093793407091</v>
      </c>
      <c r="R491" s="55" cm="1">
        <f t="array" ref="R491">(VLOOKUP($A491,'The List'!$B1:$AH671,30,FALSE)-AVERAGE('The List'!AE2:AE671))/STDEV('The List'!AE2:AE671)</f>
        <v>-0.78886961731766081</v>
      </c>
      <c r="S491" s="55" cm="1">
        <f t="array" ref="S491">(VLOOKUP($A491,'The List'!$B1:$AH671,31,FALSE)-AVERAGE('The List'!AF2:AF671))/STDEV('The List'!AF2:AF671)</f>
        <v>-0.53368276698375661</v>
      </c>
      <c r="T491" s="55" cm="1">
        <f t="array" ref="T491">(VLOOKUP($A491,'The List'!$B1:$AH671,32,FALSE)-AVERAGE('The List'!AG2:AG671))/STDEV('The List'!AG2:AG671)</f>
        <v>-0.56418804103295828</v>
      </c>
      <c r="U491" s="55" cm="1">
        <f t="array" ref="U491">(VLOOKUP($A491,'The List'!$B1:$AH671,33,FALSE)-AVERAGE('The List'!AH2:AH671))/STDEV('The List'!AH2:AH671)</f>
        <v>0.76604734382979311</v>
      </c>
      <c r="V491" s="55"/>
      <c r="W491" s="78"/>
      <c r="X491" s="57"/>
      <c r="Y491" s="57"/>
      <c r="Z491" s="57"/>
      <c r="AA491" s="57"/>
      <c r="AB491" s="57"/>
      <c r="AC491" s="60"/>
      <c r="AD491" s="61"/>
      <c r="AE491" s="55"/>
    </row>
    <row r="492" spans="1:31" ht="21.25" customHeight="1" x14ac:dyDescent="0.15">
      <c r="A492" s="10" t="s">
        <v>409</v>
      </c>
      <c r="B492" s="18" t="str" cm="1">
        <f t="array" ref="B492">VLOOKUP(A492,'Player Data'!A1:B673,2,FALSE)</f>
        <v>CGY</v>
      </c>
      <c r="C492" s="52" cm="1">
        <f t="array" ref="C492">((E492)*Settings!$C$12)+(F492*Settings!$C$2)+(G492*Settings!$C$3)+(H492*Settings!$C$4)+(I492*Settings!$C$5)+(K492*Settings!$C$9)+(N492*Settings!$C$6)+(J492*Settings!$C$8)+(O492*Settings!$C$7)+(P492*Settings!$C$14)+(Q492*Settings!$C$15)+(R492*Settings!$C$16)+(S492*Settings!$C$17)+(T492*Settings!$C$18)+(U492*Settings!$C$19)+(L492*Settings!$C$10)+(Settings!$C$11*M492)</f>
        <v>-0.96744941189707001</v>
      </c>
      <c r="D492" s="57" cm="1">
        <f t="array" ref="D492">IF(Settings!$E$12="YES",VLOOKUP(A492,'Player Data'!A1:E673,5,FALSE),82)</f>
        <v>80.525000000000006</v>
      </c>
      <c r="E492" s="55" cm="1">
        <f t="array" ref="E492">(VLOOKUP($A492,'The List'!$B1:$AH671,17,FALSE)-AVERAGE('The List'!R2:R671))/STDEV('The List'!R2:R671)</f>
        <v>0.65400737202020776</v>
      </c>
      <c r="F492" s="55" cm="1">
        <f t="array" ref="F492">(VLOOKUP($A492,'The List'!$B1:$AH671,18,FALSE)-AVERAGE('The List'!S2:S671))/STDEV('The List'!S2:S671)</f>
        <v>-0.95989269671307131</v>
      </c>
      <c r="G492" s="55" cm="1">
        <f t="array" ref="G492">(VLOOKUP($A492,'The List'!$B1:$AH671,19,FALSE)-AVERAGE('The List'!T2:T671))/STDEV('The List'!T2:T671)</f>
        <v>-0.637099109011108</v>
      </c>
      <c r="H492" s="55" cm="1">
        <f t="array" ref="H492">(VLOOKUP($A492,'The List'!$B1:$AH671,20,FALSE)-AVERAGE('The List'!U2:U671))/STDEV('The List'!U2:U671)</f>
        <v>-0.82661548546689589</v>
      </c>
      <c r="I492" s="55" cm="1">
        <f t="array" ref="I492">(VLOOKUP($A492,'The List'!$B1:$AH671,21,FALSE)-AVERAGE('The List'!V2:V671))/STDEV('The List'!V2:V671)</f>
        <v>-0.85881367819925469</v>
      </c>
      <c r="J492" s="55" cm="1">
        <f t="array" ref="J492">(VLOOKUP($A492,'The List'!$B1:$AH671,22,FALSE)-AVERAGE('The List'!W2:W671))/STDEV('The List'!W2:W671)</f>
        <v>-0.74955926604768064</v>
      </c>
      <c r="K492" s="55" cm="1">
        <f t="array" ref="K492">(VLOOKUP($A492,'The List'!$B1:$AH671,23,FALSE)-AVERAGE('The List'!X2:X671))/STDEV('The List'!X2:X671)</f>
        <v>-0.80914321215978502</v>
      </c>
      <c r="L492" s="55" cm="1">
        <f t="array" ref="L492">(VLOOKUP($A492,'The List'!$B1:$AH671,24,FALSE)-AVERAGE('The List'!Y2:Y671))/STDEV('The List'!Y2:Y671)</f>
        <v>-0.52678935152248707</v>
      </c>
      <c r="M492" s="55" cm="1">
        <f t="array" ref="M492">(VLOOKUP($A492,'The List'!$B1:$AH671,25,FALSE)-AVERAGE('The List'!Z2:Z671))/STDEV('The List'!Z2:Z671)</f>
        <v>-0.35131782856453758</v>
      </c>
      <c r="N492" s="55" cm="1">
        <f t="array" ref="N492">(VLOOKUP($A492,'The List'!$B1:$AH671,26,FALSE)-AVERAGE('The List'!AA2:AA671))/STDEV('The List'!AA2:AA671)</f>
        <v>2.0667670295862091</v>
      </c>
      <c r="O492" s="55" cm="1">
        <f t="array" ref="O492">(VLOOKUP($A492,'The List'!$B1:$AH671,27,FALSE)-AVERAGE('The List'!AB2:AB671))/STDEV('The List'!AB2:AB671)</f>
        <v>0.23745528966657586</v>
      </c>
      <c r="P492" s="55" cm="1">
        <f t="array" ref="P492">(VLOOKUP($A492,'The List'!$B1:$AH671,28,FALSE)-AVERAGE('The List'!AC2:AC671))/STDEV('The List'!AC2:AC671)</f>
        <v>-1.8469329119831697</v>
      </c>
      <c r="Q492" s="55" cm="1">
        <f t="array" ref="Q492">(VLOOKUP($A492,'The List'!$B1:$AH671,29,FALSE)-AVERAGE('The List'!AD2:AD671))/STDEV('The List'!AD2:AD671)</f>
        <v>2.0776651665831096</v>
      </c>
      <c r="R492" s="55" cm="1">
        <f t="array" ref="R492">(VLOOKUP($A492,'The List'!$B1:$AH671,30,FALSE)-AVERAGE('The List'!AE2:AE671))/STDEV('The List'!AE2:AE671)</f>
        <v>-0.96358099686855225</v>
      </c>
      <c r="S492" s="55" cm="1">
        <f t="array" ref="S492">(VLOOKUP($A492,'The List'!$B1:$AH671,31,FALSE)-AVERAGE('The List'!AF2:AF671))/STDEV('The List'!AF2:AF671)</f>
        <v>-0.5939690971349143</v>
      </c>
      <c r="T492" s="55" cm="1">
        <f t="array" ref="T492">(VLOOKUP($A492,'The List'!$B1:$AH671,32,FALSE)-AVERAGE('The List'!AG2:AG671))/STDEV('The List'!AG2:AG671)</f>
        <v>-0.64602208138248207</v>
      </c>
      <c r="U492" s="55" cm="1">
        <f t="array" ref="U492">(VLOOKUP($A492,'The List'!$B1:$AH671,33,FALSE)-AVERAGE('The List'!AH2:AH671))/STDEV('The List'!AH2:AH671)</f>
        <v>-1.2548938914719048</v>
      </c>
      <c r="V492" s="55"/>
      <c r="W492" s="78"/>
      <c r="X492" s="57"/>
      <c r="Y492" s="57"/>
      <c r="Z492" s="57"/>
      <c r="AA492" s="57"/>
      <c r="AB492" s="57"/>
      <c r="AC492" s="60"/>
      <c r="AD492" s="61"/>
      <c r="AE492" s="55"/>
    </row>
    <row r="493" spans="1:31" ht="21.25" customHeight="1" x14ac:dyDescent="0.15">
      <c r="A493" s="10" t="s">
        <v>442</v>
      </c>
      <c r="B493" s="18" t="str" cm="1">
        <f t="array" ref="B493">VLOOKUP(A493,'Player Data'!A1:B673,2,FALSE)</f>
        <v>CBJ</v>
      </c>
      <c r="C493" s="52" cm="1">
        <f t="array" ref="C493">((E493)*Settings!$C$12)+(F493*Settings!$C$2)+(G493*Settings!$C$3)+(H493*Settings!$C$4)+(I493*Settings!$C$5)+(K493*Settings!$C$9)+(N493*Settings!$C$6)+(J493*Settings!$C$8)+(O493*Settings!$C$7)+(P493*Settings!$C$14)+(Q493*Settings!$C$15)+(R493*Settings!$C$16)+(S493*Settings!$C$17)+(T493*Settings!$C$18)+(U493*Settings!$C$19)+(L493*Settings!$C$10)+(Settings!$C$11*M493)</f>
        <v>-1.3234775117539985</v>
      </c>
      <c r="D493" s="57" cm="1">
        <f t="array" ref="D493">IF(Settings!$E$12="YES",VLOOKUP(A493,'Player Data'!A1:E673,5,FALSE),82)</f>
        <v>78.084999999999994</v>
      </c>
      <c r="E493" s="55" cm="1">
        <f t="array" ref="E493">(VLOOKUP($A493,'The List'!$B1:$AH671,17,FALSE)-AVERAGE('The List'!R2:R671))/STDEV('The List'!R2:R671)</f>
        <v>0.18073009531168382</v>
      </c>
      <c r="F493" s="55" cm="1">
        <f t="array" ref="F493">(VLOOKUP($A493,'The List'!$B1:$AH671,18,FALSE)-AVERAGE('The List'!S2:S671))/STDEV('The List'!S2:S671)</f>
        <v>-0.81870234270957176</v>
      </c>
      <c r="G493" s="55" cm="1">
        <f t="array" ref="G493">(VLOOKUP($A493,'The List'!$B1:$AH671,19,FALSE)-AVERAGE('The List'!T2:T671))/STDEV('The List'!T2:T671)</f>
        <v>-0.78054604750877787</v>
      </c>
      <c r="H493" s="55" cm="1">
        <f t="array" ref="H493">(VLOOKUP($A493,'The List'!$B1:$AH671,20,FALSE)-AVERAGE('The List'!U2:U671))/STDEV('The List'!U2:U671)</f>
        <v>-0.85419976391759467</v>
      </c>
      <c r="I493" s="55" cm="1">
        <f t="array" ref="I493">(VLOOKUP($A493,'The List'!$B1:$AH671,21,FALSE)-AVERAGE('The List'!V2:V671))/STDEV('The List'!V2:V671)</f>
        <v>-0.83241912435076071</v>
      </c>
      <c r="J493" s="55" cm="1">
        <f t="array" ref="J493">(VLOOKUP($A493,'The List'!$B1:$AH671,22,FALSE)-AVERAGE('The List'!W2:W671))/STDEV('The List'!W2:W671)</f>
        <v>-0.74811482679697827</v>
      </c>
      <c r="K493" s="55" cm="1">
        <f t="array" ref="K493">(VLOOKUP($A493,'The List'!$B1:$AH671,23,FALSE)-AVERAGE('The List'!X2:X671))/STDEV('The List'!X2:X671)</f>
        <v>-0.80529218350103549</v>
      </c>
      <c r="L493" s="55" cm="1">
        <f t="array" ref="L493">(VLOOKUP($A493,'The List'!$B1:$AH671,24,FALSE)-AVERAGE('The List'!Y2:Y671))/STDEV('The List'!Y2:Y671)</f>
        <v>-0.53475346992732897</v>
      </c>
      <c r="M493" s="55" cm="1">
        <f t="array" ref="M493">(VLOOKUP($A493,'The List'!$B1:$AH671,25,FALSE)-AVERAGE('The List'!Z2:Z671))/STDEV('The List'!Z2:Z671)</f>
        <v>-0.57051700409153927</v>
      </c>
      <c r="N493" s="55" cm="1">
        <f t="array" ref="N493">(VLOOKUP($A493,'The List'!$B1:$AH671,26,FALSE)-AVERAGE('The List'!AA2:AA671))/STDEV('The List'!AA2:AA671)</f>
        <v>1.6489178316813748</v>
      </c>
      <c r="O493" s="55" cm="1">
        <f t="array" ref="O493">(VLOOKUP($A493,'The List'!$B1:$AH671,27,FALSE)-AVERAGE('The List'!AB2:AB671))/STDEV('The List'!AB2:AB671)</f>
        <v>-0.22237617533856133</v>
      </c>
      <c r="P493" s="55" cm="1">
        <f t="array" ref="P493">(VLOOKUP($A493,'The List'!$B1:$AH671,28,FALSE)-AVERAGE('The List'!AC2:AC671))/STDEV('The List'!AC2:AC671)</f>
        <v>-2.8188878338869783E-2</v>
      </c>
      <c r="Q493" s="55" cm="1">
        <f t="array" ref="Q493">(VLOOKUP($A493,'The List'!$B1:$AH671,29,FALSE)-AVERAGE('The List'!AD2:AD671))/STDEV('The List'!AD2:AD671)</f>
        <v>0.29275323297364225</v>
      </c>
      <c r="R493" s="55" cm="1">
        <f t="array" ref="R493">(VLOOKUP($A493,'The List'!$B1:$AH671,30,FALSE)-AVERAGE('The List'!AE2:AE671))/STDEV('The List'!AE2:AE671)</f>
        <v>-0.77676901137381282</v>
      </c>
      <c r="S493" s="55" cm="1">
        <f t="array" ref="S493">(VLOOKUP($A493,'The List'!$B1:$AH671,31,FALSE)-AVERAGE('The List'!AF2:AF671))/STDEV('The List'!AF2:AF671)</f>
        <v>-0.5939690971349143</v>
      </c>
      <c r="T493" s="55" cm="1">
        <f t="array" ref="T493">(VLOOKUP($A493,'The List'!$B1:$AH671,32,FALSE)-AVERAGE('The List'!AG2:AG671))/STDEV('The List'!AG2:AG671)</f>
        <v>-0.64602208138248207</v>
      </c>
      <c r="U493" s="55" cm="1">
        <f t="array" ref="U493">(VLOOKUP($A493,'The List'!$B1:$AH671,33,FALSE)-AVERAGE('The List'!AH2:AH671))/STDEV('The List'!AH2:AH671)</f>
        <v>-1.2548938914719048</v>
      </c>
      <c r="V493" s="55"/>
      <c r="W493" s="57"/>
      <c r="X493" s="55"/>
      <c r="Y493" s="55"/>
      <c r="Z493" s="55"/>
      <c r="AA493" s="55"/>
      <c r="AB493" s="55"/>
      <c r="AC493" s="55"/>
      <c r="AD493" s="55"/>
      <c r="AE493" s="55"/>
    </row>
    <row r="494" spans="1:31" ht="21.25" customHeight="1" x14ac:dyDescent="0.15">
      <c r="A494" s="10" t="s">
        <v>466</v>
      </c>
      <c r="B494" s="18" t="str" cm="1">
        <f t="array" ref="B494">VLOOKUP(A494,'Player Data'!A1:B673,2,FALSE)</f>
        <v>CAR</v>
      </c>
      <c r="C494" s="52" cm="1">
        <f t="array" ref="C494">((E494)*Settings!$C$12)+(F494*Settings!$C$2)+(G494*Settings!$C$3)+(H494*Settings!$C$4)+(I494*Settings!$C$5)+(K494*Settings!$C$9)+(N494*Settings!$C$6)+(J494*Settings!$C$8)+(O494*Settings!$C$7)+(P494*Settings!$C$14)+(Q494*Settings!$C$15)+(R494*Settings!$C$16)+(S494*Settings!$C$17)+(T494*Settings!$C$18)+(U494*Settings!$C$19)+(L494*Settings!$C$10)+(Settings!$C$11*M494)</f>
        <v>-1.1240937254164403</v>
      </c>
      <c r="D494" s="57" cm="1">
        <f t="array" ref="D494">IF(Settings!$E$12="YES",VLOOKUP(A494,'Player Data'!A1:E673,5,FALSE),82)</f>
        <v>80.842500000000001</v>
      </c>
      <c r="E494" s="55" cm="1">
        <f t="array" ref="E494">(VLOOKUP($A494,'The List'!$B1:$AH671,17,FALSE)-AVERAGE('The List'!R2:R671))/STDEV('The List'!R2:R671)</f>
        <v>0.59753005113388291</v>
      </c>
      <c r="F494" s="55" cm="1">
        <f t="array" ref="F494">(VLOOKUP($A494,'The List'!$B1:$AH671,18,FALSE)-AVERAGE('The List'!S2:S671))/STDEV('The List'!S2:S671)</f>
        <v>-0.93809283482960959</v>
      </c>
      <c r="G494" s="55" cm="1">
        <f t="array" ref="G494">(VLOOKUP($A494,'The List'!$B1:$AH671,19,FALSE)-AVERAGE('The List'!T2:T671))/STDEV('The List'!T2:T671)</f>
        <v>-0.65163608533253592</v>
      </c>
      <c r="H494" s="55" cm="1">
        <f t="array" ref="H494">(VLOOKUP($A494,'The List'!$B1:$AH671,20,FALSE)-AVERAGE('The List'!U2:U671))/STDEV('The List'!U2:U671)</f>
        <v>-0.82608704234462871</v>
      </c>
      <c r="I494" s="55" cm="1">
        <f t="array" ref="I494">(VLOOKUP($A494,'The List'!$B1:$AH671,21,FALSE)-AVERAGE('The List'!V2:V671))/STDEV('The List'!V2:V671)</f>
        <v>-0.41460941142469787</v>
      </c>
      <c r="J494" s="55" cm="1">
        <f t="array" ref="J494">(VLOOKUP($A494,'The List'!$B1:$AH671,22,FALSE)-AVERAGE('The List'!W2:W671))/STDEV('The List'!W2:W671)</f>
        <v>-0.74783469022912941</v>
      </c>
      <c r="K494" s="55" cm="1">
        <f t="array" ref="K494">(VLOOKUP($A494,'The List'!$B1:$AH671,23,FALSE)-AVERAGE('The List'!X2:X671))/STDEV('The List'!X2:X671)</f>
        <v>-0.80372523027830689</v>
      </c>
      <c r="L494" s="55" cm="1">
        <f t="array" ref="L494">(VLOOKUP($A494,'The List'!$B1:$AH671,24,FALSE)-AVERAGE('The List'!Y2:Y671))/STDEV('The List'!Y2:Y671)</f>
        <v>-0.52683843885884007</v>
      </c>
      <c r="M494" s="55" cm="1">
        <f t="array" ref="M494">(VLOOKUP($A494,'The List'!$B1:$AH671,25,FALSE)-AVERAGE('The List'!Z2:Z671))/STDEV('The List'!Z2:Z671)</f>
        <v>-0.22878684010126912</v>
      </c>
      <c r="N494" s="55" cm="1">
        <f t="array" ref="N494">(VLOOKUP($A494,'The List'!$B1:$AH671,26,FALSE)-AVERAGE('The List'!AA2:AA671))/STDEV('The List'!AA2:AA671)</f>
        <v>0.46080528977578883</v>
      </c>
      <c r="O494" s="55" cm="1">
        <f t="array" ref="O494">(VLOOKUP($A494,'The List'!$B1:$AH671,27,FALSE)-AVERAGE('The List'!AB2:AB671))/STDEV('The List'!AB2:AB671)</f>
        <v>-0.64900136643096784</v>
      </c>
      <c r="P494" s="55" cm="1">
        <f t="array" ref="P494">(VLOOKUP($A494,'The List'!$B1:$AH671,28,FALSE)-AVERAGE('The List'!AC2:AC671))/STDEV('The List'!AC2:AC671)</f>
        <v>1.2233428581526122</v>
      </c>
      <c r="Q494" s="55" cm="1">
        <f t="array" ref="Q494">(VLOOKUP($A494,'The List'!$B1:$AH671,29,FALSE)-AVERAGE('The List'!AD2:AD671))/STDEV('The List'!AD2:AD671)</f>
        <v>-1.7831147969079913E-4</v>
      </c>
      <c r="R494" s="55" cm="1">
        <f t="array" ref="R494">(VLOOKUP($A494,'The List'!$B1:$AH671,30,FALSE)-AVERAGE('The List'!AE2:AE671))/STDEV('The List'!AE2:AE671)</f>
        <v>-0.86834703238047228</v>
      </c>
      <c r="S494" s="55" cm="1">
        <f t="array" ref="S494">(VLOOKUP($A494,'The List'!$B1:$AH671,31,FALSE)-AVERAGE('The List'!AF2:AF671))/STDEV('The List'!AF2:AF671)</f>
        <v>-0.5939690971349143</v>
      </c>
      <c r="T494" s="55" cm="1">
        <f t="array" ref="T494">(VLOOKUP($A494,'The List'!$B1:$AH671,32,FALSE)-AVERAGE('The List'!AG2:AG671))/STDEV('The List'!AG2:AG671)</f>
        <v>-0.64602208138248207</v>
      </c>
      <c r="U494" s="55" cm="1">
        <f t="array" ref="U494">(VLOOKUP($A494,'The List'!$B1:$AH671,33,FALSE)-AVERAGE('The List'!AH2:AH671))/STDEV('The List'!AH2:AH671)</f>
        <v>-1.2548938914719048</v>
      </c>
      <c r="V494" s="55"/>
      <c r="W494" s="78"/>
      <c r="X494" s="57"/>
      <c r="Y494" s="57"/>
      <c r="Z494" s="57"/>
      <c r="AA494" s="57"/>
      <c r="AB494" s="57"/>
      <c r="AC494" s="60"/>
      <c r="AD494" s="61"/>
      <c r="AE494" s="55"/>
    </row>
    <row r="495" spans="1:31" ht="21.25" customHeight="1" x14ac:dyDescent="0.15">
      <c r="A495" s="10" t="s">
        <v>508</v>
      </c>
      <c r="B495" s="18" t="str" cm="1">
        <f t="array" ref="B495">VLOOKUP(A495,'Player Data'!A1:B673,2,FALSE)</f>
        <v>VAN</v>
      </c>
      <c r="C495" s="52" cm="1">
        <f t="array" ref="C495">((E495)*Settings!$C$12)+(F495*Settings!$C$2)+(G495*Settings!$C$3)+(H495*Settings!$C$4)+(I495*Settings!$C$5)+(K495*Settings!$C$9)+(N495*Settings!$C$6)+(J495*Settings!$C$8)+(O495*Settings!$C$7)+(P495*Settings!$C$14)+(Q495*Settings!$C$15)+(R495*Settings!$C$16)+(S495*Settings!$C$17)+(T495*Settings!$C$18)+(U495*Settings!$C$19)+(L495*Settings!$C$10)+(Settings!$C$11*M495)</f>
        <v>-4.7740589617095255</v>
      </c>
      <c r="D495" s="57" cm="1">
        <f t="array" ref="D495">IF(Settings!$E$12="YES",VLOOKUP(A495,'Player Data'!A1:E673,5,FALSE),82)</f>
        <v>71.174999999999997</v>
      </c>
      <c r="E495" s="55" cm="1">
        <f t="array" ref="E495">(VLOOKUP($A495,'The List'!$B1:$AH671,17,FALSE)-AVERAGE('The List'!R2:R671))/STDEV('The List'!R2:R671)</f>
        <v>0.34627302190652054</v>
      </c>
      <c r="F495" s="55" cm="1">
        <f t="array" ref="F495">(VLOOKUP($A495,'The List'!$B1:$AH671,18,FALSE)-AVERAGE('The List'!S2:S671))/STDEV('The List'!S2:S671)</f>
        <v>-0.89217166381706026</v>
      </c>
      <c r="G495" s="55" cm="1">
        <f t="array" ref="G495">(VLOOKUP($A495,'The List'!$B1:$AH671,19,FALSE)-AVERAGE('The List'!T2:T671))/STDEV('The List'!T2:T671)</f>
        <v>-0.84510892408351479</v>
      </c>
      <c r="H495" s="55" cm="1">
        <f t="array" ref="H495">(VLOOKUP($A495,'The List'!$B1:$AH671,20,FALSE)-AVERAGE('The List'!U2:U671))/STDEV('The List'!U2:U671)</f>
        <v>-0.92740621207665608</v>
      </c>
      <c r="I495" s="55" cm="1">
        <f t="array" ref="I495">(VLOOKUP($A495,'The List'!$B1:$AH671,21,FALSE)-AVERAGE('The List'!V2:V671))/STDEV('The List'!V2:V671)</f>
        <v>-0.99386201261623819</v>
      </c>
      <c r="J495" s="55" cm="1">
        <f t="array" ref="J495">(VLOOKUP($A495,'The List'!$B1:$AH671,22,FALSE)-AVERAGE('The List'!W2:W671))/STDEV('The List'!W2:W671)</f>
        <v>-0.74711704021485226</v>
      </c>
      <c r="K495" s="55" cm="1">
        <f t="array" ref="K495">(VLOOKUP($A495,'The List'!$B1:$AH671,23,FALSE)-AVERAGE('The List'!X2:X671))/STDEV('The List'!X2:X671)</f>
        <v>-0.80354443627099081</v>
      </c>
      <c r="L495" s="55" cm="1">
        <f t="array" ref="L495">(VLOOKUP($A495,'The List'!$B1:$AH671,24,FALSE)-AVERAGE('The List'!Y2:Y671))/STDEV('The List'!Y2:Y671)</f>
        <v>-0.4991038763668264</v>
      </c>
      <c r="M495" s="55" cm="1">
        <f t="array" ref="M495">(VLOOKUP($A495,'The List'!$B1:$AH671,25,FALSE)-AVERAGE('The List'!Z2:Z671))/STDEV('The List'!Z2:Z671)</f>
        <v>-0.44802730960297504</v>
      </c>
      <c r="N495" s="55" cm="1">
        <f t="array" ref="N495">(VLOOKUP($A495,'The List'!$B1:$AH671,26,FALSE)-AVERAGE('The List'!AA2:AA671))/STDEV('The List'!AA2:AA671)</f>
        <v>0.89490162091895653</v>
      </c>
      <c r="O495" s="55" cm="1">
        <f t="array" ref="O495">(VLOOKUP($A495,'The List'!$B1:$AH671,27,FALSE)-AVERAGE('The List'!AB2:AB671))/STDEV('The List'!AB2:AB671)</f>
        <v>0.88789842760549598</v>
      </c>
      <c r="P495" s="55" cm="1">
        <f t="array" ref="P495">(VLOOKUP($A495,'The List'!$B1:$AH671,28,FALSE)-AVERAGE('The List'!AC2:AC671))/STDEV('The List'!AC2:AC671)</f>
        <v>-2.4838053685417574</v>
      </c>
      <c r="Q495" s="55" cm="1">
        <f t="array" ref="Q495">(VLOOKUP($A495,'The List'!$B1:$AH671,29,FALSE)-AVERAGE('The List'!AD2:AD671))/STDEV('The List'!AD2:AD671)</f>
        <v>0.34953182270107963</v>
      </c>
      <c r="R495" s="55" cm="1">
        <f t="array" ref="R495">(VLOOKUP($A495,'The List'!$B1:$AH671,30,FALSE)-AVERAGE('The List'!AE2:AE671))/STDEV('The List'!AE2:AE671)</f>
        <v>-0.96217784340846924</v>
      </c>
      <c r="S495" s="55" cm="1">
        <f t="array" ref="S495">(VLOOKUP($A495,'The List'!$B1:$AH671,31,FALSE)-AVERAGE('The List'!AF2:AF671))/STDEV('The List'!AF2:AF671)</f>
        <v>-0.5939690971349143</v>
      </c>
      <c r="T495" s="55" cm="1">
        <f t="array" ref="T495">(VLOOKUP($A495,'The List'!$B1:$AH671,32,FALSE)-AVERAGE('The List'!AG2:AG671))/STDEV('The List'!AG2:AG671)</f>
        <v>-0.64602208138248207</v>
      </c>
      <c r="U495" s="55" cm="1">
        <f t="array" ref="U495">(VLOOKUP($A495,'The List'!$B1:$AH671,33,FALSE)-AVERAGE('The List'!AH2:AH671))/STDEV('The List'!AH2:AH671)</f>
        <v>-1.2548938914719048</v>
      </c>
      <c r="V495" s="55"/>
      <c r="W495" s="57"/>
      <c r="X495" s="55"/>
      <c r="Y495" s="55"/>
      <c r="Z495" s="55"/>
      <c r="AA495" s="55"/>
      <c r="AB495" s="55"/>
      <c r="AC495" s="55"/>
      <c r="AD495" s="55"/>
      <c r="AE495" s="55"/>
    </row>
    <row r="496" spans="1:31" ht="21.25" customHeight="1" x14ac:dyDescent="0.15">
      <c r="A496" s="10" t="s">
        <v>368</v>
      </c>
      <c r="B496" s="18" t="str" cm="1">
        <f t="array" ref="B496">VLOOKUP(A496,'Player Data'!A1:B673,2,FALSE)</f>
        <v>VGK</v>
      </c>
      <c r="C496" s="52" cm="1">
        <f t="array" ref="C496">((E496)*Settings!$C$12)+(F496*Settings!$C$2)+(G496*Settings!$C$3)+(H496*Settings!$C$4)+(I496*Settings!$C$5)+(K496*Settings!$C$9)+(N496*Settings!$C$6)+(J496*Settings!$C$8)+(O496*Settings!$C$7)+(P496*Settings!$C$14)+(Q496*Settings!$C$15)+(R496*Settings!$C$16)+(S496*Settings!$C$17)+(T496*Settings!$C$18)+(U496*Settings!$C$19)+(L496*Settings!$C$10)+(Settings!$C$11*M496)</f>
        <v>0.94885667280666075</v>
      </c>
      <c r="D496" s="57" cm="1">
        <f t="array" ref="D496">IF(Settings!$E$12="YES",VLOOKUP(A496,'Player Data'!A1:E673,5,FALSE),82)</f>
        <v>80.657499999999999</v>
      </c>
      <c r="E496" s="55" cm="1">
        <f t="array" ref="E496">(VLOOKUP($A496,'The List'!$B1:$AH671,17,FALSE)-AVERAGE('The List'!R2:R671))/STDEV('The List'!R2:R671)</f>
        <v>0.92278883622241115</v>
      </c>
      <c r="F496" s="55" cm="1">
        <f t="array" ref="F496">(VLOOKUP($A496,'The List'!$B1:$AH671,18,FALSE)-AVERAGE('The List'!S2:S671))/STDEV('The List'!S2:S671)</f>
        <v>-0.92957799250630635</v>
      </c>
      <c r="G496" s="55" cm="1">
        <f t="array" ref="G496">(VLOOKUP($A496,'The List'!$B1:$AH671,19,FALSE)-AVERAGE('The List'!T2:T671))/STDEV('The List'!T2:T671)</f>
        <v>-0.66842157815404768</v>
      </c>
      <c r="H496" s="55" cm="1">
        <f t="array" ref="H496">(VLOOKUP($A496,'The List'!$B1:$AH671,20,FALSE)-AVERAGE('The List'!U2:U671))/STDEV('The List'!U2:U671)</f>
        <v>-0.832867178418219</v>
      </c>
      <c r="I496" s="55" cm="1">
        <f t="array" ref="I496">(VLOOKUP($A496,'The List'!$B1:$AH671,21,FALSE)-AVERAGE('The List'!V2:V671))/STDEV('The List'!V2:V671)</f>
        <v>-0.54718714067239982</v>
      </c>
      <c r="J496" s="55" cm="1">
        <f t="array" ref="J496">(VLOOKUP($A496,'The List'!$B1:$AH671,22,FALSE)-AVERAGE('The List'!W2:W671))/STDEV('The List'!W2:W671)</f>
        <v>-0.74816294732186917</v>
      </c>
      <c r="K496" s="55" cm="1">
        <f t="array" ref="K496">(VLOOKUP($A496,'The List'!$B1:$AH671,23,FALSE)-AVERAGE('The List'!X2:X671))/STDEV('The List'!X2:X671)</f>
        <v>-0.80542127932542795</v>
      </c>
      <c r="L496" s="55" cm="1">
        <f t="array" ref="L496">(VLOOKUP($A496,'The List'!$B1:$AH671,24,FALSE)-AVERAGE('The List'!Y2:Y671))/STDEV('The List'!Y2:Y671)</f>
        <v>-9.8396775846883083E-2</v>
      </c>
      <c r="M496" s="55" cm="1">
        <f t="array" ref="M496">(VLOOKUP($A496,'The List'!$B1:$AH671,25,FALSE)-AVERAGE('The List'!Z2:Z671))/STDEV('The List'!Z2:Z671)</f>
        <v>0.1290537443711898</v>
      </c>
      <c r="N496" s="55" cm="1">
        <f t="array" ref="N496">(VLOOKUP($A496,'The List'!$B1:$AH671,26,FALSE)-AVERAGE('The List'!AA2:AA671))/STDEV('The List'!AA2:AA671)</f>
        <v>2.6358675621508079</v>
      </c>
      <c r="O496" s="55" cm="1">
        <f t="array" ref="O496">(VLOOKUP($A496,'The List'!$B1:$AH671,27,FALSE)-AVERAGE('The List'!AB2:AB671))/STDEV('The List'!AB2:AB671)</f>
        <v>0.78949236799918776</v>
      </c>
      <c r="P496" s="55" cm="1">
        <f t="array" ref="P496">(VLOOKUP($A496,'The List'!$B1:$AH671,28,FALSE)-AVERAGE('The List'!AC2:AC671))/STDEV('The List'!AC2:AC671)</f>
        <v>1.0629972491043613</v>
      </c>
      <c r="Q496" s="55" cm="1">
        <f t="array" ref="Q496">(VLOOKUP($A496,'The List'!$B1:$AH671,29,FALSE)-AVERAGE('The List'!AD2:AD671))/STDEV('The List'!AD2:AD671)</f>
        <v>0.20059985220967344</v>
      </c>
      <c r="R496" s="55" cm="1">
        <f t="array" ref="R496">(VLOOKUP($A496,'The List'!$B1:$AH671,30,FALSE)-AVERAGE('The List'!AE2:AE671))/STDEV('The List'!AE2:AE671)</f>
        <v>-0.80663330327304583</v>
      </c>
      <c r="S496" s="55" cm="1">
        <f t="array" ref="S496">(VLOOKUP($A496,'The List'!$B1:$AH671,31,FALSE)-AVERAGE('The List'!AF2:AF671))/STDEV('The List'!AF2:AF671)</f>
        <v>-0.5939690971349143</v>
      </c>
      <c r="T496" s="55" cm="1">
        <f t="array" ref="T496">(VLOOKUP($A496,'The List'!$B1:$AH671,32,FALSE)-AVERAGE('The List'!AG2:AG671))/STDEV('The List'!AG2:AG671)</f>
        <v>-0.64602208138248207</v>
      </c>
      <c r="U496" s="55" cm="1">
        <f t="array" ref="U496">(VLOOKUP($A496,'The List'!$B1:$AH671,33,FALSE)-AVERAGE('The List'!AH2:AH671))/STDEV('The List'!AH2:AH671)</f>
        <v>-1.2548938914719048</v>
      </c>
      <c r="V496" s="55"/>
      <c r="W496" s="78"/>
      <c r="X496" s="57"/>
      <c r="Y496" s="57"/>
      <c r="Z496" s="57"/>
      <c r="AA496" s="57"/>
      <c r="AB496" s="57"/>
      <c r="AC496" s="60"/>
      <c r="AD496" s="61"/>
      <c r="AE496" s="55"/>
    </row>
    <row r="497" spans="1:31" ht="21.25" customHeight="1" x14ac:dyDescent="0.15">
      <c r="A497" s="10" t="s">
        <v>432</v>
      </c>
      <c r="B497" s="18" t="str" cm="1">
        <f t="array" ref="B497">VLOOKUP(A497,'Player Data'!A1:B673,2,FALSE)</f>
        <v>OTT</v>
      </c>
      <c r="C497" s="52" cm="1">
        <f t="array" ref="C497">((E497)*Settings!$C$12)+(F497*Settings!$C$2)+(G497*Settings!$C$3)+(H497*Settings!$C$4)+(I497*Settings!$C$5)+(K497*Settings!$C$9)+(N497*Settings!$C$6)+(J497*Settings!$C$8)+(O497*Settings!$C$7)+(P497*Settings!$C$14)+(Q497*Settings!$C$15)+(R497*Settings!$C$16)+(S497*Settings!$C$17)+(T497*Settings!$C$18)+(U497*Settings!$C$19)+(L497*Settings!$C$10)+(Settings!$C$11*M497)</f>
        <v>-0.96871587478411192</v>
      </c>
      <c r="D497" s="57" cm="1">
        <f t="array" ref="D497">IF(Settings!$E$12="YES",VLOOKUP(A497,'Player Data'!A1:E673,5,FALSE),82)</f>
        <v>79.787499999999994</v>
      </c>
      <c r="E497" s="55" cm="1">
        <f t="array" ref="E497">(VLOOKUP($A497,'The List'!$B1:$AH671,17,FALSE)-AVERAGE('The List'!R2:R671))/STDEV('The List'!R2:R671)</f>
        <v>0.13751311667558758</v>
      </c>
      <c r="F497" s="55" cm="1">
        <f t="array" ref="F497">(VLOOKUP($A497,'The List'!$B1:$AH671,18,FALSE)-AVERAGE('The List'!S2:S671))/STDEV('The List'!S2:S671)</f>
        <v>-0.97174727338096367</v>
      </c>
      <c r="G497" s="55" cm="1">
        <f t="array" ref="G497">(VLOOKUP($A497,'The List'!$B1:$AH671,19,FALSE)-AVERAGE('The List'!T2:T671))/STDEV('The List'!T2:T671)</f>
        <v>-0.65452186046875083</v>
      </c>
      <c r="H497" s="55" cm="1">
        <f t="array" ref="H497">(VLOOKUP($A497,'The List'!$B1:$AH671,20,FALSE)-AVERAGE('The List'!U2:U671))/STDEV('The List'!U2:U671)</f>
        <v>-0.8428339219629265</v>
      </c>
      <c r="I497" s="55" cm="1">
        <f t="array" ref="I497">(VLOOKUP($A497,'The List'!$B1:$AH671,21,FALSE)-AVERAGE('The List'!V2:V671))/STDEV('The List'!V2:V671)</f>
        <v>-0.53439900234032678</v>
      </c>
      <c r="J497" s="55" cm="1">
        <f t="array" ref="J497">(VLOOKUP($A497,'The List'!$B1:$AH671,22,FALSE)-AVERAGE('The List'!W2:W671))/STDEV('The List'!W2:W671)</f>
        <v>-0.74451309072076022</v>
      </c>
      <c r="K497" s="55" cm="1">
        <f t="array" ref="K497">(VLOOKUP($A497,'The List'!$B1:$AH671,23,FALSE)-AVERAGE('The List'!X2:X671))/STDEV('The List'!X2:X671)</f>
        <v>-0.79600928788624481</v>
      </c>
      <c r="L497" s="55" cm="1">
        <f t="array" ref="L497">(VLOOKUP($A497,'The List'!$B1:$AH671,24,FALSE)-AVERAGE('The List'!Y2:Y671))/STDEV('The List'!Y2:Y671)</f>
        <v>-0.51676725669374357</v>
      </c>
      <c r="M497" s="55" cm="1">
        <f t="array" ref="M497">(VLOOKUP($A497,'The List'!$B1:$AH671,25,FALSE)-AVERAGE('The List'!Z2:Z671))/STDEV('The List'!Z2:Z671)</f>
        <v>1.0758741622348</v>
      </c>
      <c r="N497" s="55" cm="1">
        <f t="array" ref="N497">(VLOOKUP($A497,'The List'!$B1:$AH671,26,FALSE)-AVERAGE('The List'!AA2:AA671))/STDEV('The List'!AA2:AA671)</f>
        <v>1.1933785654918789</v>
      </c>
      <c r="O497" s="55" cm="1">
        <f t="array" ref="O497">(VLOOKUP($A497,'The List'!$B1:$AH671,27,FALSE)-AVERAGE('The List'!AB2:AB671))/STDEV('The List'!AB2:AB671)</f>
        <v>0.79646519681063943</v>
      </c>
      <c r="P497" s="55" cm="1">
        <f t="array" ref="P497">(VLOOKUP($A497,'The List'!$B1:$AH671,28,FALSE)-AVERAGE('The List'!AC2:AC671))/STDEV('The List'!AC2:AC671)</f>
        <v>0.15152476747994523</v>
      </c>
      <c r="Q497" s="55" cm="1">
        <f t="array" ref="Q497">(VLOOKUP($A497,'The List'!$B1:$AH671,29,FALSE)-AVERAGE('The List'!AD2:AD671))/STDEV('The List'!AD2:AD671)</f>
        <v>0.6430582163203501</v>
      </c>
      <c r="R497" s="55" cm="1">
        <f t="array" ref="R497">(VLOOKUP($A497,'The List'!$B1:$AH671,30,FALSE)-AVERAGE('The List'!AE2:AE671))/STDEV('The List'!AE2:AE671)</f>
        <v>-0.8903359257912854</v>
      </c>
      <c r="S497" s="55" cm="1">
        <f t="array" ref="S497">(VLOOKUP($A497,'The List'!$B1:$AH671,31,FALSE)-AVERAGE('The List'!AF2:AF671))/STDEV('The List'!AF2:AF671)</f>
        <v>-0.5939690971349143</v>
      </c>
      <c r="T497" s="55" cm="1">
        <f t="array" ref="T497">(VLOOKUP($A497,'The List'!$B1:$AH671,32,FALSE)-AVERAGE('The List'!AG2:AG671))/STDEV('The List'!AG2:AG671)</f>
        <v>-0.64602208138248207</v>
      </c>
      <c r="U497" s="55" cm="1">
        <f t="array" ref="U497">(VLOOKUP($A497,'The List'!$B1:$AH671,33,FALSE)-AVERAGE('The List'!AH2:AH671))/STDEV('The List'!AH2:AH671)</f>
        <v>-1.2548938914719048</v>
      </c>
      <c r="V497" s="55"/>
      <c r="W497" s="78"/>
      <c r="X497" s="57"/>
      <c r="Y497" s="57"/>
      <c r="Z497" s="57"/>
      <c r="AA497" s="57"/>
      <c r="AB497" s="57"/>
      <c r="AC497" s="60"/>
      <c r="AD497" s="61"/>
      <c r="AE497" s="55"/>
    </row>
    <row r="498" spans="1:31" ht="21.25" customHeight="1" x14ac:dyDescent="0.15">
      <c r="A498" s="10" t="s">
        <v>726</v>
      </c>
      <c r="B498" s="18" t="str" cm="1">
        <f t="array" ref="B498">VLOOKUP(A498,'Player Data'!A1:B673,2,FALSE)</f>
        <v>TOR</v>
      </c>
      <c r="C498" s="52" cm="1">
        <f t="array" ref="C498">((E498)*Settings!$C$12)+(F498*Settings!$C$2)+(G498*Settings!$C$3)+(H498*Settings!$C$4)+(I498*Settings!$C$5)+(K498*Settings!$C$9)+(N498*Settings!$C$6)+(J498*Settings!$C$8)+(O498*Settings!$C$7)+(P498*Settings!$C$14)+(Q498*Settings!$C$15)+(R498*Settings!$C$16)+(S498*Settings!$C$17)+(T498*Settings!$C$18)+(U498*Settings!$C$19)+(L498*Settings!$C$10)+(Settings!$C$11*M498)</f>
        <v>-4.9342018716550449</v>
      </c>
      <c r="D498" s="57" cm="1">
        <f t="array" ref="D498">IF(Settings!$E$12="YES",VLOOKUP(A498,'Player Data'!A1:E673,5,FALSE),82)</f>
        <v>77.402500000000003</v>
      </c>
      <c r="E498" s="55" cm="1">
        <f t="array" ref="E498">(VLOOKUP($A498,'The List'!$B1:$AH671,17,FALSE)-AVERAGE('The List'!R2:R671))/STDEV('The List'!R2:R671)</f>
        <v>-1.3226039964249328</v>
      </c>
      <c r="F498" s="55" cm="1">
        <f t="array" ref="F498">(VLOOKUP($A498,'The List'!$B1:$AH671,18,FALSE)-AVERAGE('The List'!S2:S671))/STDEV('The List'!S2:S671)</f>
        <v>-0.61812238987293</v>
      </c>
      <c r="G498" s="55" cm="1">
        <f t="array" ref="G498">(VLOOKUP($A498,'The List'!$B1:$AH671,19,FALSE)-AVERAGE('The List'!T2:T671))/STDEV('The List'!T2:T671)</f>
        <v>-0.94818657530675499</v>
      </c>
      <c r="H498" s="55" cm="1">
        <f t="array" ref="H498">(VLOOKUP($A498,'The List'!$B1:$AH671,20,FALSE)-AVERAGE('The List'!U2:U671))/STDEV('The List'!U2:U671)</f>
        <v>-0.87065180925647057</v>
      </c>
      <c r="I498" s="55" cm="1">
        <f t="array" ref="I498">(VLOOKUP($A498,'The List'!$B1:$AH671,21,FALSE)-AVERAGE('The List'!V2:V671))/STDEV('The List'!V2:V671)</f>
        <v>-0.85972272949915096</v>
      </c>
      <c r="J498" s="55" cm="1">
        <f t="array" ref="J498">(VLOOKUP($A498,'The List'!$B1:$AH671,22,FALSE)-AVERAGE('The List'!W2:W671))/STDEV('The List'!W2:W671)</f>
        <v>-0.74738464501074642</v>
      </c>
      <c r="K498" s="55" cm="1">
        <f t="array" ref="K498">(VLOOKUP($A498,'The List'!$B1:$AH671,23,FALSE)-AVERAGE('The List'!X2:X671))/STDEV('The List'!X2:X671)</f>
        <v>-0.80972144006739111</v>
      </c>
      <c r="L498" s="55" cm="1">
        <f t="array" ref="L498">(VLOOKUP($A498,'The List'!$B1:$AH671,24,FALSE)-AVERAGE('The List'!Y2:Y671))/STDEV('The List'!Y2:Y671)</f>
        <v>2.8995443145730477</v>
      </c>
      <c r="M498" s="55" cm="1">
        <f t="array" ref="M498">(VLOOKUP($A498,'The List'!$B1:$AH671,25,FALSE)-AVERAGE('The List'!Z2:Z671))/STDEV('The List'!Z2:Z671)</f>
        <v>1.4918337654846154</v>
      </c>
      <c r="N498" s="55" cm="1">
        <f t="array" ref="N498">(VLOOKUP($A498,'The List'!$B1:$AH671,26,FALSE)-AVERAGE('The List'!AA2:AA671))/STDEV('The List'!AA2:AA671)</f>
        <v>-0.30186341121113325</v>
      </c>
      <c r="O498" s="55" cm="1">
        <f t="array" ref="O498">(VLOOKUP($A498,'The List'!$B1:$AH671,27,FALSE)-AVERAGE('The List'!AB2:AB671))/STDEV('The List'!AB2:AB671)</f>
        <v>1.7621223739651244</v>
      </c>
      <c r="P498" s="55" cm="1">
        <f t="array" ref="P498">(VLOOKUP($A498,'The List'!$B1:$AH671,28,FALSE)-AVERAGE('The List'!AC2:AC671))/STDEV('The List'!AC2:AC671)</f>
        <v>-5.2775045719796174E-2</v>
      </c>
      <c r="Q498" s="55" cm="1">
        <f t="array" ref="Q498">(VLOOKUP($A498,'The List'!$B1:$AH671,29,FALSE)-AVERAGE('The List'!AD2:AD671))/STDEV('The List'!AD2:AD671)</f>
        <v>-1.343810279977889</v>
      </c>
      <c r="R498" s="55" cm="1">
        <f t="array" ref="R498">(VLOOKUP($A498,'The List'!$B1:$AH671,30,FALSE)-AVERAGE('The List'!AE2:AE671))/STDEV('The List'!AE2:AE671)</f>
        <v>-0.69046315062128572</v>
      </c>
      <c r="S498" s="55" cm="1">
        <f t="array" ref="S498">(VLOOKUP($A498,'The List'!$B1:$AH671,31,FALSE)-AVERAGE('The List'!AF2:AF671))/STDEV('The List'!AF2:AF671)</f>
        <v>-0.32626415584890084</v>
      </c>
      <c r="T498" s="55" cm="1">
        <f t="array" ref="T498">(VLOOKUP($A498,'The List'!$B1:$AH671,32,FALSE)-AVERAGE('The List'!AG2:AG671))/STDEV('The List'!AG2:AG671)</f>
        <v>-0.25588416421858601</v>
      </c>
      <c r="U498" s="55" cm="1">
        <f t="array" ref="U498">(VLOOKUP($A498,'The List'!$B1:$AH671,33,FALSE)-AVERAGE('The List'!AH2:AH671))/STDEV('The List'!AH2:AH671)</f>
        <v>0.68598809141578931</v>
      </c>
      <c r="V498" s="55"/>
      <c r="W498" s="78"/>
      <c r="X498" s="57"/>
      <c r="Y498" s="57"/>
      <c r="Z498" s="57"/>
      <c r="AA498" s="57"/>
      <c r="AB498" s="57"/>
      <c r="AC498" s="60"/>
      <c r="AD498" s="61"/>
      <c r="AE498" s="55"/>
    </row>
    <row r="499" spans="1:31" ht="21.25" customHeight="1" x14ac:dyDescent="0.15">
      <c r="A499" s="10" t="s">
        <v>518</v>
      </c>
      <c r="B499" s="18" t="str" cm="1">
        <f t="array" ref="B499">VLOOKUP(A499,'Player Data'!A1:B673,2,FALSE)</f>
        <v>N.J</v>
      </c>
      <c r="C499" s="52" cm="1">
        <f t="array" ref="C499">((E499)*Settings!$C$12)+(F499*Settings!$C$2)+(G499*Settings!$C$3)+(H499*Settings!$C$4)+(I499*Settings!$C$5)+(K499*Settings!$C$9)+(N499*Settings!$C$6)+(J499*Settings!$C$8)+(O499*Settings!$C$7)+(P499*Settings!$C$14)+(Q499*Settings!$C$15)+(R499*Settings!$C$16)+(S499*Settings!$C$17)+(T499*Settings!$C$18)+(U499*Settings!$C$19)+(L499*Settings!$C$10)+(Settings!$C$11*M499)</f>
        <v>-1.1209226445324476</v>
      </c>
      <c r="D499" s="57" cm="1">
        <f t="array" ref="D499">IF(Settings!$E$12="YES",VLOOKUP(A499,'Player Data'!A1:E673,5,FALSE),82)</f>
        <v>73.372500000000002</v>
      </c>
      <c r="E499" s="55" cm="1">
        <f t="array" ref="E499">(VLOOKUP($A499,'The List'!$B1:$AH671,17,FALSE)-AVERAGE('The List'!R2:R671))/STDEV('The List'!R2:R671)</f>
        <v>0.63802991095812012</v>
      </c>
      <c r="F499" s="55" cm="1">
        <f t="array" ref="F499">(VLOOKUP($A499,'The List'!$B1:$AH671,18,FALSE)-AVERAGE('The List'!S2:S671))/STDEV('The List'!S2:S671)</f>
        <v>-1.1457998719931393</v>
      </c>
      <c r="G499" s="55" cm="1">
        <f t="array" ref="G499">(VLOOKUP($A499,'The List'!$B1:$AH671,19,FALSE)-AVERAGE('The List'!T2:T671))/STDEV('The List'!T2:T671)</f>
        <v>-0.64764729258451015</v>
      </c>
      <c r="H499" s="55" cm="1">
        <f t="array" ref="H499">(VLOOKUP($A499,'The List'!$B1:$AH671,20,FALSE)-AVERAGE('The List'!U2:U671))/STDEV('The List'!U2:U671)</f>
        <v>-0.91573320683219872</v>
      </c>
      <c r="I499" s="55" cm="1">
        <f t="array" ref="I499">(VLOOKUP($A499,'The List'!$B1:$AH671,21,FALSE)-AVERAGE('The List'!V2:V671))/STDEV('The List'!V2:V671)</f>
        <v>-1.032145660165052</v>
      </c>
      <c r="J499" s="55" cm="1">
        <f t="array" ref="J499">(VLOOKUP($A499,'The List'!$B1:$AH671,22,FALSE)-AVERAGE('The List'!W2:W671))/STDEV('The List'!W2:W671)</f>
        <v>-0.74874090257612569</v>
      </c>
      <c r="K499" s="55" cm="1">
        <f t="array" ref="K499">(VLOOKUP($A499,'The List'!$B1:$AH671,23,FALSE)-AVERAGE('The List'!X2:X671))/STDEV('The List'!X2:X671)</f>
        <v>-0.80604003329934792</v>
      </c>
      <c r="L499" s="55" cm="1">
        <f t="array" ref="L499">(VLOOKUP($A499,'The List'!$B1:$AH671,24,FALSE)-AVERAGE('The List'!Y2:Y671))/STDEV('The List'!Y2:Y671)</f>
        <v>-0.54169474624319658</v>
      </c>
      <c r="M499" s="55" cm="1">
        <f t="array" ref="M499">(VLOOKUP($A499,'The List'!$B1:$AH671,25,FALSE)-AVERAGE('The List'!Z2:Z671))/STDEV('The List'!Z2:Z671)</f>
        <v>-0.57848617531266133</v>
      </c>
      <c r="N499" s="55" cm="1">
        <f t="array" ref="N499">(VLOOKUP($A499,'The List'!$B1:$AH671,26,FALSE)-AVERAGE('The List'!AA2:AA671))/STDEV('The List'!AA2:AA671)</f>
        <v>0.81022098679224475</v>
      </c>
      <c r="O499" s="55" cm="1">
        <f t="array" ref="O499">(VLOOKUP($A499,'The List'!$B1:$AH671,27,FALSE)-AVERAGE('The List'!AB2:AB671))/STDEV('The List'!AB2:AB671)</f>
        <v>0.22473463487768175</v>
      </c>
      <c r="P499" s="55" cm="1">
        <f t="array" ref="P499">(VLOOKUP($A499,'The List'!$B1:$AH671,28,FALSE)-AVERAGE('The List'!AC2:AC671))/STDEV('The List'!AC2:AC671)</f>
        <v>-5.818104984016105E-2</v>
      </c>
      <c r="Q499" s="55" cm="1">
        <f t="array" ref="Q499">(VLOOKUP($A499,'The List'!$B1:$AH671,29,FALSE)-AVERAGE('The List'!AD2:AD671))/STDEV('The List'!AD2:AD671)</f>
        <v>1.7586702765575177</v>
      </c>
      <c r="R499" s="55" cm="1">
        <f t="array" ref="R499">(VLOOKUP($A499,'The List'!$B1:$AH671,30,FALSE)-AVERAGE('The List'!AE2:AE671))/STDEV('The List'!AE2:AE671)</f>
        <v>-1.1225962893651478</v>
      </c>
      <c r="S499" s="55" cm="1">
        <f t="array" ref="S499">(VLOOKUP($A499,'The List'!$B1:$AH671,31,FALSE)-AVERAGE('The List'!AF2:AF671))/STDEV('The List'!AF2:AF671)</f>
        <v>-0.5939690971349143</v>
      </c>
      <c r="T499" s="55" cm="1">
        <f t="array" ref="T499">(VLOOKUP($A499,'The List'!$B1:$AH671,32,FALSE)-AVERAGE('The List'!AG2:AG671))/STDEV('The List'!AG2:AG671)</f>
        <v>-0.64602208138248207</v>
      </c>
      <c r="U499" s="55" cm="1">
        <f t="array" ref="U499">(VLOOKUP($A499,'The List'!$B1:$AH671,33,FALSE)-AVERAGE('The List'!AH2:AH671))/STDEV('The List'!AH2:AH671)</f>
        <v>-1.2548938914719048</v>
      </c>
      <c r="V499" s="55"/>
      <c r="W499" s="57"/>
      <c r="X499" s="55"/>
      <c r="Y499" s="55"/>
      <c r="Z499" s="55"/>
      <c r="AA499" s="55"/>
      <c r="AB499" s="55"/>
      <c r="AC499" s="55"/>
      <c r="AD499" s="55"/>
      <c r="AE499" s="55"/>
    </row>
    <row r="500" spans="1:31" ht="21.25" customHeight="1" x14ac:dyDescent="0.15">
      <c r="A500" s="10" t="s">
        <v>467</v>
      </c>
      <c r="B500" s="18" t="str" cm="1">
        <f t="array" ref="B500">VLOOKUP(A500,'Player Data'!A1:B673,2,FALSE)</f>
        <v>WPG</v>
      </c>
      <c r="C500" s="52" cm="1">
        <f t="array" ref="C500">((E500)*Settings!$C$12)+(F500*Settings!$C$2)+(G500*Settings!$C$3)+(H500*Settings!$C$4)+(I500*Settings!$C$5)+(K500*Settings!$C$9)+(N500*Settings!$C$6)+(J500*Settings!$C$8)+(O500*Settings!$C$7)+(P500*Settings!$C$14)+(Q500*Settings!$C$15)+(R500*Settings!$C$16)+(S500*Settings!$C$17)+(T500*Settings!$C$18)+(U500*Settings!$C$19)+(L500*Settings!$C$10)+(Settings!$C$11*M500)</f>
        <v>-1.0512708399657003</v>
      </c>
      <c r="D500" s="57" cm="1">
        <f t="array" ref="D500">IF(Settings!$E$12="YES",VLOOKUP(A500,'Player Data'!A1:E673,5,FALSE),82)</f>
        <v>84.03</v>
      </c>
      <c r="E500" s="55" cm="1">
        <f t="array" ref="E500">(VLOOKUP($A500,'The List'!$B1:$AH671,17,FALSE)-AVERAGE('The List'!R2:R671))/STDEV('The List'!R2:R671)</f>
        <v>1.2113795465601334</v>
      </c>
      <c r="F500" s="55" cm="1">
        <f t="array" ref="F500">(VLOOKUP($A500,'The List'!$B1:$AH671,18,FALSE)-AVERAGE('The List'!S2:S671))/STDEV('The List'!S2:S671)</f>
        <v>-1.2529776746748493</v>
      </c>
      <c r="G500" s="55" cm="1">
        <f t="array" ref="G500">(VLOOKUP($A500,'The List'!$B1:$AH671,19,FALSE)-AVERAGE('The List'!T2:T671))/STDEV('The List'!T2:T671)</f>
        <v>-0.40626807356173605</v>
      </c>
      <c r="H500" s="55" cm="1">
        <f t="array" ref="H500">(VLOOKUP($A500,'The List'!$B1:$AH671,20,FALSE)-AVERAGE('The List'!U2:U671))/STDEV('The List'!U2:U671)</f>
        <v>-0.81145941170862845</v>
      </c>
      <c r="I500" s="55" cm="1">
        <f t="array" ref="I500">(VLOOKUP($A500,'The List'!$B1:$AH671,21,FALSE)-AVERAGE('The List'!V2:V671))/STDEV('The List'!V2:V671)</f>
        <v>-1.115347084928344</v>
      </c>
      <c r="J500" s="55" cm="1">
        <f t="array" ref="J500">(VLOOKUP($A500,'The List'!$B1:$AH671,22,FALSE)-AVERAGE('The List'!W2:W671))/STDEV('The List'!W2:W671)</f>
        <v>-0.74967947839810645</v>
      </c>
      <c r="K500" s="55" cm="1">
        <f t="array" ref="K500">(VLOOKUP($A500,'The List'!$B1:$AH671,23,FALSE)-AVERAGE('The List'!X2:X671))/STDEV('The List'!X2:X671)</f>
        <v>-0.80403345028170181</v>
      </c>
      <c r="L500" s="55" cm="1">
        <f t="array" ref="L500">(VLOOKUP($A500,'The List'!$B1:$AH671,24,FALSE)-AVERAGE('The List'!Y2:Y671))/STDEV('The List'!Y2:Y671)</f>
        <v>-0.55273959009021867</v>
      </c>
      <c r="M500" s="55" cm="1">
        <f t="array" ref="M500">(VLOOKUP($A500,'The List'!$B1:$AH671,25,FALSE)-AVERAGE('The List'!Z2:Z671))/STDEV('The List'!Z2:Z671)</f>
        <v>0.24167010628399965</v>
      </c>
      <c r="N500" s="55" cm="1">
        <f t="array" ref="N500">(VLOOKUP($A500,'The List'!$B1:$AH671,26,FALSE)-AVERAGE('The List'!AA2:AA671))/STDEV('The List'!AA2:AA671)</f>
        <v>1.4054055002280073</v>
      </c>
      <c r="O500" s="55" cm="1">
        <f t="array" ref="O500">(VLOOKUP($A500,'The List'!$B1:$AH671,27,FALSE)-AVERAGE('The List'!AB2:AB671))/STDEV('The List'!AB2:AB671)</f>
        <v>0.66138874656624858</v>
      </c>
      <c r="P500" s="55" cm="1">
        <f t="array" ref="P500">(VLOOKUP($A500,'The List'!$B1:$AH671,28,FALSE)-AVERAGE('The List'!AC2:AC671))/STDEV('The List'!AC2:AC671)</f>
        <v>0.5696925243451757</v>
      </c>
      <c r="Q500" s="55" cm="1">
        <f t="array" ref="Q500">(VLOOKUP($A500,'The List'!$B1:$AH671,29,FALSE)-AVERAGE('The List'!AD2:AD671))/STDEV('The List'!AD2:AD671)</f>
        <v>0.55225741890774815</v>
      </c>
      <c r="R500" s="55" cm="1">
        <f t="array" ref="R500">(VLOOKUP($A500,'The List'!$B1:$AH671,30,FALSE)-AVERAGE('The List'!AE2:AE671))/STDEV('The List'!AE2:AE671)</f>
        <v>-1.2047495168236719</v>
      </c>
      <c r="S500" s="55" cm="1">
        <f t="array" ref="S500">(VLOOKUP($A500,'The List'!$B1:$AH671,31,FALSE)-AVERAGE('The List'!AF2:AF671))/STDEV('The List'!AF2:AF671)</f>
        <v>-0.5939690971349143</v>
      </c>
      <c r="T500" s="55" cm="1">
        <f t="array" ref="T500">(VLOOKUP($A500,'The List'!$B1:$AH671,32,FALSE)-AVERAGE('The List'!AG2:AG671))/STDEV('The List'!AG2:AG671)</f>
        <v>-0.64602208138248207</v>
      </c>
      <c r="U500" s="55" cm="1">
        <f t="array" ref="U500">(VLOOKUP($A500,'The List'!$B1:$AH671,33,FALSE)-AVERAGE('The List'!AH2:AH671))/STDEV('The List'!AH2:AH671)</f>
        <v>-1.2548938914719048</v>
      </c>
      <c r="V500" s="55"/>
      <c r="W500" s="78"/>
      <c r="X500" s="57"/>
      <c r="Y500" s="57"/>
      <c r="Z500" s="57"/>
      <c r="AA500" s="57"/>
      <c r="AB500" s="57"/>
      <c r="AC500" s="60"/>
      <c r="AD500" s="61"/>
      <c r="AE500" s="55"/>
    </row>
    <row r="501" spans="1:31" ht="21.25" customHeight="1" x14ac:dyDescent="0.15">
      <c r="A501" s="10" t="s">
        <v>560</v>
      </c>
      <c r="B501" s="18" t="str" cm="1">
        <f t="array" ref="B501">VLOOKUP(A501,'Player Data'!A1:B673,2,FALSE)</f>
        <v>T.B</v>
      </c>
      <c r="C501" s="52" cm="1">
        <f t="array" ref="C501">((E501)*Settings!$C$12)+(F501*Settings!$C$2)+(G501*Settings!$C$3)+(H501*Settings!$C$4)+(I501*Settings!$C$5)+(K501*Settings!$C$9)+(N501*Settings!$C$6)+(J501*Settings!$C$8)+(O501*Settings!$C$7)+(P501*Settings!$C$14)+(Q501*Settings!$C$15)+(R501*Settings!$C$16)+(S501*Settings!$C$17)+(T501*Settings!$C$18)+(U501*Settings!$C$19)+(L501*Settings!$C$10)+(Settings!$C$11*M501)</f>
        <v>-0.25891186031801228</v>
      </c>
      <c r="D501" s="57" cm="1">
        <f t="array" ref="D501">IF(Settings!$E$12="YES",VLOOKUP(A501,'Player Data'!A1:E673,5,FALSE),82)</f>
        <v>73.025000000000006</v>
      </c>
      <c r="E501" s="55" cm="1">
        <f t="array" ref="E501">(VLOOKUP($A501,'The List'!$B1:$AH671,17,FALSE)-AVERAGE('The List'!R2:R671))/STDEV('The List'!R2:R671)</f>
        <v>-0.32230640591570214</v>
      </c>
      <c r="F501" s="55" cm="1">
        <f t="array" ref="F501">(VLOOKUP($A501,'The List'!$B1:$AH671,18,FALSE)-AVERAGE('The List'!S2:S671))/STDEV('The List'!S2:S671)</f>
        <v>-1.0912951664280446</v>
      </c>
      <c r="G501" s="55" cm="1">
        <f t="array" ref="G501">(VLOOKUP($A501,'The List'!$B1:$AH671,19,FALSE)-AVERAGE('The List'!T2:T671))/STDEV('The List'!T2:T671)</f>
        <v>-0.70004410215487967</v>
      </c>
      <c r="H501" s="55" cm="1">
        <f t="array" ref="H501">(VLOOKUP($A501,'The List'!$B1:$AH671,20,FALSE)-AVERAGE('The List'!U2:U671))/STDEV('The List'!U2:U671)</f>
        <v>-0.9245079712864217</v>
      </c>
      <c r="I501" s="55" cm="1">
        <f t="array" ref="I501">(VLOOKUP($A501,'The List'!$B1:$AH671,21,FALSE)-AVERAGE('The List'!V2:V671))/STDEV('The List'!V2:V671)</f>
        <v>-1.1978077535674572</v>
      </c>
      <c r="J501" s="55" cm="1">
        <f t="array" ref="J501">(VLOOKUP($A501,'The List'!$B1:$AH671,22,FALSE)-AVERAGE('The List'!W2:W671))/STDEV('The List'!W2:W671)</f>
        <v>-0.7489008487169253</v>
      </c>
      <c r="K501" s="55" cm="1">
        <f t="array" ref="K501">(VLOOKUP($A501,'The List'!$B1:$AH671,23,FALSE)-AVERAGE('The List'!X2:X671))/STDEV('The List'!X2:X671)</f>
        <v>-0.80788506448785635</v>
      </c>
      <c r="L501" s="55" cm="1">
        <f t="array" ref="L501">(VLOOKUP($A501,'The List'!$B1:$AH671,24,FALSE)-AVERAGE('The List'!Y2:Y671))/STDEV('The List'!Y2:Y671)</f>
        <v>-0.53222518960234499</v>
      </c>
      <c r="M501" s="55" cm="1">
        <f t="array" ref="M501">(VLOOKUP($A501,'The List'!$B1:$AH671,25,FALSE)-AVERAGE('The List'!Z2:Z671))/STDEV('The List'!Z2:Z671)</f>
        <v>-0.45386284170993474</v>
      </c>
      <c r="N501" s="55" cm="1">
        <f t="array" ref="N501">(VLOOKUP($A501,'The List'!$B1:$AH671,26,FALSE)-AVERAGE('The List'!AA2:AA671))/STDEV('The List'!AA2:AA671)</f>
        <v>0.10764044465681842</v>
      </c>
      <c r="O501" s="55" cm="1">
        <f t="array" ref="O501">(VLOOKUP($A501,'The List'!$B1:$AH671,27,FALSE)-AVERAGE('The List'!AB2:AB671))/STDEV('The List'!AB2:AB671)</f>
        <v>0.4792217352287117</v>
      </c>
      <c r="P501" s="55" cm="1">
        <f t="array" ref="P501">(VLOOKUP($A501,'The List'!$B1:$AH671,28,FALSE)-AVERAGE('The List'!AC2:AC671))/STDEV('The List'!AC2:AC671)</f>
        <v>1.1448163868303616</v>
      </c>
      <c r="Q501" s="55" cm="1">
        <f t="array" ref="Q501">(VLOOKUP($A501,'The List'!$B1:$AH671,29,FALSE)-AVERAGE('The List'!AD2:AD671))/STDEV('The List'!AD2:AD671)</f>
        <v>2.2856633948330454</v>
      </c>
      <c r="R501" s="55" cm="1">
        <f t="array" ref="R501">(VLOOKUP($A501,'The List'!$B1:$AH671,30,FALSE)-AVERAGE('The List'!AE2:AE671))/STDEV('The List'!AE2:AE671)</f>
        <v>-1.0226369739050956</v>
      </c>
      <c r="S501" s="55" cm="1">
        <f t="array" ref="S501">(VLOOKUP($A501,'The List'!$B1:$AH671,31,FALSE)-AVERAGE('The List'!AF2:AF671))/STDEV('The List'!AF2:AF671)</f>
        <v>-0.5939690971349143</v>
      </c>
      <c r="T501" s="55" cm="1">
        <f t="array" ref="T501">(VLOOKUP($A501,'The List'!$B1:$AH671,32,FALSE)-AVERAGE('The List'!AG2:AG671))/STDEV('The List'!AG2:AG671)</f>
        <v>-0.64602208138248207</v>
      </c>
      <c r="U501" s="55" cm="1">
        <f t="array" ref="U501">(VLOOKUP($A501,'The List'!$B1:$AH671,33,FALSE)-AVERAGE('The List'!AH2:AH671))/STDEV('The List'!AH2:AH671)</f>
        <v>-1.2548938914719048</v>
      </c>
      <c r="V501" s="55"/>
      <c r="W501" s="78"/>
      <c r="X501" s="57"/>
      <c r="Y501" s="57"/>
      <c r="Z501" s="57"/>
      <c r="AA501" s="57"/>
      <c r="AB501" s="57"/>
      <c r="AC501" s="60"/>
      <c r="AD501" s="61"/>
      <c r="AE501" s="55"/>
    </row>
    <row r="502" spans="1:31" ht="21.25" customHeight="1" x14ac:dyDescent="0.15">
      <c r="A502" s="10" t="s">
        <v>411</v>
      </c>
      <c r="B502" s="18" t="str" cm="1">
        <f t="array" ref="B502">VLOOKUP(A502,'Player Data'!A1:B673,2,FALSE)</f>
        <v>NYI</v>
      </c>
      <c r="C502" s="52" cm="1">
        <f t="array" ref="C502">((E502)*Settings!$C$12)+(F502*Settings!$C$2)+(G502*Settings!$C$3)+(H502*Settings!$C$4)+(I502*Settings!$C$5)+(K502*Settings!$C$9)+(N502*Settings!$C$6)+(J502*Settings!$C$8)+(O502*Settings!$C$7)+(P502*Settings!$C$14)+(Q502*Settings!$C$15)+(R502*Settings!$C$16)+(S502*Settings!$C$17)+(T502*Settings!$C$18)+(U502*Settings!$C$19)+(L502*Settings!$C$10)+(Settings!$C$11*M502)</f>
        <v>-1.3853743049946048</v>
      </c>
      <c r="D502" s="57" cm="1">
        <f t="array" ref="D502">IF(Settings!$E$12="YES",VLOOKUP(A502,'Player Data'!A1:E673,5,FALSE),82)</f>
        <v>78.605000000000004</v>
      </c>
      <c r="E502" s="55" cm="1">
        <f t="array" ref="E502">(VLOOKUP($A502,'The List'!$B1:$AH671,17,FALSE)-AVERAGE('The List'!R2:R671))/STDEV('The List'!R2:R671)</f>
        <v>1.0830043875843112</v>
      </c>
      <c r="F502" s="55" cm="1">
        <f t="array" ref="F502">(VLOOKUP($A502,'The List'!$B1:$AH671,18,FALSE)-AVERAGE('The List'!S2:S671))/STDEV('The List'!S2:S671)</f>
        <v>-1.2681980689587478</v>
      </c>
      <c r="G502" s="55" cm="1">
        <f t="array" ref="G502">(VLOOKUP($A502,'The List'!$B1:$AH671,19,FALSE)-AVERAGE('The List'!T2:T671))/STDEV('The List'!T2:T671)</f>
        <v>-0.48806895558572599</v>
      </c>
      <c r="H502" s="55" cm="1">
        <f t="array" ref="H502">(VLOOKUP($A502,'The List'!$B1:$AH671,20,FALSE)-AVERAGE('The List'!U2:U671))/STDEV('The List'!U2:U671)</f>
        <v>-0.86966469258424184</v>
      </c>
      <c r="I502" s="55" cm="1">
        <f t="array" ref="I502">(VLOOKUP($A502,'The List'!$B1:$AH671,21,FALSE)-AVERAGE('The List'!V2:V671))/STDEV('The List'!V2:V671)</f>
        <v>-0.4496954279634085</v>
      </c>
      <c r="J502" s="55" cm="1">
        <f t="array" ref="J502">(VLOOKUP($A502,'The List'!$B1:$AH671,22,FALSE)-AVERAGE('The List'!W2:W671))/STDEV('The List'!W2:W671)</f>
        <v>-0.74969296955506459</v>
      </c>
      <c r="K502" s="55" cm="1">
        <f t="array" ref="K502">(VLOOKUP($A502,'The List'!$B1:$AH671,23,FALSE)-AVERAGE('The List'!X2:X671))/STDEV('The List'!X2:X671)</f>
        <v>-0.80360540496294985</v>
      </c>
      <c r="L502" s="55" cm="1">
        <f t="array" ref="L502">(VLOOKUP($A502,'The List'!$B1:$AH671,24,FALSE)-AVERAGE('The List'!Y2:Y671))/STDEV('The List'!Y2:Y671)</f>
        <v>-0.20238687059701432</v>
      </c>
      <c r="M502" s="55" cm="1">
        <f t="array" ref="M502">(VLOOKUP($A502,'The List'!$B1:$AH671,25,FALSE)-AVERAGE('The List'!Z2:Z671))/STDEV('The List'!Z2:Z671)</f>
        <v>0.60859921937331785</v>
      </c>
      <c r="N502" s="55" cm="1">
        <f t="array" ref="N502">(VLOOKUP($A502,'The List'!$B1:$AH671,26,FALSE)-AVERAGE('The List'!AA2:AA671))/STDEV('The List'!AA2:AA671)</f>
        <v>1.5017746469785589</v>
      </c>
      <c r="O502" s="55" cm="1">
        <f t="array" ref="O502">(VLOOKUP($A502,'The List'!$B1:$AH671,27,FALSE)-AVERAGE('The List'!AB2:AB671))/STDEV('The List'!AB2:AB671)</f>
        <v>-0.26353089079204484</v>
      </c>
      <c r="P502" s="55" cm="1">
        <f t="array" ref="P502">(VLOOKUP($A502,'The List'!$B1:$AH671,28,FALSE)-AVERAGE('The List'!AC2:AC671))/STDEV('The List'!AC2:AC671)</f>
        <v>-0.71653888801438315</v>
      </c>
      <c r="Q502" s="55" cm="1">
        <f t="array" ref="Q502">(VLOOKUP($A502,'The List'!$B1:$AH671,29,FALSE)-AVERAGE('The List'!AD2:AD671))/STDEV('The List'!AD2:AD671)</f>
        <v>0.8389577935120518</v>
      </c>
      <c r="R502" s="55" cm="1">
        <f t="array" ref="R502">(VLOOKUP($A502,'The List'!$B1:$AH671,30,FALSE)-AVERAGE('The List'!AE2:AE671))/STDEV('The List'!AE2:AE671)</f>
        <v>-1.2391232336239422</v>
      </c>
      <c r="S502" s="55" cm="1">
        <f t="array" ref="S502">(VLOOKUP($A502,'The List'!$B1:$AH671,31,FALSE)-AVERAGE('The List'!AF2:AF671))/STDEV('The List'!AF2:AF671)</f>
        <v>-0.5939690971349143</v>
      </c>
      <c r="T502" s="55" cm="1">
        <f t="array" ref="T502">(VLOOKUP($A502,'The List'!$B1:$AH671,32,FALSE)-AVERAGE('The List'!AG2:AG671))/STDEV('The List'!AG2:AG671)</f>
        <v>-0.64602208138248207</v>
      </c>
      <c r="U502" s="55" cm="1">
        <f t="array" ref="U502">(VLOOKUP($A502,'The List'!$B1:$AH671,33,FALSE)-AVERAGE('The List'!AH2:AH671))/STDEV('The List'!AH2:AH671)</f>
        <v>-1.2548938914719048</v>
      </c>
      <c r="V502" s="55"/>
      <c r="W502" s="57"/>
      <c r="X502" s="57"/>
      <c r="Y502" s="57"/>
      <c r="Z502" s="57"/>
      <c r="AA502" s="57"/>
      <c r="AB502" s="57"/>
      <c r="AC502" s="60"/>
      <c r="AD502" s="61"/>
      <c r="AE502" s="55"/>
    </row>
    <row r="503" spans="1:31" ht="21.25" customHeight="1" x14ac:dyDescent="0.15">
      <c r="A503" s="10" t="s">
        <v>515</v>
      </c>
      <c r="B503" s="18" t="str" cm="1">
        <f t="array" ref="B503">VLOOKUP(A503,'Player Data'!A1:B673,2,FALSE)</f>
        <v>ANA</v>
      </c>
      <c r="C503" s="52" cm="1">
        <f t="array" ref="C503">((E503)*Settings!$C$12)+(F503*Settings!$C$2)+(G503*Settings!$C$3)+(H503*Settings!$C$4)+(I503*Settings!$C$5)+(K503*Settings!$C$9)+(N503*Settings!$C$6)+(J503*Settings!$C$8)+(O503*Settings!$C$7)+(P503*Settings!$C$14)+(Q503*Settings!$C$15)+(R503*Settings!$C$16)+(S503*Settings!$C$17)+(T503*Settings!$C$18)+(U503*Settings!$C$19)+(L503*Settings!$C$10)+(Settings!$C$11*M503)</f>
        <v>-4.7951639596266027</v>
      </c>
      <c r="D503" s="57" cm="1">
        <f t="array" ref="D503">IF(Settings!$E$12="YES",VLOOKUP(A503,'Player Data'!A1:E673,5,FALSE),82)</f>
        <v>78.39</v>
      </c>
      <c r="E503" s="55" cm="1">
        <f t="array" ref="E503">(VLOOKUP($A503,'The List'!$B1:$AH671,17,FALSE)-AVERAGE('The List'!R2:R671))/STDEV('The List'!R2:R671)</f>
        <v>0.69228620388280904</v>
      </c>
      <c r="F503" s="55" cm="1">
        <f t="array" ref="F503">(VLOOKUP($A503,'The List'!$B1:$AH671,18,FALSE)-AVERAGE('The List'!S2:S671))/STDEV('The List'!S2:S671)</f>
        <v>-1.2267405496058967</v>
      </c>
      <c r="G503" s="55" cm="1">
        <f t="array" ref="G503">(VLOOKUP($A503,'The List'!$B1:$AH671,19,FALSE)-AVERAGE('The List'!T2:T671))/STDEV('The List'!T2:T671)</f>
        <v>-0.52567534973018715</v>
      </c>
      <c r="H503" s="55" cm="1">
        <f t="array" ref="H503">(VLOOKUP($A503,'The List'!$B1:$AH671,20,FALSE)-AVERAGE('The List'!U2:U671))/STDEV('The List'!U2:U671)</f>
        <v>-0.87492511650615479</v>
      </c>
      <c r="I503" s="55" cm="1">
        <f t="array" ref="I503">(VLOOKUP($A503,'The List'!$B1:$AH671,21,FALSE)-AVERAGE('The List'!V2:V671))/STDEV('The List'!V2:V671)</f>
        <v>-1.2340928881082707</v>
      </c>
      <c r="J503" s="55" cm="1">
        <f t="array" ref="J503">(VLOOKUP($A503,'The List'!$B1:$AH671,22,FALSE)-AVERAGE('The List'!W2:W671))/STDEV('The List'!W2:W671)</f>
        <v>-0.74962012123988808</v>
      </c>
      <c r="K503" s="55" cm="1">
        <f t="array" ref="K503">(VLOOKUP($A503,'The List'!$B1:$AH671,23,FALSE)-AVERAGE('The List'!X2:X671))/STDEV('The List'!X2:X671)</f>
        <v>-0.80708210677531222</v>
      </c>
      <c r="L503" s="55" cm="1">
        <f t="array" ref="L503">(VLOOKUP($A503,'The List'!$B1:$AH671,24,FALSE)-AVERAGE('The List'!Y2:Y671))/STDEV('The List'!Y2:Y671)</f>
        <v>-0.5540751685205052</v>
      </c>
      <c r="M503" s="55" cm="1">
        <f t="array" ref="M503">(VLOOKUP($A503,'The List'!$B1:$AH671,25,FALSE)-AVERAGE('The List'!Z2:Z671))/STDEV('The List'!Z2:Z671)</f>
        <v>-0.65564517777154019</v>
      </c>
      <c r="N503" s="55" cm="1">
        <f t="array" ref="N503">(VLOOKUP($A503,'The List'!$B1:$AH671,26,FALSE)-AVERAGE('The List'!AA2:AA671))/STDEV('The List'!AA2:AA671)</f>
        <v>1.0189880608203892</v>
      </c>
      <c r="O503" s="55" cm="1">
        <f t="array" ref="O503">(VLOOKUP($A503,'The List'!$B1:$AH671,27,FALSE)-AVERAGE('The List'!AB2:AB671))/STDEV('The List'!AB2:AB671)</f>
        <v>-0.46478993013688596</v>
      </c>
      <c r="P503" s="55" cm="1">
        <f t="array" ref="P503">(VLOOKUP($A503,'The List'!$B1:$AH671,28,FALSE)-AVERAGE('The List'!AC2:AC671))/STDEV('The List'!AC2:AC671)</f>
        <v>-0.86806153118941753</v>
      </c>
      <c r="Q503" s="55" cm="1">
        <f t="array" ref="Q503">(VLOOKUP($A503,'The List'!$B1:$AH671,29,FALSE)-AVERAGE('The List'!AD2:AD671))/STDEV('The List'!AD2:AD671)</f>
        <v>-1.1524995950379067</v>
      </c>
      <c r="R503" s="55" cm="1">
        <f t="array" ref="R503">(VLOOKUP($A503,'The List'!$B1:$AH671,30,FALSE)-AVERAGE('The List'!AE2:AE671))/STDEV('The List'!AE2:AE671)</f>
        <v>-1.2012377590999066</v>
      </c>
      <c r="S503" s="55" cm="1">
        <f t="array" ref="S503">(VLOOKUP($A503,'The List'!$B1:$AH671,31,FALSE)-AVERAGE('The List'!AF2:AF671))/STDEV('The List'!AF2:AF671)</f>
        <v>-0.5939690971349143</v>
      </c>
      <c r="T503" s="55" cm="1">
        <f t="array" ref="T503">(VLOOKUP($A503,'The List'!$B1:$AH671,32,FALSE)-AVERAGE('The List'!AG2:AG671))/STDEV('The List'!AG2:AG671)</f>
        <v>-0.64602208138248207</v>
      </c>
      <c r="U503" s="55" cm="1">
        <f t="array" ref="U503">(VLOOKUP($A503,'The List'!$B1:$AH671,33,FALSE)-AVERAGE('The List'!AH2:AH671))/STDEV('The List'!AH2:AH671)</f>
        <v>-1.2548938914719048</v>
      </c>
      <c r="V503" s="55"/>
      <c r="W503" s="78"/>
      <c r="X503" s="57"/>
      <c r="Y503" s="57"/>
      <c r="Z503" s="57"/>
      <c r="AA503" s="57"/>
      <c r="AB503" s="57"/>
      <c r="AC503" s="60"/>
      <c r="AD503" s="61"/>
      <c r="AE503" s="55"/>
    </row>
    <row r="504" spans="1:31" ht="21.25" customHeight="1" x14ac:dyDescent="0.15">
      <c r="A504" s="10" t="s">
        <v>468</v>
      </c>
      <c r="B504" s="18" t="str" cm="1">
        <f t="array" ref="B504">VLOOKUP(A504,'Player Data'!A1:B673,2,FALSE)</f>
        <v>ANA</v>
      </c>
      <c r="C504" s="52" cm="1">
        <f t="array" ref="C504">((E504)*Settings!$C$12)+(F504*Settings!$C$2)+(G504*Settings!$C$3)+(H504*Settings!$C$4)+(I504*Settings!$C$5)+(K504*Settings!$C$9)+(N504*Settings!$C$6)+(J504*Settings!$C$8)+(O504*Settings!$C$7)+(P504*Settings!$C$14)+(Q504*Settings!$C$15)+(R504*Settings!$C$16)+(S504*Settings!$C$17)+(T504*Settings!$C$18)+(U504*Settings!$C$19)+(L504*Settings!$C$10)+(Settings!$C$11*M504)</f>
        <v>-3.1771045817778583</v>
      </c>
      <c r="D504" s="57" cm="1">
        <f t="array" ref="D504">IF(Settings!$E$12="YES",VLOOKUP(A504,'Player Data'!A1:E673,5,FALSE),82)</f>
        <v>77.805000000000007</v>
      </c>
      <c r="E504" s="55" cm="1">
        <f t="array" ref="E504">(VLOOKUP($A504,'The List'!$B1:$AH671,17,FALSE)-AVERAGE('The List'!R2:R671))/STDEV('The List'!R2:R671)</f>
        <v>-0.21769751836919096</v>
      </c>
      <c r="F504" s="55" cm="1">
        <f t="array" ref="F504">(VLOOKUP($A504,'The List'!$B1:$AH671,18,FALSE)-AVERAGE('The List'!S2:S671))/STDEV('The List'!S2:S671)</f>
        <v>-0.87260153679653785</v>
      </c>
      <c r="G504" s="55" cm="1">
        <f t="array" ref="G504">(VLOOKUP($A504,'The List'!$B1:$AH671,19,FALSE)-AVERAGE('The List'!T2:T671))/STDEV('The List'!T2:T671)</f>
        <v>-0.78504940565555414</v>
      </c>
      <c r="H504" s="55" cm="1">
        <f t="array" ref="H504">(VLOOKUP($A504,'The List'!$B1:$AH671,20,FALSE)-AVERAGE('The List'!U2:U671))/STDEV('The List'!U2:U671)</f>
        <v>-0.88094625235203394</v>
      </c>
      <c r="I504" s="55" cm="1">
        <f t="array" ref="I504">(VLOOKUP($A504,'The List'!$B1:$AH671,21,FALSE)-AVERAGE('The List'!V2:V671))/STDEV('The List'!V2:V671)</f>
        <v>-0.68366866529061598</v>
      </c>
      <c r="J504" s="55" cm="1">
        <f t="array" ref="J504">(VLOOKUP($A504,'The List'!$B1:$AH671,22,FALSE)-AVERAGE('The List'!W2:W671))/STDEV('The List'!W2:W671)</f>
        <v>-0.74732110639936722</v>
      </c>
      <c r="K504" s="55" cm="1">
        <f t="array" ref="K504">(VLOOKUP($A504,'The List'!$B1:$AH671,23,FALSE)-AVERAGE('The List'!X2:X671))/STDEV('The List'!X2:X671)</f>
        <v>-0.80361795395339408</v>
      </c>
      <c r="L504" s="55" cm="1">
        <f t="array" ref="L504">(VLOOKUP($A504,'The List'!$B1:$AH671,24,FALSE)-AVERAGE('The List'!Y2:Y671))/STDEV('The List'!Y2:Y671)</f>
        <v>-0.47376733300099688</v>
      </c>
      <c r="M504" s="55" cm="1">
        <f t="array" ref="M504">(VLOOKUP($A504,'The List'!$B1:$AH671,25,FALSE)-AVERAGE('The List'!Z2:Z671))/STDEV('The List'!Z2:Z671)</f>
        <v>0.37884060958060184</v>
      </c>
      <c r="N504" s="55" cm="1">
        <f t="array" ref="N504">(VLOOKUP($A504,'The List'!$B1:$AH671,26,FALSE)-AVERAGE('The List'!AA2:AA671))/STDEV('The List'!AA2:AA671)</f>
        <v>0.97385602727123588</v>
      </c>
      <c r="O504" s="55" cm="1">
        <f t="array" ref="O504">(VLOOKUP($A504,'The List'!$B1:$AH671,27,FALSE)-AVERAGE('The List'!AB2:AB671))/STDEV('The List'!AB2:AB671)</f>
        <v>-0.37833424765764956</v>
      </c>
      <c r="P504" s="55" cm="1">
        <f t="array" ref="P504">(VLOOKUP($A504,'The List'!$B1:$AH671,28,FALSE)-AVERAGE('The List'!AC2:AC671))/STDEV('The List'!AC2:AC671)</f>
        <v>-0.88873720470853579</v>
      </c>
      <c r="Q504" s="55" cm="1">
        <f t="array" ref="Q504">(VLOOKUP($A504,'The List'!$B1:$AH671,29,FALSE)-AVERAGE('The List'!AD2:AD671))/STDEV('The List'!AD2:AD671)</f>
        <v>-0.11728584264445636</v>
      </c>
      <c r="R504" s="55" cm="1">
        <f t="array" ref="R504">(VLOOKUP($A504,'The List'!$B1:$AH671,30,FALSE)-AVERAGE('The List'!AE2:AE671))/STDEV('The List'!AE2:AE671)</f>
        <v>-0.87791792020846759</v>
      </c>
      <c r="S504" s="55" cm="1">
        <f t="array" ref="S504">(VLOOKUP($A504,'The List'!$B1:$AH671,31,FALSE)-AVERAGE('The List'!AF2:AF671))/STDEV('The List'!AF2:AF671)</f>
        <v>-0.5939690971349143</v>
      </c>
      <c r="T504" s="55" cm="1">
        <f t="array" ref="T504">(VLOOKUP($A504,'The List'!$B1:$AH671,32,FALSE)-AVERAGE('The List'!AG2:AG671))/STDEV('The List'!AG2:AG671)</f>
        <v>-0.63237734040104931</v>
      </c>
      <c r="U504" s="55" cm="1">
        <f t="array" ref="U504">(VLOOKUP($A504,'The List'!$B1:$AH671,33,FALSE)-AVERAGE('The List'!AH2:AH671))/STDEV('The List'!AH2:AH671)</f>
        <v>-1.2548938914719048</v>
      </c>
      <c r="V504" s="55"/>
      <c r="W504" s="78"/>
      <c r="X504" s="57"/>
      <c r="Y504" s="57"/>
      <c r="Z504" s="57"/>
      <c r="AA504" s="57"/>
      <c r="AB504" s="57"/>
      <c r="AC504" s="60"/>
      <c r="AD504" s="61"/>
      <c r="AE504" s="55"/>
    </row>
    <row r="505" spans="1:31" ht="21.25" customHeight="1" x14ac:dyDescent="0.15">
      <c r="A505" s="10" t="s">
        <v>563</v>
      </c>
      <c r="B505" s="18" t="str" cm="1">
        <f t="array" ref="B505">VLOOKUP(A505,'Player Data'!A1:B673,2,FALSE)</f>
        <v>EDM</v>
      </c>
      <c r="C505" s="52" cm="1">
        <f t="array" ref="C505">((E505)*Settings!$C$12)+(F505*Settings!$C$2)+(G505*Settings!$C$3)+(H505*Settings!$C$4)+(I505*Settings!$C$5)+(K505*Settings!$C$9)+(N505*Settings!$C$6)+(J505*Settings!$C$8)+(O505*Settings!$C$7)+(P505*Settings!$C$14)+(Q505*Settings!$C$15)+(R505*Settings!$C$16)+(S505*Settings!$C$17)+(T505*Settings!$C$18)+(U505*Settings!$C$19)+(L505*Settings!$C$10)+(Settings!$C$11*M505)</f>
        <v>-3.4840271202481548</v>
      </c>
      <c r="D505" s="57" cm="1">
        <f t="array" ref="D505">IF(Settings!$E$12="YES",VLOOKUP(A505,'Player Data'!A1:E673,5,FALSE),82)</f>
        <v>63.3</v>
      </c>
      <c r="E505" s="55" cm="1">
        <f t="array" ref="E505">(VLOOKUP($A505,'The List'!$B1:$AH671,17,FALSE)-AVERAGE('The List'!R2:R671))/STDEV('The List'!R2:R671)</f>
        <v>-0.21152171026636055</v>
      </c>
      <c r="F505" s="55" cm="1">
        <f t="array" ref="F505">(VLOOKUP($A505,'The List'!$B1:$AH671,18,FALSE)-AVERAGE('The List'!S2:S671))/STDEV('The List'!S2:S671)</f>
        <v>-0.9170635174119266</v>
      </c>
      <c r="G505" s="55" cm="1">
        <f t="array" ref="G505">(VLOOKUP($A505,'The List'!$B1:$AH671,19,FALSE)-AVERAGE('The List'!T2:T671))/STDEV('The List'!T2:T671)</f>
        <v>-0.98745075231654411</v>
      </c>
      <c r="H505" s="55" cm="1">
        <f t="array" ref="H505">(VLOOKUP($A505,'The List'!$B1:$AH671,20,FALSE)-AVERAGE('The List'!U2:U671))/STDEV('The List'!U2:U671)</f>
        <v>-1.0279824446762249</v>
      </c>
      <c r="I505" s="55" cm="1">
        <f t="array" ref="I505">(VLOOKUP($A505,'The List'!$B1:$AH671,21,FALSE)-AVERAGE('The List'!V2:V671))/STDEV('The List'!V2:V671)</f>
        <v>-1.1705388363791258</v>
      </c>
      <c r="J505" s="55" cm="1">
        <f t="array" ref="J505">(VLOOKUP($A505,'The List'!$B1:$AH671,22,FALSE)-AVERAGE('The List'!W2:W671))/STDEV('The List'!W2:W671)</f>
        <v>-0.74868212508978049</v>
      </c>
      <c r="K505" s="55" cm="1">
        <f t="array" ref="K505">(VLOOKUP($A505,'The List'!$B1:$AH671,23,FALSE)-AVERAGE('The List'!X2:X671))/STDEV('The List'!X2:X671)</f>
        <v>-0.79793204000072759</v>
      </c>
      <c r="L505" s="55" cm="1">
        <f t="array" ref="L505">(VLOOKUP($A505,'The List'!$B1:$AH671,24,FALSE)-AVERAGE('The List'!Y2:Y671))/STDEV('The List'!Y2:Y671)</f>
        <v>-0.51176760957755218</v>
      </c>
      <c r="M505" s="55" cm="1">
        <f t="array" ref="M505">(VLOOKUP($A505,'The List'!$B1:$AH671,25,FALSE)-AVERAGE('The List'!Z2:Z671))/STDEV('The List'!Z2:Z671)</f>
        <v>-0.59596689565889782</v>
      </c>
      <c r="N505" s="55" cm="1">
        <f t="array" ref="N505">(VLOOKUP($A505,'The List'!$B1:$AH671,26,FALSE)-AVERAGE('The List'!AA2:AA671))/STDEV('The List'!AA2:AA671)</f>
        <v>0.36435669947094351</v>
      </c>
      <c r="O505" s="55" cm="1">
        <f t="array" ref="O505">(VLOOKUP($A505,'The List'!$B1:$AH671,27,FALSE)-AVERAGE('The List'!AB2:AB671))/STDEV('The List'!AB2:AB671)</f>
        <v>-0.68059981240419365</v>
      </c>
      <c r="P505" s="55" cm="1">
        <f t="array" ref="P505">(VLOOKUP($A505,'The List'!$B1:$AH671,28,FALSE)-AVERAGE('The List'!AC2:AC671))/STDEV('The List'!AC2:AC671)</f>
        <v>0.64063604840486943</v>
      </c>
      <c r="Q505" s="55" cm="1">
        <f t="array" ref="Q505">(VLOOKUP($A505,'The List'!$B1:$AH671,29,FALSE)-AVERAGE('The List'!AD2:AD671))/STDEV('The List'!AD2:AD671)</f>
        <v>-0.61603472201564358</v>
      </c>
      <c r="R505" s="55" cm="1">
        <f t="array" ref="R505">(VLOOKUP($A505,'The List'!$B1:$AH671,30,FALSE)-AVERAGE('The List'!AE2:AE671))/STDEV('The List'!AE2:AE671)</f>
        <v>-0.83495115379954565</v>
      </c>
      <c r="S505" s="55" cm="1">
        <f t="array" ref="S505">(VLOOKUP($A505,'The List'!$B1:$AH671,31,FALSE)-AVERAGE('The List'!AF2:AF671))/STDEV('The List'!AF2:AF671)</f>
        <v>-0.5939690971349143</v>
      </c>
      <c r="T505" s="55" cm="1">
        <f t="array" ref="T505">(VLOOKUP($A505,'The List'!$B1:$AH671,32,FALSE)-AVERAGE('The List'!AG2:AG671))/STDEV('The List'!AG2:AG671)</f>
        <v>-0.64602208138248207</v>
      </c>
      <c r="U505" s="55" cm="1">
        <f t="array" ref="U505">(VLOOKUP($A505,'The List'!$B1:$AH671,33,FALSE)-AVERAGE('The List'!AH2:AH671))/STDEV('The List'!AH2:AH671)</f>
        <v>-1.2548938914719048</v>
      </c>
      <c r="V505" s="55"/>
      <c r="W505" s="78"/>
      <c r="X505" s="57"/>
      <c r="Y505" s="57"/>
      <c r="Z505" s="57"/>
      <c r="AA505" s="57"/>
      <c r="AB505" s="57"/>
      <c r="AC505" s="60"/>
      <c r="AD505" s="61"/>
      <c r="AE505" s="55"/>
    </row>
    <row r="506" spans="1:31" ht="21.25" customHeight="1" x14ac:dyDescent="0.15">
      <c r="A506" s="10" t="s">
        <v>690</v>
      </c>
      <c r="B506" s="18" t="str" cm="1">
        <f t="array" ref="B506">VLOOKUP(A506,'Player Data'!A1:B673,2,FALSE)</f>
        <v>PHI</v>
      </c>
      <c r="C506" s="52" cm="1">
        <f t="array" ref="C506">((E506)*Settings!$C$12)+(F506*Settings!$C$2)+(G506*Settings!$C$3)+(H506*Settings!$C$4)+(I506*Settings!$C$5)+(K506*Settings!$C$9)+(N506*Settings!$C$6)+(J506*Settings!$C$8)+(O506*Settings!$C$7)+(P506*Settings!$C$14)+(Q506*Settings!$C$15)+(R506*Settings!$C$16)+(S506*Settings!$C$17)+(T506*Settings!$C$18)+(U506*Settings!$C$19)+(L506*Settings!$C$10)+(Settings!$C$11*M506)</f>
        <v>-3.7481985322381219</v>
      </c>
      <c r="D506" s="57" cm="1">
        <f t="array" ref="D506">IF(Settings!$E$12="YES",VLOOKUP(A506,'Player Data'!A1:E673,5,FALSE),82)</f>
        <v>78.254999999999995</v>
      </c>
      <c r="E506" s="55" cm="1">
        <f t="array" ref="E506">(VLOOKUP($A506,'The List'!$B1:$AH671,17,FALSE)-AVERAGE('The List'!R2:R671))/STDEV('The List'!R2:R671)</f>
        <v>-0.85709271467275072</v>
      </c>
      <c r="F506" s="55" cm="1">
        <f t="array" ref="F506">(VLOOKUP($A506,'The List'!$B1:$AH671,18,FALSE)-AVERAGE('The List'!S2:S671))/STDEV('The List'!S2:S671)</f>
        <v>-0.53829838597129398</v>
      </c>
      <c r="G506" s="55" cm="1">
        <f t="array" ref="G506">(VLOOKUP($A506,'The List'!$B1:$AH671,19,FALSE)-AVERAGE('The List'!T2:T671))/STDEV('The List'!T2:T671)</f>
        <v>-1.0203062018520201</v>
      </c>
      <c r="H506" s="55" cm="1">
        <f t="array" ref="H506">(VLOOKUP($A506,'The List'!$B1:$AH671,20,FALSE)-AVERAGE('The List'!U2:U671))/STDEV('The List'!U2:U671)</f>
        <v>-0.88059849959237946</v>
      </c>
      <c r="I506" s="55" cm="1">
        <f t="array" ref="I506">(VLOOKUP($A506,'The List'!$B1:$AH671,21,FALSE)-AVERAGE('The List'!V2:V671))/STDEV('The List'!V2:V671)</f>
        <v>-0.5790922775773788</v>
      </c>
      <c r="J506" s="55" cm="1">
        <f t="array" ref="J506">(VLOOKUP($A506,'The List'!$B1:$AH671,22,FALSE)-AVERAGE('The List'!W2:W671))/STDEV('The List'!W2:W671)</f>
        <v>-0.74142932024851227</v>
      </c>
      <c r="K506" s="55" cm="1">
        <f t="array" ref="K506">(VLOOKUP($A506,'The List'!$B1:$AH671,23,FALSE)-AVERAGE('The List'!X2:X671))/STDEV('The List'!X2:X671)</f>
        <v>-0.8048771244119246</v>
      </c>
      <c r="L506" s="55" cm="1">
        <f t="array" ref="L506">(VLOOKUP($A506,'The List'!$B1:$AH671,24,FALSE)-AVERAGE('The List'!Y2:Y671))/STDEV('The List'!Y2:Y671)</f>
        <v>-0.38905310142789601</v>
      </c>
      <c r="M506" s="55" cm="1">
        <f t="array" ref="M506">(VLOOKUP($A506,'The List'!$B1:$AH671,25,FALSE)-AVERAGE('The List'!Z2:Z671))/STDEV('The List'!Z2:Z671)</f>
        <v>-0.22018149698844153</v>
      </c>
      <c r="N506" s="55" cm="1">
        <f t="array" ref="N506">(VLOOKUP($A506,'The List'!$B1:$AH671,26,FALSE)-AVERAGE('The List'!AA2:AA671))/STDEV('The List'!AA2:AA671)</f>
        <v>0.35373794508900469</v>
      </c>
      <c r="O506" s="55" cm="1">
        <f t="array" ref="O506">(VLOOKUP($A506,'The List'!$B1:$AH671,27,FALSE)-AVERAGE('The List'!AB2:AB671))/STDEV('The List'!AB2:AB671)</f>
        <v>0.57813941743783592</v>
      </c>
      <c r="P506" s="55" cm="1">
        <f t="array" ref="P506">(VLOOKUP($A506,'The List'!$B1:$AH671,28,FALSE)-AVERAGE('The List'!AC2:AC671))/STDEV('The List'!AC2:AC671)</f>
        <v>-0.15777767958110972</v>
      </c>
      <c r="Q506" s="55" cm="1">
        <f t="array" ref="Q506">(VLOOKUP($A506,'The List'!$B1:$AH671,29,FALSE)-AVERAGE('The List'!AD2:AD671))/STDEV('The List'!AD2:AD671)</f>
        <v>-1.0015848079333991</v>
      </c>
      <c r="R506" s="55" cm="1">
        <f t="array" ref="R506">(VLOOKUP($A506,'The List'!$B1:$AH671,30,FALSE)-AVERAGE('The List'!AE2:AE671))/STDEV('The List'!AE2:AE671)</f>
        <v>-0.51057363162692215</v>
      </c>
      <c r="S506" s="55" cm="1">
        <f t="array" ref="S506">(VLOOKUP($A506,'The List'!$B1:$AH671,31,FALSE)-AVERAGE('The List'!AF2:AF671))/STDEV('The List'!AF2:AF671)</f>
        <v>1.1440439795251973</v>
      </c>
      <c r="T506" s="55" cm="1">
        <f t="array" ref="T506">(VLOOKUP($A506,'The List'!$B1:$AH671,32,FALSE)-AVERAGE('The List'!AG2:AG671))/STDEV('The List'!AG2:AG671)</f>
        <v>0.98936240356337479</v>
      </c>
      <c r="U506" s="55" cm="1">
        <f t="array" ref="U506">(VLOOKUP($A506,'The List'!$B1:$AH671,33,FALSE)-AVERAGE('The List'!AH2:AH671))/STDEV('The List'!AH2:AH671)</f>
        <v>1.1856426400222511</v>
      </c>
      <c r="V506" s="55"/>
      <c r="W506" s="78"/>
      <c r="X506" s="57"/>
      <c r="Y506" s="57"/>
      <c r="Z506" s="57"/>
      <c r="AA506" s="57"/>
      <c r="AB506" s="57"/>
      <c r="AC506" s="60"/>
      <c r="AD506" s="61"/>
      <c r="AE506" s="55"/>
    </row>
    <row r="507" spans="1:31" ht="21.25" customHeight="1" x14ac:dyDescent="0.15">
      <c r="A507" s="10" t="s">
        <v>775</v>
      </c>
      <c r="B507" s="18" t="str" cm="1">
        <f t="array" ref="B507">VLOOKUP(A507,'Player Data'!A1:B673,2,FALSE)</f>
        <v>COL</v>
      </c>
      <c r="C507" s="52" cm="1">
        <f t="array" ref="C507">((E507)*Settings!$C$12)+(F507*Settings!$C$2)+(G507*Settings!$C$3)+(H507*Settings!$C$4)+(I507*Settings!$C$5)+(K507*Settings!$C$9)+(N507*Settings!$C$6)+(J507*Settings!$C$8)+(O507*Settings!$C$7)+(P507*Settings!$C$14)+(Q507*Settings!$C$15)+(R507*Settings!$C$16)+(S507*Settings!$C$17)+(T507*Settings!$C$18)+(U507*Settings!$C$19)+(L507*Settings!$C$10)+(Settings!$C$11*M507)</f>
        <v>-4.1937719217042444</v>
      </c>
      <c r="D507" s="57" cm="1">
        <f t="array" ref="D507">IF(Settings!$E$12="YES",VLOOKUP(A507,'Player Data'!A1:E673,5,FALSE),82)</f>
        <v>69.007499999999993</v>
      </c>
      <c r="E507" s="55" cm="1">
        <f t="array" ref="E507">(VLOOKUP($A507,'The List'!$B1:$AH671,17,FALSE)-AVERAGE('The List'!R2:R671))/STDEV('The List'!R2:R671)</f>
        <v>-1.4001604977240178</v>
      </c>
      <c r="F507" s="55" cm="1">
        <f t="array" ref="F507">(VLOOKUP($A507,'The List'!$B1:$AH671,18,FALSE)-AVERAGE('The List'!S2:S671))/STDEV('The List'!S2:S671)</f>
        <v>-0.69545648741922195</v>
      </c>
      <c r="G507" s="55" cm="1">
        <f t="array" ref="G507">(VLOOKUP($A507,'The List'!$B1:$AH671,19,FALSE)-AVERAGE('The List'!T2:T671))/STDEV('The List'!T2:T671)</f>
        <v>-1.0613434247861111</v>
      </c>
      <c r="H507" s="55" cm="1">
        <f t="array" ref="H507">(VLOOKUP($A507,'The List'!$B1:$AH671,20,FALSE)-AVERAGE('The List'!U2:U671))/STDEV('The List'!U2:U671)</f>
        <v>-0.97613832711460213</v>
      </c>
      <c r="I507" s="55" cm="1">
        <f t="array" ref="I507">(VLOOKUP($A507,'The List'!$B1:$AH671,21,FALSE)-AVERAGE('The List'!V2:V671))/STDEV('The List'!V2:V671)</f>
        <v>-0.99230546959558563</v>
      </c>
      <c r="J507" s="55" cm="1">
        <f t="array" ref="J507">(VLOOKUP($A507,'The List'!$B1:$AH671,22,FALSE)-AVERAGE('The List'!W2:W671))/STDEV('The List'!W2:W671)</f>
        <v>-0.75016068703519589</v>
      </c>
      <c r="K507" s="55" cm="1">
        <f t="array" ref="K507">(VLOOKUP($A507,'The List'!$B1:$AH671,23,FALSE)-AVERAGE('The List'!X2:X671))/STDEV('The List'!X2:X671)</f>
        <v>-0.81189220290792952</v>
      </c>
      <c r="L507" s="55" cm="1">
        <f t="array" ref="L507">(VLOOKUP($A507,'The List'!$B1:$AH671,24,FALSE)-AVERAGE('The List'!Y2:Y671))/STDEV('The List'!Y2:Y671)</f>
        <v>0.62213807722804659</v>
      </c>
      <c r="M507" s="55" cm="1">
        <f t="array" ref="M507">(VLOOKUP($A507,'The List'!$B1:$AH671,25,FALSE)-AVERAGE('The List'!Z2:Z671))/STDEV('The List'!Z2:Z671)</f>
        <v>0.43170398051344744</v>
      </c>
      <c r="N507" s="55" cm="1">
        <f t="array" ref="N507">(VLOOKUP($A507,'The List'!$B1:$AH671,26,FALSE)-AVERAGE('The List'!AA2:AA671))/STDEV('The List'!AA2:AA671)</f>
        <v>-0.81135582256961059</v>
      </c>
      <c r="O507" s="55" cm="1">
        <f t="array" ref="O507">(VLOOKUP($A507,'The List'!$B1:$AH671,27,FALSE)-AVERAGE('The List'!AB2:AB671))/STDEV('The List'!AB2:AB671)</f>
        <v>-0.42381612455001005</v>
      </c>
      <c r="P507" s="55" cm="1">
        <f t="array" ref="P507">(VLOOKUP($A507,'The List'!$B1:$AH671,28,FALSE)-AVERAGE('The List'!AC2:AC671))/STDEV('The List'!AC2:AC671)</f>
        <v>0.93243418921343701</v>
      </c>
      <c r="Q507" s="55" cm="1">
        <f t="array" ref="Q507">(VLOOKUP($A507,'The List'!$B1:$AH671,29,FALSE)-AVERAGE('The List'!AD2:AD671))/STDEV('The List'!AD2:AD671)</f>
        <v>-0.75385270363922297</v>
      </c>
      <c r="R507" s="55" cm="1">
        <f t="array" ref="R507">(VLOOKUP($A507,'The List'!$B1:$AH671,30,FALSE)-AVERAGE('The List'!AE2:AE671))/STDEV('The List'!AE2:AE671)</f>
        <v>-0.57096964340654754</v>
      </c>
      <c r="S507" s="55" cm="1">
        <f t="array" ref="S507">(VLOOKUP($A507,'The List'!$B1:$AH671,31,FALSE)-AVERAGE('The List'!AF2:AF671))/STDEV('The List'!AF2:AF671)</f>
        <v>-0.52211232347079495</v>
      </c>
      <c r="T507" s="55" cm="1">
        <f t="array" ref="T507">(VLOOKUP($A507,'The List'!$B1:$AH671,32,FALSE)-AVERAGE('The List'!AG2:AG671))/STDEV('The List'!AG2:AG671)</f>
        <v>-0.51619811865311382</v>
      </c>
      <c r="U507" s="55" cm="1">
        <f t="array" ref="U507">(VLOOKUP($A507,'The List'!$B1:$AH671,33,FALSE)-AVERAGE('The List'!AH2:AH671))/STDEV('The List'!AH2:AH671)</f>
        <v>0.44986289574158234</v>
      </c>
      <c r="V507" s="55"/>
      <c r="W507" s="78"/>
      <c r="X507" s="57"/>
      <c r="Y507" s="57"/>
      <c r="Z507" s="57"/>
      <c r="AA507" s="57"/>
      <c r="AB507" s="57"/>
      <c r="AC507" s="60"/>
      <c r="AD507" s="61"/>
      <c r="AE507" s="55"/>
    </row>
    <row r="508" spans="1:31" ht="21.25" customHeight="1" x14ac:dyDescent="0.15">
      <c r="A508" s="10" t="s">
        <v>474</v>
      </c>
      <c r="B508" s="18" t="str" cm="1">
        <f t="array" ref="B508">VLOOKUP(A508,'Player Data'!A1:B673,2,FALSE)</f>
        <v>UTA</v>
      </c>
      <c r="C508" s="52" cm="1">
        <f t="array" ref="C508">((E508)*Settings!$C$12)+(F508*Settings!$C$2)+(G508*Settings!$C$3)+(H508*Settings!$C$4)+(I508*Settings!$C$5)+(K508*Settings!$C$9)+(N508*Settings!$C$6)+(J508*Settings!$C$8)+(O508*Settings!$C$7)+(P508*Settings!$C$14)+(Q508*Settings!$C$15)+(R508*Settings!$C$16)+(S508*Settings!$C$17)+(T508*Settings!$C$18)+(U508*Settings!$C$19)+(L508*Settings!$C$10)+(Settings!$C$11*M508)</f>
        <v>-1.8108368808661286</v>
      </c>
      <c r="D508" s="57" cm="1">
        <f t="array" ref="D508">IF(Settings!$E$12="YES",VLOOKUP(A508,'Player Data'!A1:E673,5,FALSE),82)</f>
        <v>81.855000000000004</v>
      </c>
      <c r="E508" s="55" cm="1">
        <f t="array" ref="E508">(VLOOKUP($A508,'The List'!$B1:$AH671,17,FALSE)-AVERAGE('The List'!R2:R671))/STDEV('The List'!R2:R671)</f>
        <v>0.62465566923114324</v>
      </c>
      <c r="F508" s="55" cm="1">
        <f t="array" ref="F508">(VLOOKUP($A508,'The List'!$B1:$AH671,18,FALSE)-AVERAGE('The List'!S2:S671))/STDEV('The List'!S2:S671)</f>
        <v>-0.9645488075922608</v>
      </c>
      <c r="G508" s="55" cm="1">
        <f t="array" ref="G508">(VLOOKUP($A508,'The List'!$B1:$AH671,19,FALSE)-AVERAGE('The List'!T2:T671))/STDEV('The List'!T2:T671)</f>
        <v>-0.67248606160604274</v>
      </c>
      <c r="H508" s="55" cm="1">
        <f t="array" ref="H508">(VLOOKUP($A508,'The List'!$B1:$AH671,20,FALSE)-AVERAGE('The List'!U2:U671))/STDEV('The List'!U2:U671)</f>
        <v>-0.85093950697844589</v>
      </c>
      <c r="I508" s="55" cm="1">
        <f t="array" ref="I508">(VLOOKUP($A508,'The List'!$B1:$AH671,21,FALSE)-AVERAGE('The List'!V2:V671))/STDEV('The List'!V2:V671)</f>
        <v>-0.80513598771137762</v>
      </c>
      <c r="J508" s="55" cm="1">
        <f t="array" ref="J508">(VLOOKUP($A508,'The List'!$B1:$AH671,22,FALSE)-AVERAGE('The List'!W2:W671))/STDEV('The List'!W2:W671)</f>
        <v>-0.74207490106839935</v>
      </c>
      <c r="K508" s="55" cm="1">
        <f t="array" ref="K508">(VLOOKUP($A508,'The List'!$B1:$AH671,23,FALSE)-AVERAGE('The List'!X2:X671))/STDEV('The List'!X2:X671)</f>
        <v>-0.78307085597808079</v>
      </c>
      <c r="L508" s="55" cm="1">
        <f t="array" ref="L508">(VLOOKUP($A508,'The List'!$B1:$AH671,24,FALSE)-AVERAGE('The List'!Y2:Y671))/STDEV('The List'!Y2:Y671)</f>
        <v>-0.53163980330684546</v>
      </c>
      <c r="M508" s="55" cm="1">
        <f t="array" ref="M508">(VLOOKUP($A508,'The List'!$B1:$AH671,25,FALSE)-AVERAGE('The List'!Z2:Z671))/STDEV('The List'!Z2:Z671)</f>
        <v>-0.55562399208939894</v>
      </c>
      <c r="N508" s="55" cm="1">
        <f t="array" ref="N508">(VLOOKUP($A508,'The List'!$B1:$AH671,26,FALSE)-AVERAGE('The List'!AA2:AA671))/STDEV('The List'!AA2:AA671)</f>
        <v>0.96475570023227764</v>
      </c>
      <c r="O508" s="55" cm="1">
        <f t="array" ref="O508">(VLOOKUP($A508,'The List'!$B1:$AH671,27,FALSE)-AVERAGE('The List'!AB2:AB671))/STDEV('The List'!AB2:AB671)</f>
        <v>-6.2337269202742268E-2</v>
      </c>
      <c r="P508" s="55" cm="1">
        <f t="array" ref="P508">(VLOOKUP($A508,'The List'!$B1:$AH671,28,FALSE)-AVERAGE('The List'!AC2:AC671))/STDEV('The List'!AC2:AC671)</f>
        <v>0.72009813346884444</v>
      </c>
      <c r="Q508" s="55" cm="1">
        <f t="array" ref="Q508">(VLOOKUP($A508,'The List'!$B1:$AH671,29,FALSE)-AVERAGE('The List'!AD2:AD671))/STDEV('The List'!AD2:AD671)</f>
        <v>-0.27044900167948926</v>
      </c>
      <c r="R508" s="55" cm="1">
        <f t="array" ref="R508">(VLOOKUP($A508,'The List'!$B1:$AH671,30,FALSE)-AVERAGE('The List'!AE2:AE671))/STDEV('The List'!AE2:AE671)</f>
        <v>-0.9223552811968676</v>
      </c>
      <c r="S508" s="55" cm="1">
        <f t="array" ref="S508">(VLOOKUP($A508,'The List'!$B1:$AH671,31,FALSE)-AVERAGE('The List'!AF2:AF671))/STDEV('The List'!AF2:AF671)</f>
        <v>-0.5939690971349143</v>
      </c>
      <c r="T508" s="55" cm="1">
        <f t="array" ref="T508">(VLOOKUP($A508,'The List'!$B1:$AH671,32,FALSE)-AVERAGE('The List'!AG2:AG671))/STDEV('The List'!AG2:AG671)</f>
        <v>-0.64602208138248207</v>
      </c>
      <c r="U508" s="55" cm="1">
        <f t="array" ref="U508">(VLOOKUP($A508,'The List'!$B1:$AH671,33,FALSE)-AVERAGE('The List'!AH2:AH671))/STDEV('The List'!AH2:AH671)</f>
        <v>-1.2548938914719048</v>
      </c>
      <c r="V508" s="55"/>
      <c r="W508" s="78"/>
      <c r="X508" s="57"/>
      <c r="Y508" s="57"/>
      <c r="Z508" s="57"/>
      <c r="AA508" s="57"/>
      <c r="AB508" s="57"/>
      <c r="AC508" s="60"/>
      <c r="AD508" s="61"/>
      <c r="AE508" s="55"/>
    </row>
    <row r="509" spans="1:31" ht="21.25" customHeight="1" x14ac:dyDescent="0.15">
      <c r="A509" s="10" t="s">
        <v>469</v>
      </c>
      <c r="B509" s="18" t="str" cm="1">
        <f t="array" ref="B509">VLOOKUP(A509,'Player Data'!A1:B673,2,FALSE)</f>
        <v>EDM</v>
      </c>
      <c r="C509" s="52" cm="1">
        <f t="array" ref="C509">((E509)*Settings!$C$12)+(F509*Settings!$C$2)+(G509*Settings!$C$3)+(H509*Settings!$C$4)+(I509*Settings!$C$5)+(K509*Settings!$C$9)+(N509*Settings!$C$6)+(J509*Settings!$C$8)+(O509*Settings!$C$7)+(P509*Settings!$C$14)+(Q509*Settings!$C$15)+(R509*Settings!$C$16)+(S509*Settings!$C$17)+(T509*Settings!$C$18)+(U509*Settings!$C$19)+(L509*Settings!$C$10)+(Settings!$C$11*M509)</f>
        <v>-1.5458392393873697</v>
      </c>
      <c r="D509" s="57" cm="1">
        <f t="array" ref="D509">IF(Settings!$E$12="YES",VLOOKUP(A509,'Player Data'!A1:E673,5,FALSE),82)</f>
        <v>80.23</v>
      </c>
      <c r="E509" s="55" cm="1">
        <f t="array" ref="E509">(VLOOKUP($A509,'The List'!$B1:$AH671,17,FALSE)-AVERAGE('The List'!R2:R671))/STDEV('The List'!R2:R671)</f>
        <v>0.11973704255267496</v>
      </c>
      <c r="F509" s="55" cm="1">
        <f t="array" ref="F509">(VLOOKUP($A509,'The List'!$B1:$AH671,18,FALSE)-AVERAGE('The List'!S2:S671))/STDEV('The List'!S2:S671)</f>
        <v>-1.0715226823367516</v>
      </c>
      <c r="G509" s="55" cm="1">
        <f t="array" ref="G509">(VLOOKUP($A509,'The List'!$B1:$AH671,19,FALSE)-AVERAGE('The List'!T2:T671))/STDEV('The List'!T2:T671)</f>
        <v>-0.62382284362387108</v>
      </c>
      <c r="H509" s="55" cm="1">
        <f t="array" ref="H509">(VLOOKUP($A509,'The List'!$B1:$AH671,20,FALSE)-AVERAGE('The List'!U2:U671))/STDEV('The List'!U2:U671)</f>
        <v>-0.86779258091265077</v>
      </c>
      <c r="I509" s="55" cm="1">
        <f t="array" ref="I509">(VLOOKUP($A509,'The List'!$B1:$AH671,21,FALSE)-AVERAGE('The List'!V2:V671))/STDEV('The List'!V2:V671)</f>
        <v>-1.0093299433482099</v>
      </c>
      <c r="J509" s="55" cm="1">
        <f t="array" ref="J509">(VLOOKUP($A509,'The List'!$B1:$AH671,22,FALSE)-AVERAGE('The List'!W2:W671))/STDEV('The List'!W2:W671)</f>
        <v>-0.74983662513377447</v>
      </c>
      <c r="K509" s="55" cm="1">
        <f t="array" ref="K509">(VLOOKUP($A509,'The List'!$B1:$AH671,23,FALSE)-AVERAGE('The List'!X2:X671))/STDEV('The List'!X2:X671)</f>
        <v>-0.80943981292866174</v>
      </c>
      <c r="L509" s="55" cm="1">
        <f t="array" ref="L509">(VLOOKUP($A509,'The List'!$B1:$AH671,24,FALSE)-AVERAGE('The List'!Y2:Y671))/STDEV('The List'!Y2:Y671)</f>
        <v>-0.52471729866559047</v>
      </c>
      <c r="M509" s="55" cm="1">
        <f t="array" ref="M509">(VLOOKUP($A509,'The List'!$B1:$AH671,25,FALSE)-AVERAGE('The List'!Z2:Z671))/STDEV('The List'!Z2:Z671)</f>
        <v>-0.38260830461034723</v>
      </c>
      <c r="N509" s="55" cm="1">
        <f t="array" ref="N509">(VLOOKUP($A509,'The List'!$B1:$AH671,26,FALSE)-AVERAGE('The List'!AA2:AA671))/STDEV('The List'!AA2:AA671)</f>
        <v>1.4105178118856683</v>
      </c>
      <c r="O509" s="55" cm="1">
        <f t="array" ref="O509">(VLOOKUP($A509,'The List'!$B1:$AH671,27,FALSE)-AVERAGE('The List'!AB2:AB671))/STDEV('The List'!AB2:AB671)</f>
        <v>0.89006170477244562</v>
      </c>
      <c r="P509" s="55" cm="1">
        <f t="array" ref="P509">(VLOOKUP($A509,'The List'!$B1:$AH671,28,FALSE)-AVERAGE('The List'!AC2:AC671))/STDEV('The List'!AC2:AC671)</f>
        <v>0.98945463413595947</v>
      </c>
      <c r="Q509" s="55" cm="1">
        <f t="array" ref="Q509">(VLOOKUP($A509,'The List'!$B1:$AH671,29,FALSE)-AVERAGE('The List'!AD2:AD671))/STDEV('The List'!AD2:AD671)</f>
        <v>-0.4316964031715036</v>
      </c>
      <c r="R509" s="55" cm="1">
        <f t="array" ref="R509">(VLOOKUP($A509,'The List'!$B1:$AH671,30,FALSE)-AVERAGE('The List'!AE2:AE671))/STDEV('The List'!AE2:AE671)</f>
        <v>-1.0043890342846995</v>
      </c>
      <c r="S509" s="55" cm="1">
        <f t="array" ref="S509">(VLOOKUP($A509,'The List'!$B1:$AH671,31,FALSE)-AVERAGE('The List'!AF2:AF671))/STDEV('The List'!AF2:AF671)</f>
        <v>-0.5939690971349143</v>
      </c>
      <c r="T509" s="55" cm="1">
        <f t="array" ref="T509">(VLOOKUP($A509,'The List'!$B1:$AH671,32,FALSE)-AVERAGE('The List'!AG2:AG671))/STDEV('The List'!AG2:AG671)</f>
        <v>-0.64602208138248207</v>
      </c>
      <c r="U509" s="55" cm="1">
        <f t="array" ref="U509">(VLOOKUP($A509,'The List'!$B1:$AH671,33,FALSE)-AVERAGE('The List'!AH2:AH671))/STDEV('The List'!AH2:AH671)</f>
        <v>-1.2548938914719048</v>
      </c>
      <c r="V509" s="55"/>
      <c r="W509" s="78"/>
      <c r="X509" s="57"/>
      <c r="Y509" s="57"/>
      <c r="Z509" s="57"/>
      <c r="AA509" s="57"/>
      <c r="AB509" s="57"/>
      <c r="AC509" s="60"/>
      <c r="AD509" s="61"/>
      <c r="AE509" s="55"/>
    </row>
    <row r="510" spans="1:31" ht="21.25" customHeight="1" x14ac:dyDescent="0.15">
      <c r="A510" s="10" t="s">
        <v>537</v>
      </c>
      <c r="B510" s="18" t="str" cm="1">
        <f t="array" ref="B510">VLOOKUP(A510,'Player Data'!A1:B673,2,FALSE)</f>
        <v>VGK</v>
      </c>
      <c r="C510" s="52" cm="1">
        <f t="array" ref="C510">((E510)*Settings!$C$12)+(F510*Settings!$C$2)+(G510*Settings!$C$3)+(H510*Settings!$C$4)+(I510*Settings!$C$5)+(K510*Settings!$C$9)+(N510*Settings!$C$6)+(J510*Settings!$C$8)+(O510*Settings!$C$7)+(P510*Settings!$C$14)+(Q510*Settings!$C$15)+(R510*Settings!$C$16)+(S510*Settings!$C$17)+(T510*Settings!$C$18)+(U510*Settings!$C$19)+(L510*Settings!$C$10)+(Settings!$C$11*M510)</f>
        <v>-2.5786097305878943</v>
      </c>
      <c r="D510" s="57" cm="1">
        <f t="array" ref="D510">IF(Settings!$E$12="YES",VLOOKUP(A510,'Player Data'!A1:E673,5,FALSE),82)</f>
        <v>75.862499999999997</v>
      </c>
      <c r="E510" s="55" cm="1">
        <f t="array" ref="E510">(VLOOKUP($A510,'The List'!$B1:$AH671,17,FALSE)-AVERAGE('The List'!R2:R671))/STDEV('The List'!R2:R671)</f>
        <v>2.7577604335872023E-2</v>
      </c>
      <c r="F510" s="55" cm="1">
        <f t="array" ref="F510">(VLOOKUP($A510,'The List'!$B1:$AH671,18,FALSE)-AVERAGE('The List'!S2:S671))/STDEV('The List'!S2:S671)</f>
        <v>-1.2320048760790565</v>
      </c>
      <c r="G510" s="55" cm="1">
        <f t="array" ref="G510">(VLOOKUP($A510,'The List'!$B1:$AH671,19,FALSE)-AVERAGE('The List'!T2:T671))/STDEV('The List'!T2:T671)</f>
        <v>-0.58012225300777898</v>
      </c>
      <c r="H510" s="55" cm="1">
        <f t="array" ref="H510">(VLOOKUP($A510,'The List'!$B1:$AH671,20,FALSE)-AVERAGE('The List'!U2:U671))/STDEV('The List'!U2:U671)</f>
        <v>-0.91150759842186335</v>
      </c>
      <c r="I510" s="55" cm="1">
        <f t="array" ref="I510">(VLOOKUP($A510,'The List'!$B1:$AH671,21,FALSE)-AVERAGE('The List'!V2:V671))/STDEV('The List'!V2:V671)</f>
        <v>-1.29885603448531</v>
      </c>
      <c r="J510" s="55" cm="1">
        <f t="array" ref="J510">(VLOOKUP($A510,'The List'!$B1:$AH671,22,FALSE)-AVERAGE('The List'!W2:W671))/STDEV('The List'!W2:W671)</f>
        <v>-0.74884015966328343</v>
      </c>
      <c r="K510" s="55" cm="1">
        <f t="array" ref="K510">(VLOOKUP($A510,'The List'!$B1:$AH671,23,FALSE)-AVERAGE('The List'!X2:X671))/STDEV('The List'!X2:X671)</f>
        <v>-0.80566879602866692</v>
      </c>
      <c r="L510" s="55" cm="1">
        <f t="array" ref="L510">(VLOOKUP($A510,'The List'!$B1:$AH671,24,FALSE)-AVERAGE('The List'!Y2:Y671))/STDEV('The List'!Y2:Y671)</f>
        <v>-0.54262964571625183</v>
      </c>
      <c r="M510" s="55" cm="1">
        <f t="array" ref="M510">(VLOOKUP($A510,'The List'!$B1:$AH671,25,FALSE)-AVERAGE('The List'!Z2:Z671))/STDEV('The List'!Z2:Z671)</f>
        <v>2.9061761306629366E-2</v>
      </c>
      <c r="N510" s="55" cm="1">
        <f t="array" ref="N510">(VLOOKUP($A510,'The List'!$B1:$AH671,26,FALSE)-AVERAGE('The List'!AA2:AA671))/STDEV('The List'!AA2:AA671)</f>
        <v>0.67521258987728938</v>
      </c>
      <c r="O510" s="55" cm="1">
        <f t="array" ref="O510">(VLOOKUP($A510,'The List'!$B1:$AH671,27,FALSE)-AVERAGE('The List'!AB2:AB671))/STDEV('The List'!AB2:AB671)</f>
        <v>0.57527018473805858</v>
      </c>
      <c r="P510" s="55" cm="1">
        <f t="array" ref="P510">(VLOOKUP($A510,'The List'!$B1:$AH671,28,FALSE)-AVERAGE('The List'!AC2:AC671))/STDEV('The List'!AC2:AC671)</f>
        <v>0.6279563762907493</v>
      </c>
      <c r="Q510" s="55" cm="1">
        <f t="array" ref="Q510">(VLOOKUP($A510,'The List'!$B1:$AH671,29,FALSE)-AVERAGE('The List'!AD2:AD671))/STDEV('The List'!AD2:AD671)</f>
        <v>3.4873262844878877E-2</v>
      </c>
      <c r="R510" s="55" cm="1">
        <f t="array" ref="R510">(VLOOKUP($A510,'The List'!$B1:$AH671,30,FALSE)-AVERAGE('The List'!AE2:AE671))/STDEV('The List'!AE2:AE671)</f>
        <v>-1.1671822919951016</v>
      </c>
      <c r="S510" s="55" cm="1">
        <f t="array" ref="S510">(VLOOKUP($A510,'The List'!$B1:$AH671,31,FALSE)-AVERAGE('The List'!AF2:AF671))/STDEV('The List'!AF2:AF671)</f>
        <v>-0.5939690971349143</v>
      </c>
      <c r="T510" s="55" cm="1">
        <f t="array" ref="T510">(VLOOKUP($A510,'The List'!$B1:$AH671,32,FALSE)-AVERAGE('The List'!AG2:AG671))/STDEV('The List'!AG2:AG671)</f>
        <v>-0.64602208138248207</v>
      </c>
      <c r="U510" s="55" cm="1">
        <f t="array" ref="U510">(VLOOKUP($A510,'The List'!$B1:$AH671,33,FALSE)-AVERAGE('The List'!AH2:AH671))/STDEV('The List'!AH2:AH671)</f>
        <v>-1.2548938914719048</v>
      </c>
      <c r="V510" s="55"/>
      <c r="W510" s="78"/>
      <c r="X510" s="57"/>
      <c r="Y510" s="57"/>
      <c r="Z510" s="57"/>
      <c r="AA510" s="57"/>
      <c r="AB510" s="57"/>
      <c r="AC510" s="60"/>
      <c r="AD510" s="61"/>
      <c r="AE510" s="55"/>
    </row>
    <row r="511" spans="1:31" ht="21.25" customHeight="1" x14ac:dyDescent="0.15">
      <c r="A511" s="10" t="s">
        <v>584</v>
      </c>
      <c r="B511" s="18" t="str" cm="1">
        <f t="array" ref="B511">VLOOKUP(A511,'Player Data'!A1:B673,2,FALSE)</f>
        <v>DAL</v>
      </c>
      <c r="C511" s="52" cm="1">
        <f t="array" ref="C511">((E511)*Settings!$C$12)+(F511*Settings!$C$2)+(G511*Settings!$C$3)+(H511*Settings!$C$4)+(I511*Settings!$C$5)+(K511*Settings!$C$9)+(N511*Settings!$C$6)+(J511*Settings!$C$8)+(O511*Settings!$C$7)+(P511*Settings!$C$14)+(Q511*Settings!$C$15)+(R511*Settings!$C$16)+(S511*Settings!$C$17)+(T511*Settings!$C$18)+(U511*Settings!$C$19)+(L511*Settings!$C$10)+(Settings!$C$11*M511)</f>
        <v>-2.1591338206790462</v>
      </c>
      <c r="D511" s="57" cm="1">
        <f t="array" ref="D511">IF(Settings!$E$12="YES",VLOOKUP(A511,'Player Data'!A1:E673,5,FALSE),82)</f>
        <v>68.5</v>
      </c>
      <c r="E511" s="55" cm="1">
        <f t="array" ref="E511">(VLOOKUP($A511,'The List'!$B1:$AH671,17,FALSE)-AVERAGE('The List'!R2:R671))/STDEV('The List'!R2:R671)</f>
        <v>-0.41397873158545462</v>
      </c>
      <c r="F511" s="55" cm="1">
        <f t="array" ref="F511">(VLOOKUP($A511,'The List'!$B1:$AH671,18,FALSE)-AVERAGE('The List'!S2:S671))/STDEV('The List'!S2:S671)</f>
        <v>-0.78206873052442716</v>
      </c>
      <c r="G511" s="55" cm="1">
        <f t="array" ref="G511">(VLOOKUP($A511,'The List'!$B1:$AH671,19,FALSE)-AVERAGE('The List'!T2:T671))/STDEV('The List'!T2:T671)</f>
        <v>-1.0145151907789105</v>
      </c>
      <c r="H511" s="55" cm="1">
        <f t="array" ref="H511">(VLOOKUP($A511,'The List'!$B1:$AH671,20,FALSE)-AVERAGE('The List'!U2:U671))/STDEV('The List'!U2:U671)</f>
        <v>-0.98511158325822701</v>
      </c>
      <c r="I511" s="55" cm="1">
        <f t="array" ref="I511">(VLOOKUP($A511,'The List'!$B1:$AH671,21,FALSE)-AVERAGE('The List'!V2:V671))/STDEV('The List'!V2:V671)</f>
        <v>-1.2831656545620331</v>
      </c>
      <c r="J511" s="55" cm="1">
        <f t="array" ref="J511">(VLOOKUP($A511,'The List'!$B1:$AH671,22,FALSE)-AVERAGE('The List'!W2:W671))/STDEV('The List'!W2:W671)</f>
        <v>-0.74981375930327709</v>
      </c>
      <c r="K511" s="55" cm="1">
        <f t="array" ref="K511">(VLOOKUP($A511,'The List'!$B1:$AH671,23,FALSE)-AVERAGE('The List'!X2:X671))/STDEV('The List'!X2:X671)</f>
        <v>-0.8103476075357734</v>
      </c>
      <c r="L511" s="55" cm="1">
        <f t="array" ref="L511">(VLOOKUP($A511,'The List'!$B1:$AH671,24,FALSE)-AVERAGE('The List'!Y2:Y671))/STDEV('The List'!Y2:Y671)</f>
        <v>-0.52901410015588135</v>
      </c>
      <c r="M511" s="55" cm="1">
        <f t="array" ref="M511">(VLOOKUP($A511,'The List'!$B1:$AH671,25,FALSE)-AVERAGE('The List'!Z2:Z671))/STDEV('The List'!Z2:Z671)</f>
        <v>-0.63370729923260405</v>
      </c>
      <c r="N511" s="55" cm="1">
        <f t="array" ref="N511">(VLOOKUP($A511,'The List'!$B1:$AH671,26,FALSE)-AVERAGE('The List'!AA2:AA671))/STDEV('The List'!AA2:AA671)</f>
        <v>-2.8382056468761165E-2</v>
      </c>
      <c r="O511" s="55" cm="1">
        <f t="array" ref="O511">(VLOOKUP($A511,'The List'!$B1:$AH671,27,FALSE)-AVERAGE('The List'!AB2:AB671))/STDEV('The List'!AB2:AB671)</f>
        <v>1.4765777063245789</v>
      </c>
      <c r="P511" s="55" cm="1">
        <f t="array" ref="P511">(VLOOKUP($A511,'The List'!$B1:$AH671,28,FALSE)-AVERAGE('The List'!AC2:AC671))/STDEV('The List'!AC2:AC671)</f>
        <v>0.81524772942538382</v>
      </c>
      <c r="Q511" s="55" cm="1">
        <f t="array" ref="Q511">(VLOOKUP($A511,'The List'!$B1:$AH671,29,FALSE)-AVERAGE('The List'!AD2:AD671))/STDEV('The List'!AD2:AD671)</f>
        <v>0.9440976897654757</v>
      </c>
      <c r="R511" s="55" cm="1">
        <f t="array" ref="R511">(VLOOKUP($A511,'The List'!$B1:$AH671,30,FALSE)-AVERAGE('The List'!AE2:AE671))/STDEV('The List'!AE2:AE671)</f>
        <v>-0.71049565219498023</v>
      </c>
      <c r="S511" s="55" cm="1">
        <f t="array" ref="S511">(VLOOKUP($A511,'The List'!$B1:$AH671,31,FALSE)-AVERAGE('The List'!AF2:AF671))/STDEV('The List'!AF2:AF671)</f>
        <v>-0.5939690971349143</v>
      </c>
      <c r="T511" s="55" cm="1">
        <f t="array" ref="T511">(VLOOKUP($A511,'The List'!$B1:$AH671,32,FALSE)-AVERAGE('The List'!AG2:AG671))/STDEV('The List'!AG2:AG671)</f>
        <v>-0.64602208138248207</v>
      </c>
      <c r="U511" s="55" cm="1">
        <f t="array" ref="U511">(VLOOKUP($A511,'The List'!$B1:$AH671,33,FALSE)-AVERAGE('The List'!AH2:AH671))/STDEV('The List'!AH2:AH671)</f>
        <v>-1.2548938914719048</v>
      </c>
      <c r="V511" s="55"/>
      <c r="W511" s="57"/>
      <c r="X511" s="55"/>
      <c r="Y511" s="55"/>
      <c r="Z511" s="55"/>
      <c r="AA511" s="55"/>
      <c r="AB511" s="55"/>
      <c r="AC511" s="55"/>
      <c r="AD511" s="55"/>
      <c r="AE511" s="55"/>
    </row>
    <row r="512" spans="1:31" ht="21.25" customHeight="1" x14ac:dyDescent="0.15">
      <c r="A512" s="10" t="s">
        <v>723</v>
      </c>
      <c r="B512" s="18" t="str" cm="1">
        <f t="array" ref="B512">VLOOKUP(A512,'Player Data'!A1:B673,2,FALSE)</f>
        <v>VGK</v>
      </c>
      <c r="C512" s="52" cm="1">
        <f t="array" ref="C512">((E512)*Settings!$C$12)+(F512*Settings!$C$2)+(G512*Settings!$C$3)+(H512*Settings!$C$4)+(I512*Settings!$C$5)+(K512*Settings!$C$9)+(N512*Settings!$C$6)+(J512*Settings!$C$8)+(O512*Settings!$C$7)+(P512*Settings!$C$14)+(Q512*Settings!$C$15)+(R512*Settings!$C$16)+(S512*Settings!$C$17)+(T512*Settings!$C$18)+(U512*Settings!$C$19)+(L512*Settings!$C$10)+(Settings!$C$11*M512)</f>
        <v>-2.7310611740888584</v>
      </c>
      <c r="D512" s="57" cm="1">
        <f t="array" ref="D512">IF(Settings!$E$12="YES",VLOOKUP(A512,'Player Data'!A1:E673,5,FALSE),82)</f>
        <v>80.987499999999997</v>
      </c>
      <c r="E512" s="55" cm="1">
        <f t="array" ref="E512">(VLOOKUP($A512,'The List'!$B1:$AH671,17,FALSE)-AVERAGE('The List'!R2:R671))/STDEV('The List'!R2:R671)</f>
        <v>-1.1002468372866638</v>
      </c>
      <c r="F512" s="55" cm="1">
        <f t="array" ref="F512">(VLOOKUP($A512,'The List'!$B1:$AH671,18,FALSE)-AVERAGE('The List'!S2:S671))/STDEV('The List'!S2:S671)</f>
        <v>-0.71456005165872594</v>
      </c>
      <c r="G512" s="55" cm="1">
        <f t="array" ref="G512">(VLOOKUP($A512,'The List'!$B1:$AH671,19,FALSE)-AVERAGE('The List'!T2:T671))/STDEV('The List'!T2:T671)</f>
        <v>-0.86948415283785074</v>
      </c>
      <c r="H512" s="55" cm="1">
        <f t="array" ref="H512">(VLOOKUP($A512,'The List'!$B1:$AH671,20,FALSE)-AVERAGE('The List'!U2:U671))/STDEV('The List'!U2:U671)</f>
        <v>-0.86393569363138079</v>
      </c>
      <c r="I512" s="55" cm="1">
        <f t="array" ref="I512">(VLOOKUP($A512,'The List'!$B1:$AH671,21,FALSE)-AVERAGE('The List'!V2:V671))/STDEV('The List'!V2:V671)</f>
        <v>-1.0922535574779899</v>
      </c>
      <c r="J512" s="55" cm="1">
        <f t="array" ref="J512">(VLOOKUP($A512,'The List'!$B1:$AH671,22,FALSE)-AVERAGE('The List'!W2:W671))/STDEV('The List'!W2:W671)</f>
        <v>-0.74178797503761995</v>
      </c>
      <c r="K512" s="55" cm="1">
        <f t="array" ref="K512">(VLOOKUP($A512,'The List'!$B1:$AH671,23,FALSE)-AVERAGE('The List'!X2:X671))/STDEV('The List'!X2:X671)</f>
        <v>-0.80482871357803076</v>
      </c>
      <c r="L512" s="55" cm="1">
        <f t="array" ref="L512">(VLOOKUP($A512,'The List'!$B1:$AH671,24,FALSE)-AVERAGE('The List'!Y2:Y671))/STDEV('The List'!Y2:Y671)</f>
        <v>0.81080233771966548</v>
      </c>
      <c r="M512" s="55" cm="1">
        <f t="array" ref="M512">(VLOOKUP($A512,'The List'!$B1:$AH671,25,FALSE)-AVERAGE('The List'!Z2:Z671))/STDEV('The List'!Z2:Z671)</f>
        <v>0.23297833800884551</v>
      </c>
      <c r="N512" s="55" cm="1">
        <f t="array" ref="N512">(VLOOKUP($A512,'The List'!$B1:$AH671,26,FALSE)-AVERAGE('The List'!AA2:AA671))/STDEV('The List'!AA2:AA671)</f>
        <v>-0.27561482806994747</v>
      </c>
      <c r="O512" s="55" cm="1">
        <f t="array" ref="O512">(VLOOKUP($A512,'The List'!$B1:$AH671,27,FALSE)-AVERAGE('The List'!AB2:AB671))/STDEV('The List'!AB2:AB671)</f>
        <v>0.8015583794797787</v>
      </c>
      <c r="P512" s="55" cm="1">
        <f t="array" ref="P512">(VLOOKUP($A512,'The List'!$B1:$AH671,28,FALSE)-AVERAGE('The List'!AC2:AC671))/STDEV('The List'!AC2:AC671)</f>
        <v>0.35354221723057194</v>
      </c>
      <c r="Q512" s="55" cm="1">
        <f t="array" ref="Q512">(VLOOKUP($A512,'The List'!$B1:$AH671,29,FALSE)-AVERAGE('The List'!AD2:AD671))/STDEV('The List'!AD2:AD671)</f>
        <v>0.67213791230311437</v>
      </c>
      <c r="R512" s="55" cm="1">
        <f t="array" ref="R512">(VLOOKUP($A512,'The List'!$B1:$AH671,30,FALSE)-AVERAGE('The List'!AE2:AE671))/STDEV('The List'!AE2:AE671)</f>
        <v>-0.55029200115779897</v>
      </c>
      <c r="S512" s="55" cm="1">
        <f t="array" ref="S512">(VLOOKUP($A512,'The List'!$B1:$AH671,31,FALSE)-AVERAGE('The List'!AF2:AF671))/STDEV('The List'!AF2:AF671)</f>
        <v>1.6010800483456504</v>
      </c>
      <c r="T512" s="55" cm="1">
        <f t="array" ref="T512">(VLOOKUP($A512,'The List'!$B1:$AH671,32,FALSE)-AVERAGE('The List'!AG2:AG671))/STDEV('The List'!AG2:AG671)</f>
        <v>1.7940183061919697</v>
      </c>
      <c r="U512" s="55" cm="1">
        <f t="array" ref="U512">(VLOOKUP($A512,'The List'!$B1:$AH671,33,FALSE)-AVERAGE('The List'!AH2:AH671))/STDEV('The List'!AH2:AH671)</f>
        <v>0.99428444935813354</v>
      </c>
      <c r="V512" s="55"/>
      <c r="W512" s="78"/>
      <c r="X512" s="57"/>
      <c r="Y512" s="57"/>
      <c r="Z512" s="57"/>
      <c r="AA512" s="57"/>
      <c r="AB512" s="57"/>
      <c r="AC512" s="60"/>
      <c r="AD512" s="61"/>
      <c r="AE512" s="55"/>
    </row>
    <row r="513" spans="1:31" ht="21.25" customHeight="1" x14ac:dyDescent="0.15">
      <c r="A513" s="10" t="s">
        <v>777</v>
      </c>
      <c r="B513" s="18" t="str" cm="1">
        <f t="array" ref="B513">VLOOKUP(A513,'Player Data'!A1:B673,2,FALSE)</f>
        <v>NSH</v>
      </c>
      <c r="C513" s="52" cm="1">
        <f t="array" ref="C513">((E513)*Settings!$C$12)+(F513*Settings!$C$2)+(G513*Settings!$C$3)+(H513*Settings!$C$4)+(I513*Settings!$C$5)+(K513*Settings!$C$9)+(N513*Settings!$C$6)+(J513*Settings!$C$8)+(O513*Settings!$C$7)+(P513*Settings!$C$14)+(Q513*Settings!$C$15)+(R513*Settings!$C$16)+(S513*Settings!$C$17)+(T513*Settings!$C$18)+(U513*Settings!$C$19)+(L513*Settings!$C$10)+(Settings!$C$11*M513)</f>
        <v>-5.9779954909588655</v>
      </c>
      <c r="D513" s="57" cm="1">
        <f t="array" ref="D513">IF(Settings!$E$12="YES",VLOOKUP(A513,'Player Data'!A1:E673,5,FALSE),82)</f>
        <v>64.325000000000003</v>
      </c>
      <c r="E513" s="55" cm="1">
        <f t="array" ref="E513">(VLOOKUP($A513,'The List'!$B1:$AH671,17,FALSE)-AVERAGE('The List'!R2:R671))/STDEV('The List'!R2:R671)</f>
        <v>-1.4459871939842361</v>
      </c>
      <c r="F513" s="55" cm="1">
        <f t="array" ref="F513">(VLOOKUP($A513,'The List'!$B1:$AH671,18,FALSE)-AVERAGE('The List'!S2:S671))/STDEV('The List'!S2:S671)</f>
        <v>-0.62772533412925957</v>
      </c>
      <c r="G513" s="55" cm="1">
        <f t="array" ref="G513">(VLOOKUP($A513,'The List'!$B1:$AH671,19,FALSE)-AVERAGE('The List'!T2:T671))/STDEV('The List'!T2:T671)</f>
        <v>-1.1897718898664624</v>
      </c>
      <c r="H513" s="55" cm="1">
        <f t="array" ref="H513">(VLOOKUP($A513,'The List'!$B1:$AH671,20,FALSE)-AVERAGE('The List'!U2:U671))/STDEV('The List'!U2:U671)</f>
        <v>-1.0268683144325852</v>
      </c>
      <c r="I513" s="55" cm="1">
        <f t="array" ref="I513">(VLOOKUP($A513,'The List'!$B1:$AH671,21,FALSE)-AVERAGE('The List'!V2:V671))/STDEV('The List'!V2:V671)</f>
        <v>-1.0466831321508558</v>
      </c>
      <c r="J513" s="55" cm="1">
        <f t="array" ref="J513">(VLOOKUP($A513,'The List'!$B1:$AH671,22,FALSE)-AVERAGE('The List'!W2:W671))/STDEV('The List'!W2:W671)</f>
        <v>-0.7476273255511654</v>
      </c>
      <c r="K513" s="55" cm="1">
        <f t="array" ref="K513">(VLOOKUP($A513,'The List'!$B1:$AH671,23,FALSE)-AVERAGE('The List'!X2:X671))/STDEV('The List'!X2:X671)</f>
        <v>-0.80987625486291781</v>
      </c>
      <c r="L513" s="55" cm="1">
        <f t="array" ref="L513">(VLOOKUP($A513,'The List'!$B1:$AH671,24,FALSE)-AVERAGE('The List'!Y2:Y671))/STDEV('The List'!Y2:Y671)</f>
        <v>-0.16369622392591485</v>
      </c>
      <c r="M513" s="55" cm="1">
        <f t="array" ref="M513">(VLOOKUP($A513,'The List'!$B1:$AH671,25,FALSE)-AVERAGE('The List'!Z2:Z671))/STDEV('The List'!Z2:Z671)</f>
        <v>-0.30887620077497396</v>
      </c>
      <c r="N513" s="55" cm="1">
        <f t="array" ref="N513">(VLOOKUP($A513,'The List'!$B1:$AH671,26,FALSE)-AVERAGE('The List'!AA2:AA671))/STDEV('The List'!AA2:AA671)</f>
        <v>-0.51339324516353657</v>
      </c>
      <c r="O513" s="55" cm="1">
        <f t="array" ref="O513">(VLOOKUP($A513,'The List'!$B1:$AH671,27,FALSE)-AVERAGE('The List'!AB2:AB671))/STDEV('The List'!AB2:AB671)</f>
        <v>0.82365683647054255</v>
      </c>
      <c r="P513" s="55" cm="1">
        <f t="array" ref="P513">(VLOOKUP($A513,'The List'!$B1:$AH671,28,FALSE)-AVERAGE('The List'!AC2:AC671))/STDEV('The List'!AC2:AC671)</f>
        <v>-0.62387217604160639</v>
      </c>
      <c r="Q513" s="55" cm="1">
        <f t="array" ref="Q513">(VLOOKUP($A513,'The List'!$B1:$AH671,29,FALSE)-AVERAGE('The List'!AD2:AD671))/STDEV('The List'!AD2:AD671)</f>
        <v>-1.1666734587442271</v>
      </c>
      <c r="R513" s="55" cm="1">
        <f t="array" ref="R513">(VLOOKUP($A513,'The List'!$B1:$AH671,30,FALSE)-AVERAGE('The List'!AE2:AE671))/STDEV('The List'!AE2:AE671)</f>
        <v>-0.68953205051412314</v>
      </c>
      <c r="S513" s="55" cm="1">
        <f t="array" ref="S513">(VLOOKUP($A513,'The List'!$B1:$AH671,31,FALSE)-AVERAGE('The List'!AF2:AF671))/STDEV('The List'!AF2:AF671)</f>
        <v>-0.56999627568774669</v>
      </c>
      <c r="T513" s="55" cm="1">
        <f t="array" ref="T513">(VLOOKUP($A513,'The List'!$B1:$AH671,32,FALSE)-AVERAGE('The List'!AG2:AG671))/STDEV('The List'!AG2:AG671)</f>
        <v>-0.49164029347350813</v>
      </c>
      <c r="U513" s="55" cm="1">
        <f t="array" ref="U513">(VLOOKUP($A513,'The List'!$B1:$AH671,33,FALSE)-AVERAGE('The List'!AH2:AH671))/STDEV('The List'!AH2:AH671)</f>
        <v>-0.60258339310551223</v>
      </c>
      <c r="V513" s="55"/>
      <c r="W513" s="78"/>
      <c r="X513" s="57"/>
      <c r="Y513" s="57"/>
      <c r="Z513" s="57"/>
      <c r="AA513" s="57"/>
      <c r="AB513" s="57"/>
      <c r="AC513" s="60"/>
      <c r="AD513" s="61"/>
      <c r="AE513" s="55"/>
    </row>
    <row r="514" spans="1:31" ht="21.25" customHeight="1" x14ac:dyDescent="0.15">
      <c r="A514" s="10" t="s">
        <v>553</v>
      </c>
      <c r="B514" s="18" t="str" cm="1">
        <f t="array" ref="B514">VLOOKUP(A514,'Player Data'!A1:B673,2,FALSE)</f>
        <v>BOS</v>
      </c>
      <c r="C514" s="52" cm="1">
        <f t="array" ref="C514">((E514)*Settings!$C$12)+(F514*Settings!$C$2)+(G514*Settings!$C$3)+(H514*Settings!$C$4)+(I514*Settings!$C$5)+(K514*Settings!$C$9)+(N514*Settings!$C$6)+(J514*Settings!$C$8)+(O514*Settings!$C$7)+(P514*Settings!$C$14)+(Q514*Settings!$C$15)+(R514*Settings!$C$16)+(S514*Settings!$C$17)+(T514*Settings!$C$18)+(U514*Settings!$C$19)+(L514*Settings!$C$10)+(Settings!$C$11*M514)</f>
        <v>-4.73045801297837</v>
      </c>
      <c r="D514" s="57" cm="1">
        <f t="array" ref="D514">IF(Settings!$E$12="YES",VLOOKUP(A514,'Player Data'!A1:E673,5,FALSE),82)</f>
        <v>72.927499999999995</v>
      </c>
      <c r="E514" s="55" cm="1">
        <f t="array" ref="E514">(VLOOKUP($A514,'The List'!$B1:$AH671,17,FALSE)-AVERAGE('The List'!R2:R671))/STDEV('The List'!R2:R671)</f>
        <v>-0.24427708629084938</v>
      </c>
      <c r="F514" s="55" cm="1">
        <f t="array" ref="F514">(VLOOKUP($A514,'The List'!$B1:$AH671,18,FALSE)-AVERAGE('The List'!S2:S671))/STDEV('The List'!S2:S671)</f>
        <v>-1.0817848826353462</v>
      </c>
      <c r="G514" s="55" cm="1">
        <f t="array" ref="G514">(VLOOKUP($A514,'The List'!$B1:$AH671,19,FALSE)-AVERAGE('The List'!T2:T671))/STDEV('The List'!T2:T671)</f>
        <v>-0.73914690882447409</v>
      </c>
      <c r="H514" s="55" cm="1">
        <f t="array" ref="H514">(VLOOKUP($A514,'The List'!$B1:$AH671,20,FALSE)-AVERAGE('The List'!U2:U671))/STDEV('The List'!U2:U671)</f>
        <v>-0.94488392424782741</v>
      </c>
      <c r="I514" s="55" cm="1">
        <f t="array" ref="I514">(VLOOKUP($A514,'The List'!$B1:$AH671,21,FALSE)-AVERAGE('The List'!V2:V671))/STDEV('The List'!V2:V671)</f>
        <v>-1.0796067266649969</v>
      </c>
      <c r="J514" s="55" cm="1">
        <f t="array" ref="J514">(VLOOKUP($A514,'The List'!$B1:$AH671,22,FALSE)-AVERAGE('The List'!W2:W671))/STDEV('The List'!W2:W671)</f>
        <v>-0.74231626069449552</v>
      </c>
      <c r="K514" s="55" cm="1">
        <f t="array" ref="K514">(VLOOKUP($A514,'The List'!$B1:$AH671,23,FALSE)-AVERAGE('The List'!X2:X671))/STDEV('The List'!X2:X671)</f>
        <v>-0.75203235472781804</v>
      </c>
      <c r="L514" s="55" cm="1">
        <f t="array" ref="L514">(VLOOKUP($A514,'The List'!$B1:$AH671,24,FALSE)-AVERAGE('The List'!Y2:Y671))/STDEV('The List'!Y2:Y671)</f>
        <v>-0.54051684783545506</v>
      </c>
      <c r="M514" s="55" cm="1">
        <f t="array" ref="M514">(VLOOKUP($A514,'The List'!$B1:$AH671,25,FALSE)-AVERAGE('The List'!Z2:Z671))/STDEV('The List'!Z2:Z671)</f>
        <v>-0.55904008672959615</v>
      </c>
      <c r="N514" s="55" cm="1">
        <f t="array" ref="N514">(VLOOKUP($A514,'The List'!$B1:$AH671,26,FALSE)-AVERAGE('The List'!AA2:AA671))/STDEV('The List'!AA2:AA671)</f>
        <v>0.13761237308751931</v>
      </c>
      <c r="O514" s="55" cm="1">
        <f t="array" ref="O514">(VLOOKUP($A514,'The List'!$B1:$AH671,27,FALSE)-AVERAGE('The List'!AB2:AB671))/STDEV('The List'!AB2:AB671)</f>
        <v>-0.54660910889298009</v>
      </c>
      <c r="P514" s="55" cm="1">
        <f t="array" ref="P514">(VLOOKUP($A514,'The List'!$B1:$AH671,28,FALSE)-AVERAGE('The List'!AC2:AC671))/STDEV('The List'!AC2:AC671)</f>
        <v>-0.40069362948461751</v>
      </c>
      <c r="Q514" s="55" cm="1">
        <f t="array" ref="Q514">(VLOOKUP($A514,'The List'!$B1:$AH671,29,FALSE)-AVERAGE('The List'!AD2:AD671))/STDEV('The List'!AD2:AD671)</f>
        <v>-0.81480588372863672</v>
      </c>
      <c r="R514" s="55" cm="1">
        <f t="array" ref="R514">(VLOOKUP($A514,'The List'!$B1:$AH671,30,FALSE)-AVERAGE('The List'!AE2:AE671))/STDEV('The List'!AE2:AE671)</f>
        <v>-1.0896504249100207</v>
      </c>
      <c r="S514" s="55" cm="1">
        <f t="array" ref="S514">(VLOOKUP($A514,'The List'!$B1:$AH671,31,FALSE)-AVERAGE('The List'!AF2:AF671))/STDEV('The List'!AF2:AF671)</f>
        <v>-0.5939690971349143</v>
      </c>
      <c r="T514" s="55" cm="1">
        <f t="array" ref="T514">(VLOOKUP($A514,'The List'!$B1:$AH671,32,FALSE)-AVERAGE('The List'!AG2:AG671))/STDEV('The List'!AG2:AG671)</f>
        <v>-0.64602208138248207</v>
      </c>
      <c r="U514" s="55" cm="1">
        <f t="array" ref="U514">(VLOOKUP($A514,'The List'!$B1:$AH671,33,FALSE)-AVERAGE('The List'!AH2:AH671))/STDEV('The List'!AH2:AH671)</f>
        <v>-1.2548938914719048</v>
      </c>
      <c r="V514" s="55"/>
      <c r="W514" s="78"/>
      <c r="X514" s="57"/>
      <c r="Y514" s="57"/>
      <c r="Z514" s="57"/>
      <c r="AA514" s="57"/>
      <c r="AB514" s="57"/>
      <c r="AC514" s="60"/>
      <c r="AD514" s="61"/>
      <c r="AE514" s="55"/>
    </row>
    <row r="515" spans="1:31" ht="21.25" customHeight="1" x14ac:dyDescent="0.15">
      <c r="A515" s="10" t="s">
        <v>494</v>
      </c>
      <c r="B515" s="18" t="str" cm="1">
        <f t="array" ref="B515">VLOOKUP(A515,'Player Data'!A1:B673,2,FALSE)</f>
        <v>NSH</v>
      </c>
      <c r="C515" s="52" cm="1">
        <f t="array" ref="C515">((E515)*Settings!$C$12)+(F515*Settings!$C$2)+(G515*Settings!$C$3)+(H515*Settings!$C$4)+(I515*Settings!$C$5)+(K515*Settings!$C$9)+(N515*Settings!$C$6)+(J515*Settings!$C$8)+(O515*Settings!$C$7)+(P515*Settings!$C$14)+(Q515*Settings!$C$15)+(R515*Settings!$C$16)+(S515*Settings!$C$17)+(T515*Settings!$C$18)+(U515*Settings!$C$19)+(L515*Settings!$C$10)+(Settings!$C$11*M515)</f>
        <v>-2.2701317951156277</v>
      </c>
      <c r="D515" s="57" cm="1">
        <f t="array" ref="D515">IF(Settings!$E$12="YES",VLOOKUP(A515,'Player Data'!A1:E673,5,FALSE),82)</f>
        <v>77.655000000000001</v>
      </c>
      <c r="E515" s="55" cm="1">
        <f t="array" ref="E515">(VLOOKUP($A515,'The List'!$B1:$AH671,17,FALSE)-AVERAGE('The List'!R2:R671))/STDEV('The List'!R2:R671)</f>
        <v>0.70173566565280243</v>
      </c>
      <c r="F515" s="55" cm="1">
        <f t="array" ref="F515">(VLOOKUP($A515,'The List'!$B1:$AH671,18,FALSE)-AVERAGE('The List'!S2:S671))/STDEV('The List'!S2:S671)</f>
        <v>-0.97714244110226578</v>
      </c>
      <c r="G515" s="55" cm="1">
        <f t="array" ref="G515">(VLOOKUP($A515,'The List'!$B1:$AH671,19,FALSE)-AVERAGE('The List'!T2:T671))/STDEV('The List'!T2:T671)</f>
        <v>-0.74110269093335768</v>
      </c>
      <c r="H515" s="55" cm="1">
        <f t="array" ref="H515">(VLOOKUP($A515,'The List'!$B1:$AH671,20,FALSE)-AVERAGE('The List'!U2:U671))/STDEV('The List'!U2:U671)</f>
        <v>-0.89968652588328601</v>
      </c>
      <c r="I515" s="55" cm="1">
        <f t="array" ref="I515">(VLOOKUP($A515,'The List'!$B1:$AH671,21,FALSE)-AVERAGE('The List'!V2:V671))/STDEV('The List'!V2:V671)</f>
        <v>-0.73518970899448721</v>
      </c>
      <c r="J515" s="55" cm="1">
        <f t="array" ref="J515">(VLOOKUP($A515,'The List'!$B1:$AH671,22,FALSE)-AVERAGE('The List'!W2:W671))/STDEV('The List'!W2:W671)</f>
        <v>-0.74689878199370763</v>
      </c>
      <c r="K515" s="55" cm="1">
        <f t="array" ref="K515">(VLOOKUP($A515,'The List'!$B1:$AH671,23,FALSE)-AVERAGE('The List'!X2:X671))/STDEV('The List'!X2:X671)</f>
        <v>-0.80154052037424761</v>
      </c>
      <c r="L515" s="55" cm="1">
        <f t="array" ref="L515">(VLOOKUP($A515,'The List'!$B1:$AH671,24,FALSE)-AVERAGE('The List'!Y2:Y671))/STDEV('The List'!Y2:Y671)</f>
        <v>-0.53088905427332345</v>
      </c>
      <c r="M515" s="55" cm="1">
        <f t="array" ref="M515">(VLOOKUP($A515,'The List'!$B1:$AH671,25,FALSE)-AVERAGE('The List'!Z2:Z671))/STDEV('The List'!Z2:Z671)</f>
        <v>5.6704632034720585E-2</v>
      </c>
      <c r="N515" s="55" cm="1">
        <f t="array" ref="N515">(VLOOKUP($A515,'The List'!$B1:$AH671,26,FALSE)-AVERAGE('The List'!AA2:AA671))/STDEV('The List'!AA2:AA671)</f>
        <v>0.62643776115183736</v>
      </c>
      <c r="O515" s="55" cm="1">
        <f t="array" ref="O515">(VLOOKUP($A515,'The List'!$B1:$AH671,27,FALSE)-AVERAGE('The List'!AB2:AB671))/STDEV('The List'!AB2:AB671)</f>
        <v>0.19346138134733606</v>
      </c>
      <c r="P515" s="55" cm="1">
        <f t="array" ref="P515">(VLOOKUP($A515,'The List'!$B1:$AH671,28,FALSE)-AVERAGE('The List'!AC2:AC671))/STDEV('The List'!AC2:AC671)</f>
        <v>-0.99267136963567326</v>
      </c>
      <c r="Q515" s="55" cm="1">
        <f t="array" ref="Q515">(VLOOKUP($A515,'The List'!$B1:$AH671,29,FALSE)-AVERAGE('The List'!AD2:AD671))/STDEV('The List'!AD2:AD671)</f>
        <v>1.3510771747725661</v>
      </c>
      <c r="R515" s="55" cm="1">
        <f t="array" ref="R515">(VLOOKUP($A515,'The List'!$B1:$AH671,30,FALSE)-AVERAGE('The List'!AE2:AE671))/STDEV('The List'!AE2:AE671)</f>
        <v>-0.99200689532085473</v>
      </c>
      <c r="S515" s="55" cm="1">
        <f t="array" ref="S515">(VLOOKUP($A515,'The List'!$B1:$AH671,31,FALSE)-AVERAGE('The List'!AF2:AF671))/STDEV('The List'!AF2:AF671)</f>
        <v>-0.5939690971349143</v>
      </c>
      <c r="T515" s="55" cm="1">
        <f t="array" ref="T515">(VLOOKUP($A515,'The List'!$B1:$AH671,32,FALSE)-AVERAGE('The List'!AG2:AG671))/STDEV('The List'!AG2:AG671)</f>
        <v>-0.64602208138248207</v>
      </c>
      <c r="U515" s="55" cm="1">
        <f t="array" ref="U515">(VLOOKUP($A515,'The List'!$B1:$AH671,33,FALSE)-AVERAGE('The List'!AH2:AH671))/STDEV('The List'!AH2:AH671)</f>
        <v>-1.2548938914719048</v>
      </c>
      <c r="V515" s="55"/>
      <c r="W515" s="78"/>
      <c r="X515" s="57"/>
      <c r="Y515" s="57"/>
      <c r="Z515" s="57"/>
      <c r="AA515" s="57"/>
      <c r="AB515" s="57"/>
      <c r="AC515" s="60"/>
      <c r="AD515" s="61"/>
      <c r="AE515" s="55"/>
    </row>
    <row r="516" spans="1:31" ht="21.25" customHeight="1" x14ac:dyDescent="0.15">
      <c r="A516" s="10" t="s">
        <v>789</v>
      </c>
      <c r="B516" s="18" t="str" cm="1">
        <f t="array" ref="B516">VLOOKUP(A516,'Player Data'!A1:B673,2,FALSE)</f>
        <v>NSH</v>
      </c>
      <c r="C516" s="52" cm="1">
        <f t="array" ref="C516">((E516)*Settings!$C$12)+(F516*Settings!$C$2)+(G516*Settings!$C$3)+(H516*Settings!$C$4)+(I516*Settings!$C$5)+(K516*Settings!$C$9)+(N516*Settings!$C$6)+(J516*Settings!$C$8)+(O516*Settings!$C$7)+(P516*Settings!$C$14)+(Q516*Settings!$C$15)+(R516*Settings!$C$16)+(S516*Settings!$C$17)+(T516*Settings!$C$18)+(U516*Settings!$C$19)+(L516*Settings!$C$10)+(Settings!$C$11*M516)</f>
        <v>-5.3011238474943108</v>
      </c>
      <c r="D516" s="57" cm="1">
        <f t="array" ref="D516">IF(Settings!$E$12="YES",VLOOKUP(A516,'Player Data'!A1:E673,5,FALSE),82)</f>
        <v>60.087499999999999</v>
      </c>
      <c r="E516" s="55" cm="1">
        <f t="array" ref="E516">(VLOOKUP($A516,'The List'!$B1:$AH671,17,FALSE)-AVERAGE('The List'!R2:R671))/STDEV('The List'!R2:R671)</f>
        <v>-1.2225895397040196</v>
      </c>
      <c r="F516" s="55" cm="1">
        <f t="array" ref="F516">(VLOOKUP($A516,'The List'!$B1:$AH671,18,FALSE)-AVERAGE('The List'!S2:S671))/STDEV('The List'!S2:S671)</f>
        <v>-0.92185925497480936</v>
      </c>
      <c r="G516" s="55" cm="1">
        <f t="array" ref="G516">(VLOOKUP($A516,'The List'!$B1:$AH671,19,FALSE)-AVERAGE('The List'!T2:T671))/STDEV('The List'!T2:T671)</f>
        <v>-1.0522205943810643</v>
      </c>
      <c r="H516" s="55" cm="1">
        <f t="array" ref="H516">(VLOOKUP($A516,'The List'!$B1:$AH671,20,FALSE)-AVERAGE('The List'!U2:U671))/STDEV('The List'!U2:U671)</f>
        <v>-1.0708500978955249</v>
      </c>
      <c r="I516" s="55" cm="1">
        <f t="array" ref="I516">(VLOOKUP($A516,'The List'!$B1:$AH671,21,FALSE)-AVERAGE('The List'!V2:V671))/STDEV('The List'!V2:V671)</f>
        <v>-1.2778664768164967</v>
      </c>
      <c r="J516" s="55" cm="1">
        <f t="array" ref="J516">(VLOOKUP($A516,'The List'!$B1:$AH671,22,FALSE)-AVERAGE('The List'!W2:W671))/STDEV('The List'!W2:W671)</f>
        <v>-0.74718687933036732</v>
      </c>
      <c r="K516" s="55" cm="1">
        <f t="array" ref="K516">(VLOOKUP($A516,'The List'!$B1:$AH671,23,FALSE)-AVERAGE('The List'!X2:X671))/STDEV('The List'!X2:X671)</f>
        <v>-0.80957121846663405</v>
      </c>
      <c r="L516" s="55" cm="1">
        <f t="array" ref="L516">(VLOOKUP($A516,'The List'!$B1:$AH671,24,FALSE)-AVERAGE('The List'!Y2:Y671))/STDEV('The List'!Y2:Y671)</f>
        <v>-4.6401951107325418E-3</v>
      </c>
      <c r="M516" s="55" cm="1">
        <f t="array" ref="M516">(VLOOKUP($A516,'The List'!$B1:$AH671,25,FALSE)-AVERAGE('The List'!Z2:Z671))/STDEV('The List'!Z2:Z671)</f>
        <v>-0.16111742762382281</v>
      </c>
      <c r="N516" s="55" cm="1">
        <f t="array" ref="N516">(VLOOKUP($A516,'The List'!$B1:$AH671,26,FALSE)-AVERAGE('The List'!AA2:AA671))/STDEV('The List'!AA2:AA671)</f>
        <v>-0.80055430901806146</v>
      </c>
      <c r="O516" s="55" cm="1">
        <f t="array" ref="O516">(VLOOKUP($A516,'The List'!$B1:$AH671,27,FALSE)-AVERAGE('The List'!AB2:AB671))/STDEV('The List'!AB2:AB671)</f>
        <v>1.226577309553476</v>
      </c>
      <c r="P516" s="55" cm="1">
        <f t="array" ref="P516">(VLOOKUP($A516,'The List'!$B1:$AH671,28,FALSE)-AVERAGE('The List'!AC2:AC671))/STDEV('The List'!AC2:AC671)</f>
        <v>-0.640869649036378</v>
      </c>
      <c r="Q516" s="55" cm="1">
        <f t="array" ref="Q516">(VLOOKUP($A516,'The List'!$B1:$AH671,29,FALSE)-AVERAGE('The List'!AD2:AD671))/STDEV('The List'!AD2:AD671)</f>
        <v>0.20181765519913372</v>
      </c>
      <c r="R516" s="55" cm="1">
        <f t="array" ref="R516">(VLOOKUP($A516,'The List'!$B1:$AH671,30,FALSE)-AVERAGE('The List'!AE2:AE671))/STDEV('The List'!AE2:AE671)</f>
        <v>-0.94415070050204708</v>
      </c>
      <c r="S516" s="55" cm="1">
        <f t="array" ref="S516">(VLOOKUP($A516,'The List'!$B1:$AH671,31,FALSE)-AVERAGE('The List'!AF2:AF671))/STDEV('The List'!AF2:AF671)</f>
        <v>-0.57903342744700537</v>
      </c>
      <c r="T516" s="55" cm="1">
        <f t="array" ref="T516">(VLOOKUP($A516,'The List'!$B1:$AH671,32,FALSE)-AVERAGE('The List'!AG2:AG671))/STDEV('The List'!AG2:AG671)</f>
        <v>-0.59996552956299243</v>
      </c>
      <c r="U516" s="55" cm="1">
        <f t="array" ref="U516">(VLOOKUP($A516,'The List'!$B1:$AH671,33,FALSE)-AVERAGE('The List'!AH2:AH671))/STDEV('The List'!AH2:AH671)</f>
        <v>-7.4867346539215354E-2</v>
      </c>
      <c r="V516" s="55"/>
      <c r="W516" s="57"/>
      <c r="X516" s="55"/>
      <c r="Y516" s="55"/>
      <c r="Z516" s="55"/>
      <c r="AA516" s="55"/>
      <c r="AB516" s="55"/>
      <c r="AC516" s="55"/>
      <c r="AD516" s="55"/>
      <c r="AE516" s="55"/>
    </row>
    <row r="517" spans="1:31" ht="21.25" customHeight="1" x14ac:dyDescent="0.15">
      <c r="A517" s="10" t="s">
        <v>773</v>
      </c>
      <c r="B517" s="18" t="str" cm="1">
        <f t="array" ref="B517">VLOOKUP(A517,'Player Data'!A1:B673,2,FALSE)</f>
        <v>VAN</v>
      </c>
      <c r="C517" s="52" cm="1">
        <f t="array" ref="C517">((E517)*Settings!$C$12)+(F517*Settings!$C$2)+(G517*Settings!$C$3)+(H517*Settings!$C$4)+(I517*Settings!$C$5)+(K517*Settings!$C$9)+(N517*Settings!$C$6)+(J517*Settings!$C$8)+(O517*Settings!$C$7)+(P517*Settings!$C$14)+(Q517*Settings!$C$15)+(R517*Settings!$C$16)+(S517*Settings!$C$17)+(T517*Settings!$C$18)+(U517*Settings!$C$19)+(L517*Settings!$C$10)+(Settings!$C$11*M517)</f>
        <v>-7.0917391409812431</v>
      </c>
      <c r="D517" s="57" cm="1">
        <f t="array" ref="D517">IF(Settings!$E$12="YES",VLOOKUP(A517,'Player Data'!A1:E673,5,FALSE),82)</f>
        <v>82.484999999999999</v>
      </c>
      <c r="E517" s="55" cm="1">
        <f t="array" ref="E517">(VLOOKUP($A517,'The List'!$B1:$AH671,17,FALSE)-AVERAGE('The List'!R2:R671))/STDEV('The List'!R2:R671)</f>
        <v>-1.6422239322825762</v>
      </c>
      <c r="F517" s="55" cm="1">
        <f t="array" ref="F517">(VLOOKUP($A517,'The List'!$B1:$AH671,18,FALSE)-AVERAGE('The List'!S2:S671))/STDEV('The List'!S2:S671)</f>
        <v>-0.4026725545670542</v>
      </c>
      <c r="G517" s="55" cm="1">
        <f t="array" ref="G517">(VLOOKUP($A517,'The List'!$B1:$AH671,19,FALSE)-AVERAGE('The List'!T2:T671))/STDEV('The List'!T2:T671)</f>
        <v>-1.0902193617026086</v>
      </c>
      <c r="H517" s="55" cm="1">
        <f t="array" ref="H517">(VLOOKUP($A517,'The List'!$B1:$AH671,20,FALSE)-AVERAGE('The List'!U2:U671))/STDEV('The List'!U2:U671)</f>
        <v>-0.86439927703567776</v>
      </c>
      <c r="I517" s="55" cm="1">
        <f t="array" ref="I517">(VLOOKUP($A517,'The List'!$B1:$AH671,21,FALSE)-AVERAGE('The List'!V2:V671))/STDEV('The List'!V2:V671)</f>
        <v>-0.93917779764912168</v>
      </c>
      <c r="J517" s="55" cm="1">
        <f t="array" ref="J517">(VLOOKUP($A517,'The List'!$B1:$AH671,22,FALSE)-AVERAGE('The List'!W2:W671))/STDEV('The List'!W2:W671)</f>
        <v>-0.73678077909281414</v>
      </c>
      <c r="K517" s="55" cm="1">
        <f t="array" ref="K517">(VLOOKUP($A517,'The List'!$B1:$AH671,23,FALSE)-AVERAGE('The List'!X2:X671))/STDEV('The List'!X2:X671)</f>
        <v>-0.79804067909094645</v>
      </c>
      <c r="L517" s="55" cm="1">
        <f t="array" ref="L517">(VLOOKUP($A517,'The List'!$B1:$AH671,24,FALSE)-AVERAGE('The List'!Y2:Y671))/STDEV('The List'!Y2:Y671)</f>
        <v>-0.54709590071755854</v>
      </c>
      <c r="M517" s="55" cm="1">
        <f t="array" ref="M517">(VLOOKUP($A517,'The List'!$B1:$AH671,25,FALSE)-AVERAGE('The List'!Z2:Z671))/STDEV('The List'!Z2:Z671)</f>
        <v>-0.68917557539254215</v>
      </c>
      <c r="N517" s="55" cm="1">
        <f t="array" ref="N517">(VLOOKUP($A517,'The List'!$B1:$AH671,26,FALSE)-AVERAGE('The List'!AA2:AA671))/STDEV('The List'!AA2:AA671)</f>
        <v>-0.95490563115716054</v>
      </c>
      <c r="O517" s="55" cm="1">
        <f t="array" ref="O517">(VLOOKUP($A517,'The List'!$B1:$AH671,27,FALSE)-AVERAGE('The List'!AB2:AB671))/STDEV('The List'!AB2:AB671)</f>
        <v>2.1586669353283119</v>
      </c>
      <c r="P517" s="55" cm="1">
        <f t="array" ref="P517">(VLOOKUP($A517,'The List'!$B1:$AH671,28,FALSE)-AVERAGE('The List'!AC2:AC671))/STDEV('The List'!AC2:AC671)</f>
        <v>-2.6001267632262559</v>
      </c>
      <c r="Q517" s="55" cm="1">
        <f t="array" ref="Q517">(VLOOKUP($A517,'The List'!$B1:$AH671,29,FALSE)-AVERAGE('The List'!AD2:AD671))/STDEV('The List'!AD2:AD671)</f>
        <v>-0.30659635358809523</v>
      </c>
      <c r="R517" s="55" cm="1">
        <f t="array" ref="R517">(VLOOKUP($A517,'The List'!$B1:$AH671,30,FALSE)-AVERAGE('The List'!AE2:AE671))/STDEV('The List'!AE2:AE671)</f>
        <v>-0.58312346229955636</v>
      </c>
      <c r="S517" s="55" cm="1">
        <f t="array" ref="S517">(VLOOKUP($A517,'The List'!$B1:$AH671,31,FALSE)-AVERAGE('The List'!AF2:AF671))/STDEV('The List'!AF2:AF671)</f>
        <v>-0.32449097947400385</v>
      </c>
      <c r="T517" s="55" cm="1">
        <f t="array" ref="T517">(VLOOKUP($A517,'The List'!$B1:$AH671,32,FALSE)-AVERAGE('The List'!AG2:AG671))/STDEV('The List'!AG2:AG671)</f>
        <v>-0.37353103434226781</v>
      </c>
      <c r="U517" s="55" cm="1">
        <f t="array" ref="U517">(VLOOKUP($A517,'The List'!$B1:$AH671,33,FALSE)-AVERAGE('The List'!AH2:AH671))/STDEV('The List'!AH2:AH671)</f>
        <v>1.103085708874312</v>
      </c>
      <c r="V517" s="55"/>
      <c r="W517" s="78"/>
      <c r="X517" s="57"/>
      <c r="Y517" s="57"/>
      <c r="Z517" s="57"/>
      <c r="AA517" s="57"/>
      <c r="AB517" s="57"/>
      <c r="AC517" s="60"/>
      <c r="AD517" s="61"/>
      <c r="AE517" s="55"/>
    </row>
    <row r="518" spans="1:31" ht="21.25" customHeight="1" x14ac:dyDescent="0.15">
      <c r="A518" s="10" t="s">
        <v>786</v>
      </c>
      <c r="B518" s="18" t="str" cm="1">
        <f t="array" ref="B518">VLOOKUP(A518,'Player Data'!A1:B673,2,FALSE)</f>
        <v>T.B</v>
      </c>
      <c r="C518" s="52" cm="1">
        <f t="array" ref="C518">((E518)*Settings!$C$12)+(F518*Settings!$C$2)+(G518*Settings!$C$3)+(H518*Settings!$C$4)+(I518*Settings!$C$5)+(K518*Settings!$C$9)+(N518*Settings!$C$6)+(J518*Settings!$C$8)+(O518*Settings!$C$7)+(P518*Settings!$C$14)+(Q518*Settings!$C$15)+(R518*Settings!$C$16)+(S518*Settings!$C$17)+(T518*Settings!$C$18)+(U518*Settings!$C$19)+(L518*Settings!$C$10)+(Settings!$C$11*M518)</f>
        <v>-2.5458832911514242</v>
      </c>
      <c r="D518" s="57" cm="1">
        <f t="array" ref="D518">IF(Settings!$E$12="YES",VLOOKUP(A518,'Player Data'!A1:E673,5,FALSE),82)</f>
        <v>61.174999999999997</v>
      </c>
      <c r="E518" s="55" cm="1">
        <f t="array" ref="E518">(VLOOKUP($A518,'The List'!$B1:$AH671,17,FALSE)-AVERAGE('The List'!R2:R671))/STDEV('The List'!R2:R671)</f>
        <v>-1.544175695256524</v>
      </c>
      <c r="F518" s="55" cm="1">
        <f t="array" ref="F518">(VLOOKUP($A518,'The List'!$B1:$AH671,18,FALSE)-AVERAGE('The List'!S2:S671))/STDEV('The List'!S2:S671)</f>
        <v>-0.89292288158410904</v>
      </c>
      <c r="G518" s="55" cm="1">
        <f t="array" ref="G518">(VLOOKUP($A518,'The List'!$B1:$AH671,19,FALSE)-AVERAGE('The List'!T2:T671))/STDEV('The List'!T2:T671)</f>
        <v>-1.0704837724954583</v>
      </c>
      <c r="H518" s="55" cm="1">
        <f t="array" ref="H518">(VLOOKUP($A518,'The List'!$B1:$AH671,20,FALSE)-AVERAGE('The List'!U2:U671))/STDEV('The List'!U2:U671)</f>
        <v>-1.0694991011201784</v>
      </c>
      <c r="I518" s="55" cm="1">
        <f t="array" ref="I518">(VLOOKUP($A518,'The List'!$B1:$AH671,21,FALSE)-AVERAGE('The List'!V2:V671))/STDEV('The List'!V2:V671)</f>
        <v>-0.94128616822804101</v>
      </c>
      <c r="J518" s="55" cm="1">
        <f t="array" ref="J518">(VLOOKUP($A518,'The List'!$B1:$AH671,22,FALSE)-AVERAGE('The List'!W2:W671))/STDEV('The List'!W2:W671)</f>
        <v>-0.7254022310028041</v>
      </c>
      <c r="K518" s="55" cm="1">
        <f t="array" ref="K518">(VLOOKUP($A518,'The List'!$B1:$AH671,23,FALSE)-AVERAGE('The List'!X2:X671))/STDEV('The List'!X2:X671)</f>
        <v>-0.7919328222153541</v>
      </c>
      <c r="L518" s="55" cm="1">
        <f t="array" ref="L518">(VLOOKUP($A518,'The List'!$B1:$AH671,24,FALSE)-AVERAGE('The List'!Y2:Y671))/STDEV('The List'!Y2:Y671)</f>
        <v>-0.54889760274822774</v>
      </c>
      <c r="M518" s="55" cm="1">
        <f t="array" ref="M518">(VLOOKUP($A518,'The List'!$B1:$AH671,25,FALSE)-AVERAGE('The List'!Z2:Z671))/STDEV('The List'!Z2:Z671)</f>
        <v>-0.69108257254604777</v>
      </c>
      <c r="N518" s="55" cm="1">
        <f t="array" ref="N518">(VLOOKUP($A518,'The List'!$B1:$AH671,26,FALSE)-AVERAGE('The List'!AA2:AA671))/STDEV('The List'!AA2:AA671)</f>
        <v>-0.94251560811211488</v>
      </c>
      <c r="O518" s="55" cm="1">
        <f t="array" ref="O518">(VLOOKUP($A518,'The List'!$B1:$AH671,27,FALSE)-AVERAGE('The List'!AB2:AB671))/STDEV('The List'!AB2:AB671)</f>
        <v>1.0144162458720711</v>
      </c>
      <c r="P518" s="55" cm="1">
        <f t="array" ref="P518">(VLOOKUP($A518,'The List'!$B1:$AH671,28,FALSE)-AVERAGE('The List'!AC2:AC671))/STDEV('The List'!AC2:AC671)</f>
        <v>0.8969733222397851</v>
      </c>
      <c r="Q518" s="55" cm="1">
        <f t="array" ref="Q518">(VLOOKUP($A518,'The List'!$B1:$AH671,29,FALSE)-AVERAGE('The List'!AD2:AD671))/STDEV('The List'!AD2:AD671)</f>
        <v>1.1962846392438684</v>
      </c>
      <c r="R518" s="55" cm="1">
        <f t="array" ref="R518">(VLOOKUP($A518,'The List'!$B1:$AH671,30,FALSE)-AVERAGE('The List'!AE2:AE671))/STDEV('The List'!AE2:AE671)</f>
        <v>-0.80258800707929279</v>
      </c>
      <c r="S518" s="55" cm="1">
        <f t="array" ref="S518">(VLOOKUP($A518,'The List'!$B1:$AH671,31,FALSE)-AVERAGE('The List'!AF2:AF671))/STDEV('The List'!AF2:AF671)</f>
        <v>-0.58651620749069744</v>
      </c>
      <c r="T518" s="55" cm="1">
        <f t="array" ref="T518">(VLOOKUP($A518,'The List'!$B1:$AH671,32,FALSE)-AVERAGE('The List'!AG2:AG671))/STDEV('The List'!AG2:AG671)</f>
        <v>-0.62154351674277131</v>
      </c>
      <c r="U518" s="55" cm="1">
        <f t="array" ref="U518">(VLOOKUP($A518,'The List'!$B1:$AH671,33,FALSE)-AVERAGE('The List'!AH2:AH671))/STDEV('The List'!AH2:AH671)</f>
        <v>-0.12934009489852541</v>
      </c>
      <c r="V518" s="55"/>
      <c r="W518" s="78"/>
      <c r="X518" s="57"/>
      <c r="Y518" s="57"/>
      <c r="Z518" s="57"/>
      <c r="AA518" s="57"/>
      <c r="AB518" s="57"/>
      <c r="AC518" s="60"/>
      <c r="AD518" s="61"/>
      <c r="AE518" s="55"/>
    </row>
    <row r="519" spans="1:31" ht="21.25" customHeight="1" x14ac:dyDescent="0.15">
      <c r="A519" s="10" t="s">
        <v>539</v>
      </c>
      <c r="B519" s="18" t="str" cm="1">
        <f t="array" ref="B519">VLOOKUP(A519,'Player Data'!A1:B673,2,FALSE)</f>
        <v>SEA</v>
      </c>
      <c r="C519" s="52" cm="1">
        <f t="array" ref="C519">((E519)*Settings!$C$12)+(F519*Settings!$C$2)+(G519*Settings!$C$3)+(H519*Settings!$C$4)+(I519*Settings!$C$5)+(K519*Settings!$C$9)+(N519*Settings!$C$6)+(J519*Settings!$C$8)+(O519*Settings!$C$7)+(P519*Settings!$C$14)+(Q519*Settings!$C$15)+(R519*Settings!$C$16)+(S519*Settings!$C$17)+(T519*Settings!$C$18)+(U519*Settings!$C$19)+(L519*Settings!$C$10)+(Settings!$C$11*M519)</f>
        <v>-4.5703677760221133</v>
      </c>
      <c r="D519" s="57" cm="1">
        <f t="array" ref="D519">IF(Settings!$E$12="YES",VLOOKUP(A519,'Player Data'!A1:E673,5,FALSE),82)</f>
        <v>65.882499999999993</v>
      </c>
      <c r="E519" s="55" cm="1">
        <f t="array" ref="E519">(VLOOKUP($A519,'The List'!$B1:$AH671,17,FALSE)-AVERAGE('The List'!R2:R671))/STDEV('The List'!R2:R671)</f>
        <v>0.28452654535771327</v>
      </c>
      <c r="F519" s="55" cm="1">
        <f t="array" ref="F519">(VLOOKUP($A519,'The List'!$B1:$AH671,18,FALSE)-AVERAGE('The List'!S2:S671))/STDEV('The List'!S2:S671)</f>
        <v>-1.2403446873926027</v>
      </c>
      <c r="G519" s="55" cm="1">
        <f t="array" ref="G519">(VLOOKUP($A519,'The List'!$B1:$AH671,19,FALSE)-AVERAGE('The List'!T2:T671))/STDEV('The List'!T2:T671)</f>
        <v>-0.75852982643829092</v>
      </c>
      <c r="H519" s="55" cm="1">
        <f t="array" ref="H519">(VLOOKUP($A519,'The List'!$B1:$AH671,20,FALSE)-AVERAGE('The List'!U2:U671))/STDEV('The List'!U2:U671)</f>
        <v>-1.0274252132875237</v>
      </c>
      <c r="I519" s="55" cm="1">
        <f t="array" ref="I519">(VLOOKUP($A519,'The List'!$B1:$AH671,21,FALSE)-AVERAGE('The List'!V2:V671))/STDEV('The List'!V2:V671)</f>
        <v>-1.1487693453884649</v>
      </c>
      <c r="J519" s="55" cm="1">
        <f t="array" ref="J519">(VLOOKUP($A519,'The List'!$B1:$AH671,22,FALSE)-AVERAGE('The List'!W2:W671))/STDEV('The List'!W2:W671)</f>
        <v>-0.74641320523058496</v>
      </c>
      <c r="K519" s="55" cm="1">
        <f t="array" ref="K519">(VLOOKUP($A519,'The List'!$B1:$AH671,23,FALSE)-AVERAGE('The List'!X2:X671))/STDEV('The List'!X2:X671)</f>
        <v>-0.79756393993984531</v>
      </c>
      <c r="L519" s="55" cm="1">
        <f t="array" ref="L519">(VLOOKUP($A519,'The List'!$B1:$AH671,24,FALSE)-AVERAGE('The List'!Y2:Y671))/STDEV('The List'!Y2:Y671)</f>
        <v>-0.52337564158219863</v>
      </c>
      <c r="M519" s="55" cm="1">
        <f t="array" ref="M519">(VLOOKUP($A519,'The List'!$B1:$AH671,25,FALSE)-AVERAGE('The List'!Z2:Z671))/STDEV('The List'!Z2:Z671)</f>
        <v>-0.15640933851916225</v>
      </c>
      <c r="N519" s="55" cm="1">
        <f t="array" ref="N519">(VLOOKUP($A519,'The List'!$B1:$AH671,26,FALSE)-AVERAGE('The List'!AA2:AA671))/STDEV('The List'!AA2:AA671)</f>
        <v>0.79572423556877847</v>
      </c>
      <c r="O519" s="55" cm="1">
        <f t="array" ref="O519">(VLOOKUP($A519,'The List'!$B1:$AH671,27,FALSE)-AVERAGE('The List'!AB2:AB671))/STDEV('The List'!AB2:AB671)</f>
        <v>0.11402404123342645</v>
      </c>
      <c r="P519" s="55" cm="1">
        <f t="array" ref="P519">(VLOOKUP($A519,'The List'!$B1:$AH671,28,FALSE)-AVERAGE('The List'!AC2:AC671))/STDEV('The List'!AC2:AC671)</f>
        <v>-1.2503937229237341</v>
      </c>
      <c r="Q519" s="55" cm="1">
        <f t="array" ref="Q519">(VLOOKUP($A519,'The List'!$B1:$AH671,29,FALSE)-AVERAGE('The List'!AD2:AD671))/STDEV('The List'!AD2:AD671)</f>
        <v>-0.17049048950795412</v>
      </c>
      <c r="R519" s="55" cm="1">
        <f t="array" ref="R519">(VLOOKUP($A519,'The List'!$B1:$AH671,30,FALSE)-AVERAGE('The List'!AE2:AE671))/STDEV('The List'!AE2:AE671)</f>
        <v>-1.2204624748818051</v>
      </c>
      <c r="S519" s="55" cm="1">
        <f t="array" ref="S519">(VLOOKUP($A519,'The List'!$B1:$AH671,31,FALSE)-AVERAGE('The List'!AF2:AF671))/STDEV('The List'!AF2:AF671)</f>
        <v>-0.5939690971349143</v>
      </c>
      <c r="T519" s="55" cm="1">
        <f t="array" ref="T519">(VLOOKUP($A519,'The List'!$B1:$AH671,32,FALSE)-AVERAGE('The List'!AG2:AG671))/STDEV('The List'!AG2:AG671)</f>
        <v>-0.64602208138248207</v>
      </c>
      <c r="U519" s="55" cm="1">
        <f t="array" ref="U519">(VLOOKUP($A519,'The List'!$B1:$AH671,33,FALSE)-AVERAGE('The List'!AH2:AH671))/STDEV('The List'!AH2:AH671)</f>
        <v>-1.2548938914719048</v>
      </c>
      <c r="V519" s="55"/>
      <c r="W519" s="57"/>
      <c r="X519" s="55"/>
      <c r="Y519" s="55"/>
      <c r="Z519" s="55"/>
      <c r="AA519" s="55"/>
      <c r="AB519" s="55"/>
      <c r="AC519" s="55"/>
      <c r="AD519" s="55"/>
      <c r="AE519" s="55"/>
    </row>
    <row r="520" spans="1:31" ht="21.25" customHeight="1" x14ac:dyDescent="0.15">
      <c r="A520" s="10" t="s">
        <v>504</v>
      </c>
      <c r="B520" s="18" t="str" cm="1">
        <f t="array" ref="B520">VLOOKUP(A520,'Player Data'!A1:B673,2,FALSE)</f>
        <v>BUF</v>
      </c>
      <c r="C520" s="52" cm="1">
        <f t="array" ref="C520">((E520)*Settings!$C$12)+(F520*Settings!$C$2)+(G520*Settings!$C$3)+(H520*Settings!$C$4)+(I520*Settings!$C$5)+(K520*Settings!$C$9)+(N520*Settings!$C$6)+(J520*Settings!$C$8)+(O520*Settings!$C$7)+(P520*Settings!$C$14)+(Q520*Settings!$C$15)+(R520*Settings!$C$16)+(S520*Settings!$C$17)+(T520*Settings!$C$18)+(U520*Settings!$C$19)+(L520*Settings!$C$10)+(Settings!$C$11*M520)</f>
        <v>-2.4578185079506727</v>
      </c>
      <c r="D520" s="57" cm="1">
        <f t="array" ref="D520">IF(Settings!$E$12="YES",VLOOKUP(A520,'Player Data'!A1:E673,5,FALSE),82)</f>
        <v>68.772499999999994</v>
      </c>
      <c r="E520" s="55" cm="1">
        <f t="array" ref="E520">(VLOOKUP($A520,'The List'!$B1:$AH671,17,FALSE)-AVERAGE('The List'!R2:R671))/STDEV('The List'!R2:R671)</f>
        <v>0.22888260053523568</v>
      </c>
      <c r="F520" s="55" cm="1">
        <f t="array" ref="F520">(VLOOKUP($A520,'The List'!$B1:$AH671,18,FALSE)-AVERAGE('The List'!S2:S671))/STDEV('The List'!S2:S671)</f>
        <v>-1.1859814095656926</v>
      </c>
      <c r="G520" s="55" cm="1">
        <f t="array" ref="G520">(VLOOKUP($A520,'The List'!$B1:$AH671,19,FALSE)-AVERAGE('The List'!T2:T671))/STDEV('The List'!T2:T671)</f>
        <v>-0.75361242567322484</v>
      </c>
      <c r="H520" s="55" cm="1">
        <f t="array" ref="H520">(VLOOKUP($A520,'The List'!$B1:$AH671,20,FALSE)-AVERAGE('The List'!U2:U671))/STDEV('The List'!U2:U671)</f>
        <v>-1.0002123903715567</v>
      </c>
      <c r="I520" s="55" cm="1">
        <f t="array" ref="I520">(VLOOKUP($A520,'The List'!$B1:$AH671,21,FALSE)-AVERAGE('The List'!V2:V671))/STDEV('The List'!V2:V671)</f>
        <v>-1.0403429764080936</v>
      </c>
      <c r="J520" s="55" cm="1">
        <f t="array" ref="J520">(VLOOKUP($A520,'The List'!$B1:$AH671,22,FALSE)-AVERAGE('The List'!W2:W671))/STDEV('The List'!W2:W671)</f>
        <v>-0.75015823893832534</v>
      </c>
      <c r="K520" s="55" cm="1">
        <f t="array" ref="K520">(VLOOKUP($A520,'The List'!$B1:$AH671,23,FALSE)-AVERAGE('The List'!X2:X671))/STDEV('The List'!X2:X671)</f>
        <v>-0.80961403528137732</v>
      </c>
      <c r="L520" s="55" cm="1">
        <f t="array" ref="L520">(VLOOKUP($A520,'The List'!$B1:$AH671,24,FALSE)-AVERAGE('The List'!Y2:Y671))/STDEV('The List'!Y2:Y671)</f>
        <v>-0.51038564654655272</v>
      </c>
      <c r="M520" s="55" cm="1">
        <f t="array" ref="M520">(VLOOKUP($A520,'The List'!$B1:$AH671,25,FALSE)-AVERAGE('The List'!Z2:Z671))/STDEV('The List'!Z2:Z671)</f>
        <v>-0.49558457626881558</v>
      </c>
      <c r="N520" s="55" cm="1">
        <f t="array" ref="N520">(VLOOKUP($A520,'The List'!$B1:$AH671,26,FALSE)-AVERAGE('The List'!AA2:AA671))/STDEV('The List'!AA2:AA671)</f>
        <v>1.277796343936392</v>
      </c>
      <c r="O520" s="55" cm="1">
        <f t="array" ref="O520">(VLOOKUP($A520,'The List'!$B1:$AH671,27,FALSE)-AVERAGE('The List'!AB2:AB671))/STDEV('The List'!AB2:AB671)</f>
        <v>-0.49441390873429725</v>
      </c>
      <c r="P520" s="55" cm="1">
        <f t="array" ref="P520">(VLOOKUP($A520,'The List'!$B1:$AH671,28,FALSE)-AVERAGE('The List'!AC2:AC671))/STDEV('The List'!AC2:AC671)</f>
        <v>1.040728709851016E-3</v>
      </c>
      <c r="Q520" s="55" cm="1">
        <f t="array" ref="Q520">(VLOOKUP($A520,'The List'!$B1:$AH671,29,FALSE)-AVERAGE('The List'!AD2:AD671))/STDEV('The List'!AD2:AD671)</f>
        <v>5.2895266331472693E-2</v>
      </c>
      <c r="R520" s="55" cm="1">
        <f t="array" ref="R520">(VLOOKUP($A520,'The List'!$B1:$AH671,30,FALSE)-AVERAGE('The List'!AE2:AE671))/STDEV('The List'!AE2:AE671)</f>
        <v>-1.1586174652206369</v>
      </c>
      <c r="S520" s="55" cm="1">
        <f t="array" ref="S520">(VLOOKUP($A520,'The List'!$B1:$AH671,31,FALSE)-AVERAGE('The List'!AF2:AF671))/STDEV('The List'!AF2:AF671)</f>
        <v>-0.5939690971349143</v>
      </c>
      <c r="T520" s="55" cm="1">
        <f t="array" ref="T520">(VLOOKUP($A520,'The List'!$B1:$AH671,32,FALSE)-AVERAGE('The List'!AG2:AG671))/STDEV('The List'!AG2:AG671)</f>
        <v>-0.64602208138248207</v>
      </c>
      <c r="U520" s="55" cm="1">
        <f t="array" ref="U520">(VLOOKUP($A520,'The List'!$B1:$AH671,33,FALSE)-AVERAGE('The List'!AH2:AH671))/STDEV('The List'!AH2:AH671)</f>
        <v>-1.2548938914719048</v>
      </c>
      <c r="V520" s="55"/>
      <c r="W520" s="78"/>
      <c r="X520" s="57"/>
      <c r="Y520" s="57"/>
      <c r="Z520" s="57"/>
      <c r="AA520" s="57"/>
      <c r="AB520" s="57"/>
      <c r="AC520" s="60"/>
      <c r="AD520" s="61"/>
      <c r="AE520" s="55"/>
    </row>
    <row r="521" spans="1:31" ht="21.25" customHeight="1" x14ac:dyDescent="0.15">
      <c r="A521" s="10" t="s">
        <v>676</v>
      </c>
      <c r="B521" s="18" t="str" cm="1">
        <f t="array" ref="B521">VLOOKUP(A521,'Player Data'!A1:B673,2,FALSE)</f>
        <v>MIN</v>
      </c>
      <c r="C521" s="52" cm="1">
        <f t="array" ref="C521">((E521)*Settings!$C$12)+(F521*Settings!$C$2)+(G521*Settings!$C$3)+(H521*Settings!$C$4)+(I521*Settings!$C$5)+(K521*Settings!$C$9)+(N521*Settings!$C$6)+(J521*Settings!$C$8)+(O521*Settings!$C$7)+(P521*Settings!$C$14)+(Q521*Settings!$C$15)+(R521*Settings!$C$16)+(S521*Settings!$C$17)+(T521*Settings!$C$18)+(U521*Settings!$C$19)+(L521*Settings!$C$10)+(Settings!$C$11*M521)</f>
        <v>0.10639323798943279</v>
      </c>
      <c r="D521" s="57" cm="1">
        <f t="array" ref="D521">IF(Settings!$E$12="YES",VLOOKUP(A521,'Player Data'!A1:E673,5,FALSE),82)</f>
        <v>81.197500000000005</v>
      </c>
      <c r="E521" s="55" cm="1">
        <f t="array" ref="E521">(VLOOKUP($A521,'The List'!$B1:$AH671,17,FALSE)-AVERAGE('The List'!R2:R671))/STDEV('The List'!R2:R671)</f>
        <v>-0.93351741672779143</v>
      </c>
      <c r="F521" s="55" cm="1">
        <f t="array" ref="F521">(VLOOKUP($A521,'The List'!$B1:$AH671,18,FALSE)-AVERAGE('The List'!S2:S671))/STDEV('The List'!S2:S671)</f>
        <v>-0.58874441856003601</v>
      </c>
      <c r="G521" s="55" cm="1">
        <f t="array" ref="G521">(VLOOKUP($A521,'The List'!$B1:$AH671,19,FALSE)-AVERAGE('The List'!T2:T671))/STDEV('The List'!T2:T671)</f>
        <v>-0.98664168978896527</v>
      </c>
      <c r="H521" s="55" cm="1">
        <f t="array" ref="H521">(VLOOKUP($A521,'The List'!$B1:$AH671,20,FALSE)-AVERAGE('The List'!U2:U671))/STDEV('The List'!U2:U671)</f>
        <v>-0.8818055064861271</v>
      </c>
      <c r="I521" s="55" cm="1">
        <f t="array" ref="I521">(VLOOKUP($A521,'The List'!$B1:$AH671,21,FALSE)-AVERAGE('The List'!V2:V671))/STDEV('The List'!V2:V671)</f>
        <v>-0.44112418602717923</v>
      </c>
      <c r="J521" s="55" cm="1">
        <f t="array" ref="J521">(VLOOKUP($A521,'The List'!$B1:$AH671,22,FALSE)-AVERAGE('The List'!W2:W671))/STDEV('The List'!W2:W671)</f>
        <v>-0.73925928259682716</v>
      </c>
      <c r="K521" s="55" cm="1">
        <f t="array" ref="K521">(VLOOKUP($A521,'The List'!$B1:$AH671,23,FALSE)-AVERAGE('The List'!X2:X671))/STDEV('The List'!X2:X671)</f>
        <v>-0.80333793678491106</v>
      </c>
      <c r="L521" s="55" cm="1">
        <f t="array" ref="L521">(VLOOKUP($A521,'The List'!$B1:$AH671,24,FALSE)-AVERAGE('The List'!Y2:Y671))/STDEV('The List'!Y2:Y671)</f>
        <v>0.50190808482032601</v>
      </c>
      <c r="M521" s="55" cm="1">
        <f t="array" ref="M521">(VLOOKUP($A521,'The List'!$B1:$AH671,25,FALSE)-AVERAGE('The List'!Z2:Z671))/STDEV('The List'!Z2:Z671)</f>
        <v>1.4953043699124554E-2</v>
      </c>
      <c r="N521" s="55" cm="1">
        <f t="array" ref="N521">(VLOOKUP($A521,'The List'!$B1:$AH671,26,FALSE)-AVERAGE('The List'!AA2:AA671))/STDEV('The List'!AA2:AA671)</f>
        <v>0.12287303585328944</v>
      </c>
      <c r="O521" s="55" cm="1">
        <f t="array" ref="O521">(VLOOKUP($A521,'The List'!$B1:$AH671,27,FALSE)-AVERAGE('The List'!AB2:AB671))/STDEV('The List'!AB2:AB671)</f>
        <v>1.9212240942012317</v>
      </c>
      <c r="P521" s="55" cm="1">
        <f t="array" ref="P521">(VLOOKUP($A521,'The List'!$B1:$AH671,28,FALSE)-AVERAGE('The List'!AC2:AC671))/STDEV('The List'!AC2:AC671)</f>
        <v>9.4439059372768711E-2</v>
      </c>
      <c r="Q521" s="55" cm="1">
        <f t="array" ref="Q521">(VLOOKUP($A521,'The List'!$B1:$AH671,29,FALSE)-AVERAGE('The List'!AD2:AD671))/STDEV('The List'!AD2:AD671)</f>
        <v>2.708929373924466</v>
      </c>
      <c r="R521" s="55" cm="1">
        <f t="array" ref="R521">(VLOOKUP($A521,'The List'!$B1:$AH671,30,FALSE)-AVERAGE('The List'!AE2:AE671))/STDEV('The List'!AE2:AE671)</f>
        <v>-0.5366807472930808</v>
      </c>
      <c r="S521" s="55" cm="1">
        <f t="array" ref="S521">(VLOOKUP($A521,'The List'!$B1:$AH671,31,FALSE)-AVERAGE('The List'!AF2:AF671))/STDEV('The List'!AF2:AF671)</f>
        <v>1.8124636803263436</v>
      </c>
      <c r="T521" s="55" cm="1">
        <f t="array" ref="T521">(VLOOKUP($A521,'The List'!$B1:$AH671,32,FALSE)-AVERAGE('The List'!AG2:AG671))/STDEV('The List'!AG2:AG671)</f>
        <v>1.5994339328735396</v>
      </c>
      <c r="U521" s="55" cm="1">
        <f t="array" ref="U521">(VLOOKUP($A521,'The List'!$B1:$AH671,33,FALSE)-AVERAGE('The List'!AH2:AH671))/STDEV('The List'!AH2:AH671)</f>
        <v>1.1952249362179335</v>
      </c>
      <c r="V521" s="55"/>
      <c r="W521" s="78"/>
      <c r="X521" s="57"/>
      <c r="Y521" s="57"/>
      <c r="Z521" s="57"/>
      <c r="AA521" s="57"/>
      <c r="AB521" s="57"/>
      <c r="AC521" s="60"/>
      <c r="AD521" s="61"/>
      <c r="AE521" s="55"/>
    </row>
    <row r="522" spans="1:31" ht="21.25" customHeight="1" x14ac:dyDescent="0.15">
      <c r="A522" s="10" t="s">
        <v>450</v>
      </c>
      <c r="B522" s="18" t="str" cm="1">
        <f t="array" ref="B522">VLOOKUP(A522,'Player Data'!A1:B673,2,FALSE)</f>
        <v>DAL</v>
      </c>
      <c r="C522" s="52" cm="1">
        <f t="array" ref="C522">((E522)*Settings!$C$12)+(F522*Settings!$C$2)+(G522*Settings!$C$3)+(H522*Settings!$C$4)+(I522*Settings!$C$5)+(K522*Settings!$C$9)+(N522*Settings!$C$6)+(J522*Settings!$C$8)+(O522*Settings!$C$7)+(P522*Settings!$C$14)+(Q522*Settings!$C$15)+(R522*Settings!$C$16)+(S522*Settings!$C$17)+(T522*Settings!$C$18)+(U522*Settings!$C$19)+(L522*Settings!$C$10)+(Settings!$C$11*M522)</f>
        <v>0.4138395054437336</v>
      </c>
      <c r="D522" s="57" cm="1">
        <f t="array" ref="D522">IF(Settings!$E$12="YES",VLOOKUP(A522,'Player Data'!A1:E673,5,FALSE),82)</f>
        <v>80.42</v>
      </c>
      <c r="E522" s="55" cm="1">
        <f t="array" ref="E522">(VLOOKUP($A522,'The List'!$B1:$AH671,17,FALSE)-AVERAGE('The List'!R2:R671))/STDEV('The List'!R2:R671)</f>
        <v>0.31723027353160554</v>
      </c>
      <c r="F522" s="55" cm="1">
        <f t="array" ref="F522">(VLOOKUP($A522,'The List'!$B1:$AH671,18,FALSE)-AVERAGE('The List'!S2:S671))/STDEV('The List'!S2:S671)</f>
        <v>-1.0794838034602254</v>
      </c>
      <c r="G522" s="55" cm="1">
        <f t="array" ref="G522">(VLOOKUP($A522,'The List'!$B1:$AH671,19,FALSE)-AVERAGE('The List'!T2:T671))/STDEV('The List'!T2:T671)</f>
        <v>-0.65627344666924958</v>
      </c>
      <c r="H522" s="55" cm="1">
        <f t="array" ref="H522">(VLOOKUP($A522,'The List'!$B1:$AH671,20,FALSE)-AVERAGE('The List'!U2:U671))/STDEV('The List'!U2:U671)</f>
        <v>-0.89173601520682522</v>
      </c>
      <c r="I522" s="55" cm="1">
        <f t="array" ref="I522">(VLOOKUP($A522,'The List'!$B1:$AH671,21,FALSE)-AVERAGE('The List'!V2:V671))/STDEV('The List'!V2:V671)</f>
        <v>-0.78748019823447202</v>
      </c>
      <c r="J522" s="55" cm="1">
        <f t="array" ref="J522">(VLOOKUP($A522,'The List'!$B1:$AH671,22,FALSE)-AVERAGE('The List'!W2:W671))/STDEV('The List'!W2:W671)</f>
        <v>-0.74920181710584721</v>
      </c>
      <c r="K522" s="55" cm="1">
        <f t="array" ref="K522">(VLOOKUP($A522,'The List'!$B1:$AH671,23,FALSE)-AVERAGE('The List'!X2:X671))/STDEV('The List'!X2:X671)</f>
        <v>-0.80554358778027357</v>
      </c>
      <c r="L522" s="55" cm="1">
        <f t="array" ref="L522">(VLOOKUP($A522,'The List'!$B1:$AH671,24,FALSE)-AVERAGE('The List'!Y2:Y671))/STDEV('The List'!Y2:Y671)</f>
        <v>0.29469107058678984</v>
      </c>
      <c r="M522" s="55" cm="1">
        <f t="array" ref="M522">(VLOOKUP($A522,'The List'!$B1:$AH671,25,FALSE)-AVERAGE('The List'!Z2:Z671))/STDEV('The List'!Z2:Z671)</f>
        <v>0.22890302921154748</v>
      </c>
      <c r="N522" s="55" cm="1">
        <f t="array" ref="N522">(VLOOKUP($A522,'The List'!$B1:$AH671,26,FALSE)-AVERAGE('The List'!AA2:AA671))/STDEV('The List'!AA2:AA671)</f>
        <v>1.4993205693622327</v>
      </c>
      <c r="O522" s="55" cm="1">
        <f t="array" ref="O522">(VLOOKUP($A522,'The List'!$B1:$AH671,27,FALSE)-AVERAGE('The List'!AB2:AB671))/STDEV('The List'!AB2:AB671)</f>
        <v>7.7543444239310796E-2</v>
      </c>
      <c r="P522" s="55" cm="1">
        <f t="array" ref="P522">(VLOOKUP($A522,'The List'!$B1:$AH671,28,FALSE)-AVERAGE('The List'!AC2:AC671))/STDEV('The List'!AC2:AC671)</f>
        <v>0.54787911626905961</v>
      </c>
      <c r="Q522" s="55" cm="1">
        <f t="array" ref="Q522">(VLOOKUP($A522,'The List'!$B1:$AH671,29,FALSE)-AVERAGE('The List'!AD2:AD671))/STDEV('The List'!AD2:AD671)</f>
        <v>1.6954208559566617</v>
      </c>
      <c r="R522" s="55" cm="1">
        <f t="array" ref="R522">(VLOOKUP($A522,'The List'!$B1:$AH671,30,FALSE)-AVERAGE('The List'!AE2:AE671))/STDEV('The List'!AE2:AE671)</f>
        <v>-1.0248228821422736</v>
      </c>
      <c r="S522" s="55" cm="1">
        <f t="array" ref="S522">(VLOOKUP($A522,'The List'!$B1:$AH671,31,FALSE)-AVERAGE('The List'!AF2:AF671))/STDEV('The List'!AF2:AF671)</f>
        <v>-0.5939690971349143</v>
      </c>
      <c r="T522" s="55" cm="1">
        <f t="array" ref="T522">(VLOOKUP($A522,'The List'!$B1:$AH671,32,FALSE)-AVERAGE('The List'!AG2:AG671))/STDEV('The List'!AG2:AG671)</f>
        <v>-0.64602208138248207</v>
      </c>
      <c r="U522" s="55" cm="1">
        <f t="array" ref="U522">(VLOOKUP($A522,'The List'!$B1:$AH671,33,FALSE)-AVERAGE('The List'!AH2:AH671))/STDEV('The List'!AH2:AH671)</f>
        <v>-1.2548938914719048</v>
      </c>
      <c r="V522" s="55"/>
      <c r="W522" s="78"/>
      <c r="X522" s="57"/>
      <c r="Y522" s="57"/>
      <c r="Z522" s="57"/>
      <c r="AA522" s="57"/>
      <c r="AB522" s="57"/>
      <c r="AC522" s="60"/>
      <c r="AD522" s="61"/>
      <c r="AE522" s="55"/>
    </row>
    <row r="523" spans="1:31" ht="21.25" customHeight="1" x14ac:dyDescent="0.15">
      <c r="A523" s="10" t="s">
        <v>735</v>
      </c>
      <c r="B523" s="18" t="str" cm="1">
        <f t="array" ref="B523">VLOOKUP(A523,'Player Data'!A1:B673,2,FALSE)</f>
        <v>DAL</v>
      </c>
      <c r="C523" s="52" cm="1">
        <f t="array" ref="C523">((E523)*Settings!$C$12)+(F523*Settings!$C$2)+(G523*Settings!$C$3)+(H523*Settings!$C$4)+(I523*Settings!$C$5)+(K523*Settings!$C$9)+(N523*Settings!$C$6)+(J523*Settings!$C$8)+(O523*Settings!$C$7)+(P523*Settings!$C$14)+(Q523*Settings!$C$15)+(R523*Settings!$C$16)+(S523*Settings!$C$17)+(T523*Settings!$C$18)+(U523*Settings!$C$19)+(L523*Settings!$C$10)+(Settings!$C$11*M523)</f>
        <v>-3.9161209583728982</v>
      </c>
      <c r="D523" s="57" cm="1">
        <f t="array" ref="D523">IF(Settings!$E$12="YES",VLOOKUP(A523,'Player Data'!A1:E673,5,FALSE),82)</f>
        <v>77.319999999999993</v>
      </c>
      <c r="E523" s="55" cm="1">
        <f t="array" ref="E523">(VLOOKUP($A523,'The List'!$B1:$AH671,17,FALSE)-AVERAGE('The List'!R2:R671))/STDEV('The List'!R2:R671)</f>
        <v>-1.3884791590513827</v>
      </c>
      <c r="F523" s="55" cm="1">
        <f t="array" ref="F523">(VLOOKUP($A523,'The List'!$B1:$AH671,18,FALSE)-AVERAGE('The List'!S2:S671))/STDEV('The List'!S2:S671)</f>
        <v>-1.0082430641084379</v>
      </c>
      <c r="G523" s="55" cm="1">
        <f t="array" ref="G523">(VLOOKUP($A523,'The List'!$B1:$AH671,19,FALSE)-AVERAGE('The List'!T2:T671))/STDEV('The List'!T2:T671)</f>
        <v>-0.75440203786106541</v>
      </c>
      <c r="H523" s="55" cm="1">
        <f t="array" ref="H523">(VLOOKUP($A523,'The List'!$B1:$AH671,20,FALSE)-AVERAGE('The List'!U2:U671))/STDEV('The List'!U2:U671)</f>
        <v>-0.92185041478935215</v>
      </c>
      <c r="I523" s="55" cm="1">
        <f t="array" ref="I523">(VLOOKUP($A523,'The List'!$B1:$AH671,21,FALSE)-AVERAGE('The List'!V2:V671))/STDEV('The List'!V2:V671)</f>
        <v>-1.2211631304475066</v>
      </c>
      <c r="J523" s="55" cm="1">
        <f t="array" ref="J523">(VLOOKUP($A523,'The List'!$B1:$AH671,22,FALSE)-AVERAGE('The List'!W2:W671))/STDEV('The List'!W2:W671)</f>
        <v>-0.74723465547142931</v>
      </c>
      <c r="K523" s="55" cm="1">
        <f t="array" ref="K523">(VLOOKUP($A523,'The List'!$B1:$AH671,23,FALSE)-AVERAGE('The List'!X2:X671))/STDEV('The List'!X2:X671)</f>
        <v>-0.80916837493337324</v>
      </c>
      <c r="L523" s="55" cm="1">
        <f t="array" ref="L523">(VLOOKUP($A523,'The List'!$B1:$AH671,24,FALSE)-AVERAGE('The List'!Y2:Y671))/STDEV('The List'!Y2:Y671)</f>
        <v>1.1417959779543252</v>
      </c>
      <c r="M523" s="55" cm="1">
        <f t="array" ref="M523">(VLOOKUP($A523,'The List'!$B1:$AH671,25,FALSE)-AVERAGE('The List'!Z2:Z671))/STDEV('The List'!Z2:Z671)</f>
        <v>2.3076240090883897</v>
      </c>
      <c r="N523" s="55" cm="1">
        <f t="array" ref="N523">(VLOOKUP($A523,'The List'!$B1:$AH671,26,FALSE)-AVERAGE('The List'!AA2:AA671))/STDEV('The List'!AA2:AA671)</f>
        <v>-0.24936476778028657</v>
      </c>
      <c r="O523" s="55" cm="1">
        <f t="array" ref="O523">(VLOOKUP($A523,'The List'!$B1:$AH671,27,FALSE)-AVERAGE('The List'!AB2:AB671))/STDEV('The List'!AB2:AB671)</f>
        <v>0.51045264324285988</v>
      </c>
      <c r="P523" s="55" cm="1">
        <f t="array" ref="P523">(VLOOKUP($A523,'The List'!$B1:$AH671,28,FALSE)-AVERAGE('The List'!AC2:AC671))/STDEV('The List'!AC2:AC671)</f>
        <v>0.74986087513656718</v>
      </c>
      <c r="Q523" s="55" cm="1">
        <f t="array" ref="Q523">(VLOOKUP($A523,'The List'!$B1:$AH671,29,FALSE)-AVERAGE('The List'!AD2:AD671))/STDEV('The List'!AD2:AD671)</f>
        <v>-0.62364045837879545</v>
      </c>
      <c r="R523" s="55" cm="1">
        <f t="array" ref="R523">(VLOOKUP($A523,'The List'!$B1:$AH671,30,FALSE)-AVERAGE('The List'!AE2:AE671))/STDEV('The List'!AE2:AE671)</f>
        <v>-0.94953112224993486</v>
      </c>
      <c r="S523" s="55" cm="1">
        <f t="array" ref="S523">(VLOOKUP($A523,'The List'!$B1:$AH671,31,FALSE)-AVERAGE('The List'!AF2:AF671))/STDEV('The List'!AF2:AF671)</f>
        <v>0.96018125179202074</v>
      </c>
      <c r="T523" s="55" cm="1">
        <f t="array" ref="T523">(VLOOKUP($A523,'The List'!$B1:$AH671,32,FALSE)-AVERAGE('The List'!AG2:AG671))/STDEV('The List'!AG2:AG671)</f>
        <v>0.68369097096955567</v>
      </c>
      <c r="U523" s="55" cm="1">
        <f t="array" ref="U523">(VLOOKUP($A523,'The List'!$B1:$AH671,33,FALSE)-AVERAGE('The List'!AH2:AH671))/STDEV('The List'!AH2:AH671)</f>
        <v>1.2941172807521797</v>
      </c>
      <c r="V523" s="55"/>
      <c r="W523" s="57"/>
      <c r="X523" s="55"/>
      <c r="Y523" s="55"/>
      <c r="Z523" s="55"/>
      <c r="AA523" s="55"/>
      <c r="AB523" s="55"/>
      <c r="AC523" s="55"/>
      <c r="AD523" s="55"/>
      <c r="AE523" s="55"/>
    </row>
    <row r="524" spans="1:31" ht="21.25" customHeight="1" x14ac:dyDescent="0.15">
      <c r="A524" s="10" t="s">
        <v>738</v>
      </c>
      <c r="B524" s="18" t="str" cm="1">
        <f t="array" ref="B524">VLOOKUP(A524,'Player Data'!A1:B673,2,FALSE)</f>
        <v>NYI</v>
      </c>
      <c r="C524" s="52" cm="1">
        <f t="array" ref="C524">((E524)*Settings!$C$12)+(F524*Settings!$C$2)+(G524*Settings!$C$3)+(H524*Settings!$C$4)+(I524*Settings!$C$5)+(K524*Settings!$C$9)+(N524*Settings!$C$6)+(J524*Settings!$C$8)+(O524*Settings!$C$7)+(P524*Settings!$C$14)+(Q524*Settings!$C$15)+(R524*Settings!$C$16)+(S524*Settings!$C$17)+(T524*Settings!$C$18)+(U524*Settings!$C$19)+(L524*Settings!$C$10)+(Settings!$C$11*M524)</f>
        <v>-5.6127437613203917</v>
      </c>
      <c r="D524" s="57" cm="1">
        <f t="array" ref="D524">IF(Settings!$E$12="YES",VLOOKUP(A524,'Player Data'!A1:E673,5,FALSE),82)</f>
        <v>81.887500000000003</v>
      </c>
      <c r="E524" s="55" cm="1">
        <f t="array" ref="E524">(VLOOKUP($A524,'The List'!$B1:$AH671,17,FALSE)-AVERAGE('The List'!R2:R671))/STDEV('The List'!R2:R671)</f>
        <v>-1.4888933308486634</v>
      </c>
      <c r="F524" s="55" cm="1">
        <f t="array" ref="F524">(VLOOKUP($A524,'The List'!$B1:$AH671,18,FALSE)-AVERAGE('The List'!S2:S671))/STDEV('The List'!S2:S671)</f>
        <v>-0.6524069645941355</v>
      </c>
      <c r="G524" s="55" cm="1">
        <f t="array" ref="G524">(VLOOKUP($A524,'The List'!$B1:$AH671,19,FALSE)-AVERAGE('The List'!T2:T671))/STDEV('The List'!T2:T671)</f>
        <v>-0.94579109862380084</v>
      </c>
      <c r="H524" s="55" cm="1">
        <f t="array" ref="H524">(VLOOKUP($A524,'The List'!$B1:$AH671,20,FALSE)-AVERAGE('The List'!U2:U671))/STDEV('The List'!U2:U671)</f>
        <v>-0.8843563870673955</v>
      </c>
      <c r="I524" s="55" cm="1">
        <f t="array" ref="I524">(VLOOKUP($A524,'The List'!$B1:$AH671,21,FALSE)-AVERAGE('The List'!V2:V671))/STDEV('The List'!V2:V671)</f>
        <v>-0.84438047076908873</v>
      </c>
      <c r="J524" s="55" cm="1">
        <f t="array" ref="J524">(VLOOKUP($A524,'The List'!$B1:$AH671,22,FALSE)-AVERAGE('The List'!W2:W671))/STDEV('The List'!W2:W671)</f>
        <v>-0.66242593161716923</v>
      </c>
      <c r="K524" s="55" cm="1">
        <f t="array" ref="K524">(VLOOKUP($A524,'The List'!$B1:$AH671,23,FALSE)-AVERAGE('The List'!X2:X671))/STDEV('The List'!X2:X671)</f>
        <v>-0.7517483571305309</v>
      </c>
      <c r="L524" s="55" cm="1">
        <f t="array" ref="L524">(VLOOKUP($A524,'The List'!$B1:$AH671,24,FALSE)-AVERAGE('The List'!Y2:Y671))/STDEV('The List'!Y2:Y671)</f>
        <v>-0.49830116594059665</v>
      </c>
      <c r="M524" s="55" cm="1">
        <f t="array" ref="M524">(VLOOKUP($A524,'The List'!$B1:$AH671,25,FALSE)-AVERAGE('The List'!Z2:Z671))/STDEV('The List'!Z2:Z671)</f>
        <v>-0.66068123921974531</v>
      </c>
      <c r="N524" s="55" cm="1">
        <f t="array" ref="N524">(VLOOKUP($A524,'The List'!$B1:$AH671,26,FALSE)-AVERAGE('The List'!AA2:AA671))/STDEV('The List'!AA2:AA671)</f>
        <v>-0.21567430929428374</v>
      </c>
      <c r="O524" s="55" cm="1">
        <f t="array" ref="O524">(VLOOKUP($A524,'The List'!$B1:$AH671,27,FALSE)-AVERAGE('The List'!AB2:AB671))/STDEV('The List'!AB2:AB671)</f>
        <v>0.62804335750601437</v>
      </c>
      <c r="P524" s="55" cm="1">
        <f t="array" ref="P524">(VLOOKUP($A524,'The List'!$B1:$AH671,28,FALSE)-AVERAGE('The List'!AC2:AC671))/STDEV('The List'!AC2:AC671)</f>
        <v>-1.0291675595284122</v>
      </c>
      <c r="Q524" s="55" cm="1">
        <f t="array" ref="Q524">(VLOOKUP($A524,'The List'!$B1:$AH671,29,FALSE)-AVERAGE('The List'!AD2:AD671))/STDEV('The List'!AD2:AD671)</f>
        <v>-1.1735750013801398</v>
      </c>
      <c r="R524" s="55" cm="1">
        <f t="array" ref="R524">(VLOOKUP($A524,'The List'!$B1:$AH671,30,FALSE)-AVERAGE('The List'!AE2:AE671))/STDEV('The List'!AE2:AE671)</f>
        <v>-0.6771359288828166</v>
      </c>
      <c r="S524" s="55" cm="1">
        <f t="array" ref="S524">(VLOOKUP($A524,'The List'!$B1:$AH671,31,FALSE)-AVERAGE('The List'!AF2:AF671))/STDEV('The List'!AF2:AF671)</f>
        <v>-0.57275397847962117</v>
      </c>
      <c r="T524" s="55" cm="1">
        <f t="array" ref="T524">(VLOOKUP($A524,'The List'!$B1:$AH671,32,FALSE)-AVERAGE('The List'!AG2:AG671))/STDEV('The List'!AG2:AG671)</f>
        <v>-0.59435750170543833</v>
      </c>
      <c r="U524" s="55" cm="1">
        <f t="array" ref="U524">(VLOOKUP($A524,'The List'!$B1:$AH671,33,FALSE)-AVERAGE('The List'!AH2:AH671))/STDEV('The List'!AH2:AH671)</f>
        <v>0.14372382750452611</v>
      </c>
      <c r="V524" s="55"/>
      <c r="W524" s="57"/>
      <c r="X524" s="55"/>
      <c r="Y524" s="55"/>
      <c r="Z524" s="55"/>
      <c r="AA524" s="55"/>
      <c r="AB524" s="55"/>
      <c r="AC524" s="55"/>
      <c r="AD524" s="55"/>
      <c r="AE524" s="55"/>
    </row>
    <row r="525" spans="1:31" ht="21.25" customHeight="1" x14ac:dyDescent="0.15">
      <c r="A525" s="10" t="s">
        <v>713</v>
      </c>
      <c r="B525" s="18" t="str" cm="1">
        <f t="array" ref="B525">VLOOKUP(A525,'Player Data'!A1:B673,2,FALSE)</f>
        <v>BOS</v>
      </c>
      <c r="C525" s="52" cm="1">
        <f t="array" ref="C525">((E525)*Settings!$C$12)+(F525*Settings!$C$2)+(G525*Settings!$C$3)+(H525*Settings!$C$4)+(I525*Settings!$C$5)+(K525*Settings!$C$9)+(N525*Settings!$C$6)+(J525*Settings!$C$8)+(O525*Settings!$C$7)+(P525*Settings!$C$14)+(Q525*Settings!$C$15)+(R525*Settings!$C$16)+(S525*Settings!$C$17)+(T525*Settings!$C$18)+(U525*Settings!$C$19)+(L525*Settings!$C$10)+(Settings!$C$11*M525)</f>
        <v>-3.9593178680919143</v>
      </c>
      <c r="D525" s="57" cm="1">
        <f t="array" ref="D525">IF(Settings!$E$12="YES",VLOOKUP(A525,'Player Data'!A1:E673,5,FALSE),82)</f>
        <v>82.03</v>
      </c>
      <c r="E525" s="55" cm="1">
        <f t="array" ref="E525">(VLOOKUP($A525,'The List'!$B1:$AH671,17,FALSE)-AVERAGE('The List'!R2:R671))/STDEV('The List'!R2:R671)</f>
        <v>-1.0310004339095602</v>
      </c>
      <c r="F525" s="55" cm="1">
        <f t="array" ref="F525">(VLOOKUP($A525,'The List'!$B1:$AH671,18,FALSE)-AVERAGE('The List'!S2:S671))/STDEV('The List'!S2:S671)</f>
        <v>-0.83409016941164005</v>
      </c>
      <c r="G525" s="55" cm="1">
        <f t="array" ref="G525">(VLOOKUP($A525,'The List'!$B1:$AH671,19,FALSE)-AVERAGE('The List'!T2:T671))/STDEV('The List'!T2:T671)</f>
        <v>-0.81726384916346451</v>
      </c>
      <c r="H525" s="55" cm="1">
        <f t="array" ref="H525">(VLOOKUP($A525,'The List'!$B1:$AH671,20,FALSE)-AVERAGE('The List'!U2:U671))/STDEV('The List'!U2:U671)</f>
        <v>-0.88412231132332797</v>
      </c>
      <c r="I525" s="55" cm="1">
        <f t="array" ref="I525">(VLOOKUP($A525,'The List'!$B1:$AH671,21,FALSE)-AVERAGE('The List'!V2:V671))/STDEV('The List'!V2:V671)</f>
        <v>-0.45075467467330543</v>
      </c>
      <c r="J525" s="55" cm="1">
        <f t="array" ref="J525">(VLOOKUP($A525,'The List'!$B1:$AH671,22,FALSE)-AVERAGE('The List'!W2:W671))/STDEV('The List'!W2:W671)</f>
        <v>-0.74214820919547919</v>
      </c>
      <c r="K525" s="55" cm="1">
        <f t="array" ref="K525">(VLOOKUP($A525,'The List'!$B1:$AH671,23,FALSE)-AVERAGE('The List'!X2:X671))/STDEV('The List'!X2:X671)</f>
        <v>-0.80487802917831897</v>
      </c>
      <c r="L525" s="55" cm="1">
        <f t="array" ref="L525">(VLOOKUP($A525,'The List'!$B1:$AH671,24,FALSE)-AVERAGE('The List'!Y2:Y671))/STDEV('The List'!Y2:Y671)</f>
        <v>-0.39406951041666299</v>
      </c>
      <c r="M525" s="55" cm="1">
        <f t="array" ref="M525">(VLOOKUP($A525,'The List'!$B1:$AH671,25,FALSE)-AVERAGE('The List'!Z2:Z671))/STDEV('The List'!Z2:Z671)</f>
        <v>-0.31542283765680496</v>
      </c>
      <c r="N525" s="55" cm="1">
        <f t="array" ref="N525">(VLOOKUP($A525,'The List'!$B1:$AH671,26,FALSE)-AVERAGE('The List'!AA2:AA671))/STDEV('The List'!AA2:AA671)</f>
        <v>-0.42839187569403447</v>
      </c>
      <c r="O525" s="55" cm="1">
        <f t="array" ref="O525">(VLOOKUP($A525,'The List'!$B1:$AH671,27,FALSE)-AVERAGE('The List'!AB2:AB671))/STDEV('The List'!AB2:AB671)</f>
        <v>0.58331495478742146</v>
      </c>
      <c r="P525" s="55" cm="1">
        <f t="array" ref="P525">(VLOOKUP($A525,'The List'!$B1:$AH671,28,FALSE)-AVERAGE('The List'!AC2:AC671))/STDEV('The List'!AC2:AC671)</f>
        <v>-0.58047812877043392</v>
      </c>
      <c r="Q525" s="55" cm="1">
        <f t="array" ref="Q525">(VLOOKUP($A525,'The List'!$B1:$AH671,29,FALSE)-AVERAGE('The List'!AD2:AD671))/STDEV('The List'!AD2:AD671)</f>
        <v>-4.3461141200716646E-2</v>
      </c>
      <c r="R525" s="55" cm="1">
        <f t="array" ref="R525">(VLOOKUP($A525,'The List'!$B1:$AH671,30,FALSE)-AVERAGE('The List'!AE2:AE671))/STDEV('The List'!AE2:AE671)</f>
        <v>-0.8812739758408763</v>
      </c>
      <c r="S525" s="55" cm="1">
        <f t="array" ref="S525">(VLOOKUP($A525,'The List'!$B1:$AH671,31,FALSE)-AVERAGE('The List'!AF2:AF671))/STDEV('The List'!AF2:AF671)</f>
        <v>0.99570487375988692</v>
      </c>
      <c r="T525" s="55" cm="1">
        <f t="array" ref="T525">(VLOOKUP($A525,'The List'!$B1:$AH671,32,FALSE)-AVERAGE('The List'!AG2:AG671))/STDEV('The List'!AG2:AG671)</f>
        <v>0.94440878169587772</v>
      </c>
      <c r="U525" s="55" cm="1">
        <f t="array" ref="U525">(VLOOKUP($A525,'The List'!$B1:$AH671,33,FALSE)-AVERAGE('The List'!AH2:AH671))/STDEV('The List'!AH2:AH671)</f>
        <v>1.1153064119476648</v>
      </c>
      <c r="V525" s="55"/>
      <c r="W525" s="78"/>
      <c r="X525" s="57"/>
      <c r="Y525" s="57"/>
      <c r="Z525" s="57"/>
      <c r="AA525" s="57"/>
      <c r="AB525" s="57"/>
      <c r="AC525" s="60"/>
      <c r="AD525" s="61"/>
      <c r="AE525" s="55"/>
    </row>
    <row r="526" spans="1:31" ht="21.25" customHeight="1" x14ac:dyDescent="0.15">
      <c r="A526" s="10" t="s">
        <v>440</v>
      </c>
      <c r="B526" s="18" t="str" cm="1">
        <f t="array" ref="B526">VLOOKUP(A526,'Player Data'!A1:B673,2,FALSE)</f>
        <v>CGY</v>
      </c>
      <c r="C526" s="52" cm="1">
        <f t="array" ref="C526">((E526)*Settings!$C$12)+(F526*Settings!$C$2)+(G526*Settings!$C$3)+(H526*Settings!$C$4)+(I526*Settings!$C$5)+(K526*Settings!$C$9)+(N526*Settings!$C$6)+(J526*Settings!$C$8)+(O526*Settings!$C$7)+(P526*Settings!$C$14)+(Q526*Settings!$C$15)+(R526*Settings!$C$16)+(S526*Settings!$C$17)+(T526*Settings!$C$18)+(U526*Settings!$C$19)+(L526*Settings!$C$10)+(Settings!$C$11*M526)</f>
        <v>-3.2623744684160676</v>
      </c>
      <c r="D526" s="57" cm="1">
        <f t="array" ref="D526">IF(Settings!$E$12="YES",VLOOKUP(A526,'Player Data'!A1:E673,5,FALSE),82)</f>
        <v>80.12</v>
      </c>
      <c r="E526" s="55" cm="1">
        <f t="array" ref="E526">(VLOOKUP($A526,'The List'!$B1:$AH671,17,FALSE)-AVERAGE('The List'!R2:R671))/STDEV('The List'!R2:R671)</f>
        <v>1.076961336570772</v>
      </c>
      <c r="F526" s="55" cm="1">
        <f t="array" ref="F526">(VLOOKUP($A526,'The List'!$B1:$AH671,18,FALSE)-AVERAGE('The List'!S2:S671))/STDEV('The List'!S2:S671)</f>
        <v>-1.1239669765326379</v>
      </c>
      <c r="G526" s="55" cm="1">
        <f t="array" ref="G526">(VLOOKUP($A526,'The List'!$B1:$AH671,19,FALSE)-AVERAGE('The List'!T2:T671))/STDEV('The List'!T2:T671)</f>
        <v>-0.64291454646509694</v>
      </c>
      <c r="H526" s="55" cm="1">
        <f t="array" ref="H526">(VLOOKUP($A526,'The List'!$B1:$AH671,20,FALSE)-AVERAGE('The List'!U2:U671))/STDEV('The List'!U2:U671)</f>
        <v>-0.90306955372590214</v>
      </c>
      <c r="I526" s="55" cm="1">
        <f t="array" ref="I526">(VLOOKUP($A526,'The List'!$B1:$AH671,21,FALSE)-AVERAGE('The List'!V2:V671))/STDEV('The List'!V2:V671)</f>
        <v>-0.99235146437370614</v>
      </c>
      <c r="J526" s="55" cm="1">
        <f t="array" ref="J526">(VLOOKUP($A526,'The List'!$B1:$AH671,22,FALSE)-AVERAGE('The List'!W2:W671))/STDEV('The List'!W2:W671)</f>
        <v>-0.7475857352297911</v>
      </c>
      <c r="K526" s="55" cm="1">
        <f t="array" ref="K526">(VLOOKUP($A526,'The List'!$B1:$AH671,23,FALSE)-AVERAGE('The List'!X2:X671))/STDEV('The List'!X2:X671)</f>
        <v>-0.80157445033672048</v>
      </c>
      <c r="L526" s="55" cm="1">
        <f t="array" ref="L526">(VLOOKUP($A526,'The List'!$B1:$AH671,24,FALSE)-AVERAGE('The List'!Y2:Y671))/STDEV('The List'!Y2:Y671)</f>
        <v>-0.52377327859802358</v>
      </c>
      <c r="M526" s="55" cm="1">
        <f t="array" ref="M526">(VLOOKUP($A526,'The List'!$B1:$AH671,25,FALSE)-AVERAGE('The List'!Z2:Z671))/STDEV('The List'!Z2:Z671)</f>
        <v>-0.27426119776161617</v>
      </c>
      <c r="N526" s="55" cm="1">
        <f t="array" ref="N526">(VLOOKUP($A526,'The List'!$B1:$AH671,26,FALSE)-AVERAGE('The List'!AA2:AA671))/STDEV('The List'!AA2:AA671)</f>
        <v>2.0647091161757589</v>
      </c>
      <c r="O526" s="55" cm="1">
        <f t="array" ref="O526">(VLOOKUP($A526,'The List'!$B1:$AH671,27,FALSE)-AVERAGE('The List'!AB2:AB671))/STDEV('The List'!AB2:AB671)</f>
        <v>0.77754000612291851</v>
      </c>
      <c r="P526" s="55" cm="1">
        <f t="array" ref="P526">(VLOOKUP($A526,'The List'!$B1:$AH671,28,FALSE)-AVERAGE('The List'!AC2:AC671))/STDEV('The List'!AC2:AC671)</f>
        <v>-2.1204887344315164</v>
      </c>
      <c r="Q526" s="55" cm="1">
        <f t="array" ref="Q526">(VLOOKUP($A526,'The List'!$B1:$AH671,29,FALSE)-AVERAGE('The List'!AD2:AD671))/STDEV('The List'!AD2:AD671)</f>
        <v>0.35421258754785112</v>
      </c>
      <c r="R526" s="55" cm="1">
        <f t="array" ref="R526">(VLOOKUP($A526,'The List'!$B1:$AH671,30,FALSE)-AVERAGE('The List'!AE2:AE671))/STDEV('The List'!AE2:AE671)</f>
        <v>-1.11099565751049</v>
      </c>
      <c r="S526" s="55" cm="1">
        <f t="array" ref="S526">(VLOOKUP($A526,'The List'!$B1:$AH671,31,FALSE)-AVERAGE('The List'!AF2:AF671))/STDEV('The List'!AF2:AF671)</f>
        <v>-0.5939690971349143</v>
      </c>
      <c r="T526" s="55" cm="1">
        <f t="array" ref="T526">(VLOOKUP($A526,'The List'!$B1:$AH671,32,FALSE)-AVERAGE('The List'!AG2:AG671))/STDEV('The List'!AG2:AG671)</f>
        <v>-0.64602208138248207</v>
      </c>
      <c r="U526" s="55" cm="1">
        <f t="array" ref="U526">(VLOOKUP($A526,'The List'!$B1:$AH671,33,FALSE)-AVERAGE('The List'!AH2:AH671))/STDEV('The List'!AH2:AH671)</f>
        <v>-1.2548938914719048</v>
      </c>
      <c r="V526" s="55"/>
      <c r="W526" s="78"/>
      <c r="X526" s="57"/>
      <c r="Y526" s="57"/>
      <c r="Z526" s="57"/>
      <c r="AA526" s="57"/>
      <c r="AB526" s="57"/>
      <c r="AC526" s="60"/>
      <c r="AD526" s="61"/>
      <c r="AE526" s="55"/>
    </row>
    <row r="527" spans="1:31" ht="21.25" customHeight="1" x14ac:dyDescent="0.15">
      <c r="A527" s="10" t="s">
        <v>491</v>
      </c>
      <c r="B527" s="18" t="str" cm="1">
        <f t="array" ref="B527">VLOOKUP(A527,'Player Data'!A1:B673,2,FALSE)</f>
        <v>WSH</v>
      </c>
      <c r="C527" s="52" cm="1">
        <f t="array" ref="C527">((E527)*Settings!$C$12)+(F527*Settings!$C$2)+(G527*Settings!$C$3)+(H527*Settings!$C$4)+(I527*Settings!$C$5)+(K527*Settings!$C$9)+(N527*Settings!$C$6)+(J527*Settings!$C$8)+(O527*Settings!$C$7)+(P527*Settings!$C$14)+(Q527*Settings!$C$15)+(R527*Settings!$C$16)+(S527*Settings!$C$17)+(T527*Settings!$C$18)+(U527*Settings!$C$19)+(L527*Settings!$C$10)+(Settings!$C$11*M527)</f>
        <v>-1.6447463583735455</v>
      </c>
      <c r="D527" s="57" cm="1">
        <f t="array" ref="D527">IF(Settings!$E$12="YES",VLOOKUP(A527,'Player Data'!A1:E673,5,FALSE),82)</f>
        <v>73.192499999999995</v>
      </c>
      <c r="E527" s="55" cm="1">
        <f t="array" ref="E527">(VLOOKUP($A527,'The List'!$B1:$AH671,17,FALSE)-AVERAGE('The List'!R2:R671))/STDEV('The List'!R2:R671)</f>
        <v>0.17252419269486594</v>
      </c>
      <c r="F527" s="55" cm="1">
        <f t="array" ref="F527">(VLOOKUP($A527,'The List'!$B1:$AH671,18,FALSE)-AVERAGE('The List'!S2:S671))/STDEV('The List'!S2:S671)</f>
        <v>-1.0727507240437586</v>
      </c>
      <c r="G527" s="55" cm="1">
        <f t="array" ref="G527">(VLOOKUP($A527,'The List'!$B1:$AH671,19,FALSE)-AVERAGE('The List'!T2:T671))/STDEV('The List'!T2:T671)</f>
        <v>-0.78799950881039549</v>
      </c>
      <c r="H527" s="55" cm="1">
        <f t="array" ref="H527">(VLOOKUP($A527,'The List'!$B1:$AH671,20,FALSE)-AVERAGE('The List'!U2:U671))/STDEV('The List'!U2:U671)</f>
        <v>-0.9716036921375889</v>
      </c>
      <c r="I527" s="55" cm="1">
        <f t="array" ref="I527">(VLOOKUP($A527,'The List'!$B1:$AH671,21,FALSE)-AVERAGE('The List'!V2:V671))/STDEV('The List'!V2:V671)</f>
        <v>-1.0292227174398108</v>
      </c>
      <c r="J527" s="55" cm="1">
        <f t="array" ref="J527">(VLOOKUP($A527,'The List'!$B1:$AH671,22,FALSE)-AVERAGE('The List'!W2:W671))/STDEV('The List'!W2:W671)</f>
        <v>-0.74376536324218578</v>
      </c>
      <c r="K527" s="55" cm="1">
        <f t="array" ref="K527">(VLOOKUP($A527,'The List'!$B1:$AH671,23,FALSE)-AVERAGE('The List'!X2:X671))/STDEV('The List'!X2:X671)</f>
        <v>-0.79695416920758044</v>
      </c>
      <c r="L527" s="55" cm="1">
        <f t="array" ref="L527">(VLOOKUP($A527,'The List'!$B1:$AH671,24,FALSE)-AVERAGE('The List'!Y2:Y671))/STDEV('The List'!Y2:Y671)</f>
        <v>-0.52670962342135708</v>
      </c>
      <c r="M527" s="55" cm="1">
        <f t="array" ref="M527">(VLOOKUP($A527,'The List'!$B1:$AH671,25,FALSE)-AVERAGE('The List'!Z2:Z671))/STDEV('The List'!Z2:Z671)</f>
        <v>-0.29643276217376302</v>
      </c>
      <c r="N527" s="55" cm="1">
        <f t="array" ref="N527">(VLOOKUP($A527,'The List'!$B1:$AH671,26,FALSE)-AVERAGE('The List'!AA2:AA671))/STDEV('The List'!AA2:AA671)</f>
        <v>1.3659588132675038</v>
      </c>
      <c r="O527" s="55" cm="1">
        <f t="array" ref="O527">(VLOOKUP($A527,'The List'!$B1:$AH671,27,FALSE)-AVERAGE('The List'!AB2:AB671))/STDEV('The List'!AB2:AB671)</f>
        <v>-0.35724973252551656</v>
      </c>
      <c r="P527" s="55" cm="1">
        <f t="array" ref="P527">(VLOOKUP($A527,'The List'!$B1:$AH671,28,FALSE)-AVERAGE('The List'!AC2:AC671))/STDEV('The List'!AC2:AC671)</f>
        <v>0.56216906834073366</v>
      </c>
      <c r="Q527" s="55" cm="1">
        <f t="array" ref="Q527">(VLOOKUP($A527,'The List'!$B1:$AH671,29,FALSE)-AVERAGE('The List'!AD2:AD671))/STDEV('The List'!AD2:AD671)</f>
        <v>0.11405287951976217</v>
      </c>
      <c r="R527" s="55" cm="1">
        <f t="array" ref="R527">(VLOOKUP($A527,'The List'!$B1:$AH671,30,FALSE)-AVERAGE('The List'!AE2:AE671))/STDEV('The List'!AE2:AE671)</f>
        <v>-1.0538005040468295</v>
      </c>
      <c r="S527" s="55" cm="1">
        <f t="array" ref="S527">(VLOOKUP($A527,'The List'!$B1:$AH671,31,FALSE)-AVERAGE('The List'!AF2:AF671))/STDEV('The List'!AF2:AF671)</f>
        <v>-0.5939690971349143</v>
      </c>
      <c r="T527" s="55" cm="1">
        <f t="array" ref="T527">(VLOOKUP($A527,'The List'!$B1:$AH671,32,FALSE)-AVERAGE('The List'!AG2:AG671))/STDEV('The List'!AG2:AG671)</f>
        <v>-0.64602208138248207</v>
      </c>
      <c r="U527" s="55" cm="1">
        <f t="array" ref="U527">(VLOOKUP($A527,'The List'!$B1:$AH671,33,FALSE)-AVERAGE('The List'!AH2:AH671))/STDEV('The List'!AH2:AH671)</f>
        <v>-1.2548938914719048</v>
      </c>
      <c r="V527" s="55"/>
      <c r="W527" s="57"/>
      <c r="X527" s="55"/>
      <c r="Y527" s="55"/>
      <c r="Z527" s="55"/>
      <c r="AA527" s="55"/>
      <c r="AB527" s="55"/>
      <c r="AC527" s="55"/>
      <c r="AD527" s="55"/>
      <c r="AE527" s="55"/>
    </row>
    <row r="528" spans="1:31" ht="21.25" customHeight="1" x14ac:dyDescent="0.15">
      <c r="A528" s="10" t="s">
        <v>426</v>
      </c>
      <c r="B528" s="18" t="str" cm="1">
        <f t="array" ref="B528">VLOOKUP(A528,'Player Data'!A1:B673,2,FALSE)</f>
        <v>N.J</v>
      </c>
      <c r="C528" s="52" cm="1">
        <f t="array" ref="C528">((E528)*Settings!$C$12)+(F528*Settings!$C$2)+(G528*Settings!$C$3)+(H528*Settings!$C$4)+(I528*Settings!$C$5)+(K528*Settings!$C$9)+(N528*Settings!$C$6)+(J528*Settings!$C$8)+(O528*Settings!$C$7)+(P528*Settings!$C$14)+(Q528*Settings!$C$15)+(R528*Settings!$C$16)+(S528*Settings!$C$17)+(T528*Settings!$C$18)+(U528*Settings!$C$19)+(L528*Settings!$C$10)+(Settings!$C$11*M528)</f>
        <v>-2.2502411853813218</v>
      </c>
      <c r="D528" s="57" cm="1">
        <f t="array" ref="D528">IF(Settings!$E$12="YES",VLOOKUP(A528,'Player Data'!A1:E673,5,FALSE),82)</f>
        <v>73.467500000000001</v>
      </c>
      <c r="E528" s="55" cm="1">
        <f t="array" ref="E528">(VLOOKUP($A528,'The List'!$B1:$AH671,17,FALSE)-AVERAGE('The List'!R2:R671))/STDEV('The List'!R2:R671)</f>
        <v>0.90544842218548016</v>
      </c>
      <c r="F528" s="55" cm="1">
        <f t="array" ref="F528">(VLOOKUP($A528,'The List'!$B1:$AH671,18,FALSE)-AVERAGE('The List'!S2:S671))/STDEV('The List'!S2:S671)</f>
        <v>-1.0871380105602262</v>
      </c>
      <c r="G528" s="55" cm="1">
        <f t="array" ref="G528">(VLOOKUP($A528,'The List'!$B1:$AH671,19,FALSE)-AVERAGE('The List'!T2:T671))/STDEV('The List'!T2:T671)</f>
        <v>-0.77470618708147287</v>
      </c>
      <c r="H528" s="55" cm="1">
        <f t="array" ref="H528">(VLOOKUP($A528,'The List'!$B1:$AH671,20,FALSE)-AVERAGE('The List'!U2:U671))/STDEV('The List'!U2:U671)</f>
        <v>-0.96962558899197349</v>
      </c>
      <c r="I528" s="55" cm="1">
        <f t="array" ref="I528">(VLOOKUP($A528,'The List'!$B1:$AH671,21,FALSE)-AVERAGE('The List'!V2:V671))/STDEV('The List'!V2:V671)</f>
        <v>-0.60185777111405969</v>
      </c>
      <c r="J528" s="55" cm="1">
        <f t="array" ref="J528">(VLOOKUP($A528,'The List'!$B1:$AH671,22,FALSE)-AVERAGE('The List'!W2:W671))/STDEV('The List'!W2:W671)</f>
        <v>-0.74863890774219644</v>
      </c>
      <c r="K528" s="55" cm="1">
        <f t="array" ref="K528">(VLOOKUP($A528,'The List'!$B1:$AH671,23,FALSE)-AVERAGE('The List'!X2:X671))/STDEV('The List'!X2:X671)</f>
        <v>-0.80674044323259442</v>
      </c>
      <c r="L528" s="55" cm="1">
        <f t="array" ref="L528">(VLOOKUP($A528,'The List'!$B1:$AH671,24,FALSE)-AVERAGE('The List'!Y2:Y671))/STDEV('The List'!Y2:Y671)</f>
        <v>4.6539530303645466E-2</v>
      </c>
      <c r="M528" s="55" cm="1">
        <f t="array" ref="M528">(VLOOKUP($A528,'The List'!$B1:$AH671,25,FALSE)-AVERAGE('The List'!Z2:Z671))/STDEV('The List'!Z2:Z671)</f>
        <v>-0.18354217748320245</v>
      </c>
      <c r="N528" s="55" cm="1">
        <f t="array" ref="N528">(VLOOKUP($A528,'The List'!$B1:$AH671,26,FALSE)-AVERAGE('The List'!AA2:AA671))/STDEV('The List'!AA2:AA671)</f>
        <v>1.8892756109631854</v>
      </c>
      <c r="O528" s="55" cm="1">
        <f t="array" ref="O528">(VLOOKUP($A528,'The List'!$B1:$AH671,27,FALSE)-AVERAGE('The List'!AB2:AB671))/STDEV('The List'!AB2:AB671)</f>
        <v>-0.98813416133065479</v>
      </c>
      <c r="P528" s="55" cm="1">
        <f t="array" ref="P528">(VLOOKUP($A528,'The List'!$B1:$AH671,28,FALSE)-AVERAGE('The List'!AC2:AC671))/STDEV('The List'!AC2:AC671)</f>
        <v>-0.30382715993374565</v>
      </c>
      <c r="Q528" s="55" cm="1">
        <f t="array" ref="Q528">(VLOOKUP($A528,'The List'!$B1:$AH671,29,FALSE)-AVERAGE('The List'!AD2:AD671))/STDEV('The List'!AD2:AD671)</f>
        <v>-0.56524722442240871</v>
      </c>
      <c r="R528" s="55" cm="1">
        <f t="array" ref="R528">(VLOOKUP($A528,'The List'!$B1:$AH671,30,FALSE)-AVERAGE('The List'!AE2:AE671))/STDEV('The List'!AE2:AE671)</f>
        <v>-1.0678046104469197</v>
      </c>
      <c r="S528" s="55" cm="1">
        <f t="array" ref="S528">(VLOOKUP($A528,'The List'!$B1:$AH671,31,FALSE)-AVERAGE('The List'!AF2:AF671))/STDEV('The List'!AF2:AF671)</f>
        <v>-0.5939690971349143</v>
      </c>
      <c r="T528" s="55" cm="1">
        <f t="array" ref="T528">(VLOOKUP($A528,'The List'!$B1:$AH671,32,FALSE)-AVERAGE('The List'!AG2:AG671))/STDEV('The List'!AG2:AG671)</f>
        <v>-0.64602208138248207</v>
      </c>
      <c r="U528" s="55" cm="1">
        <f t="array" ref="U528">(VLOOKUP($A528,'The List'!$B1:$AH671,33,FALSE)-AVERAGE('The List'!AH2:AH671))/STDEV('The List'!AH2:AH671)</f>
        <v>-1.2548938914719048</v>
      </c>
      <c r="V528" s="55"/>
      <c r="W528" s="78"/>
      <c r="X528" s="57"/>
      <c r="Y528" s="57"/>
      <c r="Z528" s="57"/>
      <c r="AA528" s="57"/>
      <c r="AB528" s="57"/>
      <c r="AC528" s="60"/>
      <c r="AD528" s="61"/>
      <c r="AE528" s="55"/>
    </row>
    <row r="529" spans="1:31" ht="21.25" customHeight="1" x14ac:dyDescent="0.15">
      <c r="A529" s="10" t="s">
        <v>755</v>
      </c>
      <c r="B529" s="18" t="str" cm="1">
        <f t="array" ref="B529">VLOOKUP(A529,'Player Data'!A1:B673,2,FALSE)</f>
        <v>EDM</v>
      </c>
      <c r="C529" s="52" cm="1">
        <f t="array" ref="C529">((E529)*Settings!$C$12)+(F529*Settings!$C$2)+(G529*Settings!$C$3)+(H529*Settings!$C$4)+(I529*Settings!$C$5)+(K529*Settings!$C$9)+(N529*Settings!$C$6)+(J529*Settings!$C$8)+(O529*Settings!$C$7)+(P529*Settings!$C$14)+(Q529*Settings!$C$15)+(R529*Settings!$C$16)+(S529*Settings!$C$17)+(T529*Settings!$C$18)+(U529*Settings!$C$19)+(L529*Settings!$C$10)+(Settings!$C$11*M529)</f>
        <v>-2.4363596204547999</v>
      </c>
      <c r="D529" s="57" cm="1">
        <f t="array" ref="D529">IF(Settings!$E$12="YES",VLOOKUP(A529,'Player Data'!A1:E673,5,FALSE),82)</f>
        <v>79.31</v>
      </c>
      <c r="E529" s="55" cm="1">
        <f t="array" ref="E529">(VLOOKUP($A529,'The List'!$B1:$AH671,17,FALSE)-AVERAGE('The List'!R2:R671))/STDEV('The List'!R2:R671)</f>
        <v>-1.3943925784462332</v>
      </c>
      <c r="F529" s="55" cm="1">
        <f t="array" ref="F529">(VLOOKUP($A529,'The List'!$B1:$AH671,18,FALSE)-AVERAGE('The List'!S2:S671))/STDEV('The List'!S2:S671)</f>
        <v>-0.57080364209973145</v>
      </c>
      <c r="G529" s="55" cm="1">
        <f t="array" ref="G529">(VLOOKUP($A529,'The List'!$B1:$AH671,19,FALSE)-AVERAGE('The List'!T2:T671))/STDEV('The List'!T2:T671)</f>
        <v>-1.0615219270799334</v>
      </c>
      <c r="H529" s="55" cm="1">
        <f t="array" ref="H529">(VLOOKUP($A529,'The List'!$B1:$AH671,20,FALSE)-AVERAGE('The List'!U2:U671))/STDEV('The List'!U2:U671)</f>
        <v>-0.92094484826000456</v>
      </c>
      <c r="I529" s="55" cm="1">
        <f t="array" ref="I529">(VLOOKUP($A529,'The List'!$B1:$AH671,21,FALSE)-AVERAGE('The List'!V2:V671))/STDEV('The List'!V2:V671)</f>
        <v>-0.66520045043353659</v>
      </c>
      <c r="J529" s="55" cm="1">
        <f t="array" ref="J529">(VLOOKUP($A529,'The List'!$B1:$AH671,22,FALSE)-AVERAGE('The List'!W2:W671))/STDEV('The List'!W2:W671)</f>
        <v>-0.69680497503494221</v>
      </c>
      <c r="K529" s="55" cm="1">
        <f t="array" ref="K529">(VLOOKUP($A529,'The List'!$B1:$AH671,23,FALSE)-AVERAGE('The List'!X2:X671))/STDEV('The List'!X2:X671)</f>
        <v>-0.77252375310099697</v>
      </c>
      <c r="L529" s="55" cm="1">
        <f t="array" ref="L529">(VLOOKUP($A529,'The List'!$B1:$AH671,24,FALSE)-AVERAGE('The List'!Y2:Y671))/STDEV('The List'!Y2:Y671)</f>
        <v>-0.32703236210665226</v>
      </c>
      <c r="M529" s="55" cm="1">
        <f t="array" ref="M529">(VLOOKUP($A529,'The List'!$B1:$AH671,25,FALSE)-AVERAGE('The List'!Z2:Z671))/STDEV('The List'!Z2:Z671)</f>
        <v>-0.47347036286091976</v>
      </c>
      <c r="N529" s="55" cm="1">
        <f t="array" ref="N529">(VLOOKUP($A529,'The List'!$B1:$AH671,26,FALSE)-AVERAGE('The List'!AA2:AA671))/STDEV('The List'!AA2:AA671)</f>
        <v>-0.83490284280862559</v>
      </c>
      <c r="O529" s="55" cm="1">
        <f t="array" ref="O529">(VLOOKUP($A529,'The List'!$B1:$AH671,27,FALSE)-AVERAGE('The List'!AB2:AB671))/STDEV('The List'!AB2:AB671)</f>
        <v>2.0400249635550858</v>
      </c>
      <c r="P529" s="55" cm="1">
        <f t="array" ref="P529">(VLOOKUP($A529,'The List'!$B1:$AH671,28,FALSE)-AVERAGE('The List'!AC2:AC671))/STDEV('The List'!AC2:AC671)</f>
        <v>0.78955653080514043</v>
      </c>
      <c r="Q529" s="55" cm="1">
        <f t="array" ref="Q529">(VLOOKUP($A529,'The List'!$B1:$AH671,29,FALSE)-AVERAGE('The List'!AD2:AD671))/STDEV('The List'!AD2:AD671)</f>
        <v>0.67903646426288355</v>
      </c>
      <c r="R529" s="55" cm="1">
        <f t="array" ref="R529">(VLOOKUP($A529,'The List'!$B1:$AH671,30,FALSE)-AVERAGE('The List'!AE2:AE671))/STDEV('The List'!AE2:AE671)</f>
        <v>-0.45511264179861244</v>
      </c>
      <c r="S529" s="55" cm="1">
        <f t="array" ref="S529">(VLOOKUP($A529,'The List'!$B1:$AH671,31,FALSE)-AVERAGE('The List'!AF2:AF671))/STDEV('The List'!AF2:AF671)</f>
        <v>-0.13508837110771102</v>
      </c>
      <c r="T529" s="55" cm="1">
        <f t="array" ref="T529">(VLOOKUP($A529,'The List'!$B1:$AH671,32,FALSE)-AVERAGE('The List'!AG2:AG671))/STDEV('The List'!AG2:AG671)</f>
        <v>-0.14344846806820585</v>
      </c>
      <c r="U529" s="55" cm="1">
        <f t="array" ref="U529">(VLOOKUP($A529,'The List'!$B1:$AH671,33,FALSE)-AVERAGE('The List'!AH2:AH671))/STDEV('The List'!AH2:AH671)</f>
        <v>1.0113546247022676</v>
      </c>
      <c r="V529" s="55"/>
      <c r="W529" s="57"/>
      <c r="X529" s="55"/>
      <c r="Y529" s="55"/>
      <c r="Z529" s="55"/>
      <c r="AA529" s="55"/>
      <c r="AB529" s="55"/>
      <c r="AC529" s="55"/>
      <c r="AD529" s="55"/>
      <c r="AE529" s="55"/>
    </row>
    <row r="530" spans="1:31" ht="21.25" customHeight="1" x14ac:dyDescent="0.15">
      <c r="A530" s="10" t="s">
        <v>510</v>
      </c>
      <c r="B530" s="18" t="str" cm="1">
        <f t="array" ref="B530">VLOOKUP(A530,'Player Data'!A1:B673,2,FALSE)</f>
        <v>L.A</v>
      </c>
      <c r="C530" s="52" cm="1">
        <f t="array" ref="C530">((E530)*Settings!$C$12)+(F530*Settings!$C$2)+(G530*Settings!$C$3)+(H530*Settings!$C$4)+(I530*Settings!$C$5)+(K530*Settings!$C$9)+(N530*Settings!$C$6)+(J530*Settings!$C$8)+(O530*Settings!$C$7)+(P530*Settings!$C$14)+(Q530*Settings!$C$15)+(R530*Settings!$C$16)+(S530*Settings!$C$17)+(T530*Settings!$C$18)+(U530*Settings!$C$19)+(L530*Settings!$C$10)+(Settings!$C$11*M530)</f>
        <v>-4.0205473554538154</v>
      </c>
      <c r="D530" s="57" cm="1">
        <f t="array" ref="D530">IF(Settings!$E$12="YES",VLOOKUP(A530,'Player Data'!A1:E673,5,FALSE),82)</f>
        <v>83.555000000000007</v>
      </c>
      <c r="E530" s="55" cm="1">
        <f t="array" ref="E530">(VLOOKUP($A530,'The List'!$B1:$AH671,17,FALSE)-AVERAGE('The List'!R2:R671))/STDEV('The List'!R2:R671)</f>
        <v>0.24418172102927282</v>
      </c>
      <c r="F530" s="55" cm="1">
        <f t="array" ref="F530">(VLOOKUP($A530,'The List'!$B1:$AH671,18,FALSE)-AVERAGE('The List'!S2:S671))/STDEV('The List'!S2:S671)</f>
        <v>-1.0786952905134082</v>
      </c>
      <c r="G530" s="55" cm="1">
        <f t="array" ref="G530">(VLOOKUP($A530,'The List'!$B1:$AH671,19,FALSE)-AVERAGE('The List'!T2:T671))/STDEV('The List'!T2:T671)</f>
        <v>-0.64278370757002956</v>
      </c>
      <c r="H530" s="55" cm="1">
        <f t="array" ref="H530">(VLOOKUP($A530,'The List'!$B1:$AH671,20,FALSE)-AVERAGE('The List'!U2:U671))/STDEV('The List'!U2:U671)</f>
        <v>-0.88290119447417437</v>
      </c>
      <c r="I530" s="55" cm="1">
        <f t="array" ref="I530">(VLOOKUP($A530,'The List'!$B1:$AH671,21,FALSE)-AVERAGE('The List'!V2:V671))/STDEV('The List'!V2:V671)</f>
        <v>-1.1044447909569139</v>
      </c>
      <c r="J530" s="55" cm="1">
        <f t="array" ref="J530">(VLOOKUP($A530,'The List'!$B1:$AH671,22,FALSE)-AVERAGE('The List'!W2:W671))/STDEV('The List'!W2:W671)</f>
        <v>-0.74847282596210851</v>
      </c>
      <c r="K530" s="55" cm="1">
        <f t="array" ref="K530">(VLOOKUP($A530,'The List'!$B1:$AH671,23,FALSE)-AVERAGE('The List'!X2:X671))/STDEV('The List'!X2:X671)</f>
        <v>-0.80599336665038823</v>
      </c>
      <c r="L530" s="55" cm="1">
        <f t="array" ref="L530">(VLOOKUP($A530,'The List'!$B1:$AH671,24,FALSE)-AVERAGE('The List'!Y2:Y671))/STDEV('The List'!Y2:Y671)</f>
        <v>-0.53195789136311122</v>
      </c>
      <c r="M530" s="55" cm="1">
        <f t="array" ref="M530">(VLOOKUP($A530,'The List'!$B1:$AH671,25,FALSE)-AVERAGE('The List'!Z2:Z671))/STDEV('The List'!Z2:Z671)</f>
        <v>-0.25269222050287277</v>
      </c>
      <c r="N530" s="55" cm="1">
        <f t="array" ref="N530">(VLOOKUP($A530,'The List'!$B1:$AH671,26,FALSE)-AVERAGE('The List'!AA2:AA671))/STDEV('The List'!AA2:AA671)</f>
        <v>0.87948127963455769</v>
      </c>
      <c r="O530" s="55" cm="1">
        <f t="array" ref="O530">(VLOOKUP($A530,'The List'!$B1:$AH671,27,FALSE)-AVERAGE('The List'!AB2:AB671))/STDEV('The List'!AB2:AB671)</f>
        <v>-0.53184335554305751</v>
      </c>
      <c r="P530" s="55" cm="1">
        <f t="array" ref="P530">(VLOOKUP($A530,'The List'!$B1:$AH671,28,FALSE)-AVERAGE('The List'!AC2:AC671))/STDEV('The List'!AC2:AC671)</f>
        <v>-0.53217627659527822</v>
      </c>
      <c r="Q530" s="55" cm="1">
        <f t="array" ref="Q530">(VLOOKUP($A530,'The List'!$B1:$AH671,29,FALSE)-AVERAGE('The List'!AD2:AD671))/STDEV('The List'!AD2:AD671)</f>
        <v>-0.73593520280235514</v>
      </c>
      <c r="R530" s="55" cm="1">
        <f t="array" ref="R530">(VLOOKUP($A530,'The List'!$B1:$AH671,30,FALSE)-AVERAGE('The List'!AE2:AE671))/STDEV('The List'!AE2:AE671)</f>
        <v>-1.0443854708968918</v>
      </c>
      <c r="S530" s="55" cm="1">
        <f t="array" ref="S530">(VLOOKUP($A530,'The List'!$B1:$AH671,31,FALSE)-AVERAGE('The List'!AF2:AF671))/STDEV('The List'!AF2:AF671)</f>
        <v>-0.5939690971349143</v>
      </c>
      <c r="T530" s="55" cm="1">
        <f t="array" ref="T530">(VLOOKUP($A530,'The List'!$B1:$AH671,32,FALSE)-AVERAGE('The List'!AG2:AG671))/STDEV('The List'!AG2:AG671)</f>
        <v>-0.64602208138248207</v>
      </c>
      <c r="U530" s="55" cm="1">
        <f t="array" ref="U530">(VLOOKUP($A530,'The List'!$B1:$AH671,33,FALSE)-AVERAGE('The List'!AH2:AH671))/STDEV('The List'!AH2:AH671)</f>
        <v>-1.2548938914719048</v>
      </c>
      <c r="V530" s="55"/>
      <c r="W530" s="78"/>
      <c r="X530" s="57"/>
      <c r="Y530" s="57"/>
      <c r="Z530" s="57"/>
      <c r="AA530" s="57"/>
      <c r="AB530" s="57"/>
      <c r="AC530" s="60"/>
      <c r="AD530" s="61"/>
      <c r="AE530" s="55"/>
    </row>
    <row r="531" spans="1:31" ht="21.25" customHeight="1" x14ac:dyDescent="0.15">
      <c r="A531" s="10" t="s">
        <v>487</v>
      </c>
      <c r="B531" s="18" t="str" cm="1">
        <f t="array" ref="B531">VLOOKUP(A531,'Player Data'!A1:B673,2,FALSE)</f>
        <v>T.B</v>
      </c>
      <c r="C531" s="52" cm="1">
        <f t="array" ref="C531">((E531)*Settings!$C$12)+(F531*Settings!$C$2)+(G531*Settings!$C$3)+(H531*Settings!$C$4)+(I531*Settings!$C$5)+(K531*Settings!$C$9)+(N531*Settings!$C$6)+(J531*Settings!$C$8)+(O531*Settings!$C$7)+(P531*Settings!$C$14)+(Q531*Settings!$C$15)+(R531*Settings!$C$16)+(S531*Settings!$C$17)+(T531*Settings!$C$18)+(U531*Settings!$C$19)+(L531*Settings!$C$10)+(Settings!$C$11*M531)</f>
        <v>0.57822822295456255</v>
      </c>
      <c r="D531" s="57" cm="1">
        <f t="array" ref="D531">IF(Settings!$E$12="YES",VLOOKUP(A531,'Player Data'!A1:E673,5,FALSE),82)</f>
        <v>78.177499999999995</v>
      </c>
      <c r="E531" s="55" cm="1">
        <f t="array" ref="E531">(VLOOKUP($A531,'The List'!$B1:$AH671,17,FALSE)-AVERAGE('The List'!R2:R671))/STDEV('The List'!R2:R671)</f>
        <v>0.38582105801870664</v>
      </c>
      <c r="F531" s="55" cm="1">
        <f t="array" ref="F531">(VLOOKUP($A531,'The List'!$B1:$AH671,18,FALSE)-AVERAGE('The List'!S2:S671))/STDEV('The List'!S2:S671)</f>
        <v>-1.1290894785520722</v>
      </c>
      <c r="G531" s="55" cm="1">
        <f t="array" ref="G531">(VLOOKUP($A531,'The List'!$B1:$AH671,19,FALSE)-AVERAGE('The List'!T2:T671))/STDEV('The List'!T2:T671)</f>
        <v>-0.68818802543237356</v>
      </c>
      <c r="H531" s="55" cm="1">
        <f t="array" ref="H531">(VLOOKUP($A531,'The List'!$B1:$AH671,20,FALSE)-AVERAGE('The List'!U2:U671))/STDEV('The List'!U2:U671)</f>
        <v>-0.93381907574526901</v>
      </c>
      <c r="I531" s="55" cm="1">
        <f t="array" ref="I531">(VLOOKUP($A531,'The List'!$B1:$AH671,21,FALSE)-AVERAGE('The List'!V2:V671))/STDEV('The List'!V2:V671)</f>
        <v>-1.0921094351532257</v>
      </c>
      <c r="J531" s="55" cm="1">
        <f t="array" ref="J531">(VLOOKUP($A531,'The List'!$B1:$AH671,22,FALSE)-AVERAGE('The List'!W2:W671))/STDEV('The List'!W2:W671)</f>
        <v>-0.7481116095925745</v>
      </c>
      <c r="K531" s="55" cm="1">
        <f t="array" ref="K531">(VLOOKUP($A531,'The List'!$B1:$AH671,23,FALSE)-AVERAGE('The List'!X2:X671))/STDEV('The List'!X2:X671)</f>
        <v>-0.80394223717486346</v>
      </c>
      <c r="L531" s="55" cm="1">
        <f t="array" ref="L531">(VLOOKUP($A531,'The List'!$B1:$AH671,24,FALSE)-AVERAGE('The List'!Y2:Y671))/STDEV('The List'!Y2:Y671)</f>
        <v>-0.53437615530926041</v>
      </c>
      <c r="M531" s="55" cm="1">
        <f t="array" ref="M531">(VLOOKUP($A531,'The List'!$B1:$AH671,25,FALSE)-AVERAGE('The List'!Z2:Z671))/STDEV('The List'!Z2:Z671)</f>
        <v>0.22456028318337065</v>
      </c>
      <c r="N531" s="55" cm="1">
        <f t="array" ref="N531">(VLOOKUP($A531,'The List'!$B1:$AH671,26,FALSE)-AVERAGE('The List'!AA2:AA671))/STDEV('The List'!AA2:AA671)</f>
        <v>1.4180987489111934</v>
      </c>
      <c r="O531" s="55" cm="1">
        <f t="array" ref="O531">(VLOOKUP($A531,'The List'!$B1:$AH671,27,FALSE)-AVERAGE('The List'!AB2:AB671))/STDEV('The List'!AB2:AB671)</f>
        <v>1.128568325962902</v>
      </c>
      <c r="P531" s="55" cm="1">
        <f t="array" ref="P531">(VLOOKUP($A531,'The List'!$B1:$AH671,28,FALSE)-AVERAGE('The List'!AC2:AC671))/STDEV('The List'!AC2:AC671)</f>
        <v>1.1959934758131627</v>
      </c>
      <c r="Q531" s="55" cm="1">
        <f t="array" ref="Q531">(VLOOKUP($A531,'The List'!$B1:$AH671,29,FALSE)-AVERAGE('The List'!AD2:AD671))/STDEV('The List'!AD2:AD671)</f>
        <v>1.6774651745427409</v>
      </c>
      <c r="R531" s="55" cm="1">
        <f t="array" ref="R531">(VLOOKUP($A531,'The List'!$B1:$AH671,30,FALSE)-AVERAGE('The List'!AE2:AE671))/STDEV('The List'!AE2:AE671)</f>
        <v>-1.0645611738573579</v>
      </c>
      <c r="S531" s="55" cm="1">
        <f t="array" ref="S531">(VLOOKUP($A531,'The List'!$B1:$AH671,31,FALSE)-AVERAGE('The List'!AF2:AF671))/STDEV('The List'!AF2:AF671)</f>
        <v>-0.5939690971349143</v>
      </c>
      <c r="T531" s="55" cm="1">
        <f t="array" ref="T531">(VLOOKUP($A531,'The List'!$B1:$AH671,32,FALSE)-AVERAGE('The List'!AG2:AG671))/STDEV('The List'!AG2:AG671)</f>
        <v>-0.64602208138248207</v>
      </c>
      <c r="U531" s="55" cm="1">
        <f t="array" ref="U531">(VLOOKUP($A531,'The List'!$B1:$AH671,33,FALSE)-AVERAGE('The List'!AH2:AH671))/STDEV('The List'!AH2:AH671)</f>
        <v>-1.2548938914719048</v>
      </c>
      <c r="V531" s="55"/>
      <c r="W531" s="78"/>
      <c r="X531" s="57"/>
      <c r="Y531" s="57"/>
      <c r="Z531" s="57"/>
      <c r="AA531" s="57"/>
      <c r="AB531" s="57"/>
      <c r="AC531" s="60"/>
      <c r="AD531" s="61"/>
      <c r="AE531" s="55"/>
    </row>
    <row r="532" spans="1:31" ht="21.25" customHeight="1" x14ac:dyDescent="0.15">
      <c r="A532" s="10" t="s">
        <v>715</v>
      </c>
      <c r="B532" s="18" t="str" cm="1">
        <f t="array" ref="B532">VLOOKUP(A532,'Player Data'!A1:B673,2,FALSE)</f>
        <v>STL</v>
      </c>
      <c r="C532" s="52" cm="1">
        <f t="array" ref="C532">((E532)*Settings!$C$12)+(F532*Settings!$C$2)+(G532*Settings!$C$3)+(H532*Settings!$C$4)+(I532*Settings!$C$5)+(K532*Settings!$C$9)+(N532*Settings!$C$6)+(J532*Settings!$C$8)+(O532*Settings!$C$7)+(P532*Settings!$C$14)+(Q532*Settings!$C$15)+(R532*Settings!$C$16)+(S532*Settings!$C$17)+(T532*Settings!$C$18)+(U532*Settings!$C$19)+(L532*Settings!$C$10)+(Settings!$C$11*M532)</f>
        <v>-4.7708676708608806</v>
      </c>
      <c r="D532" s="57" cm="1">
        <f t="array" ref="D532">IF(Settings!$E$12="YES",VLOOKUP(A532,'Player Data'!A1:E673,5,FALSE),82)</f>
        <v>80.737499999999997</v>
      </c>
      <c r="E532" s="55" cm="1">
        <f t="array" ref="E532">(VLOOKUP($A532,'The List'!$B1:$AH671,17,FALSE)-AVERAGE('The List'!R2:R671))/STDEV('The List'!R2:R671)</f>
        <v>-1.3286904038153362</v>
      </c>
      <c r="F532" s="55" cm="1">
        <f t="array" ref="F532">(VLOOKUP($A532,'The List'!$B1:$AH671,18,FALSE)-AVERAGE('The List'!S2:S671))/STDEV('The List'!S2:S671)</f>
        <v>-0.69081062723891395</v>
      </c>
      <c r="G532" s="55" cm="1">
        <f t="array" ref="G532">(VLOOKUP($A532,'The List'!$B1:$AH671,19,FALSE)-AVERAGE('The List'!T2:T671))/STDEV('The List'!T2:T671)</f>
        <v>-0.96203164143335174</v>
      </c>
      <c r="H532" s="55" cm="1">
        <f t="array" ref="H532">(VLOOKUP($A532,'The List'!$B1:$AH671,20,FALSE)-AVERAGE('The List'!U2:U671))/STDEV('The List'!U2:U671)</f>
        <v>-0.91161047248101801</v>
      </c>
      <c r="I532" s="55" cm="1">
        <f t="array" ref="I532">(VLOOKUP($A532,'The List'!$B1:$AH671,21,FALSE)-AVERAGE('The List'!V2:V671))/STDEV('The List'!V2:V671)</f>
        <v>-0.66369213698886587</v>
      </c>
      <c r="J532" s="55" cm="1">
        <f t="array" ref="J532">(VLOOKUP($A532,'The List'!$B1:$AH671,22,FALSE)-AVERAGE('The List'!W2:W671))/STDEV('The List'!W2:W671)</f>
        <v>-0.74247188407296394</v>
      </c>
      <c r="K532" s="55" cm="1">
        <f t="array" ref="K532">(VLOOKUP($A532,'The List'!$B1:$AH671,23,FALSE)-AVERAGE('The List'!X2:X671))/STDEV('The List'!X2:X671)</f>
        <v>-0.80570738774088524</v>
      </c>
      <c r="L532" s="55" cm="1">
        <f t="array" ref="L532">(VLOOKUP($A532,'The List'!$B1:$AH671,24,FALSE)-AVERAGE('The List'!Y2:Y671))/STDEV('The List'!Y2:Y671)</f>
        <v>1.3801288338783622</v>
      </c>
      <c r="M532" s="55" cm="1">
        <f t="array" ref="M532">(VLOOKUP($A532,'The List'!$B1:$AH671,25,FALSE)-AVERAGE('The List'!Z2:Z671))/STDEV('The List'!Z2:Z671)</f>
        <v>1.1926391771403264</v>
      </c>
      <c r="N532" s="55" cm="1">
        <f t="array" ref="N532">(VLOOKUP($A532,'The List'!$B1:$AH671,26,FALSE)-AVERAGE('The List'!AA2:AA671))/STDEV('The List'!AA2:AA671)</f>
        <v>-0.13293911848005738</v>
      </c>
      <c r="O532" s="55" cm="1">
        <f t="array" ref="O532">(VLOOKUP($A532,'The List'!$B1:$AH671,27,FALSE)-AVERAGE('The List'!AB2:AB671))/STDEV('The List'!AB2:AB671)</f>
        <v>1.7013134398080079</v>
      </c>
      <c r="P532" s="55" cm="1">
        <f t="array" ref="P532">(VLOOKUP($A532,'The List'!$B1:$AH671,28,FALSE)-AVERAGE('The List'!AC2:AC671))/STDEV('The List'!AC2:AC671)</f>
        <v>-0.89140870239415304</v>
      </c>
      <c r="Q532" s="55" cm="1">
        <f t="array" ref="Q532">(VLOOKUP($A532,'The List'!$B1:$AH671,29,FALSE)-AVERAGE('The List'!AD2:AD671))/STDEV('The List'!AD2:AD671)</f>
        <v>-0.62427805658465352</v>
      </c>
      <c r="R532" s="55" cm="1">
        <f t="array" ref="R532">(VLOOKUP($A532,'The List'!$B1:$AH671,30,FALSE)-AVERAGE('The List'!AE2:AE671))/STDEV('The List'!AE2:AE671)</f>
        <v>-0.72005168181966073</v>
      </c>
      <c r="S532" s="55" cm="1">
        <f t="array" ref="S532">(VLOOKUP($A532,'The List'!$B1:$AH671,31,FALSE)-AVERAGE('The List'!AF2:AF671))/STDEV('The List'!AF2:AF671)</f>
        <v>-0.58045297274442487</v>
      </c>
      <c r="T532" s="55" cm="1">
        <f t="array" ref="T532">(VLOOKUP($A532,'The List'!$B1:$AH671,32,FALSE)-AVERAGE('The List'!AG2:AG671))/STDEV('The List'!AG2:AG671)</f>
        <v>-0.62565522290559339</v>
      </c>
      <c r="U532" s="55" cm="1">
        <f t="array" ref="U532">(VLOOKUP($A532,'The List'!$B1:$AH671,33,FALSE)-AVERAGE('The List'!AH2:AH671))/STDEV('The List'!AH2:AH671)</f>
        <v>0.64862145705501761</v>
      </c>
      <c r="V532" s="55"/>
      <c r="W532" s="78"/>
      <c r="X532" s="57"/>
      <c r="Y532" s="57"/>
      <c r="Z532" s="57"/>
      <c r="AA532" s="57"/>
      <c r="AB532" s="57"/>
      <c r="AC532" s="60"/>
      <c r="AD532" s="61"/>
      <c r="AE532" s="55"/>
    </row>
    <row r="533" spans="1:31" ht="21.25" customHeight="1" x14ac:dyDescent="0.15">
      <c r="A533" s="10" t="s">
        <v>525</v>
      </c>
      <c r="B533" s="18" t="str" cm="1">
        <f t="array" ref="B533">VLOOKUP(A533,'Player Data'!A1:B673,2,FALSE)</f>
        <v>BOS</v>
      </c>
      <c r="C533" s="52" cm="1">
        <f t="array" ref="C533">((E533)*Settings!$C$12)+(F533*Settings!$C$2)+(G533*Settings!$C$3)+(H533*Settings!$C$4)+(I533*Settings!$C$5)+(K533*Settings!$C$9)+(N533*Settings!$C$6)+(J533*Settings!$C$8)+(O533*Settings!$C$7)+(P533*Settings!$C$14)+(Q533*Settings!$C$15)+(R533*Settings!$C$16)+(S533*Settings!$C$17)+(T533*Settings!$C$18)+(U533*Settings!$C$19)+(L533*Settings!$C$10)+(Settings!$C$11*M533)</f>
        <v>-2.0977127682570766</v>
      </c>
      <c r="D533" s="57" cm="1">
        <f t="array" ref="D533">IF(Settings!$E$12="YES",VLOOKUP(A533,'Player Data'!A1:E673,5,FALSE),82)</f>
        <v>75.314999999999998</v>
      </c>
      <c r="E533" s="55" cm="1">
        <f t="array" ref="E533">(VLOOKUP($A533,'The List'!$B1:$AH671,17,FALSE)-AVERAGE('The List'!R2:R671))/STDEV('The List'!R2:R671)</f>
        <v>-4.538688016862405E-2</v>
      </c>
      <c r="F533" s="55" cm="1">
        <f t="array" ref="F533">(VLOOKUP($A533,'The List'!$B1:$AH671,18,FALSE)-AVERAGE('The List'!S2:S671))/STDEV('The List'!S2:S671)</f>
        <v>-1.022332232520281</v>
      </c>
      <c r="G533" s="55" cm="1">
        <f t="array" ref="G533">(VLOOKUP($A533,'The List'!$B1:$AH671,19,FALSE)-AVERAGE('The List'!T2:T671))/STDEV('The List'!T2:T671)</f>
        <v>-0.80872823300976338</v>
      </c>
      <c r="H533" s="55" cm="1">
        <f t="array" ref="H533">(VLOOKUP($A533,'The List'!$B1:$AH671,20,FALSE)-AVERAGE('The List'!U2:U671))/STDEV('The List'!U2:U671)</f>
        <v>-0.96227236232771418</v>
      </c>
      <c r="I533" s="55" cm="1">
        <f t="array" ref="I533">(VLOOKUP($A533,'The List'!$B1:$AH671,21,FALSE)-AVERAGE('The List'!V2:V671))/STDEV('The List'!V2:V671)</f>
        <v>-1.159647730852678</v>
      </c>
      <c r="J533" s="55" cm="1">
        <f t="array" ref="J533">(VLOOKUP($A533,'The List'!$B1:$AH671,22,FALSE)-AVERAGE('The List'!W2:W671))/STDEV('The List'!W2:W671)</f>
        <v>-0.74905889061662512</v>
      </c>
      <c r="K533" s="55" cm="1">
        <f t="array" ref="K533">(VLOOKUP($A533,'The List'!$B1:$AH671,23,FALSE)-AVERAGE('The List'!X2:X671))/STDEV('The List'!X2:X671)</f>
        <v>-0.8038421845495729</v>
      </c>
      <c r="L533" s="55" cm="1">
        <f t="array" ref="L533">(VLOOKUP($A533,'The List'!$B1:$AH671,24,FALSE)-AVERAGE('The List'!Y2:Y671))/STDEV('The List'!Y2:Y671)</f>
        <v>-0.50549064929652376</v>
      </c>
      <c r="M533" s="55" cm="1">
        <f t="array" ref="M533">(VLOOKUP($A533,'The List'!$B1:$AH671,25,FALSE)-AVERAGE('The List'!Z2:Z671))/STDEV('The List'!Z2:Z671)</f>
        <v>-0.57706317157978948</v>
      </c>
      <c r="N533" s="55" cm="1">
        <f t="array" ref="N533">(VLOOKUP($A533,'The List'!$B1:$AH671,26,FALSE)-AVERAGE('The List'!AA2:AA671))/STDEV('The List'!AA2:AA671)</f>
        <v>0.91162145995775334</v>
      </c>
      <c r="O533" s="55" cm="1">
        <f t="array" ref="O533">(VLOOKUP($A533,'The List'!$B1:$AH671,27,FALSE)-AVERAGE('The List'!AB2:AB671))/STDEV('The List'!AB2:AB671)</f>
        <v>0.24451396262042754</v>
      </c>
      <c r="P533" s="55" cm="1">
        <f t="array" ref="P533">(VLOOKUP($A533,'The List'!$B1:$AH671,28,FALSE)-AVERAGE('The List'!AC2:AC671))/STDEV('The List'!AC2:AC671)</f>
        <v>-7.2756140377513753E-2</v>
      </c>
      <c r="Q533" s="55" cm="1">
        <f t="array" ref="Q533">(VLOOKUP($A533,'The List'!$B1:$AH671,29,FALSE)-AVERAGE('The List'!AD2:AD671))/STDEV('The List'!AD2:AD671)</f>
        <v>0.8579722930949788</v>
      </c>
      <c r="R533" s="55" cm="1">
        <f t="array" ref="R533">(VLOOKUP($A533,'The List'!$B1:$AH671,30,FALSE)-AVERAGE('The List'!AE2:AE671))/STDEV('The List'!AE2:AE671)</f>
        <v>-1.0396350977458162</v>
      </c>
      <c r="S533" s="55" cm="1">
        <f t="array" ref="S533">(VLOOKUP($A533,'The List'!$B1:$AH671,31,FALSE)-AVERAGE('The List'!AF2:AF671))/STDEV('The List'!AF2:AF671)</f>
        <v>-0.5939690971349143</v>
      </c>
      <c r="T533" s="55" cm="1">
        <f t="array" ref="T533">(VLOOKUP($A533,'The List'!$B1:$AH671,32,FALSE)-AVERAGE('The List'!AG2:AG671))/STDEV('The List'!AG2:AG671)</f>
        <v>-0.64602208138248207</v>
      </c>
      <c r="U533" s="55" cm="1">
        <f t="array" ref="U533">(VLOOKUP($A533,'The List'!$B1:$AH671,33,FALSE)-AVERAGE('The List'!AH2:AH671))/STDEV('The List'!AH2:AH671)</f>
        <v>-1.2548938914719048</v>
      </c>
      <c r="V533" s="55"/>
      <c r="W533" s="78"/>
      <c r="X533" s="57"/>
      <c r="Y533" s="57"/>
      <c r="Z533" s="57"/>
      <c r="AA533" s="57"/>
      <c r="AB533" s="57"/>
      <c r="AC533" s="60"/>
      <c r="AD533" s="61"/>
      <c r="AE533" s="55"/>
    </row>
    <row r="534" spans="1:31" ht="21.25" customHeight="1" x14ac:dyDescent="0.15">
      <c r="A534" s="10" t="s">
        <v>448</v>
      </c>
      <c r="B534" s="18" t="str" cm="1">
        <f t="array" ref="B534">VLOOKUP(A534,'Player Data'!A1:B673,2,FALSE)</f>
        <v>WPG</v>
      </c>
      <c r="C534" s="52" cm="1">
        <f t="array" ref="C534">((E534)*Settings!$C$12)+(F534*Settings!$C$2)+(G534*Settings!$C$3)+(H534*Settings!$C$4)+(I534*Settings!$C$5)+(K534*Settings!$C$9)+(N534*Settings!$C$6)+(J534*Settings!$C$8)+(O534*Settings!$C$7)+(P534*Settings!$C$14)+(Q534*Settings!$C$15)+(R534*Settings!$C$16)+(S534*Settings!$C$17)+(T534*Settings!$C$18)+(U534*Settings!$C$19)+(L534*Settings!$C$10)+(Settings!$C$11*M534)</f>
        <v>-1.453600166364317</v>
      </c>
      <c r="D534" s="57" cm="1">
        <f t="array" ref="D534">IF(Settings!$E$12="YES",VLOOKUP(A534,'Player Data'!A1:E673,5,FALSE),82)</f>
        <v>83.08</v>
      </c>
      <c r="E534" s="55" cm="1">
        <f t="array" ref="E534">(VLOOKUP($A534,'The List'!$B1:$AH671,17,FALSE)-AVERAGE('The List'!R2:R671))/STDEV('The List'!R2:R671)</f>
        <v>0.34983547360363615</v>
      </c>
      <c r="F534" s="55" cm="1">
        <f t="array" ref="F534">(VLOOKUP($A534,'The List'!$B1:$AH671,18,FALSE)-AVERAGE('The List'!S2:S671))/STDEV('The List'!S2:S671)</f>
        <v>-0.97886240155369153</v>
      </c>
      <c r="G534" s="55" cm="1">
        <f t="array" ref="G534">(VLOOKUP($A534,'The List'!$B1:$AH671,19,FALSE)-AVERAGE('The List'!T2:T671))/STDEV('The List'!T2:T671)</f>
        <v>-0.73315648233811259</v>
      </c>
      <c r="H534" s="55" cm="1">
        <f t="array" ref="H534">(VLOOKUP($A534,'The List'!$B1:$AH671,20,FALSE)-AVERAGE('The List'!U2:U671))/STDEV('The List'!U2:U671)</f>
        <v>-0.89545151165656334</v>
      </c>
      <c r="I534" s="55" cm="1">
        <f t="array" ref="I534">(VLOOKUP($A534,'The List'!$B1:$AH671,21,FALSE)-AVERAGE('The List'!V2:V671))/STDEV('The List'!V2:V671)</f>
        <v>-0.81307740034426002</v>
      </c>
      <c r="J534" s="55" cm="1">
        <f t="array" ref="J534">(VLOOKUP($A534,'The List'!$B1:$AH671,22,FALSE)-AVERAGE('The List'!W2:W671))/STDEV('The List'!W2:W671)</f>
        <v>-0.74807671618828375</v>
      </c>
      <c r="K534" s="55" cm="1">
        <f t="array" ref="K534">(VLOOKUP($A534,'The List'!$B1:$AH671,23,FALSE)-AVERAGE('The List'!X2:X671))/STDEV('The List'!X2:X671)</f>
        <v>-0.80495722959217042</v>
      </c>
      <c r="L534" s="55" cm="1">
        <f t="array" ref="L534">(VLOOKUP($A534,'The List'!$B1:$AH671,24,FALSE)-AVERAGE('The List'!Y2:Y671))/STDEV('The List'!Y2:Y671)</f>
        <v>-0.5331217329443011</v>
      </c>
      <c r="M534" s="55" cm="1">
        <f t="array" ref="M534">(VLOOKUP($A534,'The List'!$B1:$AH671,25,FALSE)-AVERAGE('The List'!Z2:Z671))/STDEV('The List'!Z2:Z671)</f>
        <v>-0.32999205759494921</v>
      </c>
      <c r="N534" s="55" cm="1">
        <f t="array" ref="N534">(VLOOKUP($A534,'The List'!$B1:$AH671,26,FALSE)-AVERAGE('The List'!AA2:AA671))/STDEV('The List'!AA2:AA671)</f>
        <v>1.6258985125273184</v>
      </c>
      <c r="O534" s="55" cm="1">
        <f t="array" ref="O534">(VLOOKUP($A534,'The List'!$B1:$AH671,27,FALSE)-AVERAGE('The List'!AB2:AB671))/STDEV('The List'!AB2:AB671)</f>
        <v>0.64840095861823999</v>
      </c>
      <c r="P534" s="55" cm="1">
        <f t="array" ref="P534">(VLOOKUP($A534,'The List'!$B1:$AH671,28,FALSE)-AVERAGE('The List'!AC2:AC671))/STDEV('The List'!AC2:AC671)</f>
        <v>-3.5947014130300027E-2</v>
      </c>
      <c r="Q534" s="55" cm="1">
        <f t="array" ref="Q534">(VLOOKUP($A534,'The List'!$B1:$AH671,29,FALSE)-AVERAGE('The List'!AD2:AD671))/STDEV('The List'!AD2:AD671)</f>
        <v>0.28650184906689952</v>
      </c>
      <c r="R534" s="55" cm="1">
        <f t="array" ref="R534">(VLOOKUP($A534,'The List'!$B1:$AH671,30,FALSE)-AVERAGE('The List'!AE2:AE671))/STDEV('The List'!AE2:AE671)</f>
        <v>-0.90708688994818676</v>
      </c>
      <c r="S534" s="55" cm="1">
        <f t="array" ref="S534">(VLOOKUP($A534,'The List'!$B1:$AH671,31,FALSE)-AVERAGE('The List'!AF2:AF671))/STDEV('The List'!AF2:AF671)</f>
        <v>-0.5939690971349143</v>
      </c>
      <c r="T534" s="55" cm="1">
        <f t="array" ref="T534">(VLOOKUP($A534,'The List'!$B1:$AH671,32,FALSE)-AVERAGE('The List'!AG2:AG671))/STDEV('The List'!AG2:AG671)</f>
        <v>-0.64602196122687161</v>
      </c>
      <c r="U534" s="55" cm="1">
        <f t="array" ref="U534">(VLOOKUP($A534,'The List'!$B1:$AH671,33,FALSE)-AVERAGE('The List'!AH2:AH671))/STDEV('The List'!AH2:AH671)</f>
        <v>-1.2548938914719048</v>
      </c>
      <c r="V534" s="55"/>
      <c r="W534" s="78"/>
      <c r="X534" s="57"/>
      <c r="Y534" s="57"/>
      <c r="Z534" s="57"/>
      <c r="AA534" s="57"/>
      <c r="AB534" s="57"/>
      <c r="AC534" s="60"/>
      <c r="AD534" s="61"/>
      <c r="AE534" s="55"/>
    </row>
    <row r="535" spans="1:31" ht="21.25" customHeight="1" x14ac:dyDescent="0.15">
      <c r="A535" s="10" t="s">
        <v>719</v>
      </c>
      <c r="B535" s="18" t="str" cm="1">
        <f t="array" ref="B535">VLOOKUP(A535,'Player Data'!A1:B673,2,FALSE)</f>
        <v>TOR</v>
      </c>
      <c r="C535" s="52" cm="1">
        <f t="array" ref="C535">((E535)*Settings!$C$12)+(F535*Settings!$C$2)+(G535*Settings!$C$3)+(H535*Settings!$C$4)+(I535*Settings!$C$5)+(K535*Settings!$C$9)+(N535*Settings!$C$6)+(J535*Settings!$C$8)+(O535*Settings!$C$7)+(P535*Settings!$C$14)+(Q535*Settings!$C$15)+(R535*Settings!$C$16)+(S535*Settings!$C$17)+(T535*Settings!$C$18)+(U535*Settings!$C$19)+(L535*Settings!$C$10)+(Settings!$C$11*M535)</f>
        <v>-3.7047737830328664</v>
      </c>
      <c r="D535" s="57" cm="1">
        <f t="array" ref="D535">IF(Settings!$E$12="YES",VLOOKUP(A535,'Player Data'!A1:E673,5,FALSE),82)</f>
        <v>79.715000000000003</v>
      </c>
      <c r="E535" s="55" cm="1">
        <f t="array" ref="E535">(VLOOKUP($A535,'The List'!$B1:$AH671,17,FALSE)-AVERAGE('The List'!R2:R671))/STDEV('The List'!R2:R671)</f>
        <v>-1.031657692332683</v>
      </c>
      <c r="F535" s="55" cm="1">
        <f t="array" ref="F535">(VLOOKUP($A535,'The List'!$B1:$AH671,18,FALSE)-AVERAGE('The List'!S2:S671))/STDEV('The List'!S2:S671)</f>
        <v>-0.65260708323624839</v>
      </c>
      <c r="G535" s="55" cm="1">
        <f t="array" ref="G535">(VLOOKUP($A535,'The List'!$B1:$AH671,19,FALSE)-AVERAGE('The List'!T2:T671))/STDEV('The List'!T2:T671)</f>
        <v>-1.0195325645476472</v>
      </c>
      <c r="H535" s="55" cm="1">
        <f t="array" ref="H535">(VLOOKUP($A535,'The List'!$B1:$AH671,20,FALSE)-AVERAGE('The List'!U2:U671))/STDEV('The List'!U2:U671)</f>
        <v>-0.93082816819437231</v>
      </c>
      <c r="I535" s="55" cm="1">
        <f t="array" ref="I535">(VLOOKUP($A535,'The List'!$B1:$AH671,21,FALSE)-AVERAGE('The List'!V2:V671))/STDEV('The List'!V2:V671)</f>
        <v>-0.67081216448216874</v>
      </c>
      <c r="J535" s="55" cm="1">
        <f t="array" ref="J535">(VLOOKUP($A535,'The List'!$B1:$AH671,22,FALSE)-AVERAGE('The List'!W2:W671))/STDEV('The List'!W2:W671)</f>
        <v>-0.70342771637159918</v>
      </c>
      <c r="K535" s="55" cm="1">
        <f t="array" ref="K535">(VLOOKUP($A535,'The List'!$B1:$AH671,23,FALSE)-AVERAGE('The List'!X2:X671))/STDEV('The List'!X2:X671)</f>
        <v>-0.74677593353743121</v>
      </c>
      <c r="L535" s="55" cm="1">
        <f t="array" ref="L535">(VLOOKUP($A535,'The List'!$B1:$AH671,24,FALSE)-AVERAGE('The List'!Y2:Y671))/STDEV('The List'!Y2:Y671)</f>
        <v>0.34874851769816412</v>
      </c>
      <c r="M535" s="55" cm="1">
        <f t="array" ref="M535">(VLOOKUP($A535,'The List'!$B1:$AH671,25,FALSE)-AVERAGE('The List'!Z2:Z671))/STDEV('The List'!Z2:Z671)</f>
        <v>9.1712548493339624E-2</v>
      </c>
      <c r="N535" s="55" cm="1">
        <f t="array" ref="N535">(VLOOKUP($A535,'The List'!$B1:$AH671,26,FALSE)-AVERAGE('The List'!AA2:AA671))/STDEV('The List'!AA2:AA671)</f>
        <v>-0.15278991141979964</v>
      </c>
      <c r="O535" s="55" cm="1">
        <f t="array" ref="O535">(VLOOKUP($A535,'The List'!$B1:$AH671,27,FALSE)-AVERAGE('The List'!AB2:AB671))/STDEV('The List'!AB2:AB671)</f>
        <v>0.58603474103126707</v>
      </c>
      <c r="P535" s="55" cm="1">
        <f t="array" ref="P535">(VLOOKUP($A535,'The List'!$B1:$AH671,28,FALSE)-AVERAGE('The List'!AC2:AC671))/STDEV('The List'!AC2:AC671)</f>
        <v>-0.1304851726412255</v>
      </c>
      <c r="Q535" s="55" cm="1">
        <f t="array" ref="Q535">(VLOOKUP($A535,'The List'!$B1:$AH671,29,FALSE)-AVERAGE('The List'!AD2:AD671))/STDEV('The List'!AD2:AD671)</f>
        <v>-0.33177095316834571</v>
      </c>
      <c r="R535" s="55" cm="1">
        <f t="array" ref="R535">(VLOOKUP($A535,'The List'!$B1:$AH671,30,FALSE)-AVERAGE('The List'!AE2:AE671))/STDEV('The List'!AE2:AE671)</f>
        <v>-0.71989171343553104</v>
      </c>
      <c r="S535" s="55" cm="1">
        <f t="array" ref="S535">(VLOOKUP($A535,'The List'!$B1:$AH671,31,FALSE)-AVERAGE('The List'!AF2:AF671))/STDEV('The List'!AF2:AF671)</f>
        <v>1.4107396078241421</v>
      </c>
      <c r="T535" s="55" cm="1">
        <f t="array" ref="T535">(VLOOKUP($A535,'The List'!$B1:$AH671,32,FALSE)-AVERAGE('The List'!AG2:AG671))/STDEV('The List'!AG2:AG671)</f>
        <v>1.122949464023105</v>
      </c>
      <c r="U535" s="55" cm="1">
        <f t="array" ref="U535">(VLOOKUP($A535,'The List'!$B1:$AH671,33,FALSE)-AVERAGE('The List'!AH2:AH671))/STDEV('The List'!AH2:AH671)</f>
        <v>1.2590111889413158</v>
      </c>
      <c r="V535" s="55"/>
      <c r="W535" s="78"/>
      <c r="X535" s="57"/>
      <c r="Y535" s="57"/>
      <c r="Z535" s="57"/>
      <c r="AA535" s="57"/>
      <c r="AB535" s="57"/>
      <c r="AC535" s="60"/>
      <c r="AD535" s="61"/>
      <c r="AE535" s="55"/>
    </row>
    <row r="536" spans="1:31" ht="21.25" customHeight="1" x14ac:dyDescent="0.15">
      <c r="A536" s="10" t="s">
        <v>608</v>
      </c>
      <c r="B536" s="18" t="str" cm="1">
        <f t="array" ref="B536">VLOOKUP(A536,'Player Data'!A1:B673,2,FALSE)</f>
        <v>MTL</v>
      </c>
      <c r="C536" s="52" cm="1">
        <f t="array" ref="C536">((E536)*Settings!$C$12)+(F536*Settings!$C$2)+(G536*Settings!$C$3)+(H536*Settings!$C$4)+(I536*Settings!$C$5)+(K536*Settings!$C$9)+(N536*Settings!$C$6)+(J536*Settings!$C$8)+(O536*Settings!$C$7)+(P536*Settings!$C$14)+(Q536*Settings!$C$15)+(R536*Settings!$C$16)+(S536*Settings!$C$17)+(T536*Settings!$C$18)+(U536*Settings!$C$19)+(L536*Settings!$C$10)+(Settings!$C$11*M536)</f>
        <v>-3.1998404678843566</v>
      </c>
      <c r="D536" s="57" cm="1">
        <f t="array" ref="D536">IF(Settings!$E$12="YES",VLOOKUP(A536,'Player Data'!A1:E673,5,FALSE),82)</f>
        <v>73.772499999999994</v>
      </c>
      <c r="E536" s="55" cm="1">
        <f t="array" ref="E536">(VLOOKUP($A536,'The List'!$B1:$AH671,17,FALSE)-AVERAGE('The List'!R2:R671))/STDEV('The List'!R2:R671)</f>
        <v>-0.75408857692761111</v>
      </c>
      <c r="F536" s="55" cm="1">
        <f t="array" ref="F536">(VLOOKUP($A536,'The List'!$B1:$AH671,18,FALSE)-AVERAGE('The List'!S2:S671))/STDEV('The List'!S2:S671)</f>
        <v>-1.0717810721790404</v>
      </c>
      <c r="G536" s="55" cm="1">
        <f t="array" ref="G536">(VLOOKUP($A536,'The List'!$B1:$AH671,19,FALSE)-AVERAGE('The List'!T2:T671))/STDEV('The List'!T2:T671)</f>
        <v>-0.81527131789990204</v>
      </c>
      <c r="H536" s="55" cm="1">
        <f t="array" ref="H536">(VLOOKUP($A536,'The List'!$B1:$AH671,20,FALSE)-AVERAGE('The List'!U2:U671))/STDEV('The List'!U2:U671)</f>
        <v>-0.9883273026676811</v>
      </c>
      <c r="I536" s="55" cm="1">
        <f t="array" ref="I536">(VLOOKUP($A536,'The List'!$B1:$AH671,21,FALSE)-AVERAGE('The List'!V2:V671))/STDEV('The List'!V2:V671)</f>
        <v>-1.3648698854916312</v>
      </c>
      <c r="J536" s="55" cm="1">
        <f t="array" ref="J536">(VLOOKUP($A536,'The List'!$B1:$AH671,22,FALSE)-AVERAGE('The List'!W2:W671))/STDEV('The List'!W2:W671)</f>
        <v>-0.74970323366832137</v>
      </c>
      <c r="K536" s="55" cm="1">
        <f t="array" ref="K536">(VLOOKUP($A536,'The List'!$B1:$AH671,23,FALSE)-AVERAGE('The List'!X2:X671))/STDEV('The List'!X2:X671)</f>
        <v>-0.81010421890441342</v>
      </c>
      <c r="L536" s="55" cm="1">
        <f t="array" ref="L536">(VLOOKUP($A536,'The List'!$B1:$AH671,24,FALSE)-AVERAGE('The List'!Y2:Y671))/STDEV('The List'!Y2:Y671)</f>
        <v>-0.56099616973639588</v>
      </c>
      <c r="M536" s="55" cm="1">
        <f t="array" ref="M536">(VLOOKUP($A536,'The List'!$B1:$AH671,25,FALSE)-AVERAGE('The List'!Z2:Z671))/STDEV('The List'!Z2:Z671)</f>
        <v>-0.69839980983147565</v>
      </c>
      <c r="N536" s="55" cm="1">
        <f t="array" ref="N536">(VLOOKUP($A536,'The List'!$B1:$AH671,26,FALSE)-AVERAGE('The List'!AA2:AA671))/STDEV('The List'!AA2:AA671)</f>
        <v>-0.21211852618296298</v>
      </c>
      <c r="O536" s="55" cm="1">
        <f t="array" ref="O536">(VLOOKUP($A536,'The List'!$B1:$AH671,27,FALSE)-AVERAGE('The List'!AB2:AB671))/STDEV('The List'!AB2:AB671)</f>
        <v>0.84553129409947747</v>
      </c>
      <c r="P536" s="55" cm="1">
        <f t="array" ref="P536">(VLOOKUP($A536,'The List'!$B1:$AH671,28,FALSE)-AVERAGE('The List'!AC2:AC671))/STDEV('The List'!AC2:AC671)</f>
        <v>0.39591494355618873</v>
      </c>
      <c r="Q536" s="55" cm="1">
        <f t="array" ref="Q536">(VLOOKUP($A536,'The List'!$B1:$AH671,29,FALSE)-AVERAGE('The List'!AD2:AD671))/STDEV('The List'!AD2:AD671)</f>
        <v>0.67838960921740543</v>
      </c>
      <c r="R536" s="55" cm="1">
        <f t="array" ref="R536">(VLOOKUP($A536,'The List'!$B1:$AH671,30,FALSE)-AVERAGE('The List'!AE2:AE671))/STDEV('The List'!AE2:AE671)</f>
        <v>-1.0216078782481255</v>
      </c>
      <c r="S536" s="55" cm="1">
        <f t="array" ref="S536">(VLOOKUP($A536,'The List'!$B1:$AH671,31,FALSE)-AVERAGE('The List'!AF2:AF671))/STDEV('The List'!AF2:AF671)</f>
        <v>-0.5939690971349143</v>
      </c>
      <c r="T536" s="55" cm="1">
        <f t="array" ref="T536">(VLOOKUP($A536,'The List'!$B1:$AH671,32,FALSE)-AVERAGE('The List'!AG2:AG671))/STDEV('The List'!AG2:AG671)</f>
        <v>-0.64602208138248207</v>
      </c>
      <c r="U536" s="55" cm="1">
        <f t="array" ref="U536">(VLOOKUP($A536,'The List'!$B1:$AH671,33,FALSE)-AVERAGE('The List'!AH2:AH671))/STDEV('The List'!AH2:AH671)</f>
        <v>-1.2548938914719048</v>
      </c>
      <c r="V536" s="55"/>
      <c r="W536" s="78"/>
      <c r="X536" s="57"/>
      <c r="Y536" s="57"/>
      <c r="Z536" s="57"/>
      <c r="AA536" s="57"/>
      <c r="AB536" s="57"/>
      <c r="AC536" s="60"/>
      <c r="AD536" s="61"/>
      <c r="AE536" s="55"/>
    </row>
    <row r="537" spans="1:31" ht="21.25" customHeight="1" x14ac:dyDescent="0.15">
      <c r="A537" s="10" t="s">
        <v>547</v>
      </c>
      <c r="B537" s="18" t="str" cm="1">
        <f t="array" ref="B537">VLOOKUP(A537,'Player Data'!A1:B673,2,FALSE)</f>
        <v>MIN</v>
      </c>
      <c r="C537" s="52" cm="1">
        <f t="array" ref="C537">((E537)*Settings!$C$12)+(F537*Settings!$C$2)+(G537*Settings!$C$3)+(H537*Settings!$C$4)+(I537*Settings!$C$5)+(K537*Settings!$C$9)+(N537*Settings!$C$6)+(J537*Settings!$C$8)+(O537*Settings!$C$7)+(P537*Settings!$C$14)+(Q537*Settings!$C$15)+(R537*Settings!$C$16)+(S537*Settings!$C$17)+(T537*Settings!$C$18)+(U537*Settings!$C$19)+(L537*Settings!$C$10)+(Settings!$C$11*M537)</f>
        <v>-4.1905592888926879</v>
      </c>
      <c r="D537" s="57" cm="1">
        <f t="array" ref="D537">IF(Settings!$E$12="YES",VLOOKUP(A537,'Player Data'!A1:E673,5,FALSE),82)</f>
        <v>75.42</v>
      </c>
      <c r="E537" s="55" cm="1">
        <f t="array" ref="E537">(VLOOKUP($A537,'The List'!$B1:$AH671,17,FALSE)-AVERAGE('The List'!R2:R671))/STDEV('The List'!R2:R671)</f>
        <v>-0.26103796188116224</v>
      </c>
      <c r="F537" s="55" cm="1">
        <f t="array" ref="F537">(VLOOKUP($A537,'The List'!$B1:$AH671,18,FALSE)-AVERAGE('The List'!S2:S671))/STDEV('The List'!S2:S671)</f>
        <v>-1.2247404580887007</v>
      </c>
      <c r="G537" s="55" cm="1">
        <f t="array" ref="G537">(VLOOKUP($A537,'The List'!$B1:$AH671,19,FALSE)-AVERAGE('The List'!T2:T671))/STDEV('The List'!T2:T671)</f>
        <v>-0.68615601326284725</v>
      </c>
      <c r="H537" s="55" cm="1">
        <f t="array" ref="H537">(VLOOKUP($A537,'The List'!$B1:$AH671,20,FALSE)-AVERAGE('The List'!U2:U671))/STDEV('The List'!U2:U671)</f>
        <v>-0.97497920971033858</v>
      </c>
      <c r="I537" s="55" cm="1">
        <f t="array" ref="I537">(VLOOKUP($A537,'The List'!$B1:$AH671,21,FALSE)-AVERAGE('The List'!V2:V671))/STDEV('The List'!V2:V671)</f>
        <v>-1.329049952318561</v>
      </c>
      <c r="J537" s="55" cm="1">
        <f t="array" ref="J537">(VLOOKUP($A537,'The List'!$B1:$AH671,22,FALSE)-AVERAGE('The List'!W2:W671))/STDEV('The List'!W2:W671)</f>
        <v>-0.74919678296510295</v>
      </c>
      <c r="K537" s="55" cm="1">
        <f t="array" ref="K537">(VLOOKUP($A537,'The List'!$B1:$AH671,23,FALSE)-AVERAGE('The List'!X2:X671))/STDEV('The List'!X2:X671)</f>
        <v>-0.80625011906700539</v>
      </c>
      <c r="L537" s="55" cm="1">
        <f t="array" ref="L537">(VLOOKUP($A537,'The List'!$B1:$AH671,24,FALSE)-AVERAGE('The List'!Y2:Y671))/STDEV('The List'!Y2:Y671)</f>
        <v>-0.55178817671747205</v>
      </c>
      <c r="M537" s="55" cm="1">
        <f t="array" ref="M537">(VLOOKUP($A537,'The List'!$B1:$AH671,25,FALSE)-AVERAGE('The List'!Z2:Z671))/STDEV('The List'!Z2:Z671)</f>
        <v>-0.65974557472203799</v>
      </c>
      <c r="N537" s="55" cm="1">
        <f t="array" ref="N537">(VLOOKUP($A537,'The List'!$B1:$AH671,26,FALSE)-AVERAGE('The List'!AA2:AA671))/STDEV('The List'!AA2:AA671)</f>
        <v>0.77285918421208422</v>
      </c>
      <c r="O537" s="55" cm="1">
        <f t="array" ref="O537">(VLOOKUP($A537,'The List'!$B1:$AH671,27,FALSE)-AVERAGE('The List'!AB2:AB671))/STDEV('The List'!AB2:AB671)</f>
        <v>-1.0476132289368476</v>
      </c>
      <c r="P537" s="55" cm="1">
        <f t="array" ref="P537">(VLOOKUP($A537,'The List'!$B1:$AH671,28,FALSE)-AVERAGE('The List'!AC2:AC671))/STDEV('The List'!AC2:AC671)</f>
        <v>0.31863168409848575</v>
      </c>
      <c r="Q537" s="55" cm="1">
        <f t="array" ref="Q537">(VLOOKUP($A537,'The List'!$B1:$AH671,29,FALSE)-AVERAGE('The List'!AD2:AD671))/STDEV('The List'!AD2:AD671)</f>
        <v>-1.2358536144661434</v>
      </c>
      <c r="R537" s="55" cm="1">
        <f t="array" ref="R537">(VLOOKUP($A537,'The List'!$B1:$AH671,30,FALSE)-AVERAGE('The List'!AE2:AE671))/STDEV('The List'!AE2:AE671)</f>
        <v>-1.1840484743129325</v>
      </c>
      <c r="S537" s="55" cm="1">
        <f t="array" ref="S537">(VLOOKUP($A537,'The List'!$B1:$AH671,31,FALSE)-AVERAGE('The List'!AF2:AF671))/STDEV('The List'!AF2:AF671)</f>
        <v>-0.5939690971349143</v>
      </c>
      <c r="T537" s="55" cm="1">
        <f t="array" ref="T537">(VLOOKUP($A537,'The List'!$B1:$AH671,32,FALSE)-AVERAGE('The List'!AG2:AG671))/STDEV('The List'!AG2:AG671)</f>
        <v>-0.64602208138248207</v>
      </c>
      <c r="U537" s="55" cm="1">
        <f t="array" ref="U537">(VLOOKUP($A537,'The List'!$B1:$AH671,33,FALSE)-AVERAGE('The List'!AH2:AH671))/STDEV('The List'!AH2:AH671)</f>
        <v>-1.2548938914719048</v>
      </c>
      <c r="V537" s="55"/>
      <c r="W537" s="57"/>
      <c r="X537" s="55"/>
      <c r="Y537" s="55"/>
      <c r="Z537" s="55"/>
      <c r="AA537" s="55"/>
      <c r="AB537" s="55"/>
      <c r="AC537" s="55"/>
      <c r="AD537" s="55"/>
      <c r="AE537" s="55"/>
    </row>
    <row r="538" spans="1:31" ht="21.25" customHeight="1" x14ac:dyDescent="0.15">
      <c r="A538" s="10" t="s">
        <v>737</v>
      </c>
      <c r="B538" s="18" t="str" cm="1">
        <f t="array" ref="B538">VLOOKUP(A538,'Player Data'!A1:B673,2,FALSE)</f>
        <v>T.B</v>
      </c>
      <c r="C538" s="52" cm="1">
        <f t="array" ref="C538">((E538)*Settings!$C$12)+(F538*Settings!$C$2)+(G538*Settings!$C$3)+(H538*Settings!$C$4)+(I538*Settings!$C$5)+(K538*Settings!$C$9)+(N538*Settings!$C$6)+(J538*Settings!$C$8)+(O538*Settings!$C$7)+(P538*Settings!$C$14)+(Q538*Settings!$C$15)+(R538*Settings!$C$16)+(S538*Settings!$C$17)+(T538*Settings!$C$18)+(U538*Settings!$C$19)+(L538*Settings!$C$10)+(Settings!$C$11*M538)</f>
        <v>-2.5482290490772481</v>
      </c>
      <c r="D538" s="57" cm="1">
        <f t="array" ref="D538">IF(Settings!$E$12="YES",VLOOKUP(A538,'Player Data'!A1:E673,5,FALSE),82)</f>
        <v>80.709999999999994</v>
      </c>
      <c r="E538" s="55" cm="1">
        <f t="array" ref="E538">(VLOOKUP($A538,'The List'!$B1:$AH671,17,FALSE)-AVERAGE('The List'!R2:R671))/STDEV('The List'!R2:R671)</f>
        <v>-0.91641364189246666</v>
      </c>
      <c r="F538" s="55" cm="1">
        <f t="array" ref="F538">(VLOOKUP($A538,'The List'!$B1:$AH671,18,FALSE)-AVERAGE('The List'!S2:S671))/STDEV('The List'!S2:S671)</f>
        <v>-0.63573598571495282</v>
      </c>
      <c r="G538" s="55" cm="1">
        <f t="array" ref="G538">(VLOOKUP($A538,'The List'!$B1:$AH671,19,FALSE)-AVERAGE('The List'!T2:T671))/STDEV('The List'!T2:T671)</f>
        <v>-1.0259879527237981</v>
      </c>
      <c r="H538" s="55" cm="1">
        <f t="array" ref="H538">(VLOOKUP($A538,'The List'!$B1:$AH671,20,FALSE)-AVERAGE('The List'!U2:U671))/STDEV('The List'!U2:U671)</f>
        <v>-0.92740323431604477</v>
      </c>
      <c r="I538" s="55" cm="1">
        <f t="array" ref="I538">(VLOOKUP($A538,'The List'!$B1:$AH671,21,FALSE)-AVERAGE('The List'!V2:V671))/STDEV('The List'!V2:V671)</f>
        <v>-0.56173024499452184</v>
      </c>
      <c r="J538" s="55" cm="1">
        <f t="array" ref="J538">(VLOOKUP($A538,'The List'!$B1:$AH671,22,FALSE)-AVERAGE('The List'!W2:W671))/STDEV('The List'!W2:W671)</f>
        <v>-0.74180369546627023</v>
      </c>
      <c r="K538" s="55" cm="1">
        <f t="array" ref="K538">(VLOOKUP($A538,'The List'!$B1:$AH671,23,FALSE)-AVERAGE('The List'!X2:X671))/STDEV('The List'!X2:X671)</f>
        <v>-0.80538278135575514</v>
      </c>
      <c r="L538" s="55" cm="1">
        <f t="array" ref="L538">(VLOOKUP($A538,'The List'!$B1:$AH671,24,FALSE)-AVERAGE('The List'!Y2:Y671))/STDEV('The List'!Y2:Y671)</f>
        <v>-0.39116367750196152</v>
      </c>
      <c r="M538" s="55" cm="1">
        <f t="array" ref="M538">(VLOOKUP($A538,'The List'!$B1:$AH671,25,FALSE)-AVERAGE('The List'!Z2:Z671))/STDEV('The List'!Z2:Z671)</f>
        <v>-0.53885513582204558</v>
      </c>
      <c r="N538" s="55" cm="1">
        <f t="array" ref="N538">(VLOOKUP($A538,'The List'!$B1:$AH671,26,FALSE)-AVERAGE('The List'!AA2:AA671))/STDEV('The List'!AA2:AA671)</f>
        <v>-0.45243143456942653</v>
      </c>
      <c r="O538" s="55" cm="1">
        <f t="array" ref="O538">(VLOOKUP($A538,'The List'!$B1:$AH671,27,FALSE)-AVERAGE('The List'!AB2:AB671))/STDEV('The List'!AB2:AB671)</f>
        <v>1.9171372119465691</v>
      </c>
      <c r="P538" s="55" cm="1">
        <f t="array" ref="P538">(VLOOKUP($A538,'The List'!$B1:$AH671,28,FALSE)-AVERAGE('The List'!AC2:AC671))/STDEV('The List'!AC2:AC671)</f>
        <v>0.96889234799951596</v>
      </c>
      <c r="Q538" s="55" cm="1">
        <f t="array" ref="Q538">(VLOOKUP($A538,'The List'!$B1:$AH671,29,FALSE)-AVERAGE('The List'!AD2:AD671))/STDEV('The List'!AD2:AD671)</f>
        <v>-3.5852997718310055E-2</v>
      </c>
      <c r="R538" s="55" cm="1">
        <f t="array" ref="R538">(VLOOKUP($A538,'The List'!$B1:$AH671,30,FALSE)-AVERAGE('The List'!AE2:AE671))/STDEV('The List'!AE2:AE671)</f>
        <v>-0.51729759586249058</v>
      </c>
      <c r="S538" s="55" cm="1">
        <f t="array" ref="S538">(VLOOKUP($A538,'The List'!$B1:$AH671,31,FALSE)-AVERAGE('The List'!AF2:AF671))/STDEV('The List'!AF2:AF671)</f>
        <v>-0.11459623380354651</v>
      </c>
      <c r="T538" s="55" cm="1">
        <f t="array" ref="T538">(VLOOKUP($A538,'The List'!$B1:$AH671,32,FALSE)-AVERAGE('The List'!AG2:AG671))/STDEV('The List'!AG2:AG671)</f>
        <v>-5.6054868250866204E-2</v>
      </c>
      <c r="U538" s="55" cm="1">
        <f t="array" ref="U538">(VLOOKUP($A538,'The List'!$B1:$AH671,33,FALSE)-AVERAGE('The List'!AH2:AH671))/STDEV('The List'!AH2:AH671)</f>
        <v>0.87760008951571233</v>
      </c>
      <c r="V538" s="55"/>
      <c r="W538" s="78"/>
      <c r="X538" s="57"/>
      <c r="Y538" s="57"/>
      <c r="Z538" s="57"/>
      <c r="AA538" s="57"/>
      <c r="AB538" s="57"/>
      <c r="AC538" s="60"/>
      <c r="AD538" s="61"/>
      <c r="AE538" s="55"/>
    </row>
    <row r="539" spans="1:31" ht="21.25" customHeight="1" x14ac:dyDescent="0.15">
      <c r="A539" s="10" t="s">
        <v>564</v>
      </c>
      <c r="B539" s="18" t="str" cm="1">
        <f t="array" ref="B539">VLOOKUP(A539,'Player Data'!A1:B673,2,FALSE)</f>
        <v>TOR</v>
      </c>
      <c r="C539" s="52" cm="1">
        <f t="array" ref="C539">((E539)*Settings!$C$12)+(F539*Settings!$C$2)+(G539*Settings!$C$3)+(H539*Settings!$C$4)+(I539*Settings!$C$5)+(K539*Settings!$C$9)+(N539*Settings!$C$6)+(J539*Settings!$C$8)+(O539*Settings!$C$7)+(P539*Settings!$C$14)+(Q539*Settings!$C$15)+(R539*Settings!$C$16)+(S539*Settings!$C$17)+(T539*Settings!$C$18)+(U539*Settings!$C$19)+(L539*Settings!$C$10)+(Settings!$C$11*M539)</f>
        <v>-3.6324576311738448</v>
      </c>
      <c r="D539" s="57" cm="1">
        <f t="array" ref="D539">IF(Settings!$E$12="YES",VLOOKUP(A539,'Player Data'!A1:E673,5,FALSE),82)</f>
        <v>70.602500000000006</v>
      </c>
      <c r="E539" s="55" cm="1">
        <f t="array" ref="E539">(VLOOKUP($A539,'The List'!$B1:$AH671,17,FALSE)-AVERAGE('The List'!R2:R671))/STDEV('The List'!R2:R671)</f>
        <v>-0.17973044849569755</v>
      </c>
      <c r="F539" s="55" cm="1">
        <f t="array" ref="F539">(VLOOKUP($A539,'The List'!$B1:$AH671,18,FALSE)-AVERAGE('The List'!S2:S671))/STDEV('The List'!S2:S671)</f>
        <v>-1.0709727766376029</v>
      </c>
      <c r="G539" s="55" cm="1">
        <f t="array" ref="G539">(VLOOKUP($A539,'The List'!$B1:$AH671,19,FALSE)-AVERAGE('The List'!T2:T671))/STDEV('The List'!T2:T671)</f>
        <v>-0.86421674352064737</v>
      </c>
      <c r="H539" s="55" cm="1">
        <f t="array" ref="H539">(VLOOKUP($A539,'The List'!$B1:$AH671,20,FALSE)-AVERAGE('The List'!U2:U671))/STDEV('The List'!U2:U671)</f>
        <v>-1.018755093887322</v>
      </c>
      <c r="I539" s="55" cm="1">
        <f t="array" ref="I539">(VLOOKUP($A539,'The List'!$B1:$AH671,21,FALSE)-AVERAGE('The List'!V2:V671))/STDEV('The List'!V2:V671)</f>
        <v>-1.2103570290848962</v>
      </c>
      <c r="J539" s="55" cm="1">
        <f t="array" ref="J539">(VLOOKUP($A539,'The List'!$B1:$AH671,22,FALSE)-AVERAGE('The List'!W2:W671))/STDEV('The List'!W2:W671)</f>
        <v>-0.74916065211153515</v>
      </c>
      <c r="K539" s="55" cm="1">
        <f t="array" ref="K539">(VLOOKUP($A539,'The List'!$B1:$AH671,23,FALSE)-AVERAGE('The List'!X2:X671))/STDEV('The List'!X2:X671)</f>
        <v>-0.79873324372926224</v>
      </c>
      <c r="L539" s="55" cm="1">
        <f t="array" ref="L539">(VLOOKUP($A539,'The List'!$B1:$AH671,24,FALSE)-AVERAGE('The List'!Y2:Y671))/STDEV('The List'!Y2:Y671)</f>
        <v>-0.51347589306331987</v>
      </c>
      <c r="M539" s="55" cm="1">
        <f t="array" ref="M539">(VLOOKUP($A539,'The List'!$B1:$AH671,25,FALSE)-AVERAGE('The List'!Z2:Z671))/STDEV('The List'!Z2:Z671)</f>
        <v>-0.60812436813865256</v>
      </c>
      <c r="N539" s="55" cm="1">
        <f t="array" ref="N539">(VLOOKUP($A539,'The List'!$B1:$AH671,26,FALSE)-AVERAGE('The List'!AA2:AA671))/STDEV('The List'!AA2:AA671)</f>
        <v>0.38921778222569736</v>
      </c>
      <c r="O539" s="55" cm="1">
        <f t="array" ref="O539">(VLOOKUP($A539,'The List'!$B1:$AH671,27,FALSE)-AVERAGE('The List'!AB2:AB671))/STDEV('The List'!AB2:AB671)</f>
        <v>-9.403674646289796E-2</v>
      </c>
      <c r="P539" s="55" cm="1">
        <f t="array" ref="P539">(VLOOKUP($A539,'The List'!$B1:$AH671,28,FALSE)-AVERAGE('The List'!AC2:AC671))/STDEV('The List'!AC2:AC671)</f>
        <v>0.37302446177882237</v>
      </c>
      <c r="Q539" s="55" cm="1">
        <f t="array" ref="Q539">(VLOOKUP($A539,'The List'!$B1:$AH671,29,FALSE)-AVERAGE('The List'!AD2:AD671))/STDEV('The List'!AD2:AD671)</f>
        <v>-0.4504200822059562</v>
      </c>
      <c r="R539" s="55" cm="1">
        <f t="array" ref="R539">(VLOOKUP($A539,'The List'!$B1:$AH671,30,FALSE)-AVERAGE('The List'!AE2:AE671))/STDEV('The List'!AE2:AE671)</f>
        <v>-1.0769168131768025</v>
      </c>
      <c r="S539" s="55" cm="1">
        <f t="array" ref="S539">(VLOOKUP($A539,'The List'!$B1:$AH671,31,FALSE)-AVERAGE('The List'!AF2:AF671))/STDEV('The List'!AF2:AF671)</f>
        <v>-0.58807104532604615</v>
      </c>
      <c r="T539" s="55" cm="1">
        <f t="array" ref="T539">(VLOOKUP($A539,'The List'!$B1:$AH671,32,FALSE)-AVERAGE('The List'!AG2:AG671))/STDEV('The List'!AG2:AG671)</f>
        <v>-0.63648856236294415</v>
      </c>
      <c r="U539" s="55" cm="1">
        <f t="array" ref="U539">(VLOOKUP($A539,'The List'!$B1:$AH671,33,FALSE)-AVERAGE('The List'!AH2:AH671))/STDEV('The List'!AH2:AH671)</f>
        <v>0.57086600059274095</v>
      </c>
      <c r="V539" s="55"/>
      <c r="W539" s="78"/>
      <c r="X539" s="57"/>
      <c r="Y539" s="57"/>
      <c r="Z539" s="57"/>
      <c r="AA539" s="57"/>
      <c r="AB539" s="57"/>
      <c r="AC539" s="60"/>
      <c r="AD539" s="61"/>
      <c r="AE539" s="55"/>
    </row>
    <row r="540" spans="1:31" ht="21.25" customHeight="1" x14ac:dyDescent="0.15">
      <c r="A540" s="10" t="s">
        <v>480</v>
      </c>
      <c r="B540" s="18" t="str" cm="1">
        <f t="array" ref="B540">VLOOKUP(A540,'Player Data'!A1:B673,2,FALSE)</f>
        <v>FLA</v>
      </c>
      <c r="C540" s="52" cm="1">
        <f t="array" ref="C540">((E540)*Settings!$C$12)+(F540*Settings!$C$2)+(G540*Settings!$C$3)+(H540*Settings!$C$4)+(I540*Settings!$C$5)+(K540*Settings!$C$9)+(N540*Settings!$C$6)+(J540*Settings!$C$8)+(O540*Settings!$C$7)+(P540*Settings!$C$14)+(Q540*Settings!$C$15)+(R540*Settings!$C$16)+(S540*Settings!$C$17)+(T540*Settings!$C$18)+(U540*Settings!$C$19)+(L540*Settings!$C$10)+(Settings!$C$11*M540)</f>
        <v>-0.31817479432763984</v>
      </c>
      <c r="D540" s="57" cm="1">
        <f t="array" ref="D540">IF(Settings!$E$12="YES",VLOOKUP(A540,'Player Data'!A1:E673,5,FALSE),82)</f>
        <v>80.72</v>
      </c>
      <c r="E540" s="55" cm="1">
        <f t="array" ref="E540">(VLOOKUP($A540,'The List'!$B1:$AH671,17,FALSE)-AVERAGE('The List'!R2:R671))/STDEV('The List'!R2:R671)</f>
        <v>0.81520357999354454</v>
      </c>
      <c r="F540" s="55" cm="1">
        <f t="array" ref="F540">(VLOOKUP($A540,'The List'!$B1:$AH671,18,FALSE)-AVERAGE('The List'!S2:S671))/STDEV('The List'!S2:S671)</f>
        <v>-1.0455587455663109</v>
      </c>
      <c r="G540" s="55" cm="1">
        <f t="array" ref="G540">(VLOOKUP($A540,'The List'!$B1:$AH671,19,FALSE)-AVERAGE('The List'!T2:T671))/STDEV('The List'!T2:T671)</f>
        <v>-0.74083472542394102</v>
      </c>
      <c r="H540" s="55" cm="1">
        <f t="array" ref="H540">(VLOOKUP($A540,'The List'!$B1:$AH671,20,FALSE)-AVERAGE('The List'!U2:U671))/STDEV('The List'!U2:U671)</f>
        <v>-0.92987280300130182</v>
      </c>
      <c r="I540" s="55" cm="1">
        <f t="array" ref="I540">(VLOOKUP($A540,'The List'!$B1:$AH671,21,FALSE)-AVERAGE('The List'!V2:V671))/STDEV('The List'!V2:V671)</f>
        <v>-0.71086726938157441</v>
      </c>
      <c r="J540" s="55" cm="1">
        <f t="array" ref="J540">(VLOOKUP($A540,'The List'!$B1:$AH671,22,FALSE)-AVERAGE('The List'!W2:W671))/STDEV('The List'!W2:W671)</f>
        <v>-0.74871356012162094</v>
      </c>
      <c r="K540" s="55" cm="1">
        <f t="array" ref="K540">(VLOOKUP($A540,'The List'!$B1:$AH671,23,FALSE)-AVERAGE('The List'!X2:X671))/STDEV('The List'!X2:X671)</f>
        <v>-0.80613342551254652</v>
      </c>
      <c r="L540" s="55" cm="1">
        <f t="array" ref="L540">(VLOOKUP($A540,'The List'!$B1:$AH671,24,FALSE)-AVERAGE('The List'!Y2:Y671))/STDEV('The List'!Y2:Y671)</f>
        <v>-0.54402735785634426</v>
      </c>
      <c r="M540" s="55" cm="1">
        <f t="array" ref="M540">(VLOOKUP($A540,'The List'!$B1:$AH671,25,FALSE)-AVERAGE('The List'!Z2:Z671))/STDEV('The List'!Z2:Z671)</f>
        <v>-0.4440286501630063</v>
      </c>
      <c r="N540" s="55" cm="1">
        <f t="array" ref="N540">(VLOOKUP($A540,'The List'!$B1:$AH671,26,FALSE)-AVERAGE('The List'!AA2:AA671))/STDEV('The List'!AA2:AA671)</f>
        <v>0.97443018752742061</v>
      </c>
      <c r="O540" s="55" cm="1">
        <f t="array" ref="O540">(VLOOKUP($A540,'The List'!$B1:$AH671,27,FALSE)-AVERAGE('The List'!AB2:AB671))/STDEV('The List'!AB2:AB671)</f>
        <v>0.86031970055717077</v>
      </c>
      <c r="P540" s="55" cm="1">
        <f t="array" ref="P540">(VLOOKUP($A540,'The List'!$B1:$AH671,28,FALSE)-AVERAGE('The List'!AC2:AC671))/STDEV('The List'!AC2:AC671)</f>
        <v>0.53420770827650921</v>
      </c>
      <c r="Q540" s="55" cm="1">
        <f t="array" ref="Q540">(VLOOKUP($A540,'The List'!$B1:$AH671,29,FALSE)-AVERAGE('The List'!AD2:AD671))/STDEV('The List'!AD2:AD671)</f>
        <v>1.4765814757528031</v>
      </c>
      <c r="R540" s="55" cm="1">
        <f t="array" ref="R540">(VLOOKUP($A540,'The List'!$B1:$AH671,30,FALSE)-AVERAGE('The List'!AE2:AE671))/STDEV('The List'!AE2:AE671)</f>
        <v>-0.99431442476907417</v>
      </c>
      <c r="S540" s="55" cm="1">
        <f t="array" ref="S540">(VLOOKUP($A540,'The List'!$B1:$AH671,31,FALSE)-AVERAGE('The List'!AF2:AF671))/STDEV('The List'!AF2:AF671)</f>
        <v>-0.5939690971349143</v>
      </c>
      <c r="T540" s="55" cm="1">
        <f t="array" ref="T540">(VLOOKUP($A540,'The List'!$B1:$AH671,32,FALSE)-AVERAGE('The List'!AG2:AG671))/STDEV('The List'!AG2:AG671)</f>
        <v>-0.64602208138248207</v>
      </c>
      <c r="U540" s="55" cm="1">
        <f t="array" ref="U540">(VLOOKUP($A540,'The List'!$B1:$AH671,33,FALSE)-AVERAGE('The List'!AH2:AH671))/STDEV('The List'!AH2:AH671)</f>
        <v>-1.2548938914719048</v>
      </c>
      <c r="V540" s="55"/>
      <c r="W540" s="78"/>
      <c r="X540" s="57"/>
      <c r="Y540" s="57"/>
      <c r="Z540" s="57"/>
      <c r="AA540" s="57"/>
      <c r="AB540" s="57"/>
      <c r="AC540" s="60"/>
      <c r="AD540" s="61"/>
      <c r="AE540" s="55"/>
    </row>
    <row r="541" spans="1:31" ht="21.25" customHeight="1" x14ac:dyDescent="0.15">
      <c r="A541" s="10" t="s">
        <v>477</v>
      </c>
      <c r="B541" s="18" t="str" cm="1">
        <f t="array" ref="B541">VLOOKUP(A541,'Player Data'!A1:B673,2,FALSE)</f>
        <v>N.J</v>
      </c>
      <c r="C541" s="52" cm="1">
        <f t="array" ref="C541">((E541)*Settings!$C$12)+(F541*Settings!$C$2)+(G541*Settings!$C$3)+(H541*Settings!$C$4)+(I541*Settings!$C$5)+(K541*Settings!$C$9)+(N541*Settings!$C$6)+(J541*Settings!$C$8)+(O541*Settings!$C$7)+(P541*Settings!$C$14)+(Q541*Settings!$C$15)+(R541*Settings!$C$16)+(S541*Settings!$C$17)+(T541*Settings!$C$18)+(U541*Settings!$C$19)+(L541*Settings!$C$10)+(Settings!$C$11*M541)</f>
        <v>-2.1615375443180995</v>
      </c>
      <c r="D541" s="57" cm="1">
        <f t="array" ref="D541">IF(Settings!$E$12="YES",VLOOKUP(A541,'Player Data'!A1:E673,5,FALSE),82)</f>
        <v>77.817499999999995</v>
      </c>
      <c r="E541" s="55" cm="1">
        <f t="array" ref="E541">(VLOOKUP($A541,'The List'!$B1:$AH671,17,FALSE)-AVERAGE('The List'!R2:R671))/STDEV('The List'!R2:R671)</f>
        <v>0.72020877420538931</v>
      </c>
      <c r="F541" s="55" cm="1">
        <f t="array" ref="F541">(VLOOKUP($A541,'The List'!$B1:$AH671,18,FALSE)-AVERAGE('The List'!S2:S671))/STDEV('The List'!S2:S671)</f>
        <v>-1.1901889352281365</v>
      </c>
      <c r="G541" s="55" cm="1">
        <f t="array" ref="G541">(VLOOKUP($A541,'The List'!$B1:$AH671,19,FALSE)-AVERAGE('The List'!T2:T671))/STDEV('The List'!T2:T671)</f>
        <v>-0.69103166506484315</v>
      </c>
      <c r="H541" s="55" cm="1">
        <f t="array" ref="H541">(VLOOKUP($A541,'The List'!$B1:$AH671,20,FALSE)-AVERAGE('The List'!U2:U671))/STDEV('The List'!U2:U671)</f>
        <v>-0.96271620987583084</v>
      </c>
      <c r="I541" s="55" cm="1">
        <f t="array" ref="I541">(VLOOKUP($A541,'The List'!$B1:$AH671,21,FALSE)-AVERAGE('The List'!V2:V671))/STDEV('The List'!V2:V671)</f>
        <v>-1.0414046303571824</v>
      </c>
      <c r="J541" s="55" cm="1">
        <f t="array" ref="J541">(VLOOKUP($A541,'The List'!$B1:$AH671,22,FALSE)-AVERAGE('The List'!W2:W671))/STDEV('The List'!W2:W671)</f>
        <v>-0.74852585415034967</v>
      </c>
      <c r="K541" s="55" cm="1">
        <f t="array" ref="K541">(VLOOKUP($A541,'The List'!$B1:$AH671,23,FALSE)-AVERAGE('The List'!X2:X671))/STDEV('The List'!X2:X671)</f>
        <v>-0.80630541944296297</v>
      </c>
      <c r="L541" s="55" cm="1">
        <f t="array" ref="L541">(VLOOKUP($A541,'The List'!$B1:$AH671,24,FALSE)-AVERAGE('The List'!Y2:Y671))/STDEV('The List'!Y2:Y671)</f>
        <v>-0.53648312985955582</v>
      </c>
      <c r="M541" s="55" cm="1">
        <f t="array" ref="M541">(VLOOKUP($A541,'The List'!$B1:$AH671,25,FALSE)-AVERAGE('The List'!Z2:Z671))/STDEV('The List'!Z2:Z671)</f>
        <v>0.44222424933511451</v>
      </c>
      <c r="N541" s="55" cm="1">
        <f t="array" ref="N541">(VLOOKUP($A541,'The List'!$B1:$AH671,26,FALSE)-AVERAGE('The List'!AA2:AA671))/STDEV('The List'!AA2:AA671)</f>
        <v>1.6034764714018193</v>
      </c>
      <c r="O541" s="55" cm="1">
        <f t="array" ref="O541">(VLOOKUP($A541,'The List'!$B1:$AH671,27,FALSE)-AVERAGE('The List'!AB2:AB671))/STDEV('The List'!AB2:AB671)</f>
        <v>5.5482801149812543E-2</v>
      </c>
      <c r="P541" s="55" cm="1">
        <f t="array" ref="P541">(VLOOKUP($A541,'The List'!$B1:$AH671,28,FALSE)-AVERAGE('The List'!AC2:AC671))/STDEV('The List'!AC2:AC671)</f>
        <v>-0.40154966253360508</v>
      </c>
      <c r="Q541" s="55" cm="1">
        <f t="array" ref="Q541">(VLOOKUP($A541,'The List'!$B1:$AH671,29,FALSE)-AVERAGE('The List'!AD2:AD671))/STDEV('The List'!AD2:AD671)</f>
        <v>0.36546629690681109</v>
      </c>
      <c r="R541" s="55" cm="1">
        <f t="array" ref="R541">(VLOOKUP($A541,'The List'!$B1:$AH671,30,FALSE)-AVERAGE('The List'!AE2:AE671))/STDEV('The List'!AE2:AE671)</f>
        <v>-1.1640568097244337</v>
      </c>
      <c r="S541" s="55" cm="1">
        <f t="array" ref="S541">(VLOOKUP($A541,'The List'!$B1:$AH671,31,FALSE)-AVERAGE('The List'!AF2:AF671))/STDEV('The List'!AF2:AF671)</f>
        <v>-0.5939690971349143</v>
      </c>
      <c r="T541" s="55" cm="1">
        <f t="array" ref="T541">(VLOOKUP($A541,'The List'!$B1:$AH671,32,FALSE)-AVERAGE('The List'!AG2:AG671))/STDEV('The List'!AG2:AG671)</f>
        <v>-0.64602208138248207</v>
      </c>
      <c r="U541" s="55" cm="1">
        <f t="array" ref="U541">(VLOOKUP($A541,'The List'!$B1:$AH671,33,FALSE)-AVERAGE('The List'!AH2:AH671))/STDEV('The List'!AH2:AH671)</f>
        <v>-1.2548938914719048</v>
      </c>
      <c r="V541" s="55"/>
      <c r="W541" s="57"/>
      <c r="X541" s="55"/>
      <c r="Y541" s="55"/>
      <c r="Z541" s="55"/>
      <c r="AA541" s="55"/>
      <c r="AB541" s="55"/>
      <c r="AC541" s="55"/>
      <c r="AD541" s="55"/>
      <c r="AE541" s="55"/>
    </row>
    <row r="542" spans="1:31" ht="21.25" customHeight="1" x14ac:dyDescent="0.15">
      <c r="A542" s="10" t="s">
        <v>793</v>
      </c>
      <c r="B542" s="18" t="str" cm="1">
        <f t="array" ref="B542">VLOOKUP(A542,'Player Data'!A1:B673,2,FALSE)</f>
        <v>VGK</v>
      </c>
      <c r="C542" s="52" cm="1">
        <f t="array" ref="C542">((E542)*Settings!$C$12)+(F542*Settings!$C$2)+(G542*Settings!$C$3)+(H542*Settings!$C$4)+(I542*Settings!$C$5)+(K542*Settings!$C$9)+(N542*Settings!$C$6)+(J542*Settings!$C$8)+(O542*Settings!$C$7)+(P542*Settings!$C$14)+(Q542*Settings!$C$15)+(R542*Settings!$C$16)+(S542*Settings!$C$17)+(T542*Settings!$C$18)+(U542*Settings!$C$19)+(L542*Settings!$C$10)+(Settings!$C$11*M542)</f>
        <v>-6.3350738463253347</v>
      </c>
      <c r="D542" s="57" cm="1">
        <f t="array" ref="D542">IF(Settings!$E$12="YES",VLOOKUP(A542,'Player Data'!A1:E673,5,FALSE),82)</f>
        <v>54.497500000000002</v>
      </c>
      <c r="E542" s="55" cm="1">
        <f t="array" ref="E542">(VLOOKUP($A542,'The List'!$B1:$AH671,17,FALSE)-AVERAGE('The List'!R2:R671))/STDEV('The List'!R2:R671)</f>
        <v>-1.4369329445370078</v>
      </c>
      <c r="F542" s="55" cm="1">
        <f t="array" ref="F542">(VLOOKUP($A542,'The List'!$B1:$AH671,18,FALSE)-AVERAGE('The List'!S2:S671))/STDEV('The List'!S2:S671)</f>
        <v>-0.95584691308560965</v>
      </c>
      <c r="G542" s="55" cm="1">
        <f t="array" ref="G542">(VLOOKUP($A542,'The List'!$B1:$AH671,19,FALSE)-AVERAGE('The List'!T2:T671))/STDEV('The List'!T2:T671)</f>
        <v>-1.1882089678037391</v>
      </c>
      <c r="H542" s="55" cm="1">
        <f t="array" ref="H542">(VLOOKUP($A542,'The List'!$B1:$AH671,20,FALSE)-AVERAGE('The List'!U2:U671))/STDEV('The List'!U2:U671)</f>
        <v>-1.1714656515544204</v>
      </c>
      <c r="I542" s="55" cm="1">
        <f t="array" ref="I542">(VLOOKUP($A542,'The List'!$B1:$AH671,21,FALSE)-AVERAGE('The List'!V2:V671))/STDEV('The List'!V2:V671)</f>
        <v>-1.1222016305286526</v>
      </c>
      <c r="J542" s="55" cm="1">
        <f t="array" ref="J542">(VLOOKUP($A542,'The List'!$B1:$AH671,22,FALSE)-AVERAGE('The List'!W2:W671))/STDEV('The List'!W2:W671)</f>
        <v>-0.75045101335583209</v>
      </c>
      <c r="K542" s="55" cm="1">
        <f t="array" ref="K542">(VLOOKUP($A542,'The List'!$B1:$AH671,23,FALSE)-AVERAGE('The List'!X2:X671))/STDEV('The List'!X2:X671)</f>
        <v>-0.81212462699776278</v>
      </c>
      <c r="L542" s="55" cm="1">
        <f t="array" ref="L542">(VLOOKUP($A542,'The List'!$B1:$AH671,24,FALSE)-AVERAGE('The List'!Y2:Y671))/STDEV('The List'!Y2:Y671)</f>
        <v>-0.21936711532112055</v>
      </c>
      <c r="M542" s="55" cm="1">
        <f t="array" ref="M542">(VLOOKUP($A542,'The List'!$B1:$AH671,25,FALSE)-AVERAGE('The List'!Z2:Z671))/STDEV('The List'!Z2:Z671)</f>
        <v>-0.36092882469544552</v>
      </c>
      <c r="N542" s="55" cm="1">
        <f t="array" ref="N542">(VLOOKUP($A542,'The List'!$B1:$AH671,26,FALSE)-AVERAGE('The List'!AA2:AA671))/STDEV('The List'!AA2:AA671)</f>
        <v>-1.0624794409369136</v>
      </c>
      <c r="O542" s="55" cm="1">
        <f t="array" ref="O542">(VLOOKUP($A542,'The List'!$B1:$AH671,27,FALSE)-AVERAGE('The List'!AB2:AB671))/STDEV('The List'!AB2:AB671)</f>
        <v>-0.54237543866452387</v>
      </c>
      <c r="P542" s="55" cm="1">
        <f t="array" ref="P542">(VLOOKUP($A542,'The List'!$B1:$AH671,28,FALSE)-AVERAGE('The List'!AC2:AC671))/STDEV('The List'!AC2:AC671)</f>
        <v>0.35454691080080308</v>
      </c>
      <c r="Q542" s="55" cm="1">
        <f t="array" ref="Q542">(VLOOKUP($A542,'The List'!$B1:$AH671,29,FALSE)-AVERAGE('The List'!AD2:AD671))/STDEV('The List'!AD2:AD671)</f>
        <v>-1.5487591777734597</v>
      </c>
      <c r="R542" s="55" cm="1">
        <f t="array" ref="R542">(VLOOKUP($A542,'The List'!$B1:$AH671,30,FALSE)-AVERAGE('The List'!AE2:AE671))/STDEV('The List'!AE2:AE671)</f>
        <v>-0.83795073325082559</v>
      </c>
      <c r="S542" s="55" cm="1">
        <f t="array" ref="S542">(VLOOKUP($A542,'The List'!$B1:$AH671,31,FALSE)-AVERAGE('The List'!AF2:AF671))/STDEV('The List'!AF2:AF671)</f>
        <v>-0.59176883994635865</v>
      </c>
      <c r="T542" s="55" cm="1">
        <f t="array" ref="T542">(VLOOKUP($A542,'The List'!$B1:$AH671,32,FALSE)-AVERAGE('The List'!AG2:AG671))/STDEV('The List'!AG2:AG671)</f>
        <v>-0.61621948277391514</v>
      </c>
      <c r="U542" s="55" cm="1">
        <f t="array" ref="U542">(VLOOKUP($A542,'The List'!$B1:$AH671,33,FALSE)-AVERAGE('The List'!AH2:AH671))/STDEV('The List'!AH2:AH671)</f>
        <v>-0.91981724153454369</v>
      </c>
      <c r="V542" s="55"/>
      <c r="W542" s="78"/>
      <c r="X542" s="57"/>
      <c r="Y542" s="57"/>
      <c r="Z542" s="57"/>
      <c r="AA542" s="57"/>
      <c r="AB542" s="57"/>
      <c r="AC542" s="60"/>
      <c r="AD542" s="61"/>
      <c r="AE542" s="55"/>
    </row>
    <row r="543" spans="1:31" ht="21.25" customHeight="1" x14ac:dyDescent="0.15">
      <c r="A543" s="10" t="s">
        <v>779</v>
      </c>
      <c r="B543" s="18" t="str" cm="1">
        <f t="array" ref="B543">VLOOKUP(A543,'Player Data'!A1:B673,2,FALSE)</f>
        <v>DAL</v>
      </c>
      <c r="C543" s="52" cm="1">
        <f t="array" ref="C543">((E543)*Settings!$C$12)+(F543*Settings!$C$2)+(G543*Settings!$C$3)+(H543*Settings!$C$4)+(I543*Settings!$C$5)+(K543*Settings!$C$9)+(N543*Settings!$C$6)+(J543*Settings!$C$8)+(O543*Settings!$C$7)+(P543*Settings!$C$14)+(Q543*Settings!$C$15)+(R543*Settings!$C$16)+(S543*Settings!$C$17)+(T543*Settings!$C$18)+(U543*Settings!$C$19)+(L543*Settings!$C$10)+(Settings!$C$11*M543)</f>
        <v>-4.7065723625536968</v>
      </c>
      <c r="D543" s="57" cm="1">
        <f t="array" ref="D543">IF(Settings!$E$12="YES",VLOOKUP(A543,'Player Data'!A1:E673,5,FALSE),82)</f>
        <v>80.017499999999998</v>
      </c>
      <c r="E543" s="55" cm="1">
        <f t="array" ref="E543">(VLOOKUP($A543,'The List'!$B1:$AH671,17,FALSE)-AVERAGE('The List'!R2:R671))/STDEV('The List'!R2:R671)</f>
        <v>-1.2564085318397118</v>
      </c>
      <c r="F543" s="55" cm="1">
        <f t="array" ref="F543">(VLOOKUP($A543,'The List'!$B1:$AH671,18,FALSE)-AVERAGE('The List'!S2:S671))/STDEV('The List'!S2:S671)</f>
        <v>-0.78739281141906492</v>
      </c>
      <c r="G543" s="55" cm="1">
        <f t="array" ref="G543">(VLOOKUP($A543,'The List'!$B1:$AH671,19,FALSE)-AVERAGE('The List'!T2:T671))/STDEV('The List'!T2:T671)</f>
        <v>-0.95084431036113981</v>
      </c>
      <c r="H543" s="55" cm="1">
        <f t="array" ref="H543">(VLOOKUP($A543,'The List'!$B1:$AH671,20,FALSE)-AVERAGE('The List'!U2:U671))/STDEV('The List'!U2:U671)</f>
        <v>-0.94742511442408528</v>
      </c>
      <c r="I543" s="55" cm="1">
        <f t="array" ref="I543">(VLOOKUP($A543,'The List'!$B1:$AH671,21,FALSE)-AVERAGE('The List'!V2:V671))/STDEV('The List'!V2:V671)</f>
        <v>-1.2718699060760981</v>
      </c>
      <c r="J543" s="55" cm="1">
        <f t="array" ref="J543">(VLOOKUP($A543,'The List'!$B1:$AH671,22,FALSE)-AVERAGE('The List'!W2:W671))/STDEV('The List'!W2:W671)</f>
        <v>-0.74454892727520505</v>
      </c>
      <c r="K543" s="55" cm="1">
        <f t="array" ref="K543">(VLOOKUP($A543,'The List'!$B1:$AH671,23,FALSE)-AVERAGE('The List'!X2:X671))/STDEV('The List'!X2:X671)</f>
        <v>-0.80742309238652921</v>
      </c>
      <c r="L543" s="55" cm="1">
        <f t="array" ref="L543">(VLOOKUP($A543,'The List'!$B1:$AH671,24,FALSE)-AVERAGE('The List'!Y2:Y671))/STDEV('The List'!Y2:Y671)</f>
        <v>0.82509977732905471</v>
      </c>
      <c r="M543" s="55" cm="1">
        <f t="array" ref="M543">(VLOOKUP($A543,'The List'!$B1:$AH671,25,FALSE)-AVERAGE('The List'!Z2:Z671))/STDEV('The List'!Z2:Z671)</f>
        <v>0.65689961008094522</v>
      </c>
      <c r="N543" s="55" cm="1">
        <f t="array" ref="N543">(VLOOKUP($A543,'The List'!$B1:$AH671,26,FALSE)-AVERAGE('The List'!AA2:AA671))/STDEV('The List'!AA2:AA671)</f>
        <v>-0.59297627774253747</v>
      </c>
      <c r="O543" s="55" cm="1">
        <f t="array" ref="O543">(VLOOKUP($A543,'The List'!$B1:$AH671,27,FALSE)-AVERAGE('The List'!AB2:AB671))/STDEV('The List'!AB2:AB671)</f>
        <v>-0.79891690744721799</v>
      </c>
      <c r="P543" s="55" cm="1">
        <f t="array" ref="P543">(VLOOKUP($A543,'The List'!$B1:$AH671,28,FALSE)-AVERAGE('The List'!AC2:AC671))/STDEV('The List'!AC2:AC671)</f>
        <v>0.95709181289697598</v>
      </c>
      <c r="Q543" s="55" cm="1">
        <f t="array" ref="Q543">(VLOOKUP($A543,'The List'!$B1:$AH671,29,FALSE)-AVERAGE('The List'!AD2:AD671))/STDEV('The List'!AD2:AD671)</f>
        <v>-1.2531577774653035</v>
      </c>
      <c r="R543" s="55" cm="1">
        <f t="array" ref="R543">(VLOOKUP($A543,'The List'!$B1:$AH671,30,FALSE)-AVERAGE('The List'!AE2:AE671))/STDEV('The List'!AE2:AE671)</f>
        <v>-0.71612248066439133</v>
      </c>
      <c r="S543" s="55" cm="1">
        <f t="array" ref="S543">(VLOOKUP($A543,'The List'!$B1:$AH671,31,FALSE)-AVERAGE('The List'!AF2:AF671))/STDEV('The List'!AF2:AF671)</f>
        <v>-0.38070941396582575</v>
      </c>
      <c r="T543" s="55" cm="1">
        <f t="array" ref="T543">(VLOOKUP($A543,'The List'!$B1:$AH671,32,FALSE)-AVERAGE('The List'!AG2:AG671))/STDEV('The List'!AG2:AG671)</f>
        <v>-0.38910506593858152</v>
      </c>
      <c r="U543" s="55" cm="1">
        <f t="array" ref="U543">(VLOOKUP($A543,'The List'!$B1:$AH671,33,FALSE)-AVERAGE('The List'!AH2:AH671))/STDEV('The List'!AH2:AH671)</f>
        <v>0.90202114909580355</v>
      </c>
      <c r="V543" s="55"/>
      <c r="W543" s="57"/>
      <c r="X543" s="55"/>
      <c r="Y543" s="55"/>
      <c r="Z543" s="55"/>
      <c r="AA543" s="55"/>
      <c r="AB543" s="55"/>
      <c r="AC543" s="55"/>
      <c r="AD543" s="55"/>
      <c r="AE543" s="55"/>
    </row>
    <row r="544" spans="1:31" ht="21.25" customHeight="1" x14ac:dyDescent="0.15">
      <c r="A544" s="10" t="s">
        <v>783</v>
      </c>
      <c r="B544" s="18" t="str" cm="1">
        <f t="array" ref="B544">VLOOKUP(A544,'Player Data'!A1:B673,2,FALSE)</f>
        <v>SEA</v>
      </c>
      <c r="C544" s="52" cm="1">
        <f t="array" ref="C544">((E544)*Settings!$C$12)+(F544*Settings!$C$2)+(G544*Settings!$C$3)+(H544*Settings!$C$4)+(I544*Settings!$C$5)+(K544*Settings!$C$9)+(N544*Settings!$C$6)+(J544*Settings!$C$8)+(O544*Settings!$C$7)+(P544*Settings!$C$14)+(Q544*Settings!$C$15)+(R544*Settings!$C$16)+(S544*Settings!$C$17)+(T544*Settings!$C$18)+(U544*Settings!$C$19)+(L544*Settings!$C$10)+(Settings!$C$11*M544)</f>
        <v>-7.4134244957604958</v>
      </c>
      <c r="D544" s="57" cm="1">
        <f t="array" ref="D544">IF(Settings!$E$12="YES",VLOOKUP(A544,'Player Data'!A1:E673,5,FALSE),82)</f>
        <v>64.62</v>
      </c>
      <c r="E544" s="55" cm="1">
        <f t="array" ref="E544">(VLOOKUP($A544,'The List'!$B1:$AH671,17,FALSE)-AVERAGE('The List'!R2:R671))/STDEV('The List'!R2:R671)</f>
        <v>-1.6814760642498827</v>
      </c>
      <c r="F544" s="55" cm="1">
        <f t="array" ref="F544">(VLOOKUP($A544,'The List'!$B1:$AH671,18,FALSE)-AVERAGE('The List'!S2:S671))/STDEV('The List'!S2:S671)</f>
        <v>-1.015036138503586</v>
      </c>
      <c r="G544" s="55" cm="1">
        <f t="array" ref="G544">(VLOOKUP($A544,'The List'!$B1:$AH671,19,FALSE)-AVERAGE('The List'!T2:T671))/STDEV('The List'!T2:T671)</f>
        <v>-1.0093514884002028</v>
      </c>
      <c r="H544" s="55" cm="1">
        <f t="array" ref="H544">(VLOOKUP($A544,'The List'!$B1:$AH671,20,FALSE)-AVERAGE('The List'!U2:U671))/STDEV('The List'!U2:U671)</f>
        <v>-1.085226212823595</v>
      </c>
      <c r="I544" s="55" cm="1">
        <f t="array" ref="I544">(VLOOKUP($A544,'The List'!$B1:$AH671,21,FALSE)-AVERAGE('The List'!V2:V671))/STDEV('The List'!V2:V671)</f>
        <v>-1.0192320215694357</v>
      </c>
      <c r="J544" s="55" cm="1">
        <f t="array" ref="J544">(VLOOKUP($A544,'The List'!$B1:$AH671,22,FALSE)-AVERAGE('The List'!W2:W671))/STDEV('The List'!W2:W671)</f>
        <v>-0.74252840459599234</v>
      </c>
      <c r="K544" s="55" cm="1">
        <f t="array" ref="K544">(VLOOKUP($A544,'The List'!$B1:$AH671,23,FALSE)-AVERAGE('The List'!X2:X671))/STDEV('The List'!X2:X671)</f>
        <v>-0.80581043825995768</v>
      </c>
      <c r="L544" s="55" cm="1">
        <f t="array" ref="L544">(VLOOKUP($A544,'The List'!$B1:$AH671,24,FALSE)-AVERAGE('The List'!Y2:Y671))/STDEV('The List'!Y2:Y671)</f>
        <v>-0.18739093033257337</v>
      </c>
      <c r="M544" s="55" cm="1">
        <f t="array" ref="M544">(VLOOKUP($A544,'The List'!$B1:$AH671,25,FALSE)-AVERAGE('The List'!Z2:Z671))/STDEV('The List'!Z2:Z671)</f>
        <v>-0.33380969886941314</v>
      </c>
      <c r="N544" s="55" cm="1">
        <f t="array" ref="N544">(VLOOKUP($A544,'The List'!$B1:$AH671,26,FALSE)-AVERAGE('The List'!AA2:AA671))/STDEV('The List'!AA2:AA671)</f>
        <v>-0.87807241908997158</v>
      </c>
      <c r="O544" s="55" cm="1">
        <f t="array" ref="O544">(VLOOKUP($A544,'The List'!$B1:$AH671,27,FALSE)-AVERAGE('The List'!AB2:AB671))/STDEV('The List'!AB2:AB671)</f>
        <v>-0.24576648906055065</v>
      </c>
      <c r="P544" s="55" cm="1">
        <f t="array" ref="P544">(VLOOKUP($A544,'The List'!$B1:$AH671,28,FALSE)-AVERAGE('The List'!AC2:AC671))/STDEV('The List'!AC2:AC671)</f>
        <v>-1.3280260006428966</v>
      </c>
      <c r="Q544" s="55" cm="1">
        <f t="array" ref="Q544">(VLOOKUP($A544,'The List'!$B1:$AH671,29,FALSE)-AVERAGE('The List'!AD2:AD671))/STDEV('The List'!AD2:AD671)</f>
        <v>-1.3578959892944458</v>
      </c>
      <c r="R544" s="55" cm="1">
        <f t="array" ref="R544">(VLOOKUP($A544,'The List'!$B1:$AH671,30,FALSE)-AVERAGE('The List'!AE2:AE671))/STDEV('The List'!AE2:AE671)</f>
        <v>-1.026478631128402</v>
      </c>
      <c r="S544" s="55" cm="1">
        <f t="array" ref="S544">(VLOOKUP($A544,'The List'!$B1:$AH671,31,FALSE)-AVERAGE('The List'!AF2:AF671))/STDEV('The List'!AF2:AF671)</f>
        <v>-0.59259914223058974</v>
      </c>
      <c r="T544" s="55" cm="1">
        <f t="array" ref="T544">(VLOOKUP($A544,'The List'!$B1:$AH671,32,FALSE)-AVERAGE('The List'!AG2:AG671))/STDEV('The List'!AG2:AG671)</f>
        <v>-0.62118226531721199</v>
      </c>
      <c r="U544" s="55" cm="1">
        <f t="array" ref="U544">(VLOOKUP($A544,'The List'!$B1:$AH671,33,FALSE)-AVERAGE('The List'!AH2:AH671))/STDEV('The List'!AH2:AH671)</f>
        <v>-0.99987895996746157</v>
      </c>
      <c r="V544" s="55"/>
      <c r="W544" s="78"/>
      <c r="X544" s="57"/>
      <c r="Y544" s="57"/>
      <c r="Z544" s="57"/>
      <c r="AA544" s="57"/>
      <c r="AB544" s="57"/>
      <c r="AC544" s="60"/>
      <c r="AD544" s="61"/>
      <c r="AE544" s="55"/>
    </row>
    <row r="545" spans="1:31" ht="21.25" customHeight="1" x14ac:dyDescent="0.15">
      <c r="A545" s="10" t="s">
        <v>784</v>
      </c>
      <c r="B545" s="18" t="str" cm="1">
        <f t="array" ref="B545">VLOOKUP(A545,'Player Data'!A1:B673,2,FALSE)</f>
        <v>NSH</v>
      </c>
      <c r="C545" s="52" cm="1">
        <f t="array" ref="C545">((E545)*Settings!$C$12)+(F545*Settings!$C$2)+(G545*Settings!$C$3)+(H545*Settings!$C$4)+(I545*Settings!$C$5)+(K545*Settings!$C$9)+(N545*Settings!$C$6)+(J545*Settings!$C$8)+(O545*Settings!$C$7)+(P545*Settings!$C$14)+(Q545*Settings!$C$15)+(R545*Settings!$C$16)+(S545*Settings!$C$17)+(T545*Settings!$C$18)+(U545*Settings!$C$19)+(L545*Settings!$C$10)+(Settings!$C$11*M545)</f>
        <v>-6.2514589451438694</v>
      </c>
      <c r="D545" s="57" cm="1">
        <f t="array" ref="D545">IF(Settings!$E$12="YES",VLOOKUP(A545,'Player Data'!A1:E673,5,FALSE),82)</f>
        <v>69.03</v>
      </c>
      <c r="E545" s="55" cm="1">
        <f t="array" ref="E545">(VLOOKUP($A545,'The List'!$B1:$AH671,17,FALSE)-AVERAGE('The List'!R2:R671))/STDEV('The List'!R2:R671)</f>
        <v>-1.7817643657609943</v>
      </c>
      <c r="F545" s="55" cm="1">
        <f t="array" ref="F545">(VLOOKUP($A545,'The List'!$B1:$AH671,18,FALSE)-AVERAGE('The List'!S2:S671))/STDEV('The List'!S2:S671)</f>
        <v>-0.56927664129676092</v>
      </c>
      <c r="G545" s="55" cm="1">
        <f t="array" ref="G545">(VLOOKUP($A545,'The List'!$B1:$AH671,19,FALSE)-AVERAGE('The List'!T2:T671))/STDEV('The List'!T2:T671)</f>
        <v>-1.2684498869110945</v>
      </c>
      <c r="H545" s="55" cm="1">
        <f t="array" ref="H545">(VLOOKUP($A545,'The List'!$B1:$AH671,20,FALSE)-AVERAGE('The List'!U2:U671))/STDEV('The List'!U2:U671)</f>
        <v>-1.0504239457331734</v>
      </c>
      <c r="I545" s="55" cm="1">
        <f t="array" ref="I545">(VLOOKUP($A545,'The List'!$B1:$AH671,21,FALSE)-AVERAGE('The List'!V2:V671))/STDEV('The List'!V2:V671)</f>
        <v>-1.1656289870042718</v>
      </c>
      <c r="J545" s="55" cm="1">
        <f t="array" ref="J545">(VLOOKUP($A545,'The List'!$B1:$AH671,22,FALSE)-AVERAGE('The List'!W2:W671))/STDEV('The List'!W2:W671)</f>
        <v>-0.74818105324977824</v>
      </c>
      <c r="K545" s="55" cm="1">
        <f t="array" ref="K545">(VLOOKUP($A545,'The List'!$B1:$AH671,23,FALSE)-AVERAGE('The List'!X2:X671))/STDEV('The List'!X2:X671)</f>
        <v>-0.81029345934030583</v>
      </c>
      <c r="L545" s="55" cm="1">
        <f t="array" ref="L545">(VLOOKUP($A545,'The List'!$B1:$AH671,24,FALSE)-AVERAGE('The List'!Y2:Y671))/STDEV('The List'!Y2:Y671)</f>
        <v>-0.14314920761034</v>
      </c>
      <c r="M545" s="55" cm="1">
        <f t="array" ref="M545">(VLOOKUP($A545,'The List'!$B1:$AH671,25,FALSE)-AVERAGE('The List'!Z2:Z671))/STDEV('The List'!Z2:Z671)</f>
        <v>-0.28262770550708305</v>
      </c>
      <c r="N545" s="55" cm="1">
        <f t="array" ref="N545">(VLOOKUP($A545,'The List'!$B1:$AH671,26,FALSE)-AVERAGE('The List'!AA2:AA671))/STDEV('The List'!AA2:AA671)</f>
        <v>-0.56971095066122412</v>
      </c>
      <c r="O545" s="55" cm="1">
        <f t="array" ref="O545">(VLOOKUP($A545,'The List'!$B1:$AH671,27,FALSE)-AVERAGE('The List'!AB2:AB671))/STDEV('The List'!AB2:AB671)</f>
        <v>1.2688690964608058</v>
      </c>
      <c r="P545" s="55" cm="1">
        <f t="array" ref="P545">(VLOOKUP($A545,'The List'!$B1:$AH671,28,FALSE)-AVERAGE('The List'!AC2:AC671))/STDEV('The List'!AC2:AC671)</f>
        <v>-0.96104364713333135</v>
      </c>
      <c r="Q545" s="55" cm="1">
        <f t="array" ref="Q545">(VLOOKUP($A545,'The List'!$B1:$AH671,29,FALSE)-AVERAGE('The List'!AD2:AD671))/STDEV('The List'!AD2:AD671)</f>
        <v>-0.90705537279688142</v>
      </c>
      <c r="R545" s="55" cm="1">
        <f t="array" ref="R545">(VLOOKUP($A545,'The List'!$B1:$AH671,30,FALSE)-AVERAGE('The List'!AE2:AE671))/STDEV('The List'!AE2:AE671)</f>
        <v>-0.63893561736629634</v>
      </c>
      <c r="S545" s="55" cm="1">
        <f t="array" ref="S545">(VLOOKUP($A545,'The List'!$B1:$AH671,31,FALSE)-AVERAGE('The List'!AF2:AF671))/STDEV('The List'!AF2:AF671)</f>
        <v>-0.58669315620065177</v>
      </c>
      <c r="T545" s="55" cm="1">
        <f t="array" ref="T545">(VLOOKUP($A545,'The List'!$B1:$AH671,32,FALSE)-AVERAGE('The List'!AG2:AG671))/STDEV('The List'!AG2:AG671)</f>
        <v>-0.59178256406634677</v>
      </c>
      <c r="U545" s="55" cm="1">
        <f t="array" ref="U545">(VLOOKUP($A545,'The List'!$B1:$AH671,33,FALSE)-AVERAGE('The List'!AH2:AH671))/STDEV('The List'!AH2:AH671)</f>
        <v>-0.68028041740117184</v>
      </c>
      <c r="V545" s="55"/>
      <c r="W545" s="78"/>
      <c r="X545" s="57"/>
      <c r="Y545" s="57"/>
      <c r="Z545" s="57"/>
      <c r="AA545" s="57"/>
      <c r="AB545" s="57"/>
      <c r="AC545" s="60"/>
      <c r="AD545" s="61"/>
      <c r="AE545" s="55"/>
    </row>
    <row r="546" spans="1:31" ht="21.25" customHeight="1" x14ac:dyDescent="0.15">
      <c r="A546" s="10" t="s">
        <v>760</v>
      </c>
      <c r="B546" s="18" t="str" cm="1">
        <f t="array" ref="B546">VLOOKUP(A546,'Player Data'!A1:B673,2,FALSE)</f>
        <v>CBJ</v>
      </c>
      <c r="C546" s="52" cm="1">
        <f t="array" ref="C546">((E546)*Settings!$C$12)+(F546*Settings!$C$2)+(G546*Settings!$C$3)+(H546*Settings!$C$4)+(I546*Settings!$C$5)+(K546*Settings!$C$9)+(N546*Settings!$C$6)+(J546*Settings!$C$8)+(O546*Settings!$C$7)+(P546*Settings!$C$14)+(Q546*Settings!$C$15)+(R546*Settings!$C$16)+(S546*Settings!$C$17)+(T546*Settings!$C$18)+(U546*Settings!$C$19)+(L546*Settings!$C$10)+(Settings!$C$11*M546)</f>
        <v>-5.9554876915793296</v>
      </c>
      <c r="D546" s="57" cm="1">
        <f t="array" ref="D546">IF(Settings!$E$12="YES",VLOOKUP(A546,'Player Data'!A1:E673,5,FALSE),82)</f>
        <v>77.532499999999999</v>
      </c>
      <c r="E546" s="55" cm="1">
        <f t="array" ref="E546">(VLOOKUP($A546,'The List'!$B1:$AH671,17,FALSE)-AVERAGE('The List'!R2:R671))/STDEV('The List'!R2:R671)</f>
        <v>-1.168003776265423</v>
      </c>
      <c r="F546" s="55" cm="1">
        <f t="array" ref="F546">(VLOOKUP($A546,'The List'!$B1:$AH671,18,FALSE)-AVERAGE('The List'!S2:S671))/STDEV('The List'!S2:S671)</f>
        <v>-0.82143107365895496</v>
      </c>
      <c r="G546" s="55" cm="1">
        <f t="array" ref="G546">(VLOOKUP($A546,'The List'!$B1:$AH671,19,FALSE)-AVERAGE('The List'!T2:T671))/STDEV('The List'!T2:T671)</f>
        <v>-0.97601085593030557</v>
      </c>
      <c r="H546" s="55" cm="1">
        <f t="array" ref="H546">(VLOOKUP($A546,'The List'!$B1:$AH671,20,FALSE)-AVERAGE('The List'!U2:U671))/STDEV('The List'!U2:U671)</f>
        <v>-0.97835677526194664</v>
      </c>
      <c r="I546" s="55" cm="1">
        <f t="array" ref="I546">(VLOOKUP($A546,'The List'!$B1:$AH671,21,FALSE)-AVERAGE('The List'!V2:V671))/STDEV('The List'!V2:V671)</f>
        <v>-1.1315731295790763</v>
      </c>
      <c r="J546" s="55" cm="1">
        <f t="array" ref="J546">(VLOOKUP($A546,'The List'!$B1:$AH671,22,FALSE)-AVERAGE('The List'!W2:W671))/STDEV('The List'!W2:W671)</f>
        <v>-0.73976614411842556</v>
      </c>
      <c r="K546" s="55" cm="1">
        <f t="array" ref="K546">(VLOOKUP($A546,'The List'!$B1:$AH671,23,FALSE)-AVERAGE('The List'!X2:X671))/STDEV('The List'!X2:X671)</f>
        <v>-0.80034954236686162</v>
      </c>
      <c r="L546" s="55" cm="1">
        <f t="array" ref="L546">(VLOOKUP($A546,'The List'!$B1:$AH671,24,FALSE)-AVERAGE('The List'!Y2:Y671))/STDEV('The List'!Y2:Y671)</f>
        <v>-0.15457487480099008</v>
      </c>
      <c r="M546" s="55" cm="1">
        <f t="array" ref="M546">(VLOOKUP($A546,'The List'!$B1:$AH671,25,FALSE)-AVERAGE('The List'!Z2:Z671))/STDEV('The List'!Z2:Z671)</f>
        <v>-0.39448885511714304</v>
      </c>
      <c r="N546" s="55" cm="1">
        <f t="array" ref="N546">(VLOOKUP($A546,'The List'!$B1:$AH671,26,FALSE)-AVERAGE('The List'!AA2:AA671))/STDEV('The List'!AA2:AA671)</f>
        <v>-0.46589114763864209</v>
      </c>
      <c r="O546" s="55" cm="1">
        <f t="array" ref="O546">(VLOOKUP($A546,'The List'!$B1:$AH671,27,FALSE)-AVERAGE('The List'!AB2:AB671))/STDEV('The List'!AB2:AB671)</f>
        <v>-0.60935859432763351</v>
      </c>
      <c r="P546" s="55" cm="1">
        <f t="array" ref="P546">(VLOOKUP($A546,'The List'!$B1:$AH671,28,FALSE)-AVERAGE('The List'!AC2:AC671))/STDEV('The List'!AC2:AC671)</f>
        <v>-0.17508187939975961</v>
      </c>
      <c r="Q546" s="55" cm="1">
        <f t="array" ref="Q546">(VLOOKUP($A546,'The List'!$B1:$AH671,29,FALSE)-AVERAGE('The List'!AD2:AD671))/STDEV('The List'!AD2:AD671)</f>
        <v>-1.5851500630057302</v>
      </c>
      <c r="R546" s="55" cm="1">
        <f t="array" ref="R546">(VLOOKUP($A546,'The List'!$B1:$AH671,30,FALSE)-AVERAGE('The List'!AE2:AE671))/STDEV('The List'!AE2:AE671)</f>
        <v>-0.77951680617219254</v>
      </c>
      <c r="S546" s="55" cm="1">
        <f t="array" ref="S546">(VLOOKUP($A546,'The List'!$B1:$AH671,31,FALSE)-AVERAGE('The List'!AF2:AF671))/STDEV('The List'!AF2:AF671)</f>
        <v>0.38132022170324281</v>
      </c>
      <c r="T546" s="55" cm="1">
        <f t="array" ref="T546">(VLOOKUP($A546,'The List'!$B1:$AH671,32,FALSE)-AVERAGE('The List'!AG2:AG671))/STDEV('The List'!AG2:AG671)</f>
        <v>0.46346994274787762</v>
      </c>
      <c r="U546" s="55" cm="1">
        <f t="array" ref="U546">(VLOOKUP($A546,'The List'!$B1:$AH671,33,FALSE)-AVERAGE('The List'!AH2:AH671))/STDEV('The List'!AH2:AH671)</f>
        <v>0.96774206410214969</v>
      </c>
      <c r="V546" s="55"/>
      <c r="W546" s="78"/>
      <c r="X546" s="57"/>
      <c r="Y546" s="57"/>
      <c r="Z546" s="57"/>
      <c r="AA546" s="57"/>
      <c r="AB546" s="57"/>
      <c r="AC546" s="60"/>
      <c r="AD546" s="61"/>
      <c r="AE546" s="55"/>
    </row>
    <row r="547" spans="1:31" ht="21.25" customHeight="1" x14ac:dyDescent="0.15">
      <c r="A547" s="10" t="s">
        <v>490</v>
      </c>
      <c r="B547" s="18" t="str" cm="1">
        <f t="array" ref="B547">VLOOKUP(A547,'Player Data'!A1:B673,2,FALSE)</f>
        <v>SEA</v>
      </c>
      <c r="C547" s="52" cm="1">
        <f t="array" ref="C547">((E547)*Settings!$C$12)+(F547*Settings!$C$2)+(G547*Settings!$C$3)+(H547*Settings!$C$4)+(I547*Settings!$C$5)+(K547*Settings!$C$9)+(N547*Settings!$C$6)+(J547*Settings!$C$8)+(O547*Settings!$C$7)+(P547*Settings!$C$14)+(Q547*Settings!$C$15)+(R547*Settings!$C$16)+(S547*Settings!$C$17)+(T547*Settings!$C$18)+(U547*Settings!$C$19)+(L547*Settings!$C$10)+(Settings!$C$11*M547)</f>
        <v>-3.4499646701322551</v>
      </c>
      <c r="D547" s="57" cm="1">
        <f t="array" ref="D547">IF(Settings!$E$12="YES",VLOOKUP(A547,'Player Data'!A1:E673,5,FALSE),82)</f>
        <v>80.989999999999995</v>
      </c>
      <c r="E547" s="55" cm="1">
        <f t="array" ref="E547">(VLOOKUP($A547,'The List'!$B1:$AH671,17,FALSE)-AVERAGE('The List'!R2:R671))/STDEV('The List'!R2:R671)</f>
        <v>0.43067798440037458</v>
      </c>
      <c r="F547" s="55" cm="1">
        <f t="array" ref="F547">(VLOOKUP($A547,'The List'!$B1:$AH671,18,FALSE)-AVERAGE('The List'!S2:S671))/STDEV('The List'!S2:S671)</f>
        <v>-1.1145565653828555</v>
      </c>
      <c r="G547" s="55" cm="1">
        <f t="array" ref="G547">(VLOOKUP($A547,'The List'!$B1:$AH671,19,FALSE)-AVERAGE('The List'!T2:T671))/STDEV('The List'!T2:T671)</f>
        <v>-0.73039825386701351</v>
      </c>
      <c r="H547" s="55" cm="1">
        <f t="array" ref="H547">(VLOOKUP($A547,'The List'!$B1:$AH671,20,FALSE)-AVERAGE('The List'!U2:U671))/STDEV('The List'!U2:U671)</f>
        <v>-0.95392114919957149</v>
      </c>
      <c r="I547" s="55" cm="1">
        <f t="array" ref="I547">(VLOOKUP($A547,'The List'!$B1:$AH671,21,FALSE)-AVERAGE('The List'!V2:V671))/STDEV('The List'!V2:V671)</f>
        <v>-1.2295759302343268</v>
      </c>
      <c r="J547" s="55" cm="1">
        <f t="array" ref="J547">(VLOOKUP($A547,'The List'!$B1:$AH671,22,FALSE)-AVERAGE('The List'!W2:W671))/STDEV('The List'!W2:W671)</f>
        <v>-0.74777969498364361</v>
      </c>
      <c r="K547" s="55" cm="1">
        <f t="array" ref="K547">(VLOOKUP($A547,'The List'!$B1:$AH671,23,FALSE)-AVERAGE('The List'!X2:X671))/STDEV('The List'!X2:X671)</f>
        <v>-0.80323160577915531</v>
      </c>
      <c r="L547" s="55" cm="1">
        <f t="array" ref="L547">(VLOOKUP($A547,'The List'!$B1:$AH671,24,FALSE)-AVERAGE('The List'!Y2:Y671))/STDEV('The List'!Y2:Y671)</f>
        <v>-0.53156045601092472</v>
      </c>
      <c r="M547" s="55" cm="1">
        <f t="array" ref="M547">(VLOOKUP($A547,'The List'!$B1:$AH671,25,FALSE)-AVERAGE('The List'!Z2:Z671))/STDEV('The List'!Z2:Z671)</f>
        <v>3.1917396295681667E-2</v>
      </c>
      <c r="N547" s="55" cm="1">
        <f t="array" ref="N547">(VLOOKUP($A547,'The List'!$B1:$AH671,26,FALSE)-AVERAGE('The List'!AA2:AA671))/STDEV('The List'!AA2:AA671)</f>
        <v>1.5916705957021107</v>
      </c>
      <c r="O547" s="55" cm="1">
        <f t="array" ref="O547">(VLOOKUP($A547,'The List'!$B1:$AH671,27,FALSE)-AVERAGE('The List'!AB2:AB671))/STDEV('The List'!AB2:AB671)</f>
        <v>-0.28030027267994906</v>
      </c>
      <c r="P547" s="55" cm="1">
        <f t="array" ref="P547">(VLOOKUP($A547,'The List'!$B1:$AH671,28,FALSE)-AVERAGE('The List'!AC2:AC671))/STDEV('The List'!AC2:AC671)</f>
        <v>-2.061096205270867</v>
      </c>
      <c r="Q547" s="55" cm="1">
        <f t="array" ref="Q547">(VLOOKUP($A547,'The List'!$B1:$AH671,29,FALSE)-AVERAGE('The List'!AD2:AD671))/STDEV('The List'!AD2:AD671)</f>
        <v>0.8972232946998524</v>
      </c>
      <c r="R547" s="55" cm="1">
        <f t="array" ref="R547">(VLOOKUP($A547,'The List'!$B1:$AH671,30,FALSE)-AVERAGE('The List'!AE2:AE671))/STDEV('The List'!AE2:AE671)</f>
        <v>-1.112162707623563</v>
      </c>
      <c r="S547" s="55" cm="1">
        <f t="array" ref="S547">(VLOOKUP($A547,'The List'!$B1:$AH671,31,FALSE)-AVERAGE('The List'!AF2:AF671))/STDEV('The List'!AF2:AF671)</f>
        <v>-0.5939690971349143</v>
      </c>
      <c r="T547" s="55" cm="1">
        <f t="array" ref="T547">(VLOOKUP($A547,'The List'!$B1:$AH671,32,FALSE)-AVERAGE('The List'!AG2:AG671))/STDEV('The List'!AG2:AG671)</f>
        <v>-0.64220751477529758</v>
      </c>
      <c r="U547" s="55" cm="1">
        <f t="array" ref="U547">(VLOOKUP($A547,'The List'!$B1:$AH671,33,FALSE)-AVERAGE('The List'!AH2:AH671))/STDEV('The List'!AH2:AH671)</f>
        <v>-1.2548938914719048</v>
      </c>
      <c r="V547" s="55"/>
      <c r="W547" s="57"/>
      <c r="X547" s="55"/>
      <c r="Y547" s="55"/>
      <c r="Z547" s="55"/>
      <c r="AA547" s="55"/>
      <c r="AB547" s="55"/>
      <c r="AC547" s="55"/>
      <c r="AD547" s="55"/>
      <c r="AE547" s="55"/>
    </row>
    <row r="548" spans="1:31" ht="21.25" customHeight="1" x14ac:dyDescent="0.15">
      <c r="A548" s="10" t="s">
        <v>772</v>
      </c>
      <c r="B548" s="18" t="str" cm="1">
        <f t="array" ref="B548">VLOOKUP(A548,'Player Data'!A1:B673,2,FALSE)</f>
        <v>DAL</v>
      </c>
      <c r="C548" s="52" cm="1">
        <f t="array" ref="C548">((E548)*Settings!$C$12)+(F548*Settings!$C$2)+(G548*Settings!$C$3)+(H548*Settings!$C$4)+(I548*Settings!$C$5)+(K548*Settings!$C$9)+(N548*Settings!$C$6)+(J548*Settings!$C$8)+(O548*Settings!$C$7)+(P548*Settings!$C$14)+(Q548*Settings!$C$15)+(R548*Settings!$C$16)+(S548*Settings!$C$17)+(T548*Settings!$C$18)+(U548*Settings!$C$19)+(L548*Settings!$C$10)+(Settings!$C$11*M548)</f>
        <v>-4.3187752223507294</v>
      </c>
      <c r="D548" s="57" cm="1">
        <f t="array" ref="D548">IF(Settings!$E$12="YES",VLOOKUP(A548,'Player Data'!A1:E673,5,FALSE),82)</f>
        <v>75.487499999999997</v>
      </c>
      <c r="E548" s="55" cm="1">
        <f t="array" ref="E548">(VLOOKUP($A548,'The List'!$B1:$AH671,17,FALSE)-AVERAGE('The List'!R2:R671))/STDEV('The List'!R2:R671)</f>
        <v>-1.3840409678458641</v>
      </c>
      <c r="F548" s="55" cm="1">
        <f t="array" ref="F548">(VLOOKUP($A548,'The List'!$B1:$AH671,18,FALSE)-AVERAGE('The List'!S2:S671))/STDEV('The List'!S2:S671)</f>
        <v>-0.89775281492741732</v>
      </c>
      <c r="G548" s="55" cm="1">
        <f t="array" ref="G548">(VLOOKUP($A548,'The List'!$B1:$AH671,19,FALSE)-AVERAGE('The List'!T2:T671))/STDEV('The List'!T2:T671)</f>
        <v>-0.96034010185899821</v>
      </c>
      <c r="H548" s="55" cm="1">
        <f t="array" ref="H548">(VLOOKUP($A548,'The List'!$B1:$AH671,20,FALSE)-AVERAGE('The List'!U2:U671))/STDEV('The List'!U2:U671)</f>
        <v>-1.0023622500152496</v>
      </c>
      <c r="I548" s="55" cm="1">
        <f t="array" ref="I548">(VLOOKUP($A548,'The List'!$B1:$AH671,21,FALSE)-AVERAGE('The List'!V2:V671))/STDEV('The List'!V2:V671)</f>
        <v>-0.95716388840295263</v>
      </c>
      <c r="J548" s="55" cm="1">
        <f t="array" ref="J548">(VLOOKUP($A548,'The List'!$B1:$AH671,22,FALSE)-AVERAGE('The List'!W2:W671))/STDEV('The List'!W2:W671)</f>
        <v>-0.74827433101102858</v>
      </c>
      <c r="K548" s="55" cm="1">
        <f t="array" ref="K548">(VLOOKUP($A548,'The List'!$B1:$AH671,23,FALSE)-AVERAGE('The List'!X2:X671))/STDEV('The List'!X2:X671)</f>
        <v>-0.81058734168979063</v>
      </c>
      <c r="L548" s="55" cm="1">
        <f t="array" ref="L548">(VLOOKUP($A548,'The List'!$B1:$AH671,24,FALSE)-AVERAGE('The List'!Y2:Y671))/STDEV('The List'!Y2:Y671)</f>
        <v>0.39823649185173127</v>
      </c>
      <c r="M548" s="55" cm="1">
        <f t="array" ref="M548">(VLOOKUP($A548,'The List'!$B1:$AH671,25,FALSE)-AVERAGE('The List'!Z2:Z671))/STDEV('The List'!Z2:Z671)</f>
        <v>0.2703825104062087</v>
      </c>
      <c r="N548" s="55" cm="1">
        <f t="array" ref="N548">(VLOOKUP($A548,'The List'!$B1:$AH671,26,FALSE)-AVERAGE('The List'!AA2:AA671))/STDEV('The List'!AA2:AA671)</f>
        <v>-0.68886706636782291</v>
      </c>
      <c r="O548" s="55" cm="1">
        <f t="array" ref="O548">(VLOOKUP($A548,'The List'!$B1:$AH671,27,FALSE)-AVERAGE('The List'!AB2:AB671))/STDEV('The List'!AB2:AB671)</f>
        <v>0.65578060517404779</v>
      </c>
      <c r="P548" s="55" cm="1">
        <f t="array" ref="P548">(VLOOKUP($A548,'The List'!$B1:$AH671,28,FALSE)-AVERAGE('The List'!AC2:AC671))/STDEV('The List'!AC2:AC671)</f>
        <v>0.65811007040651837</v>
      </c>
      <c r="Q548" s="55" cm="1">
        <f t="array" ref="Q548">(VLOOKUP($A548,'The List'!$B1:$AH671,29,FALSE)-AVERAGE('The List'!AD2:AD671))/STDEV('The List'!AD2:AD671)</f>
        <v>-0.66217407951026597</v>
      </c>
      <c r="R548" s="55" cm="1">
        <f t="array" ref="R548">(VLOOKUP($A548,'The List'!$B1:$AH671,30,FALSE)-AVERAGE('The List'!AE2:AE671))/STDEV('The List'!AE2:AE671)</f>
        <v>-0.8327579754876191</v>
      </c>
      <c r="S548" s="55" cm="1">
        <f t="array" ref="S548">(VLOOKUP($A548,'The List'!$B1:$AH671,31,FALSE)-AVERAGE('The List'!AF2:AF671))/STDEV('The List'!AF2:AF671)</f>
        <v>2.6937449688568448E-2</v>
      </c>
      <c r="T548" s="55" cm="1">
        <f t="array" ref="T548">(VLOOKUP($A548,'The List'!$B1:$AH671,32,FALSE)-AVERAGE('The List'!AG2:AG671))/STDEV('The List'!AG2:AG671)</f>
        <v>0.14072261041029621</v>
      </c>
      <c r="U548" s="55" cm="1">
        <f t="array" ref="U548">(VLOOKUP($A548,'The List'!$B1:$AH671,33,FALSE)-AVERAGE('The List'!AH2:AH671))/STDEV('The List'!AH2:AH671)</f>
        <v>0.84432932501957769</v>
      </c>
      <c r="V548" s="55"/>
      <c r="W548" s="57"/>
      <c r="X548" s="55"/>
      <c r="Y548" s="55"/>
      <c r="Z548" s="55"/>
      <c r="AA548" s="55"/>
      <c r="AB548" s="55"/>
      <c r="AC548" s="55"/>
      <c r="AD548" s="55"/>
      <c r="AE548" s="55"/>
    </row>
    <row r="549" spans="1:31" ht="21.25" customHeight="1" x14ac:dyDescent="0.15">
      <c r="A549" s="10" t="s">
        <v>456</v>
      </c>
      <c r="B549" s="18" t="str" cm="1">
        <f t="array" ref="B549">VLOOKUP(A549,'Player Data'!A1:B673,2,FALSE)</f>
        <v>EDM</v>
      </c>
      <c r="C549" s="52" cm="1">
        <f t="array" ref="C549">((E549)*Settings!$C$12)+(F549*Settings!$C$2)+(G549*Settings!$C$3)+(H549*Settings!$C$4)+(I549*Settings!$C$5)+(K549*Settings!$C$9)+(N549*Settings!$C$6)+(J549*Settings!$C$8)+(O549*Settings!$C$7)+(P549*Settings!$C$14)+(Q549*Settings!$C$15)+(R549*Settings!$C$16)+(S549*Settings!$C$17)+(T549*Settings!$C$18)+(U549*Settings!$C$19)+(L549*Settings!$C$10)+(Settings!$C$11*M549)</f>
        <v>1.5140638802582824</v>
      </c>
      <c r="D549" s="57" cm="1">
        <f t="array" ref="D549">IF(Settings!$E$12="YES",VLOOKUP(A549,'Player Data'!A1:E673,5,FALSE),82)</f>
        <v>78.150000000000006</v>
      </c>
      <c r="E549" s="55" cm="1">
        <f t="array" ref="E549">(VLOOKUP($A549,'The List'!$B1:$AH671,17,FALSE)-AVERAGE('The List'!R2:R671))/STDEV('The List'!R2:R671)</f>
        <v>0.61542751055385247</v>
      </c>
      <c r="F549" s="55" cm="1">
        <f t="array" ref="F549">(VLOOKUP($A549,'The List'!$B1:$AH671,18,FALSE)-AVERAGE('The List'!S2:S671))/STDEV('The List'!S2:S671)</f>
        <v>-1.1870725596150502</v>
      </c>
      <c r="G549" s="55" cm="1">
        <f t="array" ref="G549">(VLOOKUP($A549,'The List'!$B1:$AH671,19,FALSE)-AVERAGE('The List'!T2:T671))/STDEV('The List'!T2:T671)</f>
        <v>-0.72911365825736318</v>
      </c>
      <c r="H549" s="55" cm="1">
        <f t="array" ref="H549">(VLOOKUP($A549,'The List'!$B1:$AH671,20,FALSE)-AVERAGE('The List'!U2:U671))/STDEV('The List'!U2:U671)</f>
        <v>-0.98528691451885975</v>
      </c>
      <c r="I549" s="55" cm="1">
        <f t="array" ref="I549">(VLOOKUP($A549,'The List'!$B1:$AH671,21,FALSE)-AVERAGE('The List'!V2:V671))/STDEV('The List'!V2:V671)</f>
        <v>-0.98503654226208259</v>
      </c>
      <c r="J549" s="55" cm="1">
        <f t="array" ref="J549">(VLOOKUP($A549,'The List'!$B1:$AH671,22,FALSE)-AVERAGE('The List'!W2:W671))/STDEV('The List'!W2:W671)</f>
        <v>-0.7497131145192637</v>
      </c>
      <c r="K549" s="55" cm="1">
        <f t="array" ref="K549">(VLOOKUP($A549,'The List'!$B1:$AH671,23,FALSE)-AVERAGE('The List'!X2:X671))/STDEV('The List'!X2:X671)</f>
        <v>-0.8085970525136088</v>
      </c>
      <c r="L549" s="55" cm="1">
        <f t="array" ref="L549">(VLOOKUP($A549,'The List'!$B1:$AH671,24,FALSE)-AVERAGE('The List'!Y2:Y671))/STDEV('The List'!Y2:Y671)</f>
        <v>-0.54773970566854424</v>
      </c>
      <c r="M549" s="55" cm="1">
        <f t="array" ref="M549">(VLOOKUP($A549,'The List'!$B1:$AH671,25,FALSE)-AVERAGE('The List'!Z2:Z671))/STDEV('The List'!Z2:Z671)</f>
        <v>1.3719630577915492E-2</v>
      </c>
      <c r="N549" s="55" cm="1">
        <f t="array" ref="N549">(VLOOKUP($A549,'The List'!$B1:$AH671,26,FALSE)-AVERAGE('The List'!AA2:AA671))/STDEV('The List'!AA2:AA671)</f>
        <v>2.0828885451672865</v>
      </c>
      <c r="O549" s="55" cm="1">
        <f t="array" ref="O549">(VLOOKUP($A549,'The List'!$B1:$AH671,27,FALSE)-AVERAGE('The List'!AB2:AB671))/STDEV('The List'!AB2:AB671)</f>
        <v>0.29826034891935149</v>
      </c>
      <c r="P549" s="55" cm="1">
        <f t="array" ref="P549">(VLOOKUP($A549,'The List'!$B1:$AH671,28,FALSE)-AVERAGE('The List'!AC2:AC671))/STDEV('The List'!AC2:AC671)</f>
        <v>1.0182386329670372</v>
      </c>
      <c r="Q549" s="55" cm="1">
        <f t="array" ref="Q549">(VLOOKUP($A549,'The List'!$B1:$AH671,29,FALSE)-AVERAGE('The List'!AD2:AD671))/STDEV('The List'!AD2:AD671)</f>
        <v>2.1227565147720635</v>
      </c>
      <c r="R549" s="55" cm="1">
        <f t="array" ref="R549">(VLOOKUP($A549,'The List'!$B1:$AH671,30,FALSE)-AVERAGE('The List'!AE2:AE671))/STDEV('The List'!AE2:AE671)</f>
        <v>-1.1311443893708377</v>
      </c>
      <c r="S549" s="55" cm="1">
        <f t="array" ref="S549">(VLOOKUP($A549,'The List'!$B1:$AH671,31,FALSE)-AVERAGE('The List'!AF2:AF671))/STDEV('The List'!AF2:AF671)</f>
        <v>-0.5939690971349143</v>
      </c>
      <c r="T549" s="55" cm="1">
        <f t="array" ref="T549">(VLOOKUP($A549,'The List'!$B1:$AH671,32,FALSE)-AVERAGE('The List'!AG2:AG671))/STDEV('The List'!AG2:AG671)</f>
        <v>-0.64602208138248207</v>
      </c>
      <c r="U549" s="55" cm="1">
        <f t="array" ref="U549">(VLOOKUP($A549,'The List'!$B1:$AH671,33,FALSE)-AVERAGE('The List'!AH2:AH671))/STDEV('The List'!AH2:AH671)</f>
        <v>-1.2548938914719048</v>
      </c>
      <c r="V549" s="55"/>
      <c r="W549" s="78"/>
      <c r="X549" s="57"/>
      <c r="Y549" s="57"/>
      <c r="Z549" s="57"/>
      <c r="AA549" s="57"/>
      <c r="AB549" s="57"/>
      <c r="AC549" s="60"/>
      <c r="AD549" s="61"/>
      <c r="AE549" s="55"/>
    </row>
    <row r="550" spans="1:31" ht="21.25" customHeight="1" x14ac:dyDescent="0.15">
      <c r="A550" s="10" t="s">
        <v>792</v>
      </c>
      <c r="B550" s="18" t="str" cm="1">
        <f t="array" ref="B550">VLOOKUP(A550,'Player Data'!A1:B673,2,FALSE)</f>
        <v>NYR</v>
      </c>
      <c r="C550" s="52" cm="1">
        <f t="array" ref="C550">((E550)*Settings!$C$12)+(F550*Settings!$C$2)+(G550*Settings!$C$3)+(H550*Settings!$C$4)+(I550*Settings!$C$5)+(K550*Settings!$C$9)+(N550*Settings!$C$6)+(J550*Settings!$C$8)+(O550*Settings!$C$7)+(P550*Settings!$C$14)+(Q550*Settings!$C$15)+(R550*Settings!$C$16)+(S550*Settings!$C$17)+(T550*Settings!$C$18)+(U550*Settings!$C$19)+(L550*Settings!$C$10)+(Settings!$C$11*M550)</f>
        <v>-6.2455391651740584</v>
      </c>
      <c r="D550" s="57" cm="1">
        <f t="array" ref="D550">IF(Settings!$E$12="YES",VLOOKUP(A550,'Player Data'!A1:E673,5,FALSE),82)</f>
        <v>61.62</v>
      </c>
      <c r="E550" s="55" cm="1">
        <f t="array" ref="E550">(VLOOKUP($A550,'The List'!$B1:$AH671,17,FALSE)-AVERAGE('The List'!R2:R671))/STDEV('The List'!R2:R671)</f>
        <v>-2.005641050230595</v>
      </c>
      <c r="F550" s="55" cm="1">
        <f t="array" ref="F550">(VLOOKUP($A550,'The List'!$B1:$AH671,18,FALSE)-AVERAGE('The List'!S2:S671))/STDEV('The List'!S2:S671)</f>
        <v>-0.73649773746351421</v>
      </c>
      <c r="G550" s="55" cm="1">
        <f t="array" ref="G550">(VLOOKUP($A550,'The List'!$B1:$AH671,19,FALSE)-AVERAGE('The List'!T2:T671))/STDEV('The List'!T2:T671)</f>
        <v>-1.2776226228376351</v>
      </c>
      <c r="H550" s="55" cm="1">
        <f t="array" ref="H550">(VLOOKUP($A550,'The List'!$B1:$AH671,20,FALSE)-AVERAGE('The List'!U2:U671))/STDEV('The List'!U2:U671)</f>
        <v>-1.1303859109702352</v>
      </c>
      <c r="I550" s="55" cm="1">
        <f t="array" ref="I550">(VLOOKUP($A550,'The List'!$B1:$AH671,21,FALSE)-AVERAGE('The List'!V2:V671))/STDEV('The List'!V2:V671)</f>
        <v>-1.3205386309930669</v>
      </c>
      <c r="J550" s="55" cm="1">
        <f t="array" ref="J550">(VLOOKUP($A550,'The List'!$B1:$AH671,22,FALSE)-AVERAGE('The List'!W2:W671))/STDEV('The List'!W2:W671)</f>
        <v>-0.73153076204748979</v>
      </c>
      <c r="K550" s="55" cm="1">
        <f t="array" ref="K550">(VLOOKUP($A550,'The List'!$B1:$AH671,23,FALSE)-AVERAGE('The List'!X2:X671))/STDEV('The List'!X2:X671)</f>
        <v>-0.79671536720816294</v>
      </c>
      <c r="L550" s="55" cm="1">
        <f t="array" ref="L550">(VLOOKUP($A550,'The List'!$B1:$AH671,24,FALSE)-AVERAGE('The List'!Y2:Y671))/STDEV('The List'!Y2:Y671)</f>
        <v>-0.56403220974299773</v>
      </c>
      <c r="M550" s="55" cm="1">
        <f t="array" ref="M550">(VLOOKUP($A550,'The List'!$B1:$AH671,25,FALSE)-AVERAGE('The List'!Z2:Z671))/STDEV('The List'!Z2:Z671)</f>
        <v>-0.70591197056440924</v>
      </c>
      <c r="N550" s="55" cm="1">
        <f t="array" ref="N550">(VLOOKUP($A550,'The List'!$B1:$AH671,26,FALSE)-AVERAGE('The List'!AA2:AA671))/STDEV('The List'!AA2:AA671)</f>
        <v>-0.83334966874997185</v>
      </c>
      <c r="O550" s="55" cm="1">
        <f t="array" ref="O550">(VLOOKUP($A550,'The List'!$B1:$AH671,27,FALSE)-AVERAGE('The List'!AB2:AB671))/STDEV('The List'!AB2:AB671)</f>
        <v>0.52881415873281534</v>
      </c>
      <c r="P550" s="55" cm="1">
        <f t="array" ref="P550">(VLOOKUP($A550,'The List'!$B1:$AH671,28,FALSE)-AVERAGE('The List'!AC2:AC671))/STDEV('The List'!AC2:AC671)</f>
        <v>-0.14007711816293086</v>
      </c>
      <c r="Q550" s="55" cm="1">
        <f t="array" ref="Q550">(VLOOKUP($A550,'The List'!$B1:$AH671,29,FALSE)-AVERAGE('The List'!AD2:AD671))/STDEV('The List'!AD2:AD671)</f>
        <v>-1.1407380197587769</v>
      </c>
      <c r="R550" s="55" cm="1">
        <f t="array" ref="R550">(VLOOKUP($A550,'The List'!$B1:$AH671,30,FALSE)-AVERAGE('The List'!AE2:AE671))/STDEV('The List'!AE2:AE671)</f>
        <v>-0.71000357579671014</v>
      </c>
      <c r="S550" s="55" cm="1">
        <f t="array" ref="S550">(VLOOKUP($A550,'The List'!$B1:$AH671,31,FALSE)-AVERAGE('The List'!AF2:AF671))/STDEV('The List'!AF2:AF671)</f>
        <v>-0.5939690971349143</v>
      </c>
      <c r="T550" s="55" cm="1">
        <f t="array" ref="T550">(VLOOKUP($A550,'The List'!$B1:$AH671,32,FALSE)-AVERAGE('The List'!AG2:AG671))/STDEV('The List'!AG2:AG671)</f>
        <v>-0.60125808171515405</v>
      </c>
      <c r="U550" s="55" cm="1">
        <f t="array" ref="U550">(VLOOKUP($A550,'The List'!$B1:$AH671,33,FALSE)-AVERAGE('The List'!AH2:AH671))/STDEV('The List'!AH2:AH671)</f>
        <v>-1.2548938914719048</v>
      </c>
      <c r="V550" s="55"/>
      <c r="W550" s="78"/>
      <c r="X550" s="57"/>
      <c r="Y550" s="57"/>
      <c r="Z550" s="57"/>
      <c r="AA550" s="57"/>
      <c r="AB550" s="57"/>
      <c r="AC550" s="60"/>
      <c r="AD550" s="61"/>
      <c r="AE550" s="55"/>
    </row>
    <row r="551" spans="1:31" ht="21.25" customHeight="1" x14ac:dyDescent="0.15">
      <c r="A551" s="10" t="s">
        <v>486</v>
      </c>
      <c r="B551" s="18" t="str" cm="1">
        <f t="array" ref="B551">VLOOKUP(A551,'Player Data'!A1:B673,2,FALSE)</f>
        <v>L.A</v>
      </c>
      <c r="C551" s="52" cm="1">
        <f t="array" ref="C551">((E551)*Settings!$C$12)+(F551*Settings!$C$2)+(G551*Settings!$C$3)+(H551*Settings!$C$4)+(I551*Settings!$C$5)+(K551*Settings!$C$9)+(N551*Settings!$C$6)+(J551*Settings!$C$8)+(O551*Settings!$C$7)+(P551*Settings!$C$14)+(Q551*Settings!$C$15)+(R551*Settings!$C$16)+(S551*Settings!$C$17)+(T551*Settings!$C$18)+(U551*Settings!$C$19)+(L551*Settings!$C$10)+(Settings!$C$11*M551)</f>
        <v>-3.7932250294028256</v>
      </c>
      <c r="D551" s="57" cm="1">
        <f t="array" ref="D551">IF(Settings!$E$12="YES",VLOOKUP(A551,'Player Data'!A1:E673,5,FALSE),82)</f>
        <v>84.142499999999998</v>
      </c>
      <c r="E551" s="55" cm="1">
        <f t="array" ref="E551">(VLOOKUP($A551,'The List'!$B1:$AH671,17,FALSE)-AVERAGE('The List'!R2:R671))/STDEV('The List'!R2:R671)</f>
        <v>0.2287700027648103</v>
      </c>
      <c r="F551" s="55" cm="1">
        <f t="array" ref="F551">(VLOOKUP($A551,'The List'!$B1:$AH671,18,FALSE)-AVERAGE('The List'!S2:S671))/STDEV('The List'!S2:S671)</f>
        <v>-1.1134360968786308</v>
      </c>
      <c r="G551" s="55" cm="1">
        <f t="array" ref="G551">(VLOOKUP($A551,'The List'!$B1:$AH671,19,FALSE)-AVERAGE('The List'!T2:T671))/STDEV('The List'!T2:T671)</f>
        <v>-0.71071055410846895</v>
      </c>
      <c r="H551" s="55" cm="1">
        <f t="array" ref="H551">(VLOOKUP($A551,'The List'!$B1:$AH671,20,FALSE)-AVERAGE('The List'!U2:U671))/STDEV('The List'!U2:U671)</f>
        <v>-0.94104056246702972</v>
      </c>
      <c r="I551" s="55" cm="1">
        <f t="array" ref="I551">(VLOOKUP($A551,'The List'!$B1:$AH671,21,FALSE)-AVERAGE('The List'!V2:V671))/STDEV('The List'!V2:V671)</f>
        <v>-1.0444121458260118</v>
      </c>
      <c r="J551" s="55" cm="1">
        <f t="array" ref="J551">(VLOOKUP($A551,'The List'!$B1:$AH671,22,FALSE)-AVERAGE('The List'!W2:W671))/STDEV('The List'!W2:W671)</f>
        <v>-0.74986262905402057</v>
      </c>
      <c r="K551" s="55" cm="1">
        <f t="array" ref="K551">(VLOOKUP($A551,'The List'!$B1:$AH671,23,FALSE)-AVERAGE('The List'!X2:X671))/STDEV('The List'!X2:X671)</f>
        <v>-0.81029480090435679</v>
      </c>
      <c r="L551" s="55" cm="1">
        <f t="array" ref="L551">(VLOOKUP($A551,'The List'!$B1:$AH671,24,FALSE)-AVERAGE('The List'!Y2:Y671))/STDEV('The List'!Y2:Y671)</f>
        <v>-0.53466535487704503</v>
      </c>
      <c r="M551" s="55" cm="1">
        <f t="array" ref="M551">(VLOOKUP($A551,'The List'!$B1:$AH671,25,FALSE)-AVERAGE('The List'!Z2:Z671))/STDEV('The List'!Z2:Z671)</f>
        <v>0.24996332766802287</v>
      </c>
      <c r="N551" s="55" cm="1">
        <f t="array" ref="N551">(VLOOKUP($A551,'The List'!$B1:$AH671,26,FALSE)-AVERAGE('The List'!AA2:AA671))/STDEV('The List'!AA2:AA671)</f>
        <v>1.4151724346180148</v>
      </c>
      <c r="O551" s="55" cm="1">
        <f t="array" ref="O551">(VLOOKUP($A551,'The List'!$B1:$AH671,27,FALSE)-AVERAGE('The List'!AB2:AB671))/STDEV('The List'!AB2:AB671)</f>
        <v>-0.53725199943494439</v>
      </c>
      <c r="P551" s="55" cm="1">
        <f t="array" ref="P551">(VLOOKUP($A551,'The List'!$B1:$AH671,28,FALSE)-AVERAGE('The List'!AC2:AC671))/STDEV('The List'!AC2:AC671)</f>
        <v>-0.64375280714032546</v>
      </c>
      <c r="Q551" s="55" cm="1">
        <f t="array" ref="Q551">(VLOOKUP($A551,'The List'!$B1:$AH671,29,FALSE)-AVERAGE('The List'!AD2:AD671))/STDEV('The List'!AD2:AD671)</f>
        <v>-0.88579105916304635</v>
      </c>
      <c r="R551" s="55" cm="1">
        <f t="array" ref="R551">(VLOOKUP($A551,'The List'!$B1:$AH671,30,FALSE)-AVERAGE('The List'!AE2:AE671))/STDEV('The List'!AE2:AE671)</f>
        <v>-1.0786792503978562</v>
      </c>
      <c r="S551" s="55" cm="1">
        <f t="array" ref="S551">(VLOOKUP($A551,'The List'!$B1:$AH671,31,FALSE)-AVERAGE('The List'!AF2:AF671))/STDEV('The List'!AF2:AF671)</f>
        <v>-0.5939690971349143</v>
      </c>
      <c r="T551" s="55" cm="1">
        <f t="array" ref="T551">(VLOOKUP($A551,'The List'!$B1:$AH671,32,FALSE)-AVERAGE('The List'!AG2:AG671))/STDEV('The List'!AG2:AG671)</f>
        <v>-0.64602208138248207</v>
      </c>
      <c r="U551" s="55" cm="1">
        <f t="array" ref="U551">(VLOOKUP($A551,'The List'!$B1:$AH671,33,FALSE)-AVERAGE('The List'!AH2:AH671))/STDEV('The List'!AH2:AH671)</f>
        <v>-1.2548938914719048</v>
      </c>
      <c r="V551" s="55"/>
      <c r="W551" s="57"/>
      <c r="X551" s="55"/>
      <c r="Y551" s="55"/>
      <c r="Z551" s="55"/>
      <c r="AA551" s="55"/>
      <c r="AB551" s="55"/>
      <c r="AC551" s="55"/>
      <c r="AD551" s="55"/>
      <c r="AE551" s="55"/>
    </row>
    <row r="552" spans="1:31" ht="21.25" customHeight="1" x14ac:dyDescent="0.15">
      <c r="A552" s="10" t="s">
        <v>724</v>
      </c>
      <c r="B552" s="18" t="str" cm="1">
        <f t="array" ref="B552">VLOOKUP(A552,'Player Data'!A1:B673,2,FALSE)</f>
        <v>N.J</v>
      </c>
      <c r="C552" s="52" cm="1">
        <f t="array" ref="C552">((E552)*Settings!$C$12)+(F552*Settings!$C$2)+(G552*Settings!$C$3)+(H552*Settings!$C$4)+(I552*Settings!$C$5)+(K552*Settings!$C$9)+(N552*Settings!$C$6)+(J552*Settings!$C$8)+(O552*Settings!$C$7)+(P552*Settings!$C$14)+(Q552*Settings!$C$15)+(R552*Settings!$C$16)+(S552*Settings!$C$17)+(T552*Settings!$C$18)+(U552*Settings!$C$19)+(L552*Settings!$C$10)+(Settings!$C$11*M552)</f>
        <v>-4.3263106078516511</v>
      </c>
      <c r="D552" s="57" cm="1">
        <f t="array" ref="D552">IF(Settings!$E$12="YES",VLOOKUP(A552,'Player Data'!A1:E673,5,FALSE),82)</f>
        <v>77.502499999999998</v>
      </c>
      <c r="E552" s="55" cm="1">
        <f t="array" ref="E552">(VLOOKUP($A552,'The List'!$B1:$AH671,17,FALSE)-AVERAGE('The List'!R2:R671))/STDEV('The List'!R2:R671)</f>
        <v>-1.56297469435085</v>
      </c>
      <c r="F552" s="55" cm="1">
        <f t="array" ref="F552">(VLOOKUP($A552,'The List'!$B1:$AH671,18,FALSE)-AVERAGE('The List'!S2:S671))/STDEV('The List'!S2:S671)</f>
        <v>-0.65103540950668271</v>
      </c>
      <c r="G552" s="55" cm="1">
        <f t="array" ref="G552">(VLOOKUP($A552,'The List'!$B1:$AH671,19,FALSE)-AVERAGE('The List'!T2:T671))/STDEV('The List'!T2:T671)</f>
        <v>-1.1273265008478162</v>
      </c>
      <c r="H552" s="55" cm="1">
        <f t="array" ref="H552">(VLOOKUP($A552,'The List'!$B1:$AH671,20,FALSE)-AVERAGE('The List'!U2:U671))/STDEV('The List'!U2:U671)</f>
        <v>-0.99793266771696565</v>
      </c>
      <c r="I552" s="55" cm="1">
        <f t="array" ref="I552">(VLOOKUP($A552,'The List'!$B1:$AH671,21,FALSE)-AVERAGE('The List'!V2:V671))/STDEV('The List'!V2:V671)</f>
        <v>-0.51315595737032349</v>
      </c>
      <c r="J552" s="55" cm="1">
        <f t="array" ref="J552">(VLOOKUP($A552,'The List'!$B1:$AH671,22,FALSE)-AVERAGE('The List'!W2:W671))/STDEV('The List'!W2:W671)</f>
        <v>-0.7383648858758739</v>
      </c>
      <c r="K552" s="55" cm="1">
        <f t="array" ref="K552">(VLOOKUP($A552,'The List'!$B1:$AH671,23,FALSE)-AVERAGE('The List'!X2:X671))/STDEV('The List'!X2:X671)</f>
        <v>-0.80263184400578547</v>
      </c>
      <c r="L552" s="55" cm="1">
        <f t="array" ref="L552">(VLOOKUP($A552,'The List'!$B1:$AH671,24,FALSE)-AVERAGE('The List'!Y2:Y671))/STDEV('The List'!Y2:Y671)</f>
        <v>0.43174390257094042</v>
      </c>
      <c r="M552" s="55" cm="1">
        <f t="array" ref="M552">(VLOOKUP($A552,'The List'!$B1:$AH671,25,FALSE)-AVERAGE('The List'!Z2:Z671))/STDEV('The List'!Z2:Z671)</f>
        <v>-4.8280156114316485E-2</v>
      </c>
      <c r="N552" s="55" cm="1">
        <f t="array" ref="N552">(VLOOKUP($A552,'The List'!$B1:$AH671,26,FALSE)-AVERAGE('The List'!AA2:AA671))/STDEV('The List'!AA2:AA671)</f>
        <v>-0.6625558067366758</v>
      </c>
      <c r="O552" s="55" cm="1">
        <f t="array" ref="O552">(VLOOKUP($A552,'The List'!$B1:$AH671,27,FALSE)-AVERAGE('The List'!AB2:AB671))/STDEV('The List'!AB2:AB671)</f>
        <v>0.72150942002837037</v>
      </c>
      <c r="P552" s="55" cm="1">
        <f t="array" ref="P552">(VLOOKUP($A552,'The List'!$B1:$AH671,28,FALSE)-AVERAGE('The List'!AC2:AC671))/STDEV('The List'!AC2:AC671)</f>
        <v>-0.25163680925282422</v>
      </c>
      <c r="Q552" s="55" cm="1">
        <f t="array" ref="Q552">(VLOOKUP($A552,'The List'!$B1:$AH671,29,FALSE)-AVERAGE('The List'!AD2:AD671))/STDEV('The List'!AD2:AD671)</f>
        <v>-0.31796828013154294</v>
      </c>
      <c r="R552" s="55" cm="1">
        <f t="array" ref="R552">(VLOOKUP($A552,'The List'!$B1:$AH671,30,FALSE)-AVERAGE('The List'!AE2:AE671))/STDEV('The List'!AE2:AE671)</f>
        <v>-0.66047362727215875</v>
      </c>
      <c r="S552" s="55" cm="1">
        <f t="array" ref="S552">(VLOOKUP($A552,'The List'!$B1:$AH671,31,FALSE)-AVERAGE('The List'!AF2:AF671))/STDEV('The List'!AF2:AF671)</f>
        <v>0.64200214113818699</v>
      </c>
      <c r="T552" s="55" cm="1">
        <f t="array" ref="T552">(VLOOKUP($A552,'The List'!$B1:$AH671,32,FALSE)-AVERAGE('The List'!AG2:AG671))/STDEV('The List'!AG2:AG671)</f>
        <v>0.73274691999787811</v>
      </c>
      <c r="U552" s="55" cm="1">
        <f t="array" ref="U552">(VLOOKUP($A552,'The List'!$B1:$AH671,33,FALSE)-AVERAGE('The List'!AH2:AH671))/STDEV('The List'!AH2:AH671)</f>
        <v>0.99023678859297992</v>
      </c>
      <c r="V552" s="55"/>
      <c r="W552" s="78"/>
      <c r="X552" s="57"/>
      <c r="Y552" s="57"/>
      <c r="Z552" s="57"/>
      <c r="AA552" s="57"/>
      <c r="AB552" s="57"/>
      <c r="AC552" s="60"/>
      <c r="AD552" s="61"/>
      <c r="AE552" s="55"/>
    </row>
    <row r="553" spans="1:31" ht="21.25" customHeight="1" x14ac:dyDescent="0.15">
      <c r="A553" s="10" t="s">
        <v>774</v>
      </c>
      <c r="B553" s="18" t="str" cm="1">
        <f t="array" ref="B553">VLOOKUP(A553,'Player Data'!A1:B673,2,FALSE)</f>
        <v>MIN</v>
      </c>
      <c r="C553" s="52" cm="1">
        <f t="array" ref="C553">((E553)*Settings!$C$12)+(F553*Settings!$C$2)+(G553*Settings!$C$3)+(H553*Settings!$C$4)+(I553*Settings!$C$5)+(K553*Settings!$C$9)+(N553*Settings!$C$6)+(J553*Settings!$C$8)+(O553*Settings!$C$7)+(P553*Settings!$C$14)+(Q553*Settings!$C$15)+(R553*Settings!$C$16)+(S553*Settings!$C$17)+(T553*Settings!$C$18)+(U553*Settings!$C$19)+(L553*Settings!$C$10)+(Settings!$C$11*M553)</f>
        <v>-5.3058163507918392</v>
      </c>
      <c r="D553" s="57" cm="1">
        <f t="array" ref="D553">IF(Settings!$E$12="YES",VLOOKUP(A553,'Player Data'!A1:E673,5,FALSE),82)</f>
        <v>73.522499999999994</v>
      </c>
      <c r="E553" s="55" cm="1">
        <f t="array" ref="E553">(VLOOKUP($A553,'The List'!$B1:$AH671,17,FALSE)-AVERAGE('The List'!R2:R671))/STDEV('The List'!R2:R671)</f>
        <v>-1.6437498343603494</v>
      </c>
      <c r="F553" s="55" cm="1">
        <f t="array" ref="F553">(VLOOKUP($A553,'The List'!$B1:$AH671,18,FALSE)-AVERAGE('The List'!S2:S671))/STDEV('The List'!S2:S671)</f>
        <v>-0.7277508365590073</v>
      </c>
      <c r="G553" s="55" cm="1">
        <f t="array" ref="G553">(VLOOKUP($A553,'The List'!$B1:$AH671,19,FALSE)-AVERAGE('The List'!T2:T671))/STDEV('The List'!T2:T671)</f>
        <v>-1.1269891545441155</v>
      </c>
      <c r="H553" s="55" cm="1">
        <f t="array" ref="H553">(VLOOKUP($A553,'The List'!$B1:$AH671,20,FALSE)-AVERAGE('The List'!U2:U671))/STDEV('The List'!U2:U671)</f>
        <v>-1.0317574448405513</v>
      </c>
      <c r="I553" s="55" cm="1">
        <f t="array" ref="I553">(VLOOKUP($A553,'The List'!$B1:$AH671,21,FALSE)-AVERAGE('The List'!V2:V671))/STDEV('The List'!V2:V671)</f>
        <v>-1.154433055854839</v>
      </c>
      <c r="J553" s="55" cm="1">
        <f t="array" ref="J553">(VLOOKUP($A553,'The List'!$B1:$AH671,22,FALSE)-AVERAGE('The List'!W2:W671))/STDEV('The List'!W2:W671)</f>
        <v>-0.7472330007042558</v>
      </c>
      <c r="K553" s="55" cm="1">
        <f t="array" ref="K553">(VLOOKUP($A553,'The List'!$B1:$AH671,23,FALSE)-AVERAGE('The List'!X2:X671))/STDEV('The List'!X2:X671)</f>
        <v>-0.80961443962101298</v>
      </c>
      <c r="L553" s="55" cm="1">
        <f t="array" ref="L553">(VLOOKUP($A553,'The List'!$B1:$AH671,24,FALSE)-AVERAGE('The List'!Y2:Y671))/STDEV('The List'!Y2:Y671)</f>
        <v>1.3699953619227923</v>
      </c>
      <c r="M553" s="55" cm="1">
        <f t="array" ref="M553">(VLOOKUP($A553,'The List'!$B1:$AH671,25,FALSE)-AVERAGE('The List'!Z2:Z671))/STDEV('The List'!Z2:Z671)</f>
        <v>0.51969902202070584</v>
      </c>
      <c r="N553" s="55" cm="1">
        <f t="array" ref="N553">(VLOOKUP($A553,'The List'!$B1:$AH671,26,FALSE)-AVERAGE('The List'!AA2:AA671))/STDEV('The List'!AA2:AA671)</f>
        <v>-0.77854514173023248</v>
      </c>
      <c r="O553" s="55" cm="1">
        <f t="array" ref="O553">(VLOOKUP($A553,'The List'!$B1:$AH671,27,FALSE)-AVERAGE('The List'!AB2:AB671))/STDEV('The List'!AB2:AB671)</f>
        <v>0.30502795776390279</v>
      </c>
      <c r="P553" s="55" cm="1">
        <f t="array" ref="P553">(VLOOKUP($A553,'The List'!$B1:$AH671,28,FALSE)-AVERAGE('The List'!AC2:AC671))/STDEV('The List'!AC2:AC671)</f>
        <v>0.26502441102843394</v>
      </c>
      <c r="Q553" s="55" cm="1">
        <f t="array" ref="Q553">(VLOOKUP($A553,'The List'!$B1:$AH671,29,FALSE)-AVERAGE('The List'!AD2:AD671))/STDEV('The List'!AD2:AD671)</f>
        <v>-0.9735081335110658</v>
      </c>
      <c r="R553" s="55" cm="1">
        <f t="array" ref="R553">(VLOOKUP($A553,'The List'!$B1:$AH671,30,FALSE)-AVERAGE('The List'!AE2:AE671))/STDEV('The List'!AE2:AE671)</f>
        <v>-0.67817261716047095</v>
      </c>
      <c r="S553" s="55" cm="1">
        <f t="array" ref="S553">(VLOOKUP($A553,'The List'!$B1:$AH671,31,FALSE)-AVERAGE('The List'!AF2:AF671))/STDEV('The List'!AF2:AF671)</f>
        <v>0.97383614452318668</v>
      </c>
      <c r="T553" s="55" cm="1">
        <f t="array" ref="T553">(VLOOKUP($A553,'The List'!$B1:$AH671,32,FALSE)-AVERAGE('The List'!AG2:AG671))/STDEV('The List'!AG2:AG671)</f>
        <v>0.56735407755099199</v>
      </c>
      <c r="U553" s="55" cm="1">
        <f t="array" ref="U553">(VLOOKUP($A553,'The List'!$B1:$AH671,33,FALSE)-AVERAGE('The List'!AH2:AH671))/STDEV('The List'!AH2:AH671)</f>
        <v>1.4073060250781173</v>
      </c>
      <c r="V553" s="55"/>
      <c r="W553" s="57"/>
      <c r="X553" s="55"/>
      <c r="Y553" s="55"/>
      <c r="Z553" s="55"/>
      <c r="AA553" s="55"/>
      <c r="AB553" s="55"/>
      <c r="AC553" s="55"/>
      <c r="AD553" s="55"/>
      <c r="AE553" s="55"/>
    </row>
    <row r="554" spans="1:31" ht="21.25" customHeight="1" x14ac:dyDescent="0.15">
      <c r="A554" s="10" t="s">
        <v>778</v>
      </c>
      <c r="B554" s="18" t="str" cm="1">
        <f t="array" ref="B554">VLOOKUP(A554,'Player Data'!A1:B673,2,FALSE)</f>
        <v>L.A</v>
      </c>
      <c r="C554" s="52" cm="1">
        <f t="array" ref="C554">((E554)*Settings!$C$12)+(F554*Settings!$C$2)+(G554*Settings!$C$3)+(H554*Settings!$C$4)+(I554*Settings!$C$5)+(K554*Settings!$C$9)+(N554*Settings!$C$6)+(J554*Settings!$C$8)+(O554*Settings!$C$7)+(P554*Settings!$C$14)+(Q554*Settings!$C$15)+(R554*Settings!$C$16)+(S554*Settings!$C$17)+(T554*Settings!$C$18)+(U554*Settings!$C$19)+(L554*Settings!$C$10)+(Settings!$C$11*M554)</f>
        <v>-4.914100034797662</v>
      </c>
      <c r="D554" s="57" cm="1">
        <f t="array" ref="D554">IF(Settings!$E$12="YES",VLOOKUP(A554,'Player Data'!A1:E673,5,FALSE),82)</f>
        <v>71.282499999999999</v>
      </c>
      <c r="E554" s="55" cm="1">
        <f t="array" ref="E554">(VLOOKUP($A554,'The List'!$B1:$AH671,17,FALSE)-AVERAGE('The List'!R2:R671))/STDEV('The List'!R2:R671)</f>
        <v>-1.9455454022124063</v>
      </c>
      <c r="F554" s="55" cm="1">
        <f t="array" ref="F554">(VLOOKUP($A554,'The List'!$B1:$AH671,18,FALSE)-AVERAGE('The List'!S2:S671))/STDEV('The List'!S2:S671)</f>
        <v>-0.67422262015236567</v>
      </c>
      <c r="G554" s="55" cm="1">
        <f t="array" ref="G554">(VLOOKUP($A554,'The List'!$B1:$AH671,19,FALSE)-AVERAGE('The List'!T2:T671))/STDEV('The List'!T2:T671)</f>
        <v>-1.1964173668927574</v>
      </c>
      <c r="H554" s="55" cm="1">
        <f t="array" ref="H554">(VLOOKUP($A554,'The List'!$B1:$AH671,20,FALSE)-AVERAGE('The List'!U2:U671))/STDEV('The List'!U2:U671)</f>
        <v>-1.0516781187436874</v>
      </c>
      <c r="I554" s="55" cm="1">
        <f t="array" ref="I554">(VLOOKUP($A554,'The List'!$B1:$AH671,21,FALSE)-AVERAGE('The List'!V2:V671))/STDEV('The List'!V2:V671)</f>
        <v>-1.1803518222156197</v>
      </c>
      <c r="J554" s="55" cm="1">
        <f t="array" ref="J554">(VLOOKUP($A554,'The List'!$B1:$AH671,22,FALSE)-AVERAGE('The List'!W2:W671))/STDEV('The List'!W2:W671)</f>
        <v>-0.74506861271904745</v>
      </c>
      <c r="K554" s="55" cm="1">
        <f t="array" ref="K554">(VLOOKUP($A554,'The List'!$B1:$AH671,23,FALSE)-AVERAGE('The List'!X2:X671))/STDEV('The List'!X2:X671)</f>
        <v>-0.807821673400967</v>
      </c>
      <c r="L554" s="55" cm="1">
        <f t="array" ref="L554">(VLOOKUP($A554,'The List'!$B1:$AH671,24,FALSE)-AVERAGE('The List'!Y2:Y671))/STDEV('The List'!Y2:Y671)</f>
        <v>-0.55394401029891749</v>
      </c>
      <c r="M554" s="55" cm="1">
        <f t="array" ref="M554">(VLOOKUP($A554,'The List'!$B1:$AH671,25,FALSE)-AVERAGE('The List'!Z2:Z671))/STDEV('The List'!Z2:Z671)</f>
        <v>-0.6958924338861564</v>
      </c>
      <c r="N554" s="55" cm="1">
        <f t="array" ref="N554">(VLOOKUP($A554,'The List'!$B1:$AH671,26,FALSE)-AVERAGE('The List'!AA2:AA671))/STDEV('The List'!AA2:AA671)</f>
        <v>-0.91724067471808135</v>
      </c>
      <c r="O554" s="55" cm="1">
        <f t="array" ref="O554">(VLOOKUP($A554,'The List'!$B1:$AH671,27,FALSE)-AVERAGE('The List'!AB2:AB671))/STDEV('The List'!AB2:AB671)</f>
        <v>2.3551151051085251</v>
      </c>
      <c r="P554" s="55" cm="1">
        <f t="array" ref="P554">(VLOOKUP($A554,'The List'!$B1:$AH671,28,FALSE)-AVERAGE('The List'!AC2:AC671))/STDEV('The List'!AC2:AC671)</f>
        <v>-0.33972082882530147</v>
      </c>
      <c r="Q554" s="55" cm="1">
        <f t="array" ref="Q554">(VLOOKUP($A554,'The List'!$B1:$AH671,29,FALSE)-AVERAGE('The List'!AD2:AD671))/STDEV('The List'!AD2:AD671)</f>
        <v>0.20167495140743033</v>
      </c>
      <c r="R554" s="55" cm="1">
        <f t="array" ref="R554">(VLOOKUP($A554,'The List'!$B1:$AH671,30,FALSE)-AVERAGE('The List'!AE2:AE671))/STDEV('The List'!AE2:AE671)</f>
        <v>-0.64511734724695924</v>
      </c>
      <c r="S554" s="55" cm="1">
        <f t="array" ref="S554">(VLOOKUP($A554,'The List'!$B1:$AH671,31,FALSE)-AVERAGE('The List'!AF2:AF671))/STDEV('The List'!AF2:AF671)</f>
        <v>0.29281437908922742</v>
      </c>
      <c r="T554" s="55" cm="1">
        <f t="array" ref="T554">(VLOOKUP($A554,'The List'!$B1:$AH671,32,FALSE)-AVERAGE('The List'!AG2:AG671))/STDEV('The List'!AG2:AG671)</f>
        <v>0.46970744096558625</v>
      </c>
      <c r="U554" s="55" cm="1">
        <f t="array" ref="U554">(VLOOKUP($A554,'The List'!$B1:$AH671,33,FALSE)-AVERAGE('The List'!AH2:AH671))/STDEV('The List'!AH2:AH671)</f>
        <v>0.85238468109140231</v>
      </c>
      <c r="V554" s="55"/>
      <c r="W554" s="78"/>
      <c r="X554" s="57"/>
      <c r="Y554" s="57"/>
      <c r="Z554" s="57"/>
      <c r="AA554" s="57"/>
      <c r="AB554" s="57"/>
      <c r="AC554" s="60"/>
      <c r="AD554" s="61"/>
      <c r="AE554" s="55"/>
    </row>
    <row r="555" spans="1:31" ht="21.25" customHeight="1" x14ac:dyDescent="0.15">
      <c r="A555" s="10" t="s">
        <v>586</v>
      </c>
      <c r="B555" s="18" t="str" cm="1">
        <f t="array" ref="B555">VLOOKUP(A555,'Player Data'!A1:B673,2,FALSE)</f>
        <v>STL</v>
      </c>
      <c r="C555" s="52" cm="1">
        <f t="array" ref="C555">((E555)*Settings!$C$12)+(F555*Settings!$C$2)+(G555*Settings!$C$3)+(H555*Settings!$C$4)+(I555*Settings!$C$5)+(K555*Settings!$C$9)+(N555*Settings!$C$6)+(J555*Settings!$C$8)+(O555*Settings!$C$7)+(P555*Settings!$C$14)+(Q555*Settings!$C$15)+(R555*Settings!$C$16)+(S555*Settings!$C$17)+(T555*Settings!$C$18)+(U555*Settings!$C$19)+(L555*Settings!$C$10)+(Settings!$C$11*M555)</f>
        <v>-2.1025220410363357</v>
      </c>
      <c r="D555" s="57" cm="1">
        <f t="array" ref="D555">IF(Settings!$E$12="YES",VLOOKUP(A555,'Player Data'!A1:E673,5,FALSE),82)</f>
        <v>70.072500000000005</v>
      </c>
      <c r="E555" s="55" cm="1">
        <f t="array" ref="E555">(VLOOKUP($A555,'The List'!$B1:$AH671,17,FALSE)-AVERAGE('The List'!R2:R671))/STDEV('The List'!R2:R671)</f>
        <v>-0.69038813001554467</v>
      </c>
      <c r="F555" s="55" cm="1">
        <f t="array" ref="F555">(VLOOKUP($A555,'The List'!$B1:$AH671,18,FALSE)-AVERAGE('The List'!S2:S671))/STDEV('The List'!S2:S671)</f>
        <v>-1.0487280741834548</v>
      </c>
      <c r="G555" s="55" cm="1">
        <f t="array" ref="G555">(VLOOKUP($A555,'The List'!$B1:$AH671,19,FALSE)-AVERAGE('The List'!T2:T671))/STDEV('The List'!T2:T671)</f>
        <v>-0.95195609399035297</v>
      </c>
      <c r="H555" s="55" cm="1">
        <f t="array" ref="H555">(VLOOKUP($A555,'The List'!$B1:$AH671,20,FALSE)-AVERAGE('The List'!U2:U671))/STDEV('The List'!U2:U671)</f>
        <v>-1.0640731916379551</v>
      </c>
      <c r="I555" s="55" cm="1">
        <f t="array" ref="I555">(VLOOKUP($A555,'The List'!$B1:$AH671,21,FALSE)-AVERAGE('The List'!V2:V671))/STDEV('The List'!V2:V671)</f>
        <v>-1.0879508949937216</v>
      </c>
      <c r="J555" s="55" cm="1">
        <f t="array" ref="J555">(VLOOKUP($A555,'The List'!$B1:$AH671,22,FALSE)-AVERAGE('The List'!W2:W671))/STDEV('The List'!W2:W671)</f>
        <v>-0.74853887484323645</v>
      </c>
      <c r="K555" s="55" cm="1">
        <f t="array" ref="K555">(VLOOKUP($A555,'The List'!$B1:$AH671,23,FALSE)-AVERAGE('The List'!X2:X671))/STDEV('The List'!X2:X671)</f>
        <v>-0.80665218793429749</v>
      </c>
      <c r="L555" s="55" cm="1">
        <f t="array" ref="L555">(VLOOKUP($A555,'The List'!$B1:$AH671,24,FALSE)-AVERAGE('The List'!Y2:Y671))/STDEV('The List'!Y2:Y671)</f>
        <v>-0.5218331429384937</v>
      </c>
      <c r="M555" s="55" cm="1">
        <f t="array" ref="M555">(VLOOKUP($A555,'The List'!$B1:$AH671,25,FALSE)-AVERAGE('The List'!Z2:Z671))/STDEV('The List'!Z2:Z671)</f>
        <v>-0.35786589603014884</v>
      </c>
      <c r="N555" s="55" cm="1">
        <f t="array" ref="N555">(VLOOKUP($A555,'The List'!$B1:$AH671,26,FALSE)-AVERAGE('The List'!AA2:AA671))/STDEV('The List'!AA2:AA671)</f>
        <v>-6.8192706948782614E-2</v>
      </c>
      <c r="O555" s="55" cm="1">
        <f t="array" ref="O555">(VLOOKUP($A555,'The List'!$B1:$AH671,27,FALSE)-AVERAGE('The List'!AB2:AB671))/STDEV('The List'!AB2:AB671)</f>
        <v>0.32315596677961111</v>
      </c>
      <c r="P555" s="55" cm="1">
        <f t="array" ref="P555">(VLOOKUP($A555,'The List'!$B1:$AH671,28,FALSE)-AVERAGE('The List'!AC2:AC671))/STDEV('The List'!AC2:AC671)</f>
        <v>-0.53401847915271261</v>
      </c>
      <c r="Q555" s="55" cm="1">
        <f t="array" ref="Q555">(VLOOKUP($A555,'The List'!$B1:$AH671,29,FALSE)-AVERAGE('The List'!AD2:AD671))/STDEV('The List'!AD2:AD671)</f>
        <v>2.3949763961669861</v>
      </c>
      <c r="R555" s="55" cm="1">
        <f t="array" ref="R555">(VLOOKUP($A555,'The List'!$B1:$AH671,30,FALSE)-AVERAGE('The List'!AE2:AE671))/STDEV('The List'!AE2:AE671)</f>
        <v>-1.0425578641718591</v>
      </c>
      <c r="S555" s="55" cm="1">
        <f t="array" ref="S555">(VLOOKUP($A555,'The List'!$B1:$AH671,31,FALSE)-AVERAGE('The List'!AF2:AF671))/STDEV('The List'!AF2:AF671)</f>
        <v>-0.5939690971349143</v>
      </c>
      <c r="T555" s="55" cm="1">
        <f t="array" ref="T555">(VLOOKUP($A555,'The List'!$B1:$AH671,32,FALSE)-AVERAGE('The List'!AG2:AG671))/STDEV('The List'!AG2:AG671)</f>
        <v>-0.64602208138248207</v>
      </c>
      <c r="U555" s="55" cm="1">
        <f t="array" ref="U555">(VLOOKUP($A555,'The List'!$B1:$AH671,33,FALSE)-AVERAGE('The List'!AH2:AH671))/STDEV('The List'!AH2:AH671)</f>
        <v>-1.2548938914719048</v>
      </c>
      <c r="V555" s="55"/>
      <c r="W555" s="78"/>
      <c r="X555" s="57"/>
      <c r="Y555" s="57"/>
      <c r="Z555" s="57"/>
      <c r="AA555" s="57"/>
      <c r="AB555" s="57"/>
      <c r="AC555" s="60"/>
      <c r="AD555" s="61"/>
      <c r="AE555" s="55"/>
    </row>
    <row r="556" spans="1:31" ht="21.25" customHeight="1" x14ac:dyDescent="0.15">
      <c r="A556" s="10" t="s">
        <v>459</v>
      </c>
      <c r="B556" s="18" t="str" cm="1">
        <f t="array" ref="B556">VLOOKUP(A556,'Player Data'!A1:B673,2,FALSE)</f>
        <v>COL</v>
      </c>
      <c r="C556" s="52" cm="1">
        <f t="array" ref="C556">((E556)*Settings!$C$12)+(F556*Settings!$C$2)+(G556*Settings!$C$3)+(H556*Settings!$C$4)+(I556*Settings!$C$5)+(K556*Settings!$C$9)+(N556*Settings!$C$6)+(J556*Settings!$C$8)+(O556*Settings!$C$7)+(P556*Settings!$C$14)+(Q556*Settings!$C$15)+(R556*Settings!$C$16)+(S556*Settings!$C$17)+(T556*Settings!$C$18)+(U556*Settings!$C$19)+(L556*Settings!$C$10)+(Settings!$C$11*M556)</f>
        <v>-1.1933309303735684</v>
      </c>
      <c r="D556" s="57" cm="1">
        <f t="array" ref="D556">IF(Settings!$E$12="YES",VLOOKUP(A556,'Player Data'!A1:E673,5,FALSE),82)</f>
        <v>84.207499999999996</v>
      </c>
      <c r="E556" s="55" cm="1">
        <f t="array" ref="E556">(VLOOKUP($A556,'The List'!$B1:$AH671,17,FALSE)-AVERAGE('The List'!R2:R671))/STDEV('The List'!R2:R671)</f>
        <v>0.52962795594668599</v>
      </c>
      <c r="F556" s="55" cm="1">
        <f t="array" ref="F556">(VLOOKUP($A556,'The List'!$B1:$AH671,18,FALSE)-AVERAGE('The List'!S2:S671))/STDEV('The List'!S2:S671)</f>
        <v>-1.1546013256872583</v>
      </c>
      <c r="G556" s="55" cm="1">
        <f t="array" ref="G556">(VLOOKUP($A556,'The List'!$B1:$AH671,19,FALSE)-AVERAGE('The List'!T2:T671))/STDEV('The List'!T2:T671)</f>
        <v>-0.69232514035299142</v>
      </c>
      <c r="H556" s="55" cm="1">
        <f t="array" ref="H556">(VLOOKUP($A556,'The List'!$B1:$AH671,20,FALSE)-AVERAGE('The List'!U2:U671))/STDEV('The List'!U2:U671)</f>
        <v>-0.94774035080007646</v>
      </c>
      <c r="I556" s="55" cm="1">
        <f t="array" ref="I556">(VLOOKUP($A556,'The List'!$B1:$AH671,21,FALSE)-AVERAGE('The List'!V2:V671))/STDEV('The List'!V2:V671)</f>
        <v>-0.5275204464469343</v>
      </c>
      <c r="J556" s="55" cm="1">
        <f t="array" ref="J556">(VLOOKUP($A556,'The List'!$B1:$AH671,22,FALSE)-AVERAGE('The List'!W2:W671))/STDEV('The List'!W2:W671)</f>
        <v>-0.74620111316699045</v>
      </c>
      <c r="K556" s="55" cm="1">
        <f t="array" ref="K556">(VLOOKUP($A556,'The List'!$B1:$AH671,23,FALSE)-AVERAGE('The List'!X2:X671))/STDEV('The List'!X2:X671)</f>
        <v>-0.78622796418287622</v>
      </c>
      <c r="L556" s="55" cm="1">
        <f t="array" ref="L556">(VLOOKUP($A556,'The List'!$B1:$AH671,24,FALSE)-AVERAGE('The List'!Y2:Y671))/STDEV('The List'!Y2:Y671)</f>
        <v>-0.54498685709910855</v>
      </c>
      <c r="M556" s="55" cm="1">
        <f t="array" ref="M556">(VLOOKUP($A556,'The List'!$B1:$AH671,25,FALSE)-AVERAGE('The List'!Z2:Z671))/STDEV('The List'!Z2:Z671)</f>
        <v>-0.64093379080288426</v>
      </c>
      <c r="N556" s="55" cm="1">
        <f t="array" ref="N556">(VLOOKUP($A556,'The List'!$B1:$AH671,26,FALSE)-AVERAGE('The List'!AA2:AA671))/STDEV('The List'!AA2:AA671)</f>
        <v>1.1839021309556215</v>
      </c>
      <c r="O556" s="55" cm="1">
        <f t="array" ref="O556">(VLOOKUP($A556,'The List'!$B1:$AH671,27,FALSE)-AVERAGE('The List'!AB2:AB671))/STDEV('The List'!AB2:AB671)</f>
        <v>-1.0109544972703908</v>
      </c>
      <c r="P556" s="55" cm="1">
        <f t="array" ref="P556">(VLOOKUP($A556,'The List'!$B1:$AH671,28,FALSE)-AVERAGE('The List'!AC2:AC671))/STDEV('The List'!AC2:AC671)</f>
        <v>0.76245512097390178</v>
      </c>
      <c r="Q556" s="55" cm="1">
        <f t="array" ref="Q556">(VLOOKUP($A556,'The List'!$B1:$AH671,29,FALSE)-AVERAGE('The List'!AD2:AD671))/STDEV('The List'!AD2:AD671)</f>
        <v>2.0986694366968522E-2</v>
      </c>
      <c r="R556" s="55" cm="1">
        <f t="array" ref="R556">(VLOOKUP($A556,'The List'!$B1:$AH671,30,FALSE)-AVERAGE('The List'!AE2:AE671))/STDEV('The List'!AE2:AE671)</f>
        <v>-1.0888304331992114</v>
      </c>
      <c r="S556" s="55" cm="1">
        <f t="array" ref="S556">(VLOOKUP($A556,'The List'!$B1:$AH671,31,FALSE)-AVERAGE('The List'!AF2:AF671))/STDEV('The List'!AF2:AF671)</f>
        <v>-0.5939690971349143</v>
      </c>
      <c r="T556" s="55" cm="1">
        <f t="array" ref="T556">(VLOOKUP($A556,'The List'!$B1:$AH671,32,FALSE)-AVERAGE('The List'!AG2:AG671))/STDEV('The List'!AG2:AG671)</f>
        <v>-0.64602208138248207</v>
      </c>
      <c r="U556" s="55" cm="1">
        <f t="array" ref="U556">(VLOOKUP($A556,'The List'!$B1:$AH671,33,FALSE)-AVERAGE('The List'!AH2:AH671))/STDEV('The List'!AH2:AH671)</f>
        <v>-1.2548938914719048</v>
      </c>
      <c r="V556" s="55"/>
      <c r="W556" s="57"/>
      <c r="X556" s="55"/>
      <c r="Y556" s="55"/>
      <c r="Z556" s="55"/>
      <c r="AA556" s="55"/>
      <c r="AB556" s="55"/>
      <c r="AC556" s="55"/>
      <c r="AD556" s="55"/>
      <c r="AE556" s="55"/>
    </row>
    <row r="557" spans="1:31" ht="21.25" customHeight="1" x14ac:dyDescent="0.15">
      <c r="A557" s="10" t="s">
        <v>589</v>
      </c>
      <c r="B557" s="18" t="str" cm="1">
        <f t="array" ref="B557">VLOOKUP(A557,'Player Data'!A1:B673,2,FALSE)</f>
        <v>N.J</v>
      </c>
      <c r="C557" s="52" cm="1">
        <f t="array" ref="C557">((E557)*Settings!$C$12)+(F557*Settings!$C$2)+(G557*Settings!$C$3)+(H557*Settings!$C$4)+(I557*Settings!$C$5)+(K557*Settings!$C$9)+(N557*Settings!$C$6)+(J557*Settings!$C$8)+(O557*Settings!$C$7)+(P557*Settings!$C$14)+(Q557*Settings!$C$15)+(R557*Settings!$C$16)+(S557*Settings!$C$17)+(T557*Settings!$C$18)+(U557*Settings!$C$19)+(L557*Settings!$C$10)+(Settings!$C$11*M557)</f>
        <v>-5.2693291855264333</v>
      </c>
      <c r="D557" s="57" cm="1">
        <f t="array" ref="D557">IF(Settings!$E$12="YES",VLOOKUP(A557,'Player Data'!A1:E673,5,FALSE),82)</f>
        <v>66.790000000000006</v>
      </c>
      <c r="E557" s="55" cm="1">
        <f t="array" ref="E557">(VLOOKUP($A557,'The List'!$B1:$AH671,17,FALSE)-AVERAGE('The List'!R2:R671))/STDEV('The List'!R2:R671)</f>
        <v>-0.39850456858529443</v>
      </c>
      <c r="F557" s="55" cm="1">
        <f t="array" ref="F557">(VLOOKUP($A557,'The List'!$B1:$AH671,18,FALSE)-AVERAGE('The List'!S2:S671))/STDEV('The List'!S2:S671)</f>
        <v>-1.1707218948880924</v>
      </c>
      <c r="G557" s="55" cm="1">
        <f t="array" ref="G557">(VLOOKUP($A557,'The List'!$B1:$AH671,19,FALSE)-AVERAGE('The List'!T2:T671))/STDEV('The List'!T2:T671)</f>
        <v>-0.91751569411606482</v>
      </c>
      <c r="H557" s="55" cm="1">
        <f t="array" ref="H557">(VLOOKUP($A557,'The List'!$B1:$AH671,20,FALSE)-AVERAGE('The List'!U2:U671))/STDEV('The List'!U2:U671)</f>
        <v>-1.0965363663789922</v>
      </c>
      <c r="I557" s="55" cm="1">
        <f t="array" ref="I557">(VLOOKUP($A557,'The List'!$B1:$AH671,21,FALSE)-AVERAGE('The List'!V2:V671))/STDEV('The List'!V2:V671)</f>
        <v>-1.1893911915219055</v>
      </c>
      <c r="J557" s="55" cm="1">
        <f t="array" ref="J557">(VLOOKUP($A557,'The List'!$B1:$AH671,22,FALSE)-AVERAGE('The List'!W2:W671))/STDEV('The List'!W2:W671)</f>
        <v>-0.73832659966025904</v>
      </c>
      <c r="K557" s="55" cm="1">
        <f t="array" ref="K557">(VLOOKUP($A557,'The List'!$B1:$AH671,23,FALSE)-AVERAGE('The List'!X2:X671))/STDEV('The List'!X2:X671)</f>
        <v>-0.7995991352084848</v>
      </c>
      <c r="L557" s="55" cm="1">
        <f t="array" ref="L557">(VLOOKUP($A557,'The List'!$B1:$AH671,24,FALSE)-AVERAGE('The List'!Y2:Y671))/STDEV('The List'!Y2:Y671)</f>
        <v>-0.5464683479423228</v>
      </c>
      <c r="M557" s="55" cm="1">
        <f t="array" ref="M557">(VLOOKUP($A557,'The List'!$B1:$AH671,25,FALSE)-AVERAGE('The List'!Z2:Z671))/STDEV('The List'!Z2:Z671)</f>
        <v>-0.66642170679740409</v>
      </c>
      <c r="N557" s="55" cm="1">
        <f t="array" ref="N557">(VLOOKUP($A557,'The List'!$B1:$AH671,26,FALSE)-AVERAGE('The List'!AA2:AA671))/STDEV('The List'!AA2:AA671)</f>
        <v>0.17595172470536699</v>
      </c>
      <c r="O557" s="55" cm="1">
        <f t="array" ref="O557">(VLOOKUP($A557,'The List'!$B1:$AH671,27,FALSE)-AVERAGE('The List'!AB2:AB671))/STDEV('The List'!AB2:AB671)</f>
        <v>-0.78059890546194355</v>
      </c>
      <c r="P557" s="55" cm="1">
        <f t="array" ref="P557">(VLOOKUP($A557,'The List'!$B1:$AH671,28,FALSE)-AVERAGE('The List'!AC2:AC671))/STDEV('The List'!AC2:AC671)</f>
        <v>-0.19659012130114434</v>
      </c>
      <c r="Q557" s="55" cm="1">
        <f t="array" ref="Q557">(VLOOKUP($A557,'The List'!$B1:$AH671,29,FALSE)-AVERAGE('The List'!AD2:AD671))/STDEV('The List'!AD2:AD671)</f>
        <v>-1.1714628731961085</v>
      </c>
      <c r="R557" s="55" cm="1">
        <f t="array" ref="R557">(VLOOKUP($A557,'The List'!$B1:$AH671,30,FALSE)-AVERAGE('The List'!AE2:AE671))/STDEV('The List'!AE2:AE671)</f>
        <v>-1.145874096156442</v>
      </c>
      <c r="S557" s="55" cm="1">
        <f t="array" ref="S557">(VLOOKUP($A557,'The List'!$B1:$AH671,31,FALSE)-AVERAGE('The List'!AF2:AF671))/STDEV('The List'!AF2:AF671)</f>
        <v>-0.5939690971349143</v>
      </c>
      <c r="T557" s="55" cm="1">
        <f t="array" ref="T557">(VLOOKUP($A557,'The List'!$B1:$AH671,32,FALSE)-AVERAGE('The List'!AG2:AG671))/STDEV('The List'!AG2:AG671)</f>
        <v>-0.64602208138248207</v>
      </c>
      <c r="U557" s="55" cm="1">
        <f t="array" ref="U557">(VLOOKUP($A557,'The List'!$B1:$AH671,33,FALSE)-AVERAGE('The List'!AH2:AH671))/STDEV('The List'!AH2:AH671)</f>
        <v>-1.2548938914719048</v>
      </c>
      <c r="V557" s="55"/>
      <c r="W557" s="57"/>
      <c r="X557" s="55"/>
      <c r="Y557" s="55"/>
      <c r="Z557" s="55"/>
      <c r="AA557" s="55"/>
      <c r="AB557" s="55"/>
      <c r="AC557" s="55"/>
      <c r="AD557" s="55"/>
      <c r="AE557" s="55"/>
    </row>
    <row r="558" spans="1:31" ht="21.25" customHeight="1" x14ac:dyDescent="0.15">
      <c r="A558" s="10" t="s">
        <v>414</v>
      </c>
      <c r="B558" s="18" t="str" cm="1">
        <f t="array" ref="B558">VLOOKUP(A558,'Player Data'!A1:B673,2,FALSE)</f>
        <v>VAN</v>
      </c>
      <c r="C558" s="52" cm="1">
        <f t="array" ref="C558">((E558)*Settings!$C$12)+(F558*Settings!$C$2)+(G558*Settings!$C$3)+(H558*Settings!$C$4)+(I558*Settings!$C$5)+(K558*Settings!$C$9)+(N558*Settings!$C$6)+(J558*Settings!$C$8)+(O558*Settings!$C$7)+(P558*Settings!$C$14)+(Q558*Settings!$C$15)+(R558*Settings!$C$16)+(S558*Settings!$C$17)+(T558*Settings!$C$18)+(U558*Settings!$C$19)+(L558*Settings!$C$10)+(Settings!$C$11*M558)</f>
        <v>-2.732817916178897</v>
      </c>
      <c r="D558" s="57" cm="1">
        <f t="array" ref="D558">IF(Settings!$E$12="YES",VLOOKUP(A558,'Player Data'!A1:E673,5,FALSE),82)</f>
        <v>83.32</v>
      </c>
      <c r="E558" s="55" cm="1">
        <f t="array" ref="E558">(VLOOKUP($A558,'The List'!$B1:$AH671,17,FALSE)-AVERAGE('The List'!R2:R671))/STDEV('The List'!R2:R671)</f>
        <v>1.0691830572559156</v>
      </c>
      <c r="F558" s="55" cm="1">
        <f t="array" ref="F558">(VLOOKUP($A558,'The List'!$B1:$AH671,18,FALSE)-AVERAGE('The List'!S2:S671))/STDEV('The List'!S2:S671)</f>
        <v>-1.1250792861031012</v>
      </c>
      <c r="G558" s="55" cm="1">
        <f t="array" ref="G558">(VLOOKUP($A558,'The List'!$B1:$AH671,19,FALSE)-AVERAGE('The List'!T2:T671))/STDEV('The List'!T2:T671)</f>
        <v>-0.73039436197005803</v>
      </c>
      <c r="H558" s="55" cm="1">
        <f t="array" ref="H558">(VLOOKUP($A558,'The List'!$B1:$AH671,20,FALSE)-AVERAGE('The List'!U2:U671))/STDEV('The List'!U2:U671)</f>
        <v>-0.95858740349640803</v>
      </c>
      <c r="I558" s="55" cm="1">
        <f t="array" ref="I558">(VLOOKUP($A558,'The List'!$B1:$AH671,21,FALSE)-AVERAGE('The List'!V2:V671))/STDEV('The List'!V2:V671)</f>
        <v>-0.74538192627659949</v>
      </c>
      <c r="J558" s="55" cm="1">
        <f t="array" ref="J558">(VLOOKUP($A558,'The List'!$B1:$AH671,22,FALSE)-AVERAGE('The List'!W2:W671))/STDEV('The List'!W2:W671)</f>
        <v>-0.74996292149908139</v>
      </c>
      <c r="K558" s="55" cm="1">
        <f t="array" ref="K558">(VLOOKUP($A558,'The List'!$B1:$AH671,23,FALSE)-AVERAGE('The List'!X2:X671))/STDEV('The List'!X2:X671)</f>
        <v>-0.80997828583408438</v>
      </c>
      <c r="L558" s="55" cm="1">
        <f t="array" ref="L558">(VLOOKUP($A558,'The List'!$B1:$AH671,24,FALSE)-AVERAGE('The List'!Y2:Y671))/STDEV('The List'!Y2:Y671)</f>
        <v>-0.5431790878500391</v>
      </c>
      <c r="M558" s="55" cm="1">
        <f t="array" ref="M558">(VLOOKUP($A558,'The List'!$B1:$AH671,25,FALSE)-AVERAGE('The List'!Z2:Z671))/STDEV('The List'!Z2:Z671)</f>
        <v>-0.43703121732786049</v>
      </c>
      <c r="N558" s="55" cm="1">
        <f t="array" ref="N558">(VLOOKUP($A558,'The List'!$B1:$AH671,26,FALSE)-AVERAGE('The List'!AA2:AA671))/STDEV('The List'!AA2:AA671)</f>
        <v>2.25931908822362</v>
      </c>
      <c r="O558" s="55" cm="1">
        <f t="array" ref="O558">(VLOOKUP($A558,'The List'!$B1:$AH671,27,FALSE)-AVERAGE('The List'!AB2:AB671))/STDEV('The List'!AB2:AB671)</f>
        <v>0.63973167041130552</v>
      </c>
      <c r="P558" s="55" cm="1">
        <f t="array" ref="P558">(VLOOKUP($A558,'The List'!$B1:$AH671,28,FALSE)-AVERAGE('The List'!AC2:AC671))/STDEV('The List'!AC2:AC671)</f>
        <v>-2.131204589450471</v>
      </c>
      <c r="Q558" s="55" cm="1">
        <f t="array" ref="Q558">(VLOOKUP($A558,'The List'!$B1:$AH671,29,FALSE)-AVERAGE('The List'!AD2:AD671))/STDEV('The List'!AD2:AD671)</f>
        <v>0.54990144523179707</v>
      </c>
      <c r="R558" s="55" cm="1">
        <f t="array" ref="R558">(VLOOKUP($A558,'The List'!$B1:$AH671,30,FALSE)-AVERAGE('The List'!AE2:AE671))/STDEV('The List'!AE2:AE671)</f>
        <v>-1.1425349736930377</v>
      </c>
      <c r="S558" s="55" cm="1">
        <f t="array" ref="S558">(VLOOKUP($A558,'The List'!$B1:$AH671,31,FALSE)-AVERAGE('The List'!AF2:AF671))/STDEV('The List'!AF2:AF671)</f>
        <v>-0.5939690971349143</v>
      </c>
      <c r="T558" s="55" cm="1">
        <f t="array" ref="T558">(VLOOKUP($A558,'The List'!$B1:$AH671,32,FALSE)-AVERAGE('The List'!AG2:AG671))/STDEV('The List'!AG2:AG671)</f>
        <v>-0.64602208138248207</v>
      </c>
      <c r="U558" s="55" cm="1">
        <f t="array" ref="U558">(VLOOKUP($A558,'The List'!$B1:$AH671,33,FALSE)-AVERAGE('The List'!AH2:AH671))/STDEV('The List'!AH2:AH671)</f>
        <v>-1.2548938914719048</v>
      </c>
      <c r="V558" s="55"/>
      <c r="W558" s="57"/>
      <c r="X558" s="55"/>
      <c r="Y558" s="55"/>
      <c r="Z558" s="55"/>
      <c r="AA558" s="55"/>
      <c r="AB558" s="55"/>
      <c r="AC558" s="55"/>
      <c r="AD558" s="55"/>
      <c r="AE558" s="55"/>
    </row>
    <row r="559" spans="1:31" ht="21.25" customHeight="1" x14ac:dyDescent="0.15">
      <c r="A559" s="10" t="s">
        <v>565</v>
      </c>
      <c r="B559" s="18" t="str" cm="1">
        <f t="array" ref="B559">VLOOKUP(A559,'Player Data'!A1:B673,2,FALSE)</f>
        <v>NSH</v>
      </c>
      <c r="C559" s="52" cm="1">
        <f t="array" ref="C559">((E559)*Settings!$C$12)+(F559*Settings!$C$2)+(G559*Settings!$C$3)+(H559*Settings!$C$4)+(I559*Settings!$C$5)+(K559*Settings!$C$9)+(N559*Settings!$C$6)+(J559*Settings!$C$8)+(O559*Settings!$C$7)+(P559*Settings!$C$14)+(Q559*Settings!$C$15)+(R559*Settings!$C$16)+(S559*Settings!$C$17)+(T559*Settings!$C$18)+(U559*Settings!$C$19)+(L559*Settings!$C$10)+(Settings!$C$11*M559)</f>
        <v>-4.8542342522438284</v>
      </c>
      <c r="D559" s="57" cm="1">
        <f t="array" ref="D559">IF(Settings!$E$12="YES",VLOOKUP(A559,'Player Data'!A1:E673,5,FALSE),82)</f>
        <v>72.555000000000007</v>
      </c>
      <c r="E559" s="55" cm="1">
        <f t="array" ref="E559">(VLOOKUP($A559,'The List'!$B1:$AH671,17,FALSE)-AVERAGE('The List'!R2:R671))/STDEV('The List'!R2:R671)</f>
        <v>-0.58498835540539074</v>
      </c>
      <c r="F559" s="55" cm="1">
        <f t="array" ref="F559">(VLOOKUP($A559,'The List'!$B1:$AH671,18,FALSE)-AVERAGE('The List'!S2:S671))/STDEV('The List'!S2:S671)</f>
        <v>-0.99857124322195934</v>
      </c>
      <c r="G559" s="55" cm="1">
        <f t="array" ref="G559">(VLOOKUP($A559,'The List'!$B1:$AH671,19,FALSE)-AVERAGE('The List'!T2:T671))/STDEV('The List'!T2:T671)</f>
        <v>-0.97028700023174397</v>
      </c>
      <c r="H559" s="55" cm="1">
        <f t="array" ref="H559">(VLOOKUP($A559,'The List'!$B1:$AH671,20,FALSE)-AVERAGE('The List'!U2:U671))/STDEV('The List'!U2:U671)</f>
        <v>-1.0533497400882099</v>
      </c>
      <c r="I559" s="55" cm="1">
        <f t="array" ref="I559">(VLOOKUP($A559,'The List'!$B1:$AH671,21,FALSE)-AVERAGE('The List'!V2:V671))/STDEV('The List'!V2:V671)</f>
        <v>-1.1800344130562255</v>
      </c>
      <c r="J559" s="55" cm="1">
        <f t="array" ref="J559">(VLOOKUP($A559,'The List'!$B1:$AH671,22,FALSE)-AVERAGE('The List'!W2:W671))/STDEV('The List'!W2:W671)</f>
        <v>-0.71473354734853922</v>
      </c>
      <c r="K559" s="55" cm="1">
        <f t="array" ref="K559">(VLOOKUP($A559,'The List'!$B1:$AH671,23,FALSE)-AVERAGE('The List'!X2:X671))/STDEV('The List'!X2:X671)</f>
        <v>-0.76559678147197141</v>
      </c>
      <c r="L559" s="55" cm="1">
        <f t="array" ref="L559">(VLOOKUP($A559,'The List'!$B1:$AH671,24,FALSE)-AVERAGE('The List'!Y2:Y671))/STDEV('The List'!Y2:Y671)</f>
        <v>-0.51894819615601107</v>
      </c>
      <c r="M559" s="55" cm="1">
        <f t="array" ref="M559">(VLOOKUP($A559,'The List'!$B1:$AH671,25,FALSE)-AVERAGE('The List'!Z2:Z671))/STDEV('The List'!Z2:Z671)</f>
        <v>-0.61104553593136723</v>
      </c>
      <c r="N559" s="55" cm="1">
        <f t="array" ref="N559">(VLOOKUP($A559,'The List'!$B1:$AH671,26,FALSE)-AVERAGE('The List'!AA2:AA671))/STDEV('The List'!AA2:AA671)</f>
        <v>0.44624107755465403</v>
      </c>
      <c r="O559" s="55" cm="1">
        <f t="array" ref="O559">(VLOOKUP($A559,'The List'!$B1:$AH671,27,FALSE)-AVERAGE('The List'!AB2:AB671))/STDEV('The List'!AB2:AB671)</f>
        <v>-0.32914506927066001</v>
      </c>
      <c r="P559" s="55" cm="1">
        <f t="array" ref="P559">(VLOOKUP($A559,'The List'!$B1:$AH671,28,FALSE)-AVERAGE('The List'!AC2:AC671))/STDEV('The List'!AC2:AC671)</f>
        <v>-0.74250899314273233</v>
      </c>
      <c r="Q559" s="55" cm="1">
        <f t="array" ref="Q559">(VLOOKUP($A559,'The List'!$B1:$AH671,29,FALSE)-AVERAGE('The List'!AD2:AD671))/STDEV('The List'!AD2:AD671)</f>
        <v>-0.64347689867384983</v>
      </c>
      <c r="R559" s="55" cm="1">
        <f t="array" ref="R559">(VLOOKUP($A559,'The List'!$B1:$AH671,30,FALSE)-AVERAGE('The List'!AE2:AE671))/STDEV('The List'!AE2:AE671)</f>
        <v>-1.0105568560016558</v>
      </c>
      <c r="S559" s="55" cm="1">
        <f t="array" ref="S559">(VLOOKUP($A559,'The List'!$B1:$AH671,31,FALSE)-AVERAGE('The List'!AF2:AF671))/STDEV('The List'!AF2:AF671)</f>
        <v>-0.5939690971349143</v>
      </c>
      <c r="T559" s="55" cm="1">
        <f t="array" ref="T559">(VLOOKUP($A559,'The List'!$B1:$AH671,32,FALSE)-AVERAGE('The List'!AG2:AG671))/STDEV('The List'!AG2:AG671)</f>
        <v>-0.64602208138248207</v>
      </c>
      <c r="U559" s="55" cm="1">
        <f t="array" ref="U559">(VLOOKUP($A559,'The List'!$B1:$AH671,33,FALSE)-AVERAGE('The List'!AH2:AH671))/STDEV('The List'!AH2:AH671)</f>
        <v>-1.2548938914719048</v>
      </c>
      <c r="V559" s="55"/>
      <c r="W559" s="78"/>
      <c r="X559" s="57"/>
      <c r="Y559" s="57"/>
      <c r="Z559" s="57"/>
      <c r="AA559" s="57"/>
      <c r="AB559" s="57"/>
      <c r="AC559" s="60"/>
      <c r="AD559" s="61"/>
      <c r="AE559" s="55"/>
    </row>
    <row r="560" spans="1:31" ht="21.25" customHeight="1" x14ac:dyDescent="0.15">
      <c r="A560" s="10" t="s">
        <v>728</v>
      </c>
      <c r="B560" s="18" t="str" cm="1">
        <f t="array" ref="B560">VLOOKUP(A560,'Player Data'!A1:B673,2,FALSE)</f>
        <v>BUF</v>
      </c>
      <c r="C560" s="52" cm="1">
        <f t="array" ref="C560">((E560)*Settings!$C$12)+(F560*Settings!$C$2)+(G560*Settings!$C$3)+(H560*Settings!$C$4)+(I560*Settings!$C$5)+(K560*Settings!$C$9)+(N560*Settings!$C$6)+(J560*Settings!$C$8)+(O560*Settings!$C$7)+(P560*Settings!$C$14)+(Q560*Settings!$C$15)+(R560*Settings!$C$16)+(S560*Settings!$C$17)+(T560*Settings!$C$18)+(U560*Settings!$C$19)+(L560*Settings!$C$10)+(Settings!$C$11*M560)</f>
        <v>-1.9889597170785533</v>
      </c>
      <c r="D560" s="57" cm="1">
        <f t="array" ref="D560">IF(Settings!$E$12="YES",VLOOKUP(A560,'Player Data'!A1:E673,5,FALSE),82)</f>
        <v>81.657499999999999</v>
      </c>
      <c r="E560" s="55" cm="1">
        <f t="array" ref="E560">(VLOOKUP($A560,'The List'!$B1:$AH671,17,FALSE)-AVERAGE('The List'!R2:R671))/STDEV('The List'!R2:R671)</f>
        <v>-1.4931305106987367</v>
      </c>
      <c r="F560" s="55" cm="1">
        <f t="array" ref="F560">(VLOOKUP($A560,'The List'!$B1:$AH671,18,FALSE)-AVERAGE('The List'!S2:S671))/STDEV('The List'!S2:S671)</f>
        <v>-0.69643395906299255</v>
      </c>
      <c r="G560" s="55" cm="1">
        <f t="array" ref="G560">(VLOOKUP($A560,'The List'!$B1:$AH671,19,FALSE)-AVERAGE('The List'!T2:T671))/STDEV('The List'!T2:T671)</f>
        <v>-1.0647482724095907</v>
      </c>
      <c r="H560" s="55" cm="1">
        <f t="array" ref="H560">(VLOOKUP($A560,'The List'!$B1:$AH671,20,FALSE)-AVERAGE('The List'!U2:U671))/STDEV('The List'!U2:U671)</f>
        <v>-0.97871364120315418</v>
      </c>
      <c r="I560" s="55" cm="1">
        <f t="array" ref="I560">(VLOOKUP($A560,'The List'!$B1:$AH671,21,FALSE)-AVERAGE('The List'!V2:V671))/STDEV('The List'!V2:V671)</f>
        <v>-0.75914208915121206</v>
      </c>
      <c r="J560" s="55" cm="1">
        <f t="array" ref="J560">(VLOOKUP($A560,'The List'!$B1:$AH671,22,FALSE)-AVERAGE('The List'!W2:W671))/STDEV('The List'!W2:W671)</f>
        <v>-0.74640997506549411</v>
      </c>
      <c r="K560" s="55" cm="1">
        <f t="array" ref="K560">(VLOOKUP($A560,'The List'!$B1:$AH671,23,FALSE)-AVERAGE('The List'!X2:X671))/STDEV('The List'!X2:X671)</f>
        <v>-0.80942741693333153</v>
      </c>
      <c r="L560" s="55" cm="1">
        <f t="array" ref="L560">(VLOOKUP($A560,'The List'!$B1:$AH671,24,FALSE)-AVERAGE('The List'!Y2:Y671))/STDEV('The List'!Y2:Y671)</f>
        <v>0.8592782248652836</v>
      </c>
      <c r="M560" s="55" cm="1">
        <f t="array" ref="M560">(VLOOKUP($A560,'The List'!$B1:$AH671,25,FALSE)-AVERAGE('The List'!Z2:Z671))/STDEV('The List'!Z2:Z671)</f>
        <v>1.5675563150325507</v>
      </c>
      <c r="N560" s="55" cm="1">
        <f t="array" ref="N560">(VLOOKUP($A560,'The List'!$B1:$AH671,26,FALSE)-AVERAGE('The List'!AA2:AA671))/STDEV('The List'!AA2:AA671)</f>
        <v>-0.56833876561242513</v>
      </c>
      <c r="O560" s="55" cm="1">
        <f t="array" ref="O560">(VLOOKUP($A560,'The List'!$B1:$AH671,27,FALSE)-AVERAGE('The List'!AB2:AB671))/STDEV('The List'!AB2:AB671)</f>
        <v>0.87295777598102875</v>
      </c>
      <c r="P560" s="55" cm="1">
        <f t="array" ref="P560">(VLOOKUP($A560,'The List'!$B1:$AH671,28,FALSE)-AVERAGE('The List'!AC2:AC671))/STDEV('The List'!AC2:AC671)</f>
        <v>3.8573139254145655E-2</v>
      </c>
      <c r="Q560" s="55" cm="1">
        <f t="array" ref="Q560">(VLOOKUP($A560,'The List'!$B1:$AH671,29,FALSE)-AVERAGE('The List'!AD2:AD671))/STDEV('The List'!AD2:AD671)</f>
        <v>1.8705576468368528</v>
      </c>
      <c r="R560" s="55" cm="1">
        <f t="array" ref="R560">(VLOOKUP($A560,'The List'!$B1:$AH671,30,FALSE)-AVERAGE('The List'!AE2:AE671))/STDEV('The List'!AE2:AE671)</f>
        <v>-0.6973778948257302</v>
      </c>
      <c r="S560" s="55" cm="1">
        <f t="array" ref="S560">(VLOOKUP($A560,'The List'!$B1:$AH671,31,FALSE)-AVERAGE('The List'!AF2:AF671))/STDEV('The List'!AF2:AF671)</f>
        <v>1.1221115227849912</v>
      </c>
      <c r="T560" s="55" cm="1">
        <f t="array" ref="T560">(VLOOKUP($A560,'The List'!$B1:$AH671,32,FALSE)-AVERAGE('The List'!AG2:AG671))/STDEV('The List'!AG2:AG671)</f>
        <v>0.8971245884187582</v>
      </c>
      <c r="U560" s="55" cm="1">
        <f t="array" ref="U560">(VLOOKUP($A560,'The List'!$B1:$AH671,33,FALSE)-AVERAGE('The List'!AH2:AH671))/STDEV('The List'!AH2:AH671)</f>
        <v>1.2374847944337319</v>
      </c>
      <c r="V560" s="55"/>
      <c r="W560" s="57"/>
      <c r="X560" s="55"/>
      <c r="Y560" s="55"/>
      <c r="Z560" s="55"/>
      <c r="AA560" s="55"/>
      <c r="AB560" s="55"/>
      <c r="AC560" s="55"/>
      <c r="AD560" s="55"/>
      <c r="AE560" s="55"/>
    </row>
    <row r="561" spans="1:31" ht="21.25" customHeight="1" x14ac:dyDescent="0.15">
      <c r="A561" s="10" t="s">
        <v>549</v>
      </c>
      <c r="B561" s="18" t="str" cm="1">
        <f t="array" ref="B561">VLOOKUP(A561,'Player Data'!A1:B673,2,FALSE)</f>
        <v>WPG</v>
      </c>
      <c r="C561" s="52" cm="1">
        <f t="array" ref="C561">((E561)*Settings!$C$12)+(F561*Settings!$C$2)+(G561*Settings!$C$3)+(H561*Settings!$C$4)+(I561*Settings!$C$5)+(K561*Settings!$C$9)+(N561*Settings!$C$6)+(J561*Settings!$C$8)+(O561*Settings!$C$7)+(P561*Settings!$C$14)+(Q561*Settings!$C$15)+(R561*Settings!$C$16)+(S561*Settings!$C$17)+(T561*Settings!$C$18)+(U561*Settings!$C$19)+(L561*Settings!$C$10)+(Settings!$C$11*M561)</f>
        <v>-3.6198040376971328</v>
      </c>
      <c r="D561" s="57" cm="1">
        <f t="array" ref="D561">IF(Settings!$E$12="YES",VLOOKUP(A561,'Player Data'!A1:E673,5,FALSE),82)</f>
        <v>74</v>
      </c>
      <c r="E561" s="55" cm="1">
        <f t="array" ref="E561">(VLOOKUP($A561,'The List'!$B1:$AH671,17,FALSE)-AVERAGE('The List'!R2:R671))/STDEV('The List'!R2:R671)</f>
        <v>-0.19450193906791732</v>
      </c>
      <c r="F561" s="55" cm="1">
        <f t="array" ref="F561">(VLOOKUP($A561,'The List'!$B1:$AH671,18,FALSE)-AVERAGE('The List'!S2:S671))/STDEV('The List'!S2:S671)</f>
        <v>-1.0740386745818546</v>
      </c>
      <c r="G561" s="55" cm="1">
        <f t="array" ref="G561">(VLOOKUP($A561,'The List'!$B1:$AH671,19,FALSE)-AVERAGE('The List'!T2:T671))/STDEV('The List'!T2:T671)</f>
        <v>-0.90717403087717963</v>
      </c>
      <c r="H561" s="55" cm="1">
        <f t="array" ref="H561">(VLOOKUP($A561,'The List'!$B1:$AH671,20,FALSE)-AVERAGE('The List'!U2:U671))/STDEV('The List'!U2:U671)</f>
        <v>-1.0471352731188206</v>
      </c>
      <c r="I561" s="55" cm="1">
        <f t="array" ref="I561">(VLOOKUP($A561,'The List'!$B1:$AH671,21,FALSE)-AVERAGE('The List'!V2:V671))/STDEV('The List'!V2:V671)</f>
        <v>-0.87434049645496903</v>
      </c>
      <c r="J561" s="55" cm="1">
        <f t="array" ref="J561">(VLOOKUP($A561,'The List'!$B1:$AH671,22,FALSE)-AVERAGE('The List'!W2:W671))/STDEV('The List'!W2:W671)</f>
        <v>-0.72056618480869028</v>
      </c>
      <c r="K561" s="55" cm="1">
        <f t="array" ref="K561">(VLOOKUP($A561,'The List'!$B1:$AH671,23,FALSE)-AVERAGE('The List'!X2:X671))/STDEV('The List'!X2:X671)</f>
        <v>-0.68232042209963739</v>
      </c>
      <c r="L561" s="55" cm="1">
        <f t="array" ref="L561">(VLOOKUP($A561,'The List'!$B1:$AH671,24,FALSE)-AVERAGE('The List'!Y2:Y671))/STDEV('The List'!Y2:Y671)</f>
        <v>-0.47419956697638033</v>
      </c>
      <c r="M561" s="55" cm="1">
        <f t="array" ref="M561">(VLOOKUP($A561,'The List'!$B1:$AH671,25,FALSE)-AVERAGE('The List'!Z2:Z671))/STDEV('The List'!Z2:Z671)</f>
        <v>-0.52086912478669867</v>
      </c>
      <c r="N561" s="55" cm="1">
        <f t="array" ref="N561">(VLOOKUP($A561,'The List'!$B1:$AH671,26,FALSE)-AVERAGE('The List'!AA2:AA671))/STDEV('The List'!AA2:AA671)</f>
        <v>0.19605935835361288</v>
      </c>
      <c r="O561" s="55" cm="1">
        <f t="array" ref="O561">(VLOOKUP($A561,'The List'!$B1:$AH671,27,FALSE)-AVERAGE('The List'!AB2:AB671))/STDEV('The List'!AB2:AB671)</f>
        <v>9.7505221349090426E-2</v>
      </c>
      <c r="P561" s="55" cm="1">
        <f t="array" ref="P561">(VLOOKUP($A561,'The List'!$B1:$AH671,28,FALSE)-AVERAGE('The List'!AC2:AC671))/STDEV('The List'!AC2:AC671)</f>
        <v>0.12257027709038916</v>
      </c>
      <c r="Q561" s="55" cm="1">
        <f t="array" ref="Q561">(VLOOKUP($A561,'The List'!$B1:$AH671,29,FALSE)-AVERAGE('The List'!AD2:AD671))/STDEV('The List'!AD2:AD671)</f>
        <v>-0.40056004912749471</v>
      </c>
      <c r="R561" s="55" cm="1">
        <f t="array" ref="R561">(VLOOKUP($A561,'The List'!$B1:$AH671,30,FALSE)-AVERAGE('The List'!AE2:AE671))/STDEV('The List'!AE2:AE671)</f>
        <v>-1.0104391005827964</v>
      </c>
      <c r="S561" s="55" cm="1">
        <f t="array" ref="S561">(VLOOKUP($A561,'The List'!$B1:$AH671,31,FALSE)-AVERAGE('The List'!AF2:AF671))/STDEV('The List'!AF2:AF671)</f>
        <v>-0.5939690971349143</v>
      </c>
      <c r="T561" s="55" cm="1">
        <f t="array" ref="T561">(VLOOKUP($A561,'The List'!$B1:$AH671,32,FALSE)-AVERAGE('The List'!AG2:AG671))/STDEV('The List'!AG2:AG671)</f>
        <v>-0.64602208138248207</v>
      </c>
      <c r="U561" s="55" cm="1">
        <f t="array" ref="U561">(VLOOKUP($A561,'The List'!$B1:$AH671,33,FALSE)-AVERAGE('The List'!AH2:AH671))/STDEV('The List'!AH2:AH671)</f>
        <v>-1.2548938914719048</v>
      </c>
      <c r="V561" s="55"/>
      <c r="W561" s="78"/>
      <c r="X561" s="57"/>
      <c r="Y561" s="57"/>
      <c r="Z561" s="57"/>
      <c r="AA561" s="57"/>
      <c r="AB561" s="57"/>
      <c r="AC561" s="60"/>
      <c r="AD561" s="61"/>
      <c r="AE561" s="55"/>
    </row>
    <row r="562" spans="1:31" ht="21.25" customHeight="1" x14ac:dyDescent="0.15">
      <c r="A562" s="10" t="s">
        <v>489</v>
      </c>
      <c r="B562" s="18" t="str" cm="1">
        <f t="array" ref="B562">VLOOKUP(A562,'Player Data'!A1:B673,2,FALSE)</f>
        <v>L.A</v>
      </c>
      <c r="C562" s="52" cm="1">
        <f t="array" ref="C562">((E562)*Settings!$C$12)+(F562*Settings!$C$2)+(G562*Settings!$C$3)+(H562*Settings!$C$4)+(I562*Settings!$C$5)+(K562*Settings!$C$9)+(N562*Settings!$C$6)+(J562*Settings!$C$8)+(O562*Settings!$C$7)+(P562*Settings!$C$14)+(Q562*Settings!$C$15)+(R562*Settings!$C$16)+(S562*Settings!$C$17)+(T562*Settings!$C$18)+(U562*Settings!$C$19)+(L562*Settings!$C$10)+(Settings!$C$11*M562)</f>
        <v>-2.7398059247853359</v>
      </c>
      <c r="D562" s="57" cm="1">
        <f t="array" ref="D562">IF(Settings!$E$12="YES",VLOOKUP(A562,'Player Data'!A1:E673,5,FALSE),82)</f>
        <v>79.892499999999998</v>
      </c>
      <c r="E562" s="55" cm="1">
        <f t="array" ref="E562">(VLOOKUP($A562,'The List'!$B1:$AH671,17,FALSE)-AVERAGE('The List'!R2:R671))/STDEV('The List'!R2:R671)</f>
        <v>0.45843087579373537</v>
      </c>
      <c r="F562" s="55" cm="1">
        <f t="array" ref="F562">(VLOOKUP($A562,'The List'!$B1:$AH671,18,FALSE)-AVERAGE('The List'!S2:S671))/STDEV('The List'!S2:S671)</f>
        <v>-1.2115019714837802</v>
      </c>
      <c r="G562" s="55" cm="1">
        <f t="array" ref="G562">(VLOOKUP($A562,'The List'!$B1:$AH671,19,FALSE)-AVERAGE('The List'!T2:T671))/STDEV('The List'!T2:T671)</f>
        <v>-0.74984327028889131</v>
      </c>
      <c r="H562" s="55" cm="1">
        <f t="array" ref="H562">(VLOOKUP($A562,'The List'!$B1:$AH671,20,FALSE)-AVERAGE('The List'!U2:U671))/STDEV('The List'!U2:U671)</f>
        <v>-1.0091645296955789</v>
      </c>
      <c r="I562" s="55" cm="1">
        <f t="array" ref="I562">(VLOOKUP($A562,'The List'!$B1:$AH671,21,FALSE)-AVERAGE('The List'!V2:V671))/STDEV('The List'!V2:V671)</f>
        <v>-0.80581537752805887</v>
      </c>
      <c r="J562" s="55" cm="1">
        <f t="array" ref="J562">(VLOOKUP($A562,'The List'!$B1:$AH671,22,FALSE)-AVERAGE('The List'!W2:W671))/STDEV('The List'!W2:W671)</f>
        <v>-0.74933292689270292</v>
      </c>
      <c r="K562" s="55" cm="1">
        <f t="array" ref="K562">(VLOOKUP($A562,'The List'!$B1:$AH671,23,FALSE)-AVERAGE('The List'!X2:X671))/STDEV('The List'!X2:X671)</f>
        <v>-0.79171853022806549</v>
      </c>
      <c r="L562" s="55" cm="1">
        <f t="array" ref="L562">(VLOOKUP($A562,'The List'!$B1:$AH671,24,FALSE)-AVERAGE('The List'!Y2:Y671))/STDEV('The List'!Y2:Y671)</f>
        <v>-0.54523988902265286</v>
      </c>
      <c r="M562" s="55" cm="1">
        <f t="array" ref="M562">(VLOOKUP($A562,'The List'!$B1:$AH671,25,FALSE)-AVERAGE('The List'!Z2:Z671))/STDEV('The List'!Z2:Z671)</f>
        <v>-0.58846415330111512</v>
      </c>
      <c r="N562" s="55" cm="1">
        <f t="array" ref="N562">(VLOOKUP($A562,'The List'!$B1:$AH671,26,FALSE)-AVERAGE('The List'!AA2:AA671))/STDEV('The List'!AA2:AA671)</f>
        <v>1.1908610230430745</v>
      </c>
      <c r="O562" s="55" cm="1">
        <f t="array" ref="O562">(VLOOKUP($A562,'The List'!$B1:$AH671,27,FALSE)-AVERAGE('The List'!AB2:AB671))/STDEV('The List'!AB2:AB671)</f>
        <v>0.22815113256577005</v>
      </c>
      <c r="P562" s="55" cm="1">
        <f t="array" ref="P562">(VLOOKUP($A562,'The List'!$B1:$AH671,28,FALSE)-AVERAGE('The List'!AC2:AC671))/STDEV('The List'!AC2:AC671)</f>
        <v>-9.0886991944915133E-2</v>
      </c>
      <c r="Q562" s="55" cm="1">
        <f t="array" ref="Q562">(VLOOKUP($A562,'The List'!$B1:$AH671,29,FALSE)-AVERAGE('The List'!AD2:AD671))/STDEV('The List'!AD2:AD671)</f>
        <v>-0.28090080635469955</v>
      </c>
      <c r="R562" s="55" cm="1">
        <f t="array" ref="R562">(VLOOKUP($A562,'The List'!$B1:$AH671,30,FALSE)-AVERAGE('The List'!AE2:AE671))/STDEV('The List'!AE2:AE671)</f>
        <v>-1.1754832636646551</v>
      </c>
      <c r="S562" s="55" cm="1">
        <f t="array" ref="S562">(VLOOKUP($A562,'The List'!$B1:$AH671,31,FALSE)-AVERAGE('The List'!AF2:AF671))/STDEV('The List'!AF2:AF671)</f>
        <v>-0.5939690971349143</v>
      </c>
      <c r="T562" s="55" cm="1">
        <f t="array" ref="T562">(VLOOKUP($A562,'The List'!$B1:$AH671,32,FALSE)-AVERAGE('The List'!AG2:AG671))/STDEV('The List'!AG2:AG671)</f>
        <v>-0.64602208138248207</v>
      </c>
      <c r="U562" s="55" cm="1">
        <f t="array" ref="U562">(VLOOKUP($A562,'The List'!$B1:$AH671,33,FALSE)-AVERAGE('The List'!AH2:AH671))/STDEV('The List'!AH2:AH671)</f>
        <v>-1.2548938914719048</v>
      </c>
      <c r="V562" s="55"/>
      <c r="W562" s="78"/>
      <c r="X562" s="57"/>
      <c r="Y562" s="57"/>
      <c r="Z562" s="57"/>
      <c r="AA562" s="57"/>
      <c r="AB562" s="57"/>
      <c r="AC562" s="60"/>
      <c r="AD562" s="61"/>
      <c r="AE562" s="55"/>
    </row>
    <row r="563" spans="1:31" ht="21.25" customHeight="1" x14ac:dyDescent="0.15">
      <c r="A563" s="10" t="s">
        <v>788</v>
      </c>
      <c r="B563" s="18" t="str" cm="1">
        <f t="array" ref="B563">VLOOKUP(A563,'Player Data'!A1:B673,2,FALSE)</f>
        <v>N.J</v>
      </c>
      <c r="C563" s="52" cm="1">
        <f t="array" ref="C563">((E563)*Settings!$C$12)+(F563*Settings!$C$2)+(G563*Settings!$C$3)+(H563*Settings!$C$4)+(I563*Settings!$C$5)+(K563*Settings!$C$9)+(N563*Settings!$C$6)+(J563*Settings!$C$8)+(O563*Settings!$C$7)+(P563*Settings!$C$14)+(Q563*Settings!$C$15)+(R563*Settings!$C$16)+(S563*Settings!$C$17)+(T563*Settings!$C$18)+(U563*Settings!$C$19)+(L563*Settings!$C$10)+(Settings!$C$11*M563)</f>
        <v>-6.3621342832682313</v>
      </c>
      <c r="D563" s="57" cm="1">
        <f t="array" ref="D563">IF(Settings!$E$12="YES",VLOOKUP(A563,'Player Data'!A1:E673,5,FALSE),82)</f>
        <v>78.382499999999993</v>
      </c>
      <c r="E563" s="55" cm="1">
        <f t="array" ref="E563">(VLOOKUP($A563,'The List'!$B1:$AH671,17,FALSE)-AVERAGE('The List'!R2:R671))/STDEV('The List'!R2:R671)</f>
        <v>-1.902260641006142</v>
      </c>
      <c r="F563" s="55" cm="1">
        <f t="array" ref="F563">(VLOOKUP($A563,'The List'!$B1:$AH671,18,FALSE)-AVERAGE('The List'!S2:S671))/STDEV('The List'!S2:S671)</f>
        <v>-0.77426996761864753</v>
      </c>
      <c r="G563" s="55" cm="1">
        <f t="array" ref="G563">(VLOOKUP($A563,'The List'!$B1:$AH671,19,FALSE)-AVERAGE('The List'!T2:T671))/STDEV('The List'!T2:T671)</f>
        <v>-1.0826801091574549</v>
      </c>
      <c r="H563" s="55" cm="1">
        <f t="array" ref="H563">(VLOOKUP($A563,'The List'!$B1:$AH671,20,FALSE)-AVERAGE('The List'!U2:U671))/STDEV('The List'!U2:U671)</f>
        <v>-1.0245268156731508</v>
      </c>
      <c r="I563" s="55" cm="1">
        <f t="array" ref="I563">(VLOOKUP($A563,'The List'!$B1:$AH671,21,FALSE)-AVERAGE('The List'!V2:V671))/STDEV('The List'!V2:V671)</f>
        <v>-1.1482596791113455</v>
      </c>
      <c r="J563" s="55" cm="1">
        <f t="array" ref="J563">(VLOOKUP($A563,'The List'!$B1:$AH671,22,FALSE)-AVERAGE('The List'!W2:W671))/STDEV('The List'!W2:W671)</f>
        <v>-0.74379368481464969</v>
      </c>
      <c r="K563" s="55" cm="1">
        <f t="array" ref="K563">(VLOOKUP($A563,'The List'!$B1:$AH671,23,FALSE)-AVERAGE('The List'!X2:X671))/STDEV('The List'!X2:X671)</f>
        <v>-0.80334480191734237</v>
      </c>
      <c r="L563" s="55" cm="1">
        <f t="array" ref="L563">(VLOOKUP($A563,'The List'!$B1:$AH671,24,FALSE)-AVERAGE('The List'!Y2:Y671))/STDEV('The List'!Y2:Y671)</f>
        <v>-0.37768907733450785</v>
      </c>
      <c r="M563" s="55" cm="1">
        <f t="array" ref="M563">(VLOOKUP($A563,'The List'!$B1:$AH671,25,FALSE)-AVERAGE('The List'!Z2:Z671))/STDEV('The List'!Z2:Z671)</f>
        <v>-0.57270483065760647</v>
      </c>
      <c r="N563" s="55" cm="1">
        <f t="array" ref="N563">(VLOOKUP($A563,'The List'!$B1:$AH671,26,FALSE)-AVERAGE('The List'!AA2:AA671))/STDEV('The List'!AA2:AA671)</f>
        <v>-0.91548663637073735</v>
      </c>
      <c r="O563" s="55" cm="1">
        <f t="array" ref="O563">(VLOOKUP($A563,'The List'!$B1:$AH671,27,FALSE)-AVERAGE('The List'!AB2:AB671))/STDEV('The List'!AB2:AB671)</f>
        <v>0.97457410087619389</v>
      </c>
      <c r="P563" s="55" cm="1">
        <f t="array" ref="P563">(VLOOKUP($A563,'The List'!$B1:$AH671,28,FALSE)-AVERAGE('The List'!AC2:AC671))/STDEV('The List'!AC2:AC671)</f>
        <v>-0.28608030072132351</v>
      </c>
      <c r="Q563" s="55" cm="1">
        <f t="array" ref="Q563">(VLOOKUP($A563,'The List'!$B1:$AH671,29,FALSE)-AVERAGE('The List'!AD2:AD671))/STDEV('The List'!AD2:AD671)</f>
        <v>-1.3520127883713795</v>
      </c>
      <c r="R563" s="55" cm="1">
        <f t="array" ref="R563">(VLOOKUP($A563,'The List'!$B1:$AH671,30,FALSE)-AVERAGE('The List'!AE2:AE671))/STDEV('The List'!AE2:AE671)</f>
        <v>-0.77557785640444799</v>
      </c>
      <c r="S563" s="55" cm="1">
        <f t="array" ref="S563">(VLOOKUP($A563,'The List'!$B1:$AH671,31,FALSE)-AVERAGE('The List'!AF2:AF671))/STDEV('The List'!AF2:AF671)</f>
        <v>-0.38896101353924639</v>
      </c>
      <c r="T563" s="55" cm="1">
        <f t="array" ref="T563">(VLOOKUP($A563,'The List'!$B1:$AH671,32,FALSE)-AVERAGE('The List'!AG2:AG671))/STDEV('The List'!AG2:AG671)</f>
        <v>-0.26667203820403435</v>
      </c>
      <c r="U563" s="55" cm="1">
        <f t="array" ref="U563">(VLOOKUP($A563,'The List'!$B1:$AH671,33,FALSE)-AVERAGE('The List'!AH2:AH671))/STDEV('The List'!AH2:AH671)</f>
        <v>0.4243032347138429</v>
      </c>
      <c r="V563" s="55"/>
      <c r="W563" s="78"/>
      <c r="X563" s="57"/>
      <c r="Y563" s="57"/>
      <c r="Z563" s="57"/>
      <c r="AA563" s="57"/>
      <c r="AB563" s="57"/>
      <c r="AC563" s="60"/>
      <c r="AD563" s="61"/>
      <c r="AE563" s="55"/>
    </row>
    <row r="564" spans="1:31" ht="21.25" customHeight="1" x14ac:dyDescent="0.15">
      <c r="A564" s="10" t="s">
        <v>523</v>
      </c>
      <c r="B564" s="18" t="str" cm="1">
        <f t="array" ref="B564">VLOOKUP(A564,'Player Data'!A1:B673,2,FALSE)</f>
        <v>TOR</v>
      </c>
      <c r="C564" s="52" cm="1">
        <f t="array" ref="C564">((E564)*Settings!$C$12)+(F564*Settings!$C$2)+(G564*Settings!$C$3)+(H564*Settings!$C$4)+(I564*Settings!$C$5)+(K564*Settings!$C$9)+(N564*Settings!$C$6)+(J564*Settings!$C$8)+(O564*Settings!$C$7)+(P564*Settings!$C$14)+(Q564*Settings!$C$15)+(R564*Settings!$C$16)+(S564*Settings!$C$17)+(T564*Settings!$C$18)+(U564*Settings!$C$19)+(L564*Settings!$C$10)+(Settings!$C$11*M564)</f>
        <v>-2.8303706152009203</v>
      </c>
      <c r="D564" s="57" cm="1">
        <f t="array" ref="D564">IF(Settings!$E$12="YES",VLOOKUP(A564,'Player Data'!A1:E673,5,FALSE),82)</f>
        <v>69.765000000000001</v>
      </c>
      <c r="E564" s="55" cm="1">
        <f t="array" ref="E564">(VLOOKUP($A564,'The List'!$B1:$AH671,17,FALSE)-AVERAGE('The List'!R2:R671))/STDEV('The List'!R2:R671)</f>
        <v>0.73279358798788108</v>
      </c>
      <c r="F564" s="55" cm="1">
        <f t="array" ref="F564">(VLOOKUP($A564,'The List'!$B1:$AH671,18,FALSE)-AVERAGE('The List'!S2:S671))/STDEV('The List'!S2:S671)</f>
        <v>-1.3376935649777928</v>
      </c>
      <c r="G564" s="55" cm="1">
        <f t="array" ref="G564">(VLOOKUP($A564,'The List'!$B1:$AH671,19,FALSE)-AVERAGE('The List'!T2:T671))/STDEV('The List'!T2:T671)</f>
        <v>-0.79683609323253879</v>
      </c>
      <c r="H564" s="55" cm="1">
        <f t="array" ref="H564">(VLOOKUP($A564,'The List'!$B1:$AH671,20,FALSE)-AVERAGE('The List'!U2:U671))/STDEV('The List'!U2:U671)</f>
        <v>-1.0947112322337005</v>
      </c>
      <c r="I564" s="55" cm="1">
        <f t="array" ref="I564">(VLOOKUP($A564,'The List'!$B1:$AH671,21,FALSE)-AVERAGE('The List'!V2:V671))/STDEV('The List'!V2:V671)</f>
        <v>-1.5769066646142611</v>
      </c>
      <c r="J564" s="55" cm="1">
        <f t="array" ref="J564">(VLOOKUP($A564,'The List'!$B1:$AH671,22,FALSE)-AVERAGE('The List'!W2:W671))/STDEV('The List'!W2:W671)</f>
        <v>-0.75015934326296685</v>
      </c>
      <c r="K564" s="55" cm="1">
        <f t="array" ref="K564">(VLOOKUP($A564,'The List'!$B1:$AH671,23,FALSE)-AVERAGE('The List'!X2:X671))/STDEV('The List'!X2:X671)</f>
        <v>-0.80723751739059069</v>
      </c>
      <c r="L564" s="55" cm="1">
        <f t="array" ref="L564">(VLOOKUP($A564,'The List'!$B1:$AH671,24,FALSE)-AVERAGE('The List'!Y2:Y671))/STDEV('The List'!Y2:Y671)</f>
        <v>-0.55819268331032745</v>
      </c>
      <c r="M564" s="55" cm="1">
        <f t="array" ref="M564">(VLOOKUP($A564,'The List'!$B1:$AH671,25,FALSE)-AVERAGE('The List'!Z2:Z671))/STDEV('The List'!Z2:Z671)</f>
        <v>-0.22808810795046863</v>
      </c>
      <c r="N564" s="55" cm="1">
        <f t="array" ref="N564">(VLOOKUP($A564,'The List'!$B1:$AH671,26,FALSE)-AVERAGE('The List'!AA2:AA671))/STDEV('The List'!AA2:AA671)</f>
        <v>1.986078435631939</v>
      </c>
      <c r="O564" s="55" cm="1">
        <f t="array" ref="O564">(VLOOKUP($A564,'The List'!$B1:$AH671,27,FALSE)-AVERAGE('The List'!AB2:AB671))/STDEV('The List'!AB2:AB671)</f>
        <v>-0.9497427658619233</v>
      </c>
      <c r="P564" s="55" cm="1">
        <f t="array" ref="P564">(VLOOKUP($A564,'The List'!$B1:$AH671,28,FALSE)-AVERAGE('The List'!AC2:AC671))/STDEV('The List'!AC2:AC671)</f>
        <v>0.28975683350245068</v>
      </c>
      <c r="Q564" s="55" cm="1">
        <f t="array" ref="Q564">(VLOOKUP($A564,'The List'!$B1:$AH671,29,FALSE)-AVERAGE('The List'!AD2:AD671))/STDEV('The List'!AD2:AD671)</f>
        <v>-0.58753204412012672</v>
      </c>
      <c r="R564" s="55" cm="1">
        <f t="array" ref="R564">(VLOOKUP($A564,'The List'!$B1:$AH671,30,FALSE)-AVERAGE('The List'!AE2:AE671))/STDEV('The List'!AE2:AE671)</f>
        <v>-1.3045311170314762</v>
      </c>
      <c r="S564" s="55" cm="1">
        <f t="array" ref="S564">(VLOOKUP($A564,'The List'!$B1:$AH671,31,FALSE)-AVERAGE('The List'!AF2:AF671))/STDEV('The List'!AF2:AF671)</f>
        <v>-0.5939690971349143</v>
      </c>
      <c r="T564" s="55" cm="1">
        <f t="array" ref="T564">(VLOOKUP($A564,'The List'!$B1:$AH671,32,FALSE)-AVERAGE('The List'!AG2:AG671))/STDEV('The List'!AG2:AG671)</f>
        <v>-0.64602208138248207</v>
      </c>
      <c r="U564" s="55" cm="1">
        <f t="array" ref="U564">(VLOOKUP($A564,'The List'!$B1:$AH671,33,FALSE)-AVERAGE('The List'!AH2:AH671))/STDEV('The List'!AH2:AH671)</f>
        <v>-1.2548938914719048</v>
      </c>
      <c r="V564" s="55"/>
      <c r="W564" s="78"/>
      <c r="X564" s="57"/>
      <c r="Y564" s="57"/>
      <c r="Z564" s="57"/>
      <c r="AA564" s="57"/>
      <c r="AB564" s="57"/>
      <c r="AC564" s="60"/>
      <c r="AD564" s="61"/>
      <c r="AE564" s="55"/>
    </row>
    <row r="565" spans="1:31" ht="21.25" customHeight="1" x14ac:dyDescent="0.15">
      <c r="A565" s="10" t="s">
        <v>781</v>
      </c>
      <c r="B565" s="18" t="str" cm="1">
        <f t="array" ref="B565">VLOOKUP(A565,'Player Data'!A1:B673,2,FALSE)</f>
        <v>ANA</v>
      </c>
      <c r="C565" s="52" cm="1">
        <f t="array" ref="C565">((E565)*Settings!$C$12)+(F565*Settings!$C$2)+(G565*Settings!$C$3)+(H565*Settings!$C$4)+(I565*Settings!$C$5)+(K565*Settings!$C$9)+(N565*Settings!$C$6)+(J565*Settings!$C$8)+(O565*Settings!$C$7)+(P565*Settings!$C$14)+(Q565*Settings!$C$15)+(R565*Settings!$C$16)+(S565*Settings!$C$17)+(T565*Settings!$C$18)+(U565*Settings!$C$19)+(L565*Settings!$C$10)+(Settings!$C$11*M565)</f>
        <v>-6.4865530031904211</v>
      </c>
      <c r="D565" s="57" cm="1">
        <f t="array" ref="D565">IF(Settings!$E$12="YES",VLOOKUP(A565,'Player Data'!A1:E673,5,FALSE),82)</f>
        <v>61.097499999999997</v>
      </c>
      <c r="E565" s="55" cm="1">
        <f t="array" ref="E565">(VLOOKUP($A565,'The List'!$B1:$AH671,17,FALSE)-AVERAGE('The List'!R2:R671))/STDEV('The List'!R2:R671)</f>
        <v>-1.2224928802256843</v>
      </c>
      <c r="F565" s="55" cm="1">
        <f t="array" ref="F565">(VLOOKUP($A565,'The List'!$B1:$AH671,18,FALSE)-AVERAGE('The List'!S2:S671))/STDEV('The List'!S2:S671)</f>
        <v>-0.91103640305542199</v>
      </c>
      <c r="G565" s="55" cm="1">
        <f t="array" ref="G565">(VLOOKUP($A565,'The List'!$B1:$AH671,19,FALSE)-AVERAGE('The List'!T2:T671))/STDEV('The List'!T2:T671)</f>
        <v>-1.2120507408775258</v>
      </c>
      <c r="H565" s="55" cm="1">
        <f t="array" ref="H565">(VLOOKUP($A565,'The List'!$B1:$AH671,20,FALSE)-AVERAGE('The List'!U2:U671))/STDEV('The List'!U2:U671)</f>
        <v>-1.1665805524514081</v>
      </c>
      <c r="I565" s="55" cm="1">
        <f t="array" ref="I565">(VLOOKUP($A565,'The List'!$B1:$AH671,21,FALSE)-AVERAGE('The List'!V2:V671))/STDEV('The List'!V2:V671)</f>
        <v>-1.2267879908428436</v>
      </c>
      <c r="J565" s="55" cm="1">
        <f t="array" ref="J565">(VLOOKUP($A565,'The List'!$B1:$AH671,22,FALSE)-AVERAGE('The List'!W2:W671))/STDEV('The List'!W2:W671)</f>
        <v>-0.74643840828445618</v>
      </c>
      <c r="K565" s="55" cm="1">
        <f t="array" ref="K565">(VLOOKUP($A565,'The List'!$B1:$AH671,23,FALSE)-AVERAGE('The List'!X2:X671))/STDEV('The List'!X2:X671)</f>
        <v>-0.80890546986968004</v>
      </c>
      <c r="L565" s="55" cm="1">
        <f t="array" ref="L565">(VLOOKUP($A565,'The List'!$B1:$AH671,24,FALSE)-AVERAGE('The List'!Y2:Y671))/STDEV('The List'!Y2:Y671)</f>
        <v>-0.14030043785081123</v>
      </c>
      <c r="M565" s="55" cm="1">
        <f t="array" ref="M565">(VLOOKUP($A565,'The List'!$B1:$AH671,25,FALSE)-AVERAGE('The List'!Z2:Z671))/STDEV('The List'!Z2:Z671)</f>
        <v>-0.22875058943239876</v>
      </c>
      <c r="N565" s="55" cm="1">
        <f t="array" ref="N565">(VLOOKUP($A565,'The List'!$B1:$AH671,26,FALSE)-AVERAGE('The List'!AA2:AA671))/STDEV('The List'!AA2:AA671)</f>
        <v>-0.67081323197954756</v>
      </c>
      <c r="O565" s="55" cm="1">
        <f t="array" ref="O565">(VLOOKUP($A565,'The List'!$B1:$AH671,27,FALSE)-AVERAGE('The List'!AB2:AB671))/STDEV('The List'!AB2:AB671)</f>
        <v>0.81257726378068384</v>
      </c>
      <c r="P565" s="55" cm="1">
        <f t="array" ref="P565">(VLOOKUP($A565,'The List'!$B1:$AH671,28,FALSE)-AVERAGE('The List'!AC2:AC671))/STDEV('The List'!AC2:AC671)</f>
        <v>-0.73649095626703109</v>
      </c>
      <c r="Q565" s="55" cm="1">
        <f t="array" ref="Q565">(VLOOKUP($A565,'The List'!$B1:$AH671,29,FALSE)-AVERAGE('The List'!AD2:AD671))/STDEV('The List'!AD2:AD671)</f>
        <v>-0.92046821029837156</v>
      </c>
      <c r="R565" s="55" cm="1">
        <f t="array" ref="R565">(VLOOKUP($A565,'The List'!$B1:$AH671,30,FALSE)-AVERAGE('The List'!AE2:AE671))/STDEV('The List'!AE2:AE671)</f>
        <v>-0.91300796766767256</v>
      </c>
      <c r="S565" s="55" cm="1">
        <f t="array" ref="S565">(VLOOKUP($A565,'The List'!$B1:$AH671,31,FALSE)-AVERAGE('The List'!AF2:AF671))/STDEV('The List'!AF2:AF671)</f>
        <v>1.0789968305449638</v>
      </c>
      <c r="T565" s="55" cm="1">
        <f t="array" ref="T565">(VLOOKUP($A565,'The List'!$B1:$AH671,32,FALSE)-AVERAGE('The List'!AG2:AG671))/STDEV('The List'!AG2:AG671)</f>
        <v>0.66938100997261973</v>
      </c>
      <c r="U565" s="55" cm="1">
        <f t="array" ref="U565">(VLOOKUP($A565,'The List'!$B1:$AH671,33,FALSE)-AVERAGE('The List'!AH2:AH671))/STDEV('The List'!AH2:AH671)</f>
        <v>1.3895642378483235</v>
      </c>
      <c r="V565" s="55"/>
      <c r="W565" s="78"/>
      <c r="X565" s="57"/>
      <c r="Y565" s="57"/>
      <c r="Z565" s="57"/>
      <c r="AA565" s="57"/>
      <c r="AB565" s="57"/>
      <c r="AC565" s="60"/>
      <c r="AD565" s="61"/>
      <c r="AE565" s="55"/>
    </row>
    <row r="566" spans="1:31" ht="21.25" customHeight="1" x14ac:dyDescent="0.15">
      <c r="A566" s="10" t="s">
        <v>552</v>
      </c>
      <c r="B566" s="18" t="str" cm="1">
        <f t="array" ref="B566">VLOOKUP(A566,'Player Data'!A1:B673,2,FALSE)</f>
        <v>FLA</v>
      </c>
      <c r="C566" s="52" cm="1">
        <f t="array" ref="C566">((E566)*Settings!$C$12)+(F566*Settings!$C$2)+(G566*Settings!$C$3)+(H566*Settings!$C$4)+(I566*Settings!$C$5)+(K566*Settings!$C$9)+(N566*Settings!$C$6)+(J566*Settings!$C$8)+(O566*Settings!$C$7)+(P566*Settings!$C$14)+(Q566*Settings!$C$15)+(R566*Settings!$C$16)+(S566*Settings!$C$17)+(T566*Settings!$C$18)+(U566*Settings!$C$19)+(L566*Settings!$C$10)+(Settings!$C$11*M566)</f>
        <v>-2.5672458916548346</v>
      </c>
      <c r="D566" s="57" cm="1">
        <f t="array" ref="D566">IF(Settings!$E$12="YES",VLOOKUP(A566,'Player Data'!A1:E673,5,FALSE),82)</f>
        <v>77.875</v>
      </c>
      <c r="E566" s="55" cm="1">
        <f t="array" ref="E566">(VLOOKUP($A566,'The List'!$B1:$AH671,17,FALSE)-AVERAGE('The List'!R2:R671))/STDEV('The List'!R2:R671)</f>
        <v>0.13863207647916823</v>
      </c>
      <c r="F566" s="55" cm="1">
        <f t="array" ref="F566">(VLOOKUP($A566,'The List'!$B1:$AH671,18,FALSE)-AVERAGE('The List'!S2:S671))/STDEV('The List'!S2:S671)</f>
        <v>-1.133760439380584</v>
      </c>
      <c r="G566" s="55" cm="1">
        <f t="array" ref="G566">(VLOOKUP($A566,'The List'!$B1:$AH671,19,FALSE)-AVERAGE('The List'!T2:T671))/STDEV('The List'!T2:T671)</f>
        <v>-0.85835014928080788</v>
      </c>
      <c r="H566" s="55" cm="1">
        <f t="array" ref="H566">(VLOOKUP($A566,'The List'!$B1:$AH671,20,FALSE)-AVERAGE('The List'!U2:U671))/STDEV('The List'!U2:U671)</f>
        <v>-1.0429225571949763</v>
      </c>
      <c r="I566" s="55" cm="1">
        <f t="array" ref="I566">(VLOOKUP($A566,'The List'!$B1:$AH671,21,FALSE)-AVERAGE('The List'!V2:V671))/STDEV('The List'!V2:V671)</f>
        <v>-1.0528017848837767</v>
      </c>
      <c r="J566" s="55" cm="1">
        <f t="array" ref="J566">(VLOOKUP($A566,'The List'!$B1:$AH671,22,FALSE)-AVERAGE('The List'!W2:W671))/STDEV('The List'!W2:W671)</f>
        <v>-0.74860251859123272</v>
      </c>
      <c r="K566" s="55" cm="1">
        <f t="array" ref="K566">(VLOOKUP($A566,'The List'!$B1:$AH671,23,FALSE)-AVERAGE('The List'!X2:X671))/STDEV('The List'!X2:X671)</f>
        <v>-0.80626669548350793</v>
      </c>
      <c r="L566" s="55" cm="1">
        <f t="array" ref="L566">(VLOOKUP($A566,'The List'!$B1:$AH671,24,FALSE)-AVERAGE('The List'!Y2:Y671))/STDEV('The List'!Y2:Y671)</f>
        <v>-0.53697438176838286</v>
      </c>
      <c r="M566" s="55" cm="1">
        <f t="array" ref="M566">(VLOOKUP($A566,'The List'!$B1:$AH671,25,FALSE)-AVERAGE('The List'!Z2:Z671))/STDEV('The List'!Z2:Z671)</f>
        <v>-0.52683251687231225</v>
      </c>
      <c r="N566" s="55" cm="1">
        <f t="array" ref="N566">(VLOOKUP($A566,'The List'!$B1:$AH671,26,FALSE)-AVERAGE('The List'!AA2:AA671))/STDEV('The List'!AA2:AA671)</f>
        <v>0.47332859595081445</v>
      </c>
      <c r="O566" s="55" cm="1">
        <f t="array" ref="O566">(VLOOKUP($A566,'The List'!$B1:$AH671,27,FALSE)-AVERAGE('The List'!AB2:AB671))/STDEV('The List'!AB2:AB671)</f>
        <v>0.35471618059150606</v>
      </c>
      <c r="P566" s="55" cm="1">
        <f t="array" ref="P566">(VLOOKUP($A566,'The List'!$B1:$AH671,28,FALSE)-AVERAGE('The List'!AC2:AC671))/STDEV('The List'!AC2:AC671)</f>
        <v>0.58683409270326425</v>
      </c>
      <c r="Q566" s="55" cm="1">
        <f t="array" ref="Q566">(VLOOKUP($A566,'The List'!$B1:$AH671,29,FALSE)-AVERAGE('The List'!AD2:AD671))/STDEV('The List'!AD2:AD671)</f>
        <v>0.22377048871976352</v>
      </c>
      <c r="R566" s="55" cm="1">
        <f t="array" ref="R566">(VLOOKUP($A566,'The List'!$B1:$AH671,30,FALSE)-AVERAGE('The List'!AE2:AE671))/STDEV('The List'!AE2:AE671)</f>
        <v>-1.0860836388799349</v>
      </c>
      <c r="S566" s="55" cm="1">
        <f t="array" ref="S566">(VLOOKUP($A566,'The List'!$B1:$AH671,31,FALSE)-AVERAGE('The List'!AF2:AF671))/STDEV('The List'!AF2:AF671)</f>
        <v>-0.5939690971349143</v>
      </c>
      <c r="T566" s="55" cm="1">
        <f t="array" ref="T566">(VLOOKUP($A566,'The List'!$B1:$AH671,32,FALSE)-AVERAGE('The List'!AG2:AG671))/STDEV('The List'!AG2:AG671)</f>
        <v>-0.64602208138248207</v>
      </c>
      <c r="U566" s="55" cm="1">
        <f t="array" ref="U566">(VLOOKUP($A566,'The List'!$B1:$AH671,33,FALSE)-AVERAGE('The List'!AH2:AH671))/STDEV('The List'!AH2:AH671)</f>
        <v>-1.2548938914719048</v>
      </c>
      <c r="V566" s="55"/>
      <c r="W566" s="57"/>
      <c r="X566" s="55"/>
      <c r="Y566" s="55"/>
      <c r="Z566" s="55"/>
      <c r="AA566" s="55"/>
      <c r="AB566" s="55"/>
      <c r="AC566" s="55"/>
      <c r="AD566" s="55"/>
      <c r="AE566" s="55"/>
    </row>
    <row r="567" spans="1:31" ht="21.25" customHeight="1" x14ac:dyDescent="0.15">
      <c r="A567" s="10" t="s">
        <v>758</v>
      </c>
      <c r="B567" s="18" t="str" cm="1">
        <f t="array" ref="B567">VLOOKUP(A567,'Player Data'!A1:B673,2,FALSE)</f>
        <v>NYI</v>
      </c>
      <c r="C567" s="52" cm="1">
        <f t="array" ref="C567">((E567)*Settings!$C$12)+(F567*Settings!$C$2)+(G567*Settings!$C$3)+(H567*Settings!$C$4)+(I567*Settings!$C$5)+(K567*Settings!$C$9)+(N567*Settings!$C$6)+(J567*Settings!$C$8)+(O567*Settings!$C$7)+(P567*Settings!$C$14)+(Q567*Settings!$C$15)+(R567*Settings!$C$16)+(S567*Settings!$C$17)+(T567*Settings!$C$18)+(U567*Settings!$C$19)+(L567*Settings!$C$10)+(Settings!$C$11*M567)</f>
        <v>-5.1157446038829084</v>
      </c>
      <c r="D567" s="57" cm="1">
        <f t="array" ref="D567">IF(Settings!$E$12="YES",VLOOKUP(A567,'Player Data'!A1:E673,5,FALSE),82)</f>
        <v>82.652500000000003</v>
      </c>
      <c r="E567" s="55" cm="1">
        <f t="array" ref="E567">(VLOOKUP($A567,'The List'!$B1:$AH671,17,FALSE)-AVERAGE('The List'!R2:R671))/STDEV('The List'!R2:R671)</f>
        <v>-1.3418962238892722</v>
      </c>
      <c r="F567" s="55" cm="1">
        <f t="array" ref="F567">(VLOOKUP($A567,'The List'!$B1:$AH671,18,FALSE)-AVERAGE('The List'!S2:S671))/STDEV('The List'!S2:S671)</f>
        <v>-0.66551261690836117</v>
      </c>
      <c r="G567" s="55" cm="1">
        <f t="array" ref="G567">(VLOOKUP($A567,'The List'!$B1:$AH671,19,FALSE)-AVERAGE('The List'!T2:T671))/STDEV('The List'!T2:T671)</f>
        <v>-1.1347411651386119</v>
      </c>
      <c r="H567" s="55" cm="1">
        <f t="array" ref="H567">(VLOOKUP($A567,'The List'!$B1:$AH671,20,FALSE)-AVERAGE('The List'!U2:U671))/STDEV('The List'!U2:U671)</f>
        <v>-1.0090196744160975</v>
      </c>
      <c r="I567" s="55" cm="1">
        <f t="array" ref="I567">(VLOOKUP($A567,'The List'!$B1:$AH671,21,FALSE)-AVERAGE('The List'!V2:V671))/STDEV('The List'!V2:V671)</f>
        <v>-0.8047395062282402</v>
      </c>
      <c r="J567" s="55" cm="1">
        <f t="array" ref="J567">(VLOOKUP($A567,'The List'!$B1:$AH671,22,FALSE)-AVERAGE('The List'!W2:W671))/STDEV('The List'!W2:W671)</f>
        <v>-0.74260873536787919</v>
      </c>
      <c r="K567" s="55" cm="1">
        <f t="array" ref="K567">(VLOOKUP($A567,'The List'!$B1:$AH671,23,FALSE)-AVERAGE('The List'!X2:X671))/STDEV('The List'!X2:X671)</f>
        <v>-0.80216742606184743</v>
      </c>
      <c r="L567" s="55" cm="1">
        <f t="array" ref="L567">(VLOOKUP($A567,'The List'!$B1:$AH671,24,FALSE)-AVERAGE('The List'!Y2:Y671))/STDEV('The List'!Y2:Y671)</f>
        <v>1.0585212164527629</v>
      </c>
      <c r="M567" s="55" cm="1">
        <f t="array" ref="M567">(VLOOKUP($A567,'The List'!$B1:$AH671,25,FALSE)-AVERAGE('The List'!Z2:Z671))/STDEV('The List'!Z2:Z671)</f>
        <v>0.80729789285818054</v>
      </c>
      <c r="N567" s="55" cm="1">
        <f t="array" ref="N567">(VLOOKUP($A567,'The List'!$B1:$AH671,26,FALSE)-AVERAGE('The List'!AA2:AA671))/STDEV('The List'!AA2:AA671)</f>
        <v>-0.15774060582693755</v>
      </c>
      <c r="O567" s="55" cm="1">
        <f t="array" ref="O567">(VLOOKUP($A567,'The List'!$B1:$AH671,27,FALSE)-AVERAGE('The List'!AB2:AB671))/STDEV('The List'!AB2:AB671)</f>
        <v>1.4063911379796101</v>
      </c>
      <c r="P567" s="55" cm="1">
        <f t="array" ref="P567">(VLOOKUP($A567,'The List'!$B1:$AH671,28,FALSE)-AVERAGE('The List'!AC2:AC671))/STDEV('The List'!AC2:AC671)</f>
        <v>-1.0538845355925586</v>
      </c>
      <c r="Q567" s="55" cm="1">
        <f t="array" ref="Q567">(VLOOKUP($A567,'The List'!$B1:$AH671,29,FALSE)-AVERAGE('The List'!AD2:AD671))/STDEV('The List'!AD2:AD671)</f>
        <v>-0.49695874812635171</v>
      </c>
      <c r="R567" s="55" cm="1">
        <f t="array" ref="R567">(VLOOKUP($A567,'The List'!$B1:$AH671,30,FALSE)-AVERAGE('The List'!AE2:AE671))/STDEV('The List'!AE2:AE671)</f>
        <v>-0.68909649500457659</v>
      </c>
      <c r="S567" s="55" cm="1">
        <f t="array" ref="S567">(VLOOKUP($A567,'The List'!$B1:$AH671,31,FALSE)-AVERAGE('The List'!AF2:AF671))/STDEV('The List'!AF2:AF671)</f>
        <v>1.0537873730875764</v>
      </c>
      <c r="T567" s="55" cm="1">
        <f t="array" ref="T567">(VLOOKUP($A567,'The List'!$B1:$AH671,32,FALSE)-AVERAGE('The List'!AG2:AG671))/STDEV('The List'!AG2:AG671)</f>
        <v>0.81609640740263745</v>
      </c>
      <c r="U567" s="55" cm="1">
        <f t="array" ref="U567">(VLOOKUP($A567,'The List'!$B1:$AH671,33,FALSE)-AVERAGE('The List'!AH2:AH671))/STDEV('The List'!AH2:AH671)</f>
        <v>1.252662101518381</v>
      </c>
      <c r="V567" s="55"/>
      <c r="W567" s="78"/>
      <c r="X567" s="57"/>
      <c r="Y567" s="57"/>
      <c r="Z567" s="57"/>
      <c r="AA567" s="57"/>
      <c r="AB567" s="57"/>
      <c r="AC567" s="60"/>
      <c r="AD567" s="61"/>
      <c r="AE567" s="55"/>
    </row>
    <row r="568" spans="1:31" ht="21.25" customHeight="1" x14ac:dyDescent="0.15">
      <c r="A568" s="10" t="s">
        <v>495</v>
      </c>
      <c r="B568" s="18" t="str" cm="1">
        <f t="array" ref="B568">VLOOKUP(A568,'Player Data'!A1:B673,2,FALSE)</f>
        <v>FLA</v>
      </c>
      <c r="C568" s="52" cm="1">
        <f t="array" ref="C568">((E568)*Settings!$C$12)+(F568*Settings!$C$2)+(G568*Settings!$C$3)+(H568*Settings!$C$4)+(I568*Settings!$C$5)+(K568*Settings!$C$9)+(N568*Settings!$C$6)+(J568*Settings!$C$8)+(O568*Settings!$C$7)+(P568*Settings!$C$14)+(Q568*Settings!$C$15)+(R568*Settings!$C$16)+(S568*Settings!$C$17)+(T568*Settings!$C$18)+(U568*Settings!$C$19)+(L568*Settings!$C$10)+(Settings!$C$11*M568)</f>
        <v>0.46926075089123076</v>
      </c>
      <c r="D568" s="57" cm="1">
        <f t="array" ref="D568">IF(Settings!$E$12="YES",VLOOKUP(A568,'Player Data'!A1:E673,5,FALSE),82)</f>
        <v>77.677499999999995</v>
      </c>
      <c r="E568" s="55" cm="1">
        <f t="array" ref="E568">(VLOOKUP($A568,'The List'!$B1:$AH671,17,FALSE)-AVERAGE('The List'!R2:R671))/STDEV('The List'!R2:R671)</f>
        <v>-0.19503898260639838</v>
      </c>
      <c r="F568" s="55" cm="1">
        <f t="array" ref="F568">(VLOOKUP($A568,'The List'!$B1:$AH671,18,FALSE)-AVERAGE('The List'!S2:S671))/STDEV('The List'!S2:S671)</f>
        <v>-1.165650251189885</v>
      </c>
      <c r="G568" s="55" cm="1">
        <f t="array" ref="G568">(VLOOKUP($A568,'The List'!$B1:$AH671,19,FALSE)-AVERAGE('The List'!T2:T671))/STDEV('The List'!T2:T671)</f>
        <v>-0.85768925474411062</v>
      </c>
      <c r="H568" s="55" cm="1">
        <f t="array" ref="H568">(VLOOKUP($A568,'The List'!$B1:$AH671,20,FALSE)-AVERAGE('The List'!U2:U671))/STDEV('The List'!U2:U671)</f>
        <v>-1.0566556738103317</v>
      </c>
      <c r="I568" s="55" cm="1">
        <f t="array" ref="I568">(VLOOKUP($A568,'The List'!$B1:$AH671,21,FALSE)-AVERAGE('The List'!V2:V671))/STDEV('The List'!V2:V671)</f>
        <v>-0.90106385559952074</v>
      </c>
      <c r="J568" s="55" cm="1">
        <f t="array" ref="J568">(VLOOKUP($A568,'The List'!$B1:$AH671,22,FALSE)-AVERAGE('The List'!W2:W671))/STDEV('The List'!W2:W671)</f>
        <v>-0.7489010308980113</v>
      </c>
      <c r="K568" s="55" cm="1">
        <f t="array" ref="K568">(VLOOKUP($A568,'The List'!$B1:$AH671,23,FALSE)-AVERAGE('The List'!X2:X671))/STDEV('The List'!X2:X671)</f>
        <v>-0.80704820537515054</v>
      </c>
      <c r="L568" s="55" cm="1">
        <f t="array" ref="L568">(VLOOKUP($A568,'The List'!$B1:$AH671,24,FALSE)-AVERAGE('The List'!Y2:Y671))/STDEV('The List'!Y2:Y671)</f>
        <v>-0.53652761233570112</v>
      </c>
      <c r="M568" s="55" cm="1">
        <f t="array" ref="M568">(VLOOKUP($A568,'The List'!$B1:$AH671,25,FALSE)-AVERAGE('The List'!Z2:Z671))/STDEV('The List'!Z2:Z671)</f>
        <v>-0.51852811282501587</v>
      </c>
      <c r="N568" s="55" cm="1">
        <f t="array" ref="N568">(VLOOKUP($A568,'The List'!$B1:$AH671,26,FALSE)-AVERAGE('The List'!AA2:AA671))/STDEV('The List'!AA2:AA671)</f>
        <v>1.4225040665585651</v>
      </c>
      <c r="O568" s="55" cm="1">
        <f t="array" ref="O568">(VLOOKUP($A568,'The List'!$B1:$AH671,27,FALSE)-AVERAGE('The List'!AB2:AB671))/STDEV('The List'!AB2:AB671)</f>
        <v>1.9448011515966674</v>
      </c>
      <c r="P568" s="55" cm="1">
        <f t="array" ref="P568">(VLOOKUP($A568,'The List'!$B1:$AH671,28,FALSE)-AVERAGE('The List'!AC2:AC671))/STDEV('The List'!AC2:AC671)</f>
        <v>0.56230733654564746</v>
      </c>
      <c r="Q568" s="55" cm="1">
        <f t="array" ref="Q568">(VLOOKUP($A568,'The List'!$B1:$AH671,29,FALSE)-AVERAGE('The List'!AD2:AD671))/STDEV('The List'!AD2:AD671)</f>
        <v>2.215900914695685</v>
      </c>
      <c r="R568" s="55" cm="1">
        <f t="array" ref="R568">(VLOOKUP($A568,'The List'!$B1:$AH671,30,FALSE)-AVERAGE('The List'!AE2:AE671))/STDEV('The List'!AE2:AE671)</f>
        <v>-1.1192633074478107</v>
      </c>
      <c r="S568" s="55" cm="1">
        <f t="array" ref="S568">(VLOOKUP($A568,'The List'!$B1:$AH671,31,FALSE)-AVERAGE('The List'!AF2:AF671))/STDEV('The List'!AF2:AF671)</f>
        <v>-0.5939690971349143</v>
      </c>
      <c r="T568" s="55" cm="1">
        <f t="array" ref="T568">(VLOOKUP($A568,'The List'!$B1:$AH671,32,FALSE)-AVERAGE('The List'!AG2:AG671))/STDEV('The List'!AG2:AG671)</f>
        <v>-0.64602208138248207</v>
      </c>
      <c r="U568" s="55" cm="1">
        <f t="array" ref="U568">(VLOOKUP($A568,'The List'!$B1:$AH671,33,FALSE)-AVERAGE('The List'!AH2:AH671))/STDEV('The List'!AH2:AH671)</f>
        <v>-1.2548938914719048</v>
      </c>
      <c r="V568" s="55"/>
      <c r="W568" s="78"/>
      <c r="X568" s="57"/>
      <c r="Y568" s="57"/>
      <c r="Z568" s="57"/>
      <c r="AA568" s="57"/>
      <c r="AB568" s="57"/>
      <c r="AC568" s="60"/>
      <c r="AD568" s="61"/>
      <c r="AE568" s="55"/>
    </row>
    <row r="569" spans="1:31" ht="21.25" customHeight="1" x14ac:dyDescent="0.15">
      <c r="A569" s="10" t="s">
        <v>763</v>
      </c>
      <c r="B569" s="18" t="str" cm="1">
        <f t="array" ref="B569">VLOOKUP(A569,'Player Data'!A1:B673,2,FALSE)</f>
        <v>FLA</v>
      </c>
      <c r="C569" s="52" cm="1">
        <f t="array" ref="C569">((E569)*Settings!$C$12)+(F569*Settings!$C$2)+(G569*Settings!$C$3)+(H569*Settings!$C$4)+(I569*Settings!$C$5)+(K569*Settings!$C$9)+(N569*Settings!$C$6)+(J569*Settings!$C$8)+(O569*Settings!$C$7)+(P569*Settings!$C$14)+(Q569*Settings!$C$15)+(R569*Settings!$C$16)+(S569*Settings!$C$17)+(T569*Settings!$C$18)+(U569*Settings!$C$19)+(L569*Settings!$C$10)+(Settings!$C$11*M569)</f>
        <v>-4.7992130983897558</v>
      </c>
      <c r="D569" s="57" cm="1">
        <f t="array" ref="D569">IF(Settings!$E$12="YES",VLOOKUP(A569,'Player Data'!A1:E673,5,FALSE),82)</f>
        <v>81.27</v>
      </c>
      <c r="E569" s="55" cm="1">
        <f t="array" ref="E569">(VLOOKUP($A569,'The List'!$B1:$AH671,17,FALSE)-AVERAGE('The List'!R2:R671))/STDEV('The List'!R2:R671)</f>
        <v>-1.6899797068072335</v>
      </c>
      <c r="F569" s="55" cm="1">
        <f t="array" ref="F569">(VLOOKUP($A569,'The List'!$B1:$AH671,18,FALSE)-AVERAGE('The List'!S2:S671))/STDEV('The List'!S2:S671)</f>
        <v>-0.82424332966379255</v>
      </c>
      <c r="G569" s="55" cm="1">
        <f t="array" ref="G569">(VLOOKUP($A569,'The List'!$B1:$AH671,19,FALSE)-AVERAGE('The List'!T2:T671))/STDEV('The List'!T2:T671)</f>
        <v>-1.0555498726425883</v>
      </c>
      <c r="H569" s="55" cm="1">
        <f t="array" ref="H569">(VLOOKUP($A569,'The List'!$B1:$AH671,20,FALSE)-AVERAGE('The List'!U2:U671))/STDEV('The List'!U2:U671)</f>
        <v>-1.0296341337589958</v>
      </c>
      <c r="I569" s="55" cm="1">
        <f t="array" ref="I569">(VLOOKUP($A569,'The List'!$B1:$AH671,21,FALSE)-AVERAGE('The List'!V2:V671))/STDEV('The List'!V2:V671)</f>
        <v>-0.87120734186058535</v>
      </c>
      <c r="J569" s="55" cm="1">
        <f t="array" ref="J569">(VLOOKUP($A569,'The List'!$B1:$AH671,22,FALSE)-AVERAGE('The List'!W2:W671))/STDEV('The List'!W2:W671)</f>
        <v>-0.73794236531277879</v>
      </c>
      <c r="K569" s="55" cm="1">
        <f t="array" ref="K569">(VLOOKUP($A569,'The List'!$B1:$AH671,23,FALSE)-AVERAGE('The List'!X2:X671))/STDEV('The List'!X2:X671)</f>
        <v>-0.80327973611327208</v>
      </c>
      <c r="L569" s="55" cm="1">
        <f t="array" ref="L569">(VLOOKUP($A569,'The List'!$B1:$AH671,24,FALSE)-AVERAGE('The List'!Y2:Y671))/STDEV('The List'!Y2:Y671)</f>
        <v>0.14478236298483479</v>
      </c>
      <c r="M569" s="55" cm="1">
        <f t="array" ref="M569">(VLOOKUP($A569,'The List'!$B1:$AH671,25,FALSE)-AVERAGE('The List'!Z2:Z671))/STDEV('The List'!Z2:Z671)</f>
        <v>-0.1189683045009068</v>
      </c>
      <c r="N569" s="55" cm="1">
        <f t="array" ref="N569">(VLOOKUP($A569,'The List'!$B1:$AH671,26,FALSE)-AVERAGE('The List'!AA2:AA671))/STDEV('The List'!AA2:AA671)</f>
        <v>-0.72740914619986663</v>
      </c>
      <c r="O569" s="55" cm="1">
        <f t="array" ref="O569">(VLOOKUP($A569,'The List'!$B1:$AH671,27,FALSE)-AVERAGE('The List'!AB2:AB671))/STDEV('The List'!AB2:AB671)</f>
        <v>-0.39108574593463824</v>
      </c>
      <c r="P569" s="55" cm="1">
        <f t="array" ref="P569">(VLOOKUP($A569,'The List'!$B1:$AH671,28,FALSE)-AVERAGE('The List'!AC2:AC671))/STDEV('The List'!AC2:AC671)</f>
        <v>0.32604252471910938</v>
      </c>
      <c r="Q569" s="55" cm="1">
        <f t="array" ref="Q569">(VLOOKUP($A569,'The List'!$B1:$AH671,29,FALSE)-AVERAGE('The List'!AD2:AD671))/STDEV('The List'!AD2:AD671)</f>
        <v>-0.84356619662876065</v>
      </c>
      <c r="R569" s="55" cm="1">
        <f t="array" ref="R569">(VLOOKUP($A569,'The List'!$B1:$AH671,30,FALSE)-AVERAGE('The List'!AE2:AE671))/STDEV('The List'!AE2:AE671)</f>
        <v>-0.76404739802966448</v>
      </c>
      <c r="S569" s="55" cm="1">
        <f t="array" ref="S569">(VLOOKUP($A569,'The List'!$B1:$AH671,31,FALSE)-AVERAGE('The List'!AF2:AF671))/STDEV('The List'!AF2:AF671)</f>
        <v>1.0170331457474602</v>
      </c>
      <c r="T569" s="55" cm="1">
        <f t="array" ref="T569">(VLOOKUP($A569,'The List'!$B1:$AH671,32,FALSE)-AVERAGE('The List'!AG2:AG671))/STDEV('The List'!AG2:AG671)</f>
        <v>0.88524286988534884</v>
      </c>
      <c r="U569" s="55" cm="1">
        <f t="array" ref="U569">(VLOOKUP($A569,'The List'!$B1:$AH671,33,FALSE)-AVERAGE('The List'!AH2:AH671))/STDEV('The List'!AH2:AH671)</f>
        <v>1.1740736804194369</v>
      </c>
      <c r="V569" s="55"/>
      <c r="W569" s="57"/>
      <c r="X569" s="55"/>
      <c r="Y569" s="55"/>
      <c r="Z569" s="55"/>
      <c r="AA569" s="55"/>
      <c r="AB569" s="55"/>
      <c r="AC569" s="55"/>
      <c r="AD569" s="55"/>
      <c r="AE569" s="55"/>
    </row>
    <row r="570" spans="1:31" ht="21.25" customHeight="1" x14ac:dyDescent="0.15">
      <c r="A570" s="10" t="s">
        <v>790</v>
      </c>
      <c r="B570" s="18" t="str" cm="1">
        <f t="array" ref="B570">VLOOKUP(A570,'Player Data'!A1:B673,2,FALSE)</f>
        <v>CHI</v>
      </c>
      <c r="C570" s="52" cm="1">
        <f t="array" ref="C570">((E570)*Settings!$C$12)+(F570*Settings!$C$2)+(G570*Settings!$C$3)+(H570*Settings!$C$4)+(I570*Settings!$C$5)+(K570*Settings!$C$9)+(N570*Settings!$C$6)+(J570*Settings!$C$8)+(O570*Settings!$C$7)+(P570*Settings!$C$14)+(Q570*Settings!$C$15)+(R570*Settings!$C$16)+(S570*Settings!$C$17)+(T570*Settings!$C$18)+(U570*Settings!$C$19)+(L570*Settings!$C$10)+(Settings!$C$11*M570)</f>
        <v>-7.346393281881471</v>
      </c>
      <c r="D570" s="57" cm="1">
        <f t="array" ref="D570">IF(Settings!$E$12="YES",VLOOKUP(A570,'Player Data'!A1:E673,5,FALSE),82)</f>
        <v>65.545000000000002</v>
      </c>
      <c r="E570" s="55" cm="1">
        <f t="array" ref="E570">(VLOOKUP($A570,'The List'!$B1:$AH671,17,FALSE)-AVERAGE('The List'!R2:R671))/STDEV('The List'!R2:R671)</f>
        <v>-1.4821939515410085</v>
      </c>
      <c r="F570" s="55" cm="1">
        <f t="array" ref="F570">(VLOOKUP($A570,'The List'!$B1:$AH671,18,FALSE)-AVERAGE('The List'!S2:S671))/STDEV('The List'!S2:S671)</f>
        <v>-0.91356990374811942</v>
      </c>
      <c r="G570" s="55" cm="1">
        <f t="array" ref="G570">(VLOOKUP($A570,'The List'!$B1:$AH671,19,FALSE)-AVERAGE('The List'!T2:T671))/STDEV('The List'!T2:T671)</f>
        <v>-1.1852886248117653</v>
      </c>
      <c r="H570" s="55" cm="1">
        <f t="array" ref="H570">(VLOOKUP($A570,'The List'!$B1:$AH671,20,FALSE)-AVERAGE('The List'!U2:U671))/STDEV('The List'!U2:U671)</f>
        <v>-1.1508713818490275</v>
      </c>
      <c r="I570" s="55" cm="1">
        <f t="array" ref="I570">(VLOOKUP($A570,'The List'!$B1:$AH671,21,FALSE)-AVERAGE('The List'!V2:V671))/STDEV('The List'!V2:V671)</f>
        <v>-1.1188193285959158</v>
      </c>
      <c r="J570" s="55" cm="1">
        <f t="array" ref="J570">(VLOOKUP($A570,'The List'!$B1:$AH671,22,FALSE)-AVERAGE('The List'!W2:W671))/STDEV('The List'!W2:W671)</f>
        <v>-0.74914859834509717</v>
      </c>
      <c r="K570" s="55" cm="1">
        <f t="array" ref="K570">(VLOOKUP($A570,'The List'!$B1:$AH671,23,FALSE)-AVERAGE('The List'!X2:X671))/STDEV('The List'!X2:X671)</f>
        <v>-0.81109791581752666</v>
      </c>
      <c r="L570" s="55" cm="1">
        <f t="array" ref="L570">(VLOOKUP($A570,'The List'!$B1:$AH671,24,FALSE)-AVERAGE('The List'!Y2:Y671))/STDEV('The List'!Y2:Y671)</f>
        <v>-0.15452883550312463</v>
      </c>
      <c r="M570" s="55" cm="1">
        <f t="array" ref="M570">(VLOOKUP($A570,'The List'!$B1:$AH671,25,FALSE)-AVERAGE('The List'!Z2:Z671))/STDEV('The List'!Z2:Z671)</f>
        <v>-0.25148143791016814</v>
      </c>
      <c r="N570" s="55" cm="1">
        <f t="array" ref="N570">(VLOOKUP($A570,'The List'!$B1:$AH671,26,FALSE)-AVERAGE('The List'!AA2:AA671))/STDEV('The List'!AA2:AA671)</f>
        <v>-0.83962316492446409</v>
      </c>
      <c r="O570" s="55" cm="1">
        <f t="array" ref="O570">(VLOOKUP($A570,'The List'!$B1:$AH671,27,FALSE)-AVERAGE('The List'!AB2:AB671))/STDEV('The List'!AB2:AB671)</f>
        <v>0.16011490391805761</v>
      </c>
      <c r="P570" s="55" cm="1">
        <f t="array" ref="P570">(VLOOKUP($A570,'The List'!$B1:$AH671,28,FALSE)-AVERAGE('The List'!AC2:AC671))/STDEV('The List'!AC2:AC671)</f>
        <v>-1.482875425408567</v>
      </c>
      <c r="Q570" s="55" cm="1">
        <f t="array" ref="Q570">(VLOOKUP($A570,'The List'!$B1:$AH671,29,FALSE)-AVERAGE('The List'!AD2:AD671))/STDEV('The List'!AD2:AD671)</f>
        <v>-0.99511891857511248</v>
      </c>
      <c r="R570" s="55" cm="1">
        <f t="array" ref="R570">(VLOOKUP($A570,'The List'!$B1:$AH671,30,FALSE)-AVERAGE('The List'!AE2:AE671))/STDEV('The List'!AE2:AE671)</f>
        <v>-0.98018210915008686</v>
      </c>
      <c r="S570" s="55" cm="1">
        <f t="array" ref="S570">(VLOOKUP($A570,'The List'!$B1:$AH671,31,FALSE)-AVERAGE('The List'!AF2:AF671))/STDEV('The List'!AF2:AF671)</f>
        <v>-0.58992777113391393</v>
      </c>
      <c r="T570" s="55" cm="1">
        <f t="array" ref="T570">(VLOOKUP($A570,'The List'!$B1:$AH671,32,FALSE)-AVERAGE('The List'!AG2:AG671))/STDEV('The List'!AG2:AG671)</f>
        <v>-0.62718331982402176</v>
      </c>
      <c r="U570" s="55" cm="1">
        <f t="array" ref="U570">(VLOOKUP($A570,'The List'!$B1:$AH671,33,FALSE)-AVERAGE('The List'!AH2:AH671))/STDEV('The List'!AH2:AH671)</f>
        <v>-0.40001068862856254</v>
      </c>
      <c r="V570" s="55"/>
      <c r="W570" s="57"/>
      <c r="X570" s="55"/>
      <c r="Y570" s="55"/>
      <c r="Z570" s="55"/>
      <c r="AA570" s="55"/>
      <c r="AB570" s="55"/>
      <c r="AC570" s="55"/>
      <c r="AD570" s="55"/>
      <c r="AE570" s="55"/>
    </row>
    <row r="571" spans="1:31" ht="21.25" customHeight="1" x14ac:dyDescent="0.15">
      <c r="A571" s="10" t="s">
        <v>580</v>
      </c>
      <c r="B571" s="18" t="str" cm="1">
        <f t="array" ref="B571">VLOOKUP(A571,'Player Data'!A1:B673,2,FALSE)</f>
        <v>FLA</v>
      </c>
      <c r="C571" s="52" cm="1">
        <f t="array" ref="C571">((E571)*Settings!$C$12)+(F571*Settings!$C$2)+(G571*Settings!$C$3)+(H571*Settings!$C$4)+(I571*Settings!$C$5)+(K571*Settings!$C$9)+(N571*Settings!$C$6)+(J571*Settings!$C$8)+(O571*Settings!$C$7)+(P571*Settings!$C$14)+(Q571*Settings!$C$15)+(R571*Settings!$C$16)+(S571*Settings!$C$17)+(T571*Settings!$C$18)+(U571*Settings!$C$19)+(L571*Settings!$C$10)+(Settings!$C$11*M571)</f>
        <v>-3.7814656059895757</v>
      </c>
      <c r="D571" s="57" cm="1">
        <f t="array" ref="D571">IF(Settings!$E$12="YES",VLOOKUP(A571,'Player Data'!A1:E673,5,FALSE),82)</f>
        <v>72.635000000000005</v>
      </c>
      <c r="E571" s="55" cm="1">
        <f t="array" ref="E571">(VLOOKUP($A571,'The List'!$B1:$AH671,17,FALSE)-AVERAGE('The List'!R2:R671))/STDEV('The List'!R2:R671)</f>
        <v>-0.54603631017335175</v>
      </c>
      <c r="F571" s="55" cm="1">
        <f t="array" ref="F571">(VLOOKUP($A571,'The List'!$B1:$AH671,18,FALSE)-AVERAGE('The List'!S2:S671))/STDEV('The List'!S2:S671)</f>
        <v>-1.0516990188663107</v>
      </c>
      <c r="G571" s="55" cm="1">
        <f t="array" ref="G571">(VLOOKUP($A571,'The List'!$B1:$AH671,19,FALSE)-AVERAGE('The List'!T2:T671))/STDEV('The List'!T2:T671)</f>
        <v>-1.0023406846741612</v>
      </c>
      <c r="H571" s="55" cm="1">
        <f t="array" ref="H571">(VLOOKUP($A571,'The List'!$B1:$AH671,20,FALSE)-AVERAGE('The List'!U2:U671))/STDEV('The List'!U2:U671)</f>
        <v>-1.0970829767624635</v>
      </c>
      <c r="I571" s="55" cm="1">
        <f t="array" ref="I571">(VLOOKUP($A571,'The List'!$B1:$AH671,21,FALSE)-AVERAGE('The List'!V2:V671))/STDEV('The List'!V2:V671)</f>
        <v>-0.90584927933454029</v>
      </c>
      <c r="J571" s="55" cm="1">
        <f t="array" ref="J571">(VLOOKUP($A571,'The List'!$B1:$AH671,22,FALSE)-AVERAGE('The List'!W2:W671))/STDEV('The List'!W2:W671)</f>
        <v>-0.73221176629653462</v>
      </c>
      <c r="K571" s="55" cm="1">
        <f t="array" ref="K571">(VLOOKUP($A571,'The List'!$B1:$AH671,23,FALSE)-AVERAGE('The List'!X2:X671))/STDEV('The List'!X2:X671)</f>
        <v>-0.78931332259923181</v>
      </c>
      <c r="L571" s="55" cm="1">
        <f t="array" ref="L571">(VLOOKUP($A571,'The List'!$B1:$AH671,24,FALSE)-AVERAGE('The List'!Y2:Y671))/STDEV('The List'!Y2:Y671)</f>
        <v>-0.5622618074939616</v>
      </c>
      <c r="M571" s="55" cm="1">
        <f t="array" ref="M571">(VLOOKUP($A571,'The List'!$B1:$AH671,25,FALSE)-AVERAGE('The List'!Z2:Z671))/STDEV('The List'!Z2:Z671)</f>
        <v>-0.70042708761865968</v>
      </c>
      <c r="N571" s="55" cm="1">
        <f t="array" ref="N571">(VLOOKUP($A571,'The List'!$B1:$AH671,26,FALSE)-AVERAGE('The List'!AA2:AA671))/STDEV('The List'!AA2:AA671)</f>
        <v>-9.7127700983048862E-2</v>
      </c>
      <c r="O571" s="55" cm="1">
        <f t="array" ref="O571">(VLOOKUP($A571,'The List'!$B1:$AH671,27,FALSE)-AVERAGE('The List'!AB2:AB671))/STDEV('The List'!AB2:AB671)</f>
        <v>-1.3737761401122294E-2</v>
      </c>
      <c r="P571" s="55" cm="1">
        <f t="array" ref="P571">(VLOOKUP($A571,'The List'!$B1:$AH671,28,FALSE)-AVERAGE('The List'!AC2:AC671))/STDEV('The List'!AC2:AC671)</f>
        <v>0.27827078288056301</v>
      </c>
      <c r="Q571" s="55" cm="1">
        <f t="array" ref="Q571">(VLOOKUP($A571,'The List'!$B1:$AH671,29,FALSE)-AVERAGE('The List'!AD2:AD671))/STDEV('The List'!AD2:AD671)</f>
        <v>-0.21340638241284623</v>
      </c>
      <c r="R571" s="55" cm="1">
        <f t="array" ref="R571">(VLOOKUP($A571,'The List'!$B1:$AH671,30,FALSE)-AVERAGE('The List'!AE2:AE671))/STDEV('The List'!AE2:AE671)</f>
        <v>-1.0007030555401957</v>
      </c>
      <c r="S571" s="55" cm="1">
        <f t="array" ref="S571">(VLOOKUP($A571,'The List'!$B1:$AH671,31,FALSE)-AVERAGE('The List'!AF2:AF671))/STDEV('The List'!AF2:AF671)</f>
        <v>-0.5939690971349143</v>
      </c>
      <c r="T571" s="55" cm="1">
        <f t="array" ref="T571">(VLOOKUP($A571,'The List'!$B1:$AH671,32,FALSE)-AVERAGE('The List'!AG2:AG671))/STDEV('The List'!AG2:AG671)</f>
        <v>-0.64414536157613744</v>
      </c>
      <c r="U571" s="55" cm="1">
        <f t="array" ref="U571">(VLOOKUP($A571,'The List'!$B1:$AH671,33,FALSE)-AVERAGE('The List'!AH2:AH671))/STDEV('The List'!AH2:AH671)</f>
        <v>-1.2548938914719048</v>
      </c>
      <c r="V571" s="55"/>
      <c r="W571" s="78"/>
      <c r="X571" s="57"/>
      <c r="Y571" s="57"/>
      <c r="Z571" s="57"/>
      <c r="AA571" s="57"/>
      <c r="AB571" s="57"/>
      <c r="AC571" s="60"/>
      <c r="AD571" s="61"/>
      <c r="AE571" s="55"/>
    </row>
    <row r="572" spans="1:31" ht="21.25" customHeight="1" x14ac:dyDescent="0.15">
      <c r="A572" s="10" t="s">
        <v>632</v>
      </c>
      <c r="B572" s="18" t="str" cm="1">
        <f t="array" ref="B572">VLOOKUP(A572,'Player Data'!A1:B673,2,FALSE)</f>
        <v>NYI</v>
      </c>
      <c r="C572" s="52" cm="1">
        <f t="array" ref="C572">((E572)*Settings!$C$12)+(F572*Settings!$C$2)+(G572*Settings!$C$3)+(H572*Settings!$C$4)+(I572*Settings!$C$5)+(K572*Settings!$C$9)+(N572*Settings!$C$6)+(J572*Settings!$C$8)+(O572*Settings!$C$7)+(P572*Settings!$C$14)+(Q572*Settings!$C$15)+(R572*Settings!$C$16)+(S572*Settings!$C$17)+(T572*Settings!$C$18)+(U572*Settings!$C$19)+(L572*Settings!$C$10)+(Settings!$C$11*M572)</f>
        <v>-6.7434518573790898</v>
      </c>
      <c r="D572" s="57" cm="1">
        <f t="array" ref="D572">IF(Settings!$E$12="YES",VLOOKUP(A572,'Player Data'!A1:E673,5,FALSE),82)</f>
        <v>63.282499999999999</v>
      </c>
      <c r="E572" s="55" cm="1">
        <f t="array" ref="E572">(VLOOKUP($A572,'The List'!$B1:$AH671,17,FALSE)-AVERAGE('The List'!R2:R671))/STDEV('The List'!R2:R671)</f>
        <v>-1.0466570140384821</v>
      </c>
      <c r="F572" s="55" cm="1">
        <f t="array" ref="F572">(VLOOKUP($A572,'The List'!$B1:$AH671,18,FALSE)-AVERAGE('The List'!S2:S671))/STDEV('The List'!S2:S671)</f>
        <v>-1.1436696661615184</v>
      </c>
      <c r="G572" s="55" cm="1">
        <f t="array" ref="G572">(VLOOKUP($A572,'The List'!$B1:$AH671,19,FALSE)-AVERAGE('The List'!T2:T671))/STDEV('The List'!T2:T671)</f>
        <v>-1.0687846905919918</v>
      </c>
      <c r="H572" s="55" cm="1">
        <f t="array" ref="H572">(VLOOKUP($A572,'The List'!$B1:$AH671,20,FALSE)-AVERAGE('The List'!U2:U671))/STDEV('The List'!U2:U671)</f>
        <v>-1.1796812813134743</v>
      </c>
      <c r="I572" s="55" cm="1">
        <f t="array" ref="I572">(VLOOKUP($A572,'The List'!$B1:$AH671,21,FALSE)-AVERAGE('The List'!V2:V671))/STDEV('The List'!V2:V671)</f>
        <v>-1.3705173921858624</v>
      </c>
      <c r="J572" s="55" cm="1">
        <f t="array" ref="J572">(VLOOKUP($A572,'The List'!$B1:$AH671,22,FALSE)-AVERAGE('The List'!W2:W671))/STDEV('The List'!W2:W671)</f>
        <v>-0.7248133745320513</v>
      </c>
      <c r="K572" s="55" cm="1">
        <f t="array" ref="K572">(VLOOKUP($A572,'The List'!$B1:$AH671,23,FALSE)-AVERAGE('The List'!X2:X671))/STDEV('The List'!X2:X671)</f>
        <v>-0.71973078935595713</v>
      </c>
      <c r="L572" s="55" cm="1">
        <f t="array" ref="L572">(VLOOKUP($A572,'The List'!$B1:$AH671,24,FALSE)-AVERAGE('The List'!Y2:Y671))/STDEV('The List'!Y2:Y671)</f>
        <v>-0.56105183145499316</v>
      </c>
      <c r="M572" s="55" cm="1">
        <f t="array" ref="M572">(VLOOKUP($A572,'The List'!$B1:$AH671,25,FALSE)-AVERAGE('The List'!Z2:Z671))/STDEV('The List'!Z2:Z671)</f>
        <v>-0.69802633612485054</v>
      </c>
      <c r="N572" s="55" cm="1">
        <f t="array" ref="N572">(VLOOKUP($A572,'The List'!$B1:$AH671,26,FALSE)-AVERAGE('The List'!AA2:AA671))/STDEV('The List'!AA2:AA671)</f>
        <v>-0.28893412453785439</v>
      </c>
      <c r="O572" s="55" cm="1">
        <f t="array" ref="O572">(VLOOKUP($A572,'The List'!$B1:$AH671,27,FALSE)-AVERAGE('The List'!AB2:AB671))/STDEV('The List'!AB2:AB671)</f>
        <v>-0.82437129336197001</v>
      </c>
      <c r="P572" s="55" cm="1">
        <f t="array" ref="P572">(VLOOKUP($A572,'The List'!$B1:$AH671,28,FALSE)-AVERAGE('The List'!AC2:AC671))/STDEV('The List'!AC2:AC671)</f>
        <v>-0.87094463965483648</v>
      </c>
      <c r="Q572" s="55" cm="1">
        <f t="array" ref="Q572">(VLOOKUP($A572,'The List'!$B1:$AH671,29,FALSE)-AVERAGE('The List'!AD2:AD671))/STDEV('The List'!AD2:AD671)</f>
        <v>-1.280870554891069</v>
      </c>
      <c r="R572" s="55" cm="1">
        <f t="array" ref="R572">(VLOOKUP($A572,'The List'!$B1:$AH671,30,FALSE)-AVERAGE('The List'!AE2:AE671))/STDEV('The List'!AE2:AE671)</f>
        <v>-1.1254753082874067</v>
      </c>
      <c r="S572" s="55" cm="1">
        <f t="array" ref="S572">(VLOOKUP($A572,'The List'!$B1:$AH671,31,FALSE)-AVERAGE('The List'!AF2:AF671))/STDEV('The List'!AF2:AF671)</f>
        <v>-0.5939690971349143</v>
      </c>
      <c r="T572" s="55" cm="1">
        <f t="array" ref="T572">(VLOOKUP($A572,'The List'!$B1:$AH671,32,FALSE)-AVERAGE('The List'!AG2:AG671))/STDEV('The List'!AG2:AG671)</f>
        <v>-0.64602208138248207</v>
      </c>
      <c r="U572" s="55" cm="1">
        <f t="array" ref="U572">(VLOOKUP($A572,'The List'!$B1:$AH671,33,FALSE)-AVERAGE('The List'!AH2:AH671))/STDEV('The List'!AH2:AH671)</f>
        <v>-1.2548938914719048</v>
      </c>
      <c r="V572" s="55"/>
      <c r="W572" s="78"/>
      <c r="X572" s="57"/>
      <c r="Y572" s="57"/>
      <c r="Z572" s="57"/>
      <c r="AA572" s="57"/>
      <c r="AB572" s="57"/>
      <c r="AC572" s="60"/>
      <c r="AD572" s="61"/>
      <c r="AE572" s="55"/>
    </row>
    <row r="573" spans="1:31" ht="21.25" customHeight="1" x14ac:dyDescent="0.15">
      <c r="A573" s="10" t="s">
        <v>529</v>
      </c>
      <c r="B573" s="18" t="str" cm="1">
        <f t="array" ref="B573">VLOOKUP(A573,'Player Data'!A1:B673,2,FALSE)</f>
        <v>PIT</v>
      </c>
      <c r="C573" s="52" cm="1">
        <f t="array" ref="C573">((E573)*Settings!$C$12)+(F573*Settings!$C$2)+(G573*Settings!$C$3)+(H573*Settings!$C$4)+(I573*Settings!$C$5)+(K573*Settings!$C$9)+(N573*Settings!$C$6)+(J573*Settings!$C$8)+(O573*Settings!$C$7)+(P573*Settings!$C$14)+(Q573*Settings!$C$15)+(R573*Settings!$C$16)+(S573*Settings!$C$17)+(T573*Settings!$C$18)+(U573*Settings!$C$19)+(L573*Settings!$C$10)+(Settings!$C$11*M573)</f>
        <v>-3.4054776580845996</v>
      </c>
      <c r="D573" s="57" cm="1">
        <f t="array" ref="D573">IF(Settings!$E$12="YES",VLOOKUP(A573,'Player Data'!A1:E673,5,FALSE),82)</f>
        <v>80.344999999999999</v>
      </c>
      <c r="E573" s="55" cm="1">
        <f t="array" ref="E573">(VLOOKUP($A573,'The List'!$B1:$AH671,17,FALSE)-AVERAGE('The List'!R2:R671))/STDEV('The List'!R2:R671)</f>
        <v>0.18367683303256827</v>
      </c>
      <c r="F573" s="55" cm="1">
        <f t="array" ref="F573">(VLOOKUP($A573,'The List'!$B1:$AH671,18,FALSE)-AVERAGE('The List'!S2:S671))/STDEV('The List'!S2:S671)</f>
        <v>-1.3934103225787076</v>
      </c>
      <c r="G573" s="55" cm="1">
        <f t="array" ref="G573">(VLOOKUP($A573,'The List'!$B1:$AH671,19,FALSE)-AVERAGE('The List'!T2:T671))/STDEV('The List'!T2:T671)</f>
        <v>-0.70364294779295833</v>
      </c>
      <c r="H573" s="55" cm="1">
        <f t="array" ref="H573">(VLOOKUP($A573,'The List'!$B1:$AH671,20,FALSE)-AVERAGE('The List'!U2:U671))/STDEV('The List'!U2:U671)</f>
        <v>-1.0608135489739683</v>
      </c>
      <c r="I573" s="55" cm="1">
        <f t="array" ref="I573">(VLOOKUP($A573,'The List'!$B1:$AH671,21,FALSE)-AVERAGE('The List'!V2:V671))/STDEV('The List'!V2:V671)</f>
        <v>-1.4559157354641126</v>
      </c>
      <c r="J573" s="55" cm="1">
        <f t="array" ref="J573">(VLOOKUP($A573,'The List'!$B1:$AH671,22,FALSE)-AVERAGE('The List'!W2:W671))/STDEV('The List'!W2:W671)</f>
        <v>-0.7508661874227498</v>
      </c>
      <c r="K573" s="55" cm="1">
        <f t="array" ref="K573">(VLOOKUP($A573,'The List'!$B1:$AH671,23,FALSE)-AVERAGE('The List'!X2:X671))/STDEV('The List'!X2:X671)</f>
        <v>-0.80402368157967419</v>
      </c>
      <c r="L573" s="55" cm="1">
        <f t="array" ref="L573">(VLOOKUP($A573,'The List'!$B1:$AH671,24,FALSE)-AVERAGE('The List'!Y2:Y671))/STDEV('The List'!Y2:Y671)</f>
        <v>-0.57115581769946866</v>
      </c>
      <c r="M573" s="55" cm="1">
        <f t="array" ref="M573">(VLOOKUP($A573,'The List'!$B1:$AH671,25,FALSE)-AVERAGE('The List'!Z2:Z671))/STDEV('The List'!Z2:Z671)</f>
        <v>-0.40856717207277327</v>
      </c>
      <c r="N573" s="55" cm="1">
        <f t="array" ref="N573">(VLOOKUP($A573,'The List'!$B1:$AH671,26,FALSE)-AVERAGE('The List'!AA2:AA671))/STDEV('The List'!AA2:AA671)</f>
        <v>1.5918455742111666</v>
      </c>
      <c r="O573" s="55" cm="1">
        <f t="array" ref="O573">(VLOOKUP($A573,'The List'!$B1:$AH671,27,FALSE)-AVERAGE('The List'!AB2:AB671))/STDEV('The List'!AB2:AB671)</f>
        <v>-1.0607329905245888</v>
      </c>
      <c r="P573" s="55" cm="1">
        <f t="array" ref="P573">(VLOOKUP($A573,'The List'!$B1:$AH671,28,FALSE)-AVERAGE('The List'!AC2:AC671))/STDEV('The List'!AC2:AC671)</f>
        <v>-8.8866553121286052E-2</v>
      </c>
      <c r="Q573" s="55" cm="1">
        <f t="array" ref="Q573">(VLOOKUP($A573,'The List'!$B1:$AH671,29,FALSE)-AVERAGE('The List'!AD2:AD671))/STDEV('The List'!AD2:AD671)</f>
        <v>-0.55146399175902794</v>
      </c>
      <c r="R573" s="55" cm="1">
        <f t="array" ref="R573">(VLOOKUP($A573,'The List'!$B1:$AH671,30,FALSE)-AVERAGE('The List'!AE2:AE671))/STDEV('The List'!AE2:AE671)</f>
        <v>-1.3532488696999201</v>
      </c>
      <c r="S573" s="55" cm="1">
        <f t="array" ref="S573">(VLOOKUP($A573,'The List'!$B1:$AH671,31,FALSE)-AVERAGE('The List'!AF2:AF671))/STDEV('The List'!AF2:AF671)</f>
        <v>-0.5939690971349143</v>
      </c>
      <c r="T573" s="55" cm="1">
        <f t="array" ref="T573">(VLOOKUP($A573,'The List'!$B1:$AH671,32,FALSE)-AVERAGE('The List'!AG2:AG671))/STDEV('The List'!AG2:AG671)</f>
        <v>-0.64602208138248207</v>
      </c>
      <c r="U573" s="55" cm="1">
        <f t="array" ref="U573">(VLOOKUP($A573,'The List'!$B1:$AH671,33,FALSE)-AVERAGE('The List'!AH2:AH671))/STDEV('The List'!AH2:AH671)</f>
        <v>-1.2548938914719048</v>
      </c>
      <c r="V573" s="55"/>
      <c r="W573" s="78"/>
      <c r="X573" s="57"/>
      <c r="Y573" s="57"/>
      <c r="Z573" s="57"/>
      <c r="AA573" s="57"/>
      <c r="AB573" s="57"/>
      <c r="AC573" s="60"/>
      <c r="AD573" s="61"/>
      <c r="AE573" s="55"/>
    </row>
    <row r="574" spans="1:31" ht="21.25" customHeight="1" x14ac:dyDescent="0.15">
      <c r="A574" s="10" t="s">
        <v>626</v>
      </c>
      <c r="B574" s="18" t="str" cm="1">
        <f t="array" ref="B574">VLOOKUP(A574,'Player Data'!A1:B673,2,FALSE)</f>
        <v>NYR</v>
      </c>
      <c r="C574" s="52" cm="1">
        <f t="array" ref="C574">((E574)*Settings!$C$12)+(F574*Settings!$C$2)+(G574*Settings!$C$3)+(H574*Settings!$C$4)+(I574*Settings!$C$5)+(K574*Settings!$C$9)+(N574*Settings!$C$6)+(J574*Settings!$C$8)+(O574*Settings!$C$7)+(P574*Settings!$C$14)+(Q574*Settings!$C$15)+(R574*Settings!$C$16)+(S574*Settings!$C$17)+(T574*Settings!$C$18)+(U574*Settings!$C$19)+(L574*Settings!$C$10)+(Settings!$C$11*M574)</f>
        <v>-5.565756545037396</v>
      </c>
      <c r="D574" s="57" cm="1">
        <f t="array" ref="D574">IF(Settings!$E$12="YES",VLOOKUP(A574,'Player Data'!A1:E673,5,FALSE),82)</f>
        <v>56.217500000000001</v>
      </c>
      <c r="E574" s="55" cm="1">
        <f t="array" ref="E574">(VLOOKUP($A574,'The List'!$B1:$AH671,17,FALSE)-AVERAGE('The List'!R2:R671))/STDEV('The List'!R2:R671)</f>
        <v>-0.34685676093430401</v>
      </c>
      <c r="F574" s="55" cm="1">
        <f t="array" ref="F574">(VLOOKUP($A574,'The List'!$B1:$AH671,18,FALSE)-AVERAGE('The List'!S2:S671))/STDEV('The List'!S2:S671)</f>
        <v>-1.2253356691272106</v>
      </c>
      <c r="G574" s="55" cm="1">
        <f t="array" ref="G574">(VLOOKUP($A574,'The List'!$B1:$AH671,19,FALSE)-AVERAGE('The List'!T2:T671))/STDEV('The List'!T2:T671)</f>
        <v>-1.1139259180675589</v>
      </c>
      <c r="H574" s="55" cm="1">
        <f t="array" ref="H574">(VLOOKUP($A574,'The List'!$B1:$AH671,20,FALSE)-AVERAGE('The List'!U2:U671))/STDEV('The List'!U2:U671)</f>
        <v>-1.2443083041373248</v>
      </c>
      <c r="I574" s="55" cm="1">
        <f t="array" ref="I574">(VLOOKUP($A574,'The List'!$B1:$AH671,21,FALSE)-AVERAGE('The List'!V2:V671))/STDEV('The List'!V2:V671)</f>
        <v>-1.4527408144290321</v>
      </c>
      <c r="J574" s="55" cm="1">
        <f t="array" ref="J574">(VLOOKUP($A574,'The List'!$B1:$AH671,22,FALSE)-AVERAGE('The List'!W2:W671))/STDEV('The List'!W2:W671)</f>
        <v>-0.74820826083235392</v>
      </c>
      <c r="K574" s="55" cm="1">
        <f t="array" ref="K574">(VLOOKUP($A574,'The List'!$B1:$AH671,23,FALSE)-AVERAGE('The List'!X2:X671))/STDEV('The List'!X2:X671)</f>
        <v>-0.80600629345111363</v>
      </c>
      <c r="L574" s="55" cm="1">
        <f t="array" ref="L574">(VLOOKUP($A574,'The List'!$B1:$AH671,24,FALSE)-AVERAGE('The List'!Y2:Y671))/STDEV('The List'!Y2:Y671)</f>
        <v>-0.49752621004436864</v>
      </c>
      <c r="M574" s="55" cm="1">
        <f t="array" ref="M574">(VLOOKUP($A574,'The List'!$B1:$AH671,25,FALSE)-AVERAGE('The List'!Z2:Z671))/STDEV('The List'!Z2:Z671)</f>
        <v>-0.57095823351493102</v>
      </c>
      <c r="N574" s="55" cm="1">
        <f t="array" ref="N574">(VLOOKUP($A574,'The List'!$B1:$AH671,26,FALSE)-AVERAGE('The List'!AA2:AA671))/STDEV('The List'!AA2:AA671)</f>
        <v>0.19171777245766589</v>
      </c>
      <c r="O574" s="55" cm="1">
        <f t="array" ref="O574">(VLOOKUP($A574,'The List'!$B1:$AH671,27,FALSE)-AVERAGE('The List'!AB2:AB671))/STDEV('The List'!AB2:AB671)</f>
        <v>-0.77878984838917953</v>
      </c>
      <c r="P574" s="55" cm="1">
        <f t="array" ref="P574">(VLOOKUP($A574,'The List'!$B1:$AH671,28,FALSE)-AVERAGE('The List'!AC2:AC671))/STDEV('The List'!AC2:AC671)</f>
        <v>-0.36469748278681557</v>
      </c>
      <c r="Q574" s="55" cm="1">
        <f t="array" ref="Q574">(VLOOKUP($A574,'The List'!$B1:$AH671,29,FALSE)-AVERAGE('The List'!AD2:AD671))/STDEV('The List'!AD2:AD671)</f>
        <v>-0.79476813963333137</v>
      </c>
      <c r="R574" s="55" cm="1">
        <f t="array" ref="R574">(VLOOKUP($A574,'The List'!$B1:$AH671,30,FALSE)-AVERAGE('The List'!AE2:AE671))/STDEV('The List'!AE2:AE671)</f>
        <v>-1.1899231392234524</v>
      </c>
      <c r="S574" s="55" cm="1">
        <f t="array" ref="S574">(VLOOKUP($A574,'The List'!$B1:$AH671,31,FALSE)-AVERAGE('The List'!AF2:AF671))/STDEV('The List'!AF2:AF671)</f>
        <v>-0.5939690971349143</v>
      </c>
      <c r="T574" s="55" cm="1">
        <f t="array" ref="T574">(VLOOKUP($A574,'The List'!$B1:$AH671,32,FALSE)-AVERAGE('The List'!AG2:AG671))/STDEV('The List'!AG2:AG671)</f>
        <v>-0.64602208138248207</v>
      </c>
      <c r="U574" s="55" cm="1">
        <f t="array" ref="U574">(VLOOKUP($A574,'The List'!$B1:$AH671,33,FALSE)-AVERAGE('The List'!AH2:AH671))/STDEV('The List'!AH2:AH671)</f>
        <v>-1.2548938914719048</v>
      </c>
      <c r="V574" s="55"/>
      <c r="W574" s="78"/>
      <c r="X574" s="57"/>
      <c r="Y574" s="57"/>
      <c r="Z574" s="57"/>
      <c r="AA574" s="57"/>
      <c r="AB574" s="57"/>
      <c r="AC574" s="60"/>
      <c r="AD574" s="61"/>
      <c r="AE574" s="55"/>
    </row>
    <row r="575" spans="1:31" ht="21.25" customHeight="1" x14ac:dyDescent="0.15">
      <c r="A575" s="10" t="s">
        <v>610</v>
      </c>
      <c r="B575" s="18" t="str" cm="1">
        <f t="array" ref="B575">VLOOKUP(A575,'Player Data'!A1:B673,2,FALSE)</f>
        <v>UTA</v>
      </c>
      <c r="C575" s="52" cm="1">
        <f t="array" ref="C575">((E575)*Settings!$C$12)+(F575*Settings!$C$2)+(G575*Settings!$C$3)+(H575*Settings!$C$4)+(I575*Settings!$C$5)+(K575*Settings!$C$9)+(N575*Settings!$C$6)+(J575*Settings!$C$8)+(O575*Settings!$C$7)+(P575*Settings!$C$14)+(Q575*Settings!$C$15)+(R575*Settings!$C$16)+(S575*Settings!$C$17)+(T575*Settings!$C$18)+(U575*Settings!$C$19)+(L575*Settings!$C$10)+(Settings!$C$11*M575)</f>
        <v>-4.9395466828475962</v>
      </c>
      <c r="D575" s="57" cm="1">
        <f t="array" ref="D575">IF(Settings!$E$12="YES",VLOOKUP(A575,'Player Data'!A1:E673,5,FALSE),82)</f>
        <v>61.62</v>
      </c>
      <c r="E575" s="55" cm="1">
        <f t="array" ref="E575">(VLOOKUP($A575,'The List'!$B1:$AH671,17,FALSE)-AVERAGE('The List'!R2:R671))/STDEV('The List'!R2:R671)</f>
        <v>-0.43056788308780813</v>
      </c>
      <c r="F575" s="55" cm="1">
        <f t="array" ref="F575">(VLOOKUP($A575,'The List'!$B1:$AH671,18,FALSE)-AVERAGE('The List'!S2:S671))/STDEV('The List'!S2:S671)</f>
        <v>-1.1267096141070247</v>
      </c>
      <c r="G575" s="55" cm="1">
        <f t="array" ref="G575">(VLOOKUP($A575,'The List'!$B1:$AH671,19,FALSE)-AVERAGE('The List'!T2:T671))/STDEV('The List'!T2:T671)</f>
        <v>-1.1213587892224399</v>
      </c>
      <c r="H575" s="55" cm="1">
        <f t="array" ref="H575">(VLOOKUP($A575,'The List'!$B1:$AH671,20,FALSE)-AVERAGE('The List'!U2:U671))/STDEV('The List'!U2:U671)</f>
        <v>-1.2052253056925601</v>
      </c>
      <c r="I575" s="55" cm="1">
        <f t="array" ref="I575">(VLOOKUP($A575,'The List'!$B1:$AH671,21,FALSE)-AVERAGE('The List'!V2:V671))/STDEV('The List'!V2:V671)</f>
        <v>-1.0511177836060299</v>
      </c>
      <c r="J575" s="55" cm="1">
        <f t="array" ref="J575">(VLOOKUP($A575,'The List'!$B1:$AH671,22,FALSE)-AVERAGE('The List'!W2:W671))/STDEV('The List'!W2:W671)</f>
        <v>-0.74864933081467022</v>
      </c>
      <c r="K575" s="55" cm="1">
        <f t="array" ref="K575">(VLOOKUP($A575,'The List'!$B1:$AH671,23,FALSE)-AVERAGE('The List'!X2:X671))/STDEV('The List'!X2:X671)</f>
        <v>-0.80803898007684039</v>
      </c>
      <c r="L575" s="55" cm="1">
        <f t="array" ref="L575">(VLOOKUP($A575,'The List'!$B1:$AH671,24,FALSE)-AVERAGE('The List'!Y2:Y671))/STDEV('The List'!Y2:Y671)</f>
        <v>-0.52840721444138561</v>
      </c>
      <c r="M575" s="55" cm="1">
        <f t="array" ref="M575">(VLOOKUP($A575,'The List'!$B1:$AH671,25,FALSE)-AVERAGE('The List'!Z2:Z671))/STDEV('The List'!Z2:Z671)</f>
        <v>-0.64611140556714053</v>
      </c>
      <c r="N575" s="55" cm="1">
        <f t="array" ref="N575">(VLOOKUP($A575,'The List'!$B1:$AH671,26,FALSE)-AVERAGE('The List'!AA2:AA671))/STDEV('The List'!AA2:AA671)</f>
        <v>5.4075262631009549E-2</v>
      </c>
      <c r="O575" s="55" cm="1">
        <f t="array" ref="O575">(VLOOKUP($A575,'The List'!$B1:$AH671,27,FALSE)-AVERAGE('The List'!AB2:AB671))/STDEV('The List'!AB2:AB671)</f>
        <v>-0.72425570419487506</v>
      </c>
      <c r="P575" s="55" cm="1">
        <f t="array" ref="P575">(VLOOKUP($A575,'The List'!$B1:$AH671,28,FALSE)-AVERAGE('The List'!AC2:AC671))/STDEV('The List'!AC2:AC671)</f>
        <v>-0.31576289550652303</v>
      </c>
      <c r="Q575" s="55" cm="1">
        <f t="array" ref="Q575">(VLOOKUP($A575,'The List'!$B1:$AH671,29,FALSE)-AVERAGE('The List'!AD2:AD671))/STDEV('The List'!AD2:AD671)</f>
        <v>-0.57063388295974804</v>
      </c>
      <c r="R575" s="55" cm="1">
        <f t="array" ref="R575">(VLOOKUP($A575,'The List'!$B1:$AH671,30,FALSE)-AVERAGE('The List'!AE2:AE671))/STDEV('The List'!AE2:AE671)</f>
        <v>-1.0861590926067974</v>
      </c>
      <c r="S575" s="55" cm="1">
        <f t="array" ref="S575">(VLOOKUP($A575,'The List'!$B1:$AH671,31,FALSE)-AVERAGE('The List'!AF2:AF671))/STDEV('The List'!AF2:AF671)</f>
        <v>-0.5939690971349143</v>
      </c>
      <c r="T575" s="55" cm="1">
        <f t="array" ref="T575">(VLOOKUP($A575,'The List'!$B1:$AH671,32,FALSE)-AVERAGE('The List'!AG2:AG671))/STDEV('The List'!AG2:AG671)</f>
        <v>-0.64602208138248207</v>
      </c>
      <c r="U575" s="55" cm="1">
        <f t="array" ref="U575">(VLOOKUP($A575,'The List'!$B1:$AH671,33,FALSE)-AVERAGE('The List'!AH2:AH671))/STDEV('The List'!AH2:AH671)</f>
        <v>-1.2548938914719048</v>
      </c>
      <c r="V575" s="55"/>
      <c r="W575" s="78"/>
      <c r="X575" s="57"/>
      <c r="Y575" s="57"/>
      <c r="Z575" s="57"/>
      <c r="AA575" s="57"/>
      <c r="AB575" s="57"/>
      <c r="AC575" s="60"/>
      <c r="AD575" s="61"/>
      <c r="AE575" s="55"/>
    </row>
    <row r="576" spans="1:31" ht="21.25" customHeight="1" x14ac:dyDescent="0.15">
      <c r="A576" s="10" t="s">
        <v>614</v>
      </c>
      <c r="B576" s="18" t="str" cm="1">
        <f t="array" ref="B576">VLOOKUP(A576,'Player Data'!A1:B673,2,FALSE)</f>
        <v>EDM</v>
      </c>
      <c r="C576" s="52" cm="1">
        <f t="array" ref="C576">((E576)*Settings!$C$12)+(F576*Settings!$C$2)+(G576*Settings!$C$3)+(H576*Settings!$C$4)+(I576*Settings!$C$5)+(K576*Settings!$C$9)+(N576*Settings!$C$6)+(J576*Settings!$C$8)+(O576*Settings!$C$7)+(P576*Settings!$C$14)+(Q576*Settings!$C$15)+(R576*Settings!$C$16)+(S576*Settings!$C$17)+(T576*Settings!$C$18)+(U576*Settings!$C$19)+(L576*Settings!$C$10)+(Settings!$C$11*M576)</f>
        <v>-4.3574293589952129</v>
      </c>
      <c r="D576" s="57" cm="1">
        <f t="array" ref="D576">IF(Settings!$E$12="YES",VLOOKUP(A576,'Player Data'!A1:E673,5,FALSE),82)</f>
        <v>66.877499999999998</v>
      </c>
      <c r="E576" s="55" cm="1">
        <f t="array" ref="E576">(VLOOKUP($A576,'The List'!$B1:$AH671,17,FALSE)-AVERAGE('The List'!R2:R671))/STDEV('The List'!R2:R671)</f>
        <v>-0.42713449065280945</v>
      </c>
      <c r="F576" s="55" cm="1">
        <f t="array" ref="F576">(VLOOKUP($A576,'The List'!$B1:$AH671,18,FALSE)-AVERAGE('The List'!S2:S671))/STDEV('The List'!S2:S671)</f>
        <v>-1.1500513425966445</v>
      </c>
      <c r="G576" s="55" cm="1">
        <f t="array" ref="G576">(VLOOKUP($A576,'The List'!$B1:$AH671,19,FALSE)-AVERAGE('The List'!T2:T671))/STDEV('The List'!T2:T671)</f>
        <v>-1.0577665497815654</v>
      </c>
      <c r="H576" s="55" cm="1">
        <f t="array" ref="H576">(VLOOKUP($A576,'The List'!$B1:$AH671,20,FALSE)-AVERAGE('The List'!U2:U671))/STDEV('The List'!U2:U671)</f>
        <v>-1.1755823399120668</v>
      </c>
      <c r="I576" s="55" cm="1">
        <f t="array" ref="I576">(VLOOKUP($A576,'The List'!$B1:$AH671,21,FALSE)-AVERAGE('The List'!V2:V671))/STDEV('The List'!V2:V671)</f>
        <v>-1.2485163196495752</v>
      </c>
      <c r="J576" s="55" cm="1">
        <f t="array" ref="J576">(VLOOKUP($A576,'The List'!$B1:$AH671,22,FALSE)-AVERAGE('The List'!W2:W671))/STDEV('The List'!W2:W671)</f>
        <v>-0.74788812805073257</v>
      </c>
      <c r="K576" s="55" cm="1">
        <f t="array" ref="K576">(VLOOKUP($A576,'The List'!$B1:$AH671,23,FALSE)-AVERAGE('The List'!X2:X671))/STDEV('The List'!X2:X671)</f>
        <v>-0.80469434462175393</v>
      </c>
      <c r="L576" s="55" cm="1">
        <f t="array" ref="L576">(VLOOKUP($A576,'The List'!$B1:$AH671,24,FALSE)-AVERAGE('The List'!Y2:Y671))/STDEV('The List'!Y2:Y671)</f>
        <v>-0.52161612994214035</v>
      </c>
      <c r="M576" s="55" cm="1">
        <f t="array" ref="M576">(VLOOKUP($A576,'The List'!$B1:$AH671,25,FALSE)-AVERAGE('The List'!Z2:Z671))/STDEV('The List'!Z2:Z671)</f>
        <v>-0.15031023652880515</v>
      </c>
      <c r="N576" s="55" cm="1">
        <f t="array" ref="N576">(VLOOKUP($A576,'The List'!$B1:$AH671,26,FALSE)-AVERAGE('The List'!AA2:AA671))/STDEV('The List'!AA2:AA671)</f>
        <v>0.10002343126690975</v>
      </c>
      <c r="O576" s="55" cm="1">
        <f t="array" ref="O576">(VLOOKUP($A576,'The List'!$B1:$AH671,27,FALSE)-AVERAGE('The List'!AB2:AB671))/STDEV('The List'!AB2:AB671)</f>
        <v>-1.094199599408503</v>
      </c>
      <c r="P576" s="55" cm="1">
        <f t="array" ref="P576">(VLOOKUP($A576,'The List'!$B1:$AH671,28,FALSE)-AVERAGE('The List'!AC2:AC671))/STDEV('The List'!AC2:AC671)</f>
        <v>0.70719534853880572</v>
      </c>
      <c r="Q576" s="55" cm="1">
        <f t="array" ref="Q576">(VLOOKUP($A576,'The List'!$B1:$AH671,29,FALSE)-AVERAGE('The List'!AD2:AD671))/STDEV('The List'!AD2:AD671)</f>
        <v>-0.9036195821513886</v>
      </c>
      <c r="R576" s="55" cm="1">
        <f t="array" ref="R576">(VLOOKUP($A576,'The List'!$B1:$AH671,30,FALSE)-AVERAGE('The List'!AE2:AE671))/STDEV('The List'!AE2:AE671)</f>
        <v>-1.0905330307141174</v>
      </c>
      <c r="S576" s="55" cm="1">
        <f t="array" ref="S576">(VLOOKUP($A576,'The List'!$B1:$AH671,31,FALSE)-AVERAGE('The List'!AF2:AF671))/STDEV('The List'!AF2:AF671)</f>
        <v>-0.5939690971349143</v>
      </c>
      <c r="T576" s="55" cm="1">
        <f t="array" ref="T576">(VLOOKUP($A576,'The List'!$B1:$AH671,32,FALSE)-AVERAGE('The List'!AG2:AG671))/STDEV('The List'!AG2:AG671)</f>
        <v>-0.64602208138248207</v>
      </c>
      <c r="U576" s="55" cm="1">
        <f t="array" ref="U576">(VLOOKUP($A576,'The List'!$B1:$AH671,33,FALSE)-AVERAGE('The List'!AH2:AH671))/STDEV('The List'!AH2:AH671)</f>
        <v>-1.2548938914719048</v>
      </c>
      <c r="V576" s="55"/>
      <c r="W576" s="78"/>
      <c r="X576" s="57"/>
      <c r="Y576" s="57"/>
      <c r="Z576" s="57"/>
      <c r="AA576" s="57"/>
      <c r="AB576" s="57"/>
      <c r="AC576" s="60"/>
      <c r="AD576" s="61"/>
      <c r="AE576" s="55"/>
    </row>
    <row r="577" spans="1:31" ht="21.25" customHeight="1" x14ac:dyDescent="0.15">
      <c r="A577" s="10" t="s">
        <v>765</v>
      </c>
      <c r="B577" s="18" t="str" cm="1">
        <f t="array" ref="B577">VLOOKUP(A577,'Player Data'!A1:B673,2,FALSE)</f>
        <v>TOR</v>
      </c>
      <c r="C577" s="52" cm="1">
        <f t="array" ref="C577">((E577)*Settings!$C$12)+(F577*Settings!$C$2)+(G577*Settings!$C$3)+(H577*Settings!$C$4)+(I577*Settings!$C$5)+(K577*Settings!$C$9)+(N577*Settings!$C$6)+(J577*Settings!$C$8)+(O577*Settings!$C$7)+(P577*Settings!$C$14)+(Q577*Settings!$C$15)+(R577*Settings!$C$16)+(S577*Settings!$C$17)+(T577*Settings!$C$18)+(U577*Settings!$C$19)+(L577*Settings!$C$10)+(Settings!$C$11*M577)</f>
        <v>-1.8474287212977574</v>
      </c>
      <c r="D577" s="57" cm="1">
        <f t="array" ref="D577">IF(Settings!$E$12="YES",VLOOKUP(A577,'Player Data'!A1:E673,5,FALSE),82)</f>
        <v>83.83</v>
      </c>
      <c r="E577" s="55" cm="1">
        <f t="array" ref="E577">(VLOOKUP($A577,'The List'!$B1:$AH671,17,FALSE)-AVERAGE('The List'!R2:R671))/STDEV('The List'!R2:R671)</f>
        <v>-1.4276245240637464</v>
      </c>
      <c r="F577" s="55" cm="1">
        <f t="array" ref="F577">(VLOOKUP($A577,'The List'!$B1:$AH671,18,FALSE)-AVERAGE('The List'!S2:S671))/STDEV('The List'!S2:S671)</f>
        <v>-0.81091040614582577</v>
      </c>
      <c r="G577" s="55" cm="1">
        <f t="array" ref="G577">(VLOOKUP($A577,'The List'!$B1:$AH671,19,FALSE)-AVERAGE('The List'!T2:T671))/STDEV('The List'!T2:T671)</f>
        <v>-1.1092329461384136</v>
      </c>
      <c r="H577" s="55" cm="1">
        <f t="array" ref="H577">(VLOOKUP($A577,'The List'!$B1:$AH671,20,FALSE)-AVERAGE('The List'!U2:U671))/STDEV('The List'!U2:U671)</f>
        <v>-1.0574849755045097</v>
      </c>
      <c r="I577" s="55" cm="1">
        <f t="array" ref="I577">(VLOOKUP($A577,'The List'!$B1:$AH671,21,FALSE)-AVERAGE('The List'!V2:V671))/STDEV('The List'!V2:V671)</f>
        <v>-0.94022136455392957</v>
      </c>
      <c r="J577" s="55" cm="1">
        <f t="array" ref="J577">(VLOOKUP($A577,'The List'!$B1:$AH671,22,FALSE)-AVERAGE('The List'!W2:W671))/STDEV('The List'!W2:W671)</f>
        <v>-0.73880563625620521</v>
      </c>
      <c r="K577" s="55" cm="1">
        <f t="array" ref="K577">(VLOOKUP($A577,'The List'!$B1:$AH671,23,FALSE)-AVERAGE('The List'!X2:X671))/STDEV('The List'!X2:X671)</f>
        <v>-0.80259177275904436</v>
      </c>
      <c r="L577" s="55" cm="1">
        <f t="array" ref="L577">(VLOOKUP($A577,'The List'!$B1:$AH671,24,FALSE)-AVERAGE('The List'!Y2:Y671))/STDEV('The List'!Y2:Y671)</f>
        <v>0.58935749352967737</v>
      </c>
      <c r="M577" s="55" cm="1">
        <f t="array" ref="M577">(VLOOKUP($A577,'The List'!$B1:$AH671,25,FALSE)-AVERAGE('The List'!Z2:Z671))/STDEV('The List'!Z2:Z671)</f>
        <v>0.33465946990598677</v>
      </c>
      <c r="N577" s="55" cm="1">
        <f t="array" ref="N577">(VLOOKUP($A577,'The List'!$B1:$AH671,26,FALSE)-AVERAGE('The List'!AA2:AA671))/STDEV('The List'!AA2:AA671)</f>
        <v>-0.18310204544305625</v>
      </c>
      <c r="O577" s="55" cm="1">
        <f t="array" ref="O577">(VLOOKUP($A577,'The List'!$B1:$AH671,27,FALSE)-AVERAGE('The List'!AB2:AB671))/STDEV('The List'!AB2:AB671)</f>
        <v>1.5739831778426661</v>
      </c>
      <c r="P577" s="55" cm="1">
        <f t="array" ref="P577">(VLOOKUP($A577,'The List'!$B1:$AH671,28,FALSE)-AVERAGE('The List'!AC2:AC671))/STDEV('The List'!AC2:AC671)</f>
        <v>-0.12617945997899452</v>
      </c>
      <c r="Q577" s="55" cm="1">
        <f t="array" ref="Q577">(VLOOKUP($A577,'The List'!$B1:$AH671,29,FALSE)-AVERAGE('The List'!AD2:AD671))/STDEV('The List'!AD2:AD671)</f>
        <v>2.1248092737215067</v>
      </c>
      <c r="R577" s="55" cm="1">
        <f t="array" ref="R577">(VLOOKUP($A577,'The List'!$B1:$AH671,30,FALSE)-AVERAGE('The List'!AE2:AE671))/STDEV('The List'!AE2:AE671)</f>
        <v>-0.85498467287890056</v>
      </c>
      <c r="S577" s="55" cm="1">
        <f t="array" ref="S577">(VLOOKUP($A577,'The List'!$B1:$AH671,31,FALSE)-AVERAGE('The List'!AF2:AF671))/STDEV('The List'!AF2:AF671)</f>
        <v>-0.52334742378847521</v>
      </c>
      <c r="T577" s="55" cm="1">
        <f t="array" ref="T577">(VLOOKUP($A577,'The List'!$B1:$AH671,32,FALSE)-AVERAGE('The List'!AG2:AG671))/STDEV('The List'!AG2:AG671)</f>
        <v>-0.5223835262283113</v>
      </c>
      <c r="U577" s="55" cm="1">
        <f t="array" ref="U577">(VLOOKUP($A577,'The List'!$B1:$AH671,33,FALSE)-AVERAGE('The List'!AH2:AH671))/STDEV('The List'!AH2:AH671)</f>
        <v>0.48376090033926789</v>
      </c>
      <c r="V577" s="55"/>
      <c r="W577" s="78"/>
      <c r="X577" s="57"/>
      <c r="Y577" s="57"/>
      <c r="Z577" s="57"/>
      <c r="AA577" s="57"/>
      <c r="AB577" s="57"/>
      <c r="AC577" s="60"/>
      <c r="AD577" s="61"/>
      <c r="AE577" s="55"/>
    </row>
    <row r="578" spans="1:31" ht="21.25" customHeight="1" x14ac:dyDescent="0.15">
      <c r="A578" s="10" t="s">
        <v>794</v>
      </c>
      <c r="B578" s="18" t="str" cm="1">
        <f t="array" ref="B578">VLOOKUP(A578,'Player Data'!A1:B673,2,FALSE)</f>
        <v>TOR</v>
      </c>
      <c r="C578" s="52" cm="1">
        <f t="array" ref="C578">((E578)*Settings!$C$12)+(F578*Settings!$C$2)+(G578*Settings!$C$3)+(H578*Settings!$C$4)+(I578*Settings!$C$5)+(K578*Settings!$C$9)+(N578*Settings!$C$6)+(J578*Settings!$C$8)+(O578*Settings!$C$7)+(P578*Settings!$C$14)+(Q578*Settings!$C$15)+(R578*Settings!$C$16)+(S578*Settings!$C$17)+(T578*Settings!$C$18)+(U578*Settings!$C$19)+(L578*Settings!$C$10)+(Settings!$C$11*M578)</f>
        <v>-6.9253664683841105</v>
      </c>
      <c r="D578" s="57" cm="1">
        <f t="array" ref="D578">IF(Settings!$E$12="YES",VLOOKUP(A578,'Player Data'!A1:E673,5,FALSE),82)</f>
        <v>59.545000000000002</v>
      </c>
      <c r="E578" s="55" cm="1">
        <f t="array" ref="E578">(VLOOKUP($A578,'The List'!$B1:$AH671,17,FALSE)-AVERAGE('The List'!R2:R671))/STDEV('The List'!R2:R671)</f>
        <v>-1.7819213741558959</v>
      </c>
      <c r="F578" s="55" cm="1">
        <f t="array" ref="F578">(VLOOKUP($A578,'The List'!$B1:$AH671,18,FALSE)-AVERAGE('The List'!S2:S671))/STDEV('The List'!S2:S671)</f>
        <v>-0.98198554906780833</v>
      </c>
      <c r="G578" s="55" cm="1">
        <f t="array" ref="G578">(VLOOKUP($A578,'The List'!$B1:$AH671,19,FALSE)-AVERAGE('The List'!T2:T671))/STDEV('The List'!T2:T671)</f>
        <v>-1.2718746138498664</v>
      </c>
      <c r="H578" s="55" cm="1">
        <f t="array" ref="H578">(VLOOKUP($A578,'The List'!$B1:$AH671,20,FALSE)-AVERAGE('The List'!U2:U671))/STDEV('The List'!U2:U671)</f>
        <v>-1.2356880454907782</v>
      </c>
      <c r="I578" s="55" cm="1">
        <f t="array" ref="I578">(VLOOKUP($A578,'The List'!$B1:$AH671,21,FALSE)-AVERAGE('The List'!V2:V671))/STDEV('The List'!V2:V671)</f>
        <v>-1.438781910654654</v>
      </c>
      <c r="J578" s="55" cm="1">
        <f t="array" ref="J578">(VLOOKUP($A578,'The List'!$B1:$AH671,22,FALSE)-AVERAGE('The List'!W2:W671))/STDEV('The List'!W2:W671)</f>
        <v>-0.74586577333942872</v>
      </c>
      <c r="K578" s="55" cm="1">
        <f t="array" ref="K578">(VLOOKUP($A578,'The List'!$B1:$AH671,23,FALSE)-AVERAGE('The List'!X2:X671))/STDEV('The List'!X2:X671)</f>
        <v>-0.80848585183935051</v>
      </c>
      <c r="L578" s="55" cm="1">
        <f t="array" ref="L578">(VLOOKUP($A578,'The List'!$B1:$AH671,24,FALSE)-AVERAGE('The List'!Y2:Y671))/STDEV('The List'!Y2:Y671)</f>
        <v>-7.9111260812703948E-2</v>
      </c>
      <c r="M578" s="55" cm="1">
        <f t="array" ref="M578">(VLOOKUP($A578,'The List'!$B1:$AH671,25,FALSE)-AVERAGE('The List'!Z2:Z671))/STDEV('The List'!Z2:Z671)</f>
        <v>-0.22743123910503774</v>
      </c>
      <c r="N578" s="55" cm="1">
        <f t="array" ref="N578">(VLOOKUP($A578,'The List'!$B1:$AH671,26,FALSE)-AVERAGE('The List'!AA2:AA671))/STDEV('The List'!AA2:AA671)</f>
        <v>-0.83814002617964167</v>
      </c>
      <c r="O578" s="55" cm="1">
        <f t="array" ref="O578">(VLOOKUP($A578,'The List'!$B1:$AH671,27,FALSE)-AVERAGE('The List'!AB2:AB671))/STDEV('The List'!AB2:AB671)</f>
        <v>0.48707334161098886</v>
      </c>
      <c r="P578" s="55" cm="1">
        <f t="array" ref="P578">(VLOOKUP($A578,'The List'!$B1:$AH671,28,FALSE)-AVERAGE('The List'!AC2:AC671))/STDEV('The List'!AC2:AC671)</f>
        <v>-0.12548765150963562</v>
      </c>
      <c r="Q578" s="55" cm="1">
        <f t="array" ref="Q578">(VLOOKUP($A578,'The List'!$B1:$AH671,29,FALSE)-AVERAGE('The List'!AD2:AD671))/STDEV('The List'!AD2:AD671)</f>
        <v>-1.4606108652831542</v>
      </c>
      <c r="R578" s="55" cm="1">
        <f t="array" ref="R578">(VLOOKUP($A578,'The List'!$B1:$AH671,30,FALSE)-AVERAGE('The List'!AE2:AE671))/STDEV('The List'!AE2:AE671)</f>
        <v>-1.0009768537109429</v>
      </c>
      <c r="S578" s="55" cm="1">
        <f t="array" ref="S578">(VLOOKUP($A578,'The List'!$B1:$AH671,31,FALSE)-AVERAGE('The List'!AF2:AF671))/STDEV('The List'!AF2:AF671)</f>
        <v>0.20593380676707096</v>
      </c>
      <c r="T578" s="55" cm="1">
        <f t="array" ref="T578">(VLOOKUP($A578,'The List'!$B1:$AH671,32,FALSE)-AVERAGE('The List'!AG2:AG671))/STDEV('The List'!AG2:AG671)</f>
        <v>0.56966959006472706</v>
      </c>
      <c r="U578" s="55" cm="1">
        <f t="array" ref="U578">(VLOOKUP($A578,'The List'!$B1:$AH671,33,FALSE)-AVERAGE('The List'!AH2:AH671))/STDEV('The List'!AH2:AH671)</f>
        <v>0.63908995092651855</v>
      </c>
      <c r="V578" s="55"/>
      <c r="W578" s="78"/>
      <c r="X578" s="57"/>
      <c r="Y578" s="57"/>
      <c r="Z578" s="57"/>
      <c r="AA578" s="57"/>
      <c r="AB578" s="57"/>
      <c r="AC578" s="60"/>
      <c r="AD578" s="61"/>
      <c r="AE578" s="55"/>
    </row>
    <row r="579" spans="1:31" ht="21.25" customHeight="1" x14ac:dyDescent="0.15">
      <c r="A579" s="10" t="s">
        <v>776</v>
      </c>
      <c r="B579" s="18" t="str" cm="1">
        <f t="array" ref="B579">VLOOKUP(A579,'Player Data'!A1:B673,2,FALSE)</f>
        <v>NYR</v>
      </c>
      <c r="C579" s="52" cm="1">
        <f t="array" ref="C579">((E579)*Settings!$C$12)+(F579*Settings!$C$2)+(G579*Settings!$C$3)+(H579*Settings!$C$4)+(I579*Settings!$C$5)+(K579*Settings!$C$9)+(N579*Settings!$C$6)+(J579*Settings!$C$8)+(O579*Settings!$C$7)+(P579*Settings!$C$14)+(Q579*Settings!$C$15)+(R579*Settings!$C$16)+(S579*Settings!$C$17)+(T579*Settings!$C$18)+(U579*Settings!$C$19)+(L579*Settings!$C$10)+(Settings!$C$11*M579)</f>
        <v>-6.0882308194091586</v>
      </c>
      <c r="D579" s="57" cm="1">
        <f t="array" ref="D579">IF(Settings!$E$12="YES",VLOOKUP(A579,'Player Data'!A1:E673,5,FALSE),82)</f>
        <v>79.002499999999998</v>
      </c>
      <c r="E579" s="55" cm="1">
        <f t="array" ref="E579">(VLOOKUP($A579,'The List'!$B1:$AH671,17,FALSE)-AVERAGE('The List'!R2:R671))/STDEV('The List'!R2:R671)</f>
        <v>-1.637817300553249</v>
      </c>
      <c r="F579" s="55" cm="1">
        <f t="array" ref="F579">(VLOOKUP($A579,'The List'!$B1:$AH671,18,FALSE)-AVERAGE('The List'!S2:S671))/STDEV('The List'!S2:S671)</f>
        <v>-0.84906293303614488</v>
      </c>
      <c r="G579" s="55" cm="1">
        <f t="array" ref="G579">(VLOOKUP($A579,'The List'!$B1:$AH671,19,FALSE)-AVERAGE('The List'!T2:T671))/STDEV('The List'!T2:T671)</f>
        <v>-1.1549455902543502</v>
      </c>
      <c r="H579" s="55" cm="1">
        <f t="array" ref="H579">(VLOOKUP($A579,'The List'!$B1:$AH671,20,FALSE)-AVERAGE('The List'!U2:U671))/STDEV('The List'!U2:U671)</f>
        <v>-1.1031654336069165</v>
      </c>
      <c r="I579" s="55" cm="1">
        <f t="array" ref="I579">(VLOOKUP($A579,'The List'!$B1:$AH671,21,FALSE)-AVERAGE('The List'!V2:V671))/STDEV('The List'!V2:V671)</f>
        <v>-1.1078313953088081</v>
      </c>
      <c r="J579" s="55" cm="1">
        <f t="array" ref="J579">(VLOOKUP($A579,'The List'!$B1:$AH671,22,FALSE)-AVERAGE('The List'!W2:W671))/STDEV('The List'!W2:W671)</f>
        <v>-0.73180487372523317</v>
      </c>
      <c r="K579" s="55" cm="1">
        <f t="array" ref="K579">(VLOOKUP($A579,'The List'!$B1:$AH671,23,FALSE)-AVERAGE('The List'!X2:X671))/STDEV('The List'!X2:X671)</f>
        <v>-0.79920211811762443</v>
      </c>
      <c r="L579" s="55" cm="1">
        <f t="array" ref="L579">(VLOOKUP($A579,'The List'!$B1:$AH671,24,FALSE)-AVERAGE('The List'!Y2:Y671))/STDEV('The List'!Y2:Y671)</f>
        <v>-0.29292902636351825</v>
      </c>
      <c r="M579" s="55" cm="1">
        <f t="array" ref="M579">(VLOOKUP($A579,'The List'!$B1:$AH671,25,FALSE)-AVERAGE('The List'!Z2:Z671))/STDEV('The List'!Z2:Z671)</f>
        <v>-0.43706945887145893</v>
      </c>
      <c r="N579" s="55" cm="1">
        <f t="array" ref="N579">(VLOOKUP($A579,'The List'!$B1:$AH671,26,FALSE)-AVERAGE('The List'!AA2:AA671))/STDEV('The List'!AA2:AA671)</f>
        <v>-0.66675183646030034</v>
      </c>
      <c r="O579" s="55" cm="1">
        <f t="array" ref="O579">(VLOOKUP($A579,'The List'!$B1:$AH671,27,FALSE)-AVERAGE('The List'!AB2:AB671))/STDEV('The List'!AB2:AB671)</f>
        <v>1.3649400921543187</v>
      </c>
      <c r="P579" s="55" cm="1">
        <f t="array" ref="P579">(VLOOKUP($A579,'The List'!$B1:$AH671,28,FALSE)-AVERAGE('The List'!AC2:AC671))/STDEV('The List'!AC2:AC671)</f>
        <v>-0.54368644855216808</v>
      </c>
      <c r="Q579" s="55" cm="1">
        <f t="array" ref="Q579">(VLOOKUP($A579,'The List'!$B1:$AH671,29,FALSE)-AVERAGE('The List'!AD2:AD671))/STDEV('The List'!AD2:AD671)</f>
        <v>-0.96675049767976273</v>
      </c>
      <c r="R579" s="55" cm="1">
        <f t="array" ref="R579">(VLOOKUP($A579,'The List'!$B1:$AH671,30,FALSE)-AVERAGE('The List'!AE2:AE671))/STDEV('The List'!AE2:AE671)</f>
        <v>-0.8205151298661828</v>
      </c>
      <c r="S579" s="55" cm="1">
        <f t="array" ref="S579">(VLOOKUP($A579,'The List'!$B1:$AH671,31,FALSE)-AVERAGE('The List'!AF2:AF671))/STDEV('The List'!AF2:AF671)</f>
        <v>0.31010732846083872</v>
      </c>
      <c r="T579" s="55" cm="1">
        <f t="array" ref="T579">(VLOOKUP($A579,'The List'!$B1:$AH671,32,FALSE)-AVERAGE('The List'!AG2:AG671))/STDEV('The List'!AG2:AG671)</f>
        <v>0.34987930174352211</v>
      </c>
      <c r="U579" s="55" cm="1">
        <f t="array" ref="U579">(VLOOKUP($A579,'The List'!$B1:$AH671,33,FALSE)-AVERAGE('The List'!AH2:AH671))/STDEV('The List'!AH2:AH671)</f>
        <v>1.004710768418313</v>
      </c>
      <c r="V579" s="55"/>
      <c r="W579" s="78"/>
      <c r="X579" s="57"/>
      <c r="Y579" s="57"/>
      <c r="Z579" s="57"/>
      <c r="AA579" s="57"/>
      <c r="AB579" s="57"/>
      <c r="AC579" s="60"/>
      <c r="AD579" s="61"/>
      <c r="AE579" s="55"/>
    </row>
    <row r="580" spans="1:31" ht="21.25" customHeight="1" x14ac:dyDescent="0.15">
      <c r="A580" s="10" t="s">
        <v>796</v>
      </c>
      <c r="B580" s="18" t="str" cm="1">
        <f t="array" ref="B580">VLOOKUP(A580,'Player Data'!A1:B673,2,FALSE)</f>
        <v>MIN</v>
      </c>
      <c r="C580" s="52" cm="1">
        <f t="array" ref="C580">((E580)*Settings!$C$12)+(F580*Settings!$C$2)+(G580*Settings!$C$3)+(H580*Settings!$C$4)+(I580*Settings!$C$5)+(K580*Settings!$C$9)+(N580*Settings!$C$6)+(J580*Settings!$C$8)+(O580*Settings!$C$7)+(P580*Settings!$C$14)+(Q580*Settings!$C$15)+(R580*Settings!$C$16)+(S580*Settings!$C$17)+(T580*Settings!$C$18)+(U580*Settings!$C$19)+(L580*Settings!$C$10)+(Settings!$C$11*M580)</f>
        <v>-6.7714902947898024</v>
      </c>
      <c r="D580" s="57" cm="1">
        <f t="array" ref="D580">IF(Settings!$E$12="YES",VLOOKUP(A580,'Player Data'!A1:E673,5,FALSE),82)</f>
        <v>56.637500000000003</v>
      </c>
      <c r="E580" s="55" cm="1">
        <f t="array" ref="E580">(VLOOKUP($A580,'The List'!$B1:$AH671,17,FALSE)-AVERAGE('The List'!R2:R671))/STDEV('The List'!R2:R671)</f>
        <v>-2.1360399401907895</v>
      </c>
      <c r="F580" s="55" cm="1">
        <f t="array" ref="F580">(VLOOKUP($A580,'The List'!$B1:$AH671,18,FALSE)-AVERAGE('The List'!S2:S671))/STDEV('The List'!S2:S671)</f>
        <v>-1.0354744777742984</v>
      </c>
      <c r="G580" s="55" cm="1">
        <f t="array" ref="G580">(VLOOKUP($A580,'The List'!$B1:$AH671,19,FALSE)-AVERAGE('The List'!T2:T671))/STDEV('The List'!T2:T671)</f>
        <v>-1.2739251702854439</v>
      </c>
      <c r="H580" s="55" cm="1">
        <f t="array" ref="H580">(VLOOKUP($A580,'The List'!$B1:$AH671,20,FALSE)-AVERAGE('The List'!U2:U671))/STDEV('The List'!U2:U671)</f>
        <v>-1.26070970877074</v>
      </c>
      <c r="I580" s="55" cm="1">
        <f t="array" ref="I580">(VLOOKUP($A580,'The List'!$B1:$AH671,21,FALSE)-AVERAGE('The List'!V2:V671))/STDEV('The List'!V2:V671)</f>
        <v>-1.6036068785016138</v>
      </c>
      <c r="J580" s="55" cm="1">
        <f t="array" ref="J580">(VLOOKUP($A580,'The List'!$B1:$AH671,22,FALSE)-AVERAGE('The List'!W2:W671))/STDEV('The List'!W2:W671)</f>
        <v>-0.74542303032419399</v>
      </c>
      <c r="K580" s="55" cm="1">
        <f t="array" ref="K580">(VLOOKUP($A580,'The List'!$B1:$AH671,23,FALSE)-AVERAGE('The List'!X2:X671))/STDEV('The List'!X2:X671)</f>
        <v>-0.80815595144388341</v>
      </c>
      <c r="L580" s="55" cm="1">
        <f t="array" ref="L580">(VLOOKUP($A580,'The List'!$B1:$AH671,24,FALSE)-AVERAGE('The List'!Y2:Y671))/STDEV('The List'!Y2:Y671)</f>
        <v>-0.4284847148292939</v>
      </c>
      <c r="M580" s="55" cm="1">
        <f t="array" ref="M580">(VLOOKUP($A580,'The List'!$B1:$AH671,25,FALSE)-AVERAGE('The List'!Z2:Z671))/STDEV('The List'!Z2:Z671)</f>
        <v>-0.57306524914748591</v>
      </c>
      <c r="N580" s="55" cm="1">
        <f t="array" ref="N580">(VLOOKUP($A580,'The List'!$B1:$AH671,26,FALSE)-AVERAGE('The List'!AA2:AA671))/STDEV('The List'!AA2:AA671)</f>
        <v>-0.92343027981789172</v>
      </c>
      <c r="O580" s="55" cm="1">
        <f t="array" ref="O580">(VLOOKUP($A580,'The List'!$B1:$AH671,27,FALSE)-AVERAGE('The List'!AB2:AB671))/STDEV('The List'!AB2:AB671)</f>
        <v>6.9936642360096071E-2</v>
      </c>
      <c r="P580" s="55" cm="1">
        <f t="array" ref="P580">(VLOOKUP($A580,'The List'!$B1:$AH671,28,FALSE)-AVERAGE('The List'!AC2:AC671))/STDEV('The List'!AC2:AC671)</f>
        <v>0.30599057421955328</v>
      </c>
      <c r="Q580" s="55" cm="1">
        <f t="array" ref="Q580">(VLOOKUP($A580,'The List'!$B1:$AH671,29,FALSE)-AVERAGE('The List'!AD2:AD671))/STDEV('The List'!AD2:AD671)</f>
        <v>-1.4328881111862237</v>
      </c>
      <c r="R580" s="55" cm="1">
        <f t="array" ref="R580">(VLOOKUP($A580,'The List'!$B1:$AH671,30,FALSE)-AVERAGE('The List'!AE2:AE671))/STDEV('The List'!AE2:AE671)</f>
        <v>-0.99139839496790849</v>
      </c>
      <c r="S580" s="55" cm="1">
        <f t="array" ref="S580">(VLOOKUP($A580,'The List'!$B1:$AH671,31,FALSE)-AVERAGE('The List'!AF2:AF671))/STDEV('The List'!AF2:AF671)</f>
        <v>0.1067168640135952</v>
      </c>
      <c r="T580" s="55" cm="1">
        <f t="array" ref="T580">(VLOOKUP($A580,'The List'!$B1:$AH671,32,FALSE)-AVERAGE('The List'!AG2:AG671))/STDEV('The List'!AG2:AG671)</f>
        <v>0.20247466439629011</v>
      </c>
      <c r="U580" s="55" cm="1">
        <f t="array" ref="U580">(VLOOKUP($A580,'The List'!$B1:$AH671,33,FALSE)-AVERAGE('The List'!AH2:AH671))/STDEV('The List'!AH2:AH671)</f>
        <v>0.89611010522932766</v>
      </c>
      <c r="V580" s="55"/>
      <c r="W580" s="78"/>
      <c r="X580" s="57"/>
      <c r="Y580" s="57"/>
      <c r="Z580" s="57"/>
      <c r="AA580" s="57"/>
      <c r="AB580" s="57"/>
      <c r="AC580" s="60"/>
      <c r="AD580" s="61"/>
      <c r="AE580" s="55"/>
    </row>
    <row r="581" spans="1:31" ht="21.25" customHeight="1" x14ac:dyDescent="0.15">
      <c r="A581" s="10" t="s">
        <v>559</v>
      </c>
      <c r="B581" s="18" t="str" cm="1">
        <f t="array" ref="B581">VLOOKUP(A581,'Player Data'!A1:B673,2,FALSE)</f>
        <v>DET</v>
      </c>
      <c r="C581" s="52" cm="1">
        <f t="array" ref="C581">((E581)*Settings!$C$12)+(F581*Settings!$C$2)+(G581*Settings!$C$3)+(H581*Settings!$C$4)+(I581*Settings!$C$5)+(K581*Settings!$C$9)+(N581*Settings!$C$6)+(J581*Settings!$C$8)+(O581*Settings!$C$7)+(P581*Settings!$C$14)+(Q581*Settings!$C$15)+(R581*Settings!$C$16)+(S581*Settings!$C$17)+(T581*Settings!$C$18)+(U581*Settings!$C$19)+(L581*Settings!$C$10)+(Settings!$C$11*M581)</f>
        <v>-5.020355195879449</v>
      </c>
      <c r="D581" s="57" cm="1">
        <f t="array" ref="D581">IF(Settings!$E$12="YES",VLOOKUP(A581,'Player Data'!A1:E673,5,FALSE),82)</f>
        <v>79.042500000000004</v>
      </c>
      <c r="E581" s="55" cm="1">
        <f t="array" ref="E581">(VLOOKUP($A581,'The List'!$B1:$AH671,17,FALSE)-AVERAGE('The List'!R2:R671))/STDEV('The List'!R2:R671)</f>
        <v>-0.39321494634012427</v>
      </c>
      <c r="F581" s="55" cm="1">
        <f t="array" ref="F581">(VLOOKUP($A581,'The List'!$B1:$AH671,18,FALSE)-AVERAGE('The List'!S2:S671))/STDEV('The List'!S2:S671)</f>
        <v>-1.0497205670241334</v>
      </c>
      <c r="G581" s="55" cm="1">
        <f t="array" ref="G581">(VLOOKUP($A581,'The List'!$B1:$AH671,19,FALSE)-AVERAGE('The List'!T2:T671))/STDEV('The List'!T2:T671)</f>
        <v>-1.0342255870976722</v>
      </c>
      <c r="H581" s="55" cm="1">
        <f t="array" ref="H581">(VLOOKUP($A581,'The List'!$B1:$AH671,20,FALSE)-AVERAGE('The List'!U2:U671))/STDEV('The List'!U2:U671)</f>
        <v>-1.1162606160452397</v>
      </c>
      <c r="I581" s="55" cm="1">
        <f t="array" ref="I581">(VLOOKUP($A581,'The List'!$B1:$AH671,21,FALSE)-AVERAGE('The List'!V2:V671))/STDEV('The List'!V2:V671)</f>
        <v>-1.1440670762905807</v>
      </c>
      <c r="J581" s="55" cm="1">
        <f t="array" ref="J581">(VLOOKUP($A581,'The List'!$B1:$AH671,22,FALSE)-AVERAGE('The List'!W2:W671))/STDEV('The List'!W2:W671)</f>
        <v>-0.74809284898532002</v>
      </c>
      <c r="K581" s="55" cm="1">
        <f t="array" ref="K581">(VLOOKUP($A581,'The List'!$B1:$AH671,23,FALSE)-AVERAGE('The List'!X2:X671))/STDEV('The List'!X2:X671)</f>
        <v>-0.80548215222439479</v>
      </c>
      <c r="L581" s="55" cm="1">
        <f t="array" ref="L581">(VLOOKUP($A581,'The List'!$B1:$AH671,24,FALSE)-AVERAGE('The List'!Y2:Y671))/STDEV('The List'!Y2:Y671)</f>
        <v>0.19216642760776415</v>
      </c>
      <c r="M581" s="55" cm="1">
        <f t="array" ref="M581">(VLOOKUP($A581,'The List'!$B1:$AH671,25,FALSE)-AVERAGE('The List'!Z2:Z671))/STDEV('The List'!Z2:Z671)</f>
        <v>0.25755519643012004</v>
      </c>
      <c r="N581" s="55" cm="1">
        <f t="array" ref="N581">(VLOOKUP($A581,'The List'!$B1:$AH671,26,FALSE)-AVERAGE('The List'!AA2:AA671))/STDEV('The List'!AA2:AA671)</f>
        <v>0.66092052171745896</v>
      </c>
      <c r="O581" s="55" cm="1">
        <f t="array" ref="O581">(VLOOKUP($A581,'The List'!$B1:$AH671,27,FALSE)-AVERAGE('The List'!AB2:AB671))/STDEV('The List'!AB2:AB671)</f>
        <v>-0.42180670492372824</v>
      </c>
      <c r="P581" s="55" cm="1">
        <f t="array" ref="P581">(VLOOKUP($A581,'The List'!$B1:$AH671,28,FALSE)-AVERAGE('The List'!AC2:AC671))/STDEV('The List'!AC2:AC671)</f>
        <v>-0.84643293096020256</v>
      </c>
      <c r="Q581" s="55" cm="1">
        <f t="array" ref="Q581">(VLOOKUP($A581,'The List'!$B1:$AH671,29,FALSE)-AVERAGE('The List'!AD2:AD671))/STDEV('The List'!AD2:AD671)</f>
        <v>-0.80134740399992366</v>
      </c>
      <c r="R581" s="55" cm="1">
        <f t="array" ref="R581">(VLOOKUP($A581,'The List'!$B1:$AH671,30,FALSE)-AVERAGE('The List'!AE2:AE671))/STDEV('The List'!AE2:AE671)</f>
        <v>-1.0183072588879662</v>
      </c>
      <c r="S581" s="55" cm="1">
        <f t="array" ref="S581">(VLOOKUP($A581,'The List'!$B1:$AH671,31,FALSE)-AVERAGE('The List'!AF2:AF671))/STDEV('The List'!AF2:AF671)</f>
        <v>-0.5939690971349143</v>
      </c>
      <c r="T581" s="55" cm="1">
        <f t="array" ref="T581">(VLOOKUP($A581,'The List'!$B1:$AH671,32,FALSE)-AVERAGE('The List'!AG2:AG671))/STDEV('The List'!AG2:AG671)</f>
        <v>-0.64602208138248207</v>
      </c>
      <c r="U581" s="55" cm="1">
        <f t="array" ref="U581">(VLOOKUP($A581,'The List'!$B1:$AH671,33,FALSE)-AVERAGE('The List'!AH2:AH671))/STDEV('The List'!AH2:AH671)</f>
        <v>-1.2548938914719048</v>
      </c>
      <c r="V581" s="55"/>
      <c r="W581" s="78"/>
      <c r="X581" s="57"/>
      <c r="Y581" s="57"/>
      <c r="Z581" s="57"/>
      <c r="AA581" s="57"/>
      <c r="AB581" s="57"/>
      <c r="AC581" s="60"/>
      <c r="AD581" s="61"/>
      <c r="AE581" s="55"/>
    </row>
    <row r="582" spans="1:31" ht="21.25" customHeight="1" x14ac:dyDescent="0.15">
      <c r="A582" s="10" t="s">
        <v>546</v>
      </c>
      <c r="B582" s="18" t="str" cm="1">
        <f t="array" ref="B582">VLOOKUP(A582,'Player Data'!A1:B673,2,FALSE)</f>
        <v>VGK</v>
      </c>
      <c r="C582" s="52" cm="1">
        <f t="array" ref="C582">((E582)*Settings!$C$12)+(F582*Settings!$C$2)+(G582*Settings!$C$3)+(H582*Settings!$C$4)+(I582*Settings!$C$5)+(K582*Settings!$C$9)+(N582*Settings!$C$6)+(J582*Settings!$C$8)+(O582*Settings!$C$7)+(P582*Settings!$C$14)+(Q582*Settings!$C$15)+(R582*Settings!$C$16)+(S582*Settings!$C$17)+(T582*Settings!$C$18)+(U582*Settings!$C$19)+(L582*Settings!$C$10)+(Settings!$C$11*M582)</f>
        <v>0.19564325489523027</v>
      </c>
      <c r="D582" s="57" cm="1">
        <f t="array" ref="D582">IF(Settings!$E$12="YES",VLOOKUP(A582,'Player Data'!A1:E673,5,FALSE),82)</f>
        <v>73.819999999999993</v>
      </c>
      <c r="E582" s="55" cm="1">
        <f t="array" ref="E582">(VLOOKUP($A582,'The List'!$B1:$AH671,17,FALSE)-AVERAGE('The List'!R2:R671))/STDEV('The List'!R2:R671)</f>
        <v>1.2586279002936216E-2</v>
      </c>
      <c r="F582" s="55" cm="1">
        <f t="array" ref="F582">(VLOOKUP($A582,'The List'!$B1:$AH671,18,FALSE)-AVERAGE('The List'!S2:S671))/STDEV('The List'!S2:S671)</f>
        <v>-1.181639895129333</v>
      </c>
      <c r="G582" s="55" cm="1">
        <f t="array" ref="G582">(VLOOKUP($A582,'The List'!$B1:$AH671,19,FALSE)-AVERAGE('The List'!T2:T671))/STDEV('The List'!T2:T671)</f>
        <v>-1.0039022511919551</v>
      </c>
      <c r="H582" s="55" cm="1">
        <f t="array" ref="H582">(VLOOKUP($A582,'The List'!$B1:$AH671,20,FALSE)-AVERAGE('The List'!U2:U671))/STDEV('The List'!U2:U671)</f>
        <v>-1.1557171340124388</v>
      </c>
      <c r="I582" s="55" cm="1">
        <f t="array" ref="I582">(VLOOKUP($A582,'The List'!$B1:$AH671,21,FALSE)-AVERAGE('The List'!V2:V671))/STDEV('The List'!V2:V671)</f>
        <v>-0.94995290137516608</v>
      </c>
      <c r="J582" s="55" cm="1">
        <f t="array" ref="J582">(VLOOKUP($A582,'The List'!$B1:$AH671,22,FALSE)-AVERAGE('The List'!W2:W671))/STDEV('The List'!W2:W671)</f>
        <v>-0.74962552781537006</v>
      </c>
      <c r="K582" s="55" cm="1">
        <f t="array" ref="K582">(VLOOKUP($A582,'The List'!$B1:$AH671,23,FALSE)-AVERAGE('The List'!X2:X671))/STDEV('The List'!X2:X671)</f>
        <v>-0.80914812182829599</v>
      </c>
      <c r="L582" s="55" cm="1">
        <f t="array" ref="L582">(VLOOKUP($A582,'The List'!$B1:$AH671,24,FALSE)-AVERAGE('The List'!Y2:Y671))/STDEV('The List'!Y2:Y671)</f>
        <v>-0.54679223113776343</v>
      </c>
      <c r="M582" s="55" cm="1">
        <f t="array" ref="M582">(VLOOKUP($A582,'The List'!$B1:$AH671,25,FALSE)-AVERAGE('The List'!Z2:Z671))/STDEV('The List'!Z2:Z671)</f>
        <v>-0.60565500594384192</v>
      </c>
      <c r="N582" s="55" cm="1">
        <f t="array" ref="N582">(VLOOKUP($A582,'The List'!$B1:$AH671,26,FALSE)-AVERAGE('The List'!AA2:AA671))/STDEV('The List'!AA2:AA671)</f>
        <v>0.85589112108724685</v>
      </c>
      <c r="O582" s="55" cm="1">
        <f t="array" ref="O582">(VLOOKUP($A582,'The List'!$B1:$AH671,27,FALSE)-AVERAGE('The List'!AB2:AB671))/STDEV('The List'!AB2:AB671)</f>
        <v>2.8237431654305576</v>
      </c>
      <c r="P582" s="55" cm="1">
        <f t="array" ref="P582">(VLOOKUP($A582,'The List'!$B1:$AH671,28,FALSE)-AVERAGE('The List'!AC2:AC671))/STDEV('The List'!AC2:AC671)</f>
        <v>0.37498612514969676</v>
      </c>
      <c r="Q582" s="55" cm="1">
        <f t="array" ref="Q582">(VLOOKUP($A582,'The List'!$B1:$AH671,29,FALSE)-AVERAGE('The List'!AD2:AD671))/STDEV('The List'!AD2:AD671)</f>
        <v>2.9094091781830369</v>
      </c>
      <c r="R582" s="55" cm="1">
        <f t="array" ref="R582">(VLOOKUP($A582,'The List'!$B1:$AH671,30,FALSE)-AVERAGE('The List'!AE2:AE671))/STDEV('The List'!AE2:AE671)</f>
        <v>-1.1071378847853164</v>
      </c>
      <c r="S582" s="55" cm="1">
        <f t="array" ref="S582">(VLOOKUP($A582,'The List'!$B1:$AH671,31,FALSE)-AVERAGE('The List'!AF2:AF671))/STDEV('The List'!AF2:AF671)</f>
        <v>-0.5939690971349143</v>
      </c>
      <c r="T582" s="55" cm="1">
        <f t="array" ref="T582">(VLOOKUP($A582,'The List'!$B1:$AH671,32,FALSE)-AVERAGE('The List'!AG2:AG671))/STDEV('The List'!AG2:AG671)</f>
        <v>-0.64602208138248207</v>
      </c>
      <c r="U582" s="55" cm="1">
        <f t="array" ref="U582">(VLOOKUP($A582,'The List'!$B1:$AH671,33,FALSE)-AVERAGE('The List'!AH2:AH671))/STDEV('The List'!AH2:AH671)</f>
        <v>-1.2548938914719048</v>
      </c>
      <c r="V582" s="55"/>
      <c r="W582" s="78"/>
      <c r="X582" s="57"/>
      <c r="Y582" s="57"/>
      <c r="Z582" s="57"/>
      <c r="AA582" s="57"/>
      <c r="AB582" s="57"/>
      <c r="AC582" s="60"/>
      <c r="AD582" s="61"/>
      <c r="AE582" s="55"/>
    </row>
    <row r="583" spans="1:31" ht="21.25" customHeight="1" x14ac:dyDescent="0.15">
      <c r="A583" s="10" t="s">
        <v>439</v>
      </c>
      <c r="B583" s="18" t="str" cm="1">
        <f t="array" ref="B583">VLOOKUP(A583,'Player Data'!A1:B673,2,FALSE)</f>
        <v>PHI</v>
      </c>
      <c r="C583" s="52" cm="1">
        <f t="array" ref="C583">((E583)*Settings!$C$12)+(F583*Settings!$C$2)+(G583*Settings!$C$3)+(H583*Settings!$C$4)+(I583*Settings!$C$5)+(K583*Settings!$C$9)+(N583*Settings!$C$6)+(J583*Settings!$C$8)+(O583*Settings!$C$7)+(P583*Settings!$C$14)+(Q583*Settings!$C$15)+(R583*Settings!$C$16)+(S583*Settings!$C$17)+(T583*Settings!$C$18)+(U583*Settings!$C$19)+(L583*Settings!$C$10)+(Settings!$C$11*M583)</f>
        <v>-0.5921442104030642</v>
      </c>
      <c r="D583" s="57" cm="1">
        <f t="array" ref="D583">IF(Settings!$E$12="YES",VLOOKUP(A583,'Player Data'!A1:E673,5,FALSE),82)</f>
        <v>81.887500000000003</v>
      </c>
      <c r="E583" s="55" cm="1">
        <f t="array" ref="E583">(VLOOKUP($A583,'The List'!$B1:$AH671,17,FALSE)-AVERAGE('The List'!R2:R671))/STDEV('The List'!R2:R671)</f>
        <v>0.21615232186957201</v>
      </c>
      <c r="F583" s="55" cm="1">
        <f t="array" ref="F583">(VLOOKUP($A583,'The List'!$B1:$AH671,18,FALSE)-AVERAGE('The List'!S2:S671))/STDEV('The List'!S2:S671)</f>
        <v>-1.2386770308572344</v>
      </c>
      <c r="G583" s="55" cm="1">
        <f t="array" ref="G583">(VLOOKUP($A583,'The List'!$B1:$AH671,19,FALSE)-AVERAGE('The List'!T2:T671))/STDEV('The List'!T2:T671)</f>
        <v>-0.88109940154475275</v>
      </c>
      <c r="H583" s="55" cm="1">
        <f t="array" ref="H583">(VLOOKUP($A583,'The List'!$B1:$AH671,20,FALSE)-AVERAGE('The List'!U2:U671))/STDEV('The List'!U2:U671)</f>
        <v>-1.1037809261464706</v>
      </c>
      <c r="I583" s="55" cm="1">
        <f t="array" ref="I583">(VLOOKUP($A583,'The List'!$B1:$AH671,21,FALSE)-AVERAGE('The List'!V2:V671))/STDEV('The List'!V2:V671)</f>
        <v>-0.78774649128059893</v>
      </c>
      <c r="J583" s="55" cm="1">
        <f t="array" ref="J583">(VLOOKUP($A583,'The List'!$B1:$AH671,22,FALSE)-AVERAGE('The List'!W2:W671))/STDEV('The List'!W2:W671)</f>
        <v>-0.74953722903709941</v>
      </c>
      <c r="K583" s="55" cm="1">
        <f t="array" ref="K583">(VLOOKUP($A583,'The List'!$B1:$AH671,23,FALSE)-AVERAGE('The List'!X2:X671))/STDEV('The List'!X2:X671)</f>
        <v>-0.80718774156829065</v>
      </c>
      <c r="L583" s="55" cm="1">
        <f t="array" ref="L583">(VLOOKUP($A583,'The List'!$B1:$AH671,24,FALSE)-AVERAGE('The List'!Y2:Y671))/STDEV('The List'!Y2:Y671)</f>
        <v>-0.55259827838215791</v>
      </c>
      <c r="M583" s="55" cm="1">
        <f t="array" ref="M583">(VLOOKUP($A583,'The List'!$B1:$AH671,25,FALSE)-AVERAGE('The List'!Z2:Z671))/STDEV('The List'!Z2:Z671)</f>
        <v>-3.5251226481785462E-2</v>
      </c>
      <c r="N583" s="55" cm="1">
        <f t="array" ref="N583">(VLOOKUP($A583,'The List'!$B1:$AH671,26,FALSE)-AVERAGE('The List'!AA2:AA671))/STDEV('The List'!AA2:AA671)</f>
        <v>2.4586366912008466</v>
      </c>
      <c r="O583" s="55" cm="1">
        <f t="array" ref="O583">(VLOOKUP($A583,'The List'!$B1:$AH671,27,FALSE)-AVERAGE('The List'!AB2:AB671))/STDEV('The List'!AB2:AB671)</f>
        <v>0.76726467204506255</v>
      </c>
      <c r="P583" s="55" cm="1">
        <f t="array" ref="P583">(VLOOKUP($A583,'The List'!$B1:$AH671,28,FALSE)-AVERAGE('The List'!AC2:AC671))/STDEV('The List'!AC2:AC671)</f>
        <v>-1.2604090590861759E-2</v>
      </c>
      <c r="Q583" s="55" cm="1">
        <f t="array" ref="Q583">(VLOOKUP($A583,'The List'!$B1:$AH671,29,FALSE)-AVERAGE('The List'!AD2:AD671))/STDEV('The List'!AD2:AD671)</f>
        <v>0.6765338542378273</v>
      </c>
      <c r="R583" s="55" cm="1">
        <f t="array" ref="R583">(VLOOKUP($A583,'The List'!$B1:$AH671,30,FALSE)-AVERAGE('The List'!AE2:AE671))/STDEV('The List'!AE2:AE671)</f>
        <v>-1.2022500229686837</v>
      </c>
      <c r="S583" s="55" cm="1">
        <f t="array" ref="S583">(VLOOKUP($A583,'The List'!$B1:$AH671,31,FALSE)-AVERAGE('The List'!AF2:AF671))/STDEV('The List'!AF2:AF671)</f>
        <v>-0.5939690971349143</v>
      </c>
      <c r="T583" s="55" cm="1">
        <f t="array" ref="T583">(VLOOKUP($A583,'The List'!$B1:$AH671,32,FALSE)-AVERAGE('The List'!AG2:AG671))/STDEV('The List'!AG2:AG671)</f>
        <v>-0.64602208138248207</v>
      </c>
      <c r="U583" s="55" cm="1">
        <f t="array" ref="U583">(VLOOKUP($A583,'The List'!$B1:$AH671,33,FALSE)-AVERAGE('The List'!AH2:AH671))/STDEV('The List'!AH2:AH671)</f>
        <v>-1.2548938914719048</v>
      </c>
      <c r="V583" s="55"/>
      <c r="W583" s="78"/>
      <c r="X583" s="57"/>
      <c r="Y583" s="57"/>
      <c r="Z583" s="57"/>
      <c r="AA583" s="57"/>
      <c r="AB583" s="57"/>
      <c r="AC583" s="60"/>
      <c r="AD583" s="61"/>
      <c r="AE583" s="55"/>
    </row>
    <row r="584" spans="1:31" ht="21.25" customHeight="1" x14ac:dyDescent="0.15">
      <c r="A584" s="10" t="s">
        <v>575</v>
      </c>
      <c r="B584" s="18" t="str" cm="1">
        <f t="array" ref="B584">VLOOKUP(A584,'Player Data'!A1:B673,2,FALSE)</f>
        <v>DET</v>
      </c>
      <c r="C584" s="52" cm="1">
        <f t="array" ref="C584">((E584)*Settings!$C$12)+(F584*Settings!$C$2)+(G584*Settings!$C$3)+(H584*Settings!$C$4)+(I584*Settings!$C$5)+(K584*Settings!$C$9)+(N584*Settings!$C$6)+(J584*Settings!$C$8)+(O584*Settings!$C$7)+(P584*Settings!$C$14)+(Q584*Settings!$C$15)+(R584*Settings!$C$16)+(S584*Settings!$C$17)+(T584*Settings!$C$18)+(U584*Settings!$C$19)+(L584*Settings!$C$10)+(Settings!$C$11*M584)</f>
        <v>-4.2675520836376926</v>
      </c>
      <c r="D584" s="57" cm="1">
        <f t="array" ref="D584">IF(Settings!$E$12="YES",VLOOKUP(A584,'Player Data'!A1:E673,5,FALSE),82)</f>
        <v>73.882499999999993</v>
      </c>
      <c r="E584" s="55" cm="1">
        <f t="array" ref="E584">(VLOOKUP($A584,'The List'!$B1:$AH671,17,FALSE)-AVERAGE('The List'!R2:R671))/STDEV('The List'!R2:R671)</f>
        <v>-0.66356108702530003</v>
      </c>
      <c r="F584" s="55" cm="1">
        <f t="array" ref="F584">(VLOOKUP($A584,'The List'!$B1:$AH671,18,FALSE)-AVERAGE('The List'!S2:S671))/STDEV('The List'!S2:S671)</f>
        <v>-1.105503843191834</v>
      </c>
      <c r="G584" s="55" cm="1">
        <f t="array" ref="G584">(VLOOKUP($A584,'The List'!$B1:$AH671,19,FALSE)-AVERAGE('The List'!T2:T671))/STDEV('The List'!T2:T671)</f>
        <v>-1.0632439464752639</v>
      </c>
      <c r="H584" s="55" cm="1">
        <f t="array" ref="H584">(VLOOKUP($A584,'The List'!$B1:$AH671,20,FALSE)-AVERAGE('The List'!U2:U671))/STDEV('The List'!U2:U671)</f>
        <v>-1.1592628370912459</v>
      </c>
      <c r="I584" s="55" cm="1">
        <f t="array" ref="I584">(VLOOKUP($A584,'The List'!$B1:$AH671,21,FALSE)-AVERAGE('The List'!V2:V671))/STDEV('The List'!V2:V671)</f>
        <v>-1.2826162140342749</v>
      </c>
      <c r="J584" s="55" cm="1">
        <f t="array" ref="J584">(VLOOKUP($A584,'The List'!$B1:$AH671,22,FALSE)-AVERAGE('The List'!W2:W671))/STDEV('The List'!W2:W671)</f>
        <v>-0.74947120437434345</v>
      </c>
      <c r="K584" s="55" cm="1">
        <f t="array" ref="K584">(VLOOKUP($A584,'The List'!$B1:$AH671,23,FALSE)-AVERAGE('The List'!X2:X671))/STDEV('The List'!X2:X671)</f>
        <v>-0.80931168291823508</v>
      </c>
      <c r="L584" s="55" cm="1">
        <f t="array" ref="L584">(VLOOKUP($A584,'The List'!$B1:$AH671,24,FALSE)-AVERAGE('The List'!Y2:Y671))/STDEV('The List'!Y2:Y671)</f>
        <v>-0.52657381187807384</v>
      </c>
      <c r="M584" s="55" cm="1">
        <f t="array" ref="M584">(VLOOKUP($A584,'The List'!$B1:$AH671,25,FALSE)-AVERAGE('The List'!Z2:Z671))/STDEV('The List'!Z2:Z671)</f>
        <v>-0.48732679185016364</v>
      </c>
      <c r="N584" s="55" cm="1">
        <f t="array" ref="N584">(VLOOKUP($A584,'The List'!$B1:$AH671,26,FALSE)-AVERAGE('The List'!AA2:AA671))/STDEV('The List'!AA2:AA671)</f>
        <v>0.74084846174574737</v>
      </c>
      <c r="O584" s="55" cm="1">
        <f t="array" ref="O584">(VLOOKUP($A584,'The List'!$B1:$AH671,27,FALSE)-AVERAGE('The List'!AB2:AB671))/STDEV('The List'!AB2:AB671)</f>
        <v>-0.20057501666102939</v>
      </c>
      <c r="P584" s="55" cm="1">
        <f t="array" ref="P584">(VLOOKUP($A584,'The List'!$B1:$AH671,28,FALSE)-AVERAGE('The List'!AC2:AC671))/STDEV('The List'!AC2:AC671)</f>
        <v>-0.38124371265151596</v>
      </c>
      <c r="Q584" s="55" cm="1">
        <f t="array" ref="Q584">(VLOOKUP($A584,'The List'!$B1:$AH671,29,FALSE)-AVERAGE('The List'!AD2:AD671))/STDEV('The List'!AD2:AD671)</f>
        <v>-0.36648114611231664</v>
      </c>
      <c r="R584" s="55" cm="1">
        <f t="array" ref="R584">(VLOOKUP($A584,'The List'!$B1:$AH671,30,FALSE)-AVERAGE('The List'!AE2:AE671))/STDEV('The List'!AE2:AE671)</f>
        <v>-1.0729348187618082</v>
      </c>
      <c r="S584" s="55" cm="1">
        <f t="array" ref="S584">(VLOOKUP($A584,'The List'!$B1:$AH671,31,FALSE)-AVERAGE('The List'!AF2:AF671))/STDEV('The List'!AF2:AF671)</f>
        <v>-0.5939690971349143</v>
      </c>
      <c r="T584" s="55" cm="1">
        <f t="array" ref="T584">(VLOOKUP($A584,'The List'!$B1:$AH671,32,FALSE)-AVERAGE('The List'!AG2:AG671))/STDEV('The List'!AG2:AG671)</f>
        <v>-0.64602208138248207</v>
      </c>
      <c r="U584" s="55" cm="1">
        <f t="array" ref="U584">(VLOOKUP($A584,'The List'!$B1:$AH671,33,FALSE)-AVERAGE('The List'!AH2:AH671))/STDEV('The List'!AH2:AH671)</f>
        <v>-1.2548938914719048</v>
      </c>
      <c r="V584" s="55"/>
      <c r="W584" s="78"/>
      <c r="X584" s="57"/>
      <c r="Y584" s="57"/>
      <c r="Z584" s="57"/>
      <c r="AA584" s="57"/>
      <c r="AB584" s="57"/>
      <c r="AC584" s="60"/>
      <c r="AD584" s="61"/>
      <c r="AE584" s="55"/>
    </row>
    <row r="585" spans="1:31" ht="21.25" customHeight="1" x14ac:dyDescent="0.15">
      <c r="A585" s="10" t="s">
        <v>512</v>
      </c>
      <c r="B585" s="18" t="str" cm="1">
        <f t="array" ref="B585">VLOOKUP(A585,'Player Data'!A1:B673,2,FALSE)</f>
        <v>CHI</v>
      </c>
      <c r="C585" s="52" cm="1">
        <f t="array" ref="C585">((E585)*Settings!$C$12)+(F585*Settings!$C$2)+(G585*Settings!$C$3)+(H585*Settings!$C$4)+(I585*Settings!$C$5)+(K585*Settings!$C$9)+(N585*Settings!$C$6)+(J585*Settings!$C$8)+(O585*Settings!$C$7)+(P585*Settings!$C$14)+(Q585*Settings!$C$15)+(R585*Settings!$C$16)+(S585*Settings!$C$17)+(T585*Settings!$C$18)+(U585*Settings!$C$19)+(L585*Settings!$C$10)+(Settings!$C$11*M585)</f>
        <v>-1.9095142599882911</v>
      </c>
      <c r="D585" s="57" cm="1">
        <f t="array" ref="D585">IF(Settings!$E$12="YES",VLOOKUP(A585,'Player Data'!A1:E673,5,FALSE),82)</f>
        <v>83.63</v>
      </c>
      <c r="E585" s="55" cm="1">
        <f t="array" ref="E585">(VLOOKUP($A585,'The List'!$B1:$AH671,17,FALSE)-AVERAGE('The List'!R2:R671))/STDEV('The List'!R2:R671)</f>
        <v>0.34242610523096378</v>
      </c>
      <c r="F585" s="55" cm="1">
        <f t="array" ref="F585">(VLOOKUP($A585,'The List'!$B1:$AH671,18,FALSE)-AVERAGE('The List'!S2:S671))/STDEV('The List'!S2:S671)</f>
        <v>-1.4171425815594634</v>
      </c>
      <c r="G585" s="55" cm="1">
        <f t="array" ref="G585">(VLOOKUP($A585,'The List'!$B1:$AH671,19,FALSE)-AVERAGE('The List'!T2:T671))/STDEV('The List'!T2:T671)</f>
        <v>-0.77181788928778072</v>
      </c>
      <c r="H585" s="55" cm="1">
        <f t="array" ref="H585">(VLOOKUP($A585,'The List'!$B1:$AH671,20,FALSE)-AVERAGE('The List'!U2:U671))/STDEV('The List'!U2:U671)</f>
        <v>-1.1142247143828243</v>
      </c>
      <c r="I585" s="55" cm="1">
        <f t="array" ref="I585">(VLOOKUP($A585,'The List'!$B1:$AH671,21,FALSE)-AVERAGE('The List'!V2:V671))/STDEV('The List'!V2:V671)</f>
        <v>-1.5826994236936356</v>
      </c>
      <c r="J585" s="55" cm="1">
        <f t="array" ref="J585">(VLOOKUP($A585,'The List'!$B1:$AH671,22,FALSE)-AVERAGE('The List'!W2:W671))/STDEV('The List'!W2:W671)</f>
        <v>-0.75078953892439793</v>
      </c>
      <c r="K585" s="55" cm="1">
        <f t="array" ref="K585">(VLOOKUP($A585,'The List'!$B1:$AH671,23,FALSE)-AVERAGE('The List'!X2:X671))/STDEV('The List'!X2:X671)</f>
        <v>-0.80882009755392392</v>
      </c>
      <c r="L585" s="55" cm="1">
        <f t="array" ref="L585">(VLOOKUP($A585,'The List'!$B1:$AH671,24,FALSE)-AVERAGE('The List'!Y2:Y671))/STDEV('The List'!Y2:Y671)</f>
        <v>-0.57375991772788337</v>
      </c>
      <c r="M585" s="55" cm="1">
        <f t="array" ref="M585">(VLOOKUP($A585,'The List'!$B1:$AH671,25,FALSE)-AVERAGE('The List'!Z2:Z671))/STDEV('The List'!Z2:Z671)</f>
        <v>-0.2533847873714612</v>
      </c>
      <c r="N585" s="55" cm="1">
        <f t="array" ref="N585">(VLOOKUP($A585,'The List'!$B1:$AH671,26,FALSE)-AVERAGE('The List'!AA2:AA671))/STDEV('The List'!AA2:AA671)</f>
        <v>2.3757923743203819</v>
      </c>
      <c r="O585" s="55" cm="1">
        <f t="array" ref="O585">(VLOOKUP($A585,'The List'!$B1:$AH671,27,FALSE)-AVERAGE('The List'!AB2:AB671))/STDEV('The List'!AB2:AB671)</f>
        <v>-2.1155689497248744E-2</v>
      </c>
      <c r="P585" s="55" cm="1">
        <f t="array" ref="P585">(VLOOKUP($A585,'The List'!$B1:$AH671,28,FALSE)-AVERAGE('The List'!AC2:AC671))/STDEV('The List'!AC2:AC671)</f>
        <v>-1.4515001335834106</v>
      </c>
      <c r="Q585" s="55" cm="1">
        <f t="array" ref="Q585">(VLOOKUP($A585,'The List'!$B1:$AH671,29,FALSE)-AVERAGE('The List'!AD2:AD671))/STDEV('The List'!AD2:AD671)</f>
        <v>1.746673491369541</v>
      </c>
      <c r="R585" s="55" cm="1">
        <f t="array" ref="R585">(VLOOKUP($A585,'The List'!$B1:$AH671,30,FALSE)-AVERAGE('The List'!AE2:AE671))/STDEV('The List'!AE2:AE671)</f>
        <v>-1.368556589157117</v>
      </c>
      <c r="S585" s="55" cm="1">
        <f t="array" ref="S585">(VLOOKUP($A585,'The List'!$B1:$AH671,31,FALSE)-AVERAGE('The List'!AF2:AF671))/STDEV('The List'!AF2:AF671)</f>
        <v>-0.5939690971349143</v>
      </c>
      <c r="T585" s="55" cm="1">
        <f t="array" ref="T585">(VLOOKUP($A585,'The List'!$B1:$AH671,32,FALSE)-AVERAGE('The List'!AG2:AG671))/STDEV('The List'!AG2:AG671)</f>
        <v>-0.64602208138248207</v>
      </c>
      <c r="U585" s="55" cm="1">
        <f t="array" ref="U585">(VLOOKUP($A585,'The List'!$B1:$AH671,33,FALSE)-AVERAGE('The List'!AH2:AH671))/STDEV('The List'!AH2:AH671)</f>
        <v>-1.2548938914719048</v>
      </c>
      <c r="V585" s="55"/>
      <c r="W585" s="78"/>
      <c r="X585" s="57"/>
      <c r="Y585" s="57"/>
      <c r="Z585" s="57"/>
      <c r="AA585" s="57"/>
      <c r="AB585" s="57"/>
      <c r="AC585" s="60"/>
      <c r="AD585" s="61"/>
      <c r="AE585" s="55"/>
    </row>
    <row r="586" spans="1:31" ht="21.25" customHeight="1" x14ac:dyDescent="0.15">
      <c r="A586" s="10" t="s">
        <v>447</v>
      </c>
      <c r="B586" s="18" t="str" cm="1">
        <f t="array" ref="B586">VLOOKUP(A586,'Player Data'!A1:B673,2,FALSE)</f>
        <v>DET</v>
      </c>
      <c r="C586" s="52" cm="1">
        <f t="array" ref="C586">((E586)*Settings!$C$12)+(F586*Settings!$C$2)+(G586*Settings!$C$3)+(H586*Settings!$C$4)+(I586*Settings!$C$5)+(K586*Settings!$C$9)+(N586*Settings!$C$6)+(J586*Settings!$C$8)+(O586*Settings!$C$7)+(P586*Settings!$C$14)+(Q586*Settings!$C$15)+(R586*Settings!$C$16)+(S586*Settings!$C$17)+(T586*Settings!$C$18)+(U586*Settings!$C$19)+(L586*Settings!$C$10)+(Settings!$C$11*M586)</f>
        <v>-0.69587189614164635</v>
      </c>
      <c r="D586" s="57" cm="1">
        <f t="array" ref="D586">IF(Settings!$E$12="YES",VLOOKUP(A586,'Player Data'!A1:E673,5,FALSE),82)</f>
        <v>83.392499999999998</v>
      </c>
      <c r="E586" s="55" cm="1">
        <f t="array" ref="E586">(VLOOKUP($A586,'The List'!$B1:$AH671,17,FALSE)-AVERAGE('The List'!R2:R671))/STDEV('The List'!R2:R671)</f>
        <v>0.88284286924497835</v>
      </c>
      <c r="F586" s="55" cm="1">
        <f t="array" ref="F586">(VLOOKUP($A586,'The List'!$B1:$AH671,18,FALSE)-AVERAGE('The List'!S2:S671))/STDEV('The List'!S2:S671)</f>
        <v>-1.1631014023041277</v>
      </c>
      <c r="G586" s="55" cm="1">
        <f t="array" ref="G586">(VLOOKUP($A586,'The List'!$B1:$AH671,19,FALSE)-AVERAGE('The List'!T2:T671))/STDEV('The List'!T2:T671)</f>
        <v>-0.9590321923635664</v>
      </c>
      <c r="H586" s="55" cm="1">
        <f t="array" ref="H586">(VLOOKUP($A586,'The List'!$B1:$AH671,20,FALSE)-AVERAGE('The List'!U2:U671))/STDEV('The List'!U2:U671)</f>
        <v>-1.1192689778528706</v>
      </c>
      <c r="I586" s="55" cm="1">
        <f t="array" ref="I586">(VLOOKUP($A586,'The List'!$B1:$AH671,21,FALSE)-AVERAGE('The List'!V2:V671))/STDEV('The List'!V2:V671)</f>
        <v>-0.66156094254436215</v>
      </c>
      <c r="J586" s="55" cm="1">
        <f t="array" ref="J586">(VLOOKUP($A586,'The List'!$B1:$AH671,22,FALSE)-AVERAGE('The List'!W2:W671))/STDEV('The List'!W2:W671)</f>
        <v>-0.74944252742550244</v>
      </c>
      <c r="K586" s="55" cm="1">
        <f t="array" ref="K586">(VLOOKUP($A586,'The List'!$B1:$AH671,23,FALSE)-AVERAGE('The List'!X2:X671))/STDEV('The List'!X2:X671)</f>
        <v>-0.80451967851426698</v>
      </c>
      <c r="L586" s="55" cm="1">
        <f t="array" ref="L586">(VLOOKUP($A586,'The List'!$B1:$AH671,24,FALSE)-AVERAGE('The List'!Y2:Y671))/STDEV('The List'!Y2:Y671)</f>
        <v>-0.55103055656624722</v>
      </c>
      <c r="M586" s="55" cm="1">
        <f t="array" ref="M586">(VLOOKUP($A586,'The List'!$B1:$AH671,25,FALSE)-AVERAGE('The List'!Z2:Z671))/STDEV('The List'!Z2:Z671)</f>
        <v>-0.60736750383128668</v>
      </c>
      <c r="N586" s="55" cm="1">
        <f t="array" ref="N586">(VLOOKUP($A586,'The List'!$B1:$AH671,26,FALSE)-AVERAGE('The List'!AA2:AA671))/STDEV('The List'!AA2:AA671)</f>
        <v>2.2167278448813348</v>
      </c>
      <c r="O586" s="55" cm="1">
        <f t="array" ref="O586">(VLOOKUP($A586,'The List'!$B1:$AH671,27,FALSE)-AVERAGE('The List'!AB2:AB671))/STDEV('The List'!AB2:AB671)</f>
        <v>1.1497539426492274</v>
      </c>
      <c r="P586" s="55" cm="1">
        <f t="array" ref="P586">(VLOOKUP($A586,'The List'!$B1:$AH671,28,FALSE)-AVERAGE('The List'!AC2:AC671))/STDEV('The List'!AC2:AC671)</f>
        <v>-1.2167093922011651</v>
      </c>
      <c r="Q586" s="55" cm="1">
        <f t="array" ref="Q586">(VLOOKUP($A586,'The List'!$B1:$AH671,29,FALSE)-AVERAGE('The List'!AD2:AD671))/STDEV('The List'!AD2:AD671)</f>
        <v>1.8923238669045073</v>
      </c>
      <c r="R586" s="55" cm="1">
        <f t="array" ref="R586">(VLOOKUP($A586,'The List'!$B1:$AH671,30,FALSE)-AVERAGE('The List'!AE2:AE671))/STDEV('The List'!AE2:AE671)</f>
        <v>-1.129339073318943</v>
      </c>
      <c r="S586" s="55" cm="1">
        <f t="array" ref="S586">(VLOOKUP($A586,'The List'!$B1:$AH671,31,FALSE)-AVERAGE('The List'!AF2:AF671))/STDEV('The List'!AF2:AF671)</f>
        <v>-0.5939690971349143</v>
      </c>
      <c r="T586" s="55" cm="1">
        <f t="array" ref="T586">(VLOOKUP($A586,'The List'!$B1:$AH671,32,FALSE)-AVERAGE('The List'!AG2:AG671))/STDEV('The List'!AG2:AG671)</f>
        <v>-0.64602208138248207</v>
      </c>
      <c r="U586" s="55" cm="1">
        <f t="array" ref="U586">(VLOOKUP($A586,'The List'!$B1:$AH671,33,FALSE)-AVERAGE('The List'!AH2:AH671))/STDEV('The List'!AH2:AH671)</f>
        <v>-1.2548938914719048</v>
      </c>
      <c r="V586" s="55"/>
      <c r="W586" s="78"/>
      <c r="X586" s="57"/>
      <c r="Y586" s="57"/>
      <c r="Z586" s="57"/>
      <c r="AA586" s="57"/>
      <c r="AB586" s="57"/>
      <c r="AC586" s="60"/>
      <c r="AD586" s="61"/>
      <c r="AE586" s="55"/>
    </row>
    <row r="587" spans="1:31" ht="21.25" customHeight="1" x14ac:dyDescent="0.15">
      <c r="A587" s="10" t="s">
        <v>798</v>
      </c>
      <c r="B587" s="18" t="str" cm="1">
        <f t="array" ref="B587">VLOOKUP(A587,'Player Data'!A1:B673,2,FALSE)</f>
        <v>NYR</v>
      </c>
      <c r="C587" s="52" cm="1">
        <f t="array" ref="C587">((E587)*Settings!$C$12)+(F587*Settings!$C$2)+(G587*Settings!$C$3)+(H587*Settings!$C$4)+(I587*Settings!$C$5)+(K587*Settings!$C$9)+(N587*Settings!$C$6)+(J587*Settings!$C$8)+(O587*Settings!$C$7)+(P587*Settings!$C$14)+(Q587*Settings!$C$15)+(R587*Settings!$C$16)+(S587*Settings!$C$17)+(T587*Settings!$C$18)+(U587*Settings!$C$19)+(L587*Settings!$C$10)+(Settings!$C$11*M587)</f>
        <v>-5.2225553884329639</v>
      </c>
      <c r="D587" s="57" cm="1">
        <f t="array" ref="D587">IF(Settings!$E$12="YES",VLOOKUP(A587,'Player Data'!A1:E673,5,FALSE),82)</f>
        <v>62.09</v>
      </c>
      <c r="E587" s="55" cm="1">
        <f t="array" ref="E587">(VLOOKUP($A587,'The List'!$B1:$AH671,17,FALSE)-AVERAGE('The List'!R2:R671))/STDEV('The List'!R2:R671)</f>
        <v>-2.1748683286055766</v>
      </c>
      <c r="F587" s="55" cm="1">
        <f t="array" ref="F587">(VLOOKUP($A587,'The List'!$B1:$AH671,18,FALSE)-AVERAGE('The List'!S2:S671))/STDEV('The List'!S2:S671)</f>
        <v>-0.97860574625933849</v>
      </c>
      <c r="G587" s="55" cm="1">
        <f t="array" ref="G587">(VLOOKUP($A587,'The List'!$B1:$AH671,19,FALSE)-AVERAGE('The List'!T2:T671))/STDEV('The List'!T2:T671)</f>
        <v>-1.3272577121759799</v>
      </c>
      <c r="H587" s="55" cm="1">
        <f t="array" ref="H587">(VLOOKUP($A587,'The List'!$B1:$AH671,20,FALSE)-AVERAGE('The List'!U2:U671))/STDEV('The List'!U2:U671)</f>
        <v>-1.2690241770267536</v>
      </c>
      <c r="I587" s="55" cm="1">
        <f t="array" ref="I587">(VLOOKUP($A587,'The List'!$B1:$AH671,21,FALSE)-AVERAGE('The List'!V2:V671))/STDEV('The List'!V2:V671)</f>
        <v>-1.4167270446954552</v>
      </c>
      <c r="J587" s="55" cm="1">
        <f t="array" ref="J587">(VLOOKUP($A587,'The List'!$B1:$AH671,22,FALSE)-AVERAGE('The List'!W2:W671))/STDEV('The List'!W2:W671)</f>
        <v>-0.70190021570454819</v>
      </c>
      <c r="K587" s="55" cm="1">
        <f t="array" ref="K587">(VLOOKUP($A587,'The List'!$B1:$AH671,23,FALSE)-AVERAGE('The List'!X2:X671))/STDEV('The List'!X2:X671)</f>
        <v>-0.77200655818566022</v>
      </c>
      <c r="L587" s="55" cm="1">
        <f t="array" ref="L587">(VLOOKUP($A587,'The List'!$B1:$AH671,24,FALSE)-AVERAGE('The List'!Y2:Y671))/STDEV('The List'!Y2:Y671)</f>
        <v>-0.56133693757309422</v>
      </c>
      <c r="M587" s="55" cm="1">
        <f t="array" ref="M587">(VLOOKUP($A587,'The List'!$B1:$AH671,25,FALSE)-AVERAGE('The List'!Z2:Z671))/STDEV('The List'!Z2:Z671)</f>
        <v>-0.70325673741721262</v>
      </c>
      <c r="N587" s="55" cm="1">
        <f t="array" ref="N587">(VLOOKUP($A587,'The List'!$B1:$AH671,26,FALSE)-AVERAGE('The List'!AA2:AA671))/STDEV('The List'!AA2:AA671)</f>
        <v>-1.1218018110693975</v>
      </c>
      <c r="O587" s="55" cm="1">
        <f t="array" ref="O587">(VLOOKUP($A587,'The List'!$B1:$AH671,27,FALSE)-AVERAGE('The List'!AB2:AB671))/STDEV('The List'!AB2:AB671)</f>
        <v>1.4292000542450358</v>
      </c>
      <c r="P587" s="55" cm="1">
        <f t="array" ref="P587">(VLOOKUP($A587,'The List'!$B1:$AH671,28,FALSE)-AVERAGE('The List'!AC2:AC671))/STDEV('The List'!AC2:AC671)</f>
        <v>-0.14400365151980432</v>
      </c>
      <c r="Q587" s="55" cm="1">
        <f t="array" ref="Q587">(VLOOKUP($A587,'The List'!$B1:$AH671,29,FALSE)-AVERAGE('The List'!AD2:AD671))/STDEV('The List'!AD2:AD671)</f>
        <v>0.53784713547267171</v>
      </c>
      <c r="R587" s="55" cm="1">
        <f t="array" ref="R587">(VLOOKUP($A587,'The List'!$B1:$AH671,30,FALSE)-AVERAGE('The List'!AE2:AE671))/STDEV('The List'!AE2:AE671)</f>
        <v>-0.94769456161682408</v>
      </c>
      <c r="S587" s="55" cm="1">
        <f t="array" ref="S587">(VLOOKUP($A587,'The List'!$B1:$AH671,31,FALSE)-AVERAGE('The List'!AF2:AF671))/STDEV('The List'!AF2:AF671)</f>
        <v>-0.56715678746685139</v>
      </c>
      <c r="T587" s="55" cm="1">
        <f t="array" ref="T587">(VLOOKUP($A587,'The List'!$B1:$AH671,32,FALSE)-AVERAGE('The List'!AG2:AG671))/STDEV('The List'!AG2:AG671)</f>
        <v>-0.57017097984504805</v>
      </c>
      <c r="U587" s="55" cm="1">
        <f t="array" ref="U587">(VLOOKUP($A587,'The List'!$B1:$AH671,33,FALSE)-AVERAGE('The List'!AH2:AH671))/STDEV('The List'!AH2:AH671)</f>
        <v>2.3167150690180504E-3</v>
      </c>
      <c r="V587" s="55"/>
      <c r="W587" s="78"/>
      <c r="X587" s="57"/>
      <c r="Y587" s="57"/>
      <c r="Z587" s="57"/>
      <c r="AA587" s="57"/>
      <c r="AB587" s="57"/>
      <c r="AC587" s="60"/>
      <c r="AD587" s="61"/>
      <c r="AE587" s="55"/>
    </row>
    <row r="588" spans="1:31" ht="21.25" customHeight="1" x14ac:dyDescent="0.15">
      <c r="A588" s="10" t="s">
        <v>520</v>
      </c>
      <c r="B588" s="18" t="str" cm="1">
        <f t="array" ref="B588">VLOOKUP(A588,'Player Data'!A1:B673,2,FALSE)</f>
        <v>STL</v>
      </c>
      <c r="C588" s="52" cm="1">
        <f t="array" ref="C588">((E588)*Settings!$C$12)+(F588*Settings!$C$2)+(G588*Settings!$C$3)+(H588*Settings!$C$4)+(I588*Settings!$C$5)+(K588*Settings!$C$9)+(N588*Settings!$C$6)+(J588*Settings!$C$8)+(O588*Settings!$C$7)+(P588*Settings!$C$14)+(Q588*Settings!$C$15)+(R588*Settings!$C$16)+(S588*Settings!$C$17)+(T588*Settings!$C$18)+(U588*Settings!$C$19)+(L588*Settings!$C$10)+(Settings!$C$11*M588)</f>
        <v>-2.7425775852804226</v>
      </c>
      <c r="D588" s="57" cm="1">
        <f t="array" ref="D588">IF(Settings!$E$12="YES",VLOOKUP(A588,'Player Data'!A1:E673,5,FALSE),82)</f>
        <v>78.775000000000006</v>
      </c>
      <c r="E588" s="55" cm="1">
        <f t="array" ref="E588">(VLOOKUP($A588,'The List'!$B1:$AH671,17,FALSE)-AVERAGE('The List'!R2:R671))/STDEV('The List'!R2:R671)</f>
        <v>0.22240051061494714</v>
      </c>
      <c r="F588" s="55" cm="1">
        <f t="array" ref="F588">(VLOOKUP($A588,'The List'!$B1:$AH671,18,FALSE)-AVERAGE('The List'!S2:S671))/STDEV('The List'!S2:S671)</f>
        <v>-1.2856335906456529</v>
      </c>
      <c r="G588" s="55" cm="1">
        <f t="array" ref="G588">(VLOOKUP($A588,'The List'!$B1:$AH671,19,FALSE)-AVERAGE('The List'!T2:T671))/STDEV('The List'!T2:T671)</f>
        <v>-0.97284086344390108</v>
      </c>
      <c r="H588" s="55" cm="1">
        <f t="array" ref="H588">(VLOOKUP($A588,'The List'!$B1:$AH671,20,FALSE)-AVERAGE('The List'!U2:U671))/STDEV('The List'!U2:U671)</f>
        <v>-1.1823194255619358</v>
      </c>
      <c r="I588" s="55" cm="1">
        <f t="array" ref="I588">(VLOOKUP($A588,'The List'!$B1:$AH671,21,FALSE)-AVERAGE('The List'!V2:V671))/STDEV('The List'!V2:V671)</f>
        <v>-1.0504832310058085</v>
      </c>
      <c r="J588" s="55" cm="1">
        <f t="array" ref="J588">(VLOOKUP($A588,'The List'!$B1:$AH671,22,FALSE)-AVERAGE('The List'!W2:W671))/STDEV('The List'!W2:W671)</f>
        <v>-0.74968191032066089</v>
      </c>
      <c r="K588" s="55" cm="1">
        <f t="array" ref="K588">(VLOOKUP($A588,'The List'!$B1:$AH671,23,FALSE)-AVERAGE('The List'!X2:X671))/STDEV('The List'!X2:X671)</f>
        <v>-0.80800260089342713</v>
      </c>
      <c r="L588" s="55" cm="1">
        <f t="array" ref="L588">(VLOOKUP($A588,'The List'!$B1:$AH671,24,FALSE)-AVERAGE('The List'!Y2:Y671))/STDEV('The List'!Y2:Y671)</f>
        <v>-0.54862271864895662</v>
      </c>
      <c r="M588" s="55" cm="1">
        <f t="array" ref="M588">(VLOOKUP($A588,'The List'!$B1:$AH671,25,FALSE)-AVERAGE('The List'!Z2:Z671))/STDEV('The List'!Z2:Z671)</f>
        <v>-0.18010656759133076</v>
      </c>
      <c r="N588" s="55" cm="1">
        <f t="array" ref="N588">(VLOOKUP($A588,'The List'!$B1:$AH671,26,FALSE)-AVERAGE('The List'!AA2:AA671))/STDEV('The List'!AA2:AA671)</f>
        <v>1.5904878557565281</v>
      </c>
      <c r="O588" s="55" cm="1">
        <f t="array" ref="O588">(VLOOKUP($A588,'The List'!$B1:$AH671,27,FALSE)-AVERAGE('The List'!AB2:AB671))/STDEV('The List'!AB2:AB671)</f>
        <v>5.0146180154923226E-2</v>
      </c>
      <c r="P588" s="55" cm="1">
        <f t="array" ref="P588">(VLOOKUP($A588,'The List'!$B1:$AH671,28,FALSE)-AVERAGE('The List'!AC2:AC671))/STDEV('The List'!AC2:AC671)</f>
        <v>-0.67864360488221309</v>
      </c>
      <c r="Q588" s="55" cm="1">
        <f t="array" ref="Q588">(VLOOKUP($A588,'The List'!$B1:$AH671,29,FALSE)-AVERAGE('The List'!AD2:AD671))/STDEV('The List'!AD2:AD671)</f>
        <v>0.46253844983405185</v>
      </c>
      <c r="R588" s="55" cm="1">
        <f t="array" ref="R588">(VLOOKUP($A588,'The List'!$B1:$AH671,30,FALSE)-AVERAGE('The List'!AE2:AE671))/STDEV('The List'!AE2:AE671)</f>
        <v>-1.2560246687231285</v>
      </c>
      <c r="S588" s="55" cm="1">
        <f t="array" ref="S588">(VLOOKUP($A588,'The List'!$B1:$AH671,31,FALSE)-AVERAGE('The List'!AF2:AF671))/STDEV('The List'!AF2:AF671)</f>
        <v>-0.5939690971349143</v>
      </c>
      <c r="T588" s="55" cm="1">
        <f t="array" ref="T588">(VLOOKUP($A588,'The List'!$B1:$AH671,32,FALSE)-AVERAGE('The List'!AG2:AG671))/STDEV('The List'!AG2:AG671)</f>
        <v>-0.64602208138248207</v>
      </c>
      <c r="U588" s="55" cm="1">
        <f t="array" ref="U588">(VLOOKUP($A588,'The List'!$B1:$AH671,33,FALSE)-AVERAGE('The List'!AH2:AH671))/STDEV('The List'!AH2:AH671)</f>
        <v>-1.2548938914719048</v>
      </c>
      <c r="V588" s="55"/>
      <c r="W588" s="78"/>
      <c r="X588" s="57"/>
      <c r="Y588" s="57"/>
      <c r="Z588" s="57"/>
      <c r="AA588" s="57"/>
      <c r="AB588" s="57"/>
      <c r="AC588" s="60"/>
      <c r="AD588" s="61"/>
      <c r="AE588" s="55"/>
    </row>
    <row r="589" spans="1:31" ht="21.25" customHeight="1" x14ac:dyDescent="0.15">
      <c r="A589" s="10" t="s">
        <v>791</v>
      </c>
      <c r="B589" s="18" t="str" cm="1">
        <f t="array" ref="B589">VLOOKUP(A589,'Player Data'!A1:B673,2,FALSE)</f>
        <v>S.J</v>
      </c>
      <c r="C589" s="52" cm="1">
        <f t="array" ref="C589">((E589)*Settings!$C$12)+(F589*Settings!$C$2)+(G589*Settings!$C$3)+(H589*Settings!$C$4)+(I589*Settings!$C$5)+(K589*Settings!$C$9)+(N589*Settings!$C$6)+(J589*Settings!$C$8)+(O589*Settings!$C$7)+(P589*Settings!$C$14)+(Q589*Settings!$C$15)+(R589*Settings!$C$16)+(S589*Settings!$C$17)+(T589*Settings!$C$18)+(U589*Settings!$C$19)+(L589*Settings!$C$10)+(Settings!$C$11*M589)</f>
        <v>-5.786886166395286</v>
      </c>
      <c r="D589" s="57" cm="1">
        <f t="array" ref="D589">IF(Settings!$E$12="YES",VLOOKUP(A589,'Player Data'!A1:E673,5,FALSE),82)</f>
        <v>68.872500000000002</v>
      </c>
      <c r="E589" s="55" cm="1">
        <f t="array" ref="E589">(VLOOKUP($A589,'The List'!$B1:$AH671,17,FALSE)-AVERAGE('The List'!R2:R671))/STDEV('The List'!R2:R671)</f>
        <v>-1.6874231195115217</v>
      </c>
      <c r="F589" s="55" cm="1">
        <f t="array" ref="F589">(VLOOKUP($A589,'The List'!$B1:$AH671,18,FALSE)-AVERAGE('The List'!S2:S671))/STDEV('The List'!S2:S671)</f>
        <v>-0.94608492594033544</v>
      </c>
      <c r="G589" s="55" cm="1">
        <f t="array" ref="G589">(VLOOKUP($A589,'The List'!$B1:$AH671,19,FALSE)-AVERAGE('The List'!T2:T671))/STDEV('The List'!T2:T671)</f>
        <v>-1.3111421839746698</v>
      </c>
      <c r="H589" s="55" cm="1">
        <f t="array" ref="H589">(VLOOKUP($A589,'The List'!$B1:$AH671,20,FALSE)-AVERAGE('The List'!U2:U671))/STDEV('The List'!U2:U671)</f>
        <v>-1.244458814310458</v>
      </c>
      <c r="I589" s="55" cm="1">
        <f t="array" ref="I589">(VLOOKUP($A589,'The List'!$B1:$AH671,21,FALSE)-AVERAGE('The List'!V2:V671))/STDEV('The List'!V2:V671)</f>
        <v>-1.304629487213725</v>
      </c>
      <c r="J589" s="55" cm="1">
        <f t="array" ref="J589">(VLOOKUP($A589,'The List'!$B1:$AH671,22,FALSE)-AVERAGE('The List'!W2:W671))/STDEV('The List'!W2:W671)</f>
        <v>-0.74173589748266056</v>
      </c>
      <c r="K589" s="55" cm="1">
        <f t="array" ref="K589">(VLOOKUP($A589,'The List'!$B1:$AH671,23,FALSE)-AVERAGE('The List'!X2:X671))/STDEV('The List'!X2:X671)</f>
        <v>-0.80512511596746705</v>
      </c>
      <c r="L589" s="55" cm="1">
        <f t="array" ref="L589">(VLOOKUP($A589,'The List'!$B1:$AH671,24,FALSE)-AVERAGE('The List'!Y2:Y671))/STDEV('The List'!Y2:Y671)</f>
        <v>-0.15687641279532458</v>
      </c>
      <c r="M589" s="55" cm="1">
        <f t="array" ref="M589">(VLOOKUP($A589,'The List'!$B1:$AH671,25,FALSE)-AVERAGE('The List'!Z2:Z671))/STDEV('The List'!Z2:Z671)</f>
        <v>-0.30047232663482909</v>
      </c>
      <c r="N589" s="55" cm="1">
        <f t="array" ref="N589">(VLOOKUP($A589,'The List'!$B1:$AH671,26,FALSE)-AVERAGE('The List'!AA2:AA671))/STDEV('The List'!AA2:AA671)</f>
        <v>-0.74616659097991367</v>
      </c>
      <c r="O589" s="55" cm="1">
        <f t="array" ref="O589">(VLOOKUP($A589,'The List'!$B1:$AH671,27,FALSE)-AVERAGE('The List'!AB2:AB671))/STDEV('The List'!AB2:AB671)</f>
        <v>1.2413597867203596</v>
      </c>
      <c r="P589" s="55" cm="1">
        <f t="array" ref="P589">(VLOOKUP($A589,'The List'!$B1:$AH671,28,FALSE)-AVERAGE('The List'!AC2:AC671))/STDEV('The List'!AC2:AC671)</f>
        <v>-0.66842141462994797</v>
      </c>
      <c r="Q589" s="55" cm="1">
        <f t="array" ref="Q589">(VLOOKUP($A589,'The List'!$B1:$AH671,29,FALSE)-AVERAGE('The List'!AD2:AD671))/STDEV('The List'!AD2:AD671)</f>
        <v>-5.316447689227826E-3</v>
      </c>
      <c r="R589" s="55" cm="1">
        <f t="array" ref="R589">(VLOOKUP($A589,'The List'!$B1:$AH671,30,FALSE)-AVERAGE('The List'!AE2:AE671))/STDEV('The List'!AE2:AE671)</f>
        <v>-0.96165630840020089</v>
      </c>
      <c r="S589" s="55" cm="1">
        <f t="array" ref="S589">(VLOOKUP($A589,'The List'!$B1:$AH671,31,FALSE)-AVERAGE('The List'!AF2:AF671))/STDEV('The List'!AF2:AF671)</f>
        <v>0.63132219066139017</v>
      </c>
      <c r="T589" s="55" cm="1">
        <f t="array" ref="T589">(VLOOKUP($A589,'The List'!$B1:$AH671,32,FALSE)-AVERAGE('The List'!AG2:AG671))/STDEV('The List'!AG2:AG671)</f>
        <v>0.69050357083365288</v>
      </c>
      <c r="U589" s="55" cm="1">
        <f t="array" ref="U589">(VLOOKUP($A589,'The List'!$B1:$AH671,33,FALSE)-AVERAGE('The List'!AH2:AH671))/STDEV('The List'!AH2:AH671)</f>
        <v>1.0160161973604014</v>
      </c>
      <c r="V589" s="55"/>
      <c r="W589" s="78"/>
      <c r="X589" s="57"/>
      <c r="Y589" s="57"/>
      <c r="Z589" s="57"/>
      <c r="AA589" s="57"/>
      <c r="AB589" s="57"/>
      <c r="AC589" s="60"/>
      <c r="AD589" s="61"/>
      <c r="AE589" s="55"/>
    </row>
    <row r="590" spans="1:31" ht="21.25" customHeight="1" x14ac:dyDescent="0.15">
      <c r="A590" s="10" t="s">
        <v>795</v>
      </c>
      <c r="B590" s="18" t="str" cm="1">
        <f t="array" ref="B590">VLOOKUP(A590,'Player Data'!A1:B673,2,FALSE)</f>
        <v>ANA</v>
      </c>
      <c r="C590" s="52" cm="1">
        <f t="array" ref="C590">((E590)*Settings!$C$12)+(F590*Settings!$C$2)+(G590*Settings!$C$3)+(H590*Settings!$C$4)+(I590*Settings!$C$5)+(K590*Settings!$C$9)+(N590*Settings!$C$6)+(J590*Settings!$C$8)+(O590*Settings!$C$7)+(P590*Settings!$C$14)+(Q590*Settings!$C$15)+(R590*Settings!$C$16)+(S590*Settings!$C$17)+(T590*Settings!$C$18)+(U590*Settings!$C$19)+(L590*Settings!$C$10)+(Settings!$C$11*M590)</f>
        <v>-6.3083776623074099</v>
      </c>
      <c r="D590" s="57" cm="1">
        <f t="array" ref="D590">IF(Settings!$E$12="YES",VLOOKUP(A590,'Player Data'!A1:E673,5,FALSE),82)</f>
        <v>65.444999999999993</v>
      </c>
      <c r="E590" s="55" cm="1">
        <f t="array" ref="E590">(VLOOKUP($A590,'The List'!$B1:$AH671,17,FALSE)-AVERAGE('The List'!R2:R671))/STDEV('The List'!R2:R671)</f>
        <v>-2.0960323023623082</v>
      </c>
      <c r="F590" s="55" cm="1">
        <f t="array" ref="F590">(VLOOKUP($A590,'The List'!$B1:$AH671,18,FALSE)-AVERAGE('The List'!S2:S671))/STDEV('The List'!S2:S671)</f>
        <v>-1.0711764927950065</v>
      </c>
      <c r="G590" s="55" cm="1">
        <f t="array" ref="G590">(VLOOKUP($A590,'The List'!$B1:$AH671,19,FALSE)-AVERAGE('The List'!T2:T671))/STDEV('The List'!T2:T671)</f>
        <v>-1.2580543223872664</v>
      </c>
      <c r="H590" s="55" cm="1">
        <f t="array" ref="H590">(VLOOKUP($A590,'The List'!$B1:$AH671,20,FALSE)-AVERAGE('The List'!U2:U671))/STDEV('The List'!U2:U671)</f>
        <v>-1.2665672366407994</v>
      </c>
      <c r="I590" s="55" cm="1">
        <f t="array" ref="I590">(VLOOKUP($A590,'The List'!$B1:$AH671,21,FALSE)-AVERAGE('The List'!V2:V671))/STDEV('The List'!V2:V671)</f>
        <v>-1.1755064211333319</v>
      </c>
      <c r="J590" s="55" cm="1">
        <f t="array" ref="J590">(VLOOKUP($A590,'The List'!$B1:$AH671,22,FALSE)-AVERAGE('The List'!W2:W671))/STDEV('The List'!W2:W671)</f>
        <v>-0.74930110395123994</v>
      </c>
      <c r="K590" s="55" cm="1">
        <f t="array" ref="K590">(VLOOKUP($A590,'The List'!$B1:$AH671,23,FALSE)-AVERAGE('The List'!X2:X671))/STDEV('The List'!X2:X671)</f>
        <v>-0.81116818968952265</v>
      </c>
      <c r="L590" s="55" cm="1">
        <f t="array" ref="L590">(VLOOKUP($A590,'The List'!$B1:$AH671,24,FALSE)-AVERAGE('The List'!Y2:Y671))/STDEV('The List'!Y2:Y671)</f>
        <v>-0.52138452948293379</v>
      </c>
      <c r="M590" s="55" cm="1">
        <f t="array" ref="M590">(VLOOKUP($A590,'The List'!$B1:$AH671,25,FALSE)-AVERAGE('The List'!Z2:Z671))/STDEV('The List'!Z2:Z671)</f>
        <v>-0.66159861979517098</v>
      </c>
      <c r="N590" s="55" cm="1">
        <f t="array" ref="N590">(VLOOKUP($A590,'The List'!$B1:$AH671,26,FALSE)-AVERAGE('The List'!AA2:AA671))/STDEV('The List'!AA2:AA671)</f>
        <v>-0.86288971072269438</v>
      </c>
      <c r="O590" s="55" cm="1">
        <f t="array" ref="O590">(VLOOKUP($A590,'The List'!$B1:$AH671,27,FALSE)-AVERAGE('The List'!AB2:AB671))/STDEV('The List'!AB2:AB671)</f>
        <v>1.4898797207966183</v>
      </c>
      <c r="P590" s="55" cm="1">
        <f t="array" ref="P590">(VLOOKUP($A590,'The List'!$B1:$AH671,28,FALSE)-AVERAGE('The List'!AC2:AC671))/STDEV('The List'!AC2:AC671)</f>
        <v>-0.62312363534429382</v>
      </c>
      <c r="Q590" s="55" cm="1">
        <f t="array" ref="Q590">(VLOOKUP($A590,'The List'!$B1:$AH671,29,FALSE)-AVERAGE('The List'!AD2:AD671))/STDEV('The List'!AD2:AD671)</f>
        <v>-0.50645889023529478</v>
      </c>
      <c r="R590" s="55" cm="1">
        <f t="array" ref="R590">(VLOOKUP($A590,'The List'!$B1:$AH671,30,FALSE)-AVERAGE('The List'!AE2:AE671))/STDEV('The List'!AE2:AE671)</f>
        <v>-1.0592117637530687</v>
      </c>
      <c r="S590" s="55" cm="1">
        <f t="array" ref="S590">(VLOOKUP($A590,'The List'!$B1:$AH671,31,FALSE)-AVERAGE('The List'!AF2:AF671))/STDEV('The List'!AF2:AF671)</f>
        <v>-0.57022263562563458</v>
      </c>
      <c r="T590" s="55" cm="1">
        <f t="array" ref="T590">(VLOOKUP($A590,'The List'!$B1:$AH671,32,FALSE)-AVERAGE('The List'!AG2:AG671))/STDEV('The List'!AG2:AG671)</f>
        <v>-0.59263256167831635</v>
      </c>
      <c r="U590" s="55" cm="1">
        <f t="array" ref="U590">(VLOOKUP($A590,'The List'!$B1:$AH671,33,FALSE)-AVERAGE('The List'!AH2:AH671))/STDEV('The List'!AH2:AH671)</f>
        <v>0.22264342608467325</v>
      </c>
      <c r="V590" s="55"/>
      <c r="W590" s="78"/>
      <c r="X590" s="57"/>
      <c r="Y590" s="57"/>
      <c r="Z590" s="57"/>
      <c r="AA590" s="57"/>
      <c r="AB590" s="57"/>
      <c r="AC590" s="60"/>
      <c r="AD590" s="61"/>
      <c r="AE590" s="55"/>
    </row>
    <row r="591" spans="1:31" ht="21.25" customHeight="1" x14ac:dyDescent="0.15">
      <c r="A591" s="10" t="s">
        <v>623</v>
      </c>
      <c r="B591" s="18" t="str" cm="1">
        <f t="array" ref="B591">VLOOKUP(A591,'Player Data'!A1:B673,2,FALSE)</f>
        <v>OTT</v>
      </c>
      <c r="C591" s="52" cm="1">
        <f t="array" ref="C591">((E591)*Settings!$C$12)+(F591*Settings!$C$2)+(G591*Settings!$C$3)+(H591*Settings!$C$4)+(I591*Settings!$C$5)+(K591*Settings!$C$9)+(N591*Settings!$C$6)+(J591*Settings!$C$8)+(O591*Settings!$C$7)+(P591*Settings!$C$14)+(Q591*Settings!$C$15)+(R591*Settings!$C$16)+(S591*Settings!$C$17)+(T591*Settings!$C$18)+(U591*Settings!$C$19)+(L591*Settings!$C$10)+(Settings!$C$11*M591)</f>
        <v>-4.6529292627948937</v>
      </c>
      <c r="D591" s="57" cm="1">
        <f t="array" ref="D591">IF(Settings!$E$12="YES",VLOOKUP(A591,'Player Data'!A1:E673,5,FALSE),82)</f>
        <v>64.912499999999994</v>
      </c>
      <c r="E591" s="55" cm="1">
        <f t="array" ref="E591">(VLOOKUP($A591,'The List'!$B1:$AH671,17,FALSE)-AVERAGE('The List'!R2:R671))/STDEV('The List'!R2:R671)</f>
        <v>-0.29629213601347537</v>
      </c>
      <c r="F591" s="55" cm="1">
        <f t="array" ref="F591">(VLOOKUP($A591,'The List'!$B1:$AH671,18,FALSE)-AVERAGE('The List'!S2:S671))/STDEV('The List'!S2:S671)</f>
        <v>-1.2698899652390094</v>
      </c>
      <c r="G591" s="55" cm="1">
        <f t="array" ref="G591">(VLOOKUP($A591,'The List'!$B1:$AH671,19,FALSE)-AVERAGE('The List'!T2:T671))/STDEV('The List'!T2:T671)</f>
        <v>-1.1438470955821223</v>
      </c>
      <c r="H591" s="55" cm="1">
        <f t="array" ref="H591">(VLOOKUP($A591,'The List'!$B1:$AH671,20,FALSE)-AVERAGE('The List'!U2:U671))/STDEV('The List'!U2:U671)</f>
        <v>-1.2828963388429426</v>
      </c>
      <c r="I591" s="55" cm="1">
        <f t="array" ref="I591">(VLOOKUP($A591,'The List'!$B1:$AH671,21,FALSE)-AVERAGE('The List'!V2:V671))/STDEV('The List'!V2:V671)</f>
        <v>-1.2950942984926412</v>
      </c>
      <c r="J591" s="55" cm="1">
        <f t="array" ref="J591">(VLOOKUP($A591,'The List'!$B1:$AH671,22,FALSE)-AVERAGE('The List'!W2:W671))/STDEV('The List'!W2:W671)</f>
        <v>-0.75025679583743388</v>
      </c>
      <c r="K591" s="55" cm="1">
        <f t="array" ref="K591">(VLOOKUP($A591,'The List'!$B1:$AH671,23,FALSE)-AVERAGE('The List'!X2:X671))/STDEV('The List'!X2:X671)</f>
        <v>-0.81141478662430111</v>
      </c>
      <c r="L591" s="55" cm="1">
        <f t="array" ref="L591">(VLOOKUP($A591,'The List'!$B1:$AH671,24,FALSE)-AVERAGE('The List'!Y2:Y671))/STDEV('The List'!Y2:Y671)</f>
        <v>-0.52783040683242488</v>
      </c>
      <c r="M591" s="55" cm="1">
        <f t="array" ref="M591">(VLOOKUP($A591,'The List'!$B1:$AH671,25,FALSE)-AVERAGE('The List'!Z2:Z671))/STDEV('The List'!Z2:Z671)</f>
        <v>0.28157091103589926</v>
      </c>
      <c r="N591" s="55" cm="1">
        <f t="array" ref="N591">(VLOOKUP($A591,'The List'!$B1:$AH671,26,FALSE)-AVERAGE('The List'!AA2:AA671))/STDEV('The List'!AA2:AA671)</f>
        <v>0.26656254345316127</v>
      </c>
      <c r="O591" s="55" cm="1">
        <f t="array" ref="O591">(VLOOKUP($A591,'The List'!$B1:$AH671,27,FALSE)-AVERAGE('The List'!AB2:AB671))/STDEV('The List'!AB2:AB671)</f>
        <v>-0.46721323509655782</v>
      </c>
      <c r="P591" s="55" cm="1">
        <f t="array" ref="P591">(VLOOKUP($A591,'The List'!$B1:$AH671,28,FALSE)-AVERAGE('The List'!AC2:AC671))/STDEV('The List'!AC2:AC671)</f>
        <v>5.4677870795413253E-2</v>
      </c>
      <c r="Q591" s="55" cm="1">
        <f t="array" ref="Q591">(VLOOKUP($A591,'The List'!$B1:$AH671,29,FALSE)-AVERAGE('The List'!AD2:AD671))/STDEV('The List'!AD2:AD671)</f>
        <v>-0.4539235311053948</v>
      </c>
      <c r="R591" s="55" cm="1">
        <f t="array" ref="R591">(VLOOKUP($A591,'The List'!$B1:$AH671,30,FALSE)-AVERAGE('The List'!AE2:AE671))/STDEV('The List'!AE2:AE671)</f>
        <v>-1.2208259740919487</v>
      </c>
      <c r="S591" s="55" cm="1">
        <f t="array" ref="S591">(VLOOKUP($A591,'The List'!$B1:$AH671,31,FALSE)-AVERAGE('The List'!AF2:AF671))/STDEV('The List'!AF2:AF671)</f>
        <v>-0.5939690971349143</v>
      </c>
      <c r="T591" s="55" cm="1">
        <f t="array" ref="T591">(VLOOKUP($A591,'The List'!$B1:$AH671,32,FALSE)-AVERAGE('The List'!AG2:AG671))/STDEV('The List'!AG2:AG671)</f>
        <v>-0.64602208138248207</v>
      </c>
      <c r="U591" s="55" cm="1">
        <f t="array" ref="U591">(VLOOKUP($A591,'The List'!$B1:$AH671,33,FALSE)-AVERAGE('The List'!AH2:AH671))/STDEV('The List'!AH2:AH671)</f>
        <v>-1.2548938914719048</v>
      </c>
      <c r="V591" s="55"/>
      <c r="W591" s="78"/>
      <c r="X591" s="57"/>
      <c r="Y591" s="57"/>
      <c r="Z591" s="57"/>
      <c r="AA591" s="57"/>
      <c r="AB591" s="57"/>
      <c r="AC591" s="60"/>
      <c r="AD591" s="61"/>
      <c r="AE591" s="55"/>
    </row>
    <row r="592" spans="1:31" ht="21.25" customHeight="1" x14ac:dyDescent="0.15">
      <c r="A592" s="10" t="s">
        <v>785</v>
      </c>
      <c r="B592" s="18" t="str" cm="1">
        <f t="array" ref="B592">VLOOKUP(A592,'Player Data'!A1:B673,2,FALSE)</f>
        <v>UTA</v>
      </c>
      <c r="C592" s="52" cm="1">
        <f t="array" ref="C592">((E592)*Settings!$C$12)+(F592*Settings!$C$2)+(G592*Settings!$C$3)+(H592*Settings!$C$4)+(I592*Settings!$C$5)+(K592*Settings!$C$9)+(N592*Settings!$C$6)+(J592*Settings!$C$8)+(O592*Settings!$C$7)+(P592*Settings!$C$14)+(Q592*Settings!$C$15)+(R592*Settings!$C$16)+(S592*Settings!$C$17)+(T592*Settings!$C$18)+(U592*Settings!$C$19)+(L592*Settings!$C$10)+(Settings!$C$11*M592)</f>
        <v>-5.1728953654310335</v>
      </c>
      <c r="D592" s="57" cm="1">
        <f t="array" ref="D592">IF(Settings!$E$12="YES",VLOOKUP(A592,'Player Data'!A1:E673,5,FALSE),82)</f>
        <v>77.402500000000003</v>
      </c>
      <c r="E592" s="55" cm="1">
        <f t="array" ref="E592">(VLOOKUP($A592,'The List'!$B1:$AH671,17,FALSE)-AVERAGE('The List'!R2:R671))/STDEV('The List'!R2:R671)</f>
        <v>-1.9345305104989983</v>
      </c>
      <c r="F592" s="55" cm="1">
        <f t="array" ref="F592">(VLOOKUP($A592,'The List'!$B1:$AH671,18,FALSE)-AVERAGE('The List'!S2:S671))/STDEV('The List'!S2:S671)</f>
        <v>-1.004578674367147</v>
      </c>
      <c r="G592" s="55" cm="1">
        <f t="array" ref="G592">(VLOOKUP($A592,'The List'!$B1:$AH671,19,FALSE)-AVERAGE('The List'!T2:T671))/STDEV('The List'!T2:T671)</f>
        <v>-1.2291790434943699</v>
      </c>
      <c r="H592" s="55" cm="1">
        <f t="array" ref="H592">(VLOOKUP($A592,'The List'!$B1:$AH671,20,FALSE)-AVERAGE('The List'!U2:U671))/STDEV('The List'!U2:U671)</f>
        <v>-1.2188568353157974</v>
      </c>
      <c r="I592" s="55" cm="1">
        <f t="array" ref="I592">(VLOOKUP($A592,'The List'!$B1:$AH671,21,FALSE)-AVERAGE('The List'!V2:V671))/STDEV('The List'!V2:V671)</f>
        <v>-1.1378241199773951</v>
      </c>
      <c r="J592" s="55" cm="1">
        <f t="array" ref="J592">(VLOOKUP($A592,'The List'!$B1:$AH671,22,FALSE)-AVERAGE('The List'!W2:W671))/STDEV('The List'!W2:W671)</f>
        <v>-0.74818282012048154</v>
      </c>
      <c r="K592" s="55" cm="1">
        <f t="array" ref="K592">(VLOOKUP($A592,'The List'!$B1:$AH671,23,FALSE)-AVERAGE('The List'!X2:X671))/STDEV('The List'!X2:X671)</f>
        <v>-0.81020662482440453</v>
      </c>
      <c r="L592" s="55" cm="1">
        <f t="array" ref="L592">(VLOOKUP($A592,'The List'!$B1:$AH671,24,FALSE)-AVERAGE('The List'!Y2:Y671))/STDEV('The List'!Y2:Y671)</f>
        <v>-0.53434371878212994</v>
      </c>
      <c r="M592" s="55" cm="1">
        <f t="array" ref="M592">(VLOOKUP($A592,'The List'!$B1:$AH671,25,FALSE)-AVERAGE('The List'!Z2:Z671))/STDEV('The List'!Z2:Z671)</f>
        <v>-0.6417039104163722</v>
      </c>
      <c r="N592" s="55" cm="1">
        <f t="array" ref="N592">(VLOOKUP($A592,'The List'!$B1:$AH671,26,FALSE)-AVERAGE('The List'!AA2:AA671))/STDEV('The List'!AA2:AA671)</f>
        <v>-0.32723993239936777</v>
      </c>
      <c r="O592" s="55" cm="1">
        <f t="array" ref="O592">(VLOOKUP($A592,'The List'!$B1:$AH671,27,FALSE)-AVERAGE('The List'!AB2:AB671))/STDEV('The List'!AB2:AB671)</f>
        <v>1.6431904968922588</v>
      </c>
      <c r="P592" s="55" cm="1">
        <f t="array" ref="P592">(VLOOKUP($A592,'The List'!$B1:$AH671,28,FALSE)-AVERAGE('The List'!AC2:AC671))/STDEV('The List'!AC2:AC671)</f>
        <v>-0.37746684712469503</v>
      </c>
      <c r="Q592" s="55" cm="1">
        <f t="array" ref="Q592">(VLOOKUP($A592,'The List'!$B1:$AH671,29,FALSE)-AVERAGE('The List'!AD2:AD671))/STDEV('The List'!AD2:AD671)</f>
        <v>-0.28640012324365427</v>
      </c>
      <c r="R592" s="55" cm="1">
        <f t="array" ref="R592">(VLOOKUP($A592,'The List'!$B1:$AH671,30,FALSE)-AVERAGE('The List'!AE2:AE671))/STDEV('The List'!AE2:AE671)</f>
        <v>-0.96279072850923064</v>
      </c>
      <c r="S592" s="55" cm="1">
        <f t="array" ref="S592">(VLOOKUP($A592,'The List'!$B1:$AH671,31,FALSE)-AVERAGE('The List'!AF2:AF671))/STDEV('The List'!AF2:AF671)</f>
        <v>-0.57128613812485873</v>
      </c>
      <c r="T592" s="55" cm="1">
        <f t="array" ref="T592">(VLOOKUP($A592,'The List'!$B1:$AH671,32,FALSE)-AVERAGE('The List'!AG2:AG671))/STDEV('The List'!AG2:AG671)</f>
        <v>-0.56510859752094755</v>
      </c>
      <c r="U592" s="55" cm="1">
        <f t="array" ref="U592">(VLOOKUP($A592,'The List'!$B1:$AH671,33,FALSE)-AVERAGE('The List'!AH2:AH671))/STDEV('The List'!AH2:AH671)</f>
        <v>-0.19803561075403878</v>
      </c>
      <c r="V592" s="55"/>
      <c r="W592" s="78"/>
      <c r="X592" s="57"/>
      <c r="Y592" s="57"/>
      <c r="Z592" s="57"/>
      <c r="AA592" s="57"/>
      <c r="AB592" s="57"/>
      <c r="AC592" s="60"/>
      <c r="AD592" s="61"/>
      <c r="AE592" s="55"/>
    </row>
    <row r="593" spans="1:31" ht="21.25" customHeight="1" x14ac:dyDescent="0.15">
      <c r="A593" s="10" t="s">
        <v>622</v>
      </c>
      <c r="B593" s="18" t="str" cm="1">
        <f t="array" ref="B593">VLOOKUP(A593,'Player Data'!A1:B673,2,FALSE)</f>
        <v>MIN</v>
      </c>
      <c r="C593" s="52" cm="1">
        <f t="array" ref="C593">((E593)*Settings!$C$12)+(F593*Settings!$C$2)+(G593*Settings!$C$3)+(H593*Settings!$C$4)+(I593*Settings!$C$5)+(K593*Settings!$C$9)+(N593*Settings!$C$6)+(J593*Settings!$C$8)+(O593*Settings!$C$7)+(P593*Settings!$C$14)+(Q593*Settings!$C$15)+(R593*Settings!$C$16)+(S593*Settings!$C$17)+(T593*Settings!$C$18)+(U593*Settings!$C$19)+(L593*Settings!$C$10)+(Settings!$C$11*M593)</f>
        <v>-3.7719554461103066</v>
      </c>
      <c r="D593" s="57" cm="1">
        <f t="array" ref="D593">IF(Settings!$E$12="YES",VLOOKUP(A593,'Player Data'!A1:E673,5,FALSE),82)</f>
        <v>74.915000000000006</v>
      </c>
      <c r="E593" s="55" cm="1">
        <f t="array" ref="E593">(VLOOKUP($A593,'The List'!$B1:$AH671,17,FALSE)-AVERAGE('The List'!R2:R671))/STDEV('The List'!R2:R671)</f>
        <v>-0.67361806648094191</v>
      </c>
      <c r="F593" s="55" cm="1">
        <f t="array" ref="F593">(VLOOKUP($A593,'The List'!$B1:$AH671,18,FALSE)-AVERAGE('The List'!S2:S671))/STDEV('The List'!S2:S671)</f>
        <v>-1.2343596215601138</v>
      </c>
      <c r="G593" s="55" cm="1">
        <f t="array" ref="G593">(VLOOKUP($A593,'The List'!$B1:$AH671,19,FALSE)-AVERAGE('The List'!T2:T671))/STDEV('The List'!T2:T671)</f>
        <v>-1.0905544189044378</v>
      </c>
      <c r="H593" s="55" cm="1">
        <f t="array" ref="H593">(VLOOKUP($A593,'The List'!$B1:$AH671,20,FALSE)-AVERAGE('The List'!U2:U671))/STDEV('The List'!U2:U671)</f>
        <v>-1.2336114859183789</v>
      </c>
      <c r="I593" s="55" cm="1">
        <f t="array" ref="I593">(VLOOKUP($A593,'The List'!$B1:$AH671,21,FALSE)-AVERAGE('The List'!V2:V671))/STDEV('The List'!V2:V671)</f>
        <v>-1.2590181989643596</v>
      </c>
      <c r="J593" s="55" cm="1">
        <f t="array" ref="J593">(VLOOKUP($A593,'The List'!$B1:$AH671,22,FALSE)-AVERAGE('The List'!W2:W671))/STDEV('The List'!W2:W671)</f>
        <v>-0.74951475283389291</v>
      </c>
      <c r="K593" s="55" cm="1">
        <f t="array" ref="K593">(VLOOKUP($A593,'The List'!$B1:$AH671,23,FALSE)-AVERAGE('The List'!X2:X671))/STDEV('The List'!X2:X671)</f>
        <v>-0.80766513851447486</v>
      </c>
      <c r="L593" s="55" cm="1">
        <f t="array" ref="L593">(VLOOKUP($A593,'The List'!$B1:$AH671,24,FALSE)-AVERAGE('The List'!Y2:Y671))/STDEV('The List'!Y2:Y671)</f>
        <v>-0.55802811600125068</v>
      </c>
      <c r="M593" s="55" cm="1">
        <f t="array" ref="M593">(VLOOKUP($A593,'The List'!$B1:$AH671,25,FALSE)-AVERAGE('The List'!Z2:Z671))/STDEV('The List'!Z2:Z671)</f>
        <v>-0.63519971020682076</v>
      </c>
      <c r="N593" s="55" cm="1">
        <f t="array" ref="N593">(VLOOKUP($A593,'The List'!$B1:$AH671,26,FALSE)-AVERAGE('The List'!AA2:AA671))/STDEV('The List'!AA2:AA671)</f>
        <v>0.16279856695363865</v>
      </c>
      <c r="O593" s="55" cm="1">
        <f t="array" ref="O593">(VLOOKUP($A593,'The List'!$B1:$AH671,27,FALSE)-AVERAGE('The List'!AB2:AB671))/STDEV('The List'!AB2:AB671)</f>
        <v>-3.839921384314543E-2</v>
      </c>
      <c r="P593" s="55" cm="1">
        <f t="array" ref="P593">(VLOOKUP($A593,'The List'!$B1:$AH671,28,FALSE)-AVERAGE('The List'!AC2:AC671))/STDEV('The List'!AC2:AC671)</f>
        <v>0.34890484778577163</v>
      </c>
      <c r="Q593" s="55" cm="1">
        <f t="array" ref="Q593">(VLOOKUP($A593,'The List'!$B1:$AH671,29,FALSE)-AVERAGE('The List'!AD2:AD671))/STDEV('The List'!AD2:AD671)</f>
        <v>0.10793851709366942</v>
      </c>
      <c r="R593" s="55" cm="1">
        <f t="array" ref="R593">(VLOOKUP($A593,'The List'!$B1:$AH671,30,FALSE)-AVERAGE('The List'!AE2:AE671))/STDEV('The List'!AE2:AE671)</f>
        <v>-1.193839629611535</v>
      </c>
      <c r="S593" s="55" cm="1">
        <f t="array" ref="S593">(VLOOKUP($A593,'The List'!$B1:$AH671,31,FALSE)-AVERAGE('The List'!AF2:AF671))/STDEV('The List'!AF2:AF671)</f>
        <v>-0.59396909700684897</v>
      </c>
      <c r="T593" s="55" cm="1">
        <f t="array" ref="T593">(VLOOKUP($A593,'The List'!$B1:$AH671,32,FALSE)-AVERAGE('The List'!AG2:AG671))/STDEV('The List'!AG2:AG671)</f>
        <v>-0.64109463618600349</v>
      </c>
      <c r="U593" s="55" cm="1">
        <f t="array" ref="U593">(VLOOKUP($A593,'The List'!$B1:$AH671,33,FALSE)-AVERAGE('The List'!AH2:AH671))/STDEV('The List'!AH2:AH671)</f>
        <v>-1.2548937642377069</v>
      </c>
      <c r="V593" s="55"/>
      <c r="W593" s="78"/>
      <c r="X593" s="57"/>
      <c r="Y593" s="57"/>
      <c r="Z593" s="57"/>
      <c r="AA593" s="57"/>
      <c r="AB593" s="57"/>
      <c r="AC593" s="60"/>
      <c r="AD593" s="61"/>
      <c r="AE593" s="55"/>
    </row>
    <row r="594" spans="1:31" ht="21.25" customHeight="1" x14ac:dyDescent="0.15">
      <c r="A594" s="10" t="s">
        <v>593</v>
      </c>
      <c r="B594" s="18" t="str" cm="1">
        <f t="array" ref="B594">VLOOKUP(A594,'Player Data'!A1:B673,2,FALSE)</f>
        <v>NYI</v>
      </c>
      <c r="C594" s="52" cm="1">
        <f t="array" ref="C594">((E594)*Settings!$C$12)+(F594*Settings!$C$2)+(G594*Settings!$C$3)+(H594*Settings!$C$4)+(I594*Settings!$C$5)+(K594*Settings!$C$9)+(N594*Settings!$C$6)+(J594*Settings!$C$8)+(O594*Settings!$C$7)+(P594*Settings!$C$14)+(Q594*Settings!$C$15)+(R594*Settings!$C$16)+(S594*Settings!$C$17)+(T594*Settings!$C$18)+(U594*Settings!$C$19)+(L594*Settings!$C$10)+(Settings!$C$11*M594)</f>
        <v>-3.8060455526114967</v>
      </c>
      <c r="D594" s="57" cm="1">
        <f t="array" ref="D594">IF(Settings!$E$12="YES",VLOOKUP(A594,'Player Data'!A1:E673,5,FALSE),82)</f>
        <v>77.375</v>
      </c>
      <c r="E594" s="55" cm="1">
        <f t="array" ref="E594">(VLOOKUP($A594,'The List'!$B1:$AH671,17,FALSE)-AVERAGE('The List'!R2:R671))/STDEV('The List'!R2:R671)</f>
        <v>-9.4141239139328814E-2</v>
      </c>
      <c r="F594" s="55" cm="1">
        <f t="array" ref="F594">(VLOOKUP($A594,'The List'!$B1:$AH671,18,FALSE)-AVERAGE('The List'!S2:S671))/STDEV('The List'!S2:S671)</f>
        <v>-1.3242871135721392</v>
      </c>
      <c r="G594" s="55" cm="1">
        <f t="array" ref="G594">(VLOOKUP($A594,'The List'!$B1:$AH671,19,FALSE)-AVERAGE('The List'!T2:T671))/STDEV('The List'!T2:T671)</f>
        <v>-1.0459766249840585</v>
      </c>
      <c r="H594" s="55" cm="1">
        <f t="array" ref="H594">(VLOOKUP($A594,'The List'!$B1:$AH671,20,FALSE)-AVERAGE('The List'!U2:U671))/STDEV('The List'!U2:U671)</f>
        <v>-1.2454711608204747</v>
      </c>
      <c r="I594" s="55" cm="1">
        <f t="array" ref="I594">(VLOOKUP($A594,'The List'!$B1:$AH671,21,FALSE)-AVERAGE('The List'!V2:V671))/STDEV('The List'!V2:V671)</f>
        <v>-1.3446226893849946</v>
      </c>
      <c r="J594" s="55" cm="1">
        <f t="array" ref="J594">(VLOOKUP($A594,'The List'!$B1:$AH671,22,FALSE)-AVERAGE('The List'!W2:W671))/STDEV('The List'!W2:W671)</f>
        <v>-0.75023228977354361</v>
      </c>
      <c r="K594" s="55" cm="1">
        <f t="array" ref="K594">(VLOOKUP($A594,'The List'!$B1:$AH671,23,FALSE)-AVERAGE('The List'!X2:X671))/STDEV('The List'!X2:X671)</f>
        <v>-0.80987850199272615</v>
      </c>
      <c r="L594" s="55" cm="1">
        <f t="array" ref="L594">(VLOOKUP($A594,'The List'!$B1:$AH671,24,FALSE)-AVERAGE('The List'!Y2:Y671))/STDEV('The List'!Y2:Y671)</f>
        <v>-0.46978200846603618</v>
      </c>
      <c r="M594" s="55" cm="1">
        <f t="array" ref="M594">(VLOOKUP($A594,'The List'!$B1:$AH671,25,FALSE)-AVERAGE('The List'!Z2:Z671))/STDEV('The List'!Z2:Z671)</f>
        <v>-0.41886794242006498</v>
      </c>
      <c r="N594" s="55" cm="1">
        <f t="array" ref="N594">(VLOOKUP($A594,'The List'!$B1:$AH671,26,FALSE)-AVERAGE('The List'!AA2:AA671))/STDEV('The List'!AA2:AA671)</f>
        <v>0.79502196287847382</v>
      </c>
      <c r="O594" s="55" cm="1">
        <f t="array" ref="O594">(VLOOKUP($A594,'The List'!$B1:$AH671,27,FALSE)-AVERAGE('The List'!AB2:AB671))/STDEV('The List'!AB2:AB671)</f>
        <v>-7.4977633086032905E-2</v>
      </c>
      <c r="P594" s="55" cm="1">
        <f t="array" ref="P594">(VLOOKUP($A594,'The List'!$B1:$AH671,28,FALSE)-AVERAGE('The List'!AC2:AC671))/STDEV('The List'!AC2:AC671)</f>
        <v>-1.1374303668320311</v>
      </c>
      <c r="Q594" s="55" cm="1">
        <f t="array" ref="Q594">(VLOOKUP($A594,'The List'!$B1:$AH671,29,FALSE)-AVERAGE('The List'!AD2:AD671))/STDEV('The List'!AD2:AD671)</f>
        <v>1.0611277812759785</v>
      </c>
      <c r="R594" s="55" cm="1">
        <f t="array" ref="R594">(VLOOKUP($A594,'The List'!$B1:$AH671,30,FALSE)-AVERAGE('The List'!AE2:AE671))/STDEV('The List'!AE2:AE671)</f>
        <v>-1.2903115843233388</v>
      </c>
      <c r="S594" s="55" cm="1">
        <f t="array" ref="S594">(VLOOKUP($A594,'The List'!$B1:$AH671,31,FALSE)-AVERAGE('The List'!AF2:AF671))/STDEV('The List'!AF2:AF671)</f>
        <v>-0.5939690971349143</v>
      </c>
      <c r="T594" s="55" cm="1">
        <f t="array" ref="T594">(VLOOKUP($A594,'The List'!$B1:$AH671,32,FALSE)-AVERAGE('The List'!AG2:AG671))/STDEV('The List'!AG2:AG671)</f>
        <v>-0.64602208138248207</v>
      </c>
      <c r="U594" s="55" cm="1">
        <f t="array" ref="U594">(VLOOKUP($A594,'The List'!$B1:$AH671,33,FALSE)-AVERAGE('The List'!AH2:AH671))/STDEV('The List'!AH2:AH671)</f>
        <v>-1.2548938914719048</v>
      </c>
      <c r="V594" s="55"/>
      <c r="W594" s="78"/>
      <c r="X594" s="57"/>
      <c r="Y594" s="57"/>
      <c r="Z594" s="57"/>
      <c r="AA594" s="57"/>
      <c r="AB594" s="57"/>
      <c r="AC594" s="60"/>
      <c r="AD594" s="61"/>
      <c r="AE594" s="55"/>
    </row>
    <row r="595" spans="1:31" ht="21.25" customHeight="1" x14ac:dyDescent="0.15">
      <c r="A595" s="10" t="s">
        <v>787</v>
      </c>
      <c r="B595" s="18" t="str" cm="1">
        <f t="array" ref="B595">VLOOKUP(A595,'Player Data'!A1:B673,2,FALSE)</f>
        <v>FLA</v>
      </c>
      <c r="C595" s="52" cm="1">
        <f t="array" ref="C595">((E595)*Settings!$C$12)+(F595*Settings!$C$2)+(G595*Settings!$C$3)+(H595*Settings!$C$4)+(I595*Settings!$C$5)+(K595*Settings!$C$9)+(N595*Settings!$C$6)+(J595*Settings!$C$8)+(O595*Settings!$C$7)+(P595*Settings!$C$14)+(Q595*Settings!$C$15)+(R595*Settings!$C$16)+(S595*Settings!$C$17)+(T595*Settings!$C$18)+(U595*Settings!$C$19)+(L595*Settings!$C$10)+(Settings!$C$11*M595)</f>
        <v>-3.0106263022803041</v>
      </c>
      <c r="D595" s="57" cm="1">
        <f t="array" ref="D595">IF(Settings!$E$12="YES",VLOOKUP(A595,'Player Data'!A1:E673,5,FALSE),82)</f>
        <v>79.127499999999998</v>
      </c>
      <c r="E595" s="55" cm="1">
        <f t="array" ref="E595">(VLOOKUP($A595,'The List'!$B1:$AH671,17,FALSE)-AVERAGE('The List'!R2:R671))/STDEV('The List'!R2:R671)</f>
        <v>-1.8566205917920684</v>
      </c>
      <c r="F595" s="55" cm="1">
        <f t="array" ref="F595">(VLOOKUP($A595,'The List'!$B1:$AH671,18,FALSE)-AVERAGE('The List'!S2:S671))/STDEV('The List'!S2:S671)</f>
        <v>-0.9904910851627039</v>
      </c>
      <c r="G595" s="55" cm="1">
        <f t="array" ref="G595">(VLOOKUP($A595,'The List'!$B1:$AH671,19,FALSE)-AVERAGE('The List'!T2:T671))/STDEV('The List'!T2:T671)</f>
        <v>-1.2840860067561883</v>
      </c>
      <c r="H595" s="55" cm="1">
        <f t="array" ref="H595">(VLOOKUP($A595,'The List'!$B1:$AH671,20,FALSE)-AVERAGE('The List'!U2:U671))/STDEV('The List'!U2:U671)</f>
        <v>-1.2471426685154938</v>
      </c>
      <c r="I595" s="55" cm="1">
        <f t="array" ref="I595">(VLOOKUP($A595,'The List'!$B1:$AH671,21,FALSE)-AVERAGE('The List'!V2:V671))/STDEV('The List'!V2:V671)</f>
        <v>-1.2573632678479814</v>
      </c>
      <c r="J595" s="55" cm="1">
        <f t="array" ref="J595">(VLOOKUP($A595,'The List'!$B1:$AH671,22,FALSE)-AVERAGE('The List'!W2:W671))/STDEV('The List'!W2:W671)</f>
        <v>-0.74422602027541163</v>
      </c>
      <c r="K595" s="55" cm="1">
        <f t="array" ref="K595">(VLOOKUP($A595,'The List'!$B1:$AH671,23,FALSE)-AVERAGE('The List'!X2:X671))/STDEV('The List'!X2:X671)</f>
        <v>-0.80693679216794512</v>
      </c>
      <c r="L595" s="55" cm="1">
        <f t="array" ref="L595">(VLOOKUP($A595,'The List'!$B1:$AH671,24,FALSE)-AVERAGE('The List'!Y2:Y671))/STDEV('The List'!Y2:Y671)</f>
        <v>0.40697561119244219</v>
      </c>
      <c r="M595" s="55" cm="1">
        <f t="array" ref="M595">(VLOOKUP($A595,'The List'!$B1:$AH671,25,FALSE)-AVERAGE('The List'!Z2:Z671))/STDEV('The List'!Z2:Z671)</f>
        <v>0.20973097502936833</v>
      </c>
      <c r="N595" s="55" cm="1">
        <f t="array" ref="N595">(VLOOKUP($A595,'The List'!$B1:$AH671,26,FALSE)-AVERAGE('The List'!AA2:AA671))/STDEV('The List'!AA2:AA671)</f>
        <v>-0.15289208932337195</v>
      </c>
      <c r="O595" s="55" cm="1">
        <f t="array" ref="O595">(VLOOKUP($A595,'The List'!$B1:$AH671,27,FALSE)-AVERAGE('The List'!AB2:AB671))/STDEV('The List'!AB2:AB671)</f>
        <v>3.2723740044374634</v>
      </c>
      <c r="P595" s="55" cm="1">
        <f t="array" ref="P595">(VLOOKUP($A595,'The List'!$B1:$AH671,28,FALSE)-AVERAGE('The List'!AC2:AC671))/STDEV('The List'!AC2:AC671)</f>
        <v>0.4727302922564422</v>
      </c>
      <c r="Q595" s="55" cm="1">
        <f t="array" ref="Q595">(VLOOKUP($A595,'The List'!$B1:$AH671,29,FALSE)-AVERAGE('The List'!AD2:AD671))/STDEV('The List'!AD2:AD671)</f>
        <v>1.008412646721444</v>
      </c>
      <c r="R595" s="55" cm="1">
        <f t="array" ref="R595">(VLOOKUP($A595,'The List'!$B1:$AH671,30,FALSE)-AVERAGE('The List'!AE2:AE671))/STDEV('The List'!AE2:AE671)</f>
        <v>-0.93701942623079237</v>
      </c>
      <c r="S595" s="55" cm="1">
        <f t="array" ref="S595">(VLOOKUP($A595,'The List'!$B1:$AH671,31,FALSE)-AVERAGE('The List'!AF2:AF671))/STDEV('The List'!AF2:AF671)</f>
        <v>-0.52697620836761228</v>
      </c>
      <c r="T595" s="55" cm="1">
        <f t="array" ref="T595">(VLOOKUP($A595,'The List'!$B1:$AH671,32,FALSE)-AVERAGE('The List'!AG2:AG671))/STDEV('The List'!AG2:AG671)</f>
        <v>-0.58580039947564266</v>
      </c>
      <c r="U595" s="55" cm="1">
        <f t="array" ref="U595">(VLOOKUP($A595,'The List'!$B1:$AH671,33,FALSE)-AVERAGE('The List'!AH2:AH671))/STDEV('The List'!AH2:AH671)</f>
        <v>1.2378666588987497</v>
      </c>
      <c r="V595" s="55"/>
      <c r="W595" s="78"/>
      <c r="X595" s="57"/>
      <c r="Y595" s="57"/>
      <c r="Z595" s="57"/>
      <c r="AA595" s="57"/>
      <c r="AB595" s="57"/>
      <c r="AC595" s="60"/>
      <c r="AD595" s="61"/>
      <c r="AE595" s="55"/>
    </row>
    <row r="596" spans="1:31" ht="21.25" customHeight="1" x14ac:dyDescent="0.15">
      <c r="A596" s="10" t="s">
        <v>595</v>
      </c>
      <c r="B596" s="18" t="str" cm="1">
        <f t="array" ref="B596">VLOOKUP(A596,'Player Data'!A1:B673,2,FALSE)</f>
        <v>WSH</v>
      </c>
      <c r="C596" s="52" cm="1">
        <f t="array" ref="C596">((E596)*Settings!$C$12)+(F596*Settings!$C$2)+(G596*Settings!$C$3)+(H596*Settings!$C$4)+(I596*Settings!$C$5)+(K596*Settings!$C$9)+(N596*Settings!$C$6)+(J596*Settings!$C$8)+(O596*Settings!$C$7)+(P596*Settings!$C$14)+(Q596*Settings!$C$15)+(R596*Settings!$C$16)+(S596*Settings!$C$17)+(T596*Settings!$C$18)+(U596*Settings!$C$19)+(L596*Settings!$C$10)+(Settings!$C$11*M596)</f>
        <v>-1.4476158949070221</v>
      </c>
      <c r="D596" s="57" cm="1">
        <f t="array" ref="D596">IF(Settings!$E$12="YES",VLOOKUP(A596,'Player Data'!A1:E673,5,FALSE),82)</f>
        <v>74.22</v>
      </c>
      <c r="E596" s="55" cm="1">
        <f t="array" ref="E596">(VLOOKUP($A596,'The List'!$B1:$AH671,17,FALSE)-AVERAGE('The List'!R2:R671))/STDEV('The List'!R2:R671)</f>
        <v>0.14705245028323494</v>
      </c>
      <c r="F596" s="55" cm="1">
        <f t="array" ref="F596">(VLOOKUP($A596,'The List'!$B1:$AH671,18,FALSE)-AVERAGE('The List'!S2:S671))/STDEV('The List'!S2:S671)</f>
        <v>-1.3348047365025721</v>
      </c>
      <c r="G596" s="55" cm="1">
        <f t="array" ref="G596">(VLOOKUP($A596,'The List'!$B1:$AH671,19,FALSE)-AVERAGE('The List'!T2:T671))/STDEV('The List'!T2:T671)</f>
        <v>-1.0934726710114875</v>
      </c>
      <c r="H596" s="55" cm="1">
        <f t="array" ref="H596">(VLOOKUP($A596,'The List'!$B1:$AH671,20,FALSE)-AVERAGE('The List'!U2:U671))/STDEV('The List'!U2:U671)</f>
        <v>-1.2800123635757952</v>
      </c>
      <c r="I596" s="55" cm="1">
        <f t="array" ref="I596">(VLOOKUP($A596,'The List'!$B1:$AH671,21,FALSE)-AVERAGE('The List'!V2:V671))/STDEV('The List'!V2:V671)</f>
        <v>-1.5957483197061975</v>
      </c>
      <c r="J596" s="55" cm="1">
        <f t="array" ref="J596">(VLOOKUP($A596,'The List'!$B1:$AH671,22,FALSE)-AVERAGE('The List'!W2:W671))/STDEV('The List'!W2:W671)</f>
        <v>-0.74995649007604481</v>
      </c>
      <c r="K596" s="55" cm="1">
        <f t="array" ref="K596">(VLOOKUP($A596,'The List'!$B1:$AH671,23,FALSE)-AVERAGE('The List'!X2:X671))/STDEV('The List'!X2:X671)</f>
        <v>-0.80756287620828515</v>
      </c>
      <c r="L596" s="55" cm="1">
        <f t="array" ref="L596">(VLOOKUP($A596,'The List'!$B1:$AH671,24,FALSE)-AVERAGE('The List'!Y2:Y671))/STDEV('The List'!Y2:Y671)</f>
        <v>-0.55391884368500754</v>
      </c>
      <c r="M596" s="55" cm="1">
        <f t="array" ref="M596">(VLOOKUP($A596,'The List'!$B1:$AH671,25,FALSE)-AVERAGE('The List'!Z2:Z671))/STDEV('The List'!Z2:Z671)</f>
        <v>-0.40800554144504408</v>
      </c>
      <c r="N596" s="55" cm="1">
        <f t="array" ref="N596">(VLOOKUP($A596,'The List'!$B1:$AH671,26,FALSE)-AVERAGE('The List'!AA2:AA671))/STDEV('The List'!AA2:AA671)</f>
        <v>1.244580619518479</v>
      </c>
      <c r="O596" s="55" cm="1">
        <f t="array" ref="O596">(VLOOKUP($A596,'The List'!$B1:$AH671,27,FALSE)-AVERAGE('The List'!AB2:AB671))/STDEV('The List'!AB2:AB671)</f>
        <v>0.72589514475121097</v>
      </c>
      <c r="P596" s="55" cm="1">
        <f t="array" ref="P596">(VLOOKUP($A596,'The List'!$B1:$AH671,28,FALSE)-AVERAGE('The List'!AC2:AC671))/STDEV('The List'!AC2:AC671)</f>
        <v>0.65827040582807039</v>
      </c>
      <c r="Q596" s="55" cm="1">
        <f t="array" ref="Q596">(VLOOKUP($A596,'The List'!$B1:$AH671,29,FALSE)-AVERAGE('The List'!AD2:AD671))/STDEV('The List'!AD2:AD671)</f>
        <v>1.4811216831749707</v>
      </c>
      <c r="R596" s="55" cm="1">
        <f t="array" ref="R596">(VLOOKUP($A596,'The List'!$B1:$AH671,30,FALSE)-AVERAGE('The List'!AE2:AE671))/STDEV('The List'!AE2:AE671)</f>
        <v>-1.2990626617487668</v>
      </c>
      <c r="S596" s="55" cm="1">
        <f t="array" ref="S596">(VLOOKUP($A596,'The List'!$B1:$AH671,31,FALSE)-AVERAGE('The List'!AF2:AF671))/STDEV('The List'!AF2:AF671)</f>
        <v>-0.5939690971349143</v>
      </c>
      <c r="T596" s="55" cm="1">
        <f t="array" ref="T596">(VLOOKUP($A596,'The List'!$B1:$AH671,32,FALSE)-AVERAGE('The List'!AG2:AG671))/STDEV('The List'!AG2:AG671)</f>
        <v>-0.64602208138248207</v>
      </c>
      <c r="U596" s="55" cm="1">
        <f t="array" ref="U596">(VLOOKUP($A596,'The List'!$B1:$AH671,33,FALSE)-AVERAGE('The List'!AH2:AH671))/STDEV('The List'!AH2:AH671)</f>
        <v>-1.2548938914719048</v>
      </c>
      <c r="V596" s="55"/>
      <c r="W596" s="78"/>
      <c r="X596" s="57"/>
      <c r="Y596" s="57"/>
      <c r="Z596" s="57"/>
      <c r="AA596" s="57"/>
      <c r="AB596" s="57"/>
      <c r="AC596" s="60"/>
      <c r="AD596" s="61"/>
      <c r="AE596" s="55"/>
    </row>
    <row r="597" spans="1:31" ht="21.25" customHeight="1" x14ac:dyDescent="0.15">
      <c r="A597" s="10" t="s">
        <v>568</v>
      </c>
      <c r="B597" s="18" t="str" cm="1">
        <f t="array" ref="B597">VLOOKUP(A597,'Player Data'!A1:B673,2,FALSE)</f>
        <v>PHI</v>
      </c>
      <c r="C597" s="52" cm="1">
        <f t="array" ref="C597">((E597)*Settings!$C$12)+(F597*Settings!$C$2)+(G597*Settings!$C$3)+(H597*Settings!$C$4)+(I597*Settings!$C$5)+(K597*Settings!$C$9)+(N597*Settings!$C$6)+(J597*Settings!$C$8)+(O597*Settings!$C$7)+(P597*Settings!$C$14)+(Q597*Settings!$C$15)+(R597*Settings!$C$16)+(S597*Settings!$C$17)+(T597*Settings!$C$18)+(U597*Settings!$C$19)+(L597*Settings!$C$10)+(Settings!$C$11*M597)</f>
        <v>-2.6959709086489037</v>
      </c>
      <c r="D597" s="57" cm="1">
        <f t="array" ref="D597">IF(Settings!$E$12="YES",VLOOKUP(A597,'Player Data'!A1:E673,5,FALSE),82)</f>
        <v>80.082499999999996</v>
      </c>
      <c r="E597" s="55" cm="1">
        <f t="array" ref="E597">(VLOOKUP($A597,'The List'!$B1:$AH671,17,FALSE)-AVERAGE('The List'!R2:R671))/STDEV('The List'!R2:R671)</f>
        <v>-0.26692609153874924</v>
      </c>
      <c r="F597" s="55" cm="1">
        <f t="array" ref="F597">(VLOOKUP($A597,'The List'!$B1:$AH671,18,FALSE)-AVERAGE('The List'!S2:S671))/STDEV('The List'!S2:S671)</f>
        <v>-1.2575197884314253</v>
      </c>
      <c r="G597" s="55" cm="1">
        <f t="array" ref="G597">(VLOOKUP($A597,'The List'!$B1:$AH671,19,FALSE)-AVERAGE('The List'!T2:T671))/STDEV('The List'!T2:T671)</f>
        <v>-1.1007616731828058</v>
      </c>
      <c r="H597" s="55" cm="1">
        <f t="array" ref="H597">(VLOOKUP($A597,'The List'!$B1:$AH671,20,FALSE)-AVERAGE('The List'!U2:U671))/STDEV('The List'!U2:U671)</f>
        <v>-1.2503074572131436</v>
      </c>
      <c r="I597" s="55" cm="1">
        <f t="array" ref="I597">(VLOOKUP($A597,'The List'!$B1:$AH671,21,FALSE)-AVERAGE('The List'!V2:V671))/STDEV('The List'!V2:V671)</f>
        <v>-1.1827277955352986</v>
      </c>
      <c r="J597" s="55" cm="1">
        <f t="array" ref="J597">(VLOOKUP($A597,'The List'!$B1:$AH671,22,FALSE)-AVERAGE('The List'!W2:W671))/STDEV('The List'!W2:W671)</f>
        <v>-0.75008591598303165</v>
      </c>
      <c r="K597" s="55" cm="1">
        <f t="array" ref="K597">(VLOOKUP($A597,'The List'!$B1:$AH671,23,FALSE)-AVERAGE('The List'!X2:X671))/STDEV('The List'!X2:X671)</f>
        <v>-0.81102547964287341</v>
      </c>
      <c r="L597" s="55" cm="1">
        <f t="array" ref="L597">(VLOOKUP($A597,'The List'!$B1:$AH671,24,FALSE)-AVERAGE('The List'!Y2:Y671))/STDEV('The List'!Y2:Y671)</f>
        <v>-0.53408182731641562</v>
      </c>
      <c r="M597" s="55" cm="1">
        <f t="array" ref="M597">(VLOOKUP($A597,'The List'!$B1:$AH671,25,FALSE)-AVERAGE('The List'!Z2:Z671))/STDEV('The List'!Z2:Z671)</f>
        <v>-0.44637221780608521</v>
      </c>
      <c r="N597" s="55" cm="1">
        <f t="array" ref="N597">(VLOOKUP($A597,'The List'!$B1:$AH671,26,FALSE)-AVERAGE('The List'!AA2:AA671))/STDEV('The List'!AA2:AA671)</f>
        <v>1.0976649087304977</v>
      </c>
      <c r="O597" s="55" cm="1">
        <f t="array" ref="O597">(VLOOKUP($A597,'The List'!$B1:$AH671,27,FALSE)-AVERAGE('The List'!AB2:AB671))/STDEV('The List'!AB2:AB671)</f>
        <v>1.8052719771166934</v>
      </c>
      <c r="P597" s="55" cm="1">
        <f t="array" ref="P597">(VLOOKUP($A597,'The List'!$B1:$AH671,28,FALSE)-AVERAGE('The List'!AC2:AC671))/STDEV('The List'!AC2:AC671)</f>
        <v>-0.54166667012560721</v>
      </c>
      <c r="Q597" s="55" cm="1">
        <f t="array" ref="Q597">(VLOOKUP($A597,'The List'!$B1:$AH671,29,FALSE)-AVERAGE('The List'!AD2:AD671))/STDEV('The List'!AD2:AD671)</f>
        <v>1.1000655895386093</v>
      </c>
      <c r="R597" s="55" cm="1">
        <f t="array" ref="R597">(VLOOKUP($A597,'The List'!$B1:$AH671,30,FALSE)-AVERAGE('The List'!AE2:AE671))/STDEV('The List'!AE2:AE671)</f>
        <v>-1.2208586579649245</v>
      </c>
      <c r="S597" s="55" cm="1">
        <f t="array" ref="S597">(VLOOKUP($A597,'The List'!$B1:$AH671,31,FALSE)-AVERAGE('The List'!AF2:AF671))/STDEV('The List'!AF2:AF671)</f>
        <v>-0.5939690971349143</v>
      </c>
      <c r="T597" s="55" cm="1">
        <f t="array" ref="T597">(VLOOKUP($A597,'The List'!$B1:$AH671,32,FALSE)-AVERAGE('The List'!AG2:AG671))/STDEV('The List'!AG2:AG671)</f>
        <v>-0.64602208138248207</v>
      </c>
      <c r="U597" s="55" cm="1">
        <f t="array" ref="U597">(VLOOKUP($A597,'The List'!$B1:$AH671,33,FALSE)-AVERAGE('The List'!AH2:AH671))/STDEV('The List'!AH2:AH671)</f>
        <v>-1.2548938914719048</v>
      </c>
      <c r="V597" s="55"/>
      <c r="W597" s="78"/>
      <c r="X597" s="57"/>
      <c r="Y597" s="57"/>
      <c r="Z597" s="57"/>
      <c r="AA597" s="57"/>
      <c r="AB597" s="57"/>
      <c r="AC597" s="60"/>
      <c r="AD597" s="61"/>
      <c r="AE597" s="55"/>
    </row>
    <row r="598" spans="1:31" ht="21.25" customHeight="1" x14ac:dyDescent="0.15">
      <c r="A598" s="10" t="s">
        <v>602</v>
      </c>
      <c r="B598" s="18" t="str" cm="1">
        <f t="array" ref="B598">VLOOKUP(A598,'Player Data'!A1:B673,2,FALSE)</f>
        <v>PIT</v>
      </c>
      <c r="C598" s="52" cm="1">
        <f t="array" ref="C598">((E598)*Settings!$C$12)+(F598*Settings!$C$2)+(G598*Settings!$C$3)+(H598*Settings!$C$4)+(I598*Settings!$C$5)+(K598*Settings!$C$9)+(N598*Settings!$C$6)+(J598*Settings!$C$8)+(O598*Settings!$C$7)+(P598*Settings!$C$14)+(Q598*Settings!$C$15)+(R598*Settings!$C$16)+(S598*Settings!$C$17)+(T598*Settings!$C$18)+(U598*Settings!$C$19)+(L598*Settings!$C$10)+(Settings!$C$11*M598)</f>
        <v>-4.3910182992476967</v>
      </c>
      <c r="D598" s="57" cm="1">
        <f t="array" ref="D598">IF(Settings!$E$12="YES",VLOOKUP(A598,'Player Data'!A1:E673,5,FALSE),82)</f>
        <v>69.292500000000004</v>
      </c>
      <c r="E598" s="55" cm="1">
        <f t="array" ref="E598">(VLOOKUP($A598,'The List'!$B1:$AH671,17,FALSE)-AVERAGE('The List'!R2:R671))/STDEV('The List'!R2:R671)</f>
        <v>-0.22410247732721031</v>
      </c>
      <c r="F598" s="55" cm="1">
        <f t="array" ref="F598">(VLOOKUP($A598,'The List'!$B1:$AH671,18,FALSE)-AVERAGE('The List'!S2:S671))/STDEV('The List'!S2:S671)</f>
        <v>-1.2463882337090268</v>
      </c>
      <c r="G598" s="55" cm="1">
        <f t="array" ref="G598">(VLOOKUP($A598,'The List'!$B1:$AH671,19,FALSE)-AVERAGE('The List'!T2:T671))/STDEV('The List'!T2:T671)</f>
        <v>-1.2269600602383963</v>
      </c>
      <c r="H598" s="55" cm="1">
        <f t="array" ref="H598">(VLOOKUP($A598,'The List'!$B1:$AH671,20,FALSE)-AVERAGE('The List'!U2:U671))/STDEV('The List'!U2:U671)</f>
        <v>-1.3247467478798476</v>
      </c>
      <c r="I598" s="55" cm="1">
        <f t="array" ref="I598">(VLOOKUP($A598,'The List'!$B1:$AH671,21,FALSE)-AVERAGE('The List'!V2:V671))/STDEV('The List'!V2:V671)</f>
        <v>-1.2773005002295854</v>
      </c>
      <c r="J598" s="55" cm="1">
        <f t="array" ref="J598">(VLOOKUP($A598,'The List'!$B1:$AH671,22,FALSE)-AVERAGE('The List'!W2:W671))/STDEV('The List'!W2:W671)</f>
        <v>-0.75030154512675928</v>
      </c>
      <c r="K598" s="55" cm="1">
        <f t="array" ref="K598">(VLOOKUP($A598,'The List'!$B1:$AH671,23,FALSE)-AVERAGE('The List'!X2:X671))/STDEV('The List'!X2:X671)</f>
        <v>-0.811483289305716</v>
      </c>
      <c r="L598" s="55" cm="1">
        <f t="array" ref="L598">(VLOOKUP($A598,'The List'!$B1:$AH671,24,FALSE)-AVERAGE('The List'!Y2:Y671))/STDEV('The List'!Y2:Y671)</f>
        <v>-0.5389601206219532</v>
      </c>
      <c r="M598" s="55" cm="1">
        <f t="array" ref="M598">(VLOOKUP($A598,'The List'!$B1:$AH671,25,FALSE)-AVERAGE('The List'!Z2:Z671))/STDEV('The List'!Z2:Z671)</f>
        <v>-0.62495034886896761</v>
      </c>
      <c r="N598" s="55" cm="1">
        <f t="array" ref="N598">(VLOOKUP($A598,'The List'!$B1:$AH671,26,FALSE)-AVERAGE('The List'!AA2:AA671))/STDEV('The List'!AA2:AA671)</f>
        <v>0.87080284302381605</v>
      </c>
      <c r="O598" s="55" cm="1">
        <f t="array" ref="O598">(VLOOKUP($A598,'The List'!$B1:$AH671,27,FALSE)-AVERAGE('The List'!AB2:AB671))/STDEV('The List'!AB2:AB671)</f>
        <v>-0.17068225473841653</v>
      </c>
      <c r="P598" s="55" cm="1">
        <f t="array" ref="P598">(VLOOKUP($A598,'The List'!$B1:$AH671,28,FALSE)-AVERAGE('The List'!AC2:AC671))/STDEV('The List'!AC2:AC671)</f>
        <v>-0.25199799132782447</v>
      </c>
      <c r="Q598" s="55" cm="1">
        <f t="array" ref="Q598">(VLOOKUP($A598,'The List'!$B1:$AH671,29,FALSE)-AVERAGE('The List'!AD2:AD671))/STDEV('The List'!AD2:AD671)</f>
        <v>-0.44769106746096343</v>
      </c>
      <c r="R598" s="55" cm="1">
        <f t="array" ref="R598">(VLOOKUP($A598,'The List'!$B1:$AH671,30,FALSE)-AVERAGE('The List'!AE2:AE671))/STDEV('The List'!AE2:AE671)</f>
        <v>-1.2200411438387162</v>
      </c>
      <c r="S598" s="55" cm="1">
        <f t="array" ref="S598">(VLOOKUP($A598,'The List'!$B1:$AH671,31,FALSE)-AVERAGE('The List'!AF2:AF671))/STDEV('The List'!AF2:AF671)</f>
        <v>-0.5939690971349143</v>
      </c>
      <c r="T598" s="55" cm="1">
        <f t="array" ref="T598">(VLOOKUP($A598,'The List'!$B1:$AH671,32,FALSE)-AVERAGE('The List'!AG2:AG671))/STDEV('The List'!AG2:AG671)</f>
        <v>-0.64602208138248207</v>
      </c>
      <c r="U598" s="55" cm="1">
        <f t="array" ref="U598">(VLOOKUP($A598,'The List'!$B1:$AH671,33,FALSE)-AVERAGE('The List'!AH2:AH671))/STDEV('The List'!AH2:AH671)</f>
        <v>-1.2548938914719048</v>
      </c>
      <c r="V598" s="55"/>
      <c r="W598" s="78"/>
      <c r="X598" s="57"/>
      <c r="Y598" s="57"/>
      <c r="Z598" s="57"/>
      <c r="AA598" s="57"/>
      <c r="AB598" s="57"/>
      <c r="AC598" s="60"/>
      <c r="AD598" s="61"/>
      <c r="AE598" s="55"/>
    </row>
    <row r="599" spans="1:31" ht="21.25" customHeight="1" x14ac:dyDescent="0.15">
      <c r="A599" s="10" t="s">
        <v>797</v>
      </c>
      <c r="B599" s="18" t="str" cm="1">
        <f t="array" ref="B599">VLOOKUP(A599,'Player Data'!A1:B673,2,FALSE)</f>
        <v>UTA</v>
      </c>
      <c r="C599" s="52" cm="1">
        <f t="array" ref="C599">((E599)*Settings!$C$12)+(F599*Settings!$C$2)+(G599*Settings!$C$3)+(H599*Settings!$C$4)+(I599*Settings!$C$5)+(K599*Settings!$C$9)+(N599*Settings!$C$6)+(J599*Settings!$C$8)+(O599*Settings!$C$7)+(P599*Settings!$C$14)+(Q599*Settings!$C$15)+(R599*Settings!$C$16)+(S599*Settings!$C$17)+(T599*Settings!$C$18)+(U599*Settings!$C$19)+(L599*Settings!$C$10)+(Settings!$C$11*M599)</f>
        <v>-4.4093214236581346</v>
      </c>
      <c r="D599" s="57" cm="1">
        <f t="array" ref="D599">IF(Settings!$E$12="YES",VLOOKUP(A599,'Player Data'!A1:E673,5,FALSE),82)</f>
        <v>68.094999999999999</v>
      </c>
      <c r="E599" s="55" cm="1">
        <f t="array" ref="E599">(VLOOKUP($A599,'The List'!$B1:$AH671,17,FALSE)-AVERAGE('The List'!R2:R671))/STDEV('The List'!R2:R671)</f>
        <v>-2.0112964219165503</v>
      </c>
      <c r="F599" s="55" cm="1">
        <f t="array" ref="F599">(VLOOKUP($A599,'The List'!$B1:$AH671,18,FALSE)-AVERAGE('The List'!S2:S671))/STDEV('The List'!S2:S671)</f>
        <v>-1.0318919729858045</v>
      </c>
      <c r="G599" s="55" cm="1">
        <f t="array" ref="G599">(VLOOKUP($A599,'The List'!$B1:$AH671,19,FALSE)-AVERAGE('The List'!T2:T671))/STDEV('The List'!T2:T671)</f>
        <v>-1.3992367366129062</v>
      </c>
      <c r="H599" s="55" cm="1">
        <f t="array" ref="H599">(VLOOKUP($A599,'The List'!$B1:$AH671,20,FALSE)-AVERAGE('The List'!U2:U671))/STDEV('The List'!U2:U671)</f>
        <v>-1.3379405431191178</v>
      </c>
      <c r="I599" s="55" cm="1">
        <f t="array" ref="I599">(VLOOKUP($A599,'The List'!$B1:$AH671,21,FALSE)-AVERAGE('The List'!V2:V671))/STDEV('The List'!V2:V671)</f>
        <v>-1.141357559822781</v>
      </c>
      <c r="J599" s="55" cm="1">
        <f t="array" ref="J599">(VLOOKUP($A599,'The List'!$B1:$AH671,22,FALSE)-AVERAGE('The List'!W2:W671))/STDEV('The List'!W2:W671)</f>
        <v>-0.74707937198416419</v>
      </c>
      <c r="K599" s="55" cm="1">
        <f t="array" ref="K599">(VLOOKUP($A599,'The List'!$B1:$AH671,23,FALSE)-AVERAGE('The List'!X2:X671))/STDEV('The List'!X2:X671)</f>
        <v>-0.80940247398762544</v>
      </c>
      <c r="L599" s="55" cm="1">
        <f t="array" ref="L599">(VLOOKUP($A599,'The List'!$B1:$AH671,24,FALSE)-AVERAGE('The List'!Y2:Y671))/STDEV('The List'!Y2:Y671)</f>
        <v>-0.56569022661034529</v>
      </c>
      <c r="M599" s="55" cm="1">
        <f t="array" ref="M599">(VLOOKUP($A599,'The List'!$B1:$AH671,25,FALSE)-AVERAGE('The List'!Z2:Z671))/STDEV('The List'!Z2:Z671)</f>
        <v>-0.70756870995144849</v>
      </c>
      <c r="N599" s="55" cm="1">
        <f t="array" ref="N599">(VLOOKUP($A599,'The List'!$B1:$AH671,26,FALSE)-AVERAGE('The List'!AA2:AA671))/STDEV('The List'!AA2:AA671)</f>
        <v>-0.93985043951911007</v>
      </c>
      <c r="O599" s="55" cm="1">
        <f t="array" ref="O599">(VLOOKUP($A599,'The List'!$B1:$AH671,27,FALSE)-AVERAGE('The List'!AB2:AB671))/STDEV('The List'!AB2:AB671)</f>
        <v>1.989793232537876</v>
      </c>
      <c r="P599" s="55" cm="1">
        <f t="array" ref="P599">(VLOOKUP($A599,'The List'!$B1:$AH671,28,FALSE)-AVERAGE('The List'!AC2:AC671))/STDEV('The List'!AC2:AC671)</f>
        <v>-9.8674552153529049E-2</v>
      </c>
      <c r="Q599" s="55" cm="1">
        <f t="array" ref="Q599">(VLOOKUP($A599,'The List'!$B1:$AH671,29,FALSE)-AVERAGE('The List'!AD2:AD671))/STDEV('The List'!AD2:AD671)</f>
        <v>1.0110923114236212</v>
      </c>
      <c r="R599" s="55" cm="1">
        <f t="array" ref="R599">(VLOOKUP($A599,'The List'!$B1:$AH671,30,FALSE)-AVERAGE('The List'!AE2:AE671))/STDEV('The List'!AE2:AE671)</f>
        <v>-0.99038076405525155</v>
      </c>
      <c r="S599" s="55" cm="1">
        <f t="array" ref="S599">(VLOOKUP($A599,'The List'!$B1:$AH671,31,FALSE)-AVERAGE('The List'!AF2:AF671))/STDEV('The List'!AF2:AF671)</f>
        <v>-0.56204420549967116</v>
      </c>
      <c r="T599" s="55" cm="1">
        <f t="array" ref="T599">(VLOOKUP($A599,'The List'!$B1:$AH671,32,FALSE)-AVERAGE('The List'!AG2:AG671))/STDEV('The List'!AG2:AG671)</f>
        <v>-0.59065790830667986</v>
      </c>
      <c r="U599" s="55" cm="1">
        <f t="array" ref="U599">(VLOOKUP($A599,'The List'!$B1:$AH671,33,FALSE)-AVERAGE('The List'!AH2:AH671))/STDEV('The List'!AH2:AH671)</f>
        <v>0.49401963312322705</v>
      </c>
      <c r="V599" s="55"/>
      <c r="W599" s="78"/>
      <c r="X599" s="57"/>
      <c r="Y599" s="57"/>
      <c r="Z599" s="57"/>
      <c r="AA599" s="57"/>
      <c r="AB599" s="57"/>
      <c r="AC599" s="60"/>
      <c r="AD599" s="61"/>
      <c r="AE599" s="55"/>
    </row>
    <row r="600" spans="1:31" ht="21.25" customHeight="1" x14ac:dyDescent="0.15">
      <c r="A600" s="10" t="s">
        <v>670</v>
      </c>
      <c r="B600" s="18" t="str" cm="1">
        <f t="array" ref="B600">VLOOKUP(A600,'Player Data'!A1:B673,2,FALSE)</f>
        <v>CBJ</v>
      </c>
      <c r="C600" s="52" cm="1">
        <f t="array" ref="C600">((E600)*Settings!$C$12)+(F600*Settings!$C$2)+(G600*Settings!$C$3)+(H600*Settings!$C$4)+(I600*Settings!$C$5)+(K600*Settings!$C$9)+(N600*Settings!$C$6)+(J600*Settings!$C$8)+(O600*Settings!$C$7)+(P600*Settings!$C$14)+(Q600*Settings!$C$15)+(R600*Settings!$C$16)+(S600*Settings!$C$17)+(T600*Settings!$C$18)+(U600*Settings!$C$19)+(L600*Settings!$C$10)+(Settings!$C$11*M600)</f>
        <v>-6.8075353845937148</v>
      </c>
      <c r="D600" s="57" cm="1">
        <f t="array" ref="D600">IF(Settings!$E$12="YES",VLOOKUP(A600,'Player Data'!A1:E673,5,FALSE),82)</f>
        <v>67.650000000000006</v>
      </c>
      <c r="E600" s="55" cm="1">
        <f t="array" ref="E600">(VLOOKUP($A600,'The List'!$B1:$AH671,17,FALSE)-AVERAGE('The List'!R2:R671))/STDEV('The List'!R2:R671)</f>
        <v>-1.7686155060736262</v>
      </c>
      <c r="F600" s="55" cm="1">
        <f t="array" ref="F600">(VLOOKUP($A600,'The List'!$B1:$AH671,18,FALSE)-AVERAGE('The List'!S2:S671))/STDEV('The List'!S2:S671)</f>
        <v>-1.3226572003912274</v>
      </c>
      <c r="G600" s="55" cm="1">
        <f t="array" ref="G600">(VLOOKUP($A600,'The List'!$B1:$AH671,19,FALSE)-AVERAGE('The List'!T2:T671))/STDEV('The List'!T2:T671)</f>
        <v>-1.2905054128992173</v>
      </c>
      <c r="H600" s="55" cm="1">
        <f t="array" ref="H600">(VLOOKUP($A600,'The List'!$B1:$AH671,20,FALSE)-AVERAGE('The List'!U2:U671))/STDEV('The List'!U2:U671)</f>
        <v>-1.3985553207077404</v>
      </c>
      <c r="I600" s="55" cm="1">
        <f t="array" ref="I600">(VLOOKUP($A600,'The List'!$B1:$AH671,21,FALSE)-AVERAGE('The List'!V2:V671))/STDEV('The List'!V2:V671)</f>
        <v>-1.4740644137617953</v>
      </c>
      <c r="J600" s="55" cm="1">
        <f t="array" ref="J600">(VLOOKUP($A600,'The List'!$B1:$AH671,22,FALSE)-AVERAGE('The List'!W2:W671))/STDEV('The List'!W2:W671)</f>
        <v>-0.75037329280867926</v>
      </c>
      <c r="K600" s="55" cm="1">
        <f t="array" ref="K600">(VLOOKUP($A600,'The List'!$B1:$AH671,23,FALSE)-AVERAGE('The List'!X2:X671))/STDEV('The List'!X2:X671)</f>
        <v>-0.81185709365647452</v>
      </c>
      <c r="L600" s="55" cm="1">
        <f t="array" ref="L600">(VLOOKUP($A600,'The List'!$B1:$AH671,24,FALSE)-AVERAGE('The List'!Y2:Y671))/STDEV('The List'!Y2:Y671)</f>
        <v>-0.55217980500336661</v>
      </c>
      <c r="M600" s="55" cm="1">
        <f t="array" ref="M600">(VLOOKUP($A600,'The List'!$B1:$AH671,25,FALSE)-AVERAGE('The List'!Z2:Z671))/STDEV('The List'!Z2:Z671)</f>
        <v>-0.67412939888472001</v>
      </c>
      <c r="N600" s="55" cm="1">
        <f t="array" ref="N600">(VLOOKUP($A600,'The List'!$B1:$AH671,26,FALSE)-AVERAGE('The List'!AA2:AA671))/STDEV('The List'!AA2:AA671)</f>
        <v>-0.44730305986756907</v>
      </c>
      <c r="O600" s="55" cm="1">
        <f t="array" ref="O600">(VLOOKUP($A600,'The List'!$B1:$AH671,27,FALSE)-AVERAGE('The List'!AB2:AB671))/STDEV('The List'!AB2:AB671)</f>
        <v>-0.71597925361702719</v>
      </c>
      <c r="P600" s="55" cm="1">
        <f t="array" ref="P600">(VLOOKUP($A600,'The List'!$B1:$AH671,28,FALSE)-AVERAGE('The List'!AC2:AC671))/STDEV('The List'!AC2:AC671)</f>
        <v>-4.945646967068975E-2</v>
      </c>
      <c r="Q600" s="55" cm="1">
        <f t="array" ref="Q600">(VLOOKUP($A600,'The List'!$B1:$AH671,29,FALSE)-AVERAGE('The List'!AD2:AD671))/STDEV('The List'!AD2:AD671)</f>
        <v>-1.4116917343467408</v>
      </c>
      <c r="R600" s="55" cm="1">
        <f t="array" ref="R600">(VLOOKUP($A600,'The List'!$B1:$AH671,30,FALSE)-AVERAGE('The List'!AE2:AE671))/STDEV('The List'!AE2:AE671)</f>
        <v>-1.2842446702945829</v>
      </c>
      <c r="S600" s="55" cm="1">
        <f t="array" ref="S600">(VLOOKUP($A600,'The List'!$B1:$AH671,31,FALSE)-AVERAGE('The List'!AF2:AF671))/STDEV('The List'!AF2:AF671)</f>
        <v>-0.5939690971349143</v>
      </c>
      <c r="T600" s="55" cm="1">
        <f t="array" ref="T600">(VLOOKUP($A600,'The List'!$B1:$AH671,32,FALSE)-AVERAGE('The List'!AG2:AG671))/STDEV('The List'!AG2:AG671)</f>
        <v>-0.64602208138248207</v>
      </c>
      <c r="U600" s="55" cm="1">
        <f t="array" ref="U600">(VLOOKUP($A600,'The List'!$B1:$AH671,33,FALSE)-AVERAGE('The List'!AH2:AH671))/STDEV('The List'!AH2:AH671)</f>
        <v>-1.2548938914719048</v>
      </c>
      <c r="V600" s="55"/>
      <c r="W600" s="78"/>
      <c r="X600" s="57"/>
      <c r="Y600" s="57"/>
      <c r="Z600" s="57"/>
      <c r="AA600" s="57"/>
      <c r="AB600" s="57"/>
      <c r="AC600" s="60"/>
      <c r="AD600" s="61"/>
      <c r="AE600" s="55"/>
    </row>
    <row r="601" spans="1:31" ht="21.25" customHeight="1" x14ac:dyDescent="0.15">
      <c r="A601" s="10" t="s">
        <v>633</v>
      </c>
      <c r="B601" s="18" t="str" cm="1">
        <f t="array" ref="B601">VLOOKUP(A601,'Player Data'!A1:B673,2,FALSE)</f>
        <v>CGY</v>
      </c>
      <c r="C601" s="52" cm="1">
        <f t="array" ref="C601">((E601)*Settings!$C$12)+(F601*Settings!$C$2)+(G601*Settings!$C$3)+(H601*Settings!$C$4)+(I601*Settings!$C$5)+(K601*Settings!$C$9)+(N601*Settings!$C$6)+(J601*Settings!$C$8)+(O601*Settings!$C$7)+(P601*Settings!$C$14)+(Q601*Settings!$C$15)+(R601*Settings!$C$16)+(S601*Settings!$C$17)+(T601*Settings!$C$18)+(U601*Settings!$C$19)+(L601*Settings!$C$10)+(Settings!$C$11*M601)</f>
        <v>-5.5016414508952467</v>
      </c>
      <c r="D601" s="57" cm="1">
        <f t="array" ref="D601">IF(Settings!$E$12="YES",VLOOKUP(A601,'Player Data'!A1:E673,5,FALSE),82)</f>
        <v>73.557500000000005</v>
      </c>
      <c r="E601" s="55" cm="1">
        <f t="array" ref="E601">(VLOOKUP($A601,'The List'!$B1:$AH671,17,FALSE)-AVERAGE('The List'!R2:R671))/STDEV('The List'!R2:R671)</f>
        <v>-0.38370629012550111</v>
      </c>
      <c r="F601" s="55" cm="1">
        <f t="array" ref="F601">(VLOOKUP($A601,'The List'!$B1:$AH671,18,FALSE)-AVERAGE('The List'!S2:S671))/STDEV('The List'!S2:S671)</f>
        <v>-1.4028581186396847</v>
      </c>
      <c r="G601" s="55" cm="1">
        <f t="array" ref="G601">(VLOOKUP($A601,'The List'!$B1:$AH671,19,FALSE)-AVERAGE('The List'!T2:T671))/STDEV('The List'!T2:T671)</f>
        <v>-1.1996599792699016</v>
      </c>
      <c r="H601" s="55" cm="1">
        <f t="array" ref="H601">(VLOOKUP($A601,'The List'!$B1:$AH671,20,FALSE)-AVERAGE('The List'!U2:U671))/STDEV('The List'!U2:U671)</f>
        <v>-1.3769974252523804</v>
      </c>
      <c r="I601" s="55" cm="1">
        <f t="array" ref="I601">(VLOOKUP($A601,'The List'!$B1:$AH671,21,FALSE)-AVERAGE('The List'!V2:V671))/STDEV('The List'!V2:V671)</f>
        <v>-1.7325474966711649</v>
      </c>
      <c r="J601" s="55" cm="1">
        <f t="array" ref="J601">(VLOOKUP($A601,'The List'!$B1:$AH671,22,FALSE)-AVERAGE('The List'!W2:W671))/STDEV('The List'!W2:W671)</f>
        <v>-0.75075600836117617</v>
      </c>
      <c r="K601" s="55" cm="1">
        <f t="array" ref="K601">(VLOOKUP($A601,'The List'!$B1:$AH671,23,FALSE)-AVERAGE('The List'!X2:X671))/STDEV('The List'!X2:X671)</f>
        <v>-0.80944156507245191</v>
      </c>
      <c r="L601" s="55" cm="1">
        <f t="array" ref="L601">(VLOOKUP($A601,'The List'!$B1:$AH671,24,FALSE)-AVERAGE('The List'!Y2:Y671))/STDEV('The List'!Y2:Y671)</f>
        <v>-0.57565520040420082</v>
      </c>
      <c r="M601" s="55" cm="1">
        <f t="array" ref="M601">(VLOOKUP($A601,'The List'!$B1:$AH671,25,FALSE)-AVERAGE('The List'!Z2:Z671))/STDEV('The List'!Z2:Z671)</f>
        <v>-0.57602768261950932</v>
      </c>
      <c r="N601" s="55" cm="1">
        <f t="array" ref="N601">(VLOOKUP($A601,'The List'!$B1:$AH671,26,FALSE)-AVERAGE('The List'!AA2:AA671))/STDEV('The List'!AA2:AA671)</f>
        <v>0.94271765819036801</v>
      </c>
      <c r="O601" s="55" cm="1">
        <f t="array" ref="O601">(VLOOKUP($A601,'The List'!$B1:$AH671,27,FALSE)-AVERAGE('The List'!AB2:AB671))/STDEV('The List'!AB2:AB671)</f>
        <v>-0.43877562518484919</v>
      </c>
      <c r="P601" s="55" cm="1">
        <f t="array" ref="P601">(VLOOKUP($A601,'The List'!$B1:$AH671,28,FALSE)-AVERAGE('The List'!AC2:AC671))/STDEV('The List'!AC2:AC671)</f>
        <v>-1.5514725130395641</v>
      </c>
      <c r="Q601" s="55" cm="1">
        <f t="array" ref="Q601">(VLOOKUP($A601,'The List'!$B1:$AH671,29,FALSE)-AVERAGE('The List'!AD2:AD671))/STDEV('The List'!AD2:AD671)</f>
        <v>0.2516205636071519</v>
      </c>
      <c r="R601" s="55" cm="1">
        <f t="array" ref="R601">(VLOOKUP($A601,'The List'!$B1:$AH671,30,FALSE)-AVERAGE('The List'!AE2:AE671))/STDEV('The List'!AE2:AE671)</f>
        <v>-1.3615690143764441</v>
      </c>
      <c r="S601" s="55" cm="1">
        <f t="array" ref="S601">(VLOOKUP($A601,'The List'!$B1:$AH671,31,FALSE)-AVERAGE('The List'!AF2:AF671))/STDEV('The List'!AF2:AF671)</f>
        <v>-0.5939690971349143</v>
      </c>
      <c r="T601" s="55" cm="1">
        <f t="array" ref="T601">(VLOOKUP($A601,'The List'!$B1:$AH671,32,FALSE)-AVERAGE('The List'!AG2:AG671))/STDEV('The List'!AG2:AG671)</f>
        <v>-0.64602208138248207</v>
      </c>
      <c r="U601" s="55" cm="1">
        <f t="array" ref="U601">(VLOOKUP($A601,'The List'!$B1:$AH671,33,FALSE)-AVERAGE('The List'!AH2:AH671))/STDEV('The List'!AH2:AH671)</f>
        <v>-1.2548938914719048</v>
      </c>
      <c r="V601" s="55"/>
      <c r="W601" s="78"/>
      <c r="X601" s="57"/>
      <c r="Y601" s="57"/>
      <c r="Z601" s="57"/>
      <c r="AA601" s="57"/>
      <c r="AB601" s="57"/>
      <c r="AC601" s="60"/>
      <c r="AD601" s="61"/>
      <c r="AE601" s="55"/>
    </row>
    <row r="602" spans="1:31" ht="21.25" customHeight="1" x14ac:dyDescent="0.15">
      <c r="A602" s="10" t="s">
        <v>300</v>
      </c>
      <c r="B602" s="18" t="str" cm="1">
        <f t="array" ref="B602">VLOOKUP(A602,'Player Data'!A1:B673,2,FALSE)</f>
        <v>TOR</v>
      </c>
      <c r="C602" s="52" cm="1">
        <f t="array" ref="C602">((E602)*Settings!$C$12)+(F602*Settings!$C$2)+(G602*Settings!$C$3)+(H602*Settings!$C$4)+(I602*Settings!$C$5)+(K602*Settings!$C$9)+(N602*Settings!$C$6)+(J602*Settings!$C$8)+(O602*Settings!$C$7)+(P602*Settings!$C$14)+(Q602*Settings!$C$15)+(R602*Settings!$C$16)+(S602*Settings!$C$17)+(T602*Settings!$C$18)+(U602*Settings!$C$19)+(L602*Settings!$C$10)+(Settings!$C$11*M602)</f>
        <v>3.3745146942002289</v>
      </c>
      <c r="D602" s="57" cm="1">
        <f t="array" ref="D602">IF(Settings!$E$12="YES",VLOOKUP(A602,'Player Data'!A1:E673,5,FALSE),82)</f>
        <v>80</v>
      </c>
      <c r="E602" s="55" cm="1">
        <f t="array" ref="E602">(VLOOKUP($A602,'The List'!$B1:$AH671,17,FALSE)-AVERAGE('The List'!R2:R671))/STDEV('The List'!R2:R671)</f>
        <v>4.8943334883556261E-2</v>
      </c>
      <c r="F602" s="55" cm="1">
        <f t="array" ref="F602">(VLOOKUP($A602,'The List'!$B1:$AH671,18,FALSE)-AVERAGE('The List'!S2:S671))/STDEV('The List'!S2:S671)</f>
        <v>0.88482668525724462</v>
      </c>
      <c r="G602" s="55" cm="1">
        <f t="array" ref="G602">(VLOOKUP($A602,'The List'!$B1:$AH671,19,FALSE)-AVERAGE('The List'!T2:T671))/STDEV('The List'!T2:T671)</f>
        <v>1.3000558855822084</v>
      </c>
      <c r="H602" s="55" cm="1">
        <f t="array" ref="H602">(VLOOKUP($A602,'The List'!$B1:$AH671,20,FALSE)-AVERAGE('The List'!U2:U671))/STDEV('The List'!U2:U671)</f>
        <v>1.2103066423170046</v>
      </c>
      <c r="I602" s="55" cm="1">
        <f t="array" ref="I602">(VLOOKUP($A602,'The List'!$B1:$AH671,21,FALSE)-AVERAGE('The List'!V2:V671))/STDEV('The List'!V2:V671)</f>
        <v>0.7616363504372583</v>
      </c>
      <c r="J602" s="55" cm="1">
        <f t="array" ref="J602">(VLOOKUP($A602,'The List'!$B1:$AH671,22,FALSE)-AVERAGE('The List'!W2:W671))/STDEV('The List'!W2:W671)</f>
        <v>1.1592876517248214</v>
      </c>
      <c r="K602" s="55" cm="1">
        <f t="array" ref="K602">(VLOOKUP($A602,'The List'!$B1:$AH671,23,FALSE)-AVERAGE('The List'!X2:X671))/STDEV('The List'!X2:X671)</f>
        <v>1.1802423357352076</v>
      </c>
      <c r="L602" s="55" cm="1">
        <f t="array" ref="L602">(VLOOKUP($A602,'The List'!$B1:$AH671,24,FALSE)-AVERAGE('The List'!Y2:Y671))/STDEV('The List'!Y2:Y671)</f>
        <v>-0.56569022661034529</v>
      </c>
      <c r="M602" s="55" cm="1">
        <f t="array" ref="M602">(VLOOKUP($A602,'The List'!$B1:$AH671,25,FALSE)-AVERAGE('The List'!Z2:Z671))/STDEV('The List'!Z2:Z671)</f>
        <v>-0.70756870995144849</v>
      </c>
      <c r="N602" s="55" cm="1">
        <f t="array" ref="N602">(VLOOKUP($A602,'The List'!$B1:$AH671,26,FALSE)-AVERAGE('The List'!AA2:AA671))/STDEV('The List'!AA2:AA671)</f>
        <v>-0.72157784458982055</v>
      </c>
      <c r="O602" s="55" cm="1">
        <f t="array" ref="O602">(VLOOKUP($A602,'The List'!$B1:$AH671,27,FALSE)-AVERAGE('The List'!AB2:AB671))/STDEV('The List'!AB2:AB671)</f>
        <v>0.16999019203968696</v>
      </c>
      <c r="P602" s="55" cm="1">
        <f t="array" ref="P602">(VLOOKUP($A602,'The List'!$B1:$AH671,28,FALSE)-AVERAGE('The List'!AC2:AC671))/STDEV('The List'!AC2:AC671)</f>
        <v>-4.1398351164309927E-2</v>
      </c>
      <c r="Q602" s="55" cm="1">
        <f t="array" ref="Q602">(VLOOKUP($A602,'The List'!$B1:$AH671,29,FALSE)-AVERAGE('The List'!AD2:AD671))/STDEV('The List'!AD2:AD671)</f>
        <v>1.0729632942440989E-2</v>
      </c>
      <c r="R602" s="55" cm="1">
        <f t="array" ref="R602">(VLOOKUP($A602,'The List'!$B1:$AH671,30,FALSE)-AVERAGE('The List'!AE2:AE671))/STDEV('The List'!AE2:AE671)</f>
        <v>0.59212419322105614</v>
      </c>
      <c r="S602" s="55" cm="1">
        <f t="array" ref="S602">(VLOOKUP($A602,'The List'!$B1:$AH671,31,FALSE)-AVERAGE('The List'!AF2:AF671))/STDEV('The List'!AF2:AF671)</f>
        <v>-0.5939690971349143</v>
      </c>
      <c r="T602" s="55" cm="1">
        <f t="array" ref="T602">(VLOOKUP($A602,'The List'!$B1:$AH671,32,FALSE)-AVERAGE('The List'!AG2:AG671))/STDEV('The List'!AG2:AG671)</f>
        <v>-0.64602208138248207</v>
      </c>
      <c r="U602" s="55" cm="1">
        <f t="array" ref="U602">(VLOOKUP($A602,'The List'!$B1:$AH671,33,FALSE)-AVERAGE('The List'!AH2:AH671))/STDEV('The List'!AH2:AH671)</f>
        <v>0.58386922555444098</v>
      </c>
      <c r="V602" s="55"/>
      <c r="W602" s="78"/>
      <c r="X602" s="57"/>
      <c r="Y602" s="57"/>
      <c r="Z602" s="57"/>
      <c r="AA602" s="57"/>
      <c r="AB602" s="57"/>
      <c r="AC602" s="60"/>
      <c r="AD602" s="61"/>
      <c r="AE602" s="55"/>
    </row>
    <row r="603" spans="1:31" ht="21.25" customHeight="1" x14ac:dyDescent="0.15">
      <c r="A603" s="10" t="s">
        <v>421</v>
      </c>
      <c r="B603" s="18" t="str" cm="1">
        <f t="array" ref="B603">VLOOKUP(A603,'Player Data'!A1:B673,2,FALSE)</f>
        <v>S.J</v>
      </c>
      <c r="C603" s="52" cm="1">
        <f t="array" ref="C603">((E603)*Settings!$C$12)+(F603*Settings!$C$2)+(G603*Settings!$C$3)+(H603*Settings!$C$4)+(I603*Settings!$C$5)+(K603*Settings!$C$9)+(N603*Settings!$C$6)+(J603*Settings!$C$8)+(O603*Settings!$C$7)+(P603*Settings!$C$14)+(Q603*Settings!$C$15)+(R603*Settings!$C$16)+(S603*Settings!$C$17)+(T603*Settings!$C$18)+(U603*Settings!$C$19)+(L603*Settings!$C$10)+(Settings!$C$11*M603)</f>
        <v>1.1067323217990077</v>
      </c>
      <c r="D603" s="57" cm="1">
        <f t="array" ref="D603">IF(Settings!$E$12="YES",VLOOKUP(A603,'Player Data'!A1:E673,5,FALSE),82)</f>
        <v>80</v>
      </c>
      <c r="E603" s="55" cm="1">
        <f t="array" ref="E603">(VLOOKUP($A603,'The List'!$B1:$AH671,17,FALSE)-AVERAGE('The List'!R2:R671))/STDEV('The List'!R2:R671)</f>
        <v>-0.47579340442889123</v>
      </c>
      <c r="F603" s="55" cm="1">
        <f t="array" ref="F603">(VLOOKUP($A603,'The List'!$B1:$AH671,18,FALSE)-AVERAGE('The List'!S2:S671))/STDEV('The List'!S2:S671)</f>
        <v>0.48191433510683934</v>
      </c>
      <c r="G603" s="55" cm="1">
        <f t="array" ref="G603">(VLOOKUP($A603,'The List'!$B1:$AH671,19,FALSE)-AVERAGE('The List'!T2:T671))/STDEV('The List'!T2:T671)</f>
        <v>0.58651413536314212</v>
      </c>
      <c r="H603" s="55" cm="1">
        <f t="array" ref="H603">(VLOOKUP($A603,'The List'!$B1:$AH671,20,FALSE)-AVERAGE('The List'!U2:U671))/STDEV('The List'!U2:U671)</f>
        <v>0.58272920261427219</v>
      </c>
      <c r="I603" s="55" cm="1">
        <f t="array" ref="I603">(VLOOKUP($A603,'The List'!$B1:$AH671,21,FALSE)-AVERAGE('The List'!V2:V671))/STDEV('The List'!V2:V671)</f>
        <v>0.37628461086674753</v>
      </c>
      <c r="J603" s="55" cm="1">
        <f t="array" ref="J603">(VLOOKUP($A603,'The List'!$B1:$AH671,22,FALSE)-AVERAGE('The List'!W2:W671))/STDEV('The List'!W2:W671)</f>
        <v>0.57761723625129568</v>
      </c>
      <c r="K603" s="55" cm="1">
        <f t="array" ref="K603">(VLOOKUP($A603,'The List'!$B1:$AH671,23,FALSE)-AVERAGE('The List'!X2:X671))/STDEV('The List'!X2:X671)</f>
        <v>0.50510335332485012</v>
      </c>
      <c r="L603" s="55" cm="1">
        <f t="array" ref="L603">(VLOOKUP($A603,'The List'!$B1:$AH671,24,FALSE)-AVERAGE('The List'!Y2:Y671))/STDEV('The List'!Y2:Y671)</f>
        <v>-0.56569022661034529</v>
      </c>
      <c r="M603" s="55" cm="1">
        <f t="array" ref="M603">(VLOOKUP($A603,'The List'!$B1:$AH671,25,FALSE)-AVERAGE('The List'!Z2:Z671))/STDEV('The List'!Z2:Z671)</f>
        <v>-0.70756870995144849</v>
      </c>
      <c r="N603" s="55" cm="1">
        <f t="array" ref="N603">(VLOOKUP($A603,'The List'!$B1:$AH671,26,FALSE)-AVERAGE('The List'!AA2:AA671))/STDEV('The List'!AA2:AA671)</f>
        <v>-0.75151625006676293</v>
      </c>
      <c r="O603" s="55" cm="1">
        <f t="array" ref="O603">(VLOOKUP($A603,'The List'!$B1:$AH671,27,FALSE)-AVERAGE('The List'!AB2:AB671))/STDEV('The List'!AB2:AB671)</f>
        <v>0.16999019203968696</v>
      </c>
      <c r="P603" s="55" cm="1">
        <f t="array" ref="P603">(VLOOKUP($A603,'The List'!$B1:$AH671,28,FALSE)-AVERAGE('The List'!AC2:AC671))/STDEV('The List'!AC2:AC671)</f>
        <v>-0.10229749573824932</v>
      </c>
      <c r="Q603" s="55" cm="1">
        <f t="array" ref="Q603">(VLOOKUP($A603,'The List'!$B1:$AH671,29,FALSE)-AVERAGE('The List'!AD2:AD671))/STDEV('The List'!AD2:AD671)</f>
        <v>1.0729632942440989E-2</v>
      </c>
      <c r="R603" s="55" cm="1">
        <f t="array" ref="R603">(VLOOKUP($A603,'The List'!$B1:$AH671,30,FALSE)-AVERAGE('The List'!AE2:AE671))/STDEV('The List'!AE2:AE671)</f>
        <v>0.28614028349192083</v>
      </c>
      <c r="S603" s="55" cm="1">
        <f t="array" ref="S603">(VLOOKUP($A603,'The List'!$B1:$AH671,31,FALSE)-AVERAGE('The List'!AF2:AF671))/STDEV('The List'!AF2:AF671)</f>
        <v>-0.5939690971349143</v>
      </c>
      <c r="T603" s="55" cm="1">
        <f t="array" ref="T603">(VLOOKUP($A603,'The List'!$B1:$AH671,32,FALSE)-AVERAGE('The List'!AG2:AG671))/STDEV('The List'!AG2:AG671)</f>
        <v>-0.64602208138248207</v>
      </c>
      <c r="U603" s="55" cm="1">
        <f t="array" ref="U603">(VLOOKUP($A603,'The List'!$B1:$AH671,33,FALSE)-AVERAGE('The List'!AH2:AH671))/STDEV('The List'!AH2:AH671)</f>
        <v>0.58386922555444098</v>
      </c>
      <c r="V603" s="55"/>
      <c r="W603" s="78"/>
      <c r="X603" s="57"/>
      <c r="Y603" s="57"/>
      <c r="Z603" s="57"/>
      <c r="AA603" s="57"/>
      <c r="AB603" s="57"/>
      <c r="AC603" s="60"/>
      <c r="AD603" s="61"/>
      <c r="AE603" s="55"/>
    </row>
    <row r="604" spans="1:31" ht="21.25" customHeight="1" x14ac:dyDescent="0.15">
      <c r="A604" s="10" t="s">
        <v>534</v>
      </c>
      <c r="B604" s="18" t="str" cm="1">
        <f t="array" ref="B604">VLOOKUP(A604,'Player Data'!A1:B673,2,FALSE)</f>
        <v>CHI</v>
      </c>
      <c r="C604" s="52" cm="1">
        <f t="array" ref="C604">((E604)*Settings!$C$12)+(F604*Settings!$C$2)+(G604*Settings!$C$3)+(H604*Settings!$C$4)+(I604*Settings!$C$5)+(K604*Settings!$C$9)+(N604*Settings!$C$6)+(J604*Settings!$C$8)+(O604*Settings!$C$7)+(P604*Settings!$C$14)+(Q604*Settings!$C$15)+(R604*Settings!$C$16)+(S604*Settings!$C$17)+(T604*Settings!$C$18)+(U604*Settings!$C$19)+(L604*Settings!$C$10)+(Settings!$C$11*M604)</f>
        <v>-0.43210406113387406</v>
      </c>
      <c r="D604" s="57" cm="1">
        <f t="array" ref="D604">IF(Settings!$E$12="YES",VLOOKUP(A604,'Player Data'!A1:E673,5,FALSE),82)</f>
        <v>77</v>
      </c>
      <c r="E604" s="55" cm="1">
        <f t="array" ref="E604">(VLOOKUP($A604,'The List'!$B1:$AH671,17,FALSE)-AVERAGE('The List'!R2:R671))/STDEV('The List'!R2:R671)</f>
        <v>-0.47579340442889123</v>
      </c>
      <c r="F604" s="55" cm="1">
        <f t="array" ref="F604">(VLOOKUP($A604,'The List'!$B1:$AH671,18,FALSE)-AVERAGE('The List'!S2:S671))/STDEV('The List'!S2:S671)</f>
        <v>0.47739593920195977</v>
      </c>
      <c r="G604" s="55" cm="1">
        <f t="array" ref="G604">(VLOOKUP($A604,'The List'!$B1:$AH671,19,FALSE)-AVERAGE('The List'!T2:T671))/STDEV('The List'!T2:T671)</f>
        <v>-0.32644039561234378</v>
      </c>
      <c r="H604" s="55" cm="1">
        <f t="array" ref="H604">(VLOOKUP($A604,'The List'!$B1:$AH671,20,FALSE)-AVERAGE('The List'!U2:U671))/STDEV('The List'!U2:U671)</f>
        <v>6.4809074785129985E-3</v>
      </c>
      <c r="I604" s="55" cm="1">
        <f t="array" ref="I604">(VLOOKUP($A604,'The List'!$B1:$AH671,21,FALSE)-AVERAGE('The List'!V2:V671))/STDEV('The List'!V2:V671)</f>
        <v>0.34238365900402512</v>
      </c>
      <c r="J604" s="55" cm="1">
        <f t="array" ref="J604">(VLOOKUP($A604,'The List'!$B1:$AH671,22,FALSE)-AVERAGE('The List'!W2:W671))/STDEV('The List'!W2:W671)</f>
        <v>0.40397900751736127</v>
      </c>
      <c r="K604" s="55" cm="1">
        <f t="array" ref="K604">(VLOOKUP($A604,'The List'!$B1:$AH671,23,FALSE)-AVERAGE('The List'!X2:X671))/STDEV('The List'!X2:X671)</f>
        <v>3.9999304270261264E-2</v>
      </c>
      <c r="L604" s="55" cm="1">
        <f t="array" ref="L604">(VLOOKUP($A604,'The List'!$B1:$AH671,24,FALSE)-AVERAGE('The List'!Y2:Y671))/STDEV('The List'!Y2:Y671)</f>
        <v>-0.56569022661034529</v>
      </c>
      <c r="M604" s="55" cm="1">
        <f t="array" ref="M604">(VLOOKUP($A604,'The List'!$B1:$AH671,25,FALSE)-AVERAGE('The List'!Z2:Z671))/STDEV('The List'!Z2:Z671)</f>
        <v>-0.70756870995144849</v>
      </c>
      <c r="N604" s="55" cm="1">
        <f t="array" ref="N604">(VLOOKUP($A604,'The List'!$B1:$AH671,26,FALSE)-AVERAGE('The List'!AA2:AA671))/STDEV('The List'!AA2:AA671)</f>
        <v>-0.78426138105716947</v>
      </c>
      <c r="O604" s="55" cm="1">
        <f t="array" ref="O604">(VLOOKUP($A604,'The List'!$B1:$AH671,27,FALSE)-AVERAGE('The List'!AB2:AB671))/STDEV('The List'!AB2:AB671)</f>
        <v>9.7354598875374898E-2</v>
      </c>
      <c r="P604" s="55" cm="1">
        <f t="array" ref="P604">(VLOOKUP($A604,'The List'!$B1:$AH671,28,FALSE)-AVERAGE('The List'!AC2:AC671))/STDEV('The List'!AC2:AC671)</f>
        <v>-0.10248348789008946</v>
      </c>
      <c r="Q604" s="55" cm="1">
        <f t="array" ref="Q604">(VLOOKUP($A604,'The List'!$B1:$AH671,29,FALSE)-AVERAGE('The List'!AD2:AD671))/STDEV('The List'!AD2:AD671)</f>
        <v>-7.8697699050517558E-2</v>
      </c>
      <c r="R604" s="55" cm="1">
        <f t="array" ref="R604">(VLOOKUP($A604,'The List'!$B1:$AH671,30,FALSE)-AVERAGE('The List'!AE2:AE671))/STDEV('The List'!AE2:AE671)</f>
        <v>9.2583868367188404E-2</v>
      </c>
      <c r="S604" s="55" cm="1">
        <f t="array" ref="S604">(VLOOKUP($A604,'The List'!$B1:$AH671,31,FALSE)-AVERAGE('The List'!AF2:AF671))/STDEV('The List'!AF2:AF671)</f>
        <v>-0.5939690971349143</v>
      </c>
      <c r="T604" s="55" cm="1">
        <f t="array" ref="T604">(VLOOKUP($A604,'The List'!$B1:$AH671,32,FALSE)-AVERAGE('The List'!AG2:AG671))/STDEV('The List'!AG2:AG671)</f>
        <v>-0.64602208138248207</v>
      </c>
      <c r="U604" s="55" cm="1">
        <f t="array" ref="U604">(VLOOKUP($A604,'The List'!$B1:$AH671,33,FALSE)-AVERAGE('The List'!AH2:AH671))/STDEV('The List'!AH2:AH671)</f>
        <v>0.58386922555444098</v>
      </c>
      <c r="V604" s="55"/>
      <c r="W604" s="78"/>
      <c r="X604" s="57"/>
      <c r="Y604" s="57"/>
      <c r="Z604" s="57"/>
      <c r="AA604" s="57"/>
      <c r="AB604" s="57"/>
      <c r="AC604" s="60"/>
      <c r="AD604" s="61"/>
      <c r="AE604" s="55"/>
    </row>
    <row r="605" spans="1:31" ht="21.25" customHeight="1" x14ac:dyDescent="0.15">
      <c r="A605" s="10" t="s">
        <v>611</v>
      </c>
      <c r="B605" s="18" t="str" cm="1">
        <f t="array" ref="B605">VLOOKUP(A605,'Player Data'!A1:B673,2,FALSE)</f>
        <v>WSH</v>
      </c>
      <c r="C605" s="52" cm="1">
        <f t="array" ref="C605">((E605)*Settings!$C$12)+(F605*Settings!$C$2)+(G605*Settings!$C$3)+(H605*Settings!$C$4)+(I605*Settings!$C$5)+(K605*Settings!$C$9)+(N605*Settings!$C$6)+(J605*Settings!$C$8)+(O605*Settings!$C$7)+(P605*Settings!$C$14)+(Q605*Settings!$C$15)+(R605*Settings!$C$16)+(S605*Settings!$C$17)+(T605*Settings!$C$18)+(U605*Settings!$C$19)+(L605*Settings!$C$10)+(Settings!$C$11*M605)</f>
        <v>-1.5071138589512336</v>
      </c>
      <c r="D605" s="57" cm="1">
        <f t="array" ref="D605">IF(Settings!$E$12="YES",VLOOKUP(A605,'Player Data'!A1:E673,5,FALSE),82)</f>
        <v>72</v>
      </c>
      <c r="E605" s="55" cm="1">
        <f t="array" ref="E605">(VLOOKUP($A605,'The List'!$B1:$AH671,17,FALSE)-AVERAGE('The List'!R2:R671))/STDEV('The List'!R2:R671)</f>
        <v>-1.0005301437413388</v>
      </c>
      <c r="F605" s="55" cm="1">
        <f t="array" ref="F605">(VLOOKUP($A605,'The List'!$B1:$AH671,18,FALSE)-AVERAGE('The List'!S2:S671))/STDEV('The List'!S2:S671)</f>
        <v>7.2301929118668826E-2</v>
      </c>
      <c r="G605" s="55" cm="1">
        <f t="array" ref="G605">(VLOOKUP($A605,'The List'!$B1:$AH671,19,FALSE)-AVERAGE('The List'!T2:T671))/STDEV('The List'!T2:T671)</f>
        <v>-0.23889304738879283</v>
      </c>
      <c r="H605" s="55" cm="1">
        <f t="array" ref="H605">(VLOOKUP($A605,'The List'!$B1:$AH671,20,FALSE)-AVERAGE('The List'!U2:U671))/STDEV('The List'!U2:U671)</f>
        <v>-0.11818367272242193</v>
      </c>
      <c r="I605" s="55" cm="1">
        <f t="array" ref="I605">(VLOOKUP($A605,'The List'!$B1:$AH671,21,FALSE)-AVERAGE('The List'!V2:V671))/STDEV('The List'!V2:V671)</f>
        <v>-5.249213745359655E-2</v>
      </c>
      <c r="J605" s="55" cm="1">
        <f t="array" ref="J605">(VLOOKUP($A605,'The List'!$B1:$AH671,22,FALSE)-AVERAGE('The List'!W2:W671))/STDEV('The List'!W2:W671)</f>
        <v>0.14333269577396862</v>
      </c>
      <c r="K605" s="55" cm="1">
        <f t="array" ref="K605">(VLOOKUP($A605,'The List'!$B1:$AH671,23,FALSE)-AVERAGE('The List'!X2:X671))/STDEV('The List'!X2:X671)</f>
        <v>-3.0671858861710206E-2</v>
      </c>
      <c r="L605" s="55" cm="1">
        <f t="array" ref="L605">(VLOOKUP($A605,'The List'!$B1:$AH671,24,FALSE)-AVERAGE('The List'!Y2:Y671))/STDEV('The List'!Y2:Y671)</f>
        <v>-0.56569022661034529</v>
      </c>
      <c r="M605" s="55" cm="1">
        <f t="array" ref="M605">(VLOOKUP($A605,'The List'!$B1:$AH671,25,FALSE)-AVERAGE('The List'!Z2:Z671))/STDEV('The List'!Z2:Z671)</f>
        <v>-0.70756870995144849</v>
      </c>
      <c r="N605" s="55" cm="1">
        <f t="array" ref="N605">(VLOOKUP($A605,'The List'!$B1:$AH671,26,FALSE)-AVERAGE('The List'!AA2:AA671))/STDEV('The List'!AA2:AA671)</f>
        <v>-0.86578116430376173</v>
      </c>
      <c r="O605" s="55" cm="1">
        <f t="array" ref="O605">(VLOOKUP($A605,'The List'!$B1:$AH671,27,FALSE)-AVERAGE('The List'!AB2:AB671))/STDEV('The List'!AB2:AB671)</f>
        <v>-2.3704723065145608E-2</v>
      </c>
      <c r="P605" s="55" cm="1">
        <f t="array" ref="P605">(VLOOKUP($A605,'The List'!$B1:$AH671,28,FALSE)-AVERAGE('The List'!AC2:AC671))/STDEV('The List'!AC2:AC671)</f>
        <v>-0.16383432768992628</v>
      </c>
      <c r="Q605" s="55" cm="1">
        <f t="array" ref="Q605">(VLOOKUP($A605,'The List'!$B1:$AH671,29,FALSE)-AVERAGE('The List'!AD2:AD671))/STDEV('The List'!AD2:AD671)</f>
        <v>-0.22774325237211485</v>
      </c>
      <c r="R605" s="55" cm="1">
        <f t="array" ref="R605">(VLOOKUP($A605,'The List'!$B1:$AH671,30,FALSE)-AVERAGE('The List'!AE2:AE671))/STDEV('The List'!AE2:AE671)</f>
        <v>1.7879649833979678E-2</v>
      </c>
      <c r="S605" s="55" cm="1">
        <f t="array" ref="S605">(VLOOKUP($A605,'The List'!$B1:$AH671,31,FALSE)-AVERAGE('The List'!AF2:AF671))/STDEV('The List'!AF2:AF671)</f>
        <v>7.5547255445074249E-2</v>
      </c>
      <c r="T605" s="55" cm="1">
        <f t="array" ref="T605">(VLOOKUP($A605,'The List'!$B1:$AH671,32,FALSE)-AVERAGE('The List'!AG2:AG671))/STDEV('The List'!AG2:AG671)</f>
        <v>0.42347858410710681</v>
      </c>
      <c r="U605" s="55" cm="1">
        <f t="array" ref="U605">(VLOOKUP($A605,'The List'!$B1:$AH671,33,FALSE)-AVERAGE('The List'!AH2:AH671))/STDEV('The List'!AH2:AH671)</f>
        <v>0.58386922555444098</v>
      </c>
      <c r="V605" s="55"/>
      <c r="W605" s="78"/>
      <c r="X605" s="57"/>
      <c r="Y605" s="57"/>
      <c r="Z605" s="57"/>
      <c r="AA605" s="57"/>
      <c r="AB605" s="57"/>
      <c r="AC605" s="60"/>
      <c r="AD605" s="61"/>
      <c r="AE605" s="55"/>
    </row>
    <row r="606" spans="1:31" ht="21.25" customHeight="1" x14ac:dyDescent="0.15">
      <c r="A606" s="10" t="s">
        <v>429</v>
      </c>
      <c r="B606" s="18" t="str" cm="1">
        <f t="array" ref="B606">VLOOKUP(A606,'Player Data'!A1:B673,2,FALSE)</f>
        <v>BOS</v>
      </c>
      <c r="C606" s="52" cm="1">
        <f t="array" ref="C606">((E606)*Settings!$C$12)+(F606*Settings!$C$2)+(G606*Settings!$C$3)+(H606*Settings!$C$4)+(I606*Settings!$C$5)+(K606*Settings!$C$9)+(N606*Settings!$C$6)+(J606*Settings!$C$8)+(O606*Settings!$C$7)+(P606*Settings!$C$14)+(Q606*Settings!$C$15)+(R606*Settings!$C$16)+(S606*Settings!$C$17)+(T606*Settings!$C$18)+(U606*Settings!$C$19)+(L606*Settings!$C$10)+(Settings!$C$11*M606)</f>
        <v>0.44461670619554916</v>
      </c>
      <c r="D606" s="57" cm="1">
        <f t="array" ref="D606">IF(Settings!$E$12="YES",VLOOKUP(A606,'Player Data'!A1:E673,5,FALSE),82)</f>
        <v>74</v>
      </c>
      <c r="E606" s="55" cm="1">
        <f t="array" ref="E606">(VLOOKUP($A606,'The List'!$B1:$AH671,17,FALSE)-AVERAGE('The List'!R2:R671))/STDEV('The List'!R2:R671)</f>
        <v>-0.73816177408511496</v>
      </c>
      <c r="F606" s="55" cm="1">
        <f t="array" ref="F606">(VLOOKUP($A606,'The List'!$B1:$AH671,18,FALSE)-AVERAGE('The List'!S2:S671))/STDEV('The List'!S2:S671)</f>
        <v>0.61860651308532821</v>
      </c>
      <c r="G606" s="55" cm="1">
        <f t="array" ref="G606">(VLOOKUP($A606,'The List'!$B1:$AH671,19,FALSE)-AVERAGE('The List'!T2:T671))/STDEV('The List'!T2:T671)</f>
        <v>0.14719849880945832</v>
      </c>
      <c r="H606" s="55" cm="1">
        <f t="array" ref="H606">(VLOOKUP($A606,'The List'!$B1:$AH671,20,FALSE)-AVERAGE('The List'!U2:U671))/STDEV('The List'!U2:U671)</f>
        <v>0.36704933190923611</v>
      </c>
      <c r="I606" s="55" cm="1">
        <f t="array" ref="I606">(VLOOKUP($A606,'The List'!$B1:$AH671,21,FALSE)-AVERAGE('The List'!V2:V671))/STDEV('The List'!V2:V671)</f>
        <v>0.41737995783028986</v>
      </c>
      <c r="J606" s="55" cm="1">
        <f t="array" ref="J606">(VLOOKUP($A606,'The List'!$B1:$AH671,22,FALSE)-AVERAGE('The List'!W2:W671))/STDEV('The List'!W2:W671)</f>
        <v>0.69514944976013748</v>
      </c>
      <c r="K606" s="55" cm="1">
        <f t="array" ref="K606">(VLOOKUP($A606,'The List'!$B1:$AH671,23,FALSE)-AVERAGE('The List'!X2:X671))/STDEV('The List'!X2:X671)</f>
        <v>0.39443223487530549</v>
      </c>
      <c r="L606" s="55" cm="1">
        <f t="array" ref="L606">(VLOOKUP($A606,'The List'!$B1:$AH671,24,FALSE)-AVERAGE('The List'!Y2:Y671))/STDEV('The List'!Y2:Y671)</f>
        <v>-0.56569022661034529</v>
      </c>
      <c r="M606" s="55" cm="1">
        <f t="array" ref="M606">(VLOOKUP($A606,'The List'!$B1:$AH671,25,FALSE)-AVERAGE('The List'!Z2:Z671))/STDEV('The List'!Z2:Z671)</f>
        <v>-0.70756870995144849</v>
      </c>
      <c r="N606" s="55" cm="1">
        <f t="array" ref="N606">(VLOOKUP($A606,'The List'!$B1:$AH671,26,FALSE)-AVERAGE('The List'!AA2:AA671))/STDEV('The List'!AA2:AA671)</f>
        <v>-0.83085302458066279</v>
      </c>
      <c r="O606" s="55" cm="1">
        <f t="array" ref="O606">(VLOOKUP($A606,'The List'!$B1:$AH671,27,FALSE)-AVERAGE('The List'!AB2:AB671))/STDEV('The List'!AB2:AB671)</f>
        <v>2.4719005711062534E-2</v>
      </c>
      <c r="P606" s="55" cm="1">
        <f t="array" ref="P606">(VLOOKUP($A606,'The List'!$B1:$AH671,28,FALSE)-AVERAGE('The List'!AC2:AC671))/STDEV('The List'!AC2:AC671)</f>
        <v>-0.13402244278069422</v>
      </c>
      <c r="Q606" s="55" cm="1">
        <f t="array" ref="Q606">(VLOOKUP($A606,'The List'!$B1:$AH671,29,FALSE)-AVERAGE('The List'!AD2:AD671))/STDEV('The List'!AD2:AD671)</f>
        <v>-0.16812503104347584</v>
      </c>
      <c r="R606" s="55" cm="1">
        <f t="array" ref="R606">(VLOOKUP($A606,'The List'!$B1:$AH671,30,FALSE)-AVERAGE('The List'!AE2:AE671))/STDEV('The List'!AE2:AE671)</f>
        <v>0.34082629563263284</v>
      </c>
      <c r="S606" s="55" cm="1">
        <f t="array" ref="S606">(VLOOKUP($A606,'The List'!$B1:$AH671,31,FALSE)-AVERAGE('The List'!AF2:AF671))/STDEV('The List'!AF2:AF671)</f>
        <v>-0.16389782898457431</v>
      </c>
      <c r="T606" s="55" cm="1">
        <f t="array" ref="T606">(VLOOKUP($A606,'The List'!$B1:$AH671,32,FALSE)-AVERAGE('The List'!AG2:AG671))/STDEV('The List'!AG2:AG671)</f>
        <v>4.0983554435484883E-2</v>
      </c>
      <c r="U606" s="55" cm="1">
        <f t="array" ref="U606">(VLOOKUP($A606,'The List'!$B1:$AH671,33,FALSE)-AVERAGE('The List'!AH2:AH671))/STDEV('The List'!AH2:AH671)</f>
        <v>0.58386922555444098</v>
      </c>
      <c r="V606" s="55"/>
      <c r="W606" s="78"/>
      <c r="X606" s="57"/>
      <c r="Y606" s="57"/>
      <c r="Z606" s="57"/>
      <c r="AA606" s="57"/>
      <c r="AB606" s="57"/>
      <c r="AC606" s="60"/>
      <c r="AD606" s="61"/>
      <c r="AE606" s="55"/>
    </row>
    <row r="607" spans="1:31" ht="21.25" customHeight="1" x14ac:dyDescent="0.15">
      <c r="A607" s="10" t="s">
        <v>337</v>
      </c>
      <c r="B607" s="18" t="str" cm="1">
        <f t="array" ref="B607">VLOOKUP(A607,'Player Data'!A1:B673,2,FALSE)</f>
        <v>S.J</v>
      </c>
      <c r="C607" s="52" cm="1">
        <f t="array" ref="C607">((E607)*Settings!$C$12)+(F607*Settings!$C$2)+(G607*Settings!$C$3)+(H607*Settings!$C$4)+(I607*Settings!$C$5)+(K607*Settings!$C$9)+(N607*Settings!$C$6)+(J607*Settings!$C$8)+(O607*Settings!$C$7)+(P607*Settings!$C$14)+(Q607*Settings!$C$15)+(R607*Settings!$C$16)+(S607*Settings!$C$17)+(T607*Settings!$C$18)+(U607*Settings!$C$19)+(L607*Settings!$C$10)+(Settings!$C$11*M607)</f>
        <v>-0.30358004572998254</v>
      </c>
      <c r="D607" s="57" cm="1">
        <f t="array" ref="D607">IF(Settings!$E$12="YES",VLOOKUP(A607,'Player Data'!A1:E673,5,FALSE),82)</f>
        <v>78</v>
      </c>
      <c r="E607" s="55" cm="1">
        <f t="array" ref="E607">(VLOOKUP($A607,'The List'!$B1:$AH671,17,FALSE)-AVERAGE('The List'!R2:R671))/STDEV('The List'!R2:R671)</f>
        <v>0.31131170453978002</v>
      </c>
      <c r="F607" s="55" cm="1">
        <f t="array" ref="F607">(VLOOKUP($A607,'The List'!$B1:$AH671,18,FALSE)-AVERAGE('The List'!S2:S671))/STDEV('The List'!S2:S671)</f>
        <v>-0.76123849011046896</v>
      </c>
      <c r="G607" s="55" cm="1">
        <f t="array" ref="G607">(VLOOKUP($A607,'The List'!$B1:$AH671,19,FALSE)-AVERAGE('The List'!T2:T671))/STDEV('The List'!T2:T671)</f>
        <v>6.3544111999026917E-2</v>
      </c>
      <c r="H607" s="55" cm="1">
        <f t="array" ref="H607">(VLOOKUP($A607,'The List'!$B1:$AH671,20,FALSE)-AVERAGE('The List'!U2:U671))/STDEV('The List'!U2:U671)</f>
        <v>-0.29777604755439419</v>
      </c>
      <c r="I607" s="55" cm="1">
        <f t="array" ref="I607">(VLOOKUP($A607,'The List'!$B1:$AH671,21,FALSE)-AVERAGE('The List'!V2:V671))/STDEV('The List'!V2:V671)</f>
        <v>-4.9366319616953105E-2</v>
      </c>
      <c r="J607" s="55" cm="1">
        <f t="array" ref="J607">(VLOOKUP($A607,'The List'!$B1:$AH671,22,FALSE)-AVERAGE('The List'!W2:W671))/STDEV('The List'!W2:W671)</f>
        <v>-0.47725668487126105</v>
      </c>
      <c r="K607" s="55" cm="1">
        <f t="array" ref="K607">(VLOOKUP($A607,'The List'!$B1:$AH671,23,FALSE)-AVERAGE('The List'!X2:X671))/STDEV('The List'!X2:X671)</f>
        <v>-0.31293970575310037</v>
      </c>
      <c r="L607" s="55" cm="1">
        <f t="array" ref="L607">(VLOOKUP($A607,'The List'!$B1:$AH671,24,FALSE)-AVERAGE('The List'!Y2:Y671))/STDEV('The List'!Y2:Y671)</f>
        <v>-0.56569022661034529</v>
      </c>
      <c r="M607" s="55" cm="1">
        <f t="array" ref="M607">(VLOOKUP($A607,'The List'!$B1:$AH671,25,FALSE)-AVERAGE('The List'!Z2:Z671))/STDEV('The List'!Z2:Z671)</f>
        <v>-0.70756870995144849</v>
      </c>
      <c r="N607" s="55" cm="1">
        <f t="array" ref="N607">(VLOOKUP($A607,'The List'!$B1:$AH671,26,FALSE)-AVERAGE('The List'!AA2:AA671))/STDEV('The List'!AA2:AA671)</f>
        <v>0.76399078384733732</v>
      </c>
      <c r="O607" s="55" cm="1">
        <f t="array" ref="O607">(VLOOKUP($A607,'The List'!$B1:$AH671,27,FALSE)-AVERAGE('The List'!AB2:AB671))/STDEV('The List'!AB2:AB671)</f>
        <v>0.20049233128424188</v>
      </c>
      <c r="P607" s="55" cm="1">
        <f t="array" ref="P607">(VLOOKUP($A607,'The List'!$B1:$AH671,28,FALSE)-AVERAGE('The List'!AC2:AC671))/STDEV('The List'!AC2:AC671)</f>
        <v>7.1774848348505806E-3</v>
      </c>
      <c r="Q607" s="55" cm="1">
        <f t="array" ref="Q607">(VLOOKUP($A607,'The List'!$B1:$AH671,29,FALSE)-AVERAGE('The List'!AD2:AD671))/STDEV('The List'!AD2:AD671)</f>
        <v>-1.474791093067483E-2</v>
      </c>
      <c r="R607" s="55" cm="1">
        <f t="array" ref="R607">(VLOOKUP($A607,'The List'!$B1:$AH671,30,FALSE)-AVERAGE('The List'!AE2:AE671))/STDEV('The List'!AE2:AE671)</f>
        <v>-0.80013608990738894</v>
      </c>
      <c r="S607" s="55" cm="1">
        <f t="array" ref="S607">(VLOOKUP($A607,'The List'!$B1:$AH671,31,FALSE)-AVERAGE('The List'!AF2:AF671))/STDEV('The List'!AF2:AF671)</f>
        <v>-0.5939690971349143</v>
      </c>
      <c r="T607" s="55" cm="1">
        <f t="array" ref="T607">(VLOOKUP($A607,'The List'!$B1:$AH671,32,FALSE)-AVERAGE('The List'!AG2:AG671))/STDEV('The List'!AG2:AG671)</f>
        <v>-0.64602208138248207</v>
      </c>
      <c r="U607" s="55" cm="1">
        <f t="array" ref="U607">(VLOOKUP($A607,'The List'!$B1:$AH671,33,FALSE)-AVERAGE('The List'!AH2:AH671))/STDEV('The List'!AH2:AH671)</f>
        <v>-1.2548938914719048</v>
      </c>
      <c r="V607" s="55"/>
      <c r="W607" s="78"/>
      <c r="X607" s="57"/>
      <c r="Y607" s="57"/>
      <c r="Z607" s="57"/>
      <c r="AA607" s="57"/>
      <c r="AB607" s="57"/>
      <c r="AC607" s="60"/>
      <c r="AD607" s="61"/>
      <c r="AE607" s="55"/>
    </row>
    <row r="608" spans="1:31" ht="21.25" customHeight="1" x14ac:dyDescent="0.15">
      <c r="A608" s="24"/>
      <c r="B608" s="18"/>
      <c r="C608" s="52"/>
      <c r="D608" s="57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78"/>
      <c r="X608" s="57"/>
      <c r="Y608" s="57"/>
      <c r="Z608" s="57"/>
      <c r="AA608" s="57"/>
      <c r="AB608" s="57"/>
      <c r="AC608" s="60"/>
      <c r="AD608" s="61"/>
      <c r="AE608" s="55"/>
    </row>
    <row r="609" spans="1:31" ht="21.25" customHeight="1" x14ac:dyDescent="0.15">
      <c r="A609" s="10" t="s">
        <v>225</v>
      </c>
      <c r="B609" s="18" t="str" cm="1">
        <f t="array" ref="B609">VLOOKUP(A609,'Player Data'!A1:B673,2,FALSE)</f>
        <v>ANA</v>
      </c>
      <c r="C609" s="52" cm="1">
        <f t="array" ref="C609">(W609*Settings!$C$29)+(X609*Settings!$C$21)+(Y609*Settings!$C$22)+(AA609*Settings!$C$24)+(AB609*Settings!$C$25)+(Z609*Settings!$C$23)+(AC609*Settings!$C$26)+(AD609*Settings!$C$28)</f>
        <v>-0.19158711635679837</v>
      </c>
      <c r="D609" s="57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 cm="1">
        <f t="array" ref="W609">(VLOOKUP($A609,'The List'!$B1:$AR671,35,FALSE)-AVERAGE('The List'!AJ2:AJ671))/STDEV('The List'!AJ2:AJ671)</f>
        <v>1.2953783830323535</v>
      </c>
      <c r="X609" s="55" cm="1">
        <f t="array" ref="X609">(VLOOKUP($A609,'The List'!$B1:$AR671,36,FALSE)-AVERAGE('The List'!AK2:AK671))/STDEV('The List'!AK2:AK671)</f>
        <v>0.79740432565100627</v>
      </c>
      <c r="Y609" s="55" cm="1">
        <f t="array" ref="Y609">(VLOOKUP($A609,'The List'!$B1:$AR671,37,FALSE)-AVERAGE('The List'!AL2:AL671))/STDEV('The List'!AL2:AL671)*-1</f>
        <v>-1.5674545944884311</v>
      </c>
      <c r="Z609" s="55" cm="1">
        <f t="array" ref="Z609">(VLOOKUP($A609,'The List'!$B1:$AR671,38,FALSE)-AVERAGE('The List'!AM2:AM671))/STDEV('The List'!AM2:AM671)</f>
        <v>1.5567338913511786</v>
      </c>
      <c r="AA609" s="55" cm="1">
        <f t="array" ref="AA609">(VLOOKUP($A609,'The List'!$B1:$AR671,39,FALSE)-AVERAGE('The List'!AN2:AN671))/STDEV('The List'!AN2:AN671)</f>
        <v>-4.4100181333785737E-2</v>
      </c>
      <c r="AB609" s="55" cm="1">
        <f t="array" ref="AB609">(VLOOKUP($A609,'The List'!$B1:$AR671,40,FALSE)-AVERAGE('The List'!AO2:AO671))/STDEV('The List'!AO2:AO671)</f>
        <v>1.4228745813220631</v>
      </c>
      <c r="AC609" s="55" cm="1">
        <f t="array" ref="AC609">(VLOOKUP($A609,'The List'!$B1:$AR671,42,FALSE)-AVERAGE('The List'!AQ2:AQ671))/STDEV('The List'!AQ2:AQ671)</f>
        <v>7.7743971533620684E-2</v>
      </c>
      <c r="AD609" s="55" cm="1">
        <f t="array" ref="AD609">(VLOOKUP($A609,'The List'!$B1:$AR671,43,FALSE)-AVERAGE('The List'!AR2:AR671))/STDEV('The List'!AR2:AR671)*-1</f>
        <v>-1.0667354135414253</v>
      </c>
      <c r="AE609" s="55"/>
    </row>
    <row r="610" spans="1:31" ht="21.25" customHeight="1" x14ac:dyDescent="0.15">
      <c r="A610" s="10" t="s">
        <v>655</v>
      </c>
      <c r="B610" s="18" t="str" cm="1">
        <f t="array" ref="B610">VLOOKUP(A610,'Player Data'!A1:B673,2,FALSE)</f>
        <v>ANA</v>
      </c>
      <c r="C610" s="52" cm="1">
        <f t="array" ref="C610">(W610*Settings!$C$29)+(X610*Settings!$C$21)+(Y610*Settings!$C$22)+(AA610*Settings!$C$24)+(AB610*Settings!$C$25)+(Z610*Settings!$C$23)+(AC610*Settings!$C$26)+(AD610*Settings!$C$28)</f>
        <v>-4.7927880398739511</v>
      </c>
      <c r="D610" s="57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 cm="1">
        <f t="array" ref="W610">(VLOOKUP($A610,'The List'!$B1:$AR671,35,FALSE)-AVERAGE('The List'!AJ2:AJ671))/STDEV('The List'!AJ2:AJ671)</f>
        <v>-1.2686695503925112</v>
      </c>
      <c r="X610" s="55" cm="1">
        <f t="array" ref="X610">(VLOOKUP($A610,'The List'!$B1:$AR671,36,FALSE)-AVERAGE('The List'!AK2:AK671))/STDEV('The List'!AK2:AK671)</f>
        <v>-1.3712296839785239</v>
      </c>
      <c r="Y610" s="55" cm="1">
        <f t="array" ref="Y610">(VLOOKUP($A610,'The List'!$B1:$AR671,37,FALSE)-AVERAGE('The List'!AL2:AL671))/STDEV('The List'!AL2:AL671)*-1</f>
        <v>0.89489279524369247</v>
      </c>
      <c r="Z610" s="55" cm="1">
        <f t="array" ref="Z610">(VLOOKUP($A610,'The List'!$B1:$AR671,38,FALSE)-AVERAGE('The List'!AM2:AM671))/STDEV('The List'!AM2:AM671)</f>
        <v>-0.90055231595049356</v>
      </c>
      <c r="AA610" s="55" cm="1">
        <f t="array" ref="AA610">(VLOOKUP($A610,'The List'!$B1:$AR671,39,FALSE)-AVERAGE('The List'!AN2:AN671))/STDEV('The List'!AN2:AN671)</f>
        <v>-1.6139039461648739</v>
      </c>
      <c r="AB610" s="55" cm="1">
        <f t="array" ref="AB610">(VLOOKUP($A610,'The List'!$B1:$AR671,40,FALSE)-AVERAGE('The List'!AO2:AO671))/STDEV('The List'!AO2:AO671)</f>
        <v>-1.09865997155537</v>
      </c>
      <c r="AC610" s="55" cm="1">
        <f t="array" ref="AC610">(VLOOKUP($A610,'The List'!$B1:$AR671,42,FALSE)-AVERAGE('The List'!AQ2:AQ671))/STDEV('The List'!AQ2:AQ671)</f>
        <v>-1.3805117749948743</v>
      </c>
      <c r="AD610" s="55" cm="1">
        <f t="array" ref="AD610">(VLOOKUP($A610,'The List'!$B1:$AR671,43,FALSE)-AVERAGE('The List'!AR2:AR671))/STDEV('The List'!AR2:AR671)*-1</f>
        <v>-2.0410465809005527</v>
      </c>
      <c r="AE610" s="55"/>
    </row>
    <row r="611" spans="1:31" ht="21.25" customHeight="1" x14ac:dyDescent="0.15">
      <c r="A611" s="10" t="s">
        <v>208</v>
      </c>
      <c r="B611" s="18" t="str" cm="1">
        <f t="array" ref="B611">VLOOKUP(A611,'Player Data'!A1:B673,2,FALSE)</f>
        <v>BOS</v>
      </c>
      <c r="C611" s="52" cm="1">
        <f t="array" ref="C611">(W611*Settings!$C$29)+(X611*Settings!$C$21)+(Y611*Settings!$C$22)+(AA611*Settings!$C$24)+(AB611*Settings!$C$25)+(Z611*Settings!$C$23)+(AC611*Settings!$C$26)+(AD611*Settings!$C$28)</f>
        <v>1.8147480990050213</v>
      </c>
      <c r="D611" s="57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 cm="1">
        <f t="array" ref="W611">(VLOOKUP($A611,'The List'!$B1:$AR671,35,FALSE)-AVERAGE('The List'!AJ2:AJ671))/STDEV('The List'!AJ2:AJ671)</f>
        <v>1.2953783830323535</v>
      </c>
      <c r="X611" s="55" cm="1">
        <f t="array" ref="X611">(VLOOKUP($A611,'The List'!$B1:$AR671,36,FALSE)-AVERAGE('The List'!AK2:AK671))/STDEV('The List'!AK2:AK671)</f>
        <v>0.99259246693055925</v>
      </c>
      <c r="Y611" s="55" cm="1">
        <f t="array" ref="Y611">(VLOOKUP($A611,'The List'!$B1:$AR671,37,FALSE)-AVERAGE('The List'!AL2:AL671))/STDEV('The List'!AL2:AL671)*-1</f>
        <v>-1.3569699490317522</v>
      </c>
      <c r="Z611" s="55" cm="1">
        <f t="array" ref="Z611">(VLOOKUP($A611,'The List'!$B1:$AR671,38,FALSE)-AVERAGE('The List'!AM2:AM671))/STDEV('The List'!AM2:AM671)</f>
        <v>1.3466818823266506</v>
      </c>
      <c r="AA611" s="55" cm="1">
        <f t="array" ref="AA611">(VLOOKUP($A611,'The List'!$B1:$AR671,39,FALSE)-AVERAGE('The List'!AN2:AN671))/STDEV('The List'!AN2:AN671)</f>
        <v>0.83576265494480573</v>
      </c>
      <c r="AB611" s="55" cm="1">
        <f t="array" ref="AB611">(VLOOKUP($A611,'The List'!$B1:$AR671,40,FALSE)-AVERAGE('The List'!AO2:AO671))/STDEV('The List'!AO2:AO671)</f>
        <v>1.3314134783121683</v>
      </c>
      <c r="AC611" s="55" cm="1">
        <f t="array" ref="AC611">(VLOOKUP($A611,'The List'!$B1:$AR671,42,FALSE)-AVERAGE('The List'!AQ2:AQ671))/STDEV('The List'!AQ2:AQ671)</f>
        <v>0.77922072837435907</v>
      </c>
      <c r="AD611" s="55" cm="1">
        <f t="array" ref="AD611">(VLOOKUP($A611,'The List'!$B1:$AR671,43,FALSE)-AVERAGE('The List'!AR2:AR671))/STDEV('The List'!AR2:AR671)*-1</f>
        <v>4.2934903700103007E-2</v>
      </c>
      <c r="AE611" s="55"/>
    </row>
    <row r="612" spans="1:31" ht="21.25" customHeight="1" x14ac:dyDescent="0.15">
      <c r="A612" s="10" t="s">
        <v>618</v>
      </c>
      <c r="B612" s="18" t="str" cm="1">
        <f t="array" ref="B612">VLOOKUP(A612,'Player Data'!A1:B673,2,FALSE)</f>
        <v>BOS</v>
      </c>
      <c r="C612" s="52" cm="1">
        <f t="array" ref="C612">(W612*Settings!$C$29)+(X612*Settings!$C$21)+(Y612*Settings!$C$22)+(AA612*Settings!$C$24)+(AB612*Settings!$C$25)+(Z612*Settings!$C$23)+(AC612*Settings!$C$26)+(AD612*Settings!$C$28)</f>
        <v>-2.0315864042744058</v>
      </c>
      <c r="D612" s="57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 cm="1">
        <f t="array" ref="W612">(VLOOKUP($A612,'The List'!$B1:$AR671,35,FALSE)-AVERAGE('The List'!AJ2:AJ671))/STDEV('The List'!AJ2:AJ671)</f>
        <v>-1.2686695503925112</v>
      </c>
      <c r="X612" s="55" cm="1">
        <f t="array" ref="X612">(VLOOKUP($A612,'The List'!$B1:$AR671,36,FALSE)-AVERAGE('The List'!AK2:AK671))/STDEV('The List'!AK2:AK671)</f>
        <v>-1.2674463855854279</v>
      </c>
      <c r="Y612" s="55" cm="1">
        <f t="array" ref="Y612">(VLOOKUP($A612,'The List'!$B1:$AR671,37,FALSE)-AVERAGE('The List'!AL2:AL671))/STDEV('The List'!AL2:AL671)*-1</f>
        <v>1.0068093831234322</v>
      </c>
      <c r="Z612" s="55" cm="1">
        <f t="array" ref="Z612">(VLOOKUP($A612,'The List'!$B1:$AR671,38,FALSE)-AVERAGE('The List'!AM2:AM671))/STDEV('The List'!AM2:AM671)</f>
        <v>-1.0122388671300431</v>
      </c>
      <c r="AA612" s="55" cm="1">
        <f t="array" ref="AA612">(VLOOKUP($A612,'The List'!$B1:$AR671,39,FALSE)-AVERAGE('The List'!AN2:AN671))/STDEV('The List'!AN2:AN671)</f>
        <v>-1.1433308157943223</v>
      </c>
      <c r="AB612" s="55" cm="1">
        <f t="array" ref="AB612">(VLOOKUP($A612,'The List'!$B1:$AR671,40,FALSE)-AVERAGE('The List'!AO2:AO671))/STDEV('The List'!AO2:AO671)</f>
        <v>-1.08217130322051</v>
      </c>
      <c r="AC612" s="55" cm="1">
        <f t="array" ref="AC612">(VLOOKUP($A612,'The List'!$B1:$AR671,42,FALSE)-AVERAGE('The List'!AQ2:AQ671))/STDEV('The List'!AQ2:AQ671)</f>
        <v>-2.8749534776062669E-2</v>
      </c>
      <c r="AD612" s="55" cm="1">
        <f t="array" ref="AD612">(VLOOKUP($A612,'The List'!$B1:$AR671,43,FALSE)-AVERAGE('The List'!AR2:AR671))/STDEV('The List'!AR2:AR671)*-1</f>
        <v>-0.73539048391291517</v>
      </c>
      <c r="AE612" s="55"/>
    </row>
    <row r="613" spans="1:31" ht="21.25" customHeight="1" x14ac:dyDescent="0.15">
      <c r="A613" s="10" t="s">
        <v>340</v>
      </c>
      <c r="B613" s="18" t="str" cm="1">
        <f t="array" ref="B613">VLOOKUP(A613,'Player Data'!A1:B673,2,FALSE)</f>
        <v>BUF</v>
      </c>
      <c r="C613" s="52" cm="1">
        <f t="array" ref="C613">(W613*Settings!$C$29)+(X613*Settings!$C$21)+(Y613*Settings!$C$22)+(AA613*Settings!$C$24)+(AB613*Settings!$C$25)+(Z613*Settings!$C$23)+(AC613*Settings!$C$26)+(AD613*Settings!$C$28)</f>
        <v>0.34289191579165051</v>
      </c>
      <c r="D613" s="57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 cm="1">
        <f t="array" ref="W613">(VLOOKUP($A613,'The List'!$B1:$AR671,35,FALSE)-AVERAGE('The List'!AJ2:AJ671))/STDEV('The List'!AJ2:AJ671)</f>
        <v>0.44069573855739863</v>
      </c>
      <c r="X613" s="55" cm="1">
        <f t="array" ref="X613">(VLOOKUP($A613,'The List'!$B1:$AR671,36,FALSE)-AVERAGE('The List'!AK2:AK671))/STDEV('The List'!AK2:AK671)</f>
        <v>0.51240823033288352</v>
      </c>
      <c r="Y613" s="55" cm="1">
        <f t="array" ref="Y613">(VLOOKUP($A613,'The List'!$B1:$AR671,37,FALSE)-AVERAGE('The List'!AL2:AL671))/STDEV('The List'!AL2:AL671)*-1</f>
        <v>-0.27447429417148689</v>
      </c>
      <c r="Z613" s="55" cm="1">
        <f t="array" ref="Z613">(VLOOKUP($A613,'The List'!$B1:$AR671,38,FALSE)-AVERAGE('The List'!AM2:AM671))/STDEV('The List'!AM2:AM671)</f>
        <v>0.26641122139384943</v>
      </c>
      <c r="AA613" s="55" cm="1">
        <f t="array" ref="AA613">(VLOOKUP($A613,'The List'!$B1:$AR671,39,FALSE)-AVERAGE('The List'!AN2:AN671))/STDEV('The List'!AN2:AN671)</f>
        <v>0.24317674900464942</v>
      </c>
      <c r="AB613" s="55" cm="1">
        <f t="array" ref="AB613">(VLOOKUP($A613,'The List'!$B1:$AR671,40,FALSE)-AVERAGE('The List'!AO2:AO671))/STDEV('The List'!AO2:AO671)</f>
        <v>0.3289547356020171</v>
      </c>
      <c r="AC613" s="55" cm="1">
        <f t="array" ref="AC613">(VLOOKUP($A613,'The List'!$B1:$AR671,42,FALSE)-AVERAGE('The List'!AQ2:AQ671))/STDEV('The List'!AQ2:AQ671)</f>
        <v>-0.17176648797277863</v>
      </c>
      <c r="AD613" s="55" cm="1">
        <f t="array" ref="AD613">(VLOOKUP($A613,'The List'!$B1:$AR671,43,FALSE)-AVERAGE('The List'!AR2:AR671))/STDEV('The List'!AR2:AR671)*-1</f>
        <v>2.2501734315455916E-3</v>
      </c>
      <c r="AE613" s="55"/>
    </row>
    <row r="614" spans="1:31" ht="21.25" customHeight="1" x14ac:dyDescent="0.15">
      <c r="A614" s="10" t="s">
        <v>452</v>
      </c>
      <c r="B614" s="18" t="str" cm="1">
        <f t="array" ref="B614">VLOOKUP(A614,'Player Data'!A1:B673,2,FALSE)</f>
        <v>BUF</v>
      </c>
      <c r="C614" s="52" cm="1">
        <f t="array" ref="C614">(W614*Settings!$C$29)+(X614*Settings!$C$21)+(Y614*Settings!$C$22)+(AA614*Settings!$C$24)+(AB614*Settings!$C$25)+(Z614*Settings!$C$23)+(AC614*Settings!$C$26)+(AD614*Settings!$C$28)</f>
        <v>-0.27457118912136874</v>
      </c>
      <c r="D614" s="57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 cm="1">
        <f t="array" ref="W614">(VLOOKUP($A614,'The List'!$B1:$AR671,35,FALSE)-AVERAGE('The List'!AJ2:AJ671))/STDEV('The List'!AJ2:AJ671)</f>
        <v>-0.41398690591755627</v>
      </c>
      <c r="X614" s="55" cm="1">
        <f t="array" ref="X614">(VLOOKUP($A614,'The List'!$B1:$AR671,36,FALSE)-AVERAGE('The List'!AK2:AK671))/STDEV('The List'!AK2:AK671)</f>
        <v>-0.27887328791271448</v>
      </c>
      <c r="Y614" s="55" cm="1">
        <f t="array" ref="Y614">(VLOOKUP($A614,'The List'!$B1:$AR671,37,FALSE)-AVERAGE('The List'!AL2:AL671))/STDEV('The List'!AL2:AL671)*-1</f>
        <v>0.47254400739804647</v>
      </c>
      <c r="Z614" s="55" cm="1">
        <f t="array" ref="Z614">(VLOOKUP($A614,'The List'!$B1:$AR671,38,FALSE)-AVERAGE('The List'!AM2:AM671))/STDEV('The List'!AM2:AM671)</f>
        <v>-0.47907163642842715</v>
      </c>
      <c r="AA614" s="55" cm="1">
        <f t="array" ref="AA614">(VLOOKUP($A614,'The List'!$B1:$AR671,39,FALSE)-AVERAGE('The List'!AN2:AN671))/STDEV('The List'!AN2:AN671)</f>
        <v>-0.36322985459696439</v>
      </c>
      <c r="AB614" s="55" cm="1">
        <f t="array" ref="AB614">(VLOOKUP($A614,'The List'!$B1:$AR671,40,FALSE)-AVERAGE('The List'!AO2:AO671))/STDEV('The List'!AO2:AO671)</f>
        <v>-0.36881902737005923</v>
      </c>
      <c r="AC614" s="55" cm="1">
        <f t="array" ref="AC614">(VLOOKUP($A614,'The List'!$B1:$AR671,42,FALSE)-AVERAGE('The List'!AQ2:AQ671))/STDEV('The List'!AQ2:AQ671)</f>
        <v>9.3375802899446886E-2</v>
      </c>
      <c r="AD614" s="55" cm="1">
        <f t="array" ref="AD614">(VLOOKUP($A614,'The List'!$B1:$AR671,43,FALSE)-AVERAGE('The List'!AR2:AR671))/STDEV('The List'!AR2:AR671)*-1</f>
        <v>-8.9073704108101157E-2</v>
      </c>
      <c r="AE614" s="55"/>
    </row>
    <row r="615" spans="1:31" ht="21.25" customHeight="1" x14ac:dyDescent="0.15">
      <c r="A615" s="10" t="s">
        <v>399</v>
      </c>
      <c r="B615" s="18" t="str" cm="1">
        <f t="array" ref="B615">VLOOKUP(A615,'Player Data'!A1:B673,2,FALSE)</f>
        <v>CAR</v>
      </c>
      <c r="C615" s="52" cm="1">
        <f t="array" ref="C615">(W615*Settings!$C$29)+(X615*Settings!$C$21)+(Y615*Settings!$C$22)+(AA615*Settings!$C$24)+(AB615*Settings!$C$25)+(Z615*Settings!$C$23)+(AC615*Settings!$C$26)+(AD615*Settings!$C$28)</f>
        <v>1.3882457032188209</v>
      </c>
      <c r="D615" s="57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 cm="1">
        <f t="array" ref="W615">(VLOOKUP($A615,'The List'!$B1:$AR671,35,FALSE)-AVERAGE('The List'!AJ2:AJ671))/STDEV('The List'!AJ2:AJ671)</f>
        <v>1.335441631992117E-2</v>
      </c>
      <c r="X615" s="55" cm="1">
        <f t="array" ref="X615">(VLOOKUP($A615,'The List'!$B1:$AR671,36,FALSE)-AVERAGE('The List'!AK2:AK671))/STDEV('The List'!AK2:AK671)</f>
        <v>0.54337186831881146</v>
      </c>
      <c r="Y615" s="55" cm="1">
        <f t="array" ref="Y615">(VLOOKUP($A615,'The List'!$B1:$AR671,37,FALSE)-AVERAGE('The List'!AL2:AL671))/STDEV('The List'!AL2:AL671)*-1</f>
        <v>0.55907138694269698</v>
      </c>
      <c r="Z615" s="55" cm="1">
        <f t="array" ref="Z615">(VLOOKUP($A615,'The List'!$B1:$AR671,38,FALSE)-AVERAGE('The List'!AM2:AM671))/STDEV('The List'!AM2:AM671)</f>
        <v>-0.56542116501063655</v>
      </c>
      <c r="AA615" s="55" cm="1">
        <f t="array" ref="AA615">(VLOOKUP($A615,'The List'!$B1:$AR671,39,FALSE)-AVERAGE('The List'!AN2:AN671))/STDEV('The List'!AN2:AN671)</f>
        <v>0.57474866048064721</v>
      </c>
      <c r="AB615" s="55" cm="1">
        <f t="array" ref="AB615">(VLOOKUP($A615,'The List'!$B1:$AR671,40,FALSE)-AVERAGE('The List'!AO2:AO671))/STDEV('The List'!AO2:AO671)</f>
        <v>-0.25115582706457856</v>
      </c>
      <c r="AC615" s="55" cm="1">
        <f t="array" ref="AC615">(VLOOKUP($A615,'The List'!$B1:$AR671,42,FALSE)-AVERAGE('The List'!AQ2:AQ671))/STDEV('The List'!AQ2:AQ671)</f>
        <v>-0.21820498798948088</v>
      </c>
      <c r="AD615" s="55" cm="1">
        <f t="array" ref="AD615">(VLOOKUP($A615,'The List'!$B1:$AR671,43,FALSE)-AVERAGE('The List'!AR2:AR671))/STDEV('The List'!AR2:AR671)*-1</f>
        <v>1.0630788228894903</v>
      </c>
      <c r="AE615" s="55"/>
    </row>
    <row r="616" spans="1:31" ht="21.25" customHeight="1" x14ac:dyDescent="0.15">
      <c r="A616" s="10" t="s">
        <v>431</v>
      </c>
      <c r="B616" s="18" t="str" cm="1">
        <f t="array" ref="B616">VLOOKUP(A616,'Player Data'!A1:B673,2,FALSE)</f>
        <v>CAR</v>
      </c>
      <c r="C616" s="52" cm="1">
        <f t="array" ref="C616">(W616*Settings!$C$29)+(X616*Settings!$C$21)+(Y616*Settings!$C$22)+(AA616*Settings!$C$24)+(AB616*Settings!$C$25)+(Z616*Settings!$C$23)+(AC616*Settings!$C$26)+(AD616*Settings!$C$28)</f>
        <v>0.85884732746221759</v>
      </c>
      <c r="D616" s="57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 cm="1">
        <f t="array" ref="W616">(VLOOKUP($A616,'The List'!$B1:$AR671,35,FALSE)-AVERAGE('The List'!AJ2:AJ671))/STDEV('The List'!AJ2:AJ671)</f>
        <v>1.335441631992117E-2</v>
      </c>
      <c r="X616" s="55" cm="1">
        <f t="array" ref="X616">(VLOOKUP($A616,'The List'!$B1:$AR671,36,FALSE)-AVERAGE('The List'!AK2:AK671))/STDEV('The List'!AK2:AK671)</f>
        <v>0.52551519398462465</v>
      </c>
      <c r="Y616" s="55" cm="1">
        <f t="array" ref="Y616">(VLOOKUP($A616,'The List'!$B1:$AR671,37,FALSE)-AVERAGE('The List'!AL2:AL671))/STDEV('The List'!AL2:AL671)*-1</f>
        <v>0.53981532076148697</v>
      </c>
      <c r="Z616" s="55" cm="1">
        <f t="array" ref="Z616">(VLOOKUP($A616,'The List'!$B1:$AR671,38,FALSE)-AVERAGE('The List'!AM2:AM671))/STDEV('The List'!AM2:AM671)</f>
        <v>-0.54620467832345898</v>
      </c>
      <c r="AA616" s="55" cm="1">
        <f t="array" ref="AA616">(VLOOKUP($A616,'The List'!$B1:$AR671,39,FALSE)-AVERAGE('The List'!AN2:AN671))/STDEV('The List'!AN2:AN671)</f>
        <v>0.52467910290440778</v>
      </c>
      <c r="AB616" s="55" cm="1">
        <f t="array" ref="AB616">(VLOOKUP($A616,'The List'!$B1:$AR671,40,FALSE)-AVERAGE('The List'!AO2:AO671))/STDEV('The List'!AO2:AO671)</f>
        <v>-0.30766353623990667</v>
      </c>
      <c r="AC616" s="55" cm="1">
        <f t="array" ref="AC616">(VLOOKUP($A616,'The List'!$B1:$AR671,42,FALSE)-AVERAGE('The List'!AQ2:AQ671))/STDEV('The List'!AQ2:AQ671)</f>
        <v>-0.64291955922783717</v>
      </c>
      <c r="AD616" s="55" cm="1">
        <f t="array" ref="AD616">(VLOOKUP($A616,'The List'!$B1:$AR671,43,FALSE)-AVERAGE('The List'!AR2:AR671))/STDEV('The List'!AR2:AR671)*-1</f>
        <v>0.97625169270543011</v>
      </c>
      <c r="AE616" s="55"/>
    </row>
    <row r="617" spans="1:31" ht="21.25" customHeight="1" x14ac:dyDescent="0.15">
      <c r="A617" s="10" t="s">
        <v>172</v>
      </c>
      <c r="B617" s="18" t="str" cm="1">
        <f t="array" ref="B617">VLOOKUP(A617,'Player Data'!A1:B673,2,FALSE)</f>
        <v>CBJ</v>
      </c>
      <c r="C617" s="52" cm="1">
        <f t="array" ref="C617">(W617*Settings!$C$29)+(X617*Settings!$C$21)+(Y617*Settings!$C$22)+(AA617*Settings!$C$24)+(AB617*Settings!$C$25)+(Z617*Settings!$C$23)+(AC617*Settings!$C$26)+(AD617*Settings!$C$28)</f>
        <v>3.9636271379962293</v>
      </c>
      <c r="D617" s="57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 cm="1">
        <f t="array" ref="W617">(VLOOKUP($A617,'The List'!$B1:$AR671,35,FALSE)-AVERAGE('The List'!AJ2:AJ671))/STDEV('The List'!AJ2:AJ671)</f>
        <v>1.2953783830323535</v>
      </c>
      <c r="X617" s="55" cm="1">
        <f t="array" ref="X617">(VLOOKUP($A617,'The List'!$B1:$AR671,36,FALSE)-AVERAGE('The List'!AK2:AK671))/STDEV('The List'!AK2:AK671)</f>
        <v>1.3853938760298463</v>
      </c>
      <c r="Y617" s="55" cm="1">
        <f t="array" ref="Y617">(VLOOKUP($A617,'The List'!$B1:$AR671,37,FALSE)-AVERAGE('The List'!AL2:AL671))/STDEV('The List'!AL2:AL671)*-1</f>
        <v>-0.93338547926247761</v>
      </c>
      <c r="Z617" s="55" cm="1">
        <f t="array" ref="Z617">(VLOOKUP($A617,'The List'!$B1:$AR671,38,FALSE)-AVERAGE('The List'!AM2:AM671))/STDEV('The List'!AM2:AM671)</f>
        <v>0.92396806073851978</v>
      </c>
      <c r="AA617" s="55" cm="1">
        <f t="array" ref="AA617">(VLOOKUP($A617,'The List'!$B1:$AR671,39,FALSE)-AVERAGE('The List'!AN2:AN671))/STDEV('The List'!AN2:AN671)</f>
        <v>1.5710526622900811</v>
      </c>
      <c r="AB617" s="55" cm="1">
        <f t="array" ref="AB617">(VLOOKUP($A617,'The List'!$B1:$AR671,40,FALSE)-AVERAGE('The List'!AO2:AO671))/STDEV('The List'!AO2:AO671)</f>
        <v>1.3178133745021194</v>
      </c>
      <c r="AC617" s="55" cm="1">
        <f t="array" ref="AC617">(VLOOKUP($A617,'The List'!$B1:$AR671,42,FALSE)-AVERAGE('The List'!AQ2:AQ671))/STDEV('The List'!AQ2:AQ671)</f>
        <v>1.6079612074367782</v>
      </c>
      <c r="AD617" s="55" cm="1">
        <f t="array" ref="AD617">(VLOOKUP($A617,'The List'!$B1:$AR671,43,FALSE)-AVERAGE('The List'!AR2:AR671))/STDEV('The List'!AR2:AR671)*-1</f>
        <v>0.97027205452960474</v>
      </c>
      <c r="AE617" s="55"/>
    </row>
    <row r="618" spans="1:31" ht="21.25" customHeight="1" x14ac:dyDescent="0.15">
      <c r="A618" s="10" t="s">
        <v>662</v>
      </c>
      <c r="B618" s="18" t="str" cm="1">
        <f t="array" ref="B618">VLOOKUP(A618,'Player Data'!A1:B673,2,FALSE)</f>
        <v>CBJ</v>
      </c>
      <c r="C618" s="52" cm="1">
        <f t="array" ref="C618">(W618*Settings!$C$29)+(X618*Settings!$C$21)+(Y618*Settings!$C$22)+(AA618*Settings!$C$24)+(AB618*Settings!$C$25)+(Z618*Settings!$C$23)+(AC618*Settings!$C$26)+(AD618*Settings!$C$28)</f>
        <v>-2.8893554805299377</v>
      </c>
      <c r="D618" s="57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 cm="1">
        <f t="array" ref="W618">(VLOOKUP($A618,'The List'!$B1:$AR671,35,FALSE)-AVERAGE('The List'!AJ2:AJ671))/STDEV('The List'!AJ2:AJ671)</f>
        <v>-1.2686695503925112</v>
      </c>
      <c r="X618" s="55" cm="1">
        <f t="array" ref="X618">(VLOOKUP($A618,'The List'!$B1:$AR671,36,FALSE)-AVERAGE('The List'!AK2:AK671))/STDEV('The List'!AK2:AK671)</f>
        <v>-1.1582176830203115</v>
      </c>
      <c r="Y618" s="55" cm="1">
        <f t="array" ref="Y618">(VLOOKUP($A618,'The List'!$B1:$AR671,37,FALSE)-AVERAGE('The List'!AL2:AL671))/STDEV('The List'!AL2:AL671)*-1</f>
        <v>1.1245981206071503</v>
      </c>
      <c r="Z618" s="55" cm="1">
        <f t="array" ref="Z618">(VLOOKUP($A618,'The List'!$B1:$AR671,38,FALSE)-AVERAGE('The List'!AM2:AM671))/STDEV('The List'!AM2:AM671)</f>
        <v>-1.1297854981217432</v>
      </c>
      <c r="AA618" s="55" cm="1">
        <f t="array" ref="AA618">(VLOOKUP($A618,'The List'!$B1:$AR671,39,FALSE)-AVERAGE('The List'!AN2:AN671))/STDEV('The List'!AN2:AN671)</f>
        <v>-0.99379896004492962</v>
      </c>
      <c r="AB618" s="55" cm="1">
        <f t="array" ref="AB618">(VLOOKUP($A618,'The List'!$B1:$AR671,40,FALSE)-AVERAGE('The List'!AO2:AO671))/STDEV('The List'!AO2:AO671)</f>
        <v>-1.2845753132210349</v>
      </c>
      <c r="AC618" s="55" cm="1">
        <f t="array" ref="AC618">(VLOOKUP($A618,'The List'!$B1:$AR671,42,FALSE)-AVERAGE('The List'!AQ2:AQ671))/STDEV('The List'!AQ2:AQ671)</f>
        <v>-1.4106396364952405</v>
      </c>
      <c r="AD618" s="55" cm="1">
        <f t="array" ref="AD618">(VLOOKUP($A618,'The List'!$B1:$AR671,43,FALSE)-AVERAGE('The List'!AR2:AR671))/STDEV('The List'!AR2:AR671)*-1</f>
        <v>-0.32049816101438577</v>
      </c>
      <c r="AE618" s="55"/>
    </row>
    <row r="619" spans="1:31" ht="21.25" customHeight="1" x14ac:dyDescent="0.15">
      <c r="A619" s="10" t="s">
        <v>205</v>
      </c>
      <c r="B619" s="18" t="str" cm="1">
        <f t="array" ref="B619">VLOOKUP(A619,'Player Data'!A1:B673,2,FALSE)</f>
        <v>CGY</v>
      </c>
      <c r="C619" s="52" cm="1">
        <f t="array" ref="C619">(W619*Settings!$C$29)+(X619*Settings!$C$21)+(Y619*Settings!$C$22)+(AA619*Settings!$C$24)+(AB619*Settings!$C$25)+(Z619*Settings!$C$23)+(AC619*Settings!$C$26)+(AD619*Settings!$C$28)</f>
        <v>0.32145819714177515</v>
      </c>
      <c r="D619" s="57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 cm="1">
        <f t="array" ref="W619">(VLOOKUP($A619,'The List'!$B1:$AR671,35,FALSE)-AVERAGE('The List'!AJ2:AJ671))/STDEV('The List'!AJ2:AJ671)</f>
        <v>1.2953783830323535</v>
      </c>
      <c r="X619" s="55" cm="1">
        <f t="array" ref="X619">(VLOOKUP($A619,'The List'!$B1:$AR671,36,FALSE)-AVERAGE('The List'!AK2:AK671))/STDEV('The List'!AK2:AK671)</f>
        <v>-1.736596675333367E-2</v>
      </c>
      <c r="Y619" s="55" cm="1">
        <f t="array" ref="Y619">(VLOOKUP($A619,'The List'!$B1:$AR671,37,FALSE)-AVERAGE('The List'!AL2:AL671))/STDEV('The List'!AL2:AL671)*-1</f>
        <v>-2.4460768048395498</v>
      </c>
      <c r="Z619" s="55" cm="1">
        <f t="array" ref="Z619">(VLOOKUP($A619,'The List'!$B1:$AR671,38,FALSE)-AVERAGE('The List'!AM2:AM671))/STDEV('The List'!AM2:AM671)</f>
        <v>2.4335501553469561</v>
      </c>
      <c r="AA619" s="55" cm="1">
        <f t="array" ref="AA619">(VLOOKUP($A619,'The List'!$B1:$AR671,39,FALSE)-AVERAGE('The List'!AN2:AN671))/STDEV('The List'!AN2:AN671)</f>
        <v>0.26055304310279154</v>
      </c>
      <c r="AB619" s="55" cm="1">
        <f t="array" ref="AB619">(VLOOKUP($A619,'The List'!$B1:$AR671,40,FALSE)-AVERAGE('The List'!AO2:AO671))/STDEV('The List'!AO2:AO671)</f>
        <v>1.597824427002219</v>
      </c>
      <c r="AC619" s="55" cm="1">
        <f t="array" ref="AC619">(VLOOKUP($A619,'The List'!$B1:$AR671,42,FALSE)-AVERAGE('The List'!AQ2:AQ671))/STDEV('The List'!AQ2:AQ671)</f>
        <v>1.0213353253485116</v>
      </c>
      <c r="AD619" s="55" cm="1">
        <f t="array" ref="AD619">(VLOOKUP($A619,'The List'!$B1:$AR671,43,FALSE)-AVERAGE('The List'!AR2:AR671))/STDEV('The List'!AR2:AR671)*-1</f>
        <v>-0.68251116145340274</v>
      </c>
      <c r="AE619" s="55"/>
    </row>
    <row r="620" spans="1:31" ht="21.25" customHeight="1" x14ac:dyDescent="0.15">
      <c r="A620" s="10" t="s">
        <v>638</v>
      </c>
      <c r="B620" s="18" t="str" cm="1">
        <f t="array" ref="B620">VLOOKUP(A620,'Player Data'!A1:B673,2,FALSE)</f>
        <v>CGY</v>
      </c>
      <c r="C620" s="52" cm="1">
        <f t="array" ref="C620">(W620*Settings!$C$29)+(X620*Settings!$C$21)+(Y620*Settings!$C$22)+(AA620*Settings!$C$24)+(AB620*Settings!$C$25)+(Z620*Settings!$C$23)+(AC620*Settings!$C$26)+(AD620*Settings!$C$28)</f>
        <v>-3.4177941623139456</v>
      </c>
      <c r="D620" s="57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 cm="1">
        <f t="array" ref="W620">(VLOOKUP($A620,'The List'!$B1:$AR671,35,FALSE)-AVERAGE('The List'!AJ2:AJ671))/STDEV('The List'!AJ2:AJ671)</f>
        <v>-1.2686695503925112</v>
      </c>
      <c r="X620" s="55" cm="1">
        <f t="array" ref="X620">(VLOOKUP($A620,'The List'!$B1:$AR671,36,FALSE)-AVERAGE('The List'!AK2:AK671))/STDEV('The List'!AK2:AK671)</f>
        <v>-1.7032534626845912</v>
      </c>
      <c r="Y620" s="55" cm="1">
        <f t="array" ref="Y620">(VLOOKUP($A620,'The List'!$B1:$AR671,37,FALSE)-AVERAGE('The List'!AL2:AL671))/STDEV('The List'!AL2:AL671)*-1</f>
        <v>0.53684897718179747</v>
      </c>
      <c r="Z620" s="55" cm="1">
        <f t="array" ref="Z620">(VLOOKUP($A620,'The List'!$B1:$AR671,38,FALSE)-AVERAGE('The List'!AM2:AM671))/STDEV('The List'!AM2:AM671)</f>
        <v>-0.54324443185506088</v>
      </c>
      <c r="AA620" s="55" cm="1">
        <f t="array" ref="AA620">(VLOOKUP($A620,'The List'!$B1:$AR671,39,FALSE)-AVERAGE('The List'!AN2:AN671))/STDEV('The List'!AN2:AN671)</f>
        <v>-1.3645659203982063</v>
      </c>
      <c r="AB620" s="55" cm="1">
        <f t="array" ref="AB620">(VLOOKUP($A620,'The List'!$B1:$AR671,40,FALSE)-AVERAGE('The List'!AO2:AO671))/STDEV('The List'!AO2:AO671)</f>
        <v>-1.0536850648374856</v>
      </c>
      <c r="AC620" s="55" cm="1">
        <f t="array" ref="AC620">(VLOOKUP($A620,'The List'!$B1:$AR671,42,FALSE)-AVERAGE('The List'!AQ2:AQ671))/STDEV('The List'!AQ2:AQ671)</f>
        <v>-0.36530946589228169</v>
      </c>
      <c r="AD620" s="55" cm="1">
        <f t="array" ref="AD620">(VLOOKUP($A620,'The List'!$B1:$AR671,43,FALSE)-AVERAGE('The List'!AR2:AR671))/STDEV('The List'!AR2:AR671)*-1</f>
        <v>-1.3492312337370729</v>
      </c>
      <c r="AE620" s="55"/>
    </row>
    <row r="621" spans="1:31" ht="21.25" customHeight="1" x14ac:dyDescent="0.15">
      <c r="A621" s="10" t="s">
        <v>199</v>
      </c>
      <c r="B621" s="18" t="str" cm="1">
        <f t="array" ref="B621">VLOOKUP(A621,'Player Data'!A1:B673,2,FALSE)</f>
        <v>CHI</v>
      </c>
      <c r="C621" s="52" cm="1">
        <f t="array" ref="C621">(W621*Settings!$C$29)+(X621*Settings!$C$21)+(Y621*Settings!$C$22)+(AA621*Settings!$C$24)+(AB621*Settings!$C$25)+(Z621*Settings!$C$23)+(AC621*Settings!$C$26)+(AD621*Settings!$C$28)</f>
        <v>-0.36270500786075988</v>
      </c>
      <c r="D621" s="57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 cm="1">
        <f t="array" ref="W621">(VLOOKUP($A621,'The List'!$B1:$AR671,35,FALSE)-AVERAGE('The List'!AJ2:AJ671))/STDEV('The List'!AJ2:AJ671)</f>
        <v>1.2953783830323535</v>
      </c>
      <c r="X621" s="55" cm="1">
        <f t="array" ref="X621">(VLOOKUP($A621,'The List'!$B1:$AR671,36,FALSE)-AVERAGE('The List'!AK2:AK671))/STDEV('The List'!AK2:AK671)</f>
        <v>0.25280360877511088</v>
      </c>
      <c r="Y621" s="55" cm="1">
        <f t="array" ref="Y621">(VLOOKUP($A621,'The List'!$B1:$AR671,37,FALSE)-AVERAGE('The List'!AL2:AL671))/STDEV('The List'!AL2:AL671)*-1</f>
        <v>-2.1547345801249724</v>
      </c>
      <c r="Z621" s="55" cm="1">
        <f t="array" ref="Z621">(VLOOKUP($A621,'The List'!$B1:$AR671,38,FALSE)-AVERAGE('The List'!AM2:AM671))/STDEV('The List'!AM2:AM671)</f>
        <v>2.1428067641500035</v>
      </c>
      <c r="AA621" s="55" cm="1">
        <f t="array" ref="AA621">(VLOOKUP($A621,'The List'!$B1:$AR671,39,FALSE)-AVERAGE('The List'!AN2:AN671))/STDEV('The List'!AN2:AN671)</f>
        <v>-0.34483251459824571</v>
      </c>
      <c r="AB621" s="55" cm="1">
        <f t="array" ref="AB621">(VLOOKUP($A621,'The List'!$B1:$AR671,40,FALSE)-AVERAGE('The List'!AO2:AO671))/STDEV('The List'!AO2:AO671)</f>
        <v>1.7445170725276724</v>
      </c>
      <c r="AC621" s="55" cm="1">
        <f t="array" ref="AC621">(VLOOKUP($A621,'The List'!$B1:$AR671,42,FALSE)-AVERAGE('The List'!AQ2:AQ671))/STDEV('The List'!AQ2:AQ671)</f>
        <v>0.83050607760549966</v>
      </c>
      <c r="AD621" s="55" cm="1">
        <f t="array" ref="AD621">(VLOOKUP($A621,'The List'!$B1:$AR671,43,FALSE)-AVERAGE('The List'!AR2:AR671))/STDEV('The List'!AR2:AR671)*-1</f>
        <v>-1.4460146942413703</v>
      </c>
      <c r="AE621" s="55"/>
    </row>
    <row r="622" spans="1:31" ht="21.25" customHeight="1" x14ac:dyDescent="0.15">
      <c r="A622" s="10" t="s">
        <v>665</v>
      </c>
      <c r="B622" s="18" t="str" cm="1">
        <f t="array" ref="B622">VLOOKUP(A622,'Player Data'!A1:B673,2,FALSE)</f>
        <v>CHI</v>
      </c>
      <c r="C622" s="52" cm="1">
        <f t="array" ref="C622">(W622*Settings!$C$29)+(X622*Settings!$C$21)+(Y622*Settings!$C$22)+(AA622*Settings!$C$24)+(AB622*Settings!$C$25)+(Z622*Settings!$C$23)+(AC622*Settings!$C$26)+(AD622*Settings!$C$28)</f>
        <v>-5.5964307675491582</v>
      </c>
      <c r="D622" s="57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 cm="1">
        <f t="array" ref="W622">(VLOOKUP($A622,'The List'!$B1:$AR671,35,FALSE)-AVERAGE('The List'!AJ2:AJ671))/STDEV('The List'!AJ2:AJ671)</f>
        <v>-1.2686695503925112</v>
      </c>
      <c r="X622" s="55" cm="1">
        <f t="array" ref="X622">(VLOOKUP($A622,'The List'!$B1:$AR671,36,FALSE)-AVERAGE('The List'!AK2:AK671))/STDEV('The List'!AK2:AK671)</f>
        <v>-1.6172396156177102</v>
      </c>
      <c r="Y622" s="55" cm="1">
        <f t="array" ref="Y622">(VLOOKUP($A622,'The List'!$B1:$AR671,37,FALSE)-AVERAGE('The List'!AL2:AL671))/STDEV('The List'!AL2:AL671)*-1</f>
        <v>0.62960355738095108</v>
      </c>
      <c r="Z622" s="55" cm="1">
        <f t="array" ref="Z622">(VLOOKUP($A622,'The List'!$B1:$AR671,38,FALSE)-AVERAGE('The List'!AM2:AM671))/STDEV('The List'!AM2:AM671)</f>
        <v>-0.63580836151740694</v>
      </c>
      <c r="AA622" s="55" cm="1">
        <f t="array" ref="AA622">(VLOOKUP($A622,'The List'!$B1:$AR671,39,FALSE)-AVERAGE('The List'!AN2:AN671))/STDEV('The List'!AN2:AN671)</f>
        <v>-1.7705965204637075</v>
      </c>
      <c r="AB622" s="55" cm="1">
        <f t="array" ref="AB622">(VLOOKUP($A622,'The List'!$B1:$AR671,40,FALSE)-AVERAGE('The List'!AO2:AO671))/STDEV('The List'!AO2:AO671)</f>
        <v>-1.0668214088386316</v>
      </c>
      <c r="AC622" s="55" cm="1">
        <f t="array" ref="AC622">(VLOOKUP($A622,'The List'!$B1:$AR671,42,FALSE)-AVERAGE('The List'!AQ2:AQ671))/STDEV('The List'!AQ2:AQ671)</f>
        <v>-1.5033840592590888</v>
      </c>
      <c r="AD622" s="55" cm="1">
        <f t="array" ref="AD622">(VLOOKUP($A622,'The List'!$B1:$AR671,43,FALSE)-AVERAGE('The List'!AR2:AR671))/STDEV('The List'!AR2:AR671)*-1</f>
        <v>-2.4758070926723592</v>
      </c>
      <c r="AE622" s="55"/>
    </row>
    <row r="623" spans="1:31" ht="21.25" customHeight="1" x14ac:dyDescent="0.15">
      <c r="A623" s="10" t="s">
        <v>237</v>
      </c>
      <c r="B623" s="18" t="str" cm="1">
        <f t="array" ref="B623">VLOOKUP(A623,'Player Data'!A1:B673,2,FALSE)</f>
        <v>COL</v>
      </c>
      <c r="C623" s="52" cm="1">
        <f t="array" ref="C623">(W623*Settings!$C$29)+(X623*Settings!$C$21)+(Y623*Settings!$C$22)+(AA623*Settings!$C$24)+(AB623*Settings!$C$25)+(Z623*Settings!$C$23)+(AC623*Settings!$C$26)+(AD623*Settings!$C$28)</f>
        <v>3.8421897123534583</v>
      </c>
      <c r="D623" s="57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 cm="1">
        <f t="array" ref="W623">(VLOOKUP($A623,'The List'!$B1:$AR671,35,FALSE)-AVERAGE('The List'!AJ2:AJ671))/STDEV('The List'!AJ2:AJ671)</f>
        <v>0.44069573855739863</v>
      </c>
      <c r="X623" s="55" cm="1">
        <f t="array" ref="X623">(VLOOKUP($A623,'The List'!$B1:$AR671,36,FALSE)-AVERAGE('The List'!AK2:AK671))/STDEV('The List'!AK2:AK671)</f>
        <v>1.0275295948082757</v>
      </c>
      <c r="Y623" s="55" cm="1">
        <f t="array" ref="Y623">(VLOOKUP($A623,'The List'!$B1:$AR671,37,FALSE)-AVERAGE('The List'!AL2:AL671))/STDEV('The List'!AL2:AL671)*-1</f>
        <v>0.28101610118751252</v>
      </c>
      <c r="Z623" s="55" cm="1">
        <f t="array" ref="Z623">(VLOOKUP($A623,'The List'!$B1:$AR671,38,FALSE)-AVERAGE('The List'!AM2:AM671))/STDEV('The List'!AM2:AM671)</f>
        <v>-0.28793740240154775</v>
      </c>
      <c r="AA623" s="55" cm="1">
        <f t="array" ref="AA623">(VLOOKUP($A623,'The List'!$B1:$AR671,39,FALSE)-AVERAGE('The List'!AN2:AN671))/STDEV('The List'!AN2:AN671)</f>
        <v>1.038229289410836</v>
      </c>
      <c r="AB623" s="55" cm="1">
        <f t="array" ref="AB623">(VLOOKUP($A623,'The List'!$B1:$AR671,40,FALSE)-AVERAGE('The List'!AO2:AO671))/STDEV('The List'!AO2:AO671)</f>
        <v>0.45473796085080975</v>
      </c>
      <c r="AC623" s="55" cm="1">
        <f t="array" ref="AC623">(VLOOKUP($A623,'The List'!$B1:$AR671,42,FALSE)-AVERAGE('The List'!AQ2:AQ671))/STDEV('The List'!AQ2:AQ671)</f>
        <v>1.5868769718829567</v>
      </c>
      <c r="AD623" s="55" cm="1">
        <f t="array" ref="AD623">(VLOOKUP($A623,'The List'!$B1:$AR671,43,FALSE)-AVERAGE('The List'!AR2:AR671))/STDEV('The List'!AR2:AR671)*-1</f>
        <v>1.2277831456622261</v>
      </c>
      <c r="AE623" s="55"/>
    </row>
    <row r="624" spans="1:31" ht="21.25" customHeight="1" x14ac:dyDescent="0.15">
      <c r="A624" s="10" t="s">
        <v>417</v>
      </c>
      <c r="B624" s="18" t="str" cm="1">
        <f t="array" ref="B624">VLOOKUP(A624,'Player Data'!A1:B673,2,FALSE)</f>
        <v>COL</v>
      </c>
      <c r="C624" s="52" cm="1">
        <f t="array" ref="C624">(W624*Settings!$C$29)+(X624*Settings!$C$21)+(Y624*Settings!$C$22)+(AA624*Settings!$C$24)+(AB624*Settings!$C$25)+(Z624*Settings!$C$23)+(AC624*Settings!$C$26)+(AD624*Settings!$C$28)</f>
        <v>1.7739401506953845</v>
      </c>
      <c r="D624" s="57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 cm="1">
        <f t="array" ref="W624">(VLOOKUP($A624,'The List'!$B1:$AR671,35,FALSE)-AVERAGE('The List'!AJ2:AJ671))/STDEV('The List'!AJ2:AJ671)</f>
        <v>-0.41398690591755627</v>
      </c>
      <c r="X624" s="55" cm="1">
        <f t="array" ref="X624">(VLOOKUP($A624,'The List'!$B1:$AR671,36,FALSE)-AVERAGE('The List'!AK2:AK671))/STDEV('The List'!AK2:AK671)</f>
        <v>0.11348925214710008</v>
      </c>
      <c r="Y624" s="55" cm="1">
        <f t="array" ref="Y624">(VLOOKUP($A624,'The List'!$B1:$AR671,37,FALSE)-AVERAGE('The List'!AL2:AL671))/STDEV('The List'!AL2:AL671)*-1</f>
        <v>0.89565521483914323</v>
      </c>
      <c r="Z624" s="55" cm="1">
        <f t="array" ref="Z624">(VLOOKUP($A624,'The List'!$B1:$AR671,38,FALSE)-AVERAGE('The List'!AM2:AM671))/STDEV('The List'!AM2:AM671)</f>
        <v>-0.90131316844590237</v>
      </c>
      <c r="AA624" s="55" cm="1">
        <f t="array" ref="AA624">(VLOOKUP($A624,'The List'!$B1:$AR671,39,FALSE)-AVERAGE('The List'!AN2:AN671))/STDEV('The List'!AN2:AN671)</f>
        <v>0.23375074481540031</v>
      </c>
      <c r="AB624" s="55" cm="1">
        <f t="array" ref="AB624">(VLOOKUP($A624,'The List'!$B1:$AR671,40,FALSE)-AVERAGE('The List'!AO2:AO671))/STDEV('The List'!AO2:AO671)</f>
        <v>-0.48496759025268654</v>
      </c>
      <c r="AC624" s="55" cm="1">
        <f t="array" ref="AC624">(VLOOKUP($A624,'The List'!$B1:$AR671,42,FALSE)-AVERAGE('The List'!AQ2:AQ671))/STDEV('The List'!AQ2:AQ671)</f>
        <v>0.56639081308804062</v>
      </c>
      <c r="AD624" s="55" cm="1">
        <f t="array" ref="AD624">(VLOOKUP($A624,'The List'!$B1:$AR671,43,FALSE)-AVERAGE('The List'!AR2:AR671))/STDEV('The List'!AR2:AR671)*-1</f>
        <v>1.0940600854602438</v>
      </c>
      <c r="AE624" s="55"/>
    </row>
    <row r="625" spans="1:31" ht="21.25" customHeight="1" x14ac:dyDescent="0.15">
      <c r="A625" s="10" t="s">
        <v>194</v>
      </c>
      <c r="B625" s="18" t="str" cm="1">
        <f t="array" ref="B625">VLOOKUP(A625,'Player Data'!A1:B673,2,FALSE)</f>
        <v>DAL</v>
      </c>
      <c r="C625" s="52" cm="1">
        <f t="array" ref="C625">(W625*Settings!$C$29)+(X625*Settings!$C$21)+(Y625*Settings!$C$22)+(AA625*Settings!$C$24)+(AB625*Settings!$C$25)+(Z625*Settings!$C$23)+(AC625*Settings!$C$26)+(AD625*Settings!$C$28)</f>
        <v>4.2489510901467948</v>
      </c>
      <c r="D625" s="57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 cm="1">
        <f t="array" ref="W625">(VLOOKUP($A625,'The List'!$B1:$AR671,35,FALSE)-AVERAGE('The List'!AJ2:AJ671))/STDEV('The List'!AJ2:AJ671)</f>
        <v>1.2953783830323535</v>
      </c>
      <c r="X625" s="55" cm="1">
        <f t="array" ref="X625">(VLOOKUP($A625,'The List'!$B1:$AR671,36,FALSE)-AVERAGE('The List'!AK2:AK671))/STDEV('The List'!AK2:AK671)</f>
        <v>1.8303872350902981</v>
      </c>
      <c r="Y625" s="55" cm="1">
        <f t="array" ref="Y625">(VLOOKUP($A625,'The List'!$B1:$AR671,37,FALSE)-AVERAGE('The List'!AL2:AL671))/STDEV('The List'!AL2:AL671)*-1</f>
        <v>-0.45351888081851405</v>
      </c>
      <c r="Z625" s="55" cm="1">
        <f t="array" ref="Z625">(VLOOKUP($A625,'The List'!$B1:$AR671,38,FALSE)-AVERAGE('The List'!AM2:AM671))/STDEV('The List'!AM2:AM671)</f>
        <v>0.44508779444539992</v>
      </c>
      <c r="AA625" s="55" cm="1">
        <f t="array" ref="AA625">(VLOOKUP($A625,'The List'!$B1:$AR671,39,FALSE)-AVERAGE('The List'!AN2:AN671))/STDEV('The List'!AN2:AN671)</f>
        <v>1.8281431969238424</v>
      </c>
      <c r="AB625" s="55" cm="1">
        <f t="array" ref="AB625">(VLOOKUP($A625,'The List'!$B1:$AR671,40,FALSE)-AVERAGE('The List'!AO2:AO671))/STDEV('The List'!AO2:AO671)</f>
        <v>1.0900710267984999</v>
      </c>
      <c r="AC625" s="55" cm="1">
        <f t="array" ref="AC625">(VLOOKUP($A625,'The List'!$B1:$AR671,42,FALSE)-AVERAGE('The List'!AQ2:AQ671))/STDEV('The List'!AQ2:AQ671)</f>
        <v>1.1240529267344019</v>
      </c>
      <c r="AD625" s="55" cm="1">
        <f t="array" ref="AD625">(VLOOKUP($A625,'The List'!$B1:$AR671,43,FALSE)-AVERAGE('The List'!AR2:AR671))/STDEV('The List'!AR2:AR671)*-1</f>
        <v>1.294510928322095</v>
      </c>
      <c r="AE625" s="55"/>
    </row>
    <row r="626" spans="1:31" ht="21.25" customHeight="1" x14ac:dyDescent="0.15">
      <c r="A626" s="10" t="s">
        <v>613</v>
      </c>
      <c r="B626" s="18" t="str" cm="1">
        <f t="array" ref="B626">VLOOKUP(A626,'Player Data'!A1:B673,2,FALSE)</f>
        <v>DAL</v>
      </c>
      <c r="C626" s="52" cm="1">
        <f t="array" ref="C626">(W626*Settings!$C$29)+(X626*Settings!$C$21)+(Y626*Settings!$C$22)+(AA626*Settings!$C$24)+(AB626*Settings!$C$25)+(Z626*Settings!$C$23)+(AC626*Settings!$C$26)+(AD626*Settings!$C$28)</f>
        <v>-0.25059708088020327</v>
      </c>
      <c r="D626" s="57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 cm="1">
        <f t="array" ref="W626">(VLOOKUP($A626,'The List'!$B1:$AR671,35,FALSE)-AVERAGE('The List'!AJ2:AJ671))/STDEV('The List'!AJ2:AJ671)</f>
        <v>-1.2686695503925112</v>
      </c>
      <c r="X626" s="55" cm="1">
        <f t="array" ref="X626">(VLOOKUP($A626,'The List'!$B1:$AR671,36,FALSE)-AVERAGE('The List'!AK2:AK671))/STDEV('The List'!AK2:AK671)</f>
        <v>-0.8898992271040943</v>
      </c>
      <c r="Y626" s="55" cm="1">
        <f t="array" ref="Y626">(VLOOKUP($A626,'The List'!$B1:$AR671,37,FALSE)-AVERAGE('The List'!AL2:AL671))/STDEV('The List'!AL2:AL671)*-1</f>
        <v>1.4139441571684725</v>
      </c>
      <c r="Z626" s="55" cm="1">
        <f t="array" ref="Z626">(VLOOKUP($A626,'The List'!$B1:$AR671,38,FALSE)-AVERAGE('The List'!AM2:AM671))/STDEV('The List'!AM2:AM671)</f>
        <v>-1.4185368041902537</v>
      </c>
      <c r="AA626" s="55" cm="1">
        <f t="array" ref="AA626">(VLOOKUP($A626,'The List'!$B1:$AR671,39,FALSE)-AVERAGE('The List'!AN2:AN671))/STDEV('The List'!AN2:AN671)</f>
        <v>-0.6858252237819199</v>
      </c>
      <c r="AB626" s="55" cm="1">
        <f t="array" ref="AB626">(VLOOKUP($A626,'The List'!$B1:$AR671,40,FALSE)-AVERAGE('The List'!AO2:AO671))/STDEV('The List'!AO2:AO671)</f>
        <v>-1.2129643260965455</v>
      </c>
      <c r="AC626" s="55" cm="1">
        <f t="array" ref="AC626">(VLOOKUP($A626,'The List'!$B1:$AR671,42,FALSE)-AVERAGE('The List'!AQ2:AQ671))/STDEV('The List'!AQ2:AQ671)</f>
        <v>0.10529383308574079</v>
      </c>
      <c r="AD626" s="55" cm="1">
        <f t="array" ref="AD626">(VLOOKUP($A626,'The List'!$B1:$AR671,43,FALSE)-AVERAGE('The List'!AR2:AR671))/STDEV('The List'!AR2:AR671)*-1</f>
        <v>0.53400831313815023</v>
      </c>
      <c r="AE626" s="55"/>
    </row>
    <row r="627" spans="1:31" ht="21.25" customHeight="1" x14ac:dyDescent="0.15">
      <c r="A627" s="10" t="s">
        <v>209</v>
      </c>
      <c r="B627" s="18" t="str" cm="1">
        <f t="array" ref="B627">VLOOKUP(A627,'Player Data'!A1:B673,2,FALSE)</f>
        <v>DET</v>
      </c>
      <c r="C627" s="52" cm="1">
        <f t="array" ref="C627">(W627*Settings!$C$29)+(X627*Settings!$C$21)+(Y627*Settings!$C$22)+(AA627*Settings!$C$24)+(AB627*Settings!$C$25)+(Z627*Settings!$C$23)+(AC627*Settings!$C$26)+(AD627*Settings!$C$28)</f>
        <v>2.1360162689990396</v>
      </c>
      <c r="D627" s="57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 cm="1">
        <f t="array" ref="W627">(VLOOKUP($A627,'The List'!$B1:$AR671,35,FALSE)-AVERAGE('The List'!AJ2:AJ671))/STDEV('The List'!AJ2:AJ671)</f>
        <v>1.2953783830323535</v>
      </c>
      <c r="X627" s="55" cm="1">
        <f t="array" ref="X627">(VLOOKUP($A627,'The List'!$B1:$AR671,36,FALSE)-AVERAGE('The List'!AK2:AK671))/STDEV('The List'!AK2:AK671)</f>
        <v>0.97965450878370741</v>
      </c>
      <c r="Y627" s="55" cm="1">
        <f t="array" ref="Y627">(VLOOKUP($A627,'The List'!$B1:$AR671,37,FALSE)-AVERAGE('The List'!AL2:AL671))/STDEV('The List'!AL2:AL671)*-1</f>
        <v>-1.3709218290774388</v>
      </c>
      <c r="Z627" s="55" cm="1">
        <f t="array" ref="Z627">(VLOOKUP($A627,'The List'!$B1:$AR671,38,FALSE)-AVERAGE('The List'!AM2:AM671))/STDEV('The List'!AM2:AM671)</f>
        <v>1.3606050852610485</v>
      </c>
      <c r="AA627" s="55" cm="1">
        <f t="array" ref="AA627">(VLOOKUP($A627,'The List'!$B1:$AR671,39,FALSE)-AVERAGE('The List'!AN2:AN671))/STDEV('The List'!AN2:AN671)</f>
        <v>1.034519575830529</v>
      </c>
      <c r="AB627" s="55" cm="1">
        <f t="array" ref="AB627">(VLOOKUP($A627,'The List'!$B1:$AR671,40,FALSE)-AVERAGE('The List'!AO2:AO671))/STDEV('The List'!AO2:AO671)</f>
        <v>1.2880621902634688</v>
      </c>
      <c r="AC627" s="55" cm="1">
        <f t="array" ref="AC627">(VLOOKUP($A627,'The List'!$B1:$AR671,42,FALSE)-AVERAGE('The List'!AQ2:AQ671))/STDEV('The List'!AQ2:AQ671)</f>
        <v>0.86275749492921827</v>
      </c>
      <c r="AD627" s="55" cm="1">
        <f t="array" ref="AD627">(VLOOKUP($A627,'The List'!$B1:$AR671,43,FALSE)-AVERAGE('The List'!AR2:AR671))/STDEV('The List'!AR2:AR671)*-1</f>
        <v>0.29360426528611383</v>
      </c>
      <c r="AE627" s="55"/>
    </row>
    <row r="628" spans="1:31" ht="21.25" customHeight="1" x14ac:dyDescent="0.15">
      <c r="A628" s="10" t="s">
        <v>658</v>
      </c>
      <c r="B628" s="18" t="str" cm="1">
        <f t="array" ref="B628">VLOOKUP(A628,'Player Data'!A1:B673,2,FALSE)</f>
        <v>DET</v>
      </c>
      <c r="C628" s="52" cm="1">
        <f t="array" ref="C628">(W628*Settings!$C$29)+(X628*Settings!$C$21)+(Y628*Settings!$C$22)+(AA628*Settings!$C$24)+(AB628*Settings!$C$25)+(Z628*Settings!$C$23)+(AC628*Settings!$C$26)+(AD628*Settings!$C$28)</f>
        <v>-2.7674955087987909</v>
      </c>
      <c r="D628" s="57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 cm="1">
        <f t="array" ref="W628">(VLOOKUP($A628,'The List'!$B1:$AR671,35,FALSE)-AVERAGE('The List'!AJ2:AJ671))/STDEV('The List'!AJ2:AJ671)</f>
        <v>-1.2686695503925112</v>
      </c>
      <c r="X628" s="55" cm="1">
        <f t="array" ref="X628">(VLOOKUP($A628,'The List'!$B1:$AR671,36,FALSE)-AVERAGE('The List'!AK2:AK671))/STDEV('The List'!AK2:AK671)</f>
        <v>-1.2556963753919934</v>
      </c>
      <c r="Y628" s="55" cm="1">
        <f t="array" ref="Y628">(VLOOKUP($A628,'The List'!$B1:$AR671,37,FALSE)-AVERAGE('The List'!AL2:AL671))/STDEV('The List'!AL2:AL671)*-1</f>
        <v>1.0194802181109701</v>
      </c>
      <c r="Z628" s="55" cm="1">
        <f t="array" ref="Z628">(VLOOKUP($A628,'The List'!$B1:$AR671,38,FALSE)-AVERAGE('The List'!AM2:AM671))/STDEV('The List'!AM2:AM671)</f>
        <v>-1.0248836581045857</v>
      </c>
      <c r="AA628" s="55" cm="1">
        <f t="array" ref="AA628">(VLOOKUP($A628,'The List'!$B1:$AR671,39,FALSE)-AVERAGE('The List'!AN2:AN671))/STDEV('The List'!AN2:AN671)</f>
        <v>-0.9963726089840057</v>
      </c>
      <c r="AB628" s="55" cm="1">
        <f t="array" ref="AB628">(VLOOKUP($A628,'The List'!$B1:$AR671,40,FALSE)-AVERAGE('The List'!AO2:AO671))/STDEV('The List'!AO2:AO671)</f>
        <v>-1.2600013193049731</v>
      </c>
      <c r="AC628" s="55" cm="1">
        <f t="array" ref="AC628">(VLOOKUP($A628,'The List'!$B1:$AR671,42,FALSE)-AVERAGE('The List'!AQ2:AQ671))/STDEV('The List'!AQ2:AQ671)</f>
        <v>-1.1841601047738877</v>
      </c>
      <c r="AD628" s="55" cm="1">
        <f t="array" ref="AD628">(VLOOKUP($A628,'The List'!$B1:$AR671,43,FALSE)-AVERAGE('The List'!AR2:AR671))/STDEV('The List'!AR2:AR671)*-1</f>
        <v>-0.32763902863291</v>
      </c>
      <c r="AE628" s="55"/>
    </row>
    <row r="629" spans="1:31" ht="21.25" customHeight="1" x14ac:dyDescent="0.15">
      <c r="A629" s="10" t="s">
        <v>513</v>
      </c>
      <c r="B629" s="18" t="str" cm="1">
        <f t="array" ref="B629">VLOOKUP(A629,'Player Data'!A1:B673,2,FALSE)</f>
        <v>EDM</v>
      </c>
      <c r="C629" s="52" cm="1">
        <f t="array" ref="C629">(W629*Settings!$C$29)+(X629*Settings!$C$21)+(Y629*Settings!$C$22)+(AA629*Settings!$C$24)+(AB629*Settings!$C$25)+(Z629*Settings!$C$23)+(AC629*Settings!$C$26)+(AD629*Settings!$C$28)</f>
        <v>-0.25262425897227075</v>
      </c>
      <c r="D629" s="57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 cm="1">
        <f t="array" ref="W629">(VLOOKUP($A629,'The List'!$B1:$AR671,35,FALSE)-AVERAGE('The List'!AJ2:AJ671))/STDEV('The List'!AJ2:AJ671)</f>
        <v>-0.41398690591755627</v>
      </c>
      <c r="X629" s="55" cm="1">
        <f t="array" ref="X629">(VLOOKUP($A629,'The List'!$B1:$AR671,36,FALSE)-AVERAGE('The List'!AK2:AK671))/STDEV('The List'!AK2:AK671)</f>
        <v>0.10367791322488071</v>
      </c>
      <c r="Y629" s="55" cm="1">
        <f t="array" ref="Y629">(VLOOKUP($A629,'The List'!$B1:$AR671,37,FALSE)-AVERAGE('The List'!AL2:AL671))/STDEV('The List'!AL2:AL671)*-1</f>
        <v>0.88507498091222148</v>
      </c>
      <c r="Z629" s="55" cm="1">
        <f t="array" ref="Z629">(VLOOKUP($A629,'The List'!$B1:$AR671,38,FALSE)-AVERAGE('The List'!AM2:AM671))/STDEV('The List'!AM2:AM671)</f>
        <v>-0.89075468144806347</v>
      </c>
      <c r="AA629" s="55" cm="1">
        <f t="array" ref="AA629">(VLOOKUP($A629,'The List'!$B1:$AR671,39,FALSE)-AVERAGE('The List'!AN2:AN671))/STDEV('The List'!AN2:AN671)</f>
        <v>-7.2829959598722363E-2</v>
      </c>
      <c r="AB629" s="55" cm="1">
        <f t="array" ref="AB629">(VLOOKUP($A629,'The List'!$B1:$AR671,40,FALSE)-AVERAGE('The List'!AO2:AO671))/STDEV('The List'!AO2:AO671)</f>
        <v>-0.60718279233400352</v>
      </c>
      <c r="AC629" s="55" cm="1">
        <f t="array" ref="AC629">(VLOOKUP($A629,'The List'!$B1:$AR671,42,FALSE)-AVERAGE('The List'!AQ2:AQ671))/STDEV('The List'!AQ2:AQ671)</f>
        <v>-0.84276128874976364</v>
      </c>
      <c r="AD629" s="55" cm="1">
        <f t="array" ref="AD629">(VLOOKUP($A629,'The List'!$B1:$AR671,43,FALSE)-AVERAGE('The List'!AR2:AR671))/STDEV('The List'!AR2:AR671)*-1</f>
        <v>0.48645911655261215</v>
      </c>
      <c r="AE629" s="55"/>
    </row>
    <row r="630" spans="1:31" ht="21.25" customHeight="1" x14ac:dyDescent="0.15">
      <c r="A630" s="10" t="s">
        <v>509</v>
      </c>
      <c r="B630" s="18" t="str" cm="1">
        <f t="array" ref="B630">VLOOKUP(A630,'Player Data'!A1:B673,2,FALSE)</f>
        <v>EDM</v>
      </c>
      <c r="C630" s="52" cm="1">
        <f t="array" ref="C630">(W630*Settings!$C$29)+(X630*Settings!$C$21)+(Y630*Settings!$C$22)+(AA630*Settings!$C$24)+(AB630*Settings!$C$25)+(Z630*Settings!$C$23)+(AC630*Settings!$C$26)+(AD630*Settings!$C$28)</f>
        <v>-0.65492953374268381</v>
      </c>
      <c r="D630" s="57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 cm="1">
        <f t="array" ref="W630">(VLOOKUP($A630,'The List'!$B1:$AR671,35,FALSE)-AVERAGE('The List'!AJ2:AJ671))/STDEV('The List'!AJ2:AJ671)</f>
        <v>-0.41398690591755627</v>
      </c>
      <c r="X630" s="55" cm="1">
        <f t="array" ref="X630">(VLOOKUP($A630,'The List'!$B1:$AR671,36,FALSE)-AVERAGE('The List'!AK2:AK671))/STDEV('The List'!AK2:AK671)</f>
        <v>4.7502795662346012E-2</v>
      </c>
      <c r="Y630" s="55" cm="1">
        <f t="array" ref="Y630">(VLOOKUP($A630,'The List'!$B1:$AR671,37,FALSE)-AVERAGE('The List'!AL2:AL671))/STDEV('The List'!AL2:AL671)*-1</f>
        <v>0.82449753175918561</v>
      </c>
      <c r="Z630" s="55" cm="1">
        <f t="array" ref="Z630">(VLOOKUP($A630,'The List'!$B1:$AR671,38,FALSE)-AVERAGE('The List'!AM2:AM671))/STDEV('The List'!AM2:AM671)</f>
        <v>-0.83030174499482512</v>
      </c>
      <c r="AA630" s="55" cm="1">
        <f t="array" ref="AA630">(VLOOKUP($A630,'The List'!$B1:$AR671,39,FALSE)-AVERAGE('The List'!AN2:AN671))/STDEV('The List'!AN2:AN671)</f>
        <v>-0.23692920298315467</v>
      </c>
      <c r="AB630" s="55" cm="1">
        <f t="array" ref="AB630">(VLOOKUP($A630,'The List'!$B1:$AR671,40,FALSE)-AVERAGE('The List'!AO2:AO671))/STDEV('The List'!AO2:AO671)</f>
        <v>-0.56039077184876063</v>
      </c>
      <c r="AC630" s="55" cm="1">
        <f t="array" ref="AC630">(VLOOKUP($A630,'The List'!$B1:$AR671,42,FALSE)-AVERAGE('The List'!AQ2:AQ671))/STDEV('The List'!AQ2:AQ671)</f>
        <v>-0.86366921950365838</v>
      </c>
      <c r="AD630" s="55" cm="1">
        <f t="array" ref="AD630">(VLOOKUP($A630,'The List'!$B1:$AR671,43,FALSE)-AVERAGE('The List'!AR2:AR671))/STDEV('The List'!AR2:AR671)*-1</f>
        <v>0.16123689009862849</v>
      </c>
      <c r="AE630" s="55"/>
    </row>
    <row r="631" spans="1:31" ht="21.25" customHeight="1" x14ac:dyDescent="0.15">
      <c r="A631" s="10" t="s">
        <v>274</v>
      </c>
      <c r="B631" s="18" t="str" cm="1">
        <f t="array" ref="B631">VLOOKUP(A631,'Player Data'!A1:B673,2,FALSE)</f>
        <v>FLA</v>
      </c>
      <c r="C631" s="52" cm="1">
        <f t="array" ref="C631">(W631*Settings!$C$29)+(X631*Settings!$C$21)+(Y631*Settings!$C$22)+(AA631*Settings!$C$24)+(AB631*Settings!$C$25)+(Z631*Settings!$C$23)+(AC631*Settings!$C$26)+(AD631*Settings!$C$28)</f>
        <v>1.6770584791441667</v>
      </c>
      <c r="D631" s="57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 cm="1">
        <f t="array" ref="W631">(VLOOKUP($A631,'The List'!$B1:$AR671,35,FALSE)-AVERAGE('The List'!AJ2:AJ671))/STDEV('The List'!AJ2:AJ671)</f>
        <v>1.0389735896898671</v>
      </c>
      <c r="X631" s="55" cm="1">
        <f t="array" ref="X631">(VLOOKUP($A631,'The List'!$B1:$AR671,36,FALSE)-AVERAGE('The List'!AK2:AK671))/STDEV('The List'!AK2:AK671)</f>
        <v>1.3459803282958733</v>
      </c>
      <c r="Y631" s="55" cm="1">
        <f t="array" ref="Y631">(VLOOKUP($A631,'The List'!$B1:$AR671,37,FALSE)-AVERAGE('The List'!AL2:AL671))/STDEV('The List'!AL2:AL671)*-1</f>
        <v>-0.49579449703394846</v>
      </c>
      <c r="Z631" s="55" cm="1">
        <f t="array" ref="Z631">(VLOOKUP($A631,'The List'!$B1:$AR671,38,FALSE)-AVERAGE('The List'!AM2:AM671))/STDEV('The List'!AM2:AM671)</f>
        <v>0.48727651609554451</v>
      </c>
      <c r="AA631" s="55" cm="1">
        <f t="array" ref="AA631">(VLOOKUP($A631,'The List'!$B1:$AR671,39,FALSE)-AVERAGE('The List'!AN2:AN671))/STDEV('The List'!AN2:AN671)</f>
        <v>1.0284189318446508</v>
      </c>
      <c r="AB631" s="55" cm="1">
        <f t="array" ref="AB631">(VLOOKUP($A631,'The List'!$B1:$AR671,40,FALSE)-AVERAGE('The List'!AO2:AO671))/STDEV('The List'!AO2:AO671)</f>
        <v>0.72840115626626656</v>
      </c>
      <c r="AC631" s="55" cm="1">
        <f t="array" ref="AC631">(VLOOKUP($A631,'The List'!$B1:$AR671,42,FALSE)-AVERAGE('The List'!AQ2:AQ671))/STDEV('The List'!AQ2:AQ671)</f>
        <v>-0.19543082481626559</v>
      </c>
      <c r="AD631" s="55" cm="1">
        <f t="array" ref="AD631">(VLOOKUP($A631,'The List'!$B1:$AR671,43,FALSE)-AVERAGE('The List'!AR2:AR671))/STDEV('The List'!AR2:AR671)*-1</f>
        <v>0.52650897566455879</v>
      </c>
      <c r="AE631" s="55"/>
    </row>
    <row r="632" spans="1:31" ht="21.25" customHeight="1" x14ac:dyDescent="0.15">
      <c r="A632" s="10" t="s">
        <v>617</v>
      </c>
      <c r="B632" s="18" t="str" cm="1">
        <f t="array" ref="B632">VLOOKUP(A632,'Player Data'!A1:B673,2,FALSE)</f>
        <v>FLA</v>
      </c>
      <c r="C632" s="52" cm="1">
        <f t="array" ref="C632">(W632*Settings!$C$29)+(X632*Settings!$C$21)+(Y632*Settings!$C$22)+(AA632*Settings!$C$24)+(AB632*Settings!$C$25)+(Z632*Settings!$C$23)+(AC632*Settings!$C$26)+(AD632*Settings!$C$28)</f>
        <v>-1.0119602342246987</v>
      </c>
      <c r="D632" s="57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 cm="1">
        <f t="array" ref="W632">(VLOOKUP($A632,'The List'!$B1:$AR671,35,FALSE)-AVERAGE('The List'!AJ2:AJ671))/STDEV('The List'!AJ2:AJ671)</f>
        <v>-1.0122647570500247</v>
      </c>
      <c r="X632" s="55" cm="1">
        <f t="array" ref="X632">(VLOOKUP($A632,'The List'!$B1:$AR671,36,FALSE)-AVERAGE('The List'!AK2:AK671))/STDEV('The List'!AK2:AK671)</f>
        <v>-0.65868838098322202</v>
      </c>
      <c r="Y632" s="55" cm="1">
        <f t="array" ref="Y632">(VLOOKUP($A632,'The List'!$B1:$AR671,37,FALSE)-AVERAGE('The List'!AL2:AL671))/STDEV('The List'!AL2:AL671)*-1</f>
        <v>1.1831812439295346</v>
      </c>
      <c r="Z632" s="55" cm="1">
        <f t="array" ref="Z632">(VLOOKUP($A632,'The List'!$B1:$AR671,38,FALSE)-AVERAGE('The List'!AM2:AM671))/STDEV('The List'!AM2:AM671)</f>
        <v>-1.1882482079412511</v>
      </c>
      <c r="AA632" s="55" cm="1">
        <f t="array" ref="AA632">(VLOOKUP($A632,'The List'!$B1:$AR671,39,FALSE)-AVERAGE('The List'!AN2:AN671))/STDEV('The List'!AN2:AN671)</f>
        <v>-0.52477373241379244</v>
      </c>
      <c r="AB632" s="55" cm="1">
        <f t="array" ref="AB632">(VLOOKUP($A632,'The List'!$B1:$AR671,40,FALSE)-AVERAGE('The List'!AO2:AO671))/STDEV('The List'!AO2:AO671)</f>
        <v>-1.0939191021362229</v>
      </c>
      <c r="AC632" s="55" cm="1">
        <f t="array" ref="AC632">(VLOOKUP($A632,'The List'!$B1:$AR671,42,FALSE)-AVERAGE('The List'!AQ2:AQ671))/STDEV('The List'!AQ2:AQ671)</f>
        <v>-0.81284946865071328</v>
      </c>
      <c r="AD632" s="55" cm="1">
        <f t="array" ref="AD632">(VLOOKUP($A632,'The List'!$B1:$AR671,43,FALSE)-AVERAGE('The List'!AR2:AR671))/STDEV('The List'!AR2:AR671)*-1</f>
        <v>0.45957761540923653</v>
      </c>
      <c r="AE632" s="55"/>
    </row>
    <row r="633" spans="1:31" ht="21.25" customHeight="1" x14ac:dyDescent="0.15">
      <c r="A633" s="10" t="s">
        <v>298</v>
      </c>
      <c r="B633" s="18" t="str" cm="1">
        <f t="array" ref="B633">VLOOKUP(A633,'Player Data'!A1:B673,2,FALSE)</f>
        <v>L.A</v>
      </c>
      <c r="C633" s="52" cm="1">
        <f t="array" ref="C633">(W633*Settings!$C$29)+(X633*Settings!$C$21)+(Y633*Settings!$C$22)+(AA633*Settings!$C$24)+(AB633*Settings!$C$25)+(Z633*Settings!$C$23)+(AC633*Settings!$C$26)+(AD633*Settings!$C$28)</f>
        <v>1.5543555290151745</v>
      </c>
      <c r="D633" s="57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 cm="1">
        <f t="array" ref="W633">(VLOOKUP($A633,'The List'!$B1:$AR671,35,FALSE)-AVERAGE('The List'!AJ2:AJ671))/STDEV('The List'!AJ2:AJ671)</f>
        <v>0.44069573855739863</v>
      </c>
      <c r="X633" s="55" cm="1">
        <f t="array" ref="X633">(VLOOKUP($A633,'The List'!$B1:$AR671,36,FALSE)-AVERAGE('The List'!AK2:AK671))/STDEV('The List'!AK2:AK671)</f>
        <v>0.29350020356793649</v>
      </c>
      <c r="Y633" s="55" cm="1">
        <f t="array" ref="Y633">(VLOOKUP($A633,'The List'!$B1:$AR671,37,FALSE)-AVERAGE('The List'!AL2:AL671))/STDEV('The List'!AL2:AL671)*-1</f>
        <v>-0.51053770508972596</v>
      </c>
      <c r="Z633" s="55" cm="1">
        <f t="array" ref="Z633">(VLOOKUP($A633,'The List'!$B1:$AR671,38,FALSE)-AVERAGE('The List'!AM2:AM671))/STDEV('The List'!AM2:AM671)</f>
        <v>0.50198942052077145</v>
      </c>
      <c r="AA633" s="55" cm="1">
        <f t="array" ref="AA633">(VLOOKUP($A633,'The List'!$B1:$AR671,39,FALSE)-AVERAGE('The List'!AN2:AN671))/STDEV('The List'!AN2:AN671)</f>
        <v>0.54900386634367493</v>
      </c>
      <c r="AB633" s="55" cm="1">
        <f t="array" ref="AB633">(VLOOKUP($A633,'The List'!$B1:$AR671,40,FALSE)-AVERAGE('The List'!AO2:AO671))/STDEV('The List'!AO2:AO671)</f>
        <v>0.43804870432667692</v>
      </c>
      <c r="AC633" s="55" cm="1">
        <f t="array" ref="AC633">(VLOOKUP($A633,'The List'!$B1:$AR671,42,FALSE)-AVERAGE('The List'!AQ2:AQ671))/STDEV('The List'!AQ2:AQ671)</f>
        <v>0.78718823671377891</v>
      </c>
      <c r="AD633" s="55" cm="1">
        <f t="array" ref="AD633">(VLOOKUP($A633,'The List'!$B1:$AR671,43,FALSE)-AVERAGE('The List'!AR2:AR671))/STDEV('The List'!AR2:AR671)*-1</f>
        <v>0.47366708873345909</v>
      </c>
      <c r="AE633" s="55"/>
    </row>
    <row r="634" spans="1:31" ht="21.25" customHeight="1" x14ac:dyDescent="0.15">
      <c r="A634" s="10" t="s">
        <v>434</v>
      </c>
      <c r="B634" s="18" t="str" cm="1">
        <f t="array" ref="B634">VLOOKUP(A634,'Player Data'!A1:B673,2,FALSE)</f>
        <v>L.A</v>
      </c>
      <c r="C634" s="52" cm="1">
        <f t="array" ref="C634">(W634*Settings!$C$29)+(X634*Settings!$C$21)+(Y634*Settings!$C$22)+(AA634*Settings!$C$24)+(AB634*Settings!$C$25)+(Z634*Settings!$C$23)+(AC634*Settings!$C$26)+(AD634*Settings!$C$28)</f>
        <v>0.35380400086220631</v>
      </c>
      <c r="D634" s="57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 cm="1">
        <f t="array" ref="W634">(VLOOKUP($A634,'The List'!$B1:$AR671,35,FALSE)-AVERAGE('The List'!AJ2:AJ671))/STDEV('The List'!AJ2:AJ671)</f>
        <v>-0.41398690591755627</v>
      </c>
      <c r="X634" s="55" cm="1">
        <f t="array" ref="X634">(VLOOKUP($A634,'The List'!$B1:$AR671,36,FALSE)-AVERAGE('The List'!AK2:AK671))/STDEV('The List'!AK2:AK671)</f>
        <v>-0.46710593369724046</v>
      </c>
      <c r="Y634" s="55" cm="1">
        <f t="array" ref="Y634">(VLOOKUP($A634,'The List'!$B1:$AR671,37,FALSE)-AVERAGE('The List'!AL2:AL671))/STDEV('The List'!AL2:AL671)*-1</f>
        <v>0.26955994570453984</v>
      </c>
      <c r="Z634" s="55" cm="1">
        <f t="array" ref="Z634">(VLOOKUP($A634,'The List'!$B1:$AR671,38,FALSE)-AVERAGE('The List'!AM2:AM671))/STDEV('The List'!AM2:AM671)</f>
        <v>-0.27650479424301722</v>
      </c>
      <c r="AA634" s="55" cm="1">
        <f t="array" ref="AA634">(VLOOKUP($A634,'The List'!$B1:$AR671,39,FALSE)-AVERAGE('The List'!AN2:AN671))/STDEV('The List'!AN2:AN671)</f>
        <v>-0.17489268145680181</v>
      </c>
      <c r="AB634" s="55" cm="1">
        <f t="array" ref="AB634">(VLOOKUP($A634,'The List'!$B1:$AR671,40,FALSE)-AVERAGE('The List'!AO2:AO671))/STDEV('The List'!AO2:AO671)</f>
        <v>-0.35451635770282847</v>
      </c>
      <c r="AC634" s="55" cm="1">
        <f t="array" ref="AC634">(VLOOKUP($A634,'The List'!$B1:$AR671,42,FALSE)-AVERAGE('The List'!AQ2:AQ671))/STDEV('The List'!AQ2:AQ671)</f>
        <v>0.53672515490232686</v>
      </c>
      <c r="AD634" s="55" cm="1">
        <f t="array" ref="AD634">(VLOOKUP($A634,'The List'!$B1:$AR671,43,FALSE)-AVERAGE('The List'!AR2:AR671))/STDEV('The List'!AR2:AR671)*-1</f>
        <v>0.28418477965711991</v>
      </c>
      <c r="AE634" s="55"/>
    </row>
    <row r="635" spans="1:31" ht="21.25" customHeight="1" x14ac:dyDescent="0.15">
      <c r="A635" s="10" t="s">
        <v>263</v>
      </c>
      <c r="B635" s="18" t="str" cm="1">
        <f t="array" ref="B635">VLOOKUP(A635,'Player Data'!A1:B673,2,FALSE)</f>
        <v>MIN</v>
      </c>
      <c r="C635" s="52" cm="1">
        <f t="array" ref="C635">(W635*Settings!$C$29)+(X635*Settings!$C$21)+(Y635*Settings!$C$22)+(AA635*Settings!$C$24)+(AB635*Settings!$C$25)+(Z635*Settings!$C$23)+(AC635*Settings!$C$26)+(AD635*Settings!$C$28)</f>
        <v>3.2960792130597847</v>
      </c>
      <c r="D635" s="57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 cm="1">
        <f t="array" ref="W635">(VLOOKUP($A635,'The List'!$B1:$AR671,35,FALSE)-AVERAGE('The List'!AJ2:AJ671))/STDEV('The List'!AJ2:AJ671)</f>
        <v>0.44069573855739863</v>
      </c>
      <c r="X635" s="55" cm="1">
        <f t="array" ref="X635">(VLOOKUP($A635,'The List'!$B1:$AR671,36,FALSE)-AVERAGE('The List'!AK2:AK671))/STDEV('The List'!AK2:AK671)</f>
        <v>0.82865405825474248</v>
      </c>
      <c r="Y635" s="55" cm="1">
        <f t="array" ref="Y635">(VLOOKUP($A635,'The List'!$B1:$AR671,37,FALSE)-AVERAGE('The List'!AL2:AL671))/STDEV('The List'!AL2:AL671)*-1</f>
        <v>0.13169401093729394</v>
      </c>
      <c r="Z635" s="55" cm="1">
        <f t="array" ref="Z635">(VLOOKUP($A635,'The List'!$B1:$AR671,38,FALSE)-AVERAGE('The List'!AM2:AM671))/STDEV('The List'!AM2:AM671)</f>
        <v>0.12109790987949103</v>
      </c>
      <c r="AA635" s="55" cm="1">
        <f t="array" ref="AA635">(VLOOKUP($A635,'The List'!$B1:$AR671,39,FALSE)-AVERAGE('The List'!AN2:AN671))/STDEV('The List'!AN2:AN671)</f>
        <v>0.86310530038929312</v>
      </c>
      <c r="AB635" s="55" cm="1">
        <f t="array" ref="AB635">(VLOOKUP($A635,'The List'!$B1:$AR671,40,FALSE)-AVERAGE('The List'!AO2:AO671))/STDEV('The List'!AO2:AO671)</f>
        <v>0.40793944274969196</v>
      </c>
      <c r="AC635" s="55" cm="1">
        <f t="array" ref="AC635">(VLOOKUP($A635,'The List'!$B1:$AR671,42,FALSE)-AVERAGE('The List'!AQ2:AQ671))/STDEV('The List'!AQ2:AQ671)</f>
        <v>1.3145252084262955</v>
      </c>
      <c r="AD635" s="55" cm="1">
        <f t="array" ref="AD635">(VLOOKUP($A635,'The List'!$B1:$AR671,43,FALSE)-AVERAGE('The List'!AR2:AR671))/STDEV('The List'!AR2:AR671)*-1</f>
        <v>1.1528999463787464</v>
      </c>
      <c r="AE635" s="55"/>
    </row>
    <row r="636" spans="1:31" ht="21.25" customHeight="1" x14ac:dyDescent="0.15">
      <c r="A636" s="10" t="s">
        <v>427</v>
      </c>
      <c r="B636" s="18" t="str" cm="1">
        <f t="array" ref="B636">VLOOKUP(A636,'Player Data'!A1:B673,2,FALSE)</f>
        <v>MIN</v>
      </c>
      <c r="C636" s="52" cm="1">
        <f t="array" ref="C636">(W636*Settings!$C$29)+(X636*Settings!$C$21)+(Y636*Settings!$C$22)+(AA636*Settings!$C$24)+(AB636*Settings!$C$25)+(Z636*Settings!$C$23)+(AC636*Settings!$C$26)+(AD636*Settings!$C$28)</f>
        <v>0.76927176581307755</v>
      </c>
      <c r="D636" s="57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 cm="1">
        <f t="array" ref="W636">(VLOOKUP($A636,'The List'!$B1:$AR671,35,FALSE)-AVERAGE('The List'!AJ2:AJ671))/STDEV('The List'!AJ2:AJ671)</f>
        <v>-0.41398690591755627</v>
      </c>
      <c r="X636" s="55" cm="1">
        <f t="array" ref="X636">(VLOOKUP($A636,'The List'!$B1:$AR671,36,FALSE)-AVERAGE('The List'!AK2:AK671))/STDEV('The List'!AK2:AK671)</f>
        <v>-0.33820453048410715</v>
      </c>
      <c r="Y636" s="55" cm="1">
        <f t="array" ref="Y636">(VLOOKUP($A636,'The List'!$B1:$AR671,37,FALSE)-AVERAGE('The List'!AL2:AL671))/STDEV('The List'!AL2:AL671)*-1</f>
        <v>0.35864293145427362</v>
      </c>
      <c r="Z636" s="55" cm="1">
        <f t="array" ref="Z636">(VLOOKUP($A636,'The List'!$B1:$AR671,38,FALSE)-AVERAGE('The List'!AM2:AM671))/STDEV('The List'!AM2:AM671)</f>
        <v>-0.56467489689715944</v>
      </c>
      <c r="AA636" s="55" cm="1">
        <f t="array" ref="AA636">(VLOOKUP($A636,'The List'!$B1:$AR671,39,FALSE)-AVERAGE('The List'!AN2:AN671))/STDEV('The List'!AN2:AN671)</f>
        <v>5.0970728313500281E-2</v>
      </c>
      <c r="AB636" s="55" cm="1">
        <f t="array" ref="AB636">(VLOOKUP($A636,'The List'!$B1:$AR671,40,FALSE)-AVERAGE('The List'!AO2:AO671))/STDEV('The List'!AO2:AO671)</f>
        <v>-0.38995359697475462</v>
      </c>
      <c r="AC636" s="55" cm="1">
        <f t="array" ref="AC636">(VLOOKUP($A636,'The List'!$B1:$AR671,42,FALSE)-AVERAGE('The List'!AQ2:AQ671))/STDEV('The List'!AQ2:AQ671)</f>
        <v>0.57354796750175685</v>
      </c>
      <c r="AD636" s="55" cm="1">
        <f t="array" ref="AD636">(VLOOKUP($A636,'The List'!$B1:$AR671,43,FALSE)-AVERAGE('The List'!AR2:AR671))/STDEV('The List'!AR2:AR671)*-1</f>
        <v>0.53392832879542784</v>
      </c>
      <c r="AE636" s="55"/>
    </row>
    <row r="637" spans="1:31" ht="21.25" customHeight="1" x14ac:dyDescent="0.15">
      <c r="A637" s="10" t="s">
        <v>236</v>
      </c>
      <c r="B637" s="193" t="s">
        <v>842</v>
      </c>
      <c r="C637" s="52" cm="1">
        <f t="array" ref="C637">(W637*Settings!$C$29)+(X637*Settings!$C$21)+(Y637*Settings!$C$22)+(AA637*Settings!$C$24)+(AB637*Settings!$C$25)+(Z637*Settings!$C$23)+(AC637*Settings!$C$26)+(AD637*Settings!$C$28)</f>
        <v>2.1409871690103124</v>
      </c>
      <c r="D637" s="57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 cm="1">
        <f t="array" ref="W637">(VLOOKUP($A637,'The List'!$B1:$AR671,35,FALSE)-AVERAGE('The List'!AJ2:AJ671))/STDEV('The List'!AJ2:AJ671)</f>
        <v>0.86803706079487608</v>
      </c>
      <c r="X637" s="55" cm="1">
        <f t="array" ref="X637">(VLOOKUP($A637,'The List'!$B1:$AR671,36,FALSE)-AVERAGE('The List'!AK2:AK671))/STDEV('The List'!AK2:AK671)</f>
        <v>1.1270307128301933</v>
      </c>
      <c r="Y637" s="55" cm="1">
        <f t="array" ref="Y637">(VLOOKUP($A637,'The List'!$B1:$AR671,37,FALSE)-AVERAGE('The List'!AL2:AL671))/STDEV('The List'!AL2:AL671)*-1</f>
        <v>-0.41184056197258279</v>
      </c>
      <c r="Z637" s="55" cm="1">
        <f t="array" ref="Z637">(VLOOKUP($A637,'The List'!$B1:$AR671,38,FALSE)-AVERAGE('The List'!AM2:AM671))/STDEV('The List'!AM2:AM671)</f>
        <v>0.40349514246189183</v>
      </c>
      <c r="AA637" s="55" cm="1">
        <f t="array" ref="AA637">(VLOOKUP($A637,'The List'!$B1:$AR671,39,FALSE)-AVERAGE('The List'!AN2:AN671))/STDEV('The List'!AN2:AN671)</f>
        <v>0.78906854712196606</v>
      </c>
      <c r="AB637" s="55" cm="1">
        <f t="array" ref="AB637">(VLOOKUP($A637,'The List'!$B1:$AR671,40,FALSE)-AVERAGE('The List'!AO2:AO671))/STDEV('The List'!AO2:AO671)</f>
        <v>0.81707064920506356</v>
      </c>
      <c r="AC637" s="55" cm="1">
        <f t="array" ref="AC637">(VLOOKUP($A637,'The List'!$B1:$AR671,42,FALSE)-AVERAGE('The List'!AQ2:AQ671))/STDEV('The List'!AQ2:AQ671)</f>
        <v>0.64306017171457985</v>
      </c>
      <c r="AD637" s="55" cm="1">
        <f t="array" ref="AD637">(VLOOKUP($A637,'The List'!$B1:$AR671,43,FALSE)-AVERAGE('The List'!AR2:AR671))/STDEV('The List'!AR2:AR671)*-1</f>
        <v>0.37089628446553902</v>
      </c>
      <c r="AE637" s="55"/>
    </row>
    <row r="638" spans="1:31" ht="21.25" customHeight="1" x14ac:dyDescent="0.15">
      <c r="A638" s="10" t="s">
        <v>561</v>
      </c>
      <c r="B638" s="18" t="str" cm="1">
        <f t="array" ref="B638">VLOOKUP(A638,'Player Data'!A1:B673,2,FALSE)</f>
        <v>MTL</v>
      </c>
      <c r="C638" s="52" cm="1">
        <f t="array" ref="C638">(W638*Settings!$C$29)+(X638*Settings!$C$21)+(Y638*Settings!$C$22)+(AA638*Settings!$C$24)+(AB638*Settings!$C$25)+(Z638*Settings!$C$23)+(AC638*Settings!$C$26)+(AD638*Settings!$C$28)</f>
        <v>-1.6543671618504954</v>
      </c>
      <c r="D638" s="57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 cm="1">
        <f t="array" ref="W638">(VLOOKUP($A638,'The List'!$B1:$AR671,35,FALSE)-AVERAGE('The List'!AJ2:AJ671))/STDEV('The List'!AJ2:AJ671)</f>
        <v>-0.84132822815503372</v>
      </c>
      <c r="X638" s="55" cm="1">
        <f t="array" ref="X638">(VLOOKUP($A638,'The List'!$B1:$AR671,36,FALSE)-AVERAGE('The List'!AK2:AK671))/STDEV('The List'!AK2:AK671)</f>
        <v>-0.63330828648813486</v>
      </c>
      <c r="Y638" s="55" cm="1">
        <f t="array" ref="Y638">(VLOOKUP($A638,'The List'!$B1:$AR671,37,FALSE)-AVERAGE('The List'!AL2:AL671))/STDEV('The List'!AL2:AL671)*-1</f>
        <v>0.89048813175616048</v>
      </c>
      <c r="Z638" s="55" cm="1">
        <f t="array" ref="Z638">(VLOOKUP($A638,'The List'!$B1:$AR671,38,FALSE)-AVERAGE('The List'!AM2:AM671))/STDEV('The List'!AM2:AM671)</f>
        <v>-0.8961567059399661</v>
      </c>
      <c r="AA638" s="55" cm="1">
        <f t="array" ref="AA638">(VLOOKUP($A638,'The List'!$B1:$AR671,39,FALSE)-AVERAGE('The List'!AN2:AN671))/STDEV('The List'!AN2:AN671)</f>
        <v>-0.78368965556465797</v>
      </c>
      <c r="AB638" s="55" cm="1">
        <f t="array" ref="AB638">(VLOOKUP($A638,'The List'!$B1:$AR671,40,FALSE)-AVERAGE('The List'!AO2:AO671))/STDEV('The List'!AO2:AO671)</f>
        <v>-0.80552362699906133</v>
      </c>
      <c r="AC638" s="55" cm="1">
        <f t="array" ref="AC638">(VLOOKUP($A638,'The List'!$B1:$AR671,42,FALSE)-AVERAGE('The List'!AQ2:AQ671))/STDEV('The List'!AQ2:AQ671)</f>
        <v>-0.59237488663543325</v>
      </c>
      <c r="AD638" s="55" cm="1">
        <f t="array" ref="AD638">(VLOOKUP($A638,'The List'!$B1:$AR671,43,FALSE)-AVERAGE('The List'!AR2:AR671))/STDEV('The List'!AR2:AR671)*-1</f>
        <v>-0.42868398872692748</v>
      </c>
      <c r="AE638" s="55"/>
    </row>
    <row r="639" spans="1:31" ht="21.25" customHeight="1" x14ac:dyDescent="0.15">
      <c r="A639" s="10" t="s">
        <v>308</v>
      </c>
      <c r="B639" s="18" t="str" cm="1">
        <f t="array" ref="B639">VLOOKUP(A639,'Player Data'!A1:B673,2,FALSE)</f>
        <v>N.J</v>
      </c>
      <c r="C639" s="52" cm="1">
        <f t="array" ref="C639">(W639*Settings!$C$29)+(X639*Settings!$C$21)+(Y639*Settings!$C$22)+(AA639*Settings!$C$24)+(AB639*Settings!$C$25)+(Z639*Settings!$C$23)+(AC639*Settings!$C$26)+(AD639*Settings!$C$28)</f>
        <v>1.4439105730477855</v>
      </c>
      <c r="D639" s="57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 cm="1">
        <f t="array" ref="W639">(VLOOKUP($A639,'The List'!$B1:$AR671,35,FALSE)-AVERAGE('The List'!AJ2:AJ671))/STDEV('The List'!AJ2:AJ671)</f>
        <v>0.44069573855739863</v>
      </c>
      <c r="X639" s="55" cm="1">
        <f t="array" ref="X639">(VLOOKUP($A639,'The List'!$B1:$AR671,36,FALSE)-AVERAGE('The List'!AK2:AK671))/STDEV('The List'!AK2:AK671)</f>
        <v>0.39736403283245764</v>
      </c>
      <c r="Y639" s="55" cm="1">
        <f t="array" ref="Y639">(VLOOKUP($A639,'The List'!$B1:$AR671,37,FALSE)-AVERAGE('The List'!AL2:AL671))/STDEV('The List'!AL2:AL671)*-1</f>
        <v>-0.39853427529525681</v>
      </c>
      <c r="Z639" s="55" cm="1">
        <f t="array" ref="Z639">(VLOOKUP($A639,'The List'!$B1:$AR671,38,FALSE)-AVERAGE('The List'!AM2:AM671))/STDEV('The List'!AM2:AM671)</f>
        <v>0.39021620592397893</v>
      </c>
      <c r="AA639" s="55" cm="1">
        <f t="array" ref="AA639">(VLOOKUP($A639,'The List'!$B1:$AR671,39,FALSE)-AVERAGE('The List'!AN2:AN671))/STDEV('The List'!AN2:AN671)</f>
        <v>0.5726763619028119</v>
      </c>
      <c r="AB639" s="55" cm="1">
        <f t="array" ref="AB639">(VLOOKUP($A639,'The List'!$B1:$AR671,40,FALSE)-AVERAGE('The List'!AO2:AO671))/STDEV('The List'!AO2:AO671)</f>
        <v>0.37414053069834213</v>
      </c>
      <c r="AC639" s="55" cm="1">
        <f t="array" ref="AC639">(VLOOKUP($A639,'The List'!$B1:$AR671,42,FALSE)-AVERAGE('The List'!AQ2:AQ671))/STDEV('The List'!AQ2:AQ671)</f>
        <v>0.53638950601500923</v>
      </c>
      <c r="AD639" s="55" cm="1">
        <f t="array" ref="AD639">(VLOOKUP($A639,'The List'!$B1:$AR671,43,FALSE)-AVERAGE('The List'!AR2:AR671))/STDEV('The List'!AR2:AR671)*-1</f>
        <v>0.51015703420031855</v>
      </c>
      <c r="AE639" s="55"/>
    </row>
    <row r="640" spans="1:31" ht="21.25" customHeight="1" x14ac:dyDescent="0.15">
      <c r="A640" s="10" t="s">
        <v>496</v>
      </c>
      <c r="B640" s="18" t="str" cm="1">
        <f t="array" ref="B640">VLOOKUP(A640,'Player Data'!A1:B673,2,FALSE)</f>
        <v>N.J</v>
      </c>
      <c r="C640" s="52" cm="1">
        <f t="array" ref="C640">(W640*Settings!$C$29)+(X640*Settings!$C$21)+(Y640*Settings!$C$22)+(AA640*Settings!$C$24)+(AB640*Settings!$C$25)+(Z640*Settings!$C$23)+(AC640*Settings!$C$26)+(AD640*Settings!$C$28)</f>
        <v>-0.48573038545543323</v>
      </c>
      <c r="D640" s="57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 cm="1">
        <f t="array" ref="W640">(VLOOKUP($A640,'The List'!$B1:$AR671,35,FALSE)-AVERAGE('The List'!AJ2:AJ671))/STDEV('The List'!AJ2:AJ671)</f>
        <v>-0.41398690591755627</v>
      </c>
      <c r="X640" s="55" cm="1">
        <f t="array" ref="X640">(VLOOKUP($A640,'The List'!$B1:$AR671,36,FALSE)-AVERAGE('The List'!AK2:AK671))/STDEV('The List'!AK2:AK671)</f>
        <v>-0.40110138802039924</v>
      </c>
      <c r="Y640" s="55" cm="1">
        <f t="array" ref="Y640">(VLOOKUP($A640,'The List'!$B1:$AR671,37,FALSE)-AVERAGE('The List'!AL2:AL671))/STDEV('The List'!AL2:AL671)*-1</f>
        <v>0.34073713559037916</v>
      </c>
      <c r="Z640" s="55" cm="1">
        <f t="array" ref="Z640">(VLOOKUP($A640,'The List'!$B1:$AR671,38,FALSE)-AVERAGE('The List'!AM2:AM671))/STDEV('The List'!AM2:AM671)</f>
        <v>-0.34753568440511917</v>
      </c>
      <c r="AA640" s="55" cm="1">
        <f t="array" ref="AA640">(VLOOKUP($A640,'The List'!$B1:$AR671,39,FALSE)-AVERAGE('The List'!AN2:AN671))/STDEV('The List'!AN2:AN671)</f>
        <v>-0.19815284829811547</v>
      </c>
      <c r="AB640" s="55" cm="1">
        <f t="array" ref="AB640">(VLOOKUP($A640,'The List'!$B1:$AR671,40,FALSE)-AVERAGE('The List'!AO2:AO671))/STDEV('The List'!AO2:AO671)</f>
        <v>-0.48921887160914096</v>
      </c>
      <c r="AC640" s="55" cm="1">
        <f t="array" ref="AC640">(VLOOKUP($A640,'The List'!$B1:$AR671,42,FALSE)-AVERAGE('The List'!AQ2:AQ671))/STDEV('The List'!AQ2:AQ671)</f>
        <v>-0.32271531196942815</v>
      </c>
      <c r="AD640" s="55" cm="1">
        <f t="array" ref="AD640">(VLOOKUP($A640,'The List'!$B1:$AR671,43,FALSE)-AVERAGE('The List'!AR2:AR671))/STDEV('The List'!AR2:AR671)*-1</f>
        <v>0.23808631453439419</v>
      </c>
      <c r="AE640" s="55"/>
    </row>
    <row r="641" spans="1:31" ht="21.25" customHeight="1" x14ac:dyDescent="0.15">
      <c r="A641" s="10" t="s">
        <v>191</v>
      </c>
      <c r="B641" s="18" t="str" cm="1">
        <f t="array" ref="B641">VLOOKUP(A641,'Player Data'!A1:B673,2,FALSE)</f>
        <v>NSH</v>
      </c>
      <c r="C641" s="52" cm="1">
        <f t="array" ref="C641">(W641*Settings!$C$29)+(X641*Settings!$C$21)+(Y641*Settings!$C$22)+(AA641*Settings!$C$24)+(AB641*Settings!$C$25)+(Z641*Settings!$C$23)+(AC641*Settings!$C$26)+(AD641*Settings!$C$28)</f>
        <v>1.1119402750363698</v>
      </c>
      <c r="D641" s="57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 cm="1">
        <f t="array" ref="W641">(VLOOKUP($A641,'The List'!$B1:$AR671,35,FALSE)-AVERAGE('The List'!AJ2:AJ671))/STDEV('The List'!AJ2:AJ671)</f>
        <v>1.7227197052698311</v>
      </c>
      <c r="X641" s="55" cm="1">
        <f t="array" ref="X641">(VLOOKUP($A641,'The List'!$B1:$AR671,36,FALSE)-AVERAGE('The List'!AK2:AK671))/STDEV('The List'!AK2:AK671)</f>
        <v>1.1016885622672927</v>
      </c>
      <c r="Y641" s="55" cm="1">
        <f t="array" ref="Y641">(VLOOKUP($A641,'The List'!$B1:$AR671,37,FALSE)-AVERAGE('The List'!AL2:AL671))/STDEV('The List'!AL2:AL671)*-1</f>
        <v>-2.0394796956986885</v>
      </c>
      <c r="Z641" s="55" cm="1">
        <f t="array" ref="Z641">(VLOOKUP($A641,'The List'!$B1:$AR671,38,FALSE)-AVERAGE('The List'!AM2:AM671))/STDEV('The List'!AM2:AM671)</f>
        <v>2.0277887780583956</v>
      </c>
      <c r="AA641" s="55" cm="1">
        <f t="array" ref="AA641">(VLOOKUP($A641,'The List'!$B1:$AR671,39,FALSE)-AVERAGE('The List'!AN2:AN671))/STDEV('The List'!AN2:AN671)</f>
        <v>0.69943516008025131</v>
      </c>
      <c r="AB641" s="55" cm="1">
        <f t="array" ref="AB641">(VLOOKUP($A641,'The List'!$B1:$AR671,40,FALSE)-AVERAGE('The List'!AO2:AO671))/STDEV('The List'!AO2:AO671)</f>
        <v>1.770615249268187</v>
      </c>
      <c r="AC641" s="55" cm="1">
        <f t="array" ref="AC641">(VLOOKUP($A641,'The List'!$B1:$AR671,42,FALSE)-AVERAGE('The List'!AQ2:AQ671))/STDEV('The List'!AQ2:AQ671)</f>
        <v>0.45220681452263445</v>
      </c>
      <c r="AD641" s="55" cm="1">
        <f t="array" ref="AD641">(VLOOKUP($A641,'The List'!$B1:$AR671,43,FALSE)-AVERAGE('The List'!AR2:AR671))/STDEV('The List'!AR2:AR671)*-1</f>
        <v>-0.44195510175355712</v>
      </c>
      <c r="AE641" s="55"/>
    </row>
    <row r="642" spans="1:31" ht="21.25" customHeight="1" x14ac:dyDescent="0.15">
      <c r="A642" s="10" t="s">
        <v>704</v>
      </c>
      <c r="B642" s="18" t="str" cm="1">
        <f t="array" ref="B642">VLOOKUP(A642,'Player Data'!A1:B673,2,FALSE)</f>
        <v>NSH</v>
      </c>
      <c r="C642" s="52" cm="1">
        <f t="array" ref="C642">(W642*Settings!$C$29)+(X642*Settings!$C$21)+(Y642*Settings!$C$22)+(AA642*Settings!$C$24)+(AB642*Settings!$C$25)+(Z642*Settings!$C$23)+(AC642*Settings!$C$26)+(AD642*Settings!$C$28)</f>
        <v>-3.6887715267931052</v>
      </c>
      <c r="D642" s="57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 cm="1">
        <f t="array" ref="W642">(VLOOKUP($A642,'The List'!$B1:$AR671,35,FALSE)-AVERAGE('The List'!AJ2:AJ671))/STDEV('The List'!AJ2:AJ671)</f>
        <v>-1.6960108726299887</v>
      </c>
      <c r="X642" s="55" cm="1">
        <f t="array" ref="X642">(VLOOKUP($A642,'The List'!$B1:$AR671,36,FALSE)-AVERAGE('The List'!AK2:AK671))/STDEV('The List'!AK2:AK671)</f>
        <v>-1.6521419677007447</v>
      </c>
      <c r="Y642" s="55" cm="1">
        <f t="array" ref="Y642">(VLOOKUP($A642,'The List'!$B1:$AR671,37,FALSE)-AVERAGE('The List'!AL2:AL671))/STDEV('The List'!AL2:AL671)*-1</f>
        <v>1.3921214625429918</v>
      </c>
      <c r="Z642" s="55" cm="1">
        <f t="array" ref="Z642">(VLOOKUP($A642,'The List'!$B1:$AR671,38,FALSE)-AVERAGE('The List'!AM2:AM671))/STDEV('The List'!AM2:AM671)</f>
        <v>-1.3967589645836409</v>
      </c>
      <c r="AA642" s="55" cm="1">
        <f t="array" ref="AA642">(VLOOKUP($A642,'The List'!$B1:$AR671,39,FALSE)-AVERAGE('The List'!AN2:AN671))/STDEV('The List'!AN2:AN671)</f>
        <v>-1.3909450602741151</v>
      </c>
      <c r="AB642" s="55" cm="1">
        <f t="array" ref="AB642">(VLOOKUP($A642,'The List'!$B1:$AR671,40,FALSE)-AVERAGE('The List'!AO2:AO671))/STDEV('The List'!AO2:AO671)</f>
        <v>-1.5857813362720972</v>
      </c>
      <c r="AC642" s="55" cm="1">
        <f t="array" ref="AC642">(VLOOKUP($A642,'The List'!$B1:$AR671,42,FALSE)-AVERAGE('The List'!AQ2:AQ671))/STDEV('The List'!AQ2:AQ671)</f>
        <v>-1.2297178403799807</v>
      </c>
      <c r="AD642" s="55" cm="1">
        <f t="array" ref="AD642">(VLOOKUP($A642,'The List'!$B1:$AR671,43,FALSE)-AVERAGE('The List'!AR2:AR671))/STDEV('The List'!AR2:AR671)*-1</f>
        <v>-0.80691171871237999</v>
      </c>
      <c r="AE642" s="55"/>
    </row>
    <row r="643" spans="1:31" ht="21.25" customHeight="1" x14ac:dyDescent="0.15">
      <c r="A643" s="10" t="s">
        <v>174</v>
      </c>
      <c r="B643" s="18" t="str" cm="1">
        <f t="array" ref="B643">VLOOKUP(A643,'Player Data'!A1:B673,2,FALSE)</f>
        <v>NYI</v>
      </c>
      <c r="C643" s="52" cm="1">
        <f t="array" ref="C643">(W643*Settings!$C$29)+(X643*Settings!$C$21)+(Y643*Settings!$C$22)+(AA643*Settings!$C$24)+(AB643*Settings!$C$25)+(Z643*Settings!$C$23)+(AC643*Settings!$C$26)+(AD643*Settings!$C$28)</f>
        <v>2.0745347367645124</v>
      </c>
      <c r="D643" s="57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 cm="1">
        <f t="array" ref="W643">(VLOOKUP($A643,'The List'!$B1:$AR671,35,FALSE)-AVERAGE('The List'!AJ2:AJ671))/STDEV('The List'!AJ2:AJ671)</f>
        <v>1.2953783830323535</v>
      </c>
      <c r="X643" s="55" cm="1">
        <f t="array" ref="X643">(VLOOKUP($A643,'The List'!$B1:$AR671,36,FALSE)-AVERAGE('The List'!AK2:AK671))/STDEV('The List'!AK2:AK671)</f>
        <v>0.69838288394454529</v>
      </c>
      <c r="Y643" s="55" cm="1">
        <f t="array" ref="Y643">(VLOOKUP($A643,'The List'!$B1:$AR671,37,FALSE)-AVERAGE('The List'!AL2:AL671))/STDEV('The List'!AL2:AL671)*-1</f>
        <v>-1.6742361484986366</v>
      </c>
      <c r="Z643" s="55" cm="1">
        <f t="array" ref="Z643">(VLOOKUP($A643,'The List'!$B1:$AR671,38,FALSE)-AVERAGE('The List'!AM2:AM671))/STDEV('The List'!AM2:AM671)</f>
        <v>1.6632959633633089</v>
      </c>
      <c r="AA643" s="55" cm="1">
        <f t="array" ref="AA643">(VLOOKUP($A643,'The List'!$B1:$AR671,39,FALSE)-AVERAGE('The List'!AN2:AN671))/STDEV('The List'!AN2:AN671)</f>
        <v>0.71666722299543417</v>
      </c>
      <c r="AB643" s="55" cm="1">
        <f t="array" ref="AB643">(VLOOKUP($A643,'The List'!$B1:$AR671,40,FALSE)-AVERAGE('The List'!AO2:AO671))/STDEV('The List'!AO2:AO671)</f>
        <v>1.5822209708161838</v>
      </c>
      <c r="AC643" s="55" cm="1">
        <f t="array" ref="AC643">(VLOOKUP($A643,'The List'!$B1:$AR671,42,FALSE)-AVERAGE('The List'!AQ2:AQ671))/STDEV('The List'!AQ2:AQ671)</f>
        <v>1.4834183899628903</v>
      </c>
      <c r="AD643" s="55" cm="1">
        <f t="array" ref="AD643">(VLOOKUP($A643,'The List'!$B1:$AR671,43,FALSE)-AVERAGE('The List'!AR2:AR671))/STDEV('The List'!AR2:AR671)*-1</f>
        <v>-0.10726653714292325</v>
      </c>
      <c r="AE643" s="55"/>
    </row>
    <row r="644" spans="1:31" ht="21.25" customHeight="1" x14ac:dyDescent="0.15">
      <c r="A644" s="10" t="s">
        <v>663</v>
      </c>
      <c r="B644" s="18" t="str" cm="1">
        <f t="array" ref="B644">VLOOKUP(A644,'Player Data'!A1:B673,2,FALSE)</f>
        <v>NYI</v>
      </c>
      <c r="C644" s="52" cm="1">
        <f t="array" ref="C644">(W644*Settings!$C$29)+(X644*Settings!$C$21)+(Y644*Settings!$C$22)+(AA644*Settings!$C$24)+(AB644*Settings!$C$25)+(Z644*Settings!$C$23)+(AC644*Settings!$C$26)+(AD644*Settings!$C$28)</f>
        <v>-4.1118030735978994</v>
      </c>
      <c r="D644" s="57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 cm="1">
        <f t="array" ref="W644">(VLOOKUP($A644,'The List'!$B1:$AR671,35,FALSE)-AVERAGE('The List'!AJ2:AJ671))/STDEV('The List'!AJ2:AJ671)</f>
        <v>-1.2686695503925112</v>
      </c>
      <c r="X644" s="55" cm="1">
        <f t="array" ref="X644">(VLOOKUP($A644,'The List'!$B1:$AR671,36,FALSE)-AVERAGE('The List'!AK2:AK671))/STDEV('The List'!AK2:AK671)</f>
        <v>-1.4492765986437977</v>
      </c>
      <c r="Y644" s="55" cm="1">
        <f t="array" ref="Y644">(VLOOKUP($A644,'The List'!$B1:$AR671,37,FALSE)-AVERAGE('The List'!AL2:AL671))/STDEV('The List'!AL2:AL671)*-1</f>
        <v>0.81072950000138455</v>
      </c>
      <c r="Z644" s="55" cm="1">
        <f t="array" ref="Z644">(VLOOKUP($A644,'The List'!$B1:$AR671,38,FALSE)-AVERAGE('The List'!AM2:AM671))/STDEV('The List'!AM2:AM671)</f>
        <v>-0.81656201246107407</v>
      </c>
      <c r="AA644" s="55" cm="1">
        <f t="array" ref="AA644">(VLOOKUP($A644,'The List'!$B1:$AR671,39,FALSE)-AVERAGE('The List'!AN2:AN671))/STDEV('The List'!AN2:AN671)</f>
        <v>-1.3561167224589845</v>
      </c>
      <c r="AB644" s="55" cm="1">
        <f t="array" ref="AB644">(VLOOKUP($A644,'The List'!$B1:$AR671,40,FALSE)-AVERAGE('The List'!AO2:AO671))/STDEV('The List'!AO2:AO671)</f>
        <v>-1.169800510904903</v>
      </c>
      <c r="AC644" s="55" cm="1">
        <f t="array" ref="AC644">(VLOOKUP($A644,'The List'!$B1:$AR671,42,FALSE)-AVERAGE('The List'!AQ2:AQ671))/STDEV('The List'!AQ2:AQ671)</f>
        <v>-1.3367384556549518</v>
      </c>
      <c r="AD644" s="55" cm="1">
        <f t="array" ref="AD644">(VLOOKUP($A644,'The List'!$B1:$AR671,43,FALSE)-AVERAGE('The List'!AR2:AR671))/STDEV('The List'!AR2:AR671)*-1</f>
        <v>-1.3257880192991496</v>
      </c>
      <c r="AE644" s="55"/>
    </row>
    <row r="645" spans="1:31" ht="21.25" customHeight="1" x14ac:dyDescent="0.15">
      <c r="A645" s="10" t="s">
        <v>177</v>
      </c>
      <c r="B645" s="18" t="str" cm="1">
        <f t="array" ref="B645">VLOOKUP(A645,'Player Data'!A1:B673,2,FALSE)</f>
        <v>NYR</v>
      </c>
      <c r="C645" s="52" cm="1">
        <f t="array" ref="C645">(W645*Settings!$C$29)+(X645*Settings!$C$21)+(Y645*Settings!$C$22)+(AA645*Settings!$C$24)+(AB645*Settings!$C$25)+(Z645*Settings!$C$23)+(AC645*Settings!$C$26)+(AD645*Settings!$C$28)</f>
        <v>3.7698372408426848</v>
      </c>
      <c r="D645" s="57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 cm="1">
        <f t="array" ref="W645">(VLOOKUP($A645,'The List'!$B1:$AR671,35,FALSE)-AVERAGE('The List'!AJ2:AJ671))/STDEV('The List'!AJ2:AJ671)</f>
        <v>1.2953783830323535</v>
      </c>
      <c r="X645" s="55" cm="1">
        <f t="array" ref="X645">(VLOOKUP($A645,'The List'!$B1:$AR671,36,FALSE)-AVERAGE('The List'!AK2:AK671))/STDEV('The List'!AK2:AK671)</f>
        <v>1.1536632107660008</v>
      </c>
      <c r="Y645" s="55" cm="1">
        <f t="array" ref="Y645">(VLOOKUP($A645,'The List'!$B1:$AR671,37,FALSE)-AVERAGE('The List'!AL2:AL671))/STDEV('The List'!AL2:AL671)*-1</f>
        <v>-1.1832764132083293</v>
      </c>
      <c r="Z645" s="55" cm="1">
        <f t="array" ref="Z645">(VLOOKUP($A645,'The List'!$B1:$AR671,38,FALSE)-AVERAGE('The List'!AM2:AM671))/STDEV('The List'!AM2:AM671)</f>
        <v>1.1733453613888847</v>
      </c>
      <c r="AA645" s="55" cm="1">
        <f t="array" ref="AA645">(VLOOKUP($A645,'The List'!$B1:$AR671,39,FALSE)-AVERAGE('The List'!AN2:AN671))/STDEV('The List'!AN2:AN671)</f>
        <v>1.5714039835586557</v>
      </c>
      <c r="AB645" s="55" cm="1">
        <f t="array" ref="AB645">(VLOOKUP($A645,'The List'!$B1:$AR671,40,FALSE)-AVERAGE('The List'!AO2:AO671))/STDEV('The List'!AO2:AO671)</f>
        <v>1.3288275188561018</v>
      </c>
      <c r="AC645" s="55" cm="1">
        <f t="array" ref="AC645">(VLOOKUP($A645,'The List'!$B1:$AR671,42,FALSE)-AVERAGE('The List'!AQ2:AQ671))/STDEV('The List'!AQ2:AQ671)</f>
        <v>1.6454588942309067</v>
      </c>
      <c r="AD645" s="55" cm="1">
        <f t="array" ref="AD645">(VLOOKUP($A645,'The List'!$B1:$AR671,43,FALSE)-AVERAGE('The List'!AR2:AR671))/STDEV('The List'!AR2:AR671)*-1</f>
        <v>0.97071513584577718</v>
      </c>
      <c r="AE645" s="55"/>
    </row>
    <row r="646" spans="1:31" ht="21.25" customHeight="1" x14ac:dyDescent="0.15">
      <c r="A646" s="10" t="s">
        <v>651</v>
      </c>
      <c r="B646" s="18" t="str" cm="1">
        <f t="array" ref="B646">VLOOKUP(A646,'Player Data'!A1:B673,2,FALSE)</f>
        <v>NYR</v>
      </c>
      <c r="C646" s="52" cm="1">
        <f t="array" ref="C646">(W646*Settings!$C$29)+(X646*Settings!$C$21)+(Y646*Settings!$C$22)+(AA646*Settings!$C$24)+(AB646*Settings!$C$25)+(Z646*Settings!$C$23)+(AC646*Settings!$C$26)+(AD646*Settings!$C$28)</f>
        <v>-2.3922975904748172</v>
      </c>
      <c r="D646" s="57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 cm="1">
        <f t="array" ref="W646">(VLOOKUP($A646,'The List'!$B1:$AR671,35,FALSE)-AVERAGE('The List'!AJ2:AJ671))/STDEV('The List'!AJ2:AJ671)</f>
        <v>-1.2686695503925112</v>
      </c>
      <c r="X646" s="55" cm="1">
        <f t="array" ref="X646">(VLOOKUP($A646,'The List'!$B1:$AR671,36,FALSE)-AVERAGE('The List'!AK2:AK671))/STDEV('The List'!AK2:AK671)</f>
        <v>-1.2427598207995014</v>
      </c>
      <c r="Y646" s="55" cm="1">
        <f t="array" ref="Y646">(VLOOKUP($A646,'The List'!$B1:$AR671,37,FALSE)-AVERAGE('The List'!AL2:AL671))/STDEV('The List'!AL2:AL671)*-1</f>
        <v>1.033430584608553</v>
      </c>
      <c r="Z646" s="55" cm="1">
        <f t="array" ref="Z646">(VLOOKUP($A646,'The List'!$B1:$AR671,38,FALSE)-AVERAGE('The List'!AM2:AM671))/STDEV('The List'!AM2:AM671)</f>
        <v>-1.0388053506018589</v>
      </c>
      <c r="AA646" s="55" cm="1">
        <f t="array" ref="AA646">(VLOOKUP($A646,'The List'!$B1:$AR671,39,FALSE)-AVERAGE('The List'!AN2:AN671))/STDEV('The List'!AN2:AN671)</f>
        <v>-0.93263395330959231</v>
      </c>
      <c r="AB646" s="55" cm="1">
        <f t="array" ref="AB646">(VLOOKUP($A646,'The List'!$B1:$AR671,40,FALSE)-AVERAGE('The List'!AO2:AO671))/STDEV('The List'!AO2:AO671)</f>
        <v>-1.2592915651247973</v>
      </c>
      <c r="AC646" s="55" cm="1">
        <f t="array" ref="AC646">(VLOOKUP($A646,'The List'!$B1:$AR671,42,FALSE)-AVERAGE('The List'!AQ2:AQ671))/STDEV('The List'!AQ2:AQ671)</f>
        <v>-0.9987485419002724</v>
      </c>
      <c r="AD646" s="55" cm="1">
        <f t="array" ref="AD646">(VLOOKUP($A646,'The List'!$B1:$AR671,43,FALSE)-AVERAGE('The List'!AR2:AR671))/STDEV('The List'!AR2:AR671)*-1</f>
        <v>-0.15078922777504328</v>
      </c>
      <c r="AE646" s="55"/>
    </row>
    <row r="647" spans="1:31" ht="21.25" customHeight="1" x14ac:dyDescent="0.15">
      <c r="A647" s="10" t="s">
        <v>264</v>
      </c>
      <c r="B647" s="18" t="str" cm="1">
        <f t="array" ref="B647">VLOOKUP(A647,'Player Data'!A1:B673,2,FALSE)</f>
        <v>OTT</v>
      </c>
      <c r="C647" s="52" cm="1">
        <f t="array" ref="C647">(W647*Settings!$C$29)+(X647*Settings!$C$21)+(Y647*Settings!$C$22)+(AA647*Settings!$C$24)+(AB647*Settings!$C$25)+(Z647*Settings!$C$23)+(AC647*Settings!$C$26)+(AD647*Settings!$C$28)</f>
        <v>3.1523480545697895</v>
      </c>
      <c r="D647" s="57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 cm="1">
        <f t="array" ref="W647">(VLOOKUP($A647,'The List'!$B1:$AR671,35,FALSE)-AVERAGE('The List'!AJ2:AJ671))/STDEV('The List'!AJ2:AJ671)</f>
        <v>0.86803706079487608</v>
      </c>
      <c r="X647" s="55" cm="1">
        <f t="array" ref="X647">(VLOOKUP($A647,'The List'!$B1:$AR671,36,FALSE)-AVERAGE('The List'!AK2:AK671))/STDEV('The List'!AK2:AK671)</f>
        <v>1.1022602762867109</v>
      </c>
      <c r="Y647" s="55" cm="1">
        <f t="array" ref="Y647">(VLOOKUP($A647,'The List'!$B1:$AR671,37,FALSE)-AVERAGE('The List'!AL2:AL671))/STDEV('The List'!AL2:AL671)*-1</f>
        <v>-0.43855220807711576</v>
      </c>
      <c r="Z647" s="55" cm="1">
        <f t="array" ref="Z647">(VLOOKUP($A647,'The List'!$B1:$AR671,38,FALSE)-AVERAGE('The List'!AM2:AM671))/STDEV('The List'!AM2:AM671)</f>
        <v>0.43015188465056742</v>
      </c>
      <c r="AA647" s="55" cm="1">
        <f t="array" ref="AA647">(VLOOKUP($A647,'The List'!$B1:$AR671,39,FALSE)-AVERAGE('The List'!AN2:AN671))/STDEV('The List'!AN2:AN671)</f>
        <v>1.5291490161651833</v>
      </c>
      <c r="AB647" s="55" cm="1">
        <f t="array" ref="AB647">(VLOOKUP($A647,'The List'!$B1:$AR671,40,FALSE)-AVERAGE('The List'!AO2:AO671))/STDEV('The List'!AO2:AO671)</f>
        <v>0.57247628309526899</v>
      </c>
      <c r="AC647" s="55" cm="1">
        <f t="array" ref="AC647">(VLOOKUP($A647,'The List'!$B1:$AR671,42,FALSE)-AVERAGE('The List'!AQ2:AQ671))/STDEV('The List'!AQ2:AQ671)</f>
        <v>0.65247480059405172</v>
      </c>
      <c r="AD647" s="55" cm="1">
        <f t="array" ref="AD647">(VLOOKUP($A647,'The List'!$B1:$AR671,43,FALSE)-AVERAGE('The List'!AR2:AR671))/STDEV('The List'!AR2:AR671)*-1</f>
        <v>1.3976129776890269</v>
      </c>
      <c r="AE647" s="55"/>
    </row>
    <row r="648" spans="1:31" ht="21.25" customHeight="1" x14ac:dyDescent="0.15">
      <c r="A648" s="10" t="s">
        <v>654</v>
      </c>
      <c r="B648" s="18" t="str" cm="1">
        <f t="array" ref="B648">VLOOKUP(A648,'Player Data'!A1:B673,2,FALSE)</f>
        <v>OTT</v>
      </c>
      <c r="C648" s="52" cm="1">
        <f t="array" ref="C648">(W648*Settings!$C$29)+(X648*Settings!$C$21)+(Y648*Settings!$C$22)+(AA648*Settings!$C$24)+(AB648*Settings!$C$25)+(Z648*Settings!$C$23)+(AC648*Settings!$C$26)+(AD648*Settings!$C$28)</f>
        <v>-2.15128119936344</v>
      </c>
      <c r="D648" s="57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 cm="1">
        <f t="array" ref="W648">(VLOOKUP($A648,'The List'!$B1:$AR671,35,FALSE)-AVERAGE('The List'!AJ2:AJ671))/STDEV('The List'!AJ2:AJ671)</f>
        <v>-0.84132822815503372</v>
      </c>
      <c r="X648" s="55" cm="1">
        <f t="array" ref="X648">(VLOOKUP($A648,'The List'!$B1:$AR671,36,FALSE)-AVERAGE('The List'!AK2:AK671))/STDEV('The List'!AK2:AK671)</f>
        <v>-0.62380145857895153</v>
      </c>
      <c r="Y648" s="55" cm="1">
        <f t="array" ref="Y648">(VLOOKUP($A648,'The List'!$B1:$AR671,37,FALSE)-AVERAGE('The List'!AL2:AL671))/STDEV('The List'!AL2:AL671)*-1</f>
        <v>0.90073999075110078</v>
      </c>
      <c r="Z648" s="55" cm="1">
        <f t="array" ref="Z648">(VLOOKUP($A648,'The List'!$B1:$AR671,38,FALSE)-AVERAGE('The List'!AM2:AM671))/STDEV('The List'!AM2:AM671)</f>
        <v>-0.90638749295746868</v>
      </c>
      <c r="AA648" s="55" cm="1">
        <f t="array" ref="AA648">(VLOOKUP($A648,'The List'!$B1:$AR671,39,FALSE)-AVERAGE('The List'!AN2:AN671))/STDEV('The List'!AN2:AN671)</f>
        <v>-0.24991231741141007</v>
      </c>
      <c r="AB648" s="55" cm="1">
        <f t="array" ref="AB648">(VLOOKUP($A648,'The List'!$B1:$AR671,40,FALSE)-AVERAGE('The List'!AO2:AO671))/STDEV('The List'!AO2:AO671)</f>
        <v>-1.1722067652815811</v>
      </c>
      <c r="AC648" s="55" cm="1">
        <f t="array" ref="AC648">(VLOOKUP($A648,'The List'!$B1:$AR671,42,FALSE)-AVERAGE('The List'!AQ2:AQ671))/STDEV('The List'!AQ2:AQ671)</f>
        <v>-2.3329815973140091</v>
      </c>
      <c r="AD648" s="55" cm="1">
        <f t="array" ref="AD648">(VLOOKUP($A648,'The List'!$B1:$AR671,43,FALSE)-AVERAGE('The List'!AR2:AR671))/STDEV('The List'!AR2:AR671)*-1</f>
        <v>0.80550185652952055</v>
      </c>
      <c r="AE648" s="55"/>
    </row>
    <row r="649" spans="1:31" ht="21.25" customHeight="1" x14ac:dyDescent="0.15">
      <c r="A649" s="10" t="s">
        <v>318</v>
      </c>
      <c r="B649" s="18" t="str" cm="1">
        <f t="array" ref="B649">VLOOKUP(A649,'Player Data'!A1:B673,2,FALSE)</f>
        <v>PHI</v>
      </c>
      <c r="C649" s="52" cm="1">
        <f t="array" ref="C649">(W649*Settings!$C$29)+(X649*Settings!$C$21)+(Y649*Settings!$C$22)+(AA649*Settings!$C$24)+(AB649*Settings!$C$25)+(Z649*Settings!$C$23)+(AC649*Settings!$C$26)+(AD649*Settings!$C$28)</f>
        <v>1.9014436781483814</v>
      </c>
      <c r="D649" s="57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 cm="1">
        <f t="array" ref="W649">(VLOOKUP($A649,'The List'!$B1:$AR671,35,FALSE)-AVERAGE('The List'!AJ2:AJ671))/STDEV('The List'!AJ2:AJ671)</f>
        <v>0.44069573855739863</v>
      </c>
      <c r="X649" s="55" cm="1">
        <f t="array" ref="X649">(VLOOKUP($A649,'The List'!$B1:$AR671,36,FALSE)-AVERAGE('The List'!AK2:AK671))/STDEV('The List'!AK2:AK671)</f>
        <v>0.45891197555142543</v>
      </c>
      <c r="Y649" s="55" cm="1">
        <f t="array" ref="Y649">(VLOOKUP($A649,'The List'!$B1:$AR671,37,FALSE)-AVERAGE('The List'!AL2:AL671))/STDEV('The List'!AL2:AL671)*-1</f>
        <v>-0.33216294342609815</v>
      </c>
      <c r="Z649" s="55" cm="1">
        <f t="array" ref="Z649">(VLOOKUP($A649,'The List'!$B1:$AR671,38,FALSE)-AVERAGE('The List'!AM2:AM671))/STDEV('The List'!AM2:AM671)</f>
        <v>0.32398129567432765</v>
      </c>
      <c r="AA649" s="55" cm="1">
        <f t="array" ref="AA649">(VLOOKUP($A649,'The List'!$B1:$AR671,39,FALSE)-AVERAGE('The List'!AN2:AN671))/STDEV('The List'!AN2:AN671)</f>
        <v>0.86545026469914166</v>
      </c>
      <c r="AB649" s="55" cm="1">
        <f t="array" ref="AB649">(VLOOKUP($A649,'The List'!$B1:$AR671,40,FALSE)-AVERAGE('The List'!AO2:AO671))/STDEV('The List'!AO2:AO671)</f>
        <v>0.26539257193722704</v>
      </c>
      <c r="AC649" s="55" cm="1">
        <f t="array" ref="AC649">(VLOOKUP($A649,'The List'!$B1:$AR671,42,FALSE)-AVERAGE('The List'!AQ2:AQ671))/STDEV('The List'!AQ2:AQ671)</f>
        <v>0.48107861807240276</v>
      </c>
      <c r="AD649" s="55" cm="1">
        <f t="array" ref="AD649">(VLOOKUP($A649,'The List'!$B1:$AR671,43,FALSE)-AVERAGE('The List'!AR2:AR671))/STDEV('The List'!AR2:AR671)*-1</f>
        <v>0.96145308452455314</v>
      </c>
      <c r="AE649" s="55"/>
    </row>
    <row r="650" spans="1:31" ht="21.25" customHeight="1" x14ac:dyDescent="0.15">
      <c r="A650" s="10" t="s">
        <v>461</v>
      </c>
      <c r="B650" s="18" t="str" cm="1">
        <f t="array" ref="B650">VLOOKUP(A650,'Player Data'!A1:B673,2,FALSE)</f>
        <v>PHI</v>
      </c>
      <c r="C650" s="52" cm="1">
        <f t="array" ref="C650">(W650*Settings!$C$29)+(X650*Settings!$C$21)+(Y650*Settings!$C$22)+(AA650*Settings!$C$24)+(AB650*Settings!$C$25)+(Z650*Settings!$C$23)+(AC650*Settings!$C$26)+(AD650*Settings!$C$28)</f>
        <v>0.78750772496888821</v>
      </c>
      <c r="D650" s="57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 cm="1">
        <f t="array" ref="W650">(VLOOKUP($A650,'The List'!$B1:$AR671,35,FALSE)-AVERAGE('The List'!AJ2:AJ671))/STDEV('The List'!AJ2:AJ671)</f>
        <v>-0.41398690591755627</v>
      </c>
      <c r="X650" s="55" cm="1">
        <f t="array" ref="X650">(VLOOKUP($A650,'The List'!$B1:$AR671,36,FALSE)-AVERAGE('The List'!AK2:AK671))/STDEV('The List'!AK2:AK671)</f>
        <v>-0.32925889915584139</v>
      </c>
      <c r="Y650" s="55" cm="1">
        <f t="array" ref="Y650">(VLOOKUP($A650,'The List'!$B1:$AR671,37,FALSE)-AVERAGE('The List'!AL2:AL671))/STDEV('The List'!AL2:AL671)*-1</f>
        <v>0.41820977659332426</v>
      </c>
      <c r="Z650" s="55" cm="1">
        <f t="array" ref="Z650">(VLOOKUP($A650,'The List'!$B1:$AR671,38,FALSE)-AVERAGE('The List'!AM2:AM671))/STDEV('The List'!AM2:AM671)</f>
        <v>-0.42484908582588526</v>
      </c>
      <c r="AA650" s="55" cm="1">
        <f t="array" ref="AA650">(VLOOKUP($A650,'The List'!$B1:$AR671,39,FALSE)-AVERAGE('The List'!AN2:AN671))/STDEV('The List'!AN2:AN671)</f>
        <v>9.9422203730933037E-2</v>
      </c>
      <c r="AB650" s="55" cm="1">
        <f t="array" ref="AB650">(VLOOKUP($A650,'The List'!$B1:$AR671,40,FALSE)-AVERAGE('The List'!AO2:AO671))/STDEV('The List'!AO2:AO671)</f>
        <v>-0.48632108973314375</v>
      </c>
      <c r="AC650" s="55" cm="1">
        <f t="array" ref="AC650">(VLOOKUP($A650,'The List'!$B1:$AR671,42,FALSE)-AVERAGE('The List'!AQ2:AQ671))/STDEV('The List'!AQ2:AQ671)</f>
        <v>0.28892731035604635</v>
      </c>
      <c r="AD650" s="55" cm="1">
        <f t="array" ref="AD650">(VLOOKUP($A650,'The List'!$B1:$AR671,43,FALSE)-AVERAGE('The List'!AR2:AR671))/STDEV('The List'!AR2:AR671)*-1</f>
        <v>0.82783931376868325</v>
      </c>
      <c r="AE650" s="55"/>
    </row>
    <row r="651" spans="1:31" ht="21.25" customHeight="1" x14ac:dyDescent="0.15">
      <c r="A651" s="10" t="s">
        <v>393</v>
      </c>
      <c r="B651" s="18" t="str" cm="1">
        <f t="array" ref="B651">VLOOKUP(A651,'Player Data'!A1:B673,2,FALSE)</f>
        <v>PIT</v>
      </c>
      <c r="C651" s="52" cm="1">
        <f t="array" ref="C651">(W651*Settings!$C$29)+(X651*Settings!$C$21)+(Y651*Settings!$C$22)+(AA651*Settings!$C$24)+(AB651*Settings!$C$25)+(Z651*Settings!$C$23)+(AC651*Settings!$C$26)+(AD651*Settings!$C$28)</f>
        <v>-1.4081503260853927</v>
      </c>
      <c r="D651" s="57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 cm="1">
        <f t="array" ref="W651">(VLOOKUP($A651,'The List'!$B1:$AR671,35,FALSE)-AVERAGE('The List'!AJ2:AJ671))/STDEV('The List'!AJ2:AJ671)</f>
        <v>0.44069573855739863</v>
      </c>
      <c r="X651" s="55" cm="1">
        <f t="array" ref="X651">(VLOOKUP($A651,'The List'!$B1:$AR671,36,FALSE)-AVERAGE('The List'!AK2:AK671))/STDEV('The List'!AK2:AK671)</f>
        <v>0.36191219533393787</v>
      </c>
      <c r="Y651" s="55" cm="1">
        <f t="array" ref="Y651">(VLOOKUP($A651,'The List'!$B1:$AR671,37,FALSE)-AVERAGE('The List'!AL2:AL671))/STDEV('The List'!AL2:AL671)*-1</f>
        <v>-0.43676440238057723</v>
      </c>
      <c r="Z651" s="55" cm="1">
        <f t="array" ref="Z651">(VLOOKUP($A651,'The List'!$B1:$AR671,38,FALSE)-AVERAGE('The List'!AM2:AM671))/STDEV('The List'!AM2:AM671)</f>
        <v>0.42836775366327734</v>
      </c>
      <c r="AA651" s="55" cm="1">
        <f t="array" ref="AA651">(VLOOKUP($A651,'The List'!$B1:$AR671,39,FALSE)-AVERAGE('The List'!AN2:AN671))/STDEV('The List'!AN2:AN671)</f>
        <v>-0.19468960546255068</v>
      </c>
      <c r="AB651" s="55" cm="1">
        <f t="array" ref="AB651">(VLOOKUP($A651,'The List'!$B1:$AR671,40,FALSE)-AVERAGE('The List'!AO2:AO671))/STDEV('The List'!AO2:AO671)</f>
        <v>0.27579432738875403</v>
      </c>
      <c r="AC651" s="55" cm="1">
        <f t="array" ref="AC651">(VLOOKUP($A651,'The List'!$B1:$AR671,42,FALSE)-AVERAGE('The List'!AQ2:AQ671))/STDEV('The List'!AQ2:AQ671)</f>
        <v>-1.0973640247216709</v>
      </c>
      <c r="AD651" s="55" cm="1">
        <f t="array" ref="AD651">(VLOOKUP($A651,'The List'!$B1:$AR671,43,FALSE)-AVERAGE('The List'!AR2:AR671))/STDEV('The List'!AR2:AR671)*-1</f>
        <v>-0.67269849669765969</v>
      </c>
      <c r="AE651" s="55"/>
    </row>
    <row r="652" spans="1:31" ht="21.25" customHeight="1" x14ac:dyDescent="0.15">
      <c r="A652" s="10" t="s">
        <v>507</v>
      </c>
      <c r="B652" s="18" t="str" cm="1">
        <f t="array" ref="B652">VLOOKUP(A652,'Player Data'!A1:B673,2,FALSE)</f>
        <v>PIT</v>
      </c>
      <c r="C652" s="52" cm="1">
        <f t="array" ref="C652">(W652*Settings!$C$29)+(X652*Settings!$C$21)+(Y652*Settings!$C$22)+(AA652*Settings!$C$24)+(AB652*Settings!$C$25)+(Z652*Settings!$C$23)+(AC652*Settings!$C$26)+(AD652*Settings!$C$28)</f>
        <v>-1.8209808839183461</v>
      </c>
      <c r="D652" s="57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 cm="1">
        <f t="array" ref="W652">(VLOOKUP($A652,'The List'!$B1:$AR671,35,FALSE)-AVERAGE('The List'!AJ2:AJ671))/STDEV('The List'!AJ2:AJ671)</f>
        <v>-0.41398690591755627</v>
      </c>
      <c r="X652" s="55" cm="1">
        <f t="array" ref="X652">(VLOOKUP($A652,'The List'!$B1:$AR671,36,FALSE)-AVERAGE('The List'!AK2:AK671))/STDEV('The List'!AK2:AK671)</f>
        <v>-0.38368646342995394</v>
      </c>
      <c r="Y652" s="55" cm="1">
        <f t="array" ref="Y652">(VLOOKUP($A652,'The List'!$B1:$AR671,37,FALSE)-AVERAGE('The List'!AL2:AL671))/STDEV('The List'!AL2:AL671)*-1</f>
        <v>0.3595168329841153</v>
      </c>
      <c r="Z652" s="55" cm="1">
        <f t="array" ref="Z652">(VLOOKUP($A652,'The List'!$B1:$AR671,38,FALSE)-AVERAGE('The List'!AM2:AM671))/STDEV('The List'!AM2:AM671)</f>
        <v>-0.36627678144743864</v>
      </c>
      <c r="AA652" s="55" cm="1">
        <f t="array" ref="AA652">(VLOOKUP($A652,'The List'!$B1:$AR671,39,FALSE)-AVERAGE('The List'!AN2:AN671))/STDEV('The List'!AN2:AN671)</f>
        <v>-0.66868136144596546</v>
      </c>
      <c r="AB652" s="55" cm="1">
        <f t="array" ref="AB652">(VLOOKUP($A652,'The List'!$B1:$AR671,40,FALSE)-AVERAGE('The List'!AO2:AO671))/STDEV('The List'!AO2:AO671)</f>
        <v>-0.41005808650415654</v>
      </c>
      <c r="AC652" s="55" cm="1">
        <f t="array" ref="AC652">(VLOOKUP($A652,'The List'!$B1:$AR671,42,FALSE)-AVERAGE('The List'!AQ2:AQ671))/STDEV('The List'!AQ2:AQ671)</f>
        <v>-0.74285766239939266</v>
      </c>
      <c r="AD652" s="55" cm="1">
        <f t="array" ref="AD652">(VLOOKUP($A652,'The List'!$B1:$AR671,43,FALSE)-AVERAGE('The List'!AR2:AR671))/STDEV('The List'!AR2:AR671)*-1</f>
        <v>-0.69443675808899952</v>
      </c>
      <c r="AE652" s="55"/>
    </row>
    <row r="653" spans="1:31" ht="21.25" customHeight="1" x14ac:dyDescent="0.15">
      <c r="A653" s="10" t="s">
        <v>388</v>
      </c>
      <c r="B653" s="18" t="str" cm="1">
        <f t="array" ref="B653">VLOOKUP(A653,'Player Data'!A1:B673,2,FALSE)</f>
        <v>S.J</v>
      </c>
      <c r="C653" s="52" cm="1">
        <f t="array" ref="C653">(W653*Settings!$C$29)+(X653*Settings!$C$21)+(Y653*Settings!$C$22)+(AA653*Settings!$C$24)+(AB653*Settings!$C$25)+(Z653*Settings!$C$23)+(AC653*Settings!$C$26)+(AD653*Settings!$C$28)</f>
        <v>-2.2317617588501011</v>
      </c>
      <c r="D653" s="57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 cm="1">
        <f t="array" ref="W653">(VLOOKUP($A653,'The List'!$B1:$AR671,35,FALSE)-AVERAGE('The List'!AJ2:AJ671))/STDEV('The List'!AJ2:AJ671)</f>
        <v>0.44069573855739863</v>
      </c>
      <c r="X653" s="55" cm="1">
        <f t="array" ref="X653">(VLOOKUP($A653,'The List'!$B1:$AR671,36,FALSE)-AVERAGE('The List'!AK2:AK671))/STDEV('The List'!AK2:AK671)</f>
        <v>0.19431726441496958</v>
      </c>
      <c r="Y653" s="55" cm="1">
        <f t="array" ref="Y653">(VLOOKUP($A653,'The List'!$B1:$AR671,37,FALSE)-AVERAGE('The List'!AL2:AL671))/STDEV('The List'!AL2:AL671)*-1</f>
        <v>-0.61749341277826486</v>
      </c>
      <c r="Z653" s="55" cm="1">
        <f t="array" ref="Z653">(VLOOKUP($A653,'The List'!$B1:$AR671,38,FALSE)-AVERAGE('The List'!AM2:AM671))/STDEV('The List'!AM2:AM671)</f>
        <v>0.60872528825053973</v>
      </c>
      <c r="AA653" s="55" cm="1">
        <f t="array" ref="AA653">(VLOOKUP($A653,'The List'!$B1:$AR671,39,FALSE)-AVERAGE('The List'!AN2:AN671))/STDEV('The List'!AN2:AN671)</f>
        <v>-0.62997962724487144</v>
      </c>
      <c r="AB653" s="55" cm="1">
        <f t="array" ref="AB653">(VLOOKUP($A653,'The List'!$B1:$AR671,40,FALSE)-AVERAGE('The List'!AO2:AO671))/STDEV('The List'!AO2:AO671)</f>
        <v>0.40930961005808464</v>
      </c>
      <c r="AC653" s="55" cm="1">
        <f t="array" ref="AC653">(VLOOKUP($A653,'The List'!$B1:$AR671,42,FALSE)-AVERAGE('The List'!AQ2:AQ671))/STDEV('The List'!AQ2:AQ671)</f>
        <v>-1.0824031419725484</v>
      </c>
      <c r="AD653" s="55" cm="1">
        <f t="array" ref="AD653">(VLOOKUP($A653,'The List'!$B1:$AR671,43,FALSE)-AVERAGE('The List'!AR2:AR671))/STDEV('The List'!AR2:AR671)*-1</f>
        <v>-1.3436758812925222</v>
      </c>
      <c r="AE653" s="55"/>
    </row>
    <row r="654" spans="1:31" ht="21.25" customHeight="1" x14ac:dyDescent="0.15">
      <c r="A654" s="10" t="s">
        <v>483</v>
      </c>
      <c r="B654" s="18" t="str" cm="1">
        <f t="array" ref="B654">VLOOKUP(A654,'Player Data'!A1:B673,2,FALSE)</f>
        <v>S.J</v>
      </c>
      <c r="C654" s="52" cm="1">
        <f t="array" ref="C654">(W654*Settings!$C$29)+(X654*Settings!$C$21)+(Y654*Settings!$C$22)+(AA654*Settings!$C$24)+(AB654*Settings!$C$25)+(Z654*Settings!$C$23)+(AC654*Settings!$C$26)+(AD654*Settings!$C$28)</f>
        <v>-2.4297241807967289</v>
      </c>
      <c r="D654" s="57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 cm="1">
        <f t="array" ref="W654">(VLOOKUP($A654,'The List'!$B1:$AR671,35,FALSE)-AVERAGE('The List'!AJ2:AJ671))/STDEV('The List'!AJ2:AJ671)</f>
        <v>-0.41398690591755627</v>
      </c>
      <c r="X654" s="55" cm="1">
        <f t="array" ref="X654">(VLOOKUP($A654,'The List'!$B1:$AR671,36,FALSE)-AVERAGE('The List'!AK2:AK671))/STDEV('The List'!AK2:AK671)</f>
        <v>-0.51956489722955268</v>
      </c>
      <c r="Y654" s="55" cm="1">
        <f t="array" ref="Y654">(VLOOKUP($A654,'The List'!$B1:$AR671,37,FALSE)-AVERAGE('The List'!AL2:AL671))/STDEV('The List'!AL2:AL671)*-1</f>
        <v>0.21298987813927309</v>
      </c>
      <c r="Z654" s="55" cm="1">
        <f t="array" ref="Z654">(VLOOKUP($A654,'The List'!$B1:$AR671,38,FALSE)-AVERAGE('The List'!AM2:AM671))/STDEV('The List'!AM2:AM671)</f>
        <v>-0.22005100248562712</v>
      </c>
      <c r="AA654" s="55" cm="1">
        <f t="array" ref="AA654">(VLOOKUP($A654,'The List'!$B1:$AR671,39,FALSE)-AVERAGE('The List'!AN2:AN671))/STDEV('The List'!AN2:AN671)</f>
        <v>-1.0250387354541204</v>
      </c>
      <c r="AB654" s="55" cm="1">
        <f t="array" ref="AB654">(VLOOKUP($A654,'The List'!$B1:$AR671,40,FALSE)-AVERAGE('The List'!AO2:AO671))/STDEV('The List'!AO2:AO671)</f>
        <v>-0.26175912505753635</v>
      </c>
      <c r="AC654" s="55" cm="1">
        <f t="array" ref="AC654">(VLOOKUP($A654,'The List'!$B1:$AR671,42,FALSE)-AVERAGE('The List'!AQ2:AQ671))/STDEV('The List'!AQ2:AQ671)</f>
        <v>-0.50947101451465304</v>
      </c>
      <c r="AD654" s="55" cm="1">
        <f t="array" ref="AD654">(VLOOKUP($A654,'The List'!$B1:$AR671,43,FALSE)-AVERAGE('The List'!AR2:AR671))/STDEV('The List'!AR2:AR671)*-1</f>
        <v>-1.4006882690525233</v>
      </c>
      <c r="AE654" s="55"/>
    </row>
    <row r="655" spans="1:31" ht="21.25" customHeight="1" x14ac:dyDescent="0.15">
      <c r="A655" s="10" t="s">
        <v>311</v>
      </c>
      <c r="B655" s="18" t="str" cm="1">
        <f t="array" ref="B655">VLOOKUP(A655,'Player Data'!A1:B673,2,FALSE)</f>
        <v>SEA</v>
      </c>
      <c r="C655" s="52" cm="1">
        <f t="array" ref="C655">(W655*Settings!$C$29)+(X655*Settings!$C$21)+(Y655*Settings!$C$22)+(AA655*Settings!$C$24)+(AB655*Settings!$C$25)+(Z655*Settings!$C$23)+(AC655*Settings!$C$26)+(AD655*Settings!$C$28)</f>
        <v>-0.89879675252568825</v>
      </c>
      <c r="D655" s="57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 cm="1">
        <f t="array" ref="W655">(VLOOKUP($A655,'The List'!$B1:$AR671,35,FALSE)-AVERAGE('The List'!AJ2:AJ671))/STDEV('The List'!AJ2:AJ671)</f>
        <v>0.44069573855739863</v>
      </c>
      <c r="X655" s="55" cm="1">
        <f t="array" ref="X655">(VLOOKUP($A655,'The List'!$B1:$AR671,36,FALSE)-AVERAGE('The List'!AK2:AK671))/STDEV('The List'!AK2:AK671)</f>
        <v>-0.37083521280142567</v>
      </c>
      <c r="Y655" s="55" cm="1">
        <f t="array" ref="Y655">(VLOOKUP($A655,'The List'!$B1:$AR671,37,FALSE)-AVERAGE('The List'!AL2:AL671))/STDEV('The List'!AL2:AL671)*-1</f>
        <v>-1.2269357591013828</v>
      </c>
      <c r="Z655" s="55" cm="1">
        <f t="array" ref="Z655">(VLOOKUP($A655,'The List'!$B1:$AR671,38,FALSE)-AVERAGE('The List'!AM2:AM671))/STDEV('The List'!AM2:AM671)</f>
        <v>1.2169149685573177</v>
      </c>
      <c r="AA655" s="55" cm="1">
        <f t="array" ref="AA655">(VLOOKUP($A655,'The List'!$B1:$AR671,39,FALSE)-AVERAGE('The List'!AN2:AN671))/STDEV('The List'!AN2:AN671)</f>
        <v>-0.36462512281028192</v>
      </c>
      <c r="AB655" s="55" cm="1">
        <f t="array" ref="AB655">(VLOOKUP($A655,'The List'!$B1:$AR671,40,FALSE)-AVERAGE('The List'!AO2:AO671))/STDEV('The List'!AO2:AO671)</f>
        <v>0.65372942870665951</v>
      </c>
      <c r="AC655" s="55" cm="1">
        <f t="array" ref="AC655">(VLOOKUP($A655,'The List'!$B1:$AR671,42,FALSE)-AVERAGE('The List'!AQ2:AQ671))/STDEV('The List'!AQ2:AQ671)</f>
        <v>0.4066838964251232</v>
      </c>
      <c r="AD655" s="55" cm="1">
        <f t="array" ref="AD655">(VLOOKUP($A655,'The List'!$B1:$AR671,43,FALSE)-AVERAGE('The List'!AR2:AR671))/STDEV('The List'!AR2:AR671)*-1</f>
        <v>-0.93464543614938578</v>
      </c>
      <c r="AE655" s="55"/>
    </row>
    <row r="656" spans="1:31" ht="21.25" customHeight="1" x14ac:dyDescent="0.15">
      <c r="A656" s="10" t="s">
        <v>505</v>
      </c>
      <c r="B656" s="18" t="str" cm="1">
        <f t="array" ref="B656">VLOOKUP(A656,'Player Data'!A1:B673,2,FALSE)</f>
        <v>SEA</v>
      </c>
      <c r="C656" s="52" cm="1">
        <f t="array" ref="C656">(W656*Settings!$C$29)+(X656*Settings!$C$21)+(Y656*Settings!$C$22)+(AA656*Settings!$C$24)+(AB656*Settings!$C$25)+(Z656*Settings!$C$23)+(AC656*Settings!$C$26)+(AD656*Settings!$C$28)</f>
        <v>-2.8282219966441176</v>
      </c>
      <c r="D656" s="57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 cm="1">
        <f t="array" ref="W656">(VLOOKUP($A656,'The List'!$B1:$AR671,35,FALSE)-AVERAGE('The List'!AJ2:AJ671))/STDEV('The List'!AJ2:AJ671)</f>
        <v>-0.41398690591755627</v>
      </c>
      <c r="X656" s="55" cm="1">
        <f t="array" ref="X656">(VLOOKUP($A656,'The List'!$B1:$AR671,36,FALSE)-AVERAGE('The List'!AK2:AK671))/STDEV('The List'!AK2:AK671)</f>
        <v>-1.017719890188302</v>
      </c>
      <c r="Y656" s="55" cm="1">
        <f t="array" ref="Y656">(VLOOKUP($A656,'The List'!$B1:$AR671,37,FALSE)-AVERAGE('The List'!AL2:AL671))/STDEV('The List'!AL2:AL671)*-1</f>
        <v>-0.32420452510690428</v>
      </c>
      <c r="Z656" s="55" cm="1">
        <f t="array" ref="Z656">(VLOOKUP($A656,'The List'!$B1:$AR671,38,FALSE)-AVERAGE('The List'!AM2:AM671))/STDEV('The List'!AM2:AM671)</f>
        <v>0.31603923532605127</v>
      </c>
      <c r="AA656" s="55" cm="1">
        <f t="array" ref="AA656">(VLOOKUP($A656,'The List'!$B1:$AR671,39,FALSE)-AVERAGE('The List'!AN2:AN671))/STDEV('The List'!AN2:AN671)</f>
        <v>-1.0111901450057299</v>
      </c>
      <c r="AB656" s="55" cm="1">
        <f t="array" ref="AB656">(VLOOKUP($A656,'The List'!$B1:$AR671,40,FALSE)-AVERAGE('The List'!AO2:AO671))/STDEV('The List'!AO2:AO671)</f>
        <v>-0.25373460797423086</v>
      </c>
      <c r="AC656" s="55" cm="1">
        <f t="array" ref="AC656">(VLOOKUP($A656,'The List'!$B1:$AR671,42,FALSE)-AVERAGE('The List'!AQ2:AQ671))/STDEV('The List'!AQ2:AQ671)</f>
        <v>-0.43725984706174709</v>
      </c>
      <c r="AD656" s="55" cm="1">
        <f t="array" ref="AD656">(VLOOKUP($A656,'The List'!$B1:$AR671,43,FALSE)-AVERAGE('The List'!AR2:AR671))/STDEV('The List'!AR2:AR671)*-1</f>
        <v>-1.3732422593940687</v>
      </c>
      <c r="AE656" s="55"/>
    </row>
    <row r="657" spans="1:31" ht="21.25" customHeight="1" x14ac:dyDescent="0.15">
      <c r="A657" s="10" t="s">
        <v>281</v>
      </c>
      <c r="B657" s="18" t="str" cm="1">
        <f t="array" ref="B657">VLOOKUP(A657,'Player Data'!A1:B673,2,FALSE)</f>
        <v>STL</v>
      </c>
      <c r="C657" s="52" cm="1">
        <f t="array" ref="C657">(W657*Settings!$C$29)+(X657*Settings!$C$21)+(Y657*Settings!$C$22)+(AA657*Settings!$C$24)+(AB657*Settings!$C$25)+(Z657*Settings!$C$23)+(AC657*Settings!$C$26)+(AD657*Settings!$C$28)</f>
        <v>1.1577331547969023</v>
      </c>
      <c r="D657" s="57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 cm="1">
        <f t="array" ref="W657">(VLOOKUP($A657,'The List'!$B1:$AR671,35,FALSE)-AVERAGE('The List'!AJ2:AJ671))/STDEV('The List'!AJ2:AJ671)</f>
        <v>0.44069573855739863</v>
      </c>
      <c r="X657" s="55" cm="1">
        <f t="array" ref="X657">(VLOOKUP($A657,'The List'!$B1:$AR671,36,FALSE)-AVERAGE('The List'!AK2:AK671))/STDEV('The List'!AK2:AK671)</f>
        <v>0.25263310078330675</v>
      </c>
      <c r="Y657" s="55" cm="1">
        <f t="array" ref="Y657">(VLOOKUP($A657,'The List'!$B1:$AR671,37,FALSE)-AVERAGE('The List'!AL2:AL671))/STDEV('The List'!AL2:AL671)*-1</f>
        <v>-0.55460748096890589</v>
      </c>
      <c r="Z657" s="55" cm="1">
        <f t="array" ref="Z657">(VLOOKUP($A657,'The List'!$B1:$AR671,38,FALSE)-AVERAGE('The List'!AM2:AM671))/STDEV('The List'!AM2:AM671)</f>
        <v>0.54596861406527575</v>
      </c>
      <c r="AA657" s="55" cm="1">
        <f t="array" ref="AA657">(VLOOKUP($A657,'The List'!$B1:$AR671,39,FALSE)-AVERAGE('The List'!AN2:AN671))/STDEV('The List'!AN2:AN671)</f>
        <v>0.24824864002703542</v>
      </c>
      <c r="AB657" s="55" cm="1">
        <f t="array" ref="AB657">(VLOOKUP($A657,'The List'!$B1:$AR671,40,FALSE)-AVERAGE('The List'!AO2:AO671))/STDEV('The List'!AO2:AO671)</f>
        <v>0.56460197404456802</v>
      </c>
      <c r="AC657" s="55" cm="1">
        <f t="array" ref="AC657">(VLOOKUP($A657,'The List'!$B1:$AR671,42,FALSE)-AVERAGE('The List'!AQ2:AQ671))/STDEV('The List'!AQ2:AQ671)</f>
        <v>0.89503181905329099</v>
      </c>
      <c r="AD657" s="55" cm="1">
        <f t="array" ref="AD657">(VLOOKUP($A657,'The List'!$B1:$AR671,43,FALSE)-AVERAGE('The List'!AR2:AR671))/STDEV('The List'!AR2:AR671)*-1</f>
        <v>1.0068234960304508E-2</v>
      </c>
      <c r="AE657" s="55"/>
    </row>
    <row r="658" spans="1:31" ht="21.25" customHeight="1" x14ac:dyDescent="0.15">
      <c r="A658" s="10" t="s">
        <v>538</v>
      </c>
      <c r="B658" s="18" t="str" cm="1">
        <f t="array" ref="B658">VLOOKUP(A658,'Player Data'!A1:B673,2,FALSE)</f>
        <v>STL</v>
      </c>
      <c r="C658" s="52" cm="1">
        <f t="array" ref="C658">(W658*Settings!$C$29)+(X658*Settings!$C$21)+(Y658*Settings!$C$22)+(AA658*Settings!$C$24)+(AB658*Settings!$C$25)+(Z658*Settings!$C$23)+(AC658*Settings!$C$26)+(AD658*Settings!$C$28)</f>
        <v>-2.3204833911690712</v>
      </c>
      <c r="D658" s="57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 cm="1">
        <f t="array" ref="W658">(VLOOKUP($A658,'The List'!$B1:$AR671,35,FALSE)-AVERAGE('The List'!AJ2:AJ671))/STDEV('The List'!AJ2:AJ671)</f>
        <v>-0.41398690591755627</v>
      </c>
      <c r="X658" s="55" cm="1">
        <f t="array" ref="X658">(VLOOKUP($A658,'The List'!$B1:$AR671,36,FALSE)-AVERAGE('The List'!AK2:AK671))/STDEV('The List'!AK2:AK671)</f>
        <v>-0.58073480198646188</v>
      </c>
      <c r="Y658" s="55" cm="1">
        <f t="array" ref="Y658">(VLOOKUP($A658,'The List'!$B1:$AR671,37,FALSE)-AVERAGE('The List'!AL2:AL671))/STDEV('The List'!AL2:AL671)*-1</f>
        <v>0.14702621031102137</v>
      </c>
      <c r="Z658" s="55" cm="1">
        <f t="array" ref="Z658">(VLOOKUP($A658,'The List'!$B1:$AR671,38,FALSE)-AVERAGE('The List'!AM2:AM671))/STDEV('The List'!AM2:AM671)</f>
        <v>-0.15422291835206803</v>
      </c>
      <c r="AA658" s="55" cm="1">
        <f t="array" ref="AA658">(VLOOKUP($A658,'The List'!$B1:$AR671,39,FALSE)-AVERAGE('The List'!AN2:AN671))/STDEV('The List'!AN2:AN671)</f>
        <v>-0.6550050890290936</v>
      </c>
      <c r="AB658" s="55" cm="1">
        <f t="array" ref="AB658">(VLOOKUP($A658,'The List'!$B1:$AR671,40,FALSE)-AVERAGE('The List'!AO2:AO671))/STDEV('The List'!AO2:AO671)</f>
        <v>-0.46581059840498862</v>
      </c>
      <c r="AC658" s="55" cm="1">
        <f t="array" ref="AC658">(VLOOKUP($A658,'The List'!$B1:$AR671,42,FALSE)-AVERAGE('The List'!AQ2:AQ671))/STDEV('The List'!AQ2:AQ671)</f>
        <v>-1.072416330013118</v>
      </c>
      <c r="AD658" s="55" cm="1">
        <f t="array" ref="AD658">(VLOOKUP($A658,'The List'!$B1:$AR671,43,FALSE)-AVERAGE('The List'!AR2:AR671))/STDEV('The List'!AR2:AR671)*-1</f>
        <v>-0.66733225916949113</v>
      </c>
      <c r="AE658" s="55"/>
    </row>
    <row r="659" spans="1:31" ht="21.25" customHeight="1" x14ac:dyDescent="0.15">
      <c r="A659" s="10" t="s">
        <v>153</v>
      </c>
      <c r="B659" s="18" t="str" cm="1">
        <f t="array" ref="B659">VLOOKUP(A659,'Player Data'!A1:B673,2,FALSE)</f>
        <v>T.B</v>
      </c>
      <c r="C659" s="52" cm="1">
        <f t="array" ref="C659">(W659*Settings!$C$29)+(X659*Settings!$C$21)+(Y659*Settings!$C$22)+(AA659*Settings!$C$24)+(AB659*Settings!$C$25)+(Z659*Settings!$C$23)+(AC659*Settings!$C$26)+(AD659*Settings!$C$28)</f>
        <v>5.9338194267083386</v>
      </c>
      <c r="D659" s="57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 cm="1">
        <f t="array" ref="W659">(VLOOKUP($A659,'The List'!$B1:$AR671,35,FALSE)-AVERAGE('The List'!AJ2:AJ671))/STDEV('The List'!AJ2:AJ671)</f>
        <v>1.2953783830323535</v>
      </c>
      <c r="X659" s="55" cm="1">
        <f t="array" ref="X659">(VLOOKUP($A659,'The List'!$B1:$AR671,36,FALSE)-AVERAGE('The List'!AK2:AK671))/STDEV('The List'!AK2:AK671)</f>
        <v>2.07201729093542</v>
      </c>
      <c r="Y659" s="55" cm="1">
        <f t="array" ref="Y659">(VLOOKUP($A659,'The List'!$B1:$AR671,37,FALSE)-AVERAGE('The List'!AL2:AL671))/STDEV('The List'!AL2:AL671)*-1</f>
        <v>-0.19295276085430177</v>
      </c>
      <c r="Z659" s="55" cm="1">
        <f t="array" ref="Z659">(VLOOKUP($A659,'The List'!$B1:$AR671,38,FALSE)-AVERAGE('The List'!AM2:AM671))/STDEV('The List'!AM2:AM671)</f>
        <v>0.18505724987312583</v>
      </c>
      <c r="AA659" s="55" cm="1">
        <f t="array" ref="AA659">(VLOOKUP($A659,'The List'!$B1:$AR671,39,FALSE)-AVERAGE('The List'!AN2:AN671))/STDEV('The List'!AN2:AN671)</f>
        <v>2.1008106503773338</v>
      </c>
      <c r="AB659" s="55" cm="1">
        <f t="array" ref="AB659">(VLOOKUP($A659,'The List'!$B1:$AR671,40,FALSE)-AVERAGE('The List'!AO2:AO671))/STDEV('The List'!AO2:AO671)</f>
        <v>1.3110193594661095</v>
      </c>
      <c r="AC659" s="55" cm="1">
        <f t="array" ref="AC659">(VLOOKUP($A659,'The List'!$B1:$AR671,42,FALSE)-AVERAGE('The List'!AQ2:AQ671))/STDEV('The List'!AQ2:AQ671)</f>
        <v>2.2234069483373138</v>
      </c>
      <c r="AD659" s="55" cm="1">
        <f t="array" ref="AD659">(VLOOKUP($A659,'The List'!$B1:$AR671,43,FALSE)-AVERAGE('The List'!AR2:AR671))/STDEV('The List'!AR2:AR671)*-1</f>
        <v>1.6383951874356051</v>
      </c>
      <c r="AE659" s="55"/>
    </row>
    <row r="660" spans="1:31" ht="21.25" customHeight="1" x14ac:dyDescent="0.15">
      <c r="A660" s="10" t="s">
        <v>635</v>
      </c>
      <c r="B660" s="18" t="str" cm="1">
        <f t="array" ref="B660">VLOOKUP(A660,'Player Data'!A1:B673,2,FALSE)</f>
        <v>T.B</v>
      </c>
      <c r="C660" s="52" cm="1">
        <f t="array" ref="C660">(W660*Settings!$C$29)+(X660*Settings!$C$21)+(Y660*Settings!$C$22)+(AA660*Settings!$C$24)+(AB660*Settings!$C$25)+(Z660*Settings!$C$23)+(AC660*Settings!$C$26)+(AD660*Settings!$C$28)</f>
        <v>-0.68346053211146141</v>
      </c>
      <c r="D660" s="57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 cm="1">
        <f t="array" ref="W660">(VLOOKUP($A660,'The List'!$B1:$AR671,35,FALSE)-AVERAGE('The List'!AJ2:AJ671))/STDEV('The List'!AJ2:AJ671)</f>
        <v>-1.2686695503925112</v>
      </c>
      <c r="X660" s="55" cm="1">
        <f t="array" ref="X660">(VLOOKUP($A660,'The List'!$B1:$AR671,36,FALSE)-AVERAGE('The List'!AK2:AK671))/STDEV('The List'!AK2:AK671)</f>
        <v>-0.79557867550257522</v>
      </c>
      <c r="Y660" s="55" cm="1">
        <f t="array" ref="Y660">(VLOOKUP($A660,'The List'!$B1:$AR671,37,FALSE)-AVERAGE('The List'!AL2:AL671))/STDEV('The List'!AL2:AL671)*-1</f>
        <v>1.5156564217198869</v>
      </c>
      <c r="Z660" s="55" cm="1">
        <f t="array" ref="Z660">(VLOOKUP($A660,'The List'!$B1:$AR671,38,FALSE)-AVERAGE('The List'!AM2:AM671))/STDEV('The List'!AM2:AM671)</f>
        <v>-1.52004000631268</v>
      </c>
      <c r="AA660" s="55" cm="1">
        <f t="array" ref="AA660">(VLOOKUP($A660,'The List'!$B1:$AR671,39,FALSE)-AVERAGE('The List'!AN2:AN671))/STDEV('The List'!AN2:AN671)</f>
        <v>-0.60589477110232726</v>
      </c>
      <c r="AB660" s="55" cm="1">
        <f t="array" ref="AB660">(VLOOKUP($A660,'The List'!$B1:$AR671,40,FALSE)-AVERAGE('The List'!AO2:AO671))/STDEV('The List'!AO2:AO671)</f>
        <v>-1.3210344525924949</v>
      </c>
      <c r="AC660" s="55" cm="1">
        <f t="array" ref="AC660">(VLOOKUP($A660,'The List'!$B1:$AR671,42,FALSE)-AVERAGE('The List'!AQ2:AQ671))/STDEV('The List'!AQ2:AQ671)</f>
        <v>-0.64366586440668072</v>
      </c>
      <c r="AD660" s="55" cm="1">
        <f t="array" ref="AD660">(VLOOKUP($A660,'The List'!$B1:$AR671,43,FALSE)-AVERAGE('The List'!AR2:AR671))/STDEV('The List'!AR2:AR671)*-1</f>
        <v>0.75578400779779453</v>
      </c>
      <c r="AE660" s="55"/>
    </row>
    <row r="661" spans="1:31" ht="21.25" customHeight="1" x14ac:dyDescent="0.15">
      <c r="A661" s="10" t="s">
        <v>245</v>
      </c>
      <c r="B661" s="18" t="str" cm="1">
        <f t="array" ref="B661">VLOOKUP(A661,'Player Data'!A1:B673,2,FALSE)</f>
        <v>TOR</v>
      </c>
      <c r="C661" s="52" cm="1">
        <f t="array" ref="C661">(W661*Settings!$C$29)+(X661*Settings!$C$21)+(Y661*Settings!$C$22)+(AA661*Settings!$C$24)+(AB661*Settings!$C$25)+(Z661*Settings!$C$23)+(AC661*Settings!$C$26)+(AD661*Settings!$C$28)</f>
        <v>1.1087582070740072</v>
      </c>
      <c r="D661" s="57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 cm="1">
        <f t="array" ref="W661">(VLOOKUP($A661,'The List'!$B1:$AR671,35,FALSE)-AVERAGE('The List'!AJ2:AJ671))/STDEV('The List'!AJ2:AJ671)</f>
        <v>1.0389735896898671</v>
      </c>
      <c r="X661" s="55" cm="1">
        <f t="array" ref="X661">(VLOOKUP($A661,'The List'!$B1:$AR671,36,FALSE)-AVERAGE('The List'!AK2:AK671))/STDEV('The List'!AK2:AK671)</f>
        <v>1.2109933178405941</v>
      </c>
      <c r="Y661" s="55" cm="1">
        <f t="array" ref="Y661">(VLOOKUP($A661,'The List'!$B1:$AR671,37,FALSE)-AVERAGE('The List'!AL2:AL671))/STDEV('The List'!AL2:AL671)*-1</f>
        <v>-0.56967676230114006</v>
      </c>
      <c r="Z661" s="55" cm="1">
        <f t="array" ref="Z661">(VLOOKUP($A661,'The List'!$B1:$AR671,38,FALSE)-AVERAGE('The List'!AM2:AM671))/STDEV('The List'!AM2:AM671)</f>
        <v>0.84715118935081035</v>
      </c>
      <c r="AA661" s="55" cm="1">
        <f t="array" ref="AA661">(VLOOKUP($A661,'The List'!$B1:$AR671,39,FALSE)-AVERAGE('The List'!AN2:AN671))/STDEV('The List'!AN2:AN671)</f>
        <v>0.34111119735065831</v>
      </c>
      <c r="AB661" s="55" cm="1">
        <f t="array" ref="AB661">(VLOOKUP($A661,'The List'!$B1:$AR671,40,FALSE)-AVERAGE('The List'!AO2:AO671))/STDEV('The List'!AO2:AO671)</f>
        <v>0.96286008221355679</v>
      </c>
      <c r="AC661" s="55" cm="1">
        <f t="array" ref="AC661">(VLOOKUP($A661,'The List'!$B1:$AR671,42,FALSE)-AVERAGE('The List'!AQ2:AQ671))/STDEV('The List'!AQ2:AQ671)</f>
        <v>7.6173992082887054E-2</v>
      </c>
      <c r="AD661" s="55" cm="1">
        <f t="array" ref="AD661">(VLOOKUP($A661,'The List'!$B1:$AR671,43,FALSE)-AVERAGE('The List'!AR2:AR671))/STDEV('The List'!AR2:AR671)*-1</f>
        <v>-0.17840910284947384</v>
      </c>
      <c r="AE661" s="55"/>
    </row>
    <row r="662" spans="1:31" ht="21.25" customHeight="1" x14ac:dyDescent="0.15">
      <c r="A662" s="10" t="s">
        <v>533</v>
      </c>
      <c r="B662" s="18" t="str" cm="1">
        <f t="array" ref="B662">VLOOKUP(A662,'Player Data'!A1:B673,2,FALSE)</f>
        <v>TOR</v>
      </c>
      <c r="C662" s="52" cm="1">
        <f t="array" ref="C662">(W662*Settings!$C$29)+(X662*Settings!$C$21)+(Y662*Settings!$C$22)+(AA662*Settings!$C$24)+(AB662*Settings!$C$25)+(Z662*Settings!$C$23)+(AC662*Settings!$C$26)+(AD662*Settings!$C$28)</f>
        <v>-0.57698991224104224</v>
      </c>
      <c r="D662" s="57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 cm="1">
        <f t="array" ref="W662">(VLOOKUP($A662,'The List'!$B1:$AR671,35,FALSE)-AVERAGE('The List'!AJ2:AJ671))/STDEV('The List'!AJ2:AJ671)</f>
        <v>-1.0122647570500247</v>
      </c>
      <c r="X662" s="55" cm="1">
        <f t="array" ref="X662">(VLOOKUP($A662,'The List'!$B1:$AR671,36,FALSE)-AVERAGE('The List'!AK2:AK671))/STDEV('The List'!AK2:AK671)</f>
        <v>-0.81070086005129205</v>
      </c>
      <c r="Y662" s="55" cm="1">
        <f t="array" ref="Y662">(VLOOKUP($A662,'The List'!$B1:$AR671,37,FALSE)-AVERAGE('The List'!AL2:AL671))/STDEV('The List'!AL2:AL671)*-1</f>
        <v>1.0192558509631215</v>
      </c>
      <c r="Z662" s="55" cm="1">
        <f t="array" ref="Z662">(VLOOKUP($A662,'The List'!$B1:$AR671,38,FALSE)-AVERAGE('The List'!AM2:AM671))/STDEV('The List'!AM2:AM671)</f>
        <v>-1.0246597521276737</v>
      </c>
      <c r="AA662" s="55" cm="1">
        <f t="array" ref="AA662">(VLOOKUP($A662,'The List'!$B1:$AR671,39,FALSE)-AVERAGE('The List'!AN2:AN671))/STDEV('The List'!AN2:AN671)</f>
        <v>-0.81316644777773961</v>
      </c>
      <c r="AB662" s="55" cm="1">
        <f t="array" ref="AB662">(VLOOKUP($A662,'The List'!$B1:$AR671,40,FALSE)-AVERAGE('The List'!AO2:AO671))/STDEV('The List'!AO2:AO671)</f>
        <v>-0.8334276418228278</v>
      </c>
      <c r="AC662" s="55" cm="1">
        <f t="array" ref="AC662">(VLOOKUP($A662,'The List'!$B1:$AR671,42,FALSE)-AVERAGE('The List'!AQ2:AQ671))/STDEV('The List'!AQ2:AQ671)</f>
        <v>0.48857691429529732</v>
      </c>
      <c r="AD662" s="55" cm="1">
        <f t="array" ref="AD662">(VLOOKUP($A662,'The List'!$B1:$AR671,43,FALSE)-AVERAGE('The List'!AR2:AR671))/STDEV('The List'!AR2:AR671)*-1</f>
        <v>-0.25486596648504745</v>
      </c>
      <c r="AE662" s="55"/>
    </row>
    <row r="663" spans="1:31" ht="21.25" customHeight="1" x14ac:dyDescent="0.15">
      <c r="A663" s="10" t="s">
        <v>219</v>
      </c>
      <c r="B663" s="18" t="str" cm="1">
        <f t="array" ref="B663">VLOOKUP(A663,'Player Data'!A1:B673,2,FALSE)</f>
        <v>UTA</v>
      </c>
      <c r="C663" s="52" cm="1">
        <f t="array" ref="C663">(W663*Settings!$C$29)+(X663*Settings!$C$21)+(Y663*Settings!$C$22)+(AA663*Settings!$C$24)+(AB663*Settings!$C$25)+(Z663*Settings!$C$23)+(AC663*Settings!$C$26)+(AD663*Settings!$C$28)</f>
        <v>1.8655104188385123</v>
      </c>
      <c r="D663" s="57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 cm="1">
        <f t="array" ref="W663">(VLOOKUP($A663,'The List'!$B1:$AR671,35,FALSE)-AVERAGE('The List'!AJ2:AJ671))/STDEV('The List'!AJ2:AJ671)</f>
        <v>1.2953783830323535</v>
      </c>
      <c r="X663" s="55" cm="1">
        <f t="array" ref="X663">(VLOOKUP($A663,'The List'!$B1:$AR671,36,FALSE)-AVERAGE('The List'!AK2:AK671))/STDEV('The List'!AK2:AK671)</f>
        <v>1.2709317303645649</v>
      </c>
      <c r="Y663" s="55" cm="1">
        <f t="array" ref="Y663">(VLOOKUP($A663,'The List'!$B1:$AR671,37,FALSE)-AVERAGE('The List'!AL2:AL671))/STDEV('The List'!AL2:AL671)*-1</f>
        <v>-1.0568177943131256</v>
      </c>
      <c r="Z663" s="55" cm="1">
        <f t="array" ref="Z663">(VLOOKUP($A663,'The List'!$B1:$AR671,38,FALSE)-AVERAGE('The List'!AM2:AM671))/STDEV('The List'!AM2:AM671)</f>
        <v>1.0471466693191178</v>
      </c>
      <c r="AA663" s="55" cm="1">
        <f t="array" ref="AA663">(VLOOKUP($A663,'The List'!$B1:$AR671,39,FALSE)-AVERAGE('The List'!AN2:AN671))/STDEV('The List'!AN2:AN671)</f>
        <v>0.94234509292154844</v>
      </c>
      <c r="AB663" s="55" cm="1">
        <f t="array" ref="AB663">(VLOOKUP($A663,'The List'!$B1:$AR671,40,FALSE)-AVERAGE('The List'!AO2:AO671))/STDEV('The List'!AO2:AO671)</f>
        <v>1.195558561287051</v>
      </c>
      <c r="AC663" s="55" cm="1">
        <f t="array" ref="AC663">(VLOOKUP($A663,'The List'!$B1:$AR671,42,FALSE)-AVERAGE('The List'!AQ2:AQ671))/STDEV('The List'!AQ2:AQ671)</f>
        <v>0.41722355143126993</v>
      </c>
      <c r="AD663" s="55" cm="1">
        <f t="array" ref="AD663">(VLOOKUP($A663,'The List'!$B1:$AR671,43,FALSE)-AVERAGE('The List'!AR2:AR671))/STDEV('The List'!AR2:AR671)*-1</f>
        <v>0.17735513704267755</v>
      </c>
      <c r="AE663" s="55"/>
    </row>
    <row r="664" spans="1:31" ht="21.25" customHeight="1" x14ac:dyDescent="0.15">
      <c r="A664" s="10" t="s">
        <v>607</v>
      </c>
      <c r="B664" s="18" t="str" cm="1">
        <f t="array" ref="B664">VLOOKUP(A664,'Player Data'!A1:B673,2,FALSE)</f>
        <v>UTA</v>
      </c>
      <c r="C664" s="52" cm="1">
        <f t="array" ref="C664">(W664*Settings!$C$29)+(X664*Settings!$C$21)+(Y664*Settings!$C$22)+(AA664*Settings!$C$24)+(AB664*Settings!$C$25)+(Z664*Settings!$C$23)+(AC664*Settings!$C$26)+(AD664*Settings!$C$28)</f>
        <v>-1.1278224170055009</v>
      </c>
      <c r="D664" s="57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 cm="1">
        <f t="array" ref="W664">(VLOOKUP($A664,'The List'!$B1:$AR671,35,FALSE)-AVERAGE('The List'!AJ2:AJ671))/STDEV('The List'!AJ2:AJ671)</f>
        <v>-1.2686695503925112</v>
      </c>
      <c r="X664" s="55" cm="1">
        <f t="array" ref="X664">(VLOOKUP($A664,'The List'!$B1:$AR671,36,FALSE)-AVERAGE('The List'!AK2:AK671))/STDEV('The List'!AK2:AK671)</f>
        <v>-1.029819752369201</v>
      </c>
      <c r="Y664" s="55" cm="1">
        <f t="array" ref="Y664">(VLOOKUP($A664,'The List'!$B1:$AR671,37,FALSE)-AVERAGE('The List'!AL2:AL671))/STDEV('The List'!AL2:AL671)*-1</f>
        <v>1.2963858568017663</v>
      </c>
      <c r="Z664" s="55" cm="1">
        <f t="array" ref="Z664">(VLOOKUP($A664,'The List'!$B1:$AR671,38,FALSE)-AVERAGE('The List'!AM2:AM671))/STDEV('The List'!AM2:AM671)</f>
        <v>-1.1681840798994489</v>
      </c>
      <c r="AA664" s="55" cm="1">
        <f t="array" ref="AA664">(VLOOKUP($A664,'The List'!$B1:$AR671,39,FALSE)-AVERAGE('The List'!AN2:AN671))/STDEV('The List'!AN2:AN671)</f>
        <v>-1.0370988032680026</v>
      </c>
      <c r="AB664" s="55" cm="1">
        <f t="array" ref="AB664">(VLOOKUP($A664,'The List'!$B1:$AR671,40,FALSE)-AVERAGE('The List'!AO2:AO671))/STDEV('The List'!AO2:AO671)</f>
        <v>-1.1214103091056178</v>
      </c>
      <c r="AC664" s="55" cm="1">
        <f t="array" ref="AC664">(VLOOKUP($A664,'The List'!$B1:$AR671,42,FALSE)-AVERAGE('The List'!AQ2:AQ671))/STDEV('The List'!AQ2:AQ671)</f>
        <v>0.13009313562603697</v>
      </c>
      <c r="AD664" s="55" cm="1">
        <f t="array" ref="AD664">(VLOOKUP($A664,'The List'!$B1:$AR671,43,FALSE)-AVERAGE('The List'!AR2:AR671))/STDEV('The List'!AR2:AR671)*-1</f>
        <v>-0.22809580026233695</v>
      </c>
      <c r="AE664" s="55"/>
    </row>
    <row r="665" spans="1:31" ht="21.25" customHeight="1" x14ac:dyDescent="0.15">
      <c r="A665" s="10" t="s">
        <v>327</v>
      </c>
      <c r="B665" s="18" t="str" cm="1">
        <f t="array" ref="B665">VLOOKUP(A665,'Player Data'!A1:B673,2,FALSE)</f>
        <v>VAN</v>
      </c>
      <c r="C665" s="52" cm="1">
        <f t="array" ref="C665">(W665*Settings!$C$29)+(X665*Settings!$C$21)+(Y665*Settings!$C$22)+(AA665*Settings!$C$24)+(AB665*Settings!$C$25)+(Z665*Settings!$C$23)+(AC665*Settings!$C$26)+(AD665*Settings!$C$28)</f>
        <v>-2.3482748325218097</v>
      </c>
      <c r="D665" s="57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 cm="1">
        <f t="array" ref="W665">(VLOOKUP($A665,'The List'!$B1:$AR671,35,FALSE)-AVERAGE('The List'!AJ2:AJ671))/STDEV('The List'!AJ2:AJ671)</f>
        <v>0.44069573855739863</v>
      </c>
      <c r="X665" s="55" cm="1">
        <f t="array" ref="X665">(VLOOKUP($A665,'The List'!$B1:$AR671,36,FALSE)-AVERAGE('The List'!AK2:AK671))/STDEV('The List'!AK2:AK671)</f>
        <v>-0.60061155576564684</v>
      </c>
      <c r="Y665" s="55" cm="1">
        <f t="array" ref="Y665">(VLOOKUP($A665,'The List'!$B1:$AR671,37,FALSE)-AVERAGE('The List'!AL2:AL671))/STDEV('The List'!AL2:AL671)*-1</f>
        <v>-1.4747192144184225</v>
      </c>
      <c r="Z665" s="55" cm="1">
        <f t="array" ref="Z665">(VLOOKUP($A665,'The List'!$B1:$AR671,38,FALSE)-AVERAGE('The List'!AM2:AM671))/STDEV('The List'!AM2:AM671)</f>
        <v>1.4641891223534336</v>
      </c>
      <c r="AA665" s="55" cm="1">
        <f t="array" ref="AA665">(VLOOKUP($A665,'The List'!$B1:$AR671,39,FALSE)-AVERAGE('The List'!AN2:AN671))/STDEV('The List'!AN2:AN671)</f>
        <v>-0.9437434181676172</v>
      </c>
      <c r="AB665" s="55" cm="1">
        <f t="array" ref="AB665">(VLOOKUP($A665,'The List'!$B1:$AR671,40,FALSE)-AVERAGE('The List'!AO2:AO671))/STDEV('The List'!AO2:AO671)</f>
        <v>0.7643059879645917</v>
      </c>
      <c r="AC665" s="55" cm="1">
        <f t="array" ref="AC665">(VLOOKUP($A665,'The List'!$B1:$AR671,42,FALSE)-AVERAGE('The List'!AQ2:AQ671))/STDEV('The List'!AQ2:AQ671)</f>
        <v>7.9663497685461562E-2</v>
      </c>
      <c r="AD665" s="55" cm="1">
        <f t="array" ref="AD665">(VLOOKUP($A665,'The List'!$B1:$AR671,43,FALSE)-AVERAGE('The List'!AR2:AR671))/STDEV('The List'!AR2:AR671)*-1</f>
        <v>-1.8273267744416242</v>
      </c>
      <c r="AE665" s="55"/>
    </row>
    <row r="666" spans="1:31" ht="21.25" customHeight="1" x14ac:dyDescent="0.15">
      <c r="A666" s="10" t="s">
        <v>555</v>
      </c>
      <c r="B666" s="18" t="str" cm="1">
        <f t="array" ref="B666">VLOOKUP(A666,'Player Data'!A1:B673,2,FALSE)</f>
        <v>VAN</v>
      </c>
      <c r="C666" s="52" cm="1">
        <f t="array" ref="C666">(W666*Settings!$C$29)+(X666*Settings!$C$21)+(Y666*Settings!$C$22)+(AA666*Settings!$C$24)+(AB666*Settings!$C$25)+(Z666*Settings!$C$23)+(AC666*Settings!$C$26)+(AD666*Settings!$C$28)</f>
        <v>-4.8012320868857099</v>
      </c>
      <c r="D666" s="57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 cm="1">
        <f t="array" ref="W666">(VLOOKUP($A666,'The List'!$B1:$AR671,35,FALSE)-AVERAGE('The List'!AJ2:AJ671))/STDEV('The List'!AJ2:AJ671)</f>
        <v>-0.41398690591755627</v>
      </c>
      <c r="X666" s="55" cm="1">
        <f t="array" ref="X666">(VLOOKUP($A666,'The List'!$B1:$AR671,36,FALSE)-AVERAGE('The List'!AK2:AK671))/STDEV('The List'!AK2:AK671)</f>
        <v>-1.2028739374240434</v>
      </c>
      <c r="Y666" s="55" cm="1">
        <f t="array" ref="Y666">(VLOOKUP($A666,'The List'!$B1:$AR671,37,FALSE)-AVERAGE('The List'!AL2:AL671))/STDEV('The List'!AL2:AL671)*-1</f>
        <v>-0.52386872464180168</v>
      </c>
      <c r="Z666" s="55" cm="1">
        <f t="array" ref="Z666">(VLOOKUP($A666,'The List'!$B1:$AR671,38,FALSE)-AVERAGE('The List'!AM2:AM671))/STDEV('The List'!AM2:AM671)</f>
        <v>0.51529303909674939</v>
      </c>
      <c r="AA666" s="55" cm="1">
        <f t="array" ref="AA666">(VLOOKUP($A666,'The List'!$B1:$AR671,39,FALSE)-AVERAGE('The List'!AN2:AN671))/STDEV('The List'!AN2:AN671)</f>
        <v>-1.5059904231758772</v>
      </c>
      <c r="AB666" s="55" cm="1">
        <f t="array" ref="AB666">(VLOOKUP($A666,'The List'!$B1:$AR671,40,FALSE)-AVERAGE('The List'!AO2:AO671))/STDEV('The List'!AO2:AO671)</f>
        <v>-0.23920003120959046</v>
      </c>
      <c r="AC666" s="55" cm="1">
        <f t="array" ref="AC666">(VLOOKUP($A666,'The List'!$B1:$AR671,42,FALSE)-AVERAGE('The List'!AQ2:AQ671))/STDEV('The List'!AQ2:AQ671)</f>
        <v>-1.2444895032684775</v>
      </c>
      <c r="AD666" s="55" cm="1">
        <f t="array" ref="AD666">(VLOOKUP($A666,'The List'!$B1:$AR671,43,FALSE)-AVERAGE('The List'!AR2:AR671))/STDEV('The List'!AR2:AR671)*-1</f>
        <v>-2.353868646193189</v>
      </c>
      <c r="AE666" s="55"/>
    </row>
    <row r="667" spans="1:31" ht="21.25" customHeight="1" x14ac:dyDescent="0.15">
      <c r="A667" s="10" t="s">
        <v>342</v>
      </c>
      <c r="B667" s="18" t="str" cm="1">
        <f t="array" ref="B667">VLOOKUP(A667,'Player Data'!A1:B673,2,FALSE)</f>
        <v>VGK</v>
      </c>
      <c r="C667" s="52" cm="1">
        <f t="array" ref="C667">(W667*Settings!$C$29)+(X667*Settings!$C$21)+(Y667*Settings!$C$22)+(AA667*Settings!$C$24)+(AB667*Settings!$C$25)+(Z667*Settings!$C$23)+(AC667*Settings!$C$26)+(AD667*Settings!$C$28)</f>
        <v>2.3069556863723735</v>
      </c>
      <c r="D667" s="57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 cm="1">
        <f t="array" ref="W667">(VLOOKUP($A667,'The List'!$B1:$AR671,35,FALSE)-AVERAGE('The List'!AJ2:AJ671))/STDEV('The List'!AJ2:AJ671)</f>
        <v>0.44069573855739863</v>
      </c>
      <c r="X667" s="55" cm="1">
        <f t="array" ref="X667">(VLOOKUP($A667,'The List'!$B1:$AR671,36,FALSE)-AVERAGE('The List'!AK2:AK671))/STDEV('The List'!AK2:AK671)</f>
        <v>0.86970245550632452</v>
      </c>
      <c r="Y667" s="55" cm="1">
        <f t="array" ref="Y667">(VLOOKUP($A667,'The List'!$B1:$AR671,37,FALSE)-AVERAGE('The List'!AL2:AL671))/STDEV('The List'!AL2:AL671)*-1</f>
        <v>0.11082036469634816</v>
      </c>
      <c r="Z667" s="55" cm="1">
        <f t="array" ref="Z667">(VLOOKUP($A667,'The List'!$B1:$AR671,38,FALSE)-AVERAGE('The List'!AM2:AM671))/STDEV('The List'!AM2:AM671)</f>
        <v>-0.11809149131475528</v>
      </c>
      <c r="AA667" s="55" cm="1">
        <f t="array" ref="AA667">(VLOOKUP($A667,'The List'!$B1:$AR671,39,FALSE)-AVERAGE('The List'!AN2:AN671))/STDEV('The List'!AN2:AN671)</f>
        <v>1.1551423992154632</v>
      </c>
      <c r="AB667" s="55" cm="1">
        <f t="array" ref="AB667">(VLOOKUP($A667,'The List'!$B1:$AR671,40,FALSE)-AVERAGE('The List'!AO2:AO671))/STDEV('The List'!AO2:AO671)</f>
        <v>7.8957821517695467E-2</v>
      </c>
      <c r="AC667" s="55" cm="1">
        <f t="array" ref="AC667">(VLOOKUP($A667,'The List'!$B1:$AR671,42,FALSE)-AVERAGE('The List'!AQ2:AQ671))/STDEV('The List'!AQ2:AQ671)</f>
        <v>2.9254484762634252E-2</v>
      </c>
      <c r="AD667" s="55" cm="1">
        <f t="array" ref="AD667">(VLOOKUP($A667,'The List'!$B1:$AR671,43,FALSE)-AVERAGE('The List'!AR2:AR671))/STDEV('The List'!AR2:AR671)*-1</f>
        <v>1.4079987461034145</v>
      </c>
      <c r="AE667" s="55"/>
    </row>
    <row r="668" spans="1:31" ht="21.25" customHeight="1" x14ac:dyDescent="0.15">
      <c r="A668" s="10" t="s">
        <v>517</v>
      </c>
      <c r="B668" s="18" t="str" cm="1">
        <f t="array" ref="B668">VLOOKUP(A668,'Player Data'!A1:B673,2,FALSE)</f>
        <v>VGK</v>
      </c>
      <c r="C668" s="52" cm="1">
        <f t="array" ref="C668">(W668*Settings!$C$29)+(X668*Settings!$C$21)+(Y668*Settings!$C$22)+(AA668*Settings!$C$24)+(AB668*Settings!$C$25)+(Z668*Settings!$C$23)+(AC668*Settings!$C$26)+(AD668*Settings!$C$28)</f>
        <v>0.47443178856569834</v>
      </c>
      <c r="D668" s="57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 cm="1">
        <f t="array" ref="W668">(VLOOKUP($A668,'The List'!$B1:$AR671,35,FALSE)-AVERAGE('The List'!AJ2:AJ671))/STDEV('The List'!AJ2:AJ671)</f>
        <v>-0.41398690591755627</v>
      </c>
      <c r="X668" s="55" cm="1">
        <f t="array" ref="X668">(VLOOKUP($A668,'The List'!$B1:$AR671,36,FALSE)-AVERAGE('The List'!AK2:AK671))/STDEV('The List'!AK2:AK671)</f>
        <v>-4.1568815569254042E-2</v>
      </c>
      <c r="Y668" s="55" cm="1">
        <f t="array" ref="Y668">(VLOOKUP($A668,'The List'!$B1:$AR671,37,FALSE)-AVERAGE('The List'!AL2:AL671))/STDEV('The List'!AL2:AL671)*-1</f>
        <v>0.72844555653448151</v>
      </c>
      <c r="Z668" s="55" cm="1">
        <f t="array" ref="Z668">(VLOOKUP($A668,'The List'!$B1:$AR671,38,FALSE)-AVERAGE('The List'!AM2:AM671))/STDEV('The List'!AM2:AM671)</f>
        <v>-0.73444719787124135</v>
      </c>
      <c r="AA668" s="55" cm="1">
        <f t="array" ref="AA668">(VLOOKUP($A668,'The List'!$B1:$AR671,39,FALSE)-AVERAGE('The List'!AN2:AN671))/STDEV('The List'!AN2:AN671)</f>
        <v>0.23835857854973128</v>
      </c>
      <c r="AB668" s="55" cm="1">
        <f t="array" ref="AB668">(VLOOKUP($A668,'The List'!$B1:$AR671,40,FALSE)-AVERAGE('The List'!AO2:AO671))/STDEV('The List'!AO2:AO671)</f>
        <v>-0.66523116065300203</v>
      </c>
      <c r="AC668" s="55" cm="1">
        <f t="array" ref="AC668">(VLOOKUP($A668,'The List'!$B1:$AR671,42,FALSE)-AVERAGE('The List'!AQ2:AQ671))/STDEV('The List'!AQ2:AQ671)</f>
        <v>-0.58719157672867317</v>
      </c>
      <c r="AD668" s="55" cm="1">
        <f t="array" ref="AD668">(VLOOKUP($A668,'The List'!$B1:$AR671,43,FALSE)-AVERAGE('The List'!AR2:AR671))/STDEV('The List'!AR2:AR671)*-1</f>
        <v>1.1031921808636256</v>
      </c>
      <c r="AE668" s="55"/>
    </row>
    <row r="669" spans="1:31" ht="21.25" customHeight="1" x14ac:dyDescent="0.15">
      <c r="A669" s="10" t="s">
        <v>151</v>
      </c>
      <c r="B669" s="18" t="str" cm="1">
        <f t="array" ref="B669">VLOOKUP(A669,'Player Data'!A1:B673,2,FALSE)</f>
        <v>WPG</v>
      </c>
      <c r="C669" s="52" cm="1">
        <f t="array" ref="C669">(W669*Settings!$C$29)+(X669*Settings!$C$21)+(Y669*Settings!$C$22)+(AA669*Settings!$C$24)+(AB669*Settings!$C$25)+(Z669*Settings!$C$23)+(AC669*Settings!$C$26)+(AD669*Settings!$C$28)</f>
        <v>5.1009732452020753</v>
      </c>
      <c r="D669" s="57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 cm="1">
        <f t="array" ref="W669">(VLOOKUP($A669,'The List'!$B1:$AR671,35,FALSE)-AVERAGE('The List'!AJ2:AJ671))/STDEV('The List'!AJ2:AJ671)</f>
        <v>1.7227197052698311</v>
      </c>
      <c r="X669" s="55" cm="1">
        <f t="array" ref="X669">(VLOOKUP($A669,'The List'!$B1:$AR671,36,FALSE)-AVERAGE('The List'!AK2:AK671))/STDEV('The List'!AK2:AK671)</f>
        <v>1.680508723314182</v>
      </c>
      <c r="Y669" s="55" cm="1">
        <f t="array" ref="Y669">(VLOOKUP($A669,'The List'!$B1:$AR671,37,FALSE)-AVERAGE('The List'!AL2:AL671))/STDEV('The List'!AL2:AL671)*-1</f>
        <v>-1.4152985565041509</v>
      </c>
      <c r="Z669" s="55" cm="1">
        <f t="array" ref="Z669">(VLOOKUP($A669,'The List'!$B1:$AR671,38,FALSE)-AVERAGE('The List'!AM2:AM671))/STDEV('The List'!AM2:AM671)</f>
        <v>1.4048905994356644</v>
      </c>
      <c r="AA669" s="55" cm="1">
        <f t="array" ref="AA669">(VLOOKUP($A669,'The List'!$B1:$AR671,39,FALSE)-AVERAGE('The List'!AN2:AN671))/STDEV('The List'!AN2:AN671)</f>
        <v>2.4000243899004854</v>
      </c>
      <c r="AB669" s="55" cm="1">
        <f t="array" ref="AB669">(VLOOKUP($A669,'The List'!$B1:$AR671,40,FALSE)-AVERAGE('The List'!AO2:AO671))/STDEV('The List'!AO2:AO671)</f>
        <v>1.6385200392013108</v>
      </c>
      <c r="AC669" s="55" cm="1">
        <f t="array" ref="AC669">(VLOOKUP($A669,'The List'!$B1:$AR671,42,FALSE)-AVERAGE('The List'!AQ2:AQ671))/STDEV('The List'!AQ2:AQ671)</f>
        <v>1.8963909015330611</v>
      </c>
      <c r="AD669" s="55" cm="1">
        <f t="array" ref="AD669">(VLOOKUP($A669,'The List'!$B1:$AR671,43,FALSE)-AVERAGE('The List'!AR2:AR671))/STDEV('The List'!AR2:AR671)*-1</f>
        <v>1.5240736203548324</v>
      </c>
      <c r="AE669" s="55"/>
    </row>
    <row r="670" spans="1:31" ht="21.25" customHeight="1" x14ac:dyDescent="0.15">
      <c r="A670" s="10" t="s">
        <v>708</v>
      </c>
      <c r="B670" s="18" t="str" cm="1">
        <f t="array" ref="B670">VLOOKUP(A670,'Player Data'!A1:B673,2,FALSE)</f>
        <v>WPG</v>
      </c>
      <c r="C670" s="52" cm="1">
        <f t="array" ref="C670">(W670*Settings!$C$29)+(X670*Settings!$C$21)+(Y670*Settings!$C$22)+(AA670*Settings!$C$24)+(AB670*Settings!$C$25)+(Z670*Settings!$C$23)+(AC670*Settings!$C$26)+(AD670*Settings!$C$28)</f>
        <v>-2.3587289555774245</v>
      </c>
      <c r="D670" s="57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 cm="1">
        <f t="array" ref="W670">(VLOOKUP($A670,'The List'!$B1:$AR671,35,FALSE)-AVERAGE('The List'!AJ2:AJ671))/STDEV('The List'!AJ2:AJ671)</f>
        <v>-1.6960108726299887</v>
      </c>
      <c r="X670" s="55" cm="1">
        <f t="array" ref="X670">(VLOOKUP($A670,'The List'!$B1:$AR671,36,FALSE)-AVERAGE('The List'!AK2:AK671))/STDEV('The List'!AK2:AK671)</f>
        <v>-1.5380476123166553</v>
      </c>
      <c r="Y670" s="55" cm="1">
        <f t="array" ref="Y670">(VLOOKUP($A670,'The List'!$B1:$AR671,37,FALSE)-AVERAGE('The List'!AL2:AL671))/STDEV('The List'!AL2:AL671)*-1</f>
        <v>1.5151571643238426</v>
      </c>
      <c r="Z670" s="55" cm="1">
        <f t="array" ref="Z670">(VLOOKUP($A670,'The List'!$B1:$AR671,38,FALSE)-AVERAGE('The List'!AM2:AM671))/STDEV('The List'!AM2:AM671)</f>
        <v>-1.5195417751051994</v>
      </c>
      <c r="AA670" s="55" cm="1">
        <f t="array" ref="AA670">(VLOOKUP($A670,'The List'!$B1:$AR671,39,FALSE)-AVERAGE('The List'!AN2:AN671))/STDEV('The List'!AN2:AN671)</f>
        <v>-1.0274765434500959</v>
      </c>
      <c r="AB670" s="55" cm="1">
        <f t="array" ref="AB670">(VLOOKUP($A670,'The List'!$B1:$AR671,40,FALSE)-AVERAGE('The List'!AO2:AO671))/STDEV('The List'!AO2:AO671)</f>
        <v>-1.6974622998365794</v>
      </c>
      <c r="AC670" s="55" cm="1">
        <f t="array" ref="AC670">(VLOOKUP($A670,'The List'!$B1:$AR671,42,FALSE)-AVERAGE('The List'!AQ2:AQ671))/STDEV('The List'!AQ2:AQ671)</f>
        <v>-1.2743730632759702</v>
      </c>
      <c r="AD670" s="55" cm="1">
        <f t="array" ref="AD670">(VLOOKUP($A670,'The List'!$B1:$AR671,43,FALSE)-AVERAGE('The List'!AR2:AR671))/STDEV('The List'!AR2:AR671)*-1</f>
        <v>0.45369172001520119</v>
      </c>
      <c r="AE670" s="55"/>
    </row>
    <row r="671" spans="1:31" ht="21.25" customHeight="1" x14ac:dyDescent="0.15">
      <c r="A671" s="10" t="s">
        <v>166</v>
      </c>
      <c r="B671" s="18" t="str" cm="1">
        <f t="array" ref="B671">VLOOKUP(A671,'Player Data'!A1:B673,2,FALSE)</f>
        <v>WSH</v>
      </c>
      <c r="C671" s="52" cm="1">
        <f t="array" ref="C671">(W671*Settings!$C$29)+(X671*Settings!$C$21)+(Y671*Settings!$C$22)+(AA671*Settings!$C$24)+(AB671*Settings!$C$25)+(Z671*Settings!$C$23)+(AC671*Settings!$C$26)+(AD671*Settings!$C$28)</f>
        <v>4.7189683964750806</v>
      </c>
      <c r="D671" s="57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 cm="1">
        <f t="array" ref="W671">(VLOOKUP($A671,'The List'!$B1:$AR671,35,FALSE)-AVERAGE('The List'!AJ2:AJ671))/STDEV('The List'!AJ2:AJ671)</f>
        <v>1.2953783830323535</v>
      </c>
      <c r="X671" s="55" cm="1">
        <f t="array" ref="X671">(VLOOKUP($A671,'The List'!$B1:$AR671,36,FALSE)-AVERAGE('The List'!AK2:AK671))/STDEV('The List'!AK2:AK671)</f>
        <v>1.7376015477424414</v>
      </c>
      <c r="Y671" s="55" cm="1">
        <f t="array" ref="Y671">(VLOOKUP($A671,'The List'!$B1:$AR671,37,FALSE)-AVERAGE('The List'!AL2:AL671))/STDEV('The List'!AL2:AL671)*-1</f>
        <v>-0.55357599687504722</v>
      </c>
      <c r="Z671" s="55" cm="1">
        <f t="array" ref="Z671">(VLOOKUP($A671,'The List'!$B1:$AR671,38,FALSE)-AVERAGE('The List'!AM2:AM671))/STDEV('The List'!AM2:AM671)</f>
        <v>0.54493925011466138</v>
      </c>
      <c r="AA671" s="55" cm="1">
        <f t="array" ref="AA671">(VLOOKUP($A671,'The List'!$B1:$AR671,39,FALSE)-AVERAGE('The List'!AN2:AN671))/STDEV('The List'!AN2:AN671)</f>
        <v>1.7856540739694615</v>
      </c>
      <c r="AB671" s="55" cm="1">
        <f t="array" ref="AB671">(VLOOKUP($A671,'The List'!$B1:$AR671,40,FALSE)-AVERAGE('The List'!AO2:AO671))/STDEV('The List'!AO2:AO671)</f>
        <v>1.2804627900783092</v>
      </c>
      <c r="AC671" s="55" cm="1">
        <f t="array" ref="AC671">(VLOOKUP($A671,'The List'!$B1:$AR671,42,FALSE)-AVERAGE('The List'!AQ2:AQ671))/STDEV('The List'!AQ2:AQ671)</f>
        <v>1.7404425893821747</v>
      </c>
      <c r="AD671" s="55" cm="1">
        <f t="array" ref="AD671">(VLOOKUP($A671,'The List'!$B1:$AR671,43,FALSE)-AVERAGE('The List'!AR2:AR671))/STDEV('The List'!AR2:AR671)*-1</f>
        <v>1.2409242593504641</v>
      </c>
      <c r="AE671" s="55"/>
    </row>
    <row r="672" spans="1:31" ht="21.25" customHeight="1" x14ac:dyDescent="0.15">
      <c r="A672" s="10" t="s">
        <v>653</v>
      </c>
      <c r="B672" s="18" t="str" cm="1">
        <f t="array" ref="B672">VLOOKUP(A672,'Player Data'!A1:B673,2,FALSE)</f>
        <v>WSH</v>
      </c>
      <c r="C672" s="52" cm="1">
        <f t="array" ref="C672">(W672*Settings!$C$29)+(X672*Settings!$C$21)+(Y672*Settings!$C$22)+(AA672*Settings!$C$24)+(AB672*Settings!$C$25)+(Z672*Settings!$C$23)+(AC672*Settings!$C$26)+(AD672*Settings!$C$28)</f>
        <v>-2.5778406187589251</v>
      </c>
      <c r="D672" s="57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 cm="1">
        <f t="array" ref="W672">(VLOOKUP($A672,'The List'!$B1:$AR671,35,FALSE)-AVERAGE('The List'!AJ2:AJ671))/STDEV('The List'!AJ2:AJ671)</f>
        <v>-1.2686695503925112</v>
      </c>
      <c r="X672" s="55" cm="1">
        <f t="array" ref="X672">(VLOOKUP($A672,'The List'!$B1:$AR671,36,FALSE)-AVERAGE('The List'!AK2:AK671))/STDEV('The List'!AK2:AK671)</f>
        <v>-1.0231733133374012</v>
      </c>
      <c r="Y672" s="55" cm="1">
        <f t="array" ref="Y672">(VLOOKUP($A672,'The List'!$B1:$AR671,37,FALSE)-AVERAGE('The List'!AL2:AL671))/STDEV('The List'!AL2:AL671)*-1</f>
        <v>1.2702256473989457</v>
      </c>
      <c r="Z672" s="55" cm="1">
        <f t="array" ref="Z672">(VLOOKUP($A672,'The List'!$B1:$AR671,38,FALSE)-AVERAGE('The List'!AM2:AM671))/STDEV('The List'!AM2:AM671)</f>
        <v>-1.2751136977418065</v>
      </c>
      <c r="AA672" s="55" cm="1">
        <f t="array" ref="AA672">(VLOOKUP($A672,'The List'!$B1:$AR671,39,FALSE)-AVERAGE('The List'!AN2:AN671))/STDEV('The List'!AN2:AN671)</f>
        <v>-0.96706951584063461</v>
      </c>
      <c r="AB672" s="55" cm="1">
        <f t="array" ref="AB672">(VLOOKUP($A672,'The List'!$B1:$AR671,40,FALSE)-AVERAGE('The List'!AO2:AO671))/STDEV('The List'!AO2:AO671)</f>
        <v>-1.2818025182426886</v>
      </c>
      <c r="AC672" s="55" cm="1">
        <f t="array" ref="AC672">(VLOOKUP($A672,'The List'!$B1:$AR671,42,FALSE)-AVERAGE('The List'!AQ2:AQ671))/STDEV('The List'!AQ2:AQ671)</f>
        <v>-1.3083328812251469</v>
      </c>
      <c r="AD672" s="55" cm="1">
        <f t="array" ref="AD672">(VLOOKUP($A672,'The List'!$B1:$AR671,43,FALSE)-AVERAGE('The List'!AR2:AR671))/STDEV('The List'!AR2:AR671)*-1</f>
        <v>-0.24633442419637691</v>
      </c>
      <c r="AE672" s="55"/>
    </row>
  </sheetData>
  <pageMargins left="0.5" right="0.5" top="0.75" bottom="0.75" header="0.27777800000000002" footer="0.27777800000000002"/>
  <pageSetup orientation="portrait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Settings</vt:lpstr>
      <vt:lpstr>The List</vt:lpstr>
      <vt:lpstr>Team Comparison</vt:lpstr>
      <vt:lpstr>F</vt:lpstr>
      <vt:lpstr>C</vt:lpstr>
      <vt:lpstr>LW</vt:lpstr>
      <vt:lpstr>RW</vt:lpstr>
      <vt:lpstr>D</vt:lpstr>
      <vt:lpstr>G</vt:lpstr>
      <vt:lpstr>ADP</vt:lpstr>
      <vt:lpstr>Player Data</vt:lpstr>
      <vt:lpstr>Standard Deviations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 luszczyszyn</cp:lastModifiedBy>
  <dcterms:modified xsi:type="dcterms:W3CDTF">2026-09-04T16:13:03Z</dcterms:modified>
</cp:coreProperties>
</file>